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Account" sheetId="1" state="visible" r:id="rId1"/>
    <sheet xmlns:r="http://schemas.openxmlformats.org/officeDocument/2006/relationships" name="Stats" sheetId="2" state="visible" r:id="rId2"/>
    <sheet xmlns:r="http://schemas.openxmlformats.org/officeDocument/2006/relationships" name="Ke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_);[Red]\(&quot;$&quot;#,##0\)"/>
    <numFmt numFmtId="165" formatCode="m/d/yy"/>
    <numFmt numFmtId="166" formatCode="m/d"/>
    <numFmt numFmtId="167" formatCode="&quot;$&quot;#,##0.00_);[Red]\(&quot;$&quot;#,##0.00\)"/>
  </numFmts>
  <fonts count="17">
    <font>
      <name val="Calibri"/>
      <color theme="1"/>
      <sz val="11"/>
      <scheme val="minor"/>
    </font>
    <font>
      <name val="Calibri"/>
      <color theme="1"/>
      <sz val="11"/>
    </font>
    <font/>
    <font>
      <name val="Calibri"/>
      <b val="1"/>
      <color theme="10"/>
      <sz val="24"/>
      <u val="single"/>
    </font>
    <font>
      <name val="Calibri"/>
      <b val="1"/>
      <color rgb="FFFEF2CB"/>
      <sz val="11"/>
    </font>
    <font>
      <name val="Calibri"/>
      <b val="1"/>
      <color theme="0"/>
      <sz val="11"/>
      <u val="single"/>
    </font>
    <font>
      <name val="Calibri"/>
      <b val="1"/>
      <color theme="1"/>
      <sz val="11"/>
    </font>
    <font>
      <name val="Calibri"/>
      <b val="1"/>
      <color theme="1"/>
      <sz val="12"/>
    </font>
    <font>
      <name val="Calibri"/>
      <b val="1"/>
      <color theme="0"/>
      <sz val="11"/>
    </font>
    <font>
      <name val="Calibri"/>
      <color theme="0"/>
      <sz val="11"/>
    </font>
    <font>
      <name val="Calibri"/>
      <b val="1"/>
      <color rgb="FF548135"/>
      <sz val="12"/>
    </font>
    <font>
      <name val="Calibri"/>
      <b val="1"/>
      <color rgb="FFC00000"/>
      <sz val="12"/>
    </font>
    <font>
      <name val="Calibri"/>
      <b val="1"/>
      <color theme="1"/>
      <sz val="9"/>
    </font>
    <font>
      <name val="Bitter"/>
      <b val="1"/>
      <color theme="0"/>
      <sz val="24"/>
    </font>
    <font>
      <name val="Arial"/>
      <b val="1"/>
      <color theme="1"/>
      <sz val="10"/>
    </font>
    <font>
      <name val="Arial"/>
      <b val="1"/>
      <color theme="0"/>
      <sz val="10"/>
    </font>
    <font>
      <name val="Arial"/>
      <color theme="1"/>
      <sz val="10"/>
    </font>
  </fonts>
  <fills count="13">
    <fill>
      <patternFill/>
    </fill>
    <fill>
      <patternFill patternType="lightGray"/>
    </fill>
    <fill>
      <patternFill patternType="solid">
        <fgColor rgb="FF595959"/>
        <bgColor rgb="FF595959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FF9999"/>
        <bgColor rgb="FFFF9999"/>
      </patternFill>
    </fill>
    <fill>
      <patternFill patternType="solid">
        <fgColor rgb="FFFDE4D6"/>
        <bgColor rgb="FFFDE4D6"/>
      </patternFill>
    </fill>
    <fill>
      <patternFill patternType="solid">
        <fgColor rgb="FFFFFF00"/>
        <bgColor rgb="FFFFFF00"/>
      </patternFill>
    </fill>
  </fills>
  <borders count="67">
    <border/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lef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top/>
      <bottom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</borders>
  <cellStyleXfs count="1">
    <xf numFmtId="0" fontId="0" fillId="0" borderId="0"/>
  </cellStyleXfs>
  <cellXfs count="163">
    <xf numFmtId="0" fontId="0" fillId="0" borderId="0" applyAlignment="1" pivotButton="0" quotePrefix="0" xfId="0">
      <alignment vertical="bottom"/>
    </xf>
    <xf numFmtId="0" fontId="1" fillId="0" borderId="1" applyAlignment="1" pivotButton="0" quotePrefix="0" xfId="0">
      <alignment horizontal="center"/>
    </xf>
    <xf numFmtId="0" fontId="2" fillId="0" borderId="1" pivotButton="0" quotePrefix="0" xfId="0"/>
    <xf numFmtId="0" fontId="3" fillId="0" borderId="1" applyAlignment="1" pivotButton="0" quotePrefix="0" xfId="0">
      <alignment horizontal="center" vertical="center"/>
    </xf>
    <xf numFmtId="0" fontId="1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2" fillId="0" borderId="4" pivotButton="0" quotePrefix="0" xfId="0"/>
    <xf numFmtId="0" fontId="2" fillId="0" borderId="5" pivotButton="0" quotePrefix="0" xfId="0"/>
    <xf numFmtId="0" fontId="1" fillId="2" borderId="6" applyAlignment="1" pivotButton="0" quotePrefix="0" xfId="0">
      <alignment horizontal="center"/>
    </xf>
    <xf numFmtId="0" fontId="4" fillId="2" borderId="3" applyAlignment="1" pivotButton="0" quotePrefix="0" xfId="0">
      <alignment horizontal="center" vertical="center"/>
    </xf>
    <xf numFmtId="0" fontId="4" fillId="2" borderId="7" applyAlignment="1" pivotButton="0" quotePrefix="0" xfId="0">
      <alignment horizontal="center"/>
    </xf>
    <xf numFmtId="0" fontId="2" fillId="0" borderId="8" pivotButton="0" quotePrefix="0" xfId="0"/>
    <xf numFmtId="0" fontId="2" fillId="0" borderId="9" pivotButton="0" quotePrefix="0" xfId="0"/>
    <xf numFmtId="0" fontId="5" fillId="2" borderId="10" applyAlignment="1" pivotButton="0" quotePrefix="0" xfId="0">
      <alignment horizontal="center"/>
    </xf>
    <xf numFmtId="0" fontId="2" fillId="0" borderId="11" pivotButton="0" quotePrefix="0" xfId="0"/>
    <xf numFmtId="0" fontId="2" fillId="0" borderId="12" pivotButton="0" quotePrefix="0" xfId="0"/>
    <xf numFmtId="0" fontId="6" fillId="3" borderId="13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1" fillId="2" borderId="14" applyAlignment="1" pivotButton="0" quotePrefix="0" xfId="0">
      <alignment horizontal="center"/>
    </xf>
    <xf numFmtId="0" fontId="4" fillId="2" borderId="7" applyAlignment="1" pivotButton="0" quotePrefix="0" xfId="0">
      <alignment horizontal="right"/>
    </xf>
    <xf numFmtId="0" fontId="2" fillId="0" borderId="15" pivotButton="0" quotePrefix="0" xfId="0"/>
    <xf numFmtId="0" fontId="6" fillId="4" borderId="16" applyAlignment="1" pivotButton="0" quotePrefix="0" xfId="0">
      <alignment horizontal="center"/>
    </xf>
    <xf numFmtId="9" fontId="8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/>
    </xf>
    <xf numFmtId="0" fontId="2" fillId="0" borderId="18" pivotButton="0" quotePrefix="0" xfId="0"/>
    <xf numFmtId="0" fontId="2" fillId="0" borderId="19" pivotButton="0" quotePrefix="0" xfId="0"/>
    <xf numFmtId="0" fontId="9" fillId="2" borderId="20" pivotButton="0" quotePrefix="0" xfId="0"/>
    <xf numFmtId="0" fontId="9" fillId="2" borderId="21" pivotButton="0" quotePrefix="0" xfId="0"/>
    <xf numFmtId="0" fontId="9" fillId="2" borderId="22" pivotButton="0" quotePrefix="0" xfId="0"/>
    <xf numFmtId="0" fontId="4" fillId="2" borderId="23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5" borderId="16" applyAlignment="1" pivotButton="0" quotePrefix="0" xfId="0">
      <alignment horizontal="center"/>
    </xf>
    <xf numFmtId="9" fontId="8" fillId="6" borderId="24" applyAlignment="1" pivotButton="0" quotePrefix="0" xfId="0">
      <alignment horizontal="center" vertical="center"/>
    </xf>
    <xf numFmtId="0" fontId="2" fillId="0" borderId="25" pivotButton="0" quotePrefix="0" xfId="0"/>
    <xf numFmtId="0" fontId="8" fillId="6" borderId="26" applyAlignment="1" pivotButton="0" quotePrefix="0" xfId="0">
      <alignment horizontal="center" vertical="center"/>
    </xf>
    <xf numFmtId="9" fontId="8" fillId="6" borderId="26" applyAlignment="1" pivotButton="0" quotePrefix="0" xfId="0">
      <alignment horizontal="center" vertical="center"/>
    </xf>
    <xf numFmtId="0" fontId="2" fillId="0" borderId="27" pivotButton="0" quotePrefix="0" xfId="0"/>
    <xf numFmtId="0" fontId="8" fillId="6" borderId="26" applyAlignment="1" pivotButton="0" quotePrefix="0" xfId="0">
      <alignment horizontal="center"/>
    </xf>
    <xf numFmtId="0" fontId="2" fillId="0" borderId="28" pivotButton="0" quotePrefix="0" xfId="0"/>
    <xf numFmtId="0" fontId="9" fillId="5" borderId="29" applyAlignment="1" pivotButton="0" quotePrefix="0" xfId="0">
      <alignment horizontal="center"/>
    </xf>
    <xf numFmtId="0" fontId="2" fillId="0" borderId="30" pivotButton="0" quotePrefix="0" xfId="0"/>
    <xf numFmtId="0" fontId="2" fillId="0" borderId="31" pivotButton="0" quotePrefix="0" xfId="0"/>
    <xf numFmtId="164" fontId="8" fillId="2" borderId="23" applyAlignment="1" pivotButton="0" quotePrefix="0" xfId="0">
      <alignment horizontal="center"/>
    </xf>
    <xf numFmtId="9" fontId="8" fillId="2" borderId="32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/>
    </xf>
    <xf numFmtId="0" fontId="2" fillId="0" borderId="34" pivotButton="0" quotePrefix="0" xfId="0"/>
    <xf numFmtId="0" fontId="2" fillId="0" borderId="35" pivotButton="0" quotePrefix="0" xfId="0"/>
    <xf numFmtId="0" fontId="1" fillId="2" borderId="23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9" fontId="6" fillId="5" borderId="16" applyAlignment="1" pivotButton="0" quotePrefix="0" xfId="0">
      <alignment horizontal="center"/>
    </xf>
    <xf numFmtId="0" fontId="2" fillId="0" borderId="36" pivotButton="0" quotePrefix="0" xfId="0"/>
    <xf numFmtId="0" fontId="2" fillId="0" borderId="37" pivotButton="0" quotePrefix="0" xfId="0"/>
    <xf numFmtId="0" fontId="2" fillId="0" borderId="38" pivotButton="0" quotePrefix="0" xfId="0"/>
    <xf numFmtId="0" fontId="8" fillId="2" borderId="7" applyAlignment="1" pivotButton="0" quotePrefix="0" xfId="0">
      <alignment horizontal="center"/>
    </xf>
    <xf numFmtId="0" fontId="9" fillId="2" borderId="39" pivotButton="0" quotePrefix="0" xfId="0"/>
    <xf numFmtId="0" fontId="9" fillId="2" borderId="40" pivotButton="0" quotePrefix="0" xfId="0"/>
    <xf numFmtId="0" fontId="9" fillId="2" borderId="41" pivotButton="0" quotePrefix="0" xfId="0"/>
    <xf numFmtId="0" fontId="8" fillId="2" borderId="23" applyAlignment="1" pivotButton="0" quotePrefix="0" xfId="0">
      <alignment horizontal="center"/>
    </xf>
    <xf numFmtId="0" fontId="1" fillId="2" borderId="42" applyAlignment="1" pivotButton="0" quotePrefix="0" xfId="0">
      <alignment horizontal="center"/>
    </xf>
    <xf numFmtId="0" fontId="4" fillId="2" borderId="43" applyAlignment="1" pivotButton="0" quotePrefix="0" xfId="0">
      <alignment horizontal="right"/>
    </xf>
    <xf numFmtId="0" fontId="2" fillId="0" borderId="44" pivotButton="0" quotePrefix="0" xfId="0"/>
    <xf numFmtId="0" fontId="2" fillId="0" borderId="45" pivotButton="0" quotePrefix="0" xfId="0"/>
    <xf numFmtId="9" fontId="6" fillId="5" borderId="46" applyAlignment="1" pivotButton="0" quotePrefix="0" xfId="0">
      <alignment horizontal="center"/>
    </xf>
    <xf numFmtId="0" fontId="1" fillId="2" borderId="47" pivotButton="0" quotePrefix="0" xfId="0"/>
    <xf numFmtId="0" fontId="7" fillId="0" borderId="0" applyAlignment="1" pivotButton="0" quotePrefix="0" xfId="0">
      <alignment horizontal="center" vertical="center" wrapText="1"/>
    </xf>
    <xf numFmtId="14" fontId="7" fillId="0" borderId="0" applyAlignment="1" pivotButton="0" quotePrefix="0" xfId="0">
      <alignment horizontal="center" vertical="center"/>
    </xf>
    <xf numFmtId="0" fontId="6" fillId="7" borderId="4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1" fillId="0" borderId="0" pivotButton="0" quotePrefix="0" xfId="0"/>
    <xf numFmtId="49" fontId="1" fillId="0" borderId="0" applyAlignment="1" pivotButton="0" quotePrefix="0" xfId="0">
      <alignment horizontal="left"/>
    </xf>
    <xf numFmtId="165" fontId="1" fillId="0" borderId="0" pivotButton="0" quotePrefix="0" xfId="0"/>
    <xf numFmtId="0" fontId="1" fillId="0" borderId="0" applyAlignment="1" pivotButton="0" quotePrefix="0" xfId="0">
      <alignment horizontal="right"/>
    </xf>
    <xf numFmtId="165" fontId="1" fillId="0" borderId="0" applyAlignment="1" pivotButton="0" quotePrefix="0" xfId="0">
      <alignment horizontal="right"/>
    </xf>
    <xf numFmtId="0" fontId="6" fillId="0" borderId="0" pivotButton="0" quotePrefix="0" xfId="0"/>
    <xf numFmtId="9" fontId="6" fillId="0" borderId="0" pivotButton="0" quotePrefix="0" xfId="0"/>
    <xf numFmtId="0" fontId="7" fillId="0" borderId="0" pivotButton="0" quotePrefix="0" xfId="0"/>
    <xf numFmtId="0" fontId="6" fillId="0" borderId="0" applyAlignment="1" pivotButton="0" quotePrefix="0" xfId="0">
      <alignment horizontal="right"/>
    </xf>
    <xf numFmtId="0" fontId="4" fillId="0" borderId="0" pivotButton="0" quotePrefix="0" xfId="0"/>
    <xf numFmtId="9" fontId="8" fillId="0" borderId="0" applyAlignment="1" pivotButton="0" quotePrefix="0" xfId="0">
      <alignment horizontal="center"/>
    </xf>
    <xf numFmtId="0" fontId="8" fillId="0" borderId="0" pivotButton="0" quotePrefix="0" xfId="0"/>
    <xf numFmtId="0" fontId="1" fillId="0" borderId="0" applyAlignment="1" pivotButton="0" quotePrefix="0" xfId="0">
      <alignment horizontal="left" wrapText="1"/>
    </xf>
    <xf numFmtId="0" fontId="1" fillId="0" borderId="0" applyAlignment="1" pivotButton="0" quotePrefix="0" xfId="0">
      <alignment wrapText="1"/>
    </xf>
    <xf numFmtId="49" fontId="1" fillId="0" borderId="0" applyAlignment="1" pivotButton="0" quotePrefix="0" xfId="0">
      <alignment horizontal="left" wrapText="1"/>
    </xf>
    <xf numFmtId="0" fontId="1" fillId="0" borderId="0" applyAlignment="1" pivotButton="0" quotePrefix="0" xfId="0">
      <alignment horizontal="right" wrapText="1"/>
    </xf>
    <xf numFmtId="165" fontId="6" fillId="0" borderId="0" applyAlignment="1" pivotButton="0" quotePrefix="0" xfId="0">
      <alignment horizontal="center"/>
    </xf>
    <xf numFmtId="0" fontId="6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49" fontId="1" fillId="0" borderId="0" applyAlignment="1" pivotButton="0" quotePrefix="0" xfId="0">
      <alignment horizontal="left" vertical="center" wrapText="1"/>
    </xf>
    <xf numFmtId="9" fontId="1" fillId="0" borderId="0" pivotButton="0" quotePrefix="0" xfId="0"/>
    <xf numFmtId="0" fontId="6" fillId="0" borderId="0" applyAlignment="1" pivotButton="0" quotePrefix="0" xfId="0">
      <alignment horizontal="center"/>
    </xf>
    <xf numFmtId="166" fontId="1" fillId="0" borderId="0" pivotButton="0" quotePrefix="0" xfId="0"/>
    <xf numFmtId="165" fontId="1" fillId="0" borderId="0" applyAlignment="1" pivotButton="0" quotePrefix="0" xfId="0">
      <alignment horizontal="left"/>
    </xf>
    <xf numFmtId="14" fontId="6" fillId="0" borderId="0" pivotButton="0" quotePrefix="0" xfId="0"/>
    <xf numFmtId="0" fontId="13" fillId="2" borderId="49" applyAlignment="1" pivotButton="0" quotePrefix="0" xfId="0">
      <alignment horizontal="center" vertical="center" wrapText="1"/>
    </xf>
    <xf numFmtId="0" fontId="14" fillId="7" borderId="50" applyAlignment="1" pivotButton="0" quotePrefix="0" xfId="0">
      <alignment horizontal="center" wrapText="1"/>
    </xf>
    <xf numFmtId="0" fontId="14" fillId="7" borderId="51" applyAlignment="1" pivotButton="0" quotePrefix="0" xfId="0">
      <alignment horizontal="center" wrapText="1"/>
    </xf>
    <xf numFmtId="0" fontId="15" fillId="2" borderId="50" applyAlignment="1" pivotButton="0" quotePrefix="0" xfId="0">
      <alignment horizontal="right" wrapText="1"/>
    </xf>
    <xf numFmtId="167" fontId="16" fillId="0" borderId="51" applyAlignment="1" pivotButton="0" quotePrefix="0" xfId="0">
      <alignment horizontal="right" wrapText="1"/>
    </xf>
    <xf numFmtId="167" fontId="16" fillId="8" borderId="51" applyAlignment="1" pivotButton="0" quotePrefix="0" xfId="0">
      <alignment horizontal="right" wrapText="1"/>
    </xf>
    <xf numFmtId="167" fontId="15" fillId="2" borderId="51" applyAlignment="1" pivotButton="0" quotePrefix="0" xfId="0">
      <alignment horizontal="right" wrapText="1"/>
    </xf>
    <xf numFmtId="0" fontId="14" fillId="7" borderId="52" applyAlignment="1" pivotButton="0" quotePrefix="0" xfId="0">
      <alignment horizontal="center" wrapText="1"/>
    </xf>
    <xf numFmtId="0" fontId="14" fillId="7" borderId="53" applyAlignment="1" pivotButton="0" quotePrefix="0" xfId="0">
      <alignment horizontal="center" wrapText="1"/>
    </xf>
    <xf numFmtId="0" fontId="15" fillId="2" borderId="2" applyAlignment="1" pivotButton="0" quotePrefix="0" xfId="0">
      <alignment horizontal="right" wrapText="1"/>
    </xf>
    <xf numFmtId="0" fontId="1" fillId="0" borderId="54" applyAlignment="1" pivotButton="0" quotePrefix="0" xfId="0">
      <alignment horizontal="right"/>
    </xf>
    <xf numFmtId="0" fontId="15" fillId="2" borderId="14" applyAlignment="1" pivotButton="0" quotePrefix="0" xfId="0">
      <alignment horizontal="right" wrapText="1"/>
    </xf>
    <xf numFmtId="0" fontId="1" fillId="0" borderId="55" applyAlignment="1" pivotButton="0" quotePrefix="0" xfId="0">
      <alignment horizontal="right"/>
    </xf>
    <xf numFmtId="0" fontId="15" fillId="2" borderId="42" applyAlignment="1" pivotButton="0" quotePrefix="0" xfId="0">
      <alignment horizontal="right" wrapText="1"/>
    </xf>
    <xf numFmtId="0" fontId="1" fillId="0" borderId="56" applyAlignment="1" pivotButton="0" quotePrefix="0" xfId="0">
      <alignment horizontal="right"/>
    </xf>
    <xf numFmtId="0" fontId="6" fillId="3" borderId="52" applyAlignment="1" pivotButton="0" quotePrefix="0" xfId="0">
      <alignment horizontal="center"/>
    </xf>
    <xf numFmtId="0" fontId="4" fillId="2" borderId="57" applyAlignment="1" pivotButton="0" quotePrefix="0" xfId="0">
      <alignment horizontal="center"/>
    </xf>
    <xf numFmtId="0" fontId="8" fillId="2" borderId="57" applyAlignment="1" pivotButton="0" quotePrefix="0" xfId="0">
      <alignment horizontal="center"/>
    </xf>
    <xf numFmtId="0" fontId="1" fillId="2" borderId="57" pivotButton="0" quotePrefix="0" xfId="0"/>
    <xf numFmtId="0" fontId="8" fillId="2" borderId="57" pivotButton="0" quotePrefix="0" xfId="0"/>
    <xf numFmtId="164" fontId="8" fillId="2" borderId="57" applyAlignment="1" pivotButton="0" quotePrefix="0" xfId="0">
      <alignment horizontal="center"/>
    </xf>
    <xf numFmtId="0" fontId="1" fillId="2" borderId="58" pivotButton="0" quotePrefix="0" xfId="0"/>
    <xf numFmtId="0" fontId="7" fillId="3" borderId="52" applyAlignment="1" pivotButton="0" quotePrefix="0" xfId="0">
      <alignment horizontal="center"/>
    </xf>
    <xf numFmtId="0" fontId="1" fillId="2" borderId="57" applyAlignment="1" pivotButton="0" quotePrefix="0" xfId="0">
      <alignment horizontal="center"/>
    </xf>
    <xf numFmtId="165" fontId="6" fillId="9" borderId="57" applyAlignment="1" pivotButton="0" quotePrefix="0" xfId="0">
      <alignment horizontal="center"/>
    </xf>
    <xf numFmtId="165" fontId="6" fillId="10" borderId="57" applyAlignment="1" pivotButton="0" quotePrefix="0" xfId="0">
      <alignment horizontal="center"/>
    </xf>
    <xf numFmtId="0" fontId="6" fillId="11" borderId="57" applyAlignment="1" pivotButton="0" quotePrefix="0" xfId="0">
      <alignment horizontal="center"/>
    </xf>
    <xf numFmtId="14" fontId="6" fillId="10" borderId="57" applyAlignment="1" pivotButton="0" quotePrefix="0" xfId="0">
      <alignment horizontal="center"/>
    </xf>
    <xf numFmtId="0" fontId="6" fillId="9" borderId="57" applyAlignment="1" pivotButton="0" quotePrefix="0" xfId="0">
      <alignment horizontal="center"/>
    </xf>
    <xf numFmtId="0" fontId="6" fillId="12" borderId="57" applyAlignment="1" pivotButton="0" quotePrefix="0" xfId="0">
      <alignment horizontal="center"/>
    </xf>
    <xf numFmtId="0" fontId="7" fillId="3" borderId="57" applyAlignment="1" pivotButton="0" quotePrefix="0" xfId="0">
      <alignment horizontal="center"/>
    </xf>
    <xf numFmtId="0" fontId="8" fillId="2" borderId="57" applyAlignment="1" pivotButton="0" quotePrefix="0" xfId="0">
      <alignment horizontal="left"/>
    </xf>
    <xf numFmtId="0" fontId="1" fillId="2" borderId="58" applyAlignment="1" pivotButton="0" quotePrefix="0" xfId="0">
      <alignment horizontal="center"/>
    </xf>
    <xf numFmtId="0" fontId="0" fillId="0" borderId="0" pivotButton="0" quotePrefix="0" xfId="0"/>
    <xf numFmtId="0" fontId="0" fillId="0" borderId="1" pivotButton="0" quotePrefix="0" xfId="0"/>
    <xf numFmtId="0" fontId="0" fillId="0" borderId="59" pivotButton="0" quotePrefix="0" xfId="0"/>
    <xf numFmtId="0" fontId="4" fillId="2" borderId="6" applyAlignment="1" pivotButton="0" quotePrefix="0" xfId="0">
      <alignment horizontal="center" vertical="center"/>
    </xf>
    <xf numFmtId="0" fontId="4" fillId="2" borderId="48" applyAlignment="1" pivotButton="0" quotePrefix="0" xfId="0">
      <alignment horizontal="center"/>
    </xf>
    <xf numFmtId="0" fontId="5" fillId="2" borderId="13" applyAlignment="1" pivotButton="0" quotePrefix="0" xfId="0">
      <alignment horizontal="center"/>
    </xf>
    <xf numFmtId="0" fontId="0" fillId="0" borderId="30" pivotButton="0" quotePrefix="0" xfId="0"/>
    <xf numFmtId="0" fontId="0" fillId="0" borderId="31" pivotButton="0" quotePrefix="0" xfId="0"/>
    <xf numFmtId="0" fontId="4" fillId="2" borderId="60" applyAlignment="1" pivotButton="0" quotePrefix="0" xfId="0">
      <alignment horizontal="right"/>
    </xf>
    <xf numFmtId="0" fontId="0" fillId="0" borderId="35" pivotButton="0" quotePrefix="0" xfId="0"/>
    <xf numFmtId="9" fontId="8" fillId="2" borderId="48" applyAlignment="1" pivotButton="0" quotePrefix="0" xfId="0">
      <alignment horizontal="center" vertical="center"/>
    </xf>
    <xf numFmtId="0" fontId="8" fillId="2" borderId="48" applyAlignment="1" pivotButton="0" quotePrefix="0" xfId="0">
      <alignment horizontal="center" vertical="center"/>
    </xf>
    <xf numFmtId="0" fontId="8" fillId="2" borderId="22" applyAlignment="1" pivotButton="0" quotePrefix="0" xfId="0">
      <alignment horizontal="center"/>
    </xf>
    <xf numFmtId="0" fontId="0" fillId="0" borderId="37" pivotButton="0" quotePrefix="0" xfId="0"/>
    <xf numFmtId="0" fontId="0" fillId="0" borderId="38" pivotButton="0" quotePrefix="0" xfId="0"/>
    <xf numFmtId="9" fontId="8" fillId="6" borderId="61" applyAlignment="1" pivotButton="0" quotePrefix="0" xfId="0">
      <alignment horizontal="center" vertical="center"/>
    </xf>
    <xf numFmtId="0" fontId="0" fillId="0" borderId="27" pivotButton="0" quotePrefix="0" xfId="0"/>
    <xf numFmtId="0" fontId="8" fillId="6" borderId="62" applyAlignment="1" pivotButton="0" quotePrefix="0" xfId="0">
      <alignment horizontal="center" vertical="center"/>
    </xf>
    <xf numFmtId="9" fontId="8" fillId="6" borderId="62" applyAlignment="1" pivotButton="0" quotePrefix="0" xfId="0">
      <alignment horizontal="center" vertical="center"/>
    </xf>
    <xf numFmtId="0" fontId="8" fillId="6" borderId="64" applyAlignment="1" pivotButton="0" quotePrefix="0" xfId="0">
      <alignment horizontal="center"/>
    </xf>
    <xf numFmtId="0" fontId="0" fillId="0" borderId="28" pivotButton="0" quotePrefix="0" xfId="0"/>
    <xf numFmtId="0" fontId="9" fillId="5" borderId="16" applyAlignment="1" pivotButton="0" quotePrefix="0" xfId="0">
      <alignment horizontal="center"/>
    </xf>
    <xf numFmtId="9" fontId="8" fillId="2" borderId="63" applyAlignment="1" pivotButton="0" quotePrefix="0" xfId="0">
      <alignment horizontal="center" vertical="center"/>
    </xf>
    <xf numFmtId="0" fontId="8" fillId="2" borderId="41" applyAlignment="1" pivotButton="0" quotePrefix="0" xfId="0">
      <alignment horizontal="center"/>
    </xf>
    <xf numFmtId="0" fontId="0" fillId="0" borderId="34" pivotButton="0" quotePrefix="0" xfId="0"/>
    <xf numFmtId="0" fontId="0" fillId="0" borderId="36" pivotButton="0" quotePrefix="0" xfId="0"/>
    <xf numFmtId="0" fontId="8" fillId="2" borderId="60" applyAlignment="1" pivotButton="0" quotePrefix="0" xfId="0">
      <alignment horizontal="center"/>
    </xf>
    <xf numFmtId="0" fontId="4" fillId="2" borderId="65" applyAlignment="1" pivotButton="0" quotePrefix="0" xfId="0">
      <alignment horizontal="right"/>
    </xf>
    <xf numFmtId="0" fontId="0" fillId="0" borderId="66" pivotButton="0" quotePrefix="0" xfId="0"/>
    <xf numFmtId="0" fontId="13" fillId="2" borderId="14" applyAlignment="1" pivotButton="0" quotePrefix="0" xfId="0">
      <alignment horizontal="center" vertical="center" wrapText="1"/>
    </xf>
  </cellXfs>
  <cellStyles count="1">
    <cellStyle name="Normal" xfId="0" builtinId="0"/>
  </cellStyles>
  <dxfs count="15">
    <dxf>
      <font/>
      <fill>
        <patternFill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/>
      </fill>
      <border>
        <left style="thin">
          <color rgb="FF000000"/>
        </left>
      </border>
    </dxf>
    <dxf>
      <font/>
      <fill>
        <patternFill patternType="solid">
          <fgColor rgb="FFE2EFD9"/>
          <bgColor rgb="FFE2EFD9"/>
        </patternFill>
      </fill>
      <border/>
    </dxf>
    <dxf>
      <font>
        <color rgb="FF9C0006"/>
      </font>
      <fill>
        <patternFill/>
      </fill>
      <border/>
    </dxf>
    <dxf>
      <font>
        <b val="1"/>
        <color rgb="FF00B050"/>
      </font>
      <fill>
        <patternFill/>
      </fill>
      <border/>
    </dxf>
    <dxf>
      <font/>
      <fill>
        <patternFill/>
      </fill>
      <border/>
    </dxf>
    <dxf>
      <font/>
      <fill>
        <patternFill/>
      </fill>
      <border>
        <right style="thin">
          <color rgb="FF000000"/>
        </right>
      </border>
    </dxf>
    <dxf>
      <font/>
      <fill>
        <patternFill patternType="solid">
          <fgColor rgb="FFFF0000"/>
          <bgColor rgb="FFFF0000"/>
        </patternFill>
      </fill>
      <border/>
    </dxf>
    <dxf>
      <font>
        <color rgb="FF00B050"/>
      </font>
      <fill>
        <patternFill/>
      </fill>
      <border/>
    </dxf>
    <dxf>
      <font>
        <color rgb="FFC00000"/>
      </font>
      <fill>
        <patternFill/>
      </fill>
      <border/>
    </dxf>
    <dxf>
      <font/>
      <fill>
        <patternFill patternType="solid">
          <fgColor rgb="FFF7CAAC"/>
          <bgColor rgb="FFF7CAAC"/>
        </patternFill>
      </fill>
      <border/>
    </dxf>
  </dxfs>
  <tableStyles count="1" defaultTableStyle="TableStyleMedium9" defaultPivotStyle="PivotStyleLight16">
    <tableStyle name="Account-style" pivot="0" count="3">
      <tableStyleElement type="headerRow" dxfId="1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sz="1800" b="1" i="0">
                <a:solidFill>
                  <a:schemeClr val="lt1"/>
                </a:solidFill>
                <a:latin typeface="+mn-lt"/>
              </a:defRPr>
            </a:pPr>
            <a:r>
              <a:rPr sz="1800" b="1" i="0">
                <a:solidFill>
                  <a:schemeClr val="lt1"/>
                </a:solidFill>
                <a:latin typeface="+mn-lt"/>
              </a:rPr>
              <a:t>Trade Allocation Percentage</a:t>
            </a:r>
          </a:p>
        </rich>
      </tx>
      <overlay val="0"/>
    </title>
    <plotArea>
      <layout/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chemeClr val="accent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chemeClr val="accent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chemeClr val="accent3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chemeClr val="accent4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chemeClr val="accent5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chemeClr val="accent6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chemeClr val="accent1"/>
              </a:solidFill>
              <a:ln xmlns:a="http://schemas.openxmlformats.org/drawingml/2006/main">
                <a:prstDash val="solid"/>
              </a:ln>
            </spPr>
          </dPt>
          <dPt>
            <idx val="7"/>
            <spPr>
              <a:solidFill xmlns:a="http://schemas.openxmlformats.org/drawingml/2006/main">
                <a:schemeClr val="accent2"/>
              </a:solidFill>
              <a:ln xmlns:a="http://schemas.openxmlformats.org/drawingml/2006/main">
                <a:prstDash val="solid"/>
              </a:ln>
            </spPr>
          </dPt>
          <dPt>
            <idx val="8"/>
            <spPr>
              <a:solidFill xmlns:a="http://schemas.openxmlformats.org/drawingml/2006/main">
                <a:schemeClr val="accent3"/>
              </a:solidFill>
              <a:ln xmlns:a="http://schemas.openxmlformats.org/drawingml/2006/main">
                <a:prstDash val="solid"/>
              </a:ln>
            </spPr>
          </dPt>
          <dPt>
            <idx val="9"/>
            <spPr>
              <a:solidFill xmlns:a="http://schemas.openxmlformats.org/drawingml/2006/main">
                <a:schemeClr val="accent4"/>
              </a:solidFill>
              <a:ln xmlns:a="http://schemas.openxmlformats.org/drawingml/2006/main">
                <a:prstDash val="solid"/>
              </a:ln>
            </spPr>
          </dPt>
          <dPt>
            <idx val="10"/>
            <spPr>
              <a:solidFill xmlns:a="http://schemas.openxmlformats.org/drawingml/2006/main">
                <a:schemeClr val="accent5"/>
              </a:solidFill>
              <a:ln xmlns:a="http://schemas.openxmlformats.org/drawingml/2006/main">
                <a:prstDash val="solid"/>
              </a:ln>
            </spPr>
          </dPt>
          <dLbls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Stats!$A$19:$A$29</f>
            </strRef>
          </cat>
          <val>
            <numRef>
              <f>Stats!$B$19:$B$29</f>
              <numCache/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firstSliceAng val="0"/>
      </pieChart>
    </plotArea>
    <plotVisOnly val="1"/>
    <dispBlanksAs val="gap"/>
  </chart>
  <spPr>
    <a:solidFill xmlns:a="http://schemas.openxmlformats.org/drawingml/2006/main">
      <a:schemeClr val="dk1"/>
    </a:solidFill>
    <a:ln xmlns:a="http://schemas.openxmlformats.org/drawingml/2006/main"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Annual Profits</a:t>
            </a:r>
          </a:p>
        </rich>
      </tx>
      <overlay val="0"/>
    </title>
    <plotArea>
      <layout/>
      <barChart>
        <barDir val="col"/>
        <grouping val="clustered"/>
        <ser>
          <idx val="0"/>
          <order val="0"/>
          <spPr>
            <a:solidFill xmlns:a="http://schemas.openxmlformats.org/drawingml/2006/main">
              <a:schemeClr val="accent1"/>
            </a:solidFill>
            <a:ln xmlns:a="http://schemas.openxmlformats.org/drawingml/2006/main" cmpd="sng">
              <a:solidFill>
                <a:srgbClr val="000000"/>
              </a:solidFill>
              <a:prstDash val="solid"/>
            </a:ln>
          </spPr>
          <cat>
            <strRef>
              <f>Stats!$B$3:$J$3</f>
            </strRef>
          </cat>
          <val>
            <numRef>
              <f>Stats!$B$16:$J$16</f>
              <numCache/>
            </numRef>
          </val>
        </ser>
        <gapWidth val="150"/>
        <axId val="368462074"/>
        <axId val="507863"/>
      </barChart>
      <catAx>
        <axId val="368462074"/>
        <scaling>
          <orientation val="minMax"/>
        </scaling>
        <delete val="0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None</a:t>
                </a:r>
              </a:p>
            </rich>
          </tx>
          <overlay val="0"/>
        </title>
        <numFmt formatCode="General" sourceLinked="1"/>
        <majorTickMark val="none"/>
        <minorTickMark val="none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r>
              <a:t/>
            </a:r>
          </a:p>
        </txPr>
        <crossAx val="507863"/>
        <lblOffset val="100"/>
      </catAx>
      <valAx>
        <axId val="507863"/>
        <scaling>
          <orientation val="minMax"/>
        </scaling>
        <delete val="0"/>
        <axPos val="l"/>
        <majorGridlines>
          <spPr>
            <a:ln xmlns:a="http://schemas.openxmlformats.org/drawingml/2006/main">
              <a:solidFill>
                <a:srgbClr val="B7B7B7"/>
              </a:solidFill>
              <a:prstDash val="solid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None</a:t>
                </a:r>
              </a:p>
            </rich>
          </tx>
          <overlay val="0"/>
        </title>
        <numFmt formatCode="General" sourceLinked="1"/>
        <majorTickMark val="none"/>
        <minorTickMark val="none"/>
        <tickLblPos val="nextTo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r>
              <a:t/>
            </a:r>
          </a:p>
        </txPr>
        <crossAx val="368462074"/>
      </valAx>
    </plotArea>
    <plotVisOnly val="1"/>
    <dispBlanksAs val="gap"/>
  </chart>
  <spPr>
    <a:solidFill xmlns:a="http://schemas.openxmlformats.org/drawingml/2006/main">
      <a:schemeClr val="dk1"/>
    </a:solidFill>
    <a:ln xmlns:a="http://schemas.openxmlformats.org/drawingml/2006/main"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21</col>
      <colOff>571500</colOff>
      <row>3</row>
      <rowOff>161925</rowOff>
    </from>
    <ext cx="2609850" cy="419100"/>
    <pic>
      <nvPicPr>
        <cNvPr id="0" name="image1.png"/>
        <cNvPicPr preferRelativeResize="0"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</wsDr>
</file>

<file path=xl/drawings/drawing2.xml><?xml version="1.0" encoding="utf-8"?>
<wsDr xmlns="http://schemas.openxmlformats.org/drawingml/2006/spreadsheetDrawing">
  <oneCellAnchor>
    <from>
      <col>2</col>
      <colOff>304800</colOff>
      <row>17</row>
      <rowOff>0</rowOff>
    </from>
    <ext cx="5648325" cy="238125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fLocksWithSheet="0"/>
  </oneCellAnchor>
  <oneCellAnchor>
    <from>
      <col>10</col>
      <colOff>419100</colOff>
      <row>0</row>
      <rowOff>180975</rowOff>
    </from>
    <ext cx="5133975" cy="3429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fLocksWithSheet="0"/>
  </oneCellAnchor>
</wsDr>
</file>

<file path=xl/tables/table1.xml><?xml version="1.0" encoding="utf-8"?>
<table xmlns="http://schemas.openxmlformats.org/spreadsheetml/2006/main" id="1" name="Table_1" displayName="Table_1" ref="A9:Z5016" headerRowCount="1">
  <tableColumns count="26">
    <tableColumn id="1" name="Stock Symbol"/>
    <tableColumn id="2" name="Stock Price (Open)"/>
    <tableColumn id="3" name="Order Type"/>
    <tableColumn id="4" name="Trade Strategy"/>
    <tableColumn id="5" name="Strike(s)"/>
    <tableColumn id="6" name="Expiration"/>
    <tableColumn id="7" name="Contracts / Shares"/>
    <tableColumn id="8" name="Legs"/>
    <tableColumn id="9" name="Transaction Fee"/>
    <tableColumn id="10" name="Spread Width"/>
    <tableColumn id="11" name="Open Date"/>
    <tableColumn id="12" name="Open Price Per Contract / Share"/>
    <tableColumn id="13" name="Total Open Price"/>
    <tableColumn id="14" name="Reserve Requirement"/>
    <tableColumn id="15" name="Stock Price (Close)"/>
    <tableColumn id="16" name="Close Price Per Contract / Share"/>
    <tableColumn id="17" name="Total Close Price"/>
    <tableColumn id="18" name="Close Date"/>
    <tableColumn id="19" name="Days Held"/>
    <tableColumn id="20" name="Dividend"/>
    <tableColumn id="21" name="Profit / Loss"/>
    <tableColumn id="22" name="ROC %"/>
    <tableColumn id="23" name="Annualized ROC %"/>
    <tableColumn id="24" name="Reason For Opening"/>
    <tableColumn id="25" name="Earnings"/>
    <tableColumn id="26" name="Notes"/>
  </tableColumns>
  <tableStyleInfo name="Account-style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5016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8" defaultColWidth="14.43" defaultRowHeight="15" customHeight="1"/>
  <cols>
    <col width="9.289999999999999" customWidth="1" style="133" min="1" max="1"/>
    <col width="8.710000000000001" customWidth="1" style="133" min="2" max="2"/>
    <col width="7.57" customWidth="1" style="133" min="3" max="3"/>
    <col width="13.57" customWidth="1" style="133" min="4" max="4"/>
    <col width="12.71" customWidth="1" style="133" min="5" max="5"/>
    <col width="12.57" customWidth="1" style="133" min="6" max="6"/>
    <col width="10" customWidth="1" style="133" min="7" max="7"/>
    <col width="5.43" customWidth="1" style="133" min="8" max="8"/>
    <col width="12.86" customWidth="1" style="133" min="9" max="9"/>
    <col width="8" customWidth="1" style="133" min="10" max="10"/>
    <col width="12.29" customWidth="1" style="133" min="11" max="11"/>
    <col width="11.14" customWidth="1" style="133" min="12" max="12"/>
    <col width="15.29" customWidth="1" style="133" min="13" max="13"/>
    <col width="12.71" customWidth="1" style="133" min="14" max="14"/>
    <col width="10" customWidth="1" style="133" min="15" max="15"/>
    <col width="11.71" customWidth="1" style="133" min="16" max="16"/>
    <col width="8.140000000000001" customWidth="1" style="133" min="17" max="17"/>
    <col width="12" customWidth="1" style="133" min="18" max="18"/>
    <col width="7.57" customWidth="1" style="133" min="19" max="19"/>
    <col hidden="1" width="7.14" customWidth="1" style="133" min="20" max="20"/>
    <col width="7.86" customWidth="1" style="133" min="21" max="21"/>
    <col width="9.57" customWidth="1" style="133" min="22" max="22"/>
    <col width="10.14" customWidth="1" style="133" min="23" max="23"/>
    <col width="24.71" customWidth="1" style="133" min="24" max="24"/>
    <col width="14" customWidth="1" style="133" min="25" max="25"/>
    <col width="24.57" customWidth="1" style="133" min="26" max="26"/>
    <col width="25" customWidth="1" style="133" min="27" max="27"/>
    <col width="22" customWidth="1" style="133" min="28" max="28"/>
    <col width="47.43" customWidth="1" style="133" min="29" max="29"/>
    <col width="24.86" customWidth="1" style="133" min="30" max="30"/>
    <col width="41.43" customWidth="1" style="133" min="31" max="31"/>
    <col width="19.29" customWidth="1" style="133" min="32" max="32"/>
  </cols>
  <sheetData>
    <row r="1" hidden="1" ht="15" customHeight="1" s="133">
      <c r="A1" s="1" t="n"/>
      <c r="B1" s="134" t="n"/>
      <c r="C1" s="134" t="n"/>
      <c r="D1" s="134" t="n"/>
      <c r="E1" s="134" t="n"/>
      <c r="F1" s="3" t="n"/>
      <c r="G1" s="134" t="n"/>
      <c r="H1" s="134" t="n"/>
      <c r="I1" s="134" t="n"/>
      <c r="J1" s="134" t="n"/>
      <c r="K1" s="134" t="n"/>
      <c r="L1" s="134" t="n"/>
      <c r="M1" s="134" t="n"/>
      <c r="N1" s="134" t="n"/>
      <c r="O1" s="134" t="n"/>
      <c r="P1" s="134" t="n"/>
      <c r="Q1" s="75" t="n"/>
      <c r="R1" s="75" t="n"/>
      <c r="S1" s="78" t="n"/>
      <c r="T1" s="78" t="n"/>
      <c r="U1" s="75" t="n"/>
      <c r="V1" s="75" t="n"/>
      <c r="W1" s="75" t="n"/>
      <c r="X1" s="75" t="n"/>
      <c r="Y1" s="75" t="n"/>
      <c r="Z1" s="75" t="n"/>
      <c r="AA1" s="75" t="n"/>
      <c r="AB1" s="75" t="n"/>
      <c r="AC1" s="6" t="n"/>
      <c r="AD1" s="75" t="n"/>
      <c r="AE1" s="75" t="n"/>
      <c r="AF1" s="75" t="n"/>
    </row>
    <row r="2" ht="15.75" customHeight="1" s="133">
      <c r="A2" s="7" t="n"/>
      <c r="B2" s="11" t="n"/>
      <c r="C2" s="135" t="n"/>
      <c r="D2" s="135" t="n"/>
      <c r="E2" s="11" t="n"/>
      <c r="F2" s="136" t="inlineStr">
        <is>
          <t>Win Percentage</t>
        </is>
      </c>
      <c r="G2" s="135" t="n"/>
      <c r="H2" s="136" t="inlineStr">
        <is>
          <t>Profit / Loss</t>
        </is>
      </c>
      <c r="I2" s="135" t="n"/>
      <c r="J2" s="136" t="inlineStr">
        <is>
          <t>Average ROC</t>
        </is>
      </c>
      <c r="K2" s="135" t="n"/>
      <c r="L2" s="136" t="inlineStr">
        <is>
          <t>Weighted Average ROC</t>
        </is>
      </c>
      <c r="M2" s="135" t="n"/>
      <c r="N2" s="136" t="inlineStr">
        <is>
          <t>Average Annulized ROC</t>
        </is>
      </c>
      <c r="O2" s="135" t="n"/>
      <c r="P2" s="136" t="inlineStr">
        <is>
          <t>Weighted  Ave Annulized ROC</t>
        </is>
      </c>
      <c r="Q2" s="135" t="n"/>
      <c r="R2" s="135" t="n"/>
      <c r="S2" s="137" t="inlineStr">
        <is>
          <t>Closed Trades</t>
        </is>
      </c>
      <c r="V2" s="138" t="inlineStr">
        <is>
          <t>Click Here To Learn How We Win Close to 90% of Our Trades</t>
        </is>
      </c>
      <c r="W2" s="139" t="n"/>
      <c r="X2" s="139" t="n"/>
      <c r="Y2" s="140" t="n"/>
      <c r="Z2" s="19" t="inlineStr">
        <is>
          <t>Quick Stats</t>
        </is>
      </c>
      <c r="AA2" s="75" t="n"/>
      <c r="AB2" s="75" t="n"/>
      <c r="AC2" s="20" t="n"/>
      <c r="AD2" s="75" t="n"/>
      <c r="AE2" s="75" t="n"/>
      <c r="AF2" s="75" t="n"/>
    </row>
    <row r="3" ht="16.5" customHeight="1" s="133">
      <c r="A3" s="21" t="n"/>
      <c r="B3" s="141" t="inlineStr">
        <is>
          <t>Overall Trade Statistics:</t>
        </is>
      </c>
      <c r="D3" s="142" t="n"/>
      <c r="E3" s="24" t="inlineStr">
        <is>
          <t>All Trades</t>
        </is>
      </c>
      <c r="F3" s="143">
        <f>IF(COUNTA(Account!$P$10:$P$5016)=0,"NA",COUNTIF(Account!$U$10:$U$5016,"&gt;0")/COUNT(Account!$U$10:$U$5016))</f>
        <v/>
      </c>
      <c r="H3" s="144">
        <f>IF(COUNTA(Account!$P$10:$P$5016)=0,"NA",SUM(Account!$U$10:$U$5016))</f>
        <v/>
      </c>
      <c r="J3" s="143">
        <f>IF(COUNTA(Account!$P$10:$P$5016)=0,"NA",AVERAGE(Account!$V$10:$V$5016))</f>
        <v/>
      </c>
      <c r="L3" s="143">
        <f>IF(COUNTA(Account!$P$10:$P$5016)=0,"NA",SUMPRODUCT(--(Account!$P$10:$P$5016&gt;0),Account!$V$10:$V$5016, Account!$N$10:$N$5016)/SUMIF(Account!$P$10:$P$5016,"&gt;0",Account!$N$10:$N$5016))</f>
        <v/>
      </c>
      <c r="N3" s="143">
        <f>IF(COUNTA(Account!$P$10:$P$5016)=0,"NA",AVERAGE(Account!$W$10:$W$5016))</f>
        <v/>
      </c>
      <c r="P3" s="143">
        <f>IF(COUNTA(Account!$P$10:$P$5016)=0,"NA",SUMPRODUCT(--(Account!$P$10:$P$5016&gt;0),Account!$W$10:$W$5016, Account!$N$10:$N$5016)/SUMIF(Account!$P$10:$P$5016,"&gt;0",Account!$N$10:$N$5016))</f>
        <v/>
      </c>
      <c r="S3" s="145">
        <f>COUNTIF(Account!$P$10:$P$5016,"&gt;0")</f>
        <v/>
      </c>
      <c r="T3" s="146" t="n"/>
      <c r="U3" s="147" t="n"/>
      <c r="V3" s="30" t="n"/>
      <c r="W3" s="31" t="n"/>
      <c r="X3" s="31" t="n"/>
      <c r="Y3" s="32" t="n"/>
      <c r="Z3" s="33" t="inlineStr">
        <is>
          <t>Account Balance</t>
        </is>
      </c>
      <c r="AA3" s="75" t="n"/>
      <c r="AB3" s="75" t="n"/>
      <c r="AC3" s="34" t="n"/>
      <c r="AD3" s="75" t="n"/>
      <c r="AE3" s="75" t="n"/>
      <c r="AF3" s="75" t="n"/>
    </row>
    <row r="4" ht="15.75" customHeight="1" s="133">
      <c r="A4" s="21" t="n"/>
      <c r="B4" s="141" t="inlineStr">
        <is>
          <t>Stock Symbol:</t>
        </is>
      </c>
      <c r="D4" s="142" t="n"/>
      <c r="E4" s="35" t="n"/>
      <c r="F4" s="148">
        <f>IF(SUMPRODUCT(ISNUMBER(MATCH($E$4,Account!$A$10:$A$5016,0))*(Account!$U$10:$U$5016&lt;&gt;""))=0,"NA",COUNTIFS(Account!$A$10:$A$5016,$E$4,Account!$U$10:$U$5016,"&gt;0")/COUNTIFS(Account!$A$10:$A$5016,$E$4,Account!$U$10:$U$5016,"&lt;&gt;=0"))</f>
        <v/>
      </c>
      <c r="G4" s="149" t="n"/>
      <c r="H4" s="150">
        <f>IF(SUMPRODUCT(ISNUMBER(MATCH($E$4,Account!$A$10:$A$5016,0))*(Account!$U$10:$U$5016&lt;&gt;""))=0,"NA",SUMIFS(Account!$U$10:$U$5016,Account!$A$10:$A$5016,$E$4))</f>
        <v/>
      </c>
      <c r="I4" s="149" t="n"/>
      <c r="J4" s="151">
        <f>IF(SUMPRODUCT(ISNUMBER(MATCH($E$4,Account!$A$10:$A$5016,0))*(Account!$U$10:$U$5016&lt;&gt;""))=0,"NA",AVERAGEIFS(Account!$V$10:$V$5016,Account!$A$10:$A$5016,$E$4))</f>
        <v/>
      </c>
      <c r="K4" s="149" t="n"/>
      <c r="L4" s="151" t="n"/>
      <c r="M4" s="149" t="n"/>
      <c r="N4" s="151">
        <f>IF(SUMPRODUCT(ISNUMBER(MATCH($E$4,Account!$A$10:$A$5016,0))*(Account!$U$10:$U$5016&lt;&gt;""))=0,"NA",AVERAGEIFS(Account!$W$10:$W$5016,Account!$A$10:$A$5016,$E$4))</f>
        <v/>
      </c>
      <c r="O4" s="149" t="n"/>
      <c r="P4" s="151">
        <f>IF(SUMPRODUCT(ISNUMBER(MATCH($E$4,Account!$A$10:$A$5016,0))*(Account!$U$10:$U$5016&lt;&gt;""))=0,"NA",SUMPRODUCT(--EXACT($E$4,Account!$A$10:$A$5016),--(Account!$P$10:$P$5016&lt;&gt;""),Account!$W$10:$W$5016,Account!$N$10:$N$5016)/SUMIFS(Account!$N$10:$N$5016,Account!$A$10:$A$5016,$E$4,Account!$P$10:$P$5016,"&gt;0"))</f>
        <v/>
      </c>
      <c r="Q4" s="149" t="n"/>
      <c r="R4" s="149" t="n"/>
      <c r="S4" s="152">
        <f>COUNTIFS(Account!$A$10:$A$5016,$E$4,Account!$P$10:$P$5016,"&gt;0")</f>
        <v/>
      </c>
      <c r="T4" s="149" t="n"/>
      <c r="U4" s="153" t="n"/>
      <c r="V4" s="154" t="n"/>
      <c r="W4" s="139" t="n"/>
      <c r="X4" s="139" t="n"/>
      <c r="Y4" s="140" t="n"/>
      <c r="Z4" s="46">
        <f>SUM(Account!$U$10:$U$5016)+Key!A9</f>
        <v/>
      </c>
      <c r="AA4" s="75" t="n"/>
      <c r="AB4" s="75" t="n"/>
      <c r="AC4" s="6" t="n"/>
      <c r="AD4" s="75" t="n"/>
      <c r="AE4" s="75" t="n"/>
      <c r="AF4" s="75" t="n"/>
    </row>
    <row r="5" ht="18.75" customHeight="1" s="133">
      <c r="A5" s="21" t="n"/>
      <c r="B5" s="141" t="inlineStr">
        <is>
          <t>Reason For Opening:</t>
        </is>
      </c>
      <c r="D5" s="142" t="n"/>
      <c r="E5" s="35" t="n"/>
      <c r="F5" s="155">
        <f>IF(ISBLANK(E5),"NA",IF(SUMPRODUCT(ISNUMBER(SEARCH($E$5,Account!$X$10:$X$5016))*(Account!$U$10:$U$5016&lt;&gt;""))=0,"NA",COUNTIFS(Account!$X$10:$X$5016,"*"&amp;$E$5&amp;"*",Account!$U$10:$U$5016,"&gt;0")/(SUMPRODUCT(ISNUMBER(SEARCH($E$5,Account!$X$10:$X$5016))*(Account!$U$10:$U$5016&lt;&gt;"")))))</f>
        <v/>
      </c>
      <c r="H5" s="144">
        <f>IF(ISBLANK(E5),"NA",IF(SUMPRODUCT(ISNUMBER(SEARCH($E$5,Account!$X$10:$X$5016))*(Account!$U$10:$U$5016&lt;&gt;""))=0,"NA",SUMIFS(Account!$U$10:$U$5016,Account!$X$10:$X$5016,"*"&amp;$E$5&amp;"*")))</f>
        <v/>
      </c>
      <c r="J5" s="143">
        <f>IF(ISBLANK(E5),"NA",IF(SUMPRODUCT(ISNUMBER(SEARCH($E$5,Account!$X$10:$X$5016))*(Account!$U$10:$U$5016&lt;&gt;""))=0,"NA",AVERAGEIFS(Account!$V$10:$V$5016,Account!$X$10:$X$5016,"*"&amp;$E$5&amp;"*")))</f>
        <v/>
      </c>
      <c r="L5" s="143">
        <f>IF(ISBLANK(E5),"NA",IF(SUMPRODUCT(ISNUMBER(SEARCH($E$5,Account!$X$10:$X$5016))*(Account!$U$10:$U$5016&lt;&gt;""))=0,"NA",SUMPRODUCT(--ISNUMBER(SEARCH($E$5,Account!$X$10:$X$5016)),--(Account!$P$10:$P$5016&lt;&gt;""),Account!$V$10:$V$5016,Account!$N$10:$N$5016)/SUMIFS(Account!$N$10:$N$5016,Account!$X$10:$X$5016,"*"&amp;$E$5&amp;"*",Account!$P$10:$P$5016,"&gt;0")))</f>
        <v/>
      </c>
      <c r="N5" s="143">
        <f>IF(ISBLANK(E5),"NA",IF(SUMPRODUCT(ISNUMBER(SEARCH($E$5,Account!$X$10:$X$5016))*(Account!$U$10:$U$5016&lt;&gt;""))=0,"NA",AVERAGEIFS(Account!$W$10:$W$5016,Account!$X$10:$X$5016,"*"&amp;$E$5&amp;"*")))</f>
        <v/>
      </c>
      <c r="P5" s="143">
        <f>IF(ISBLANK(E5),"NA",IF(SUMPRODUCT(ISNUMBER(SEARCH($E$5,Account!$X$10:$X$5016))*(Account!$U$10:$U$5016&lt;&gt;""))=0,"NA",SUMPRODUCT(--ISNUMBER(SEARCH($E$5,Account!$X$10:$X$5016)),--(Account!$P$10:$P$5016&lt;&gt;""),Account!$W$10:$W$5016,Account!$N$10:$N$5016)/SUMIFS(Account!$N$10:$N$5016,Account!$X$10:$X$5016,"*"&amp;$E$5&amp;"*",Account!$P$10:$P$5016,"&gt;0")))</f>
        <v/>
      </c>
      <c r="S5" s="156">
        <f>IF(ISBLANK(E5),"0",COUNTIFS(Account!$X$10:$X$5016,"*"&amp;$E$5&amp;"*",Account!$P$10:$P$5016,"&gt;0"))</f>
        <v/>
      </c>
      <c r="T5" s="139" t="n"/>
      <c r="U5" s="140" t="n"/>
      <c r="V5" s="157" t="n"/>
      <c r="Y5" s="142" t="n"/>
      <c r="Z5" s="51" t="n"/>
      <c r="AA5" s="75" t="n"/>
      <c r="AB5" s="75" t="n"/>
      <c r="AC5" s="52" t="n"/>
      <c r="AD5" s="75" t="n"/>
      <c r="AE5" s="75" t="n"/>
      <c r="AF5" s="75" t="n"/>
    </row>
    <row r="6" ht="18" customHeight="1" s="133">
      <c r="A6" s="21" t="n"/>
      <c r="B6" s="141" t="inlineStr">
        <is>
          <t>Reason For Opening:</t>
        </is>
      </c>
      <c r="D6" s="142" t="n"/>
      <c r="E6" s="53" t="n"/>
      <c r="F6" s="148">
        <f>IF(ISBLANK(E6),"NA",IF(SUMPRODUCT(ISNUMBER(SEARCH($E$6,Account!$X$10:$X$5016))*(Account!$U$10:$U$5016&lt;&gt;""))=0,"NA",COUNTIFS(Account!$X$10:$X$5016,"*"&amp;$E$6&amp;"*",Account!$U$10:$U$5016,"&gt;0")/(SUMPRODUCT(ISNUMBER(SEARCH($E$6,Account!$X$10:$X$5016))*(Account!$U$10:$U$5016&lt;&gt;"")))))</f>
        <v/>
      </c>
      <c r="G6" s="149" t="n"/>
      <c r="H6" s="150">
        <f>IF(ISBLANK(E6),"NA",IF(SUMPRODUCT(ISNUMBER(SEARCH($E$6,Account!$X$10:$X$5016))*(Account!$U$10:$U$5016&lt;&gt;""))=0,"NA",SUMIFS(Account!$U$10:$U$5016,Account!$X$10:$X$5016,"*"&amp;$E$6&amp;"*")))</f>
        <v/>
      </c>
      <c r="I6" s="149" t="n"/>
      <c r="J6" s="151">
        <f>IF(ISBLANK(E6),"NA",IF(SUMPRODUCT(ISNUMBER(SEARCH($E$6,Account!$X$10:$X$5016))*(Account!$U$10:$U$5016&lt;&gt;""))=0,"NA",AVERAGEIFS(Account!$V$10:$V$5016,Account!$X$10:$X$5016,"*"&amp;$E$6&amp;"*")))</f>
        <v/>
      </c>
      <c r="K6" s="149" t="n"/>
      <c r="L6" s="151">
        <f>IF(ISBLANK(E6),"NA",IF(SUMPRODUCT(ISNUMBER(SEARCH($E$6,Account!$X$10:$X$5016))*(Account!$U$10:$U$5016&lt;&gt;""))=0,"NA",SUMPRODUCT(--ISNUMBER(SEARCH($E$6,Account!$X$10:$X$5016)),--(Account!$P$10:$P$5016&lt;&gt;""),Account!$V$10:$V$5016,Account!$N$10:$N$5016)/SUMIFS(Account!$N$10:$N$5016,Account!$X$10:$X$5016,"*"&amp;$E$6&amp;"*",Account!$P$10:$P$5016,"&gt;0")))</f>
        <v/>
      </c>
      <c r="M6" s="149" t="n"/>
      <c r="N6" s="151">
        <f>IF(ISBLANK(E6),"NA",IF(SUMPRODUCT(ISNUMBER(SEARCH($E$6,Account!$X$10:$X$5016))*(Account!$U$10:$U$5016&lt;&gt;""))=0,"NA",AVERAGEIFS(Account!$W$10:$W$5016,Account!$X$10:$X$5016,"*"&amp;$E$6&amp;"*")))</f>
        <v/>
      </c>
      <c r="O6" s="149" t="n"/>
      <c r="P6" s="151">
        <f>IF(ISBLANK(E6),"NA",IF(SUMPRODUCT(ISNUMBER(SEARCH($E$6,Account!$X$10:$X$5016))*(Account!$U$10:$U$5016&lt;&gt;""))=0,"NA",SUMPRODUCT(--ISNUMBER(SEARCH($E$6,Account!$X$10:$X$5016)),--(Account!$P$10:$P$5016&lt;&gt;""),Account!$W$10:$W$5016,Account!$N$10:$N$5016)/SUMIFS(Account!$N$10:$N$5016,Account!$X$10:$X$5016,"*"&amp;$E$6&amp;"*",Account!$P$10:$P$5016,"&gt;0")))</f>
        <v/>
      </c>
      <c r="Q6" s="149" t="n"/>
      <c r="R6" s="149" t="n"/>
      <c r="S6" s="152">
        <f>IF(ISBLANK(E6),"0",COUNTIFS(Account!$X$10:$X$5016,"*"&amp;$E$6&amp;"*",Account!$P$10:$P$5016,"&gt;0"))</f>
        <v/>
      </c>
      <c r="T6" s="149" t="n"/>
      <c r="U6" s="153" t="n"/>
      <c r="V6" s="158" t="n"/>
      <c r="W6" s="146" t="n"/>
      <c r="X6" s="146" t="n"/>
      <c r="Y6" s="147" t="n"/>
      <c r="Z6" s="33" t="inlineStr">
        <is>
          <t>Open Trades</t>
        </is>
      </c>
      <c r="AA6" s="75" t="n"/>
      <c r="AB6" s="75" t="n"/>
      <c r="AC6" s="34" t="n"/>
      <c r="AD6" s="75" t="n"/>
      <c r="AE6" s="75" t="n"/>
      <c r="AF6" s="75" t="n"/>
    </row>
    <row r="7" ht="17.25" customHeight="1" s="133">
      <c r="A7" s="21" t="n"/>
      <c r="B7" s="141" t="inlineStr">
        <is>
          <t>Trade Strategy:</t>
        </is>
      </c>
      <c r="D7" s="142" t="n"/>
      <c r="E7" s="35" t="n"/>
      <c r="F7" s="155">
        <f>IF(ISBLANK(E7),"NA",IF(SUMPRODUCT(ISNUMBER(SEARCH($E$7,Account!$D$10:$D$5016))*(Account!$U$10:$U$5016&lt;&gt;""))=0,"NA",COUNTIFS(Account!$D$10:$D$5016,"*"&amp;$E$7&amp;"*",Account!$U$10:$U$5016,"&gt;0")/(SUMPRODUCT(ISNUMBER(SEARCH($E$7,Account!$D$10:$D$5016))*(Account!$U$10:$U$5016&lt;&gt;"")))))</f>
        <v/>
      </c>
      <c r="H7" s="144">
        <f>IF(ISBLANK(E7),"NA",IF(SUMPRODUCT(ISNUMBER(SEARCH($E$7,Account!$D$10:$D$5016))*(Account!$U$10:$U$5016&lt;&gt;""))=0,"NA",SUMIFS(Account!$U$10:$U$5016,Account!$D$10:$D$5016,"*"&amp;$E$7&amp;"*")))</f>
        <v/>
      </c>
      <c r="J7" s="143">
        <f>IF(ISBLANK(E7),"NA",IF(SUMPRODUCT(ISNUMBER(SEARCH($E$7,Account!$D$10:$D$5016))*(Account!$U$10:$U$5016&lt;&gt;""))=0,"NA",AVERAGEIFS(Account!$V$10:$V$5016,Account!$D$10:$D$5016,"*"&amp;$E$7&amp;"*")))</f>
        <v/>
      </c>
      <c r="L7" s="143">
        <f>IF(ISBLANK(E7),"NA",IF(SUMPRODUCT(ISNUMBER(SEARCH($E$7,Account!$D$10:$D$5016))*(Account!$U$10:$U$5016&lt;&gt;""))=0,"NA",SUMPRODUCT(--ISNUMBER(SEARCH($E$7,Account!$D$10:$D$5016)),--(Account!$P$10:$P$5016&lt;&gt;""),Account!$V$10:$V$5016,Account!$N$10:$N$5016)/SUMIFS(Account!$N$10:$N$5016,Account!$D$10:$D$5016,"*"&amp;$E$7&amp;"*",Account!$P$10:$P$5016,"&gt;0")))</f>
        <v/>
      </c>
      <c r="N7" s="143">
        <f>IF(ISBLANK(E7),"NA",IF(SUMPRODUCT(ISNUMBER(SEARCH($E$7,Account!$D$10:$D$5016))*(Account!$U$10:$U$5016&lt;&gt;""))=0,"NA",AVERAGEIFS(Account!$W$10:$W$5016,Account!$D$10:$D$5016,"*"&amp;$E$7&amp;"*")))</f>
        <v/>
      </c>
      <c r="P7" s="143">
        <f>IF(ISBLANK(E7),"NA",IF(SUMPRODUCT(ISNUMBER(SEARCH($E$7,Account!$D$10:$D$5016))*(Account!$U$10:$U$5016&lt;&gt;""))=0,"NA",SUMPRODUCT(--ISNUMBER(SEARCH($E$7,Account!$D$10:$D$5016)),--(Account!$P$10:$P$5016&lt;&gt;""),Account!$W$10:$W$5016,Account!$N$10:$N$5016)/SUMIFS(Account!$N$10:$N$5016,Account!$D$10:$D$5016,"*"&amp;$E$7&amp;"*",Account!$P$10:$P$5016,"&gt;0")))</f>
        <v/>
      </c>
      <c r="S7" s="159">
        <f>COUNTIFS(Account!$D$10:$D$5016,$E$7,Account!$P$10:$P$5016,"&gt;0")</f>
        <v/>
      </c>
      <c r="U7" s="142" t="n"/>
      <c r="V7" s="58" t="n"/>
      <c r="W7" s="59" t="n"/>
      <c r="X7" s="59" t="n"/>
      <c r="Y7" s="60" t="n"/>
      <c r="Z7" s="61">
        <f>COUNTIFS(Account!$P$10:$P$5016,"",Account!$L$10:$L$5016,"&gt;0")</f>
        <v/>
      </c>
      <c r="AA7" s="75" t="n"/>
      <c r="AB7" s="75" t="n"/>
      <c r="AC7" s="6" t="n"/>
      <c r="AD7" s="75" t="n"/>
      <c r="AE7" s="75" t="n"/>
      <c r="AF7" s="75" t="n"/>
    </row>
    <row r="8" ht="17.25" customHeight="1" s="133">
      <c r="A8" s="62" t="n"/>
      <c r="B8" s="160" t="inlineStr">
        <is>
          <t>Trade Strategy:</t>
        </is>
      </c>
      <c r="C8" s="134" t="n"/>
      <c r="D8" s="161" t="n"/>
      <c r="E8" s="66" t="n"/>
      <c r="F8" s="148">
        <f>IF(ISBLANK(E8),"NA",IF(SUMPRODUCT(ISNUMBER(SEARCH($E$8,Account!$D$10:$D$5016))*(Account!$U$10:$U$5016&lt;&gt;""))=0,"NA",COUNTIFS(Account!$D$10:$D$5016,"*"&amp;$E$8&amp;"*",Account!$U$10:$U$5016,"&gt;0")/(SUMPRODUCT(ISNUMBER(SEARCH($E$8,Account!$D$10:$D$5016))*(Account!$U$10:$U$5016&lt;&gt;"")))))</f>
        <v/>
      </c>
      <c r="G8" s="149" t="n"/>
      <c r="H8" s="150">
        <f>IF(ISBLANK(E8),"NA",IF(SUMPRODUCT(ISNUMBER(SEARCH($E$8,Account!$D$10:$D$5016))*(Account!$U$10:$U$5016&lt;&gt;""))=0,"NA",SUMIFS(Account!$U$10:$U$5016,Account!$D$10:$D$5016,"*"&amp;$E$8&amp;"*")))</f>
        <v/>
      </c>
      <c r="I8" s="149" t="n"/>
      <c r="J8" s="151">
        <f>IF(ISBLANK(E8),"NA",IF(SUMPRODUCT(ISNUMBER(SEARCH($E$8,Account!$D$10:$D$5016))*(Account!$U$10:$U$5016&lt;&gt;""))=0,"NA",AVERAGEIFS(Account!$V$10:$V$5016,Account!$D$10:$D$5016,"*"&amp;$E$8&amp;"*")))</f>
        <v/>
      </c>
      <c r="K8" s="149" t="n"/>
      <c r="L8" s="151">
        <f>IF(ISBLANK(E8),"NA",IF(SUMPRODUCT(ISNUMBER(SEARCH($E$8,Account!$D$10:$D$5016))*(Account!$U$10:$U$5016&lt;&gt;""))=0,"NA",SUMPRODUCT(--ISNUMBER(SEARCH($E$8,Account!$D$10:$D$5016)),--(Account!$P$10:$P$5016&lt;&gt;""),Account!$V$10:$V$5016,Account!$N$10:$N$5016)/SUMIFS(Account!$N$10:$N$5016,Account!$D$10:$D$5016,"*"&amp;$E$8&amp;"*",Account!$P$10:$P$5016,"&gt;0")))</f>
        <v/>
      </c>
      <c r="M8" s="149" t="n"/>
      <c r="N8" s="151">
        <f>IF(ISBLANK(E8),"NA",IF(SUMPRODUCT(ISNUMBER(SEARCH($E$8,Account!$D$10:$D$5016))*(Account!$U$10:$U$5016&lt;&gt;""))=0,"NA",AVERAGEIFS(Account!$W$10:$W$5016,Account!$D$10:$D$5016,"*"&amp;$E$8&amp;"*")))</f>
        <v/>
      </c>
      <c r="O8" s="149" t="n"/>
      <c r="P8" s="151">
        <f>IF(ISBLANK(E8),"NA",IF(SUMPRODUCT(ISNUMBER(SEARCH($E$8,Account!$D$10:$D$5016))*(Account!$U$10:$U$5016&lt;&gt;""))=0,"NA",SUMPRODUCT(--ISNUMBER(SEARCH($E$8,Account!$D$10:$D$5016)),--(Account!$P$10:$P$5016&lt;&gt;""),Account!$W$10:$W$5016,Account!$N$10:$N$5016)/SUMIFS(Account!$N$10:$N$5016,Account!$D$10:$D$5016,"*"&amp;$E$8&amp;"*",Account!$P$10:$P$5016,"&gt;0")))</f>
        <v/>
      </c>
      <c r="Q8" s="149" t="n"/>
      <c r="R8" s="149" t="n"/>
      <c r="S8" s="152">
        <f>COUNTIFS(Account!$D$10:$D$5016,$E$8,Account!$P$10:$P$5016,"&gt;0")</f>
        <v/>
      </c>
      <c r="T8" s="149" t="n"/>
      <c r="U8" s="153" t="n"/>
      <c r="V8" s="30" t="n"/>
      <c r="W8" s="31" t="n"/>
      <c r="X8" s="31" t="n"/>
      <c r="Y8" s="32" t="n"/>
      <c r="Z8" s="67" t="n"/>
      <c r="AA8" s="75" t="n"/>
      <c r="AB8" s="75" t="n"/>
      <c r="AC8" s="6" t="n"/>
      <c r="AD8" s="75" t="n"/>
      <c r="AE8" s="75" t="n"/>
      <c r="AF8" s="75" t="n"/>
    </row>
    <row r="9" ht="61.5" customHeight="1" s="133">
      <c r="A9" s="68" t="inlineStr">
        <is>
          <t>Stock Symbol</t>
        </is>
      </c>
      <c r="B9" s="68" t="inlineStr">
        <is>
          <t>Stock Price (Open)</t>
        </is>
      </c>
      <c r="C9" s="68" t="inlineStr">
        <is>
          <t>Order Type</t>
        </is>
      </c>
      <c r="D9" s="68" t="inlineStr">
        <is>
          <t>Trade Strategy</t>
        </is>
      </c>
      <c r="E9" s="68" t="inlineStr">
        <is>
          <t>Strike(s)</t>
        </is>
      </c>
      <c r="F9" s="69" t="inlineStr">
        <is>
          <t>Expiration</t>
        </is>
      </c>
      <c r="G9" s="68" t="inlineStr">
        <is>
          <t>Contracts / Shares</t>
        </is>
      </c>
      <c r="H9" s="70" t="inlineStr">
        <is>
          <t>Legs</t>
        </is>
      </c>
      <c r="I9" s="70" t="inlineStr">
        <is>
          <t>Transaction Fee</t>
        </is>
      </c>
      <c r="J9" s="70" t="inlineStr">
        <is>
          <t>Spread Width</t>
        </is>
      </c>
      <c r="K9" s="70" t="inlineStr">
        <is>
          <t>Open Date</t>
        </is>
      </c>
      <c r="L9" s="71" t="inlineStr">
        <is>
          <t>Open Price Per Contract / Share</t>
        </is>
      </c>
      <c r="M9" s="70" t="inlineStr">
        <is>
          <t>Total Open Price</t>
        </is>
      </c>
      <c r="N9" s="70" t="inlineStr">
        <is>
          <t>Reserve Requirement</t>
        </is>
      </c>
      <c r="O9" s="68" t="inlineStr">
        <is>
          <t>Stock Price (Close)</t>
        </is>
      </c>
      <c r="P9" s="72" t="inlineStr">
        <is>
          <t>Close Price Per Contract / Share</t>
        </is>
      </c>
      <c r="Q9" s="70" t="inlineStr">
        <is>
          <t>Total Close Price</t>
        </is>
      </c>
      <c r="R9" s="70" t="inlineStr">
        <is>
          <t>Close Date</t>
        </is>
      </c>
      <c r="S9" s="70" t="inlineStr">
        <is>
          <t>Days Held</t>
        </is>
      </c>
      <c r="T9" s="73" t="inlineStr">
        <is>
          <t>Dividend</t>
        </is>
      </c>
      <c r="U9" s="70" t="inlineStr">
        <is>
          <t>Profit / Loss</t>
        </is>
      </c>
      <c r="V9" s="70" t="inlineStr">
        <is>
          <t>ROC %</t>
        </is>
      </c>
      <c r="W9" s="70" t="inlineStr">
        <is>
          <t>Annualized ROC %</t>
        </is>
      </c>
      <c r="X9" s="68" t="inlineStr">
        <is>
          <t>Reason For Opening</t>
        </is>
      </c>
      <c r="Y9" s="68" t="inlineStr">
        <is>
          <t>Earnings</t>
        </is>
      </c>
      <c r="Z9" s="68" t="inlineStr">
        <is>
          <t>Notes</t>
        </is>
      </c>
      <c r="AA9" s="75" t="n"/>
      <c r="AB9" s="75" t="n"/>
      <c r="AC9" s="75" t="n"/>
      <c r="AD9" s="75" t="n"/>
      <c r="AE9" s="74" t="n"/>
      <c r="AF9" s="75" t="n"/>
    </row>
    <row r="10">
      <c r="A10" s="75" t="inlineStr">
        <is>
          <t>AAPL</t>
        </is>
      </c>
      <c r="B10" s="75" t="n">
        <v>193.5</v>
      </c>
      <c r="C10" s="75" t="inlineStr">
        <is>
          <t>Sell</t>
        </is>
      </c>
      <c r="D10" s="75" t="inlineStr">
        <is>
          <t>Covered Call</t>
        </is>
      </c>
      <c r="E10" s="76" t="inlineStr">
        <is>
          <t>195</t>
        </is>
      </c>
      <c r="F10" s="77" t="inlineStr">
        <is>
          <t>1/16/26</t>
        </is>
      </c>
      <c r="G10" s="75" t="n">
        <v>2</v>
      </c>
      <c r="H10" s="75">
        <f>IF(ISBLANK(E10),"",IF(OR(D10="Butterfly",D10="Butterfly ",D10="Iron Fly", D10="Iron Fly "),LEN(E10)-LEN(SUBSTITUTE(E10,"/",""))+2,LEN(E10)-LEN(SUBSTITUTE(E10,"/",""))+1))</f>
        <v/>
      </c>
      <c r="I10" s="78">
        <f>IF(ISBLANK(G10),"",IF(D10="Stock","0",Key!$A$3*H10*G10))</f>
        <v/>
      </c>
      <c r="J10" s="78">
        <f>IF(ISBLANK(E10),"",IF(ISNUMBER(SEARCH("/",E10)), IF(LEN(E10)-LEN(SUBSTITUTE(E10,"/",""))=1,(RIGHT(E10,LEN(E10)-FIND("/",E10)))-(LEFT(E10,FIND("/",E10)-1)),(MID(E10, SEARCH("/",E10) + 1, SEARCH("/",E10, SEARCH("/",E10)+1) - SEARCH("/",E10) - 1))-(LEFT(E10,FIND("/",E10)-1))), "NA"))</f>
        <v/>
      </c>
      <c r="K10" s="79" t="n">
        <v>45976</v>
      </c>
      <c r="L10" s="78" t="n">
        <v>2.5</v>
      </c>
      <c r="M10" s="78">
        <f>IF(ISBLANK(L10),"",IF(D10="Stock",IF(C10="Buy",L10*G10,IF(C10="Sell",(L10*G10)-I10, X)),IF(C10="Buy",(L10*G10*100)+I10,IF(C10="Sell",(L10*G10*100)-I10, X))))</f>
        <v/>
      </c>
      <c r="N10" s="78">
        <f>IF(ISBLANK(L10),"",IF(AND(C10="Sell",D10="Stock"),M10,IF(ISBLANK(L10),"",IF(C10="Buy",M10, IF(AND(C10="Sell",J10="NA"),(E10*G10*100*0.1)+I10, IF(C10="Sell",(J10-L10)*(100*G10)+I10))))))</f>
        <v/>
      </c>
      <c r="O10" s="75" t="n">
        <v>196.2</v>
      </c>
      <c r="P10" s="75" t="n">
        <v>0.1</v>
      </c>
      <c r="Q10" s="75">
        <f>IF(ISBLANK(P10),"",IF(D10="Stock",P10*G10,IF(P10=0,"0",G10*P10*100-(G10*$AF$14))))</f>
        <v/>
      </c>
      <c r="R10" s="79" t="n">
        <v>46036</v>
      </c>
      <c r="S10" s="75">
        <f>IF(AND(K10&lt;&gt;"", R10&lt;&gt;""), R10-K10, "")</f>
        <v/>
      </c>
      <c r="T10" s="78" t="n"/>
      <c r="U10" s="92">
        <f>IF(ISBLANK(P10),"",IF(C10="Buy",Q10-M10+T10, IF(C10="Sell",M10-Q10-T10, X)))</f>
        <v/>
      </c>
      <c r="V10" s="81">
        <f>IF(ISBLANK(P10),"",U10/N10)</f>
        <v/>
      </c>
      <c r="W10" s="81">
        <f>IF(ISBLANK(P10),"",IF(S10=0,(365/0.5)*V10,(365/S10)*V10))</f>
        <v/>
      </c>
      <c r="X10" s="75" t="inlineStr">
        <is>
          <t>Monthly income</t>
        </is>
      </c>
      <c r="Y10" s="77" t="n"/>
      <c r="Z10" s="77" t="n"/>
      <c r="AA10" s="75" t="n"/>
      <c r="AB10" s="20" t="n"/>
      <c r="AC10" s="6" t="n"/>
      <c r="AD10" s="82" t="n"/>
      <c r="AE10" s="83" t="n"/>
      <c r="AF10" s="75" t="n"/>
    </row>
    <row r="11">
      <c r="A11" s="75" t="inlineStr">
        <is>
          <t>SPY</t>
        </is>
      </c>
      <c r="B11" s="75" t="n">
        <v>574.2</v>
      </c>
      <c r="C11" s="75" t="inlineStr">
        <is>
          <t>Sell</t>
        </is>
      </c>
      <c r="D11" s="75" t="inlineStr">
        <is>
          <t>Cash Secured Put</t>
        </is>
      </c>
      <c r="E11" s="76" t="inlineStr">
        <is>
          <t>570</t>
        </is>
      </c>
      <c r="F11" s="77" t="inlineStr">
        <is>
          <t>1/16/26</t>
        </is>
      </c>
      <c r="G11" s="75" t="n">
        <v>1</v>
      </c>
      <c r="H11" s="75">
        <f>IF(ISBLANK(E11),"",IF(OR(D11="Butterfly",D11="Butterfly ",D11="Iron Fly", D11="Iron Fly "),LEN(E11)-LEN(SUBSTITUTE(E11,"/",""))+2,LEN(E11)-LEN(SUBSTITUTE(E11,"/",""))+1))</f>
        <v/>
      </c>
      <c r="I11" s="78">
        <f>IF(ISBLANK(G11),"",IF(D11="Stock","0",Key!$A$3*H11*G11))</f>
        <v/>
      </c>
      <c r="J11" s="78">
        <f>IF(ISBLANK(E11),"",IF(ISNUMBER(SEARCH("/",E11)), IF(LEN(E11)-LEN(SUBSTITUTE(E11,"/",""))=1,(RIGHT(E11,LEN(E11)-FIND("/",E11)))-(LEFT(E11,FIND("/",E11)-1)),(MID(E11, SEARCH("/",E11) + 1, SEARCH("/",E11, SEARCH("/",E11)+1) - SEARCH("/",E11) - 1))-(LEFT(E11,FIND("/",E11)-1))), "NA"))</f>
        <v/>
      </c>
      <c r="K11" s="79" t="n">
        <v>45992</v>
      </c>
      <c r="L11" s="78" t="n">
        <v>3.2</v>
      </c>
      <c r="M11" s="78">
        <f>IF(ISBLANK(L11),"",IF(D11="Stock",IF(C11="Buy",L11*G11,IF(C11="Sell",(L11*G11)-I11, X)),IF(C11="Buy",(L11*G11*100)+I11,IF(C11="Sell",(L11*G11*100)-I11, X))))</f>
        <v/>
      </c>
      <c r="N11" s="78">
        <f>IF(ISBLANK(L11),"",IF(AND(C11="Sell",D11="Stock"),M11,IF(ISBLANK(L11),"",IF(C11="Buy",M11, IF(AND(C11="Sell",J11="NA"),(E11*G11*100*0.1)+I11, IF(C11="Sell",(J11-L11)*(100*G11)+I11))))))</f>
        <v/>
      </c>
      <c r="O11" s="75" t="n">
        <v>576.5</v>
      </c>
      <c r="P11" s="75" t="n">
        <v>0.15</v>
      </c>
      <c r="Q11" s="75">
        <f>IF(ISBLANK(P11),"",IF(D11="Stock",P11*G11,IF(P11=0,"0",G11*P11*100-(G11*$AF$14))))</f>
        <v/>
      </c>
      <c r="R11" s="79" t="n">
        <v>46037</v>
      </c>
      <c r="S11" s="75">
        <f>IF(AND(K11&lt;&gt;"", R11&lt;&gt;""), R11-K11, "")</f>
        <v/>
      </c>
      <c r="T11" s="78" t="n"/>
      <c r="U11" s="92">
        <f>IF(ISBLANK(P11),"",IF(C11="Buy",Q11-M11+T11, IF(C11="Sell",M11-Q11-T11, X)))</f>
        <v/>
      </c>
      <c r="V11" s="81">
        <f>IF(ISBLANK(P11),"",U11/N11)</f>
        <v/>
      </c>
      <c r="W11" s="81">
        <f>IF(ISBLANK(P11),"",IF(S11=0,(365/0.5)*V11,(365/S11)*V11))</f>
        <v/>
      </c>
      <c r="X11" s="75" t="inlineStr">
        <is>
          <t>High IV</t>
        </is>
      </c>
      <c r="Y11" s="77" t="n"/>
      <c r="Z11" s="77" t="n"/>
      <c r="AA11" s="75" t="n"/>
      <c r="AB11" s="75" t="n"/>
      <c r="AC11" s="6" t="n"/>
      <c r="AD11" s="75" t="n"/>
      <c r="AE11" s="83" t="n"/>
      <c r="AF11" s="75" t="n"/>
    </row>
    <row r="12">
      <c r="A12" s="75" t="inlineStr">
        <is>
          <t>TSLA</t>
        </is>
      </c>
      <c r="B12" s="75" t="n">
        <v>248.3</v>
      </c>
      <c r="C12" s="75" t="inlineStr">
        <is>
          <t>Sell</t>
        </is>
      </c>
      <c r="D12" s="75" t="inlineStr">
        <is>
          <t>Bull Put Spread</t>
        </is>
      </c>
      <c r="E12" s="76" t="inlineStr">
        <is>
          <t>250/240</t>
        </is>
      </c>
      <c r="F12" s="77" t="inlineStr">
        <is>
          <t>2/21/26</t>
        </is>
      </c>
      <c r="G12" s="75" t="n">
        <v>3</v>
      </c>
      <c r="H12" s="75">
        <f>IF(ISBLANK(E12),"",IF(OR(D12="Butterfly",D12="Butterfly ",D12="Iron Fly", D12="Iron Fly "),LEN(E12)-LEN(SUBSTITUTE(E12,"/",""))+2,LEN(E12)-LEN(SUBSTITUTE(E12,"/",""))+1))</f>
        <v/>
      </c>
      <c r="I12" s="78">
        <f>IF(ISBLANK(G12),"",IF(D12="Stock","0",Key!$A$3*H12*G12))</f>
        <v/>
      </c>
      <c r="J12" s="78">
        <f>IF(ISBLANK(E12),"",IF(ISNUMBER(SEARCH("/",E12)), IF(LEN(E12)-LEN(SUBSTITUTE(E12,"/",""))=1,(RIGHT(E12,LEN(E12)-FIND("/",E12)))-(LEFT(E12,FIND("/",E12)-1)),(MID(E12, SEARCH("/",E12) + 1, SEARCH("/",E12, SEARCH("/",E12)+1) - SEARCH("/",E12) - 1))-(LEFT(E12,FIND("/",E12)-1))), "NA"))</f>
        <v/>
      </c>
      <c r="K12" s="79" t="n">
        <v>46027</v>
      </c>
      <c r="L12" s="78" t="n">
        <v>1.8</v>
      </c>
      <c r="M12" s="78">
        <f>IF(ISBLANK(L12),"",IF(D12="Stock",IF(C12="Buy",L12*G12,IF(C12="Sell",(L12*G12)-I12, X)),IF(C12="Buy",(L12*G12*100)+I12,IF(C12="Sell",(L12*G12*100)-I12, X))))</f>
        <v/>
      </c>
      <c r="N12" s="78">
        <f>IF(ISBLANK(L12),"",IF(AND(C12="Sell",D12="Stock"),M12,IF(ISBLANK(L12),"",IF(C12="Buy",M12, IF(AND(C12="Sell",J12="NA"),(E12*G12*100*0.1)+I12, IF(C12="Sell",(J12-L12)*(100*G12)+I12))))))</f>
        <v/>
      </c>
      <c r="O12" s="75" t="n">
        <v>255.6</v>
      </c>
      <c r="P12" s="75" t="n">
        <v>0.2</v>
      </c>
      <c r="Q12" s="75">
        <f>IF(ISBLANK(P12),"",IF(D12="Stock",P12*G12,IF(P12=0,"0",G12*P12*100-(G12*$AF$14))))</f>
        <v/>
      </c>
      <c r="R12" s="79" t="n">
        <v>46071</v>
      </c>
      <c r="S12" s="75">
        <f>IF(AND(K12&lt;&gt;"", R12&lt;&gt;""), R12-K12, "")</f>
        <v/>
      </c>
      <c r="T12" s="78" t="n"/>
      <c r="U12" s="92">
        <f>IF(ISBLANK(P12),"",IF(C12="Buy",Q12-M12+T12, IF(C12="Sell",M12-Q12-T12, X)))</f>
        <v/>
      </c>
      <c r="V12" s="81">
        <f>IF(ISBLANK(P12),"",U12/N12)</f>
        <v/>
      </c>
      <c r="W12" s="81">
        <f>IF(ISBLANK(P12),"",IF(S12=0,(365/0.5)*V12,(365/S12)*V12))</f>
        <v/>
      </c>
      <c r="X12" s="75" t="inlineStr">
        <is>
          <t>Momentum play</t>
        </is>
      </c>
      <c r="Y12" s="77" t="inlineStr">
        <is>
          <t>2/5/26 AMC</t>
        </is>
      </c>
      <c r="Z12" s="77" t="n"/>
      <c r="AA12" s="75" t="n"/>
      <c r="AB12" s="34" t="n"/>
      <c r="AC12" s="6" t="n"/>
      <c r="AD12" s="84" t="n"/>
      <c r="AE12" s="83" t="n"/>
      <c r="AF12" s="78" t="n"/>
    </row>
    <row r="13">
      <c r="A13" s="75" t="inlineStr">
        <is>
          <t>NVDA</t>
        </is>
      </c>
      <c r="B13" s="75" t="n">
        <v>138.4</v>
      </c>
      <c r="C13" s="75" t="inlineStr">
        <is>
          <t>Sell</t>
        </is>
      </c>
      <c r="D13" s="75" t="inlineStr">
        <is>
          <t>Iron Condor</t>
        </is>
      </c>
      <c r="E13" s="76" t="inlineStr">
        <is>
          <t>130/125/145/150</t>
        </is>
      </c>
      <c r="F13" s="77" t="inlineStr">
        <is>
          <t>2/21/26</t>
        </is>
      </c>
      <c r="G13" s="75" t="n">
        <v>2</v>
      </c>
      <c r="H13" s="75">
        <f>IF(ISBLANK(E13),"",IF(OR(D13="Butterfly",D13="Butterfly ",D13="Iron Fly", D13="Iron Fly "),LEN(E13)-LEN(SUBSTITUTE(E13,"/",""))+2,LEN(E13)-LEN(SUBSTITUTE(E13,"/",""))+1))</f>
        <v/>
      </c>
      <c r="I13" s="78">
        <f>IF(ISBLANK(G13),"",IF(D13="Stock","0",Key!$A$3*H13*G13))</f>
        <v/>
      </c>
      <c r="J13" s="78">
        <f>IF(ISBLANK(E13),"",IF(ISNUMBER(SEARCH("/",E13)), IF(LEN(E13)-LEN(SUBSTITUTE(E13,"/",""))=1,(RIGHT(E13,LEN(E13)-FIND("/",E13)))-(LEFT(E13,FIND("/",E13)-1)),(MID(E13, SEARCH("/",E13) + 1, SEARCH("/",E13, SEARCH("/",E13)+1) - SEARCH("/",E13) - 1))-(LEFT(E13,FIND("/",E13)-1))), "NA"))</f>
        <v/>
      </c>
      <c r="K13" s="79" t="n">
        <v>46032</v>
      </c>
      <c r="L13" s="78" t="n">
        <v>2.4</v>
      </c>
      <c r="M13" s="78">
        <f>IF(ISBLANK(L13),"",IF(D13="Stock",IF(C13="Buy",L13*G13,IF(C13="Sell",(L13*G13)-I13, X)),IF(C13="Buy",(L13*G13*100)+I13,IF(C13="Sell",(L13*G13*100)-I13, X))))</f>
        <v/>
      </c>
      <c r="N13" s="78">
        <f>IF(ISBLANK(L13),"",IF(AND(C13="Sell",D13="Stock"),M13,IF(ISBLANK(L13),"",IF(C13="Buy",M13, IF(AND(C13="Sell",J13="NA"),(E13*G13*100*0.1)+I13, IF(C13="Sell",(J13-L13)*(100*G13)+I13))))))</f>
        <v/>
      </c>
      <c r="O13" s="75" t="n">
        <v>140.2</v>
      </c>
      <c r="P13" s="75" t="n">
        <v>0.3</v>
      </c>
      <c r="Q13" s="75">
        <f>IF(ISBLANK(P13),"",IF(D13="Stock",P13*G13,IF(P13=0,"0",G13*P13*100-(G13*$AF$14))))</f>
        <v/>
      </c>
      <c r="R13" s="79" t="n">
        <v>46072</v>
      </c>
      <c r="S13" s="75">
        <f>IF(AND(K13&lt;&gt;"", R13&lt;&gt;""), R13-K13, "")</f>
        <v/>
      </c>
      <c r="T13" s="78" t="n"/>
      <c r="U13" s="92">
        <f>IF(ISBLANK(P13),"",IF(C13="Buy",Q13-M13+T13, IF(C13="Sell",M13-Q13-T13, X)))</f>
        <v/>
      </c>
      <c r="V13" s="81">
        <f>IF(ISBLANK(P13),"",U13/N13)</f>
        <v/>
      </c>
      <c r="W13" s="81">
        <f>IF(ISBLANK(P13),"",IF(S13=0,(365/0.5)*V13,(365/S13)*V13))</f>
        <v/>
      </c>
      <c r="X13" s="75" t="inlineStr">
        <is>
          <t>Range bound</t>
        </is>
      </c>
      <c r="Y13" s="77" t="n"/>
      <c r="Z13" s="77" t="n"/>
      <c r="AA13" s="75" t="n"/>
      <c r="AB13" s="85" t="n"/>
      <c r="AC13" s="6" t="n"/>
      <c r="AD13" s="86" t="n"/>
      <c r="AE13" s="75" t="n"/>
      <c r="AF13" s="75" t="n"/>
    </row>
    <row r="14">
      <c r="A14" s="75" t="inlineStr">
        <is>
          <t>QQQ</t>
        </is>
      </c>
      <c r="B14" s="75" t="n">
        <v>502.8</v>
      </c>
      <c r="C14" s="75" t="inlineStr">
        <is>
          <t>Sell</t>
        </is>
      </c>
      <c r="D14" s="75" t="inlineStr">
        <is>
          <t>Covered Call</t>
        </is>
      </c>
      <c r="E14" s="76" t="inlineStr">
        <is>
          <t>510</t>
        </is>
      </c>
      <c r="F14" s="77" t="inlineStr">
        <is>
          <t>1/30/26</t>
        </is>
      </c>
      <c r="G14" s="75" t="n">
        <v>1</v>
      </c>
      <c r="H14" s="75">
        <f>IF(ISBLANK(E14),"",IF(OR(D14="Butterfly",D14="Butterfly ",D14="Iron Fly", D14="Iron Fly "),LEN(E14)-LEN(SUBSTITUTE(E14,"/",""))+2,LEN(E14)-LEN(SUBSTITUTE(E14,"/",""))+1))</f>
        <v/>
      </c>
      <c r="I14" s="78">
        <f>IF(ISBLANK(G14),"",IF(D14="Stock","0",Key!$A$3*H14*G14))</f>
        <v/>
      </c>
      <c r="J14" s="78">
        <f>IF(ISBLANK(E14),"",IF(ISNUMBER(SEARCH("/",E14)), IF(LEN(E14)-LEN(SUBSTITUTE(E14,"/",""))=1,(RIGHT(E14,LEN(E14)-FIND("/",E14)))-(LEFT(E14,FIND("/",E14)-1)),(MID(E14, SEARCH("/",E14) + 1, SEARCH("/",E14, SEARCH("/",E14)+1) - SEARCH("/",E14) - 1))-(LEFT(E14,FIND("/",E14)-1))), "NA"))</f>
        <v/>
      </c>
      <c r="K14" s="79" t="n">
        <v>46011</v>
      </c>
      <c r="L14" s="78" t="n">
        <v>4.1</v>
      </c>
      <c r="M14" s="78">
        <f>IF(ISBLANK(L14),"",IF(D14="Stock",IF(C14="Buy",L14*G14,IF(C14="Sell",(L14*G14)-I14, X)),IF(C14="Buy",(L14*G14*100)+I14,IF(C14="Sell",(L14*G14*100)-I14, X))))</f>
        <v/>
      </c>
      <c r="N14" s="78">
        <f>IF(ISBLANK(L14),"",IF(AND(C14="Sell",D14="Stock"),M14,IF(ISBLANK(L14),"",IF(C14="Buy",M14, IF(AND(C14="Sell",J14="NA"),(E14*G14*100*0.1)+I14, IF(C14="Sell",(J14-L14)*(100*G14)+I14))))))</f>
        <v/>
      </c>
      <c r="O14" s="75" t="n">
        <v>505.3</v>
      </c>
      <c r="P14" s="75" t="n">
        <v>0.05</v>
      </c>
      <c r="Q14" s="75">
        <f>IF(ISBLANK(P14),"",IF(D14="Stock",P14*G14,IF(P14=0,"0",G14*P14*100-(G14*$AF$14))))</f>
        <v/>
      </c>
      <c r="R14" s="79" t="n">
        <v>46050</v>
      </c>
      <c r="S14" s="75">
        <f>IF(AND(K14&lt;&gt;"", R14&lt;&gt;""), R14-K14, "")</f>
        <v/>
      </c>
      <c r="T14" s="75" t="n"/>
      <c r="U14" s="92">
        <f>IF(ISBLANK(P14),"",IF(C14="Buy",Q14-M14+T14, IF(C14="Sell",M14-Q14-T14, X)))</f>
        <v/>
      </c>
      <c r="V14" s="81">
        <f>IF(ISBLANK(P14),"",U14/N14)</f>
        <v/>
      </c>
      <c r="W14" s="81">
        <f>IF(ISBLANK(P14),"",IF(S14=0,(365/0.5)*V14,(365/S14)*V14))</f>
        <v/>
      </c>
      <c r="X14" s="75" t="inlineStr">
        <is>
          <t>Resistance level</t>
        </is>
      </c>
      <c r="Y14" s="77" t="n"/>
      <c r="Z14" s="77" t="n"/>
      <c r="AA14" s="75" t="n"/>
      <c r="AB14" s="75" t="n"/>
      <c r="AC14" s="6" t="n"/>
      <c r="AD14" s="75" t="n"/>
      <c r="AE14" s="83" t="n"/>
      <c r="AF14" s="75" t="n"/>
    </row>
    <row r="15">
      <c r="A15" s="75" t="inlineStr">
        <is>
          <t>AMZN</t>
        </is>
      </c>
      <c r="B15" s="75" t="n">
        <v>227.6</v>
      </c>
      <c r="C15" s="75" t="inlineStr">
        <is>
          <t>Sell</t>
        </is>
      </c>
      <c r="D15" s="75" t="inlineStr">
        <is>
          <t>Cash Secured Put</t>
        </is>
      </c>
      <c r="E15" s="76" t="inlineStr">
        <is>
          <t>225</t>
        </is>
      </c>
      <c r="F15" s="77" t="inlineStr">
        <is>
          <t>2/7/26</t>
        </is>
      </c>
      <c r="G15" s="75" t="n">
        <v>2</v>
      </c>
      <c r="H15" s="75">
        <f>IF(ISBLANK(E15),"",IF(OR(D15="Butterfly",D15="Butterfly ",D15="Iron Fly", D15="Iron Fly "),LEN(E15)-LEN(SUBSTITUTE(E15,"/",""))+2,LEN(E15)-LEN(SUBSTITUTE(E15,"/",""))+1))</f>
        <v/>
      </c>
      <c r="I15" s="78">
        <f>IF(ISBLANK(G15),"",IF(D15="Stock","0",Key!$A$3*H15*G15))</f>
        <v/>
      </c>
      <c r="J15" s="78">
        <f>IF(ISBLANK(E15),"",IF(ISNUMBER(SEARCH("/",E15)), IF(LEN(E15)-LEN(SUBSTITUTE(E15,"/",""))=1,(RIGHT(E15,LEN(E15)-FIND("/",E15)))-(LEFT(E15,FIND("/",E15)-1)),(MID(E15, SEARCH("/",E15) + 1, SEARCH("/",E15, SEARCH("/",E15)+1) - SEARCH("/",E15) - 1))-(LEFT(E15,FIND("/",E15)-1))), "NA"))</f>
        <v/>
      </c>
      <c r="K15" s="79" t="n">
        <v>46034</v>
      </c>
      <c r="L15" s="78" t="n">
        <v>2.75</v>
      </c>
      <c r="M15" s="78">
        <f>IF(ISBLANK(L15),"",IF(D15="Stock",IF(C15="Buy",L15*G15,IF(C15="Sell",(L15*G15)-I15, X)),IF(C15="Buy",(L15*G15*100)+I15,IF(C15="Sell",(L15*G15*100)-I15, X))))</f>
        <v/>
      </c>
      <c r="N15" s="78">
        <f>IF(ISBLANK(L15),"",IF(AND(C15="Sell",D15="Stock"),M15,IF(ISBLANK(L15),"",IF(C15="Buy",M15, IF(AND(C15="Sell",J15="NA"),(E15*G15*100*0.1)+I15, IF(C15="Sell",(J15-L15)*(100*G15)+I15))))))</f>
        <v/>
      </c>
      <c r="O15" s="75" t="n">
        <v>229.8</v>
      </c>
      <c r="P15" s="75" t="n">
        <v>0.1</v>
      </c>
      <c r="Q15" s="75">
        <f>IF(ISBLANK(P15),"",IF(D15="Stock",P15*G15,IF(P15=0,"0",G15*P15*100-(G15*$AF$14))))</f>
        <v/>
      </c>
      <c r="R15" s="79" t="n">
        <v>46058</v>
      </c>
      <c r="S15" s="75">
        <f>IF(AND(K15&lt;&gt;"", R15&lt;&gt;""), R15-K15, "")</f>
        <v/>
      </c>
      <c r="T15" s="75" t="n"/>
      <c r="U15" s="92">
        <f>IF(ISBLANK(P15),"",IF(C15="Buy",Q15-M15+T15, IF(C15="Sell",M15-Q15-T15, X)))</f>
        <v/>
      </c>
      <c r="V15" s="81">
        <f>IF(ISBLANK(P15),"",U15/N15)</f>
        <v/>
      </c>
      <c r="W15" s="81">
        <f>IF(ISBLANK(P15),"",IF(S15=0,(365/0.5)*V15,(365/S15)*V15))</f>
        <v/>
      </c>
      <c r="X15" s="75" t="inlineStr">
        <is>
          <t>Support level</t>
        </is>
      </c>
      <c r="Y15" s="77" t="n"/>
      <c r="Z15" s="77" t="n"/>
      <c r="AA15" s="75" t="n"/>
      <c r="AB15" s="34" t="n"/>
      <c r="AC15" s="6" t="n"/>
      <c r="AD15" s="20" t="n"/>
      <c r="AE15" s="75" t="n"/>
      <c r="AF15" s="75" t="n"/>
    </row>
    <row r="16">
      <c r="A16" s="87" t="inlineStr">
        <is>
          <t>MSFT</t>
        </is>
      </c>
      <c r="B16" s="88" t="n">
        <v>418.5</v>
      </c>
      <c r="C16" s="87" t="inlineStr">
        <is>
          <t>Sell</t>
        </is>
      </c>
      <c r="D16" s="87" t="inlineStr">
        <is>
          <t>Bull Put Spread</t>
        </is>
      </c>
      <c r="E16" s="89" t="inlineStr">
        <is>
          <t>420/410</t>
        </is>
      </c>
      <c r="F16" s="77" t="inlineStr">
        <is>
          <t>2/28/26</t>
        </is>
      </c>
      <c r="G16" s="90" t="n">
        <v>2</v>
      </c>
      <c r="H16" s="75">
        <f>IF(ISBLANK(E16),"",IF(OR(D16="Butterfly",D16="Butterfly ",D16="Iron Fly", D16="Iron Fly "),LEN(E16)-LEN(SUBSTITUTE(E16,"/",""))+2,LEN(E16)-LEN(SUBSTITUTE(E16,"/",""))+1))</f>
        <v/>
      </c>
      <c r="I16" s="78">
        <f>IF(ISBLANK(G16),"",IF(D16="Stock","0",Key!$A$3*H16*G16))</f>
        <v/>
      </c>
      <c r="J16" s="78">
        <f>IF(ISBLANK(E16),"",IF(ISNUMBER(SEARCH("/",E16)), IF(LEN(E16)-LEN(SUBSTITUTE(E16,"/",""))=1,(RIGHT(E16,LEN(E16)-FIND("/",E16)))-(LEFT(E16,FIND("/",E16)-1)),(MID(E16, SEARCH("/",E16) + 1, SEARCH("/",E16, SEARCH("/",E16)+1) - SEARCH("/",E16) - 1))-(LEFT(E16,FIND("/",E16)-1))), "NA"))</f>
        <v/>
      </c>
      <c r="K16" s="79" t="n">
        <v>46042</v>
      </c>
      <c r="L16" s="90" t="n">
        <v>1.6</v>
      </c>
      <c r="M16" s="78">
        <f>IF(ISBLANK(L16),"",IF(D16="Stock",IF(C16="Buy",L16*G16,IF(C16="Sell",(L16*G16)-I16, X)),IF(C16="Buy",(L16*G16*100)+I16,IF(C16="Sell",(L16*G16*100)-I16, X))))</f>
        <v/>
      </c>
      <c r="N16" s="78">
        <f>IF(ISBLANK(L16),"",IF(AND(C16="Sell",D16="Stock"),M16,IF(ISBLANK(L16),"",IF(C16="Buy",M16, IF(AND(C16="Sell",J16="NA"),(E16*G16*100*0.1)+I16, IF(C16="Sell",(J16-L16)*(100*G16)+I16))))))</f>
        <v/>
      </c>
      <c r="O16" s="75" t="n">
        <v>422.3</v>
      </c>
      <c r="P16" s="75" t="n">
        <v>0.15</v>
      </c>
      <c r="Q16" s="75">
        <f>IF(ISBLANK(P16),"",IF(D16="Stock",P16*G16,IF(P16=0,"0",G16*P16*100-(G16*$AF$14))))</f>
        <v/>
      </c>
      <c r="R16" s="79" t="n">
        <v>46078</v>
      </c>
      <c r="S16" s="75">
        <f>IF(AND(K16&lt;&gt;"", R16&lt;&gt;""), R16-K16, "")</f>
        <v/>
      </c>
      <c r="T16" s="75" t="n"/>
      <c r="U16" s="92">
        <f>IF(ISBLANK(P16),"",IF(C16="Buy",Q16-M16+T16, IF(C16="Sell",M16-Q16-T16, X)))</f>
        <v/>
      </c>
      <c r="V16" s="81">
        <f>IF(ISBLANK(P16),"",U16/N16)</f>
        <v/>
      </c>
      <c r="W16" s="81">
        <f>IF(ISBLANK(P16),"",IF(S16=0,(365/0.5)*V16,(365/S16)*V16))</f>
        <v/>
      </c>
      <c r="X16" s="75" t="inlineStr">
        <is>
          <t>Trend following</t>
        </is>
      </c>
      <c r="Y16" s="77" t="n"/>
      <c r="Z16" s="77" t="n"/>
      <c r="AA16" s="75" t="n"/>
      <c r="AB16" s="52" t="n"/>
      <c r="AC16" s="6" t="n"/>
      <c r="AD16" s="75" t="n"/>
      <c r="AE16" s="83" t="n"/>
      <c r="AF16" s="75" t="n"/>
    </row>
    <row r="17">
      <c r="A17" s="75" t="inlineStr">
        <is>
          <t>SPY</t>
        </is>
      </c>
      <c r="B17" s="75" t="n">
        <v>578.4</v>
      </c>
      <c r="C17" s="75" t="inlineStr">
        <is>
          <t>Sell</t>
        </is>
      </c>
      <c r="D17" s="75" t="inlineStr">
        <is>
          <t>Iron Condor</t>
        </is>
      </c>
      <c r="E17" s="76" t="inlineStr">
        <is>
          <t>560/555/590/595</t>
        </is>
      </c>
      <c r="F17" s="77" t="inlineStr">
        <is>
          <t>2/28/26</t>
        </is>
      </c>
      <c r="G17" s="75" t="n">
        <v>1</v>
      </c>
      <c r="H17" s="75">
        <f>IF(ISBLANK(E17),"",IF(OR(D17="Butterfly",D17="Butterfly ",D17="Iron Fly", D17="Iron Fly "),LEN(E17)-LEN(SUBSTITUTE(E17,"/",""))+2,LEN(E17)-LEN(SUBSTITUTE(E17,"/",""))+1))</f>
        <v/>
      </c>
      <c r="I17" s="78">
        <f>IF(ISBLANK(G17),"",IF(D17="Stock","0",Key!$A$3*H17*G17))</f>
        <v/>
      </c>
      <c r="J17" s="78">
        <f>IF(ISBLANK(E17),"",IF(ISNUMBER(SEARCH("/",E17)), IF(LEN(E17)-LEN(SUBSTITUTE(E17,"/",""))=1,(RIGHT(E17,LEN(E17)-FIND("/",E17)))-(LEFT(E17,FIND("/",E17)-1)),(MID(E17, SEARCH("/",E17) + 1, SEARCH("/",E17, SEARCH("/",E17)+1) - SEARCH("/",E17) - 1))-(LEFT(E17,FIND("/",E17)-1))), "NA"))</f>
        <v/>
      </c>
      <c r="K17" s="79" t="n">
        <v>46047</v>
      </c>
      <c r="L17" s="78" t="n">
        <v>3.5</v>
      </c>
      <c r="M17" s="78">
        <f>IF(ISBLANK(L17),"",IF(D17="Stock",IF(C17="Buy",L17*G17,IF(C17="Sell",(L17*G17)-I17, X)),IF(C17="Buy",(L17*G17*100)+I17,IF(C17="Sell",(L17*G17*100)-I17, X))))</f>
        <v/>
      </c>
      <c r="N17" s="78">
        <f>IF(ISBLANK(L17),"",IF(AND(C17="Sell",D17="Stock"),M17,IF(ISBLANK(L17),"",IF(C17="Buy",M17, IF(AND(C17="Sell",J17="NA"),(E17*G17*100*0.1)+I17, IF(C17="Sell",(J17-L17)*(100*G17)+I17))))))</f>
        <v/>
      </c>
      <c r="O17" s="75" t="n">
        <v>581.2</v>
      </c>
      <c r="P17" s="75" t="n">
        <v>0.25</v>
      </c>
      <c r="Q17" s="75">
        <f>IF(ISBLANK(P17),"",IF(D17="Stock",P17*G17,IF(P17=0,"0",G17*P17*100-(G17*$AF$14))))</f>
        <v/>
      </c>
      <c r="R17" s="79" t="n">
        <v>46079</v>
      </c>
      <c r="S17" s="75">
        <f>IF(AND(K17&lt;&gt;"", R17&lt;&gt;""), R17-K17, "")</f>
        <v/>
      </c>
      <c r="T17" s="78" t="n"/>
      <c r="U17" s="92">
        <f>IF(ISBLANK(P17),"",IF(C17="Buy",Q17-M17+T17, IF(C17="Sell",M17-Q17-T17, X)))</f>
        <v/>
      </c>
      <c r="V17" s="81">
        <f>IF(ISBLANK(P17),"",U17/N17)</f>
        <v/>
      </c>
      <c r="W17" s="81">
        <f>IF(ISBLANK(P17),"",IF(S17=0,(365/0.5)*V17,(365/S17)*V17))</f>
        <v/>
      </c>
      <c r="X17" s="75" t="inlineStr">
        <is>
          <t>Low vol environment</t>
        </is>
      </c>
      <c r="Y17" s="77" t="n"/>
      <c r="Z17" s="77" t="n"/>
      <c r="AA17" s="75" t="n"/>
      <c r="AB17" s="75" t="n"/>
      <c r="AC17" s="6" t="n"/>
      <c r="AD17" s="34" t="n"/>
      <c r="AE17" s="83" t="n"/>
      <c r="AF17" s="75" t="n"/>
    </row>
    <row r="18">
      <c r="A18" s="75" t="inlineStr">
        <is>
          <t>AAPL</t>
        </is>
      </c>
      <c r="B18" s="75" t="n">
        <v>221.8</v>
      </c>
      <c r="C18" s="75" t="inlineStr">
        <is>
          <t>Sell</t>
        </is>
      </c>
      <c r="D18" s="75" t="inlineStr">
        <is>
          <t>Cash Secured Put</t>
        </is>
      </c>
      <c r="E18" s="76" t="inlineStr">
        <is>
          <t>220</t>
        </is>
      </c>
      <c r="F18" s="77" t="inlineStr">
        <is>
          <t>3/7/26</t>
        </is>
      </c>
      <c r="G18" s="75" t="n">
        <v>1</v>
      </c>
      <c r="H18" s="75">
        <f>IF(ISBLANK(E18),"",IF(OR(D18="Butterfly",D18="Butterfly ",D18="Iron Fly", D18="Iron Fly "),LEN(E18)-LEN(SUBSTITUTE(E18,"/",""))+2,LEN(E18)-LEN(SUBSTITUTE(E18,"/",""))+1))</f>
        <v/>
      </c>
      <c r="I18" s="78">
        <f>IF(ISBLANK(G18),"",IF(D18="Stock","0",Key!$A$3*H18*G18))</f>
        <v/>
      </c>
      <c r="J18" s="78">
        <f>IF(ISBLANK(E18),"",IF(ISNUMBER(SEARCH("/",E18)), IF(LEN(E18)-LEN(SUBSTITUTE(E18,"/",""))=1,(RIGHT(E18,LEN(E18)-FIND("/",E18)))-(LEFT(E18,FIND("/",E18)-1)),(MID(E18, SEARCH("/",E18) + 1, SEARCH("/",E18, SEARCH("/",E18)+1) - SEARCH("/",E18) - 1))-(LEFT(E18,FIND("/",E18)-1))), "NA"))</f>
        <v/>
      </c>
      <c r="K18" s="79" t="n">
        <v>46054</v>
      </c>
      <c r="L18" s="78" t="n">
        <v>2.2</v>
      </c>
      <c r="M18" s="78">
        <f>IF(ISBLANK(L18),"",IF(D18="Stock",IF(C18="Buy",L18*G18,IF(C18="Sell",(L18*G18)-I18, X)),IF(C18="Buy",(L18*G18*100)+I18,IF(C18="Sell",(L18*G18*100)-I18, X))))</f>
        <v/>
      </c>
      <c r="N18" s="78">
        <f>IF(ISBLANK(L18),"",IF(AND(C18="Sell",D18="Stock"),M18,IF(ISBLANK(L18),"",IF(C18="Buy",M18, IF(AND(C18="Sell",J18="NA"),(E18*G18*100*0.1)+I18, IF(C18="Sell",(J18-L18)*(100*G18)+I18))))))</f>
        <v/>
      </c>
      <c r="O18" s="75" t="n">
        <v>224.5</v>
      </c>
      <c r="P18" s="75" t="n">
        <v>0.1</v>
      </c>
      <c r="Q18" s="75">
        <f>IF(ISBLANK(P18),"",IF(D18="Stock",P18*G18,IF(P18=0,"0",G18*P18*100-(G18*$AF$14))))</f>
        <v/>
      </c>
      <c r="R18" s="79" t="n">
        <v>46086</v>
      </c>
      <c r="S18" s="75">
        <f>IF(AND(K18&lt;&gt;"", R18&lt;&gt;""), R18-K18, "")</f>
        <v/>
      </c>
      <c r="T18" s="75" t="n"/>
      <c r="U18" s="92">
        <f>IF(ISBLANK(P18),"",IF(C18="Buy",Q18-M18+T18, IF(C18="Sell",M18-Q18-T18, X)))</f>
        <v/>
      </c>
      <c r="V18" s="81">
        <f>IF(ISBLANK(P18),"",U18/N18)</f>
        <v/>
      </c>
      <c r="W18" s="81">
        <f>IF(ISBLANK(P18),"",IF(S18=0,(365/0.5)*V18,(365/S18)*V18))</f>
        <v/>
      </c>
      <c r="X18" s="75" t="inlineStr">
        <is>
          <t>Support bounce</t>
        </is>
      </c>
      <c r="Y18" s="77" t="n"/>
      <c r="Z18" s="77" t="n"/>
      <c r="AA18" s="75" t="n"/>
      <c r="AB18" s="34" t="n"/>
      <c r="AC18" s="6" t="n"/>
      <c r="AD18" s="91" t="n"/>
      <c r="AE18" s="92" t="n"/>
      <c r="AF18" s="75" t="n"/>
    </row>
    <row r="19">
      <c r="A19" s="75" t="inlineStr">
        <is>
          <t>GOOGL</t>
        </is>
      </c>
      <c r="B19" s="75" t="n">
        <v>178.3</v>
      </c>
      <c r="C19" s="75" t="inlineStr">
        <is>
          <t>Sell</t>
        </is>
      </c>
      <c r="D19" s="93" t="inlineStr">
        <is>
          <t>Bull Put Spread</t>
        </is>
      </c>
      <c r="E19" s="94" t="inlineStr">
        <is>
          <t>175/165</t>
        </is>
      </c>
      <c r="F19" s="77" t="inlineStr">
        <is>
          <t>3/7/26</t>
        </is>
      </c>
      <c r="G19" s="75" t="n">
        <v>2</v>
      </c>
      <c r="H19" s="75">
        <f>IF(ISBLANK(E19),"",IF(OR(D19="Butterfly",D19="Butterfly ",D19="Iron Fly", D19="Iron Fly "),LEN(E19)-LEN(SUBSTITUTE(E19,"/",""))+2,LEN(E19)-LEN(SUBSTITUTE(E19,"/",""))+1))</f>
        <v/>
      </c>
      <c r="I19" s="78">
        <f>IF(ISBLANK(G19),"",IF(D19="Stock","0",Key!$A$3*H19*G19))</f>
        <v/>
      </c>
      <c r="J19" s="78">
        <f>IF(ISBLANK(E19),"",IF(ISNUMBER(SEARCH("/",E19)), IF(LEN(E19)-LEN(SUBSTITUTE(E19,"/",""))=1,(RIGHT(E19,LEN(E19)-FIND("/",E19)))-(LEFT(E19,FIND("/",E19)-1)),(MID(E19, SEARCH("/",E19) + 1, SEARCH("/",E19, SEARCH("/",E19)+1) - SEARCH("/",E19) - 1))-(LEFT(E19,FIND("/",E19)-1))), "NA"))</f>
        <v/>
      </c>
      <c r="K19" s="79" t="n">
        <v>46058</v>
      </c>
      <c r="L19" s="78" t="n">
        <v>1.9</v>
      </c>
      <c r="M19" s="78">
        <f>IF(ISBLANK(L19),"",IF(D19="Stock",IF(C19="Buy",L19*G19,IF(C19="Sell",(L19*G19)-I19, X)),IF(C19="Buy",(L19*G19*100)+I19,IF(C19="Sell",(L19*G19*100)-I19, X))))</f>
        <v/>
      </c>
      <c r="N19" s="78">
        <f>IF(ISBLANK(L19),"",IF(AND(C19="Sell",D19="Stock"),M19,IF(ISBLANK(L19),"",IF(C19="Buy",M19, IF(AND(C19="Sell",J19="NA"),(E19*G19*100*0.1)+I19, IF(C19="Sell",(J19-L19)*(100*G19)+I19))))))</f>
        <v/>
      </c>
      <c r="O19" s="75" t="n">
        <v>180.6</v>
      </c>
      <c r="P19" s="75" t="n">
        <v>0.2</v>
      </c>
      <c r="Q19" s="75">
        <f>IF(ISBLANK(P19),"",IF(D19="Stock",P19*G19,IF(P19=0,"0",G19*P19*100-(G19*$AF$14))))</f>
        <v/>
      </c>
      <c r="R19" s="79" t="n">
        <v>46085</v>
      </c>
      <c r="S19" s="75">
        <f>IF(AND(K19&lt;&gt;"", R19&lt;&gt;""), R19-K19, "")</f>
        <v/>
      </c>
      <c r="T19" s="75" t="n"/>
      <c r="U19" s="92">
        <f>IF(ISBLANK(P19),"",IF(C19="Buy",Q19-M19+T19, IF(C19="Sell",M19-Q19-T19, X)))</f>
        <v/>
      </c>
      <c r="V19" s="81">
        <f>IF(ISBLANK(P19),"",U19/N19)</f>
        <v/>
      </c>
      <c r="W19" s="81">
        <f>IF(ISBLANK(P19),"",IF(S19=0,(365/0.5)*V19,(365/S19)*V19))</f>
        <v/>
      </c>
      <c r="X19" s="75" t="inlineStr">
        <is>
          <t>Earnings play</t>
        </is>
      </c>
      <c r="Y19" s="77" t="inlineStr">
        <is>
          <t>2/4/26 AMC</t>
        </is>
      </c>
      <c r="Z19" s="77" t="n"/>
      <c r="AA19" s="75" t="n"/>
      <c r="AB19" s="85" t="n"/>
      <c r="AC19" s="6" t="n"/>
      <c r="AD19" s="75" t="n"/>
      <c r="AE19" s="75" t="n"/>
      <c r="AF19" s="75" t="n"/>
    </row>
    <row r="20">
      <c r="A20" s="75" t="inlineStr">
        <is>
          <t>TSLA</t>
        </is>
      </c>
      <c r="B20" s="75" t="n">
        <v>302.5</v>
      </c>
      <c r="C20" s="75" t="inlineStr">
        <is>
          <t>Sell</t>
        </is>
      </c>
      <c r="D20" s="75" t="inlineStr">
        <is>
          <t>Iron Fly</t>
        </is>
      </c>
      <c r="E20" s="76" t="inlineStr">
        <is>
          <t>290/300/310</t>
        </is>
      </c>
      <c r="F20" s="77" t="inlineStr">
        <is>
          <t>2/28/26</t>
        </is>
      </c>
      <c r="G20" s="75" t="n">
        <v>1</v>
      </c>
      <c r="H20" s="75">
        <f>IF(ISBLANK(E20),"",IF(OR(D20="Butterfly",D20="Butterfly ",D20="Iron Fly", D20="Iron Fly "),LEN(E20)-LEN(SUBSTITUTE(E20,"/",""))+2,LEN(E20)-LEN(SUBSTITUTE(E20,"/",""))+1))</f>
        <v/>
      </c>
      <c r="I20" s="78">
        <f>IF(ISBLANK(G20),"",IF(D20="Stock","0",Key!$A$3*H20*G20))</f>
        <v/>
      </c>
      <c r="J20" s="78">
        <f>IF(ISBLANK(E20),"",IF(ISNUMBER(SEARCH("/",E20)), IF(LEN(E20)-LEN(SUBSTITUTE(E20,"/",""))=1,(RIGHT(E20,LEN(E20)-FIND("/",E20)))-(LEFT(E20,FIND("/",E20)-1)),(MID(E20, SEARCH("/",E20) + 1, SEARCH("/",E20, SEARCH("/",E20)+1) - SEARCH("/",E20) - 1))-(LEFT(E20,FIND("/",E20)-1))), "NA"))</f>
        <v/>
      </c>
      <c r="K20" s="79" t="n">
        <v>46061</v>
      </c>
      <c r="L20" s="78" t="n">
        <v>8.5</v>
      </c>
      <c r="M20" s="78">
        <f>IF(ISBLANK(L20),"",IF(D20="Stock",IF(C20="Buy",L20*G20,IF(C20="Sell",(L20*G20)-I20, X)),IF(C20="Buy",(L20*G20*100)+I20,IF(C20="Sell",(L20*G20*100)-I20, X))))</f>
        <v/>
      </c>
      <c r="N20" s="78">
        <f>IF(ISBLANK(L20),"",IF(AND(C20="Sell",D20="Stock"),M20,IF(ISBLANK(L20),"",IF(C20="Buy",M20, IF(AND(C20="Sell",J20="NA"),(E20*G20*100*0.1)+I20, IF(C20="Sell",(J20-L20)*(100*G20)+I20))))))</f>
        <v/>
      </c>
      <c r="O20" s="75" t="n">
        <v>298.3</v>
      </c>
      <c r="P20" s="75" t="n">
        <v>1.2</v>
      </c>
      <c r="Q20" s="75">
        <f>IF(ISBLANK(P20),"",IF(D20="Stock",P20*G20,IF(P20=0,"0",G20*P20*100-(G20*$AF$14))))</f>
        <v/>
      </c>
      <c r="R20" s="79" t="n">
        <v>46078</v>
      </c>
      <c r="S20" s="75">
        <f>IF(AND(K20&lt;&gt;"", R20&lt;&gt;""), R20-K20, "")</f>
        <v/>
      </c>
      <c r="T20" s="78" t="n"/>
      <c r="U20" s="92">
        <f>IF(ISBLANK(P20),"",IF(C20="Buy",Q20-M20+T20, IF(C20="Sell",M20-Q20-T20, X)))</f>
        <v/>
      </c>
      <c r="V20" s="81">
        <f>IF(ISBLANK(P20),"",U20/N20)</f>
        <v/>
      </c>
      <c r="W20" s="81">
        <f>IF(ISBLANK(P20),"",IF(S20=0,(365/0.5)*V20,(365/S20)*V20))</f>
        <v/>
      </c>
      <c r="X20" s="75" t="inlineStr">
        <is>
          <t>IV crush</t>
        </is>
      </c>
      <c r="Y20" s="77" t="n"/>
      <c r="Z20" s="77" t="n"/>
      <c r="AA20" s="75" t="n"/>
      <c r="AB20" s="6" t="n"/>
      <c r="AC20" s="6" t="n"/>
      <c r="AD20" s="34" t="n"/>
      <c r="AE20" s="75" t="n"/>
      <c r="AF20" s="95" t="n"/>
    </row>
    <row r="21" ht="15.75" customHeight="1" s="133">
      <c r="A21" s="75" t="inlineStr">
        <is>
          <t>NVDA</t>
        </is>
      </c>
      <c r="B21" s="75" t="n">
        <v>141.2</v>
      </c>
      <c r="C21" s="75" t="inlineStr">
        <is>
          <t>Sell</t>
        </is>
      </c>
      <c r="D21" s="75" t="inlineStr">
        <is>
          <t>Covered Call</t>
        </is>
      </c>
      <c r="E21" s="76" t="inlineStr">
        <is>
          <t>145</t>
        </is>
      </c>
      <c r="F21" s="77" t="inlineStr">
        <is>
          <t>3/7/26</t>
        </is>
      </c>
      <c r="G21" s="75" t="n">
        <v>3</v>
      </c>
      <c r="H21" s="75">
        <f>IF(ISBLANK(E21),"",IF(OR(D21="Butterfly",D21="Butterfly ",D21="Iron Fly", D21="Iron Fly "),LEN(E21)-LEN(SUBSTITUTE(E21,"/",""))+2,LEN(E21)-LEN(SUBSTITUTE(E21,"/",""))+1))</f>
        <v/>
      </c>
      <c r="I21" s="78">
        <f>IF(ISBLANK(G21),"",IF(D21="Stock","0",Key!$A$3*H21*G21))</f>
        <v/>
      </c>
      <c r="J21" s="78">
        <f>IF(ISBLANK(E21),"",IF(ISNUMBER(SEARCH("/",E21)), IF(LEN(E21)-LEN(SUBSTITUTE(E21,"/",""))=1,(RIGHT(E21,LEN(E21)-FIND("/",E21)))-(LEFT(E21,FIND("/",E21)-1)),(MID(E21, SEARCH("/",E21) + 1, SEARCH("/",E21, SEARCH("/",E21)+1) - SEARCH("/",E21) - 1))-(LEFT(E21,FIND("/",E21)-1))), "NA"))</f>
        <v/>
      </c>
      <c r="K21" s="79" t="n">
        <v>46063</v>
      </c>
      <c r="L21" s="78" t="n">
        <v>3.8</v>
      </c>
      <c r="M21" s="78">
        <f>IF(ISBLANK(L21),"",IF(D21="Stock",IF(C21="Buy",L21*G21,IF(C21="Sell",(L21*G21)-I21, X)),IF(C21="Buy",(L21*G21*100)+I21,IF(C21="Sell",(L21*G21*100)-I21, X))))</f>
        <v/>
      </c>
      <c r="N21" s="78">
        <f>IF(ISBLANK(L21),"",IF(AND(C21="Sell",D21="Stock"),M21,IF(ISBLANK(L21),"",IF(C21="Buy",M21, IF(AND(C21="Sell",J21="NA"),(E21*G21*100*0.1)+I21, IF(C21="Sell",(J21-L21)*(100*G21)+I21))))))</f>
        <v/>
      </c>
      <c r="O21" s="75" t="n">
        <v>143.6</v>
      </c>
      <c r="P21" s="75" t="n">
        <v>0.05</v>
      </c>
      <c r="Q21" s="75">
        <f>IF(ISBLANK(P21),"",IF(D21="Stock",P21*G21,IF(P21=0,"0",G21*P21*100-(G21*$AF$14))))</f>
        <v/>
      </c>
      <c r="R21" s="79" t="n">
        <v>46087</v>
      </c>
      <c r="S21" s="75">
        <f>IF(AND(K21&lt;&gt;"", R21&lt;&gt;""), R21-K21, "")</f>
        <v/>
      </c>
      <c r="T21" s="78" t="n"/>
      <c r="U21" s="92">
        <f>IF(ISBLANK(P21),"",IF(C21="Buy",Q21-M21+T21, IF(C21="Sell",M21-Q21-T21, X)))</f>
        <v/>
      </c>
      <c r="V21" s="81">
        <f>IF(ISBLANK(P21),"",U21/N21)</f>
        <v/>
      </c>
      <c r="W21" s="81">
        <f>IF(ISBLANK(P21),"",IF(S21=0,(365/0.5)*V21,(365/S21)*V21))</f>
        <v/>
      </c>
      <c r="X21" s="75" t="inlineStr">
        <is>
          <t>Resistance at 145</t>
        </is>
      </c>
      <c r="Y21" s="77" t="n"/>
      <c r="Z21" s="77" t="n"/>
      <c r="AA21" s="75" t="n"/>
      <c r="AB21" s="34" t="n"/>
      <c r="AC21" s="6" t="n"/>
      <c r="AD21" s="91" t="n"/>
      <c r="AE21" s="75" t="n"/>
      <c r="AF21" s="75" t="n"/>
    </row>
    <row r="22" ht="15.75" customHeight="1" s="133">
      <c r="A22" s="75" t="inlineStr">
        <is>
          <t>META</t>
        </is>
      </c>
      <c r="B22" s="75" t="n">
        <v>612.4</v>
      </c>
      <c r="C22" s="75" t="inlineStr">
        <is>
          <t>Sell</t>
        </is>
      </c>
      <c r="D22" s="75" t="inlineStr">
        <is>
          <t>Cash Secured Put</t>
        </is>
      </c>
      <c r="E22" s="76" t="inlineStr">
        <is>
          <t>610</t>
        </is>
      </c>
      <c r="F22" s="77" t="inlineStr">
        <is>
          <t>2/21/26</t>
        </is>
      </c>
      <c r="G22" s="75" t="n">
        <v>1</v>
      </c>
      <c r="H22" s="75">
        <f>IF(ISBLANK(E22),"",IF(OR(D22="Butterfly",D22="Butterfly ",D22="Iron Fly", D22="Iron Fly "),LEN(E22)-LEN(SUBSTITUTE(E22,"/",""))+2,LEN(E22)-LEN(SUBSTITUTE(E22,"/",""))+1))</f>
        <v/>
      </c>
      <c r="I22" s="78">
        <f>IF(ISBLANK(G22),"",IF(D22="Stock","0",Key!$A$3*H22*G22))</f>
        <v/>
      </c>
      <c r="J22" s="78">
        <f>IF(ISBLANK(E22),"",IF(ISNUMBER(SEARCH("/",E22)), IF(LEN(E22)-LEN(SUBSTITUTE(E22,"/",""))=1,(RIGHT(E22,LEN(E22)-FIND("/",E22)))-(LEFT(E22,FIND("/",E22)-1)),(MID(E22, SEARCH("/",E22) + 1, SEARCH("/",E22, SEARCH("/",E22)+1) - SEARCH("/",E22) - 1))-(LEFT(E22,FIND("/",E22)-1))), "NA"))</f>
        <v/>
      </c>
      <c r="K22" s="79" t="n">
        <v>46055</v>
      </c>
      <c r="L22" s="78" t="n">
        <v>5.8</v>
      </c>
      <c r="M22" s="78">
        <f>IF(ISBLANK(L22),"",IF(D22="Stock",IF(C22="Buy",L22*G22,IF(C22="Sell",(L22*G22)-I22, X)),IF(C22="Buy",(L22*G22*100)+I22,IF(C22="Sell",(L22*G22*100)-I22, X))))</f>
        <v/>
      </c>
      <c r="N22" s="78">
        <f>IF(ISBLANK(L22),"",IF(AND(C22="Sell",D22="Stock"),M22,IF(ISBLANK(L22),"",IF(C22="Buy",M22, IF(AND(C22="Sell",J22="NA"),(E22*G22*100*0.1)+I22, IF(C22="Sell",(J22-L22)*(100*G22)+I22))))))</f>
        <v/>
      </c>
      <c r="O22" s="75" t="n">
        <v>615.2</v>
      </c>
      <c r="P22" s="75" t="n">
        <v>0.3</v>
      </c>
      <c r="Q22" s="75">
        <f>IF(ISBLANK(P22),"",IF(D22="Stock",P22*G22,IF(P22=0,"0",G22*P22*100-(G22*$AF$14))))</f>
        <v/>
      </c>
      <c r="R22" s="79" t="n">
        <v>46072</v>
      </c>
      <c r="S22" s="75">
        <f>IF(AND(K22&lt;&gt;"", R22&lt;&gt;""), R22-K22, "")</f>
        <v/>
      </c>
      <c r="T22" s="75" t="n"/>
      <c r="U22" s="92">
        <f>IF(ISBLANK(P22),"",IF(C22="Buy",Q22-M22+T22, IF(C22="Sell",M22-Q22-T22, X)))</f>
        <v/>
      </c>
      <c r="V22" s="81">
        <f>IF(ISBLANK(P22),"",U22/N22)</f>
        <v/>
      </c>
      <c r="W22" s="81">
        <f>IF(ISBLANK(P22),"",IF(S22=0,(365/0.5)*V22,(365/S22)*V22))</f>
        <v/>
      </c>
      <c r="X22" s="75" t="inlineStr">
        <is>
          <t>Pullback support</t>
        </is>
      </c>
      <c r="Y22" s="77" t="inlineStr">
        <is>
          <t>2/5/26 AMC</t>
        </is>
      </c>
      <c r="Z22" s="77" t="n"/>
      <c r="AA22" s="75" t="n"/>
      <c r="AB22" s="85" t="n"/>
      <c r="AC22" s="6" t="n"/>
      <c r="AD22" s="75" t="n"/>
      <c r="AE22" s="75" t="n"/>
      <c r="AF22" s="95" t="n"/>
    </row>
    <row r="23" ht="15.75" customHeight="1" s="133">
      <c r="A23" s="75" t="inlineStr">
        <is>
          <t>SPY</t>
        </is>
      </c>
      <c r="B23" s="75" t="n">
        <v>582.3</v>
      </c>
      <c r="C23" s="75" t="inlineStr">
        <is>
          <t>Sell</t>
        </is>
      </c>
      <c r="D23" s="75" t="inlineStr">
        <is>
          <t>Bull Put Spread</t>
        </is>
      </c>
      <c r="E23" s="76" t="inlineStr">
        <is>
          <t>575/565</t>
        </is>
      </c>
      <c r="F23" s="77" t="inlineStr">
        <is>
          <t>3/7/26</t>
        </is>
      </c>
      <c r="G23" s="75" t="n">
        <v>2</v>
      </c>
      <c r="H23" s="75">
        <f>IF(ISBLANK(E23),"",IF(OR(D23="Butterfly",D23="Butterfly ",D23="Iron Fly", D23="Iron Fly "),LEN(E23)-LEN(SUBSTITUTE(E23,"/",""))+2,LEN(E23)-LEN(SUBSTITUTE(E23,"/",""))+1))</f>
        <v/>
      </c>
      <c r="I23" s="78">
        <f>IF(ISBLANK(G23),"",IF(D23="Stock","0",Key!$A$3*H23*G23))</f>
        <v/>
      </c>
      <c r="J23" s="78">
        <f>IF(ISBLANK(E23),"",IF(ISNUMBER(SEARCH("/",E23)), IF(LEN(E23)-LEN(SUBSTITUTE(E23,"/",""))=1,(RIGHT(E23,LEN(E23)-FIND("/",E23)))-(LEFT(E23,FIND("/",E23)-1)),(MID(E23, SEARCH("/",E23) + 1, SEARCH("/",E23, SEARCH("/",E23)+1) - SEARCH("/",E23) - 1))-(LEFT(E23,FIND("/",E23)-1))), "NA"))</f>
        <v/>
      </c>
      <c r="K23" s="79" t="n">
        <v>46068</v>
      </c>
      <c r="L23" s="78" t="n">
        <v>2.1</v>
      </c>
      <c r="M23" s="78">
        <f>IF(ISBLANK(L23),"",IF(D23="Stock",IF(C23="Buy",L23*G23,IF(C23="Sell",(L23*G23)-I23, X)),IF(C23="Buy",(L23*G23*100)+I23,IF(C23="Sell",(L23*G23*100)-I23, X))))</f>
        <v/>
      </c>
      <c r="N23" s="78">
        <f>IF(ISBLANK(L23),"",IF(AND(C23="Sell",D23="Stock"),M23,IF(ISBLANK(L23),"",IF(C23="Buy",M23, IF(AND(C23="Sell",J23="NA"),(E23*G23*100*0.1)+I23, IF(C23="Sell",(J23-L23)*(100*G23)+I23))))))</f>
        <v/>
      </c>
      <c r="O23" s="75" t="n">
        <v>585.4</v>
      </c>
      <c r="P23" s="75" t="n">
        <v>0.15</v>
      </c>
      <c r="Q23" s="75">
        <f>IF(ISBLANK(P23),"",IF(D23="Stock",P23*G23,IF(P23=0,"0",G23*P23*100-(G23*$AF$14))))</f>
        <v/>
      </c>
      <c r="R23" s="79" t="n">
        <v>46086</v>
      </c>
      <c r="S23" s="75">
        <f>IF(AND(K23&lt;&gt;"", R23&lt;&gt;""), R23-K23, "")</f>
        <v/>
      </c>
      <c r="T23" s="78" t="n"/>
      <c r="U23" s="92">
        <f>IF(ISBLANK(P23),"",IF(C23="Buy",Q23-M23+T23, IF(C23="Sell",M23-Q23-T23, X)))</f>
        <v/>
      </c>
      <c r="V23" s="81">
        <f>IF(ISBLANK(P23),"",U23/N23)</f>
        <v/>
      </c>
      <c r="W23" s="81">
        <f>IF(ISBLANK(P23),"",IF(S23=0,(365/0.5)*V23,(365/S23)*V23))</f>
        <v/>
      </c>
      <c r="X23" s="75" t="inlineStr">
        <is>
          <t>Market support</t>
        </is>
      </c>
      <c r="Y23" s="77" t="n"/>
      <c r="Z23" s="77" t="n"/>
      <c r="AA23" s="75" t="n"/>
      <c r="AB23" s="75" t="n"/>
      <c r="AC23" s="6" t="n"/>
      <c r="AD23" s="34" t="n"/>
      <c r="AE23" s="75" t="n"/>
      <c r="AF23" s="95" t="n"/>
    </row>
    <row r="24" ht="13.5" customHeight="1" s="133">
      <c r="A24" s="75" t="inlineStr">
        <is>
          <t>AAPL</t>
        </is>
      </c>
      <c r="B24" s="75" t="n">
        <v>225.3</v>
      </c>
      <c r="C24" s="75" t="inlineStr">
        <is>
          <t>Sell</t>
        </is>
      </c>
      <c r="D24" s="75" t="inlineStr">
        <is>
          <t>Covered Call</t>
        </is>
      </c>
      <c r="E24" s="76" t="inlineStr">
        <is>
          <t>228</t>
        </is>
      </c>
      <c r="F24" s="77" t="inlineStr">
        <is>
          <t>3/21/26</t>
        </is>
      </c>
      <c r="G24" s="75" t="n">
        <v>2</v>
      </c>
      <c r="H24" s="75">
        <f>IF(ISBLANK(E24),"",IF(OR(D24="Butterfly",D24="Butterfly ",D24="Iron Fly", D24="Iron Fly "),LEN(E24)-LEN(SUBSTITUTE(E24,"/",""))+2,LEN(E24)-LEN(SUBSTITUTE(E24,"/",""))+1))</f>
        <v/>
      </c>
      <c r="I24" s="78">
        <f>IF(ISBLANK(G24),"",IF(D24="Stock","0",Key!$A$3*H24*G24))</f>
        <v/>
      </c>
      <c r="J24" s="78">
        <f>IF(ISBLANK(E24),"",IF(ISNUMBER(SEARCH("/",E24)), IF(LEN(E24)-LEN(SUBSTITUTE(E24,"/",""))=1,(RIGHT(E24,LEN(E24)-FIND("/",E24)))-(LEFT(E24,FIND("/",E24)-1)),(MID(E24, SEARCH("/",E24) + 1, SEARCH("/",E24, SEARCH("/",E24)+1) - SEARCH("/",E24) - 1))-(LEFT(E24,FIND("/",E24)-1))), "NA"))</f>
        <v/>
      </c>
      <c r="K24" s="79" t="n">
        <v>46073</v>
      </c>
      <c r="L24" s="78" t="n">
        <v>3.2</v>
      </c>
      <c r="M24" s="78">
        <f>IF(ISBLANK(L24),"",IF(D24="Stock",IF(C24="Buy",L24*G24,IF(C24="Sell",(L24*G24)-I24, X)),IF(C24="Buy",(L24*G24*100)+I24,IF(C24="Sell",(L24*G24*100)-I24, X))))</f>
        <v/>
      </c>
      <c r="N24" s="78">
        <f>IF(ISBLANK(L24),"",IF(AND(C24="Sell",D24="Stock"),M24,IF(ISBLANK(L24),"",IF(C24="Buy",M24, IF(AND(C24="Sell",J24="NA"),(E24*G24*100*0.1)+I24, IF(C24="Sell",(J24-L24)*(100*G24)+I24))))))</f>
        <v/>
      </c>
      <c r="O24" s="75" t="n">
        <v>227.8</v>
      </c>
      <c r="P24" s="75" t="n">
        <v>0.1</v>
      </c>
      <c r="Q24" s="75">
        <f>IF(ISBLANK(P24),"",IF(D24="Stock",P24*G24,IF(P24=0,"0",G24*P24*100-(G24*$AF$14))))</f>
        <v/>
      </c>
      <c r="R24" s="79" t="n">
        <v>46091</v>
      </c>
      <c r="S24" s="75">
        <f>IF(AND(K24&lt;&gt;"", R24&lt;&gt;""), R24-K24, "")</f>
        <v/>
      </c>
      <c r="T24" s="78" t="n"/>
      <c r="U24" s="92">
        <f>IF(ISBLANK(P24),"",IF(C24="Buy",Q24-M24+T24, IF(C24="Sell",M24-Q24-T24, X)))</f>
        <v/>
      </c>
      <c r="V24" s="81">
        <f>IF(ISBLANK(P24),"",U24/N24)</f>
        <v/>
      </c>
      <c r="W24" s="81">
        <f>IF(ISBLANK(P24),"",IF(S24=0,(365/0.5)*V24,(365/S24)*V24))</f>
        <v/>
      </c>
      <c r="X24" s="75" t="inlineStr">
        <is>
          <t>Monthly income</t>
        </is>
      </c>
      <c r="Y24" s="77" t="n"/>
      <c r="Z24" s="77" t="n"/>
      <c r="AA24" s="75" t="n"/>
      <c r="AB24" s="75" t="n"/>
      <c r="AC24" s="6" t="n"/>
      <c r="AD24" s="96" t="n"/>
      <c r="AE24" s="75" t="n"/>
      <c r="AF24" s="75" t="n"/>
    </row>
    <row r="25" ht="15.75" customHeight="1" s="133">
      <c r="A25" s="75" t="inlineStr">
        <is>
          <t>MSFT</t>
        </is>
      </c>
      <c r="B25" s="75" t="n">
        <v>415.6</v>
      </c>
      <c r="C25" s="75" t="inlineStr">
        <is>
          <t>Sell</t>
        </is>
      </c>
      <c r="D25" s="75" t="inlineStr">
        <is>
          <t>Iron Condor</t>
        </is>
      </c>
      <c r="E25" s="76" t="inlineStr">
        <is>
          <t>405/400/430/435</t>
        </is>
      </c>
      <c r="F25" s="77" t="inlineStr">
        <is>
          <t>3/7/26</t>
        </is>
      </c>
      <c r="G25" s="75" t="n">
        <v>1</v>
      </c>
      <c r="H25" s="75">
        <f>IF(ISBLANK(E25),"",IF(OR(D25="Butterfly",D25="Butterfly ",D25="Iron Fly", D25="Iron Fly "),LEN(E25)-LEN(SUBSTITUTE(E25,"/",""))+2,LEN(E25)-LEN(SUBSTITUTE(E25,"/",""))+1))</f>
        <v/>
      </c>
      <c r="I25" s="78">
        <f>IF(ISBLANK(G25),"",IF(D25="Stock","0",Key!$A$3*H25*G25))</f>
        <v/>
      </c>
      <c r="J25" s="78">
        <f>IF(ISBLANK(E25),"",IF(ISNUMBER(SEARCH("/",E25)), IF(LEN(E25)-LEN(SUBSTITUTE(E25,"/",""))=1,(RIGHT(E25,LEN(E25)-FIND("/",E25)))-(LEFT(E25,FIND("/",E25)-1)),(MID(E25, SEARCH("/",E25) + 1, SEARCH("/",E25, SEARCH("/",E25)+1) - SEARCH("/",E25) - 1))-(LEFT(E25,FIND("/",E25)-1))), "NA"))</f>
        <v/>
      </c>
      <c r="K25" s="79" t="n">
        <v>46075</v>
      </c>
      <c r="L25" s="78" t="n">
        <v>4.2</v>
      </c>
      <c r="M25" s="78">
        <f>IF(ISBLANK(L25),"",IF(D25="Stock",IF(C25="Buy",L25*G25,IF(C25="Sell",(L25*G25)-I25, X)),IF(C25="Buy",(L25*G25*100)+I25,IF(C25="Sell",(L25*G25*100)-I25, X))))</f>
        <v/>
      </c>
      <c r="N25" s="78">
        <f>IF(ISBLANK(L25),"",IF(AND(C25="Sell",D25="Stock"),M25,IF(ISBLANK(L25),"",IF(C25="Buy",M25, IF(AND(C25="Sell",J25="NA"),(E25*G25*100*0.1)+I25, IF(C25="Sell",(J25-L25)*(100*G25)+I25))))))</f>
        <v/>
      </c>
      <c r="O25" s="75" t="n">
        <v>418.3</v>
      </c>
      <c r="P25" s="75" t="n">
        <v>0.35</v>
      </c>
      <c r="Q25" s="75">
        <f>IF(ISBLANK(P25),"",IF(D25="Stock",P25*G25,IF(P25=0,"0",G25*P25*100-(G25*$AF$14))))</f>
        <v/>
      </c>
      <c r="R25" s="79" t="n">
        <v>46086</v>
      </c>
      <c r="S25" s="78">
        <f>IF(AND(K25&lt;&gt;"", R25&lt;&gt;""), R25-K25, "")</f>
        <v/>
      </c>
      <c r="T25" s="78" t="n"/>
      <c r="U25" s="92">
        <f>IF(ISBLANK(P25),"",IF(C25="Buy",Q25-M25+T25, IF(C25="Sell",M25-Q25-T25, X)))</f>
        <v/>
      </c>
      <c r="V25" s="81">
        <f>IF(ISBLANK(P25),"",U25/N25)</f>
        <v/>
      </c>
      <c r="W25" s="81">
        <f>IF(ISBLANK(P25),"",IF(S25=0,(365/0.5)*V25,(365/S25)*V25))</f>
        <v/>
      </c>
      <c r="X25" s="75" t="inlineStr">
        <is>
          <t>Range bound</t>
        </is>
      </c>
      <c r="Y25" s="77" t="inlineStr">
        <is>
          <t>1/29/26 AMC</t>
        </is>
      </c>
      <c r="Z25" s="77" t="n"/>
      <c r="AA25" s="75" t="n"/>
      <c r="AB25" s="75" t="n"/>
      <c r="AC25" s="6" t="n"/>
      <c r="AD25" s="75" t="n"/>
      <c r="AE25" s="75" t="n"/>
      <c r="AF25" s="75" t="n"/>
    </row>
    <row r="26" ht="15.75" customHeight="1" s="133">
      <c r="A26" s="75" t="inlineStr">
        <is>
          <t>AAPL</t>
        </is>
      </c>
      <c r="B26" s="75" t="n">
        <v>228.4</v>
      </c>
      <c r="C26" s="75" t="inlineStr">
        <is>
          <t>Sell</t>
        </is>
      </c>
      <c r="D26" s="75" t="inlineStr">
        <is>
          <t>Covered Call</t>
        </is>
      </c>
      <c r="E26" s="76" t="inlineStr">
        <is>
          <t>232</t>
        </is>
      </c>
      <c r="F26" s="77" t="inlineStr">
        <is>
          <t>3/21/26</t>
        </is>
      </c>
      <c r="G26" s="75" t="n">
        <v>2</v>
      </c>
      <c r="H26" s="75">
        <f>IF(ISBLANK(E26),"",IF(OR(D26="Butterfly",D26="Butterfly ",D26="Iron Fly", D26="Iron Fly "),LEN(E26)-LEN(SUBSTITUTE(E26,"/",""))+2,LEN(E26)-LEN(SUBSTITUTE(E26,"/",""))+1))</f>
        <v/>
      </c>
      <c r="I26" s="78">
        <f>IF(ISBLANK(G26),"",IF(D26="Stock","0",Key!$A$3*H26*G26))</f>
        <v/>
      </c>
      <c r="J26" s="78">
        <f>IF(ISBLANK(E26),"",IF(ISNUMBER(SEARCH("/",E26)), IF(LEN(E26)-LEN(SUBSTITUTE(E26,"/",""))=1,(RIGHT(E26,LEN(E26)-FIND("/",E26)))-(LEFT(E26,FIND("/",E26)-1)),(MID(E26, SEARCH("/",E26) + 1, SEARCH("/",E26, SEARCH("/",E26)+1) - SEARCH("/",E26) - 1))-(LEFT(E26,FIND("/",E26)-1))), "NA"))</f>
        <v/>
      </c>
      <c r="K26" s="79" t="n">
        <v>46082</v>
      </c>
      <c r="L26" s="78" t="n">
        <v>2.8</v>
      </c>
      <c r="M26" s="78">
        <f>IF(ISBLANK(L26),"",IF(D26="Stock",IF(C26="Buy",L26*G26,IF(C26="Sell",(L26*G26)-I26, X)),IF(C26="Buy",(L26*G26*100)+I26,IF(C26="Sell",(L26*G26*100)-I26, X))))</f>
        <v/>
      </c>
      <c r="N26" s="78">
        <f>IF(ISBLANK(L26),"",IF(AND(C26="Sell",D26="Stock"),M26,IF(ISBLANK(L26),"",IF(C26="Buy",M26, IF(AND(C26="Sell",J26="NA"),(E26*G26*100*0.1)+I26, IF(C26="Sell",(J26-L26)*(100*G26)+I26))))))</f>
        <v/>
      </c>
      <c r="O26" s="75" t="n"/>
      <c r="P26" s="75" t="n"/>
      <c r="Q26" s="75">
        <f>IF(ISBLANK(P26),"",IF(D26="Stock",P26*G26,IF(P26=0,"0",G26*P26*100-(G26*$AF$14))))</f>
        <v/>
      </c>
      <c r="R26" s="79">
        <f>IF(P26&lt;&gt;"", TODAY(), "")</f>
        <v/>
      </c>
      <c r="S26" s="78">
        <f>IF(AND(K26&lt;&gt;"", R26&lt;&gt;""), R26-K26, "")</f>
        <v/>
      </c>
      <c r="T26" s="78" t="n"/>
      <c r="U26" s="92">
        <f>IF(ISBLANK(P26),"",IF(C26="Buy",Q26-M26+T26, IF(C26="Sell",M26-Q26-T26, X)))</f>
        <v/>
      </c>
      <c r="V26" s="81">
        <f>IF(ISBLANK(P26),"",U26/N26)</f>
        <v/>
      </c>
      <c r="W26" s="81">
        <f>IF(ISBLANK(P26),"",IF(S26=0,(365/0.5)*V26,(365/S26)*V26))</f>
        <v/>
      </c>
      <c r="X26" s="75" t="inlineStr">
        <is>
          <t>Monthly income</t>
        </is>
      </c>
      <c r="Y26" s="77" t="n"/>
      <c r="Z26" s="77" t="n"/>
      <c r="AA26" s="75" t="n"/>
      <c r="AB26" s="75" t="n"/>
      <c r="AC26" s="6" t="n"/>
      <c r="AD26" s="34" t="n"/>
      <c r="AE26" s="75" t="n"/>
      <c r="AF26" s="75" t="n"/>
    </row>
    <row r="27" ht="15.75" customHeight="1" s="133">
      <c r="A27" s="75" t="inlineStr">
        <is>
          <t>SPY</t>
        </is>
      </c>
      <c r="B27" s="75" t="n">
        <v>585.6</v>
      </c>
      <c r="C27" s="75" t="inlineStr">
        <is>
          <t>Sell</t>
        </is>
      </c>
      <c r="D27" s="75" t="inlineStr">
        <is>
          <t>Cash Secured Put</t>
        </is>
      </c>
      <c r="E27" s="76" t="inlineStr">
        <is>
          <t>580</t>
        </is>
      </c>
      <c r="F27" s="77" t="inlineStr">
        <is>
          <t>3/21/26</t>
        </is>
      </c>
      <c r="G27" s="75" t="n">
        <v>1</v>
      </c>
      <c r="H27" s="75">
        <f>IF(ISBLANK(E27),"",IF(OR(D27="Butterfly",D27="Butterfly ",D27="Iron Fly", D27="Iron Fly "),LEN(E27)-LEN(SUBSTITUTE(E27,"/",""))+2,LEN(E27)-LEN(SUBSTITUTE(E27,"/",""))+1))</f>
        <v/>
      </c>
      <c r="I27" s="78">
        <f>IF(ISBLANK(G27),"",IF(D27="Stock","0",Key!$A$3*H27*G27))</f>
        <v/>
      </c>
      <c r="J27" s="78">
        <f>IF(ISBLANK(E27),"",IF(ISNUMBER(SEARCH("/",E27)), IF(LEN(E27)-LEN(SUBSTITUTE(E27,"/",""))=1,(RIGHT(E27,LEN(E27)-FIND("/",E27)))-(LEFT(E27,FIND("/",E27)-1)),(MID(E27, SEARCH("/",E27) + 1, SEARCH("/",E27, SEARCH("/",E27)+1) - SEARCH("/",E27) - 1))-(LEFT(E27,FIND("/",E27)-1))), "NA"))</f>
        <v/>
      </c>
      <c r="K27" s="79" t="n">
        <v>46084</v>
      </c>
      <c r="L27" s="78" t="n">
        <v>3.8</v>
      </c>
      <c r="M27" s="78">
        <f>IF(ISBLANK(L27),"",IF(D27="Stock",IF(C27="Buy",L27*G27,IF(C27="Sell",(L27*G27)-I27, X)),IF(C27="Buy",(L27*G27*100)+I27,IF(C27="Sell",(L27*G27*100)-I27, X))))</f>
        <v/>
      </c>
      <c r="N27" s="78">
        <f>IF(ISBLANK(L27),"",IF(AND(C27="Sell",D27="Stock"),M27,IF(ISBLANK(L27),"",IF(C27="Buy",M27, IF(AND(C27="Sell",J27="NA"),(E27*G27*100*0.1)+I27, IF(C27="Sell",(J27-L27)*(100*G27)+I27))))))</f>
        <v/>
      </c>
      <c r="O27" s="75" t="n"/>
      <c r="P27" s="75" t="n"/>
      <c r="Q27" s="75">
        <f>IF(ISBLANK(P27),"",IF(D27="Stock",P27*G27,IF(P27=0,"0",G27*P27*100-(G27*$AF$14))))</f>
        <v/>
      </c>
      <c r="R27" s="79">
        <f>IF(P27&lt;&gt;"", TODAY(), "")</f>
        <v/>
      </c>
      <c r="S27" s="78">
        <f>IF(AND(K27&lt;&gt;"", R27&lt;&gt;""), R27-K27, "")</f>
        <v/>
      </c>
      <c r="T27" s="78" t="n"/>
      <c r="U27" s="92">
        <f>IF(ISBLANK(P27),"",IF(C27="Buy",Q27-M27+T27, IF(C27="Sell",M27-Q27-T27, X)))</f>
        <v/>
      </c>
      <c r="V27" s="81">
        <f>IF(ISBLANK(P27),"",U27/N27)</f>
        <v/>
      </c>
      <c r="W27" s="81">
        <f>IF(ISBLANK(P27),"",IF(S27=0,(365/0.5)*V27,(365/S27)*V27))</f>
        <v/>
      </c>
      <c r="X27" s="75" t="inlineStr">
        <is>
          <t>Support level</t>
        </is>
      </c>
      <c r="Y27" s="77" t="n"/>
      <c r="Z27" s="77" t="n"/>
      <c r="AA27" s="75" t="n"/>
      <c r="AB27" s="75" t="n"/>
      <c r="AC27" s="6" t="n"/>
      <c r="AD27" s="91" t="n"/>
      <c r="AE27" s="75" t="n"/>
      <c r="AF27" s="97" t="n"/>
    </row>
    <row r="28" ht="15.75" customHeight="1" s="133">
      <c r="A28" s="75" t="inlineStr">
        <is>
          <t>NVDA</t>
        </is>
      </c>
      <c r="B28" s="75" t="n">
        <v>144.8</v>
      </c>
      <c r="C28" s="75" t="inlineStr">
        <is>
          <t>Sell</t>
        </is>
      </c>
      <c r="D28" s="75" t="inlineStr">
        <is>
          <t>Bull Put Spread</t>
        </is>
      </c>
      <c r="E28" s="76" t="inlineStr">
        <is>
          <t>140/130</t>
        </is>
      </c>
      <c r="F28" s="77" t="inlineStr">
        <is>
          <t>3/21/26</t>
        </is>
      </c>
      <c r="G28" s="75" t="n">
        <v>2</v>
      </c>
      <c r="H28" s="75">
        <f>IF(ISBLANK(E28),"",IF(OR(D28="Butterfly",D28="Butterfly ",D28="Iron Fly", D28="Iron Fly "),LEN(E28)-LEN(SUBSTITUTE(E28,"/",""))+2,LEN(E28)-LEN(SUBSTITUTE(E28,"/",""))+1))</f>
        <v/>
      </c>
      <c r="I28" s="78">
        <f>IF(ISBLANK(G28),"",IF(D28="Stock","0",Key!$A$3*H28*G28))</f>
        <v/>
      </c>
      <c r="J28" s="78">
        <f>IF(ISBLANK(E28),"",IF(ISNUMBER(SEARCH("/",E28)), IF(LEN(E28)-LEN(SUBSTITUTE(E28,"/",""))=1,(RIGHT(E28,LEN(E28)-FIND("/",E28)))-(LEFT(E28,FIND("/",E28)-1)),(MID(E28, SEARCH("/",E28) + 1, SEARCH("/",E28, SEARCH("/",E28)+1) - SEARCH("/",E28) - 1))-(LEFT(E28,FIND("/",E28)-1))), "NA"))</f>
        <v/>
      </c>
      <c r="K28" s="79" t="n">
        <v>46084</v>
      </c>
      <c r="L28" s="78" t="n">
        <v>1.95</v>
      </c>
      <c r="M28" s="78">
        <f>IF(ISBLANK(L28),"",IF(D28="Stock",IF(C28="Buy",L28*G28,IF(C28="Sell",(L28*G28)-I28, X)),IF(C28="Buy",(L28*G28*100)+I28,IF(C28="Sell",(L28*G28*100)-I28, X))))</f>
        <v/>
      </c>
      <c r="N28" s="78">
        <f>IF(ISBLANK(L28),"",IF(AND(C28="Sell",D28="Stock"),M28,IF(ISBLANK(L28),"",IF(C28="Buy",M28, IF(AND(C28="Sell",J28="NA"),(E28*G28*100*0.1)+I28, IF(C28="Sell",(J28-L28)*(100*G28)+I28))))))</f>
        <v/>
      </c>
      <c r="O28" s="75" t="n"/>
      <c r="P28" s="75" t="n"/>
      <c r="Q28" s="75">
        <f>IF(ISBLANK(P28),"",IF(D28="Stock",P28*G28,IF(P28=0,"0",G28*P28*100-(G28*$AF$14))))</f>
        <v/>
      </c>
      <c r="R28" s="79">
        <f>IF(P28&lt;&gt;"", TODAY(), "")</f>
        <v/>
      </c>
      <c r="S28" s="78">
        <f>IF(AND(K28&lt;&gt;"", R28&lt;&gt;""), R28-K28, "")</f>
        <v/>
      </c>
      <c r="T28" s="78" t="n"/>
      <c r="U28" s="92">
        <f>IF(ISBLANK(P28),"",IF(C28="Buy",Q28-M28+T28, IF(C28="Sell",M28-Q28-T28, X)))</f>
        <v/>
      </c>
      <c r="V28" s="81">
        <f>IF(ISBLANK(P28),"",U28/N28)</f>
        <v/>
      </c>
      <c r="W28" s="81">
        <f>IF(ISBLANK(P28),"",IF(S28=0,(365/0.5)*V28,(365/S28)*V28))</f>
        <v/>
      </c>
      <c r="X28" s="75" t="inlineStr">
        <is>
          <t>Bullish trend</t>
        </is>
      </c>
      <c r="Y28" s="98" t="n"/>
      <c r="Z28" s="77" t="n"/>
      <c r="AA28" s="75" t="n"/>
      <c r="AB28" s="75" t="n"/>
      <c r="AC28" s="6" t="n"/>
      <c r="AD28" s="75" t="n"/>
      <c r="AE28" s="75" t="n"/>
      <c r="AF28" s="75" t="n"/>
    </row>
    <row r="29" ht="15.75" customHeight="1" s="133">
      <c r="A29" s="75" t="inlineStr">
        <is>
          <t>TSLA</t>
        </is>
      </c>
      <c r="B29" s="75" t="n">
        <v>285.4</v>
      </c>
      <c r="C29" s="75" t="inlineStr">
        <is>
          <t>Sell</t>
        </is>
      </c>
      <c r="D29" s="75" t="inlineStr">
        <is>
          <t>Cash Secured Put</t>
        </is>
      </c>
      <c r="E29" s="76" t="inlineStr">
        <is>
          <t>280</t>
        </is>
      </c>
      <c r="F29" s="77" t="inlineStr">
        <is>
          <t>3/21/26</t>
        </is>
      </c>
      <c r="G29" s="75" t="n">
        <v>1</v>
      </c>
      <c r="H29" s="75">
        <f>IF(ISBLANK(E29),"",IF(OR(D29="Butterfly",D29="Butterfly ",D29="Iron Fly", D29="Iron Fly "),LEN(E29)-LEN(SUBSTITUTE(E29,"/",""))+2,LEN(E29)-LEN(SUBSTITUTE(E29,"/",""))+1))</f>
        <v/>
      </c>
      <c r="I29" s="78">
        <f>IF(ISBLANK(G29),"",IF(D29="Stock","0",Key!$A$3*H29*G29))</f>
        <v/>
      </c>
      <c r="J29" s="78">
        <f>IF(ISBLANK(E29),"",IF(ISNUMBER(SEARCH("/",E29)), IF(LEN(E29)-LEN(SUBSTITUTE(E29,"/",""))=1,(RIGHT(E29,LEN(E29)-FIND("/",E29)))-(LEFT(E29,FIND("/",E29)-1)),(MID(E29, SEARCH("/",E29) + 1, SEARCH("/",E29, SEARCH("/",E29)+1) - SEARCH("/",E29) - 1))-(LEFT(E29,FIND("/",E29)-1))), "NA"))</f>
        <v/>
      </c>
      <c r="K29" s="79" t="n">
        <v>46085</v>
      </c>
      <c r="L29" s="78" t="n">
        <v>4.5</v>
      </c>
      <c r="M29" s="78">
        <f>IF(ISBLANK(L29),"",IF(D29="Stock",IF(C29="Buy",L29*G29,IF(C29="Sell",(L29*G29)-I29, X)),IF(C29="Buy",(L29*G29*100)+I29,IF(C29="Sell",(L29*G29*100)-I29, X))))</f>
        <v/>
      </c>
      <c r="N29" s="78">
        <f>IF(ISBLANK(L29),"",IF(AND(C29="Sell",D29="Stock"),M29,IF(ISBLANK(L29),"",IF(C29="Buy",M29, IF(AND(C29="Sell",J29="NA"),(E29*G29*100*0.1)+I29, IF(C29="Sell",(J29-L29)*(100*G29)+I29))))))</f>
        <v/>
      </c>
      <c r="O29" s="75" t="n"/>
      <c r="P29" s="75" t="n"/>
      <c r="Q29" s="75">
        <f>IF(ISBLANK(P29),"",IF(D29="Stock",P29*G29,IF(P29=0,"0",G29*P29*100-(G29*$AF$14))))</f>
        <v/>
      </c>
      <c r="R29" s="79">
        <f>IF(P29&lt;&gt;"", TODAY(), "")</f>
        <v/>
      </c>
      <c r="S29" s="78">
        <f>IF(AND(K29&lt;&gt;"", R29&lt;&gt;""), R29-K29, "")</f>
        <v/>
      </c>
      <c r="T29" s="78" t="n"/>
      <c r="U29" s="92">
        <f>IF(ISBLANK(P29),"",IF(C29="Buy",Q29-M29+T29, IF(C29="Sell",M29-Q29-T29, X)))</f>
        <v/>
      </c>
      <c r="V29" s="81">
        <f>IF(ISBLANK(P29),"",U29/N29)</f>
        <v/>
      </c>
      <c r="W29" s="81">
        <f>IF(ISBLANK(P29),"",IF(S29=0,(365/0.5)*V29,(365/S29)*V29))</f>
        <v/>
      </c>
      <c r="X29" s="75" t="inlineStr">
        <is>
          <t>Support bounce</t>
        </is>
      </c>
      <c r="Y29" s="98" t="n"/>
      <c r="Z29" s="77" t="n"/>
      <c r="AA29" s="75" t="n"/>
      <c r="AB29" s="75" t="n"/>
      <c r="AC29" s="6" t="n"/>
      <c r="AD29" s="34" t="n"/>
      <c r="AE29" s="75" t="n"/>
      <c r="AF29" s="75" t="n"/>
    </row>
    <row r="30" ht="15.75" customHeight="1" s="133">
      <c r="A30" s="75" t="inlineStr">
        <is>
          <t>QQQ</t>
        </is>
      </c>
      <c r="B30" s="75" t="n">
        <v>508.2</v>
      </c>
      <c r="C30" s="75" t="inlineStr">
        <is>
          <t>Sell</t>
        </is>
      </c>
      <c r="D30" s="75" t="inlineStr">
        <is>
          <t>Iron Condor</t>
        </is>
      </c>
      <c r="E30" s="76" t="inlineStr">
        <is>
          <t>495/490/525/530</t>
        </is>
      </c>
      <c r="F30" s="77" t="inlineStr">
        <is>
          <t>3/28/26</t>
        </is>
      </c>
      <c r="G30" s="75" t="n">
        <v>1</v>
      </c>
      <c r="H30" s="75">
        <f>IF(ISBLANK(E30),"",IF(OR(D30="Butterfly",D30="Butterfly ",D30="Iron Fly", D30="Iron Fly "),LEN(E30)-LEN(SUBSTITUTE(E30,"/",""))+2,LEN(E30)-LEN(SUBSTITUTE(E30,"/",""))+1))</f>
        <v/>
      </c>
      <c r="I30" s="78">
        <f>IF(ISBLANK(G30),"",IF(D30="Stock","0",Key!$A$3*H30*G30))</f>
        <v/>
      </c>
      <c r="J30" s="78">
        <f>IF(ISBLANK(E30),"",IF(ISNUMBER(SEARCH("/",E30)), IF(LEN(E30)-LEN(SUBSTITUTE(E30,"/",""))=1,(RIGHT(E30,LEN(E30)-FIND("/",E30)))-(LEFT(E30,FIND("/",E30)-1)),(MID(E30, SEARCH("/",E30) + 1, SEARCH("/",E30, SEARCH("/",E30)+1) - SEARCH("/",E30) - 1))-(LEFT(E30,FIND("/",E30)-1))), "NA"))</f>
        <v/>
      </c>
      <c r="K30" s="79" t="n">
        <v>46086</v>
      </c>
      <c r="L30" s="78" t="n">
        <v>3.2</v>
      </c>
      <c r="M30" s="78">
        <f>IF(ISBLANK(L30),"",IF(D30="Stock",IF(C30="Buy",L30*G30,IF(C30="Sell",(L30*G30)-I30, X)),IF(C30="Buy",(L30*G30*100)+I30,IF(C30="Sell",(L30*G30*100)-I30, X))))</f>
        <v/>
      </c>
      <c r="N30" s="78">
        <f>IF(ISBLANK(L30),"",IF(AND(C30="Sell",D30="Stock"),M30,IF(ISBLANK(L30),"",IF(C30="Buy",M30, IF(AND(C30="Sell",J30="NA"),(E30*G30*100*0.1)+I30, IF(C30="Sell",(J30-L30)*(100*G30)+I30))))))</f>
        <v/>
      </c>
      <c r="O30" s="75" t="n"/>
      <c r="P30" s="75" t="n"/>
      <c r="Q30" s="75">
        <f>IF(ISBLANK(P30),"",IF(D30="Stock",P30*G30,IF(P30=0,"0",G30*P30*100-(G30*$AF$14))))</f>
        <v/>
      </c>
      <c r="R30" s="79">
        <f>IF(P30&lt;&gt;"", TODAY(), "")</f>
        <v/>
      </c>
      <c r="S30" s="78">
        <f>IF(AND(K30&lt;&gt;"", R30&lt;&gt;""), R30-K30, "")</f>
        <v/>
      </c>
      <c r="T30" s="78" t="n"/>
      <c r="U30" s="92">
        <f>IF(ISBLANK(P30),"",IF(C30="Buy",Q30-M30+T30, IF(C30="Sell",M30-Q30-T30, X)))</f>
        <v/>
      </c>
      <c r="V30" s="81">
        <f>IF(ISBLANK(P30),"",U30/N30)</f>
        <v/>
      </c>
      <c r="W30" s="81">
        <f>IF(ISBLANK(P30),"",IF(S30=0,(365/0.5)*V30,(365/S30)*V30))</f>
        <v/>
      </c>
      <c r="X30" s="75" t="inlineStr">
        <is>
          <t>Range bound</t>
        </is>
      </c>
      <c r="Y30" s="98" t="n"/>
      <c r="Z30" s="77" t="n"/>
      <c r="AA30" s="75" t="n"/>
      <c r="AB30" s="75" t="n"/>
      <c r="AC30" s="6" t="n"/>
      <c r="AD30" s="91" t="n"/>
      <c r="AE30" s="75" t="n"/>
      <c r="AF30" s="75" t="n"/>
    </row>
    <row r="31" ht="15.75" customHeight="1" s="133">
      <c r="A31" s="75" t="inlineStr">
        <is>
          <t>MSFT</t>
        </is>
      </c>
      <c r="B31" s="75" t="n">
        <v>422.3</v>
      </c>
      <c r="C31" s="75" t="inlineStr">
        <is>
          <t>Sell</t>
        </is>
      </c>
      <c r="D31" s="75" t="inlineStr">
        <is>
          <t>Bull Put Spread</t>
        </is>
      </c>
      <c r="E31" s="76" t="inlineStr">
        <is>
          <t>415/405</t>
        </is>
      </c>
      <c r="F31" s="77" t="inlineStr">
        <is>
          <t>3/21/26</t>
        </is>
      </c>
      <c r="G31" s="75" t="n">
        <v>2</v>
      </c>
      <c r="H31" s="75">
        <f>IF(ISBLANK(E31),"",IF(OR(D31="Butterfly",D31="Butterfly ",D31="Iron Fly", D31="Iron Fly "),LEN(E31)-LEN(SUBSTITUTE(E31,"/",""))+2,LEN(E31)-LEN(SUBSTITUTE(E31,"/",""))+1))</f>
        <v/>
      </c>
      <c r="I31" s="78">
        <f>IF(ISBLANK(G31),"",IF(D31="Stock","0",Key!$A$3*H31*G31))</f>
        <v/>
      </c>
      <c r="J31" s="78">
        <f>IF(ISBLANK(E31),"",IF(ISNUMBER(SEARCH("/",E31)), IF(LEN(E31)-LEN(SUBSTITUTE(E31,"/",""))=1,(RIGHT(E31,LEN(E31)-FIND("/",E31)))-(LEFT(E31,FIND("/",E31)-1)),(MID(E31, SEARCH("/",E31) + 1, SEARCH("/",E31, SEARCH("/",E31)+1) - SEARCH("/",E31) - 1))-(LEFT(E31,FIND("/",E31)-1))), "NA"))</f>
        <v/>
      </c>
      <c r="K31" s="79" t="n">
        <v>46086</v>
      </c>
      <c r="L31" s="78" t="n">
        <v>1.75</v>
      </c>
      <c r="M31" s="78">
        <f>IF(ISBLANK(L31),"",IF(D31="Stock",IF(C31="Buy",L31*G31,IF(C31="Sell",(L31*G31)-I31, X)),IF(C31="Buy",(L31*G31*100)+I31,IF(C31="Sell",(L31*G31*100)-I31, X))))</f>
        <v/>
      </c>
      <c r="N31" s="78">
        <f>IF(ISBLANK(L31),"",IF(AND(C31="Sell",D31="Stock"),M31,IF(ISBLANK(L31),"",IF(C31="Buy",M31, IF(AND(C31="Sell",J31="NA"),(E31*G31*100*0.1)+I31, IF(C31="Sell",(J31-L31)*(100*G31)+I31))))))</f>
        <v/>
      </c>
      <c r="O31" s="75" t="n"/>
      <c r="P31" s="75" t="n"/>
      <c r="Q31" s="75">
        <f>IF(ISBLANK(P31),"",IF(D31="Stock",P31*G31,IF(P31=0,"0",G31*P31*100-(G31*$AF$14))))</f>
        <v/>
      </c>
      <c r="R31" s="79">
        <f>IF(P31&lt;&gt;"", TODAY(), "")</f>
        <v/>
      </c>
      <c r="S31" s="78">
        <f>IF(AND(K31&lt;&gt;"", R31&lt;&gt;""), R31-K31, "")</f>
        <v/>
      </c>
      <c r="T31" s="78" t="n"/>
      <c r="U31" s="92">
        <f>IF(ISBLANK(P31),"",IF(C31="Buy",Q31-M31+T31, IF(C31="Sell",M31-Q31-T31, X)))</f>
        <v/>
      </c>
      <c r="V31" s="81">
        <f>IF(ISBLANK(P31),"",U31/N31)</f>
        <v/>
      </c>
      <c r="W31" s="81">
        <f>IF(ISBLANK(P31),"",IF(S31=0,(365/0.5)*V31,(365/S31)*V31))</f>
        <v/>
      </c>
      <c r="X31" s="75" t="inlineStr">
        <is>
          <t>Trend following</t>
        </is>
      </c>
      <c r="Y31" s="98" t="n"/>
      <c r="Z31" s="77" t="n"/>
      <c r="AA31" s="75" t="n"/>
      <c r="AB31" s="75" t="n"/>
      <c r="AC31" s="6" t="n"/>
      <c r="AD31" s="75" t="n"/>
      <c r="AE31" s="75" t="n"/>
      <c r="AF31" s="75" t="n"/>
    </row>
    <row r="32" ht="15.75" customHeight="1" s="133">
      <c r="A32" s="75" t="inlineStr">
        <is>
          <t>META</t>
        </is>
      </c>
      <c r="B32" s="75" t="n">
        <v>625.8</v>
      </c>
      <c r="C32" s="75" t="inlineStr">
        <is>
          <t>Sell</t>
        </is>
      </c>
      <c r="D32" s="75" t="inlineStr">
        <is>
          <t>Covered Call</t>
        </is>
      </c>
      <c r="E32" s="76" t="inlineStr">
        <is>
          <t>635</t>
        </is>
      </c>
      <c r="F32" s="77" t="inlineStr">
        <is>
          <t>3/21/26</t>
        </is>
      </c>
      <c r="G32" s="75" t="n">
        <v>1</v>
      </c>
      <c r="H32" s="75">
        <f>IF(ISBLANK(E32),"",IF(OR(D32="Butterfly",D32="Butterfly ",D32="Iron Fly", D32="Iron Fly "),LEN(E32)-LEN(SUBSTITUTE(E32,"/",""))+2,LEN(E32)-LEN(SUBSTITUTE(E32,"/",""))+1))</f>
        <v/>
      </c>
      <c r="I32" s="78">
        <f>IF(ISBLANK(G32),"",IF(D32="Stock","0",Key!$A$3*H32*G32))</f>
        <v/>
      </c>
      <c r="J32" s="78">
        <f>IF(ISBLANK(E32),"",IF(ISNUMBER(SEARCH("/",E32)), IF(LEN(E32)-LEN(SUBSTITUTE(E32,"/",""))=1,(RIGHT(E32,LEN(E32)-FIND("/",E32)))-(LEFT(E32,FIND("/",E32)-1)),(MID(E32, SEARCH("/",E32) + 1, SEARCH("/",E32, SEARCH("/",E32)+1) - SEARCH("/",E32) - 1))-(LEFT(E32,FIND("/",E32)-1))), "NA"))</f>
        <v/>
      </c>
      <c r="K32" s="79" t="n">
        <v>46087</v>
      </c>
      <c r="L32" s="78" t="n">
        <v>5.2</v>
      </c>
      <c r="M32" s="78">
        <f>IF(ISBLANK(L32),"",IF(D32="Stock",IF(C32="Buy",L32*G32,IF(C32="Sell",(L32*G32)-I32, X)),IF(C32="Buy",(L32*G32*100)+I32,IF(C32="Sell",(L32*G32*100)-I32, X))))</f>
        <v/>
      </c>
      <c r="N32" s="78">
        <f>IF(ISBLANK(L32),"",IF(AND(C32="Sell",D32="Stock"),M32,IF(ISBLANK(L32),"",IF(C32="Buy",M32, IF(AND(C32="Sell",J32="NA"),(E32*G32*100*0.1)+I32, IF(C32="Sell",(J32-L32)*(100*G32)+I32))))))</f>
        <v/>
      </c>
      <c r="O32" s="75" t="n"/>
      <c r="P32" s="75" t="n"/>
      <c r="Q32" s="75">
        <f>IF(ISBLANK(P32),"",IF(D32="Stock",P32*G32,IF(P32=0,"0",G32*P32*100-(G32*$AF$14))))</f>
        <v/>
      </c>
      <c r="R32" s="79">
        <f>IF(P32&lt;&gt;"", TODAY(), "")</f>
        <v/>
      </c>
      <c r="S32" s="78">
        <f>IF(AND(K32&lt;&gt;"", R32&lt;&gt;""), R32-K32, "")</f>
        <v/>
      </c>
      <c r="T32" s="78" t="n"/>
      <c r="U32" s="92">
        <f>IF(ISBLANK(P32),"",IF(C32="Buy",Q32-M32+T32, IF(C32="Sell",M32-Q32-T32, X)))</f>
        <v/>
      </c>
      <c r="V32" s="81">
        <f>IF(ISBLANK(P32),"",U32/N32)</f>
        <v/>
      </c>
      <c r="W32" s="81">
        <f>IF(ISBLANK(P32),"",IF(S32=0,(365/0.5)*V32,(365/S32)*V32))</f>
        <v/>
      </c>
      <c r="X32" s="75" t="inlineStr">
        <is>
          <t>Resistance play</t>
        </is>
      </c>
      <c r="Y32" s="98" t="n"/>
      <c r="Z32" s="77" t="n"/>
      <c r="AA32" s="75" t="n"/>
      <c r="AB32" s="75" t="n"/>
      <c r="AC32" s="6" t="n"/>
      <c r="AD32" s="34" t="n"/>
      <c r="AE32" s="75" t="n"/>
      <c r="AF32" s="75" t="n"/>
    </row>
    <row r="33" ht="15.75" customHeight="1" s="133">
      <c r="A33" s="75" t="inlineStr">
        <is>
          <t>AMZN</t>
        </is>
      </c>
      <c r="B33" s="75" t="n">
        <v>232.5</v>
      </c>
      <c r="C33" s="75" t="inlineStr">
        <is>
          <t>Sell</t>
        </is>
      </c>
      <c r="D33" s="75" t="inlineStr">
        <is>
          <t>Cash Secured Put</t>
        </is>
      </c>
      <c r="E33" s="76" t="inlineStr">
        <is>
          <t>228</t>
        </is>
      </c>
      <c r="F33" s="77" t="inlineStr">
        <is>
          <t>3/28/26</t>
        </is>
      </c>
      <c r="G33" s="75" t="n">
        <v>2</v>
      </c>
      <c r="H33" s="75">
        <f>IF(ISBLANK(E33),"",IF(OR(D33="Butterfly",D33="Butterfly ",D33="Iron Fly", D33="Iron Fly "),LEN(E33)-LEN(SUBSTITUTE(E33,"/",""))+2,LEN(E33)-LEN(SUBSTITUTE(E33,"/",""))+1))</f>
        <v/>
      </c>
      <c r="I33" s="78">
        <f>IF(ISBLANK(G33),"",IF(D33="Stock","0",Key!$A$3*H33*G33))</f>
        <v/>
      </c>
      <c r="J33" s="78">
        <f>IF(ISBLANK(E33),"",IF(ISNUMBER(SEARCH("/",E33)), IF(LEN(E33)-LEN(SUBSTITUTE(E33,"/",""))=1,(RIGHT(E33,LEN(E33)-FIND("/",E33)))-(LEFT(E33,FIND("/",E33)-1)),(MID(E33, SEARCH("/",E33) + 1, SEARCH("/",E33, SEARCH("/",E33)+1) - SEARCH("/",E33) - 1))-(LEFT(E33,FIND("/",E33)-1))), "NA"))</f>
        <v/>
      </c>
      <c r="K33" s="79" t="n">
        <v>46087</v>
      </c>
      <c r="L33" s="78" t="n">
        <v>3.1</v>
      </c>
      <c r="M33" s="78">
        <f>IF(ISBLANK(L33),"",IF(D33="Stock",IF(C33="Buy",L33*G33,IF(C33="Sell",(L33*G33)-I33, X)),IF(C33="Buy",(L33*G33*100)+I33,IF(C33="Sell",(L33*G33*100)-I33, X))))</f>
        <v/>
      </c>
      <c r="N33" s="78">
        <f>IF(ISBLANK(L33),"",IF(AND(C33="Sell",D33="Stock"),M33,IF(ISBLANK(L33),"",IF(C33="Buy",M33, IF(AND(C33="Sell",J33="NA"),(E33*G33*100*0.1)+I33, IF(C33="Sell",(J33-L33)*(100*G33)+I33))))))</f>
        <v/>
      </c>
      <c r="O33" s="75" t="n"/>
      <c r="P33" s="75" t="n"/>
      <c r="Q33" s="75">
        <f>IF(ISBLANK(P33),"",IF(D33="Stock",P33*G33,IF(P33=0,"0",G33*P33*100-(G33*$AF$14))))</f>
        <v/>
      </c>
      <c r="R33" s="79">
        <f>IF(P33&lt;&gt;"", TODAY(), "")</f>
        <v/>
      </c>
      <c r="S33" s="78">
        <f>IF(AND(K33&lt;&gt;"", R33&lt;&gt;""), R33-K33, "")</f>
        <v/>
      </c>
      <c r="T33" s="78" t="n"/>
      <c r="U33" s="92">
        <f>IF(ISBLANK(P33),"",IF(C33="Buy",Q33-M33+T33, IF(C33="Sell",M33-Q33-T33, X)))</f>
        <v/>
      </c>
      <c r="V33" s="81">
        <f>IF(ISBLANK(P33),"",U33/N33)</f>
        <v/>
      </c>
      <c r="W33" s="81">
        <f>IF(ISBLANK(P33),"",IF(S33=0,(365/0.5)*V33,(365/S33)*V33))</f>
        <v/>
      </c>
      <c r="X33" s="75" t="inlineStr">
        <is>
          <t>Pullback entry</t>
        </is>
      </c>
      <c r="Y33" s="98" t="n"/>
      <c r="Z33" s="77" t="n"/>
      <c r="AA33" s="75" t="n"/>
      <c r="AB33" s="75" t="n"/>
      <c r="AC33" s="6" t="n"/>
      <c r="AD33" s="96" t="n"/>
      <c r="AE33" s="75" t="n"/>
      <c r="AF33" s="75" t="n"/>
    </row>
    <row r="34" ht="15.75" customHeight="1" s="133">
      <c r="A34" s="75" t="inlineStr">
        <is>
          <t>SPY</t>
        </is>
      </c>
      <c r="B34" s="75" t="n">
        <v>587.4</v>
      </c>
      <c r="C34" s="75" t="inlineStr">
        <is>
          <t>Sell</t>
        </is>
      </c>
      <c r="D34" s="75" t="inlineStr">
        <is>
          <t>Iron Condor</t>
        </is>
      </c>
      <c r="E34" s="76" t="inlineStr">
        <is>
          <t>572/567/602/607</t>
        </is>
      </c>
      <c r="F34" s="77" t="inlineStr">
        <is>
          <t>3/28/26</t>
        </is>
      </c>
      <c r="G34" s="75" t="n">
        <v>2</v>
      </c>
      <c r="H34" s="75">
        <f>IF(ISBLANK(E34),"",IF(OR(D34="Butterfly",D34="Butterfly ",D34="Iron Fly", D34="Iron Fly "),LEN(E34)-LEN(SUBSTITUTE(E34,"/",""))+2,LEN(E34)-LEN(SUBSTITUTE(E34,"/",""))+1))</f>
        <v/>
      </c>
      <c r="I34" s="78">
        <f>IF(ISBLANK(G34),"",IF(D34="Stock","0",Key!$A$3*H34*G34))</f>
        <v/>
      </c>
      <c r="J34" s="78">
        <f>IF(ISBLANK(E34),"",IF(ISNUMBER(SEARCH("/",E34)), IF(LEN(E34)-LEN(SUBSTITUTE(E34,"/",""))=1,(RIGHT(E34,LEN(E34)-FIND("/",E34)))-(LEFT(E34,FIND("/",E34)-1)),(MID(E34, SEARCH("/",E34) + 1, SEARCH("/",E34, SEARCH("/",E34)+1) - SEARCH("/",E34) - 1))-(LEFT(E34,FIND("/",E34)-1))), "NA"))</f>
        <v/>
      </c>
      <c r="K34" s="79" t="n">
        <v>46088</v>
      </c>
      <c r="L34" s="78" t="n">
        <v>3.6</v>
      </c>
      <c r="M34" s="78">
        <f>IF(ISBLANK(L34),"",IF(D34="Stock",IF(C34="Buy",L34*G34,IF(C34="Sell",(L34*G34)-I34, X)),IF(C34="Buy",(L34*G34*100)+I34,IF(C34="Sell",(L34*G34*100)-I34, X))))</f>
        <v/>
      </c>
      <c r="N34" s="78">
        <f>IF(ISBLANK(L34),"",IF(AND(C34="Sell",D34="Stock"),M34,IF(ISBLANK(L34),"",IF(C34="Buy",M34, IF(AND(C34="Sell",J34="NA"),(E34*G34*100*0.1)+I34, IF(C34="Sell",(J34-L34)*(100*G34)+I34))))))</f>
        <v/>
      </c>
      <c r="O34" s="75" t="n"/>
      <c r="P34" s="75" t="n"/>
      <c r="Q34" s="75">
        <f>IF(ISBLANK(P34),"",IF(D34="Stock",P34*G34,IF(P34=0,"0",G34*P34*100-(G34*$AF$14))))</f>
        <v/>
      </c>
      <c r="R34" s="79">
        <f>IF(P34&lt;&gt;"", TODAY(), "")</f>
        <v/>
      </c>
      <c r="S34" s="78">
        <f>IF(AND(K34&lt;&gt;"", R34&lt;&gt;""), R34-K34, "")</f>
        <v/>
      </c>
      <c r="T34" s="78" t="n"/>
      <c r="U34" s="92">
        <f>IF(ISBLANK(P34),"",IF(C34="Buy",Q34-M34+T34, IF(C34="Sell",M34-Q34-T34, X)))</f>
        <v/>
      </c>
      <c r="V34" s="81">
        <f>IF(ISBLANK(P34),"",U34/N34)</f>
        <v/>
      </c>
      <c r="W34" s="81">
        <f>IF(ISBLANK(P34),"",IF(S34=0,(365/0.5)*V34,(365/S34)*V34))</f>
        <v/>
      </c>
      <c r="X34" s="75" t="inlineStr">
        <is>
          <t>Weekly income</t>
        </is>
      </c>
      <c r="Y34" s="98" t="n"/>
      <c r="Z34" s="77" t="n"/>
      <c r="AA34" s="75" t="n"/>
      <c r="AB34" s="75" t="n"/>
      <c r="AC34" s="6" t="n"/>
      <c r="AD34" s="75" t="n"/>
      <c r="AE34" s="75" t="n"/>
      <c r="AF34" s="75" t="n"/>
    </row>
    <row r="35" ht="15.75" customHeight="1" s="133">
      <c r="A35" s="75" t="inlineStr">
        <is>
          <t>GOOGL</t>
        </is>
      </c>
      <c r="B35" s="75" t="n">
        <v>182.4</v>
      </c>
      <c r="C35" s="75" t="inlineStr">
        <is>
          <t>Sell</t>
        </is>
      </c>
      <c r="D35" s="75" t="inlineStr">
        <is>
          <t>Bull Put Spread</t>
        </is>
      </c>
      <c r="E35" s="76" t="inlineStr">
        <is>
          <t>178/168</t>
        </is>
      </c>
      <c r="F35" s="77" t="inlineStr">
        <is>
          <t>3/21/26</t>
        </is>
      </c>
      <c r="G35" s="75" t="n">
        <v>2</v>
      </c>
      <c r="H35" s="75">
        <f>IF(ISBLANK(E35),"",IF(OR(D35="Butterfly",D35="Butterfly ",D35="Iron Fly", D35="Iron Fly "),LEN(E35)-LEN(SUBSTITUTE(E35,"/",""))+2,LEN(E35)-LEN(SUBSTITUTE(E35,"/",""))+1))</f>
        <v/>
      </c>
      <c r="I35" s="78">
        <f>IF(ISBLANK(G35),"",IF(D35="Stock","0",Key!$A$3*H35*G35))</f>
        <v/>
      </c>
      <c r="J35" s="78">
        <f>IF(ISBLANK(E35),"",IF(ISNUMBER(SEARCH("/",E35)), IF(LEN(E35)-LEN(SUBSTITUTE(E35,"/",""))=1,(RIGHT(E35,LEN(E35)-FIND("/",E35)))-(LEFT(E35,FIND("/",E35)-1)),(MID(E35, SEARCH("/",E35) + 1, SEARCH("/",E35, SEARCH("/",E35)+1) - SEARCH("/",E35) - 1))-(LEFT(E35,FIND("/",E35)-1))), "NA"))</f>
        <v/>
      </c>
      <c r="K35" s="79" t="n">
        <v>46089</v>
      </c>
      <c r="L35" s="78" t="n">
        <v>2.05</v>
      </c>
      <c r="M35" s="78">
        <f>IF(ISBLANK(L35),"",IF(D35="Stock",IF(C35="Buy",L35*G35,IF(C35="Sell",(L35*G35)-I35, X)),IF(C35="Buy",(L35*G35*100)+I35,IF(C35="Sell",(L35*G35*100)-I35, X))))</f>
        <v/>
      </c>
      <c r="N35" s="78">
        <f>IF(ISBLANK(L35),"",IF(AND(C35="Sell",D35="Stock"),M35,IF(ISBLANK(L35),"",IF(C35="Buy",M35, IF(AND(C35="Sell",J35="NA"),(E35*G35*100*0.1)+I35, IF(C35="Sell",(J35-L35)*(100*G35)+I35))))))</f>
        <v/>
      </c>
      <c r="O35" s="75" t="n"/>
      <c r="P35" s="75" t="n"/>
      <c r="Q35" s="75">
        <f>IF(ISBLANK(P35),"",IF(D35="Stock",P35*G35,IF(P35=0,"0",G35*P35*100-(G35*$AF$14))))</f>
        <v/>
      </c>
      <c r="R35" s="79">
        <f>IF(P35&lt;&gt;"", TODAY(), "")</f>
        <v/>
      </c>
      <c r="S35" s="78">
        <f>IF(AND(K35&lt;&gt;"", R35&lt;&gt;""), R35-K35, "")</f>
        <v/>
      </c>
      <c r="T35" s="78" t="n"/>
      <c r="U35" s="92">
        <f>IF(ISBLANK(P35),"",IF(C35="Buy",Q35-M35+T35, IF(C35="Sell",M35-Q35-T35, X)))</f>
        <v/>
      </c>
      <c r="V35" s="81">
        <f>IF(ISBLANK(P35),"",U35/N35)</f>
        <v/>
      </c>
      <c r="W35" s="81">
        <f>IF(ISBLANK(P35),"",IF(S35=0,(365/0.5)*V35,(365/S35)*V35))</f>
        <v/>
      </c>
      <c r="X35" s="75" t="inlineStr">
        <is>
          <t>Support level</t>
        </is>
      </c>
      <c r="Y35" s="98" t="n"/>
      <c r="Z35" s="77" t="n"/>
      <c r="AA35" s="75" t="n"/>
      <c r="AB35" s="75" t="n"/>
      <c r="AC35" s="6" t="n"/>
      <c r="AD35" s="84" t="n"/>
      <c r="AE35" s="75" t="n"/>
      <c r="AF35" s="75" t="n"/>
    </row>
    <row r="36" ht="15.75" customHeight="1" s="133">
      <c r="A36" s="75" t="inlineStr">
        <is>
          <t>AAPL</t>
        </is>
      </c>
      <c r="B36" s="75" t="n">
        <v>230.2</v>
      </c>
      <c r="C36" s="75" t="inlineStr">
        <is>
          <t>Sell</t>
        </is>
      </c>
      <c r="D36" s="75" t="inlineStr">
        <is>
          <t>Cash Secured Put</t>
        </is>
      </c>
      <c r="E36" s="76" t="inlineStr">
        <is>
          <t>225</t>
        </is>
      </c>
      <c r="F36" s="77" t="inlineStr">
        <is>
          <t>3/28/26</t>
        </is>
      </c>
      <c r="G36" s="75" t="n">
        <v>1</v>
      </c>
      <c r="H36" s="75">
        <f>IF(ISBLANK(E36),"",IF(OR(D36="Butterfly",D36="Butterfly ",D36="Iron Fly", D36="Iron Fly "),LEN(E36)-LEN(SUBSTITUTE(E36,"/",""))+2,LEN(E36)-LEN(SUBSTITUTE(E36,"/",""))+1))</f>
        <v/>
      </c>
      <c r="I36" s="78">
        <f>IF(ISBLANK(G36),"",IF(D36="Stock","0",Key!$A$3*H36*G36))</f>
        <v/>
      </c>
      <c r="J36" s="78">
        <f>IF(ISBLANK(E36),"",IF(ISNUMBER(SEARCH("/",E36)), IF(LEN(E36)-LEN(SUBSTITUTE(E36,"/",""))=1,(RIGHT(E36,LEN(E36)-FIND("/",E36)))-(LEFT(E36,FIND("/",E36)-1)),(MID(E36, SEARCH("/",E36) + 1, SEARCH("/",E36, SEARCH("/",E36)+1) - SEARCH("/",E36) - 1))-(LEFT(E36,FIND("/",E36)-1))), "NA"))</f>
        <v/>
      </c>
      <c r="K36" s="79" t="n">
        <v>46090</v>
      </c>
      <c r="L36" s="78" t="n">
        <v>2.6</v>
      </c>
      <c r="M36" s="78">
        <f>IF(ISBLANK(L36),"",IF(D36="Stock",IF(C36="Buy",L36*G36,IF(C36="Sell",(L36*G36)-I36, X)),IF(C36="Buy",(L36*G36*100)+I36,IF(C36="Sell",(L36*G36*100)-I36, X))))</f>
        <v/>
      </c>
      <c r="N36" s="78">
        <f>IF(ISBLANK(L36),"",IF(AND(C36="Sell",D36="Stock"),M36,IF(ISBLANK(L36),"",IF(C36="Buy",M36, IF(AND(C36="Sell",J36="NA"),(E36*G36*100*0.1)+I36, IF(C36="Sell",(J36-L36)*(100*G36)+I36))))))</f>
        <v/>
      </c>
      <c r="O36" s="75" t="n"/>
      <c r="P36" s="75" t="n"/>
      <c r="Q36" s="75">
        <f>IF(ISBLANK(P36),"",IF(D36="Stock",P36*G36,IF(P36=0,"0",G36*P36*100-(G36*$AF$14))))</f>
        <v/>
      </c>
      <c r="R36" s="79">
        <f>IF(P36&lt;&gt;"", TODAY(), "")</f>
        <v/>
      </c>
      <c r="S36" s="78">
        <f>IF(AND(K36&lt;&gt;"", R36&lt;&gt;""), R36-K36, "")</f>
        <v/>
      </c>
      <c r="T36" s="78" t="n"/>
      <c r="U36" s="92">
        <f>IF(ISBLANK(P36),"",IF(C36="Buy",Q36-M36+T36, IF(C36="Sell",M36-Q36-T36, X)))</f>
        <v/>
      </c>
      <c r="V36" s="81">
        <f>IF(ISBLANK(P36),"",U36/N36)</f>
        <v/>
      </c>
      <c r="W36" s="81">
        <f>IF(ISBLANK(P36),"",IF(S36=0,(365/0.5)*V36,(365/S36)*V36))</f>
        <v/>
      </c>
      <c r="X36" s="75" t="inlineStr">
        <is>
          <t>Pullback support</t>
        </is>
      </c>
      <c r="Y36" s="98" t="n"/>
      <c r="Z36" s="77" t="n"/>
      <c r="AA36" s="75" t="n"/>
      <c r="AB36" s="75" t="n"/>
      <c r="AC36" s="6" t="n"/>
      <c r="AD36" s="99" t="n"/>
      <c r="AE36" s="75" t="n"/>
      <c r="AF36" s="75" t="n"/>
    </row>
    <row r="37" ht="15.75" customHeight="1" s="133">
      <c r="A37" s="75" t="inlineStr">
        <is>
          <t>NVDA</t>
        </is>
      </c>
      <c r="B37" s="75" t="n">
        <v>147.3</v>
      </c>
      <c r="C37" s="75" t="inlineStr">
        <is>
          <t>Sell</t>
        </is>
      </c>
      <c r="D37" s="75" t="inlineStr">
        <is>
          <t>Iron Fly</t>
        </is>
      </c>
      <c r="E37" s="76" t="inlineStr">
        <is>
          <t>140/147/154</t>
        </is>
      </c>
      <c r="F37" s="77" t="inlineStr">
        <is>
          <t>3/21/26</t>
        </is>
      </c>
      <c r="G37" s="75" t="n">
        <v>1</v>
      </c>
      <c r="H37" s="75">
        <f>IF(ISBLANK(E37),"",IF(OR(D37="Butterfly",D37="Butterfly ",D37="Iron Fly", D37="Iron Fly "),LEN(E37)-LEN(SUBSTITUTE(E37,"/",""))+2,LEN(E37)-LEN(SUBSTITUTE(E37,"/",""))+1))</f>
        <v/>
      </c>
      <c r="I37" s="78">
        <f>IF(ISBLANK(G37),"",IF(D37="Stock","0",Key!$A$3*H37*G37))</f>
        <v/>
      </c>
      <c r="J37" s="78">
        <f>IF(ISBLANK(E37),"",IF(ISNUMBER(SEARCH("/",E37)), IF(LEN(E37)-LEN(SUBSTITUTE(E37,"/",""))=1,(RIGHT(E37,LEN(E37)-FIND("/",E37)))-(LEFT(E37,FIND("/",E37)-1)),(MID(E37, SEARCH("/",E37) + 1, SEARCH("/",E37, SEARCH("/",E37)+1) - SEARCH("/",E37) - 1))-(LEFT(E37,FIND("/",E37)-1))), "NA"))</f>
        <v/>
      </c>
      <c r="K37" s="79" t="n">
        <v>46091</v>
      </c>
      <c r="L37" s="78" t="n">
        <v>7.2</v>
      </c>
      <c r="M37" s="78">
        <f>IF(ISBLANK(L37),"",IF(D37="Stock",IF(C37="Buy",L37*G37,IF(C37="Sell",(L37*G37)-I37, X)),IF(C37="Buy",(L37*G37*100)+I37,IF(C37="Sell",(L37*G37*100)-I37, X))))</f>
        <v/>
      </c>
      <c r="N37" s="78">
        <f>IF(ISBLANK(L37),"",IF(AND(C37="Sell",D37="Stock"),M37,IF(ISBLANK(L37),"",IF(C37="Buy",M37, IF(AND(C37="Sell",J37="NA"),(E37*G37*100*0.1)+I37, IF(C37="Sell",(J37-L37)*(100*G37)+I37))))))</f>
        <v/>
      </c>
      <c r="O37" s="75" t="n"/>
      <c r="P37" s="75" t="n"/>
      <c r="Q37" s="75">
        <f>IF(ISBLANK(P37),"",IF(D37="Stock",P37*G37,IF(P37=0,"0",G37*P37*100-(G37*$AF$14))))</f>
        <v/>
      </c>
      <c r="R37" s="79">
        <f>IF(P37&lt;&gt;"", TODAY(), "")</f>
        <v/>
      </c>
      <c r="S37" s="78">
        <f>IF(AND(K37&lt;&gt;"", R37&lt;&gt;""), R37-K37, "")</f>
        <v/>
      </c>
      <c r="T37" s="78" t="n"/>
      <c r="U37" s="92">
        <f>IF(ISBLANK(P37),"",IF(C37="Buy",Q37-M37+T37, IF(C37="Sell",M37-Q37-T37, X)))</f>
        <v/>
      </c>
      <c r="V37" s="81">
        <f>IF(ISBLANK(P37),"",U37/N37)</f>
        <v/>
      </c>
      <c r="W37" s="81">
        <f>IF(ISBLANK(P37),"",IF(S37=0,(365/0.5)*V37,(365/S37)*V37))</f>
        <v/>
      </c>
      <c r="X37" s="75" t="inlineStr">
        <is>
          <t>IV crush</t>
        </is>
      </c>
      <c r="Y37" s="98" t="n"/>
      <c r="Z37" s="77" t="n"/>
      <c r="AA37" s="75" t="n"/>
      <c r="AB37" s="75" t="n"/>
      <c r="AC37" s="6" t="n"/>
      <c r="AD37" s="75" t="n"/>
      <c r="AE37" s="75" t="n"/>
      <c r="AF37" s="75" t="n"/>
    </row>
    <row r="38" ht="15.75" customHeight="1" s="133">
      <c r="A38" s="75" t="inlineStr">
        <is>
          <t>TSLA</t>
        </is>
      </c>
      <c r="B38" s="75" t="n">
        <v>290.6</v>
      </c>
      <c r="C38" s="75" t="inlineStr">
        <is>
          <t>Sell</t>
        </is>
      </c>
      <c r="D38" s="75" t="inlineStr">
        <is>
          <t>Covered Call</t>
        </is>
      </c>
      <c r="E38" s="76" t="inlineStr">
        <is>
          <t>300</t>
        </is>
      </c>
      <c r="F38" s="77" t="inlineStr">
        <is>
          <t>3/28/26</t>
        </is>
      </c>
      <c r="G38" s="75" t="n">
        <v>1</v>
      </c>
      <c r="H38" s="75">
        <f>IF(ISBLANK(E38),"",IF(OR(D38="Butterfly",D38="Butterfly ",D38="Iron Fly", D38="Iron Fly "),LEN(E38)-LEN(SUBSTITUTE(E38,"/",""))+2,LEN(E38)-LEN(SUBSTITUTE(E38,"/",""))+1))</f>
        <v/>
      </c>
      <c r="I38" s="78">
        <f>IF(ISBLANK(G38),"",IF(D38="Stock","0",Key!$A$3*H38*G38))</f>
        <v/>
      </c>
      <c r="J38" s="78">
        <f>IF(ISBLANK(E38),"",IF(ISNUMBER(SEARCH("/",E38)), IF(LEN(E38)-LEN(SUBSTITUTE(E38,"/",""))=1,(RIGHT(E38,LEN(E38)-FIND("/",E38)))-(LEFT(E38,FIND("/",E38)-1)),(MID(E38, SEARCH("/",E38) + 1, SEARCH("/",E38, SEARCH("/",E38)+1) - SEARCH("/",E38) - 1))-(LEFT(E38,FIND("/",E38)-1))), "NA"))</f>
        <v/>
      </c>
      <c r="K38" s="79" t="n">
        <v>46092</v>
      </c>
      <c r="L38" s="78" t="n">
        <v>4.8</v>
      </c>
      <c r="M38" s="78">
        <f>IF(ISBLANK(L38),"",IF(D38="Stock",IF(C38="Buy",L38*G38,IF(C38="Sell",(L38*G38)-I38, X)),IF(C38="Buy",(L38*G38*100)+I38,IF(C38="Sell",(L38*G38*100)-I38, X))))</f>
        <v/>
      </c>
      <c r="N38" s="78">
        <f>IF(ISBLANK(L38),"",IF(AND(C38="Sell",D38="Stock"),M38,IF(ISBLANK(L38),"",IF(C38="Buy",M38, IF(AND(C38="Sell",J38="NA"),(E38*G38*100*0.1)+I38, IF(C38="Sell",(J38-L38)*(100*G38)+I38))))))</f>
        <v/>
      </c>
      <c r="O38" s="75" t="n"/>
      <c r="P38" s="75" t="n"/>
      <c r="Q38" s="75">
        <f>IF(ISBLANK(P38),"",IF(D38="Stock",P38*G38,IF(P38=0,"0",G38*P38*100-(G38*$AF$14))))</f>
        <v/>
      </c>
      <c r="R38" s="79">
        <f>IF(P38&lt;&gt;"", TODAY(), "")</f>
        <v/>
      </c>
      <c r="S38" s="78">
        <f>IF(AND(K38&lt;&gt;"", R38&lt;&gt;""), R38-K38, "")</f>
        <v/>
      </c>
      <c r="T38" s="78" t="n"/>
      <c r="U38" s="92">
        <f>IF(ISBLANK(P38),"",IF(C38="Buy",Q38-M38+T38, IF(C38="Sell",M38-Q38-T38, X)))</f>
        <v/>
      </c>
      <c r="V38" s="81">
        <f>IF(ISBLANK(P38),"",U38/N38)</f>
        <v/>
      </c>
      <c r="W38" s="81">
        <f>IF(ISBLANK(P38),"",IF(S38=0,(365/0.5)*V38,(365/S38)*V38))</f>
        <v/>
      </c>
      <c r="X38" s="75" t="inlineStr">
        <is>
          <t>Resistance at 300</t>
        </is>
      </c>
      <c r="Y38" s="98" t="n"/>
      <c r="Z38" s="77" t="n"/>
      <c r="AA38" s="75" t="n"/>
      <c r="AB38" s="75" t="n"/>
      <c r="AC38" s="6" t="n"/>
      <c r="AD38" s="84" t="n"/>
      <c r="AE38" s="75" t="n"/>
      <c r="AF38" s="75" t="n"/>
    </row>
    <row r="39" ht="15.75" customHeight="1" s="133">
      <c r="A39" s="75" t="n"/>
      <c r="B39" s="75" t="n"/>
      <c r="C39" s="75" t="n"/>
      <c r="D39" s="75" t="n"/>
      <c r="E39" s="76" t="n"/>
      <c r="F39" s="77" t="n"/>
      <c r="G39" s="75" t="n"/>
      <c r="H39" s="75">
        <f>IF(ISBLANK(E39),"",IF(OR(D39="Butterfly",D39="Butterfly ",D39="Iron Fly", D39="Iron Fly "),LEN(E39)-LEN(SUBSTITUTE(E39,"/",""))+2,LEN(E39)-LEN(SUBSTITUTE(E39,"/",""))+1))</f>
        <v/>
      </c>
      <c r="I39" s="78">
        <f>IF(ISBLANK(G39),"",IF(D39="Stock","0",Key!$A$3*H39*G39))</f>
        <v/>
      </c>
      <c r="J39" s="78">
        <f>IF(ISBLANK(E39),"",IF(ISNUMBER(SEARCH("/",E39)), IF(LEN(E39)-LEN(SUBSTITUTE(E39,"/",""))=1,(RIGHT(E39,LEN(E39)-FIND("/",E39)))-(LEFT(E39,FIND("/",E39)-1)),(MID(E39, SEARCH("/",E39) + 1, SEARCH("/",E39, SEARCH("/",E39)+1) - SEARCH("/",E39) - 1))-(LEFT(E39,FIND("/",E39)-1))), "NA"))</f>
        <v/>
      </c>
      <c r="K39" s="79">
        <f>IF(A39&lt;&gt;"", IF(ISBLANK(L39), TODAY(), K39), "")</f>
        <v/>
      </c>
      <c r="L39" s="78" t="n"/>
      <c r="M39" s="78">
        <f>IF(ISBLANK(L39),"",IF(D39="Stock",IF(C39="Buy",L39*G39,IF(C39="Sell",(L39*G39)-I39, X)),IF(C39="Buy",(L39*G39*100)+I39,IF(C39="Sell",(L39*G39*100)-I39, X))))</f>
        <v/>
      </c>
      <c r="N39" s="78">
        <f>IF(ISBLANK(L39),"",IF(AND(C39="Sell",D39="Stock"),M39,IF(ISBLANK(L39),"",IF(C39="Buy",M39, IF(AND(C39="Sell",J39="NA"),(E39*G39*100*0.1)+I39, IF(C39="Sell",(J39-L39)*(100*G39)+I39))))))</f>
        <v/>
      </c>
      <c r="O39" s="75" t="n"/>
      <c r="P39" s="75" t="n"/>
      <c r="Q39" s="75">
        <f>IF(ISBLANK(P39),"",IF(D39="Stock",P39*G39,IF(P39=0,"0",G39*P39*100-(G39*$AF$14))))</f>
        <v/>
      </c>
      <c r="R39" s="79">
        <f>IF(P39&lt;&gt;"", TODAY(), "")</f>
        <v/>
      </c>
      <c r="S39" s="78">
        <f>IF(AND(K39&lt;&gt;"", R39&lt;&gt;""), R39-K39, "")</f>
        <v/>
      </c>
      <c r="T39" s="78" t="n"/>
      <c r="U39" s="92">
        <f>IF(ISBLANK(P39),"",IF(C39="Buy",Q39-M39+T39, IF(C39="Sell",M39-Q39-T39, X)))</f>
        <v/>
      </c>
      <c r="V39" s="81">
        <f>IF(ISBLANK(P39),"",U39/N39)</f>
        <v/>
      </c>
      <c r="W39" s="81">
        <f>IF(ISBLANK(P39),"",IF(S39=0,(365/0.5)*V39,(365/S39)*V39))</f>
        <v/>
      </c>
      <c r="X39" s="75" t="n"/>
      <c r="Y39" s="98" t="n"/>
      <c r="Z39" s="77" t="n"/>
      <c r="AA39" s="75" t="n"/>
      <c r="AB39" s="75" t="n"/>
      <c r="AC39" s="6" t="n"/>
      <c r="AD39" s="92" t="n"/>
      <c r="AE39" s="75" t="n"/>
      <c r="AF39" s="75" t="n"/>
    </row>
    <row r="40" ht="15.75" customHeight="1" s="133">
      <c r="A40" s="75" t="n"/>
      <c r="B40" s="75" t="n"/>
      <c r="C40" s="75" t="n"/>
      <c r="D40" s="75" t="n"/>
      <c r="E40" s="76" t="n"/>
      <c r="F40" s="77" t="n"/>
      <c r="G40" s="75" t="n"/>
      <c r="H40" s="75">
        <f>IF(ISBLANK(E40),"",IF(OR(D40="Butterfly",D40="Butterfly ",D40="Iron Fly", D40="Iron Fly "),LEN(E40)-LEN(SUBSTITUTE(E40,"/",""))+2,LEN(E40)-LEN(SUBSTITUTE(E40,"/",""))+1))</f>
        <v/>
      </c>
      <c r="I40" s="78">
        <f>IF(ISBLANK(G40),"",IF(D40="Stock","0",Key!$A$3*H40*G40))</f>
        <v/>
      </c>
      <c r="J40" s="78">
        <f>IF(ISBLANK(E40),"",IF(ISNUMBER(SEARCH("/",E40)), IF(LEN(E40)-LEN(SUBSTITUTE(E40,"/",""))=1,(RIGHT(E40,LEN(E40)-FIND("/",E40)))-(LEFT(E40,FIND("/",E40)-1)),(MID(E40, SEARCH("/",E40) + 1, SEARCH("/",E40, SEARCH("/",E40)+1) - SEARCH("/",E40) - 1))-(LEFT(E40,FIND("/",E40)-1))), "NA"))</f>
        <v/>
      </c>
      <c r="K40" s="79">
        <f>IF(A40&lt;&gt;"", IF(ISBLANK(L40), TODAY(), K40), "")</f>
        <v/>
      </c>
      <c r="L40" s="78" t="n"/>
      <c r="M40" s="78">
        <f>IF(ISBLANK(L40),"",IF(D40="Stock",IF(C40="Buy",L40*G40,IF(C40="Sell",(L40*G40)-I40, X)),IF(C40="Buy",(L40*G40*100)+I40,IF(C40="Sell",(L40*G40*100)-I40, X))))</f>
        <v/>
      </c>
      <c r="N40" s="78">
        <f>IF(ISBLANK(L40),"",IF(AND(C40="Sell",D40="Stock"),M40,IF(ISBLANK(L40),"",IF(C40="Buy",M40, IF(AND(C40="Sell",J40="NA"),(E40*G40*100*0.1)+I40, IF(C40="Sell",(J40-L40)*(100*G40)+I40))))))</f>
        <v/>
      </c>
      <c r="O40" s="75" t="n"/>
      <c r="P40" s="75" t="n"/>
      <c r="Q40" s="75">
        <f>IF(ISBLANK(P40),"",IF(D40="Stock",P40*G40,IF(P40=0,"0",G40*P40*100-(G40*$AF$14))))</f>
        <v/>
      </c>
      <c r="R40" s="79">
        <f>IF(P40&lt;&gt;"", TODAY(), "")</f>
        <v/>
      </c>
      <c r="S40" s="78">
        <f>IF(AND(K40&lt;&gt;"", R40&lt;&gt;""), R40-K40, "")</f>
        <v/>
      </c>
      <c r="T40" s="78" t="n"/>
      <c r="U40" s="92">
        <f>IF(ISBLANK(P40),"",IF(C40="Buy",Q40-M40+T40, IF(C40="Sell",M40-Q40-T40, X)))</f>
        <v/>
      </c>
      <c r="V40" s="81">
        <f>IF(ISBLANK(P40),"",U40/N40)</f>
        <v/>
      </c>
      <c r="W40" s="81">
        <f>IF(ISBLANK(P40),"",IF(S40=0,(365/0.5)*V40,(365/S40)*V40))</f>
        <v/>
      </c>
      <c r="X40" s="75" t="n"/>
      <c r="Y40" s="98" t="n"/>
      <c r="Z40" s="77" t="n"/>
      <c r="AA40" s="75" t="n"/>
      <c r="AB40" s="75" t="n"/>
      <c r="AC40" s="6" t="n"/>
      <c r="AD40" s="75" t="n"/>
      <c r="AE40" s="75" t="n"/>
      <c r="AF40" s="75" t="n"/>
    </row>
    <row r="41" ht="15.75" customHeight="1" s="133">
      <c r="A41" s="75" t="n"/>
      <c r="B41" s="75" t="n"/>
      <c r="C41" s="75" t="n"/>
      <c r="D41" s="75" t="n"/>
      <c r="E41" s="76" t="n"/>
      <c r="F41" s="77" t="n"/>
      <c r="G41" s="75" t="n"/>
      <c r="H41" s="75">
        <f>IF(ISBLANK(E41),"",IF(OR(D41="Butterfly",D41="Butterfly ",D41="Iron Fly", D41="Iron Fly "),LEN(E41)-LEN(SUBSTITUTE(E41,"/",""))+2,LEN(E41)-LEN(SUBSTITUTE(E41,"/",""))+1))</f>
        <v/>
      </c>
      <c r="I41" s="78">
        <f>IF(ISBLANK(G41),"",IF(D41="Stock","0",Key!$A$3*H41*G41))</f>
        <v/>
      </c>
      <c r="J41" s="78">
        <f>IF(ISBLANK(E41),"",IF(ISNUMBER(SEARCH("/",E41)), IF(LEN(E41)-LEN(SUBSTITUTE(E41,"/",""))=1,(RIGHT(E41,LEN(E41)-FIND("/",E41)))-(LEFT(E41,FIND("/",E41)-1)),(MID(E41, SEARCH("/",E41) + 1, SEARCH("/",E41, SEARCH("/",E41)+1) - SEARCH("/",E41) - 1))-(LEFT(E41,FIND("/",E41)-1))), "NA"))</f>
        <v/>
      </c>
      <c r="K41" s="79">
        <f>IF(A41&lt;&gt;"", IF(ISBLANK(L41), TODAY(), K41), "")</f>
        <v/>
      </c>
      <c r="L41" s="78" t="n"/>
      <c r="M41" s="78">
        <f>IF(ISBLANK(L41),"",IF(D41="Stock",IF(C41="Buy",L41*G41,IF(C41="Sell",(L41*G41)-I41, X)),IF(C41="Buy",(L41*G41*100)+I41,IF(C41="Sell",(L41*G41*100)-I41, X))))</f>
        <v/>
      </c>
      <c r="N41" s="78">
        <f>IF(ISBLANK(L41),"",IF(AND(C41="Sell",D41="Stock"),M41,IF(ISBLANK(L41),"",IF(C41="Buy",M41, IF(AND(C41="Sell",J41="NA"),(E41*G41*100*0.1)+I41, IF(C41="Sell",(J41-L41)*(100*G41)+I41))))))</f>
        <v/>
      </c>
      <c r="O41" s="75" t="n"/>
      <c r="P41" s="75" t="n"/>
      <c r="Q41" s="75">
        <f>IF(ISBLANK(P41),"",IF(D41="Stock",P41*G41,IF(P41=0,"0",G41*P41*100-(G41*$AF$14))))</f>
        <v/>
      </c>
      <c r="R41" s="79">
        <f>IF(P41&lt;&gt;"", TODAY(), "")</f>
        <v/>
      </c>
      <c r="S41" s="78">
        <f>IF(AND(K41&lt;&gt;"", R41&lt;&gt;""), R41-K41, "")</f>
        <v/>
      </c>
      <c r="T41" s="78" t="n"/>
      <c r="U41" s="92">
        <f>IF(ISBLANK(P41),"",IF(C41="Buy",Q41-M41+T41, IF(C41="Sell",M41-Q41-T41, X)))</f>
        <v/>
      </c>
      <c r="V41" s="81">
        <f>IF(ISBLANK(P41),"",U41/N41)</f>
        <v/>
      </c>
      <c r="W41" s="81">
        <f>IF(ISBLANK(P41),"",IF(S41=0,(365/0.5)*V41,(365/S41)*V41))</f>
        <v/>
      </c>
      <c r="X41" s="75" t="n"/>
      <c r="Y41" s="98" t="n"/>
      <c r="Z41" s="77" t="n"/>
      <c r="AA41" s="75" t="n"/>
      <c r="AB41" s="75" t="n"/>
      <c r="AC41" s="6" t="n"/>
      <c r="AD41" s="75" t="n"/>
      <c r="AE41" s="75" t="n"/>
      <c r="AF41" s="75" t="n"/>
    </row>
    <row r="42" ht="15.75" customHeight="1" s="133">
      <c r="A42" s="75" t="n"/>
      <c r="B42" s="75" t="n"/>
      <c r="C42" s="75" t="n"/>
      <c r="D42" s="75" t="n"/>
      <c r="E42" s="76" t="n"/>
      <c r="F42" s="77" t="n"/>
      <c r="G42" s="75" t="n"/>
      <c r="H42" s="75">
        <f>IF(ISBLANK(E42),"",IF(OR(D42="Butterfly",D42="Butterfly ",D42="Iron Fly", D42="Iron Fly "),LEN(E42)-LEN(SUBSTITUTE(E42,"/",""))+2,LEN(E42)-LEN(SUBSTITUTE(E42,"/",""))+1))</f>
        <v/>
      </c>
      <c r="I42" s="78">
        <f>IF(ISBLANK(G42),"",IF(D42="Stock","0",Key!$A$3*H42*G42))</f>
        <v/>
      </c>
      <c r="J42" s="78">
        <f>IF(ISBLANK(E42),"",IF(ISNUMBER(SEARCH("/",E42)), IF(LEN(E42)-LEN(SUBSTITUTE(E42,"/",""))=1,(RIGHT(E42,LEN(E42)-FIND("/",E42)))-(LEFT(E42,FIND("/",E42)-1)),(MID(E42, SEARCH("/",E42) + 1, SEARCH("/",E42, SEARCH("/",E42)+1) - SEARCH("/",E42) - 1))-(LEFT(E42,FIND("/",E42)-1))), "NA"))</f>
        <v/>
      </c>
      <c r="K42" s="79">
        <f>IF(A42&lt;&gt;"", IF(ISBLANK(L42), TODAY(), K42), "")</f>
        <v/>
      </c>
      <c r="L42" s="78" t="n"/>
      <c r="M42" s="78">
        <f>IF(ISBLANK(L42),"",IF(D42="Stock",IF(C42="Buy",L42*G42,IF(C42="Sell",(L42*G42)-I42, X)),IF(C42="Buy",(L42*G42*100)+I42,IF(C42="Sell",(L42*G42*100)-I42, X))))</f>
        <v/>
      </c>
      <c r="N42" s="78">
        <f>IF(ISBLANK(L42),"",IF(AND(C42="Sell",D42="Stock"),M42,IF(ISBLANK(L42),"",IF(C42="Buy",M42, IF(AND(C42="Sell",J42="NA"),(E42*G42*100*0.1)+I42, IF(C42="Sell",(J42-L42)*(100*G42)+I42))))))</f>
        <v/>
      </c>
      <c r="O42" s="75" t="n"/>
      <c r="P42" s="75" t="n"/>
      <c r="Q42" s="75">
        <f>IF(ISBLANK(P42),"",IF(D42="Stock",P42*G42,IF(P42=0,"0",G42*P42*100-(G42*$AF$14))))</f>
        <v/>
      </c>
      <c r="R42" s="79">
        <f>IF(P42&lt;&gt;"", TODAY(), "")</f>
        <v/>
      </c>
      <c r="S42" s="78">
        <f>IF(AND(K42&lt;&gt;"", R42&lt;&gt;""), R42-K42, "")</f>
        <v/>
      </c>
      <c r="T42" s="78" t="n"/>
      <c r="U42" s="92">
        <f>IF(ISBLANK(P42),"",IF(C42="Buy",Q42-M42+T42, IF(C42="Sell",M42-Q42-T42, X)))</f>
        <v/>
      </c>
      <c r="V42" s="81">
        <f>IF(ISBLANK(P42),"",U42/N42)</f>
        <v/>
      </c>
      <c r="W42" s="81">
        <f>IF(ISBLANK(P42),"",IF(S42=0,(365/0.5)*V42,(365/S42)*V42))</f>
        <v/>
      </c>
      <c r="X42" s="75" t="n"/>
      <c r="Y42" s="98" t="n"/>
      <c r="Z42" s="77" t="n"/>
      <c r="AA42" s="75" t="n"/>
      <c r="AB42" s="75" t="n"/>
      <c r="AC42" s="6" t="n"/>
      <c r="AD42" s="82" t="n"/>
      <c r="AE42" s="75" t="n"/>
      <c r="AF42" s="75" t="n"/>
    </row>
    <row r="43" ht="15.75" customHeight="1" s="133">
      <c r="A43" s="75" t="n"/>
      <c r="B43" s="75" t="n"/>
      <c r="C43" s="75" t="n"/>
      <c r="D43" s="75" t="n"/>
      <c r="E43" s="76" t="n"/>
      <c r="F43" s="77" t="n"/>
      <c r="G43" s="75" t="n"/>
      <c r="H43" s="75">
        <f>IF(ISBLANK(E43),"",IF(OR(D43="Butterfly",D43="Butterfly ",D43="Iron Fly", D43="Iron Fly "),LEN(E43)-LEN(SUBSTITUTE(E43,"/",""))+2,LEN(E43)-LEN(SUBSTITUTE(E43,"/",""))+1))</f>
        <v/>
      </c>
      <c r="I43" s="78">
        <f>IF(ISBLANK(G43),"",IF(D43="Stock","0",Key!$A$3*H43*G43))</f>
        <v/>
      </c>
      <c r="J43" s="78">
        <f>IF(ISBLANK(E43),"",IF(ISNUMBER(SEARCH("/",E43)), IF(LEN(E43)-LEN(SUBSTITUTE(E43,"/",""))=1,(RIGHT(E43,LEN(E43)-FIND("/",E43)))-(LEFT(E43,FIND("/",E43)-1)),(MID(E43, SEARCH("/",E43) + 1, SEARCH("/",E43, SEARCH("/",E43)+1) - SEARCH("/",E43) - 1))-(LEFT(E43,FIND("/",E43)-1))), "NA"))</f>
        <v/>
      </c>
      <c r="K43" s="79">
        <f>IF(A43&lt;&gt;"", IF(ISBLANK(L43), TODAY(), K43), "")</f>
        <v/>
      </c>
      <c r="L43" s="78" t="n"/>
      <c r="M43" s="78">
        <f>IF(ISBLANK(L43),"",IF(D43="Stock",IF(C43="Buy",L43*G43,IF(C43="Sell",(L43*G43)-I43, X)),IF(C43="Buy",(L43*G43*100)+I43,IF(C43="Sell",(L43*G43*100)-I43, X))))</f>
        <v/>
      </c>
      <c r="N43" s="78">
        <f>IF(ISBLANK(L43),"",IF(AND(C43="Sell",D43="Stock"),M43,IF(ISBLANK(L43),"",IF(C43="Buy",M43, IF(AND(C43="Sell",J43="NA"),(E43*G43*100*0.1)+I43, IF(C43="Sell",(J43-L43)*(100*G43)+I43))))))</f>
        <v/>
      </c>
      <c r="O43" s="75" t="n"/>
      <c r="P43" s="75" t="n"/>
      <c r="Q43" s="75">
        <f>IF(ISBLANK(P43),"",IF(D43="Stock",P43*G43,IF(P43=0,"0",G43*P43*100-(G43*$AF$14))))</f>
        <v/>
      </c>
      <c r="R43" s="79">
        <f>IF(P43&lt;&gt;"", TODAY(), "")</f>
        <v/>
      </c>
      <c r="S43" s="78">
        <f>IF(AND(K43&lt;&gt;"", R43&lt;&gt;""), R43-K43, "")</f>
        <v/>
      </c>
      <c r="T43" s="78" t="n"/>
      <c r="U43" s="92">
        <f>IF(ISBLANK(P43),"",IF(C43="Buy",Q43-M43+T43, IF(C43="Sell",M43-Q43-T43, X)))</f>
        <v/>
      </c>
      <c r="V43" s="81">
        <f>IF(ISBLANK(P43),"",U43/N43)</f>
        <v/>
      </c>
      <c r="W43" s="81">
        <f>IF(ISBLANK(P43),"",IF(S43=0,(365/0.5)*V43,(365/S43)*V43))</f>
        <v/>
      </c>
      <c r="X43" s="75" t="n"/>
      <c r="Y43" s="98" t="n"/>
      <c r="Z43" s="77" t="n"/>
      <c r="AA43" s="75" t="n"/>
      <c r="AB43" s="75" t="n"/>
      <c r="AC43" s="75" t="n"/>
      <c r="AD43" s="75" t="n"/>
      <c r="AE43" s="75" t="n"/>
      <c r="AF43" s="75" t="n"/>
    </row>
    <row r="44" ht="15.75" customHeight="1" s="133">
      <c r="A44" s="75" t="n"/>
      <c r="B44" s="75" t="n"/>
      <c r="C44" s="75" t="n"/>
      <c r="D44" s="75" t="n"/>
      <c r="E44" s="76" t="n"/>
      <c r="F44" s="77" t="n"/>
      <c r="G44" s="75" t="n"/>
      <c r="H44" s="75">
        <f>IF(ISBLANK(E44),"",IF(OR(D44="Butterfly",D44="Butterfly ",D44="Iron Fly", D44="Iron Fly "),LEN(E44)-LEN(SUBSTITUTE(E44,"/",""))+2,LEN(E44)-LEN(SUBSTITUTE(E44,"/",""))+1))</f>
        <v/>
      </c>
      <c r="I44" s="78">
        <f>IF(ISBLANK(G44),"",IF(D44="Stock","0",Key!$A$3*H44*G44))</f>
        <v/>
      </c>
      <c r="J44" s="78">
        <f>IF(ISBLANK(E44),"",IF(ISNUMBER(SEARCH("/",E44)), IF(LEN(E44)-LEN(SUBSTITUTE(E44,"/",""))=1,(RIGHT(E44,LEN(E44)-FIND("/",E44)))-(LEFT(E44,FIND("/",E44)-1)),(MID(E44, SEARCH("/",E44) + 1, SEARCH("/",E44, SEARCH("/",E44)+1) - SEARCH("/",E44) - 1))-(LEFT(E44,FIND("/",E44)-1))), "NA"))</f>
        <v/>
      </c>
      <c r="K44" s="79">
        <f>IF(A44&lt;&gt;"", IF(ISBLANK(L44), TODAY(), K44), "")</f>
        <v/>
      </c>
      <c r="L44" s="78" t="n"/>
      <c r="M44" s="78">
        <f>IF(ISBLANK(L44),"",IF(D44="Stock",IF(C44="Buy",L44*G44,IF(C44="Sell",(L44*G44)-I44, X)),IF(C44="Buy",(L44*G44*100)+I44,IF(C44="Sell",(L44*G44*100)-I44, X))))</f>
        <v/>
      </c>
      <c r="N44" s="78">
        <f>IF(ISBLANK(L44),"",IF(AND(C44="Sell",D44="Stock"),M44,IF(ISBLANK(L44),"",IF(C44="Buy",M44, IF(AND(C44="Sell",J44="NA"),(E44*G44*100*0.1)+I44, IF(C44="Sell",(J44-L44)*(100*G44)+I44))))))</f>
        <v/>
      </c>
      <c r="O44" s="75" t="n"/>
      <c r="P44" s="75" t="n"/>
      <c r="Q44" s="75">
        <f>IF(ISBLANK(P44),"",IF(D44="Stock",P44*G44,IF(P44=0,"0",G44*P44*100-(G44*$AF$14))))</f>
        <v/>
      </c>
      <c r="R44" s="79">
        <f>IF(P44&lt;&gt;"", TODAY(), "")</f>
        <v/>
      </c>
      <c r="S44" s="78">
        <f>IF(AND(K44&lt;&gt;"", R44&lt;&gt;""), R44-K44, "")</f>
        <v/>
      </c>
      <c r="T44" s="78" t="n"/>
      <c r="U44" s="92">
        <f>IF(ISBLANK(P44),"",IF(C44="Buy",Q44-M44+T44, IF(C44="Sell",M44-Q44-T44, X)))</f>
        <v/>
      </c>
      <c r="V44" s="81">
        <f>IF(ISBLANK(P44),"",U44/N44)</f>
        <v/>
      </c>
      <c r="W44" s="81">
        <f>IF(ISBLANK(P44),"",IF(S44=0,(365/0.5)*V44,(365/S44)*V44))</f>
        <v/>
      </c>
      <c r="X44" s="75" t="n"/>
      <c r="Y44" s="98" t="n"/>
      <c r="Z44" s="77" t="n"/>
      <c r="AA44" s="75" t="n"/>
      <c r="AB44" s="75" t="n"/>
      <c r="AC44" s="75" t="n"/>
      <c r="AD44" s="75" t="n"/>
      <c r="AE44" s="75" t="n"/>
      <c r="AF44" s="75" t="n"/>
    </row>
    <row r="45" ht="15.75" customHeight="1" s="133">
      <c r="A45" s="75" t="n"/>
      <c r="B45" s="75" t="n"/>
      <c r="C45" s="75" t="n"/>
      <c r="D45" s="75" t="n"/>
      <c r="E45" s="76" t="n"/>
      <c r="F45" s="77" t="n"/>
      <c r="G45" s="75" t="n"/>
      <c r="H45" s="75">
        <f>IF(ISBLANK(E45),"",IF(OR(D45="Butterfly",D45="Butterfly ",D45="Iron Fly", D45="Iron Fly "),LEN(E45)-LEN(SUBSTITUTE(E45,"/",""))+2,LEN(E45)-LEN(SUBSTITUTE(E45,"/",""))+1))</f>
        <v/>
      </c>
      <c r="I45" s="78">
        <f>IF(ISBLANK(G45),"",IF(D45="Stock","0",Key!$A$3*H45*G45))</f>
        <v/>
      </c>
      <c r="J45" s="78">
        <f>IF(ISBLANK(E45),"",IF(ISNUMBER(SEARCH("/",E45)), IF(LEN(E45)-LEN(SUBSTITUTE(E45,"/",""))=1,(RIGHT(E45,LEN(E45)-FIND("/",E45)))-(LEFT(E45,FIND("/",E45)-1)),(MID(E45, SEARCH("/",E45) + 1, SEARCH("/",E45, SEARCH("/",E45)+1) - SEARCH("/",E45) - 1))-(LEFT(E45,FIND("/",E45)-1))), "NA"))</f>
        <v/>
      </c>
      <c r="K45" s="79">
        <f>IF(A45&lt;&gt;"", IF(ISBLANK(L45), TODAY(), K45), "")</f>
        <v/>
      </c>
      <c r="L45" s="78" t="n"/>
      <c r="M45" s="78">
        <f>IF(ISBLANK(L45),"",IF(D45="Stock",IF(C45="Buy",L45*G45,IF(C45="Sell",(L45*G45)-I45, X)),IF(C45="Buy",(L45*G45*100)+I45,IF(C45="Sell",(L45*G45*100)-I45, X))))</f>
        <v/>
      </c>
      <c r="N45" s="78">
        <f>IF(ISBLANK(L45),"",IF(AND(C45="Sell",D45="Stock"),M45,IF(ISBLANK(L45),"",IF(C45="Buy",M45, IF(AND(C45="Sell",J45="NA"),(E45*G45*100*0.1)+I45, IF(C45="Sell",(J45-L45)*(100*G45)+I45))))))</f>
        <v/>
      </c>
      <c r="O45" s="75" t="n"/>
      <c r="P45" s="75" t="n"/>
      <c r="Q45" s="75">
        <f>IF(ISBLANK(P45),"",IF(D45="Stock",P45*G45,IF(P45=0,"0",G45*P45*100-(G45*$AF$14))))</f>
        <v/>
      </c>
      <c r="R45" s="79">
        <f>IF(P45&lt;&gt;"", TODAY(), "")</f>
        <v/>
      </c>
      <c r="S45" s="78">
        <f>IF(AND(K45&lt;&gt;"", R45&lt;&gt;""), R45-K45, "")</f>
        <v/>
      </c>
      <c r="T45" s="78" t="n"/>
      <c r="U45" s="92">
        <f>IF(ISBLANK(P45),"",IF(C45="Buy",Q45-M45+T45, IF(C45="Sell",M45-Q45-T45, X)))</f>
        <v/>
      </c>
      <c r="V45" s="81">
        <f>IF(ISBLANK(P45),"",U45/N45)</f>
        <v/>
      </c>
      <c r="W45" s="81">
        <f>IF(ISBLANK(P45),"",IF(S45=0,(365/0.5)*V45,(365/S45)*V45))</f>
        <v/>
      </c>
      <c r="X45" s="75" t="n"/>
      <c r="Y45" s="98" t="n"/>
      <c r="Z45" s="77" t="n"/>
      <c r="AA45" s="75" t="n"/>
      <c r="AB45" s="75" t="n"/>
      <c r="AC45" s="75" t="n"/>
      <c r="AD45" s="75" t="n"/>
      <c r="AE45" s="75" t="n"/>
      <c r="AF45" s="75" t="n"/>
    </row>
    <row r="46" ht="15.75" customHeight="1" s="133">
      <c r="A46" s="75" t="n"/>
      <c r="B46" s="75" t="n"/>
      <c r="C46" s="75" t="n"/>
      <c r="D46" s="75" t="n"/>
      <c r="E46" s="76" t="n"/>
      <c r="F46" s="77" t="n"/>
      <c r="G46" s="75" t="n"/>
      <c r="H46" s="75">
        <f>IF(ISBLANK(E46),"",IF(OR(D46="Butterfly",D46="Butterfly ",D46="Iron Fly", D46="Iron Fly "),LEN(E46)-LEN(SUBSTITUTE(E46,"/",""))+2,LEN(E46)-LEN(SUBSTITUTE(E46,"/",""))+1))</f>
        <v/>
      </c>
      <c r="I46" s="78">
        <f>IF(ISBLANK(G46),"",IF(D46="Stock","0",Key!$A$3*H46*G46))</f>
        <v/>
      </c>
      <c r="J46" s="78">
        <f>IF(ISBLANK(E46),"",IF(ISNUMBER(SEARCH("/",E46)), IF(LEN(E46)-LEN(SUBSTITUTE(E46,"/",""))=1,(RIGHT(E46,LEN(E46)-FIND("/",E46)))-(LEFT(E46,FIND("/",E46)-1)),(MID(E46, SEARCH("/",E46) + 1, SEARCH("/",E46, SEARCH("/",E46)+1) - SEARCH("/",E46) - 1))-(LEFT(E46,FIND("/",E46)-1))), "NA"))</f>
        <v/>
      </c>
      <c r="K46" s="79">
        <f>IF(A46&lt;&gt;"", IF(ISBLANK(L46), TODAY(), K46), "")</f>
        <v/>
      </c>
      <c r="L46" s="78" t="n"/>
      <c r="M46" s="78">
        <f>IF(ISBLANK(L46),"",IF(D46="Stock",IF(C46="Buy",L46*G46,IF(C46="Sell",(L46*G46)-I46, X)),IF(C46="Buy",(L46*G46*100)+I46,IF(C46="Sell",(L46*G46*100)-I46, X))))</f>
        <v/>
      </c>
      <c r="N46" s="78">
        <f>IF(ISBLANK(L46),"",IF(AND(C46="Sell",D46="Stock"),M46,IF(ISBLANK(L46),"",IF(C46="Buy",M46, IF(AND(C46="Sell",J46="NA"),(E46*G46*100*0.1)+I46, IF(C46="Sell",(J46-L46)*(100*G46)+I46))))))</f>
        <v/>
      </c>
      <c r="O46" s="75" t="n"/>
      <c r="P46" s="75" t="n"/>
      <c r="Q46" s="75">
        <f>IF(ISBLANK(P46),"",IF(D46="Stock",P46*G46,IF(P46=0,"0",G46*P46*100-(G46*$AF$14))))</f>
        <v/>
      </c>
      <c r="R46" s="79">
        <f>IF(P46&lt;&gt;"", TODAY(), "")</f>
        <v/>
      </c>
      <c r="S46" s="78">
        <f>IF(AND(K46&lt;&gt;"", R46&lt;&gt;""), R46-K46, "")</f>
        <v/>
      </c>
      <c r="T46" s="78" t="n"/>
      <c r="U46" s="92">
        <f>IF(ISBLANK(P46),"",IF(C46="Buy",Q46-M46+T46, IF(C46="Sell",M46-Q46-T46, X)))</f>
        <v/>
      </c>
      <c r="V46" s="81">
        <f>IF(ISBLANK(P46),"",U46/N46)</f>
        <v/>
      </c>
      <c r="W46" s="81">
        <f>IF(ISBLANK(P46),"",IF(S46=0,(365/0.5)*V46,(365/S46)*V46))</f>
        <v/>
      </c>
      <c r="X46" s="75" t="n"/>
      <c r="Y46" s="98" t="n"/>
      <c r="Z46" s="77" t="n"/>
      <c r="AA46" s="75" t="n"/>
      <c r="AB46" s="75" t="n"/>
      <c r="AC46" s="75" t="n"/>
      <c r="AD46" s="75" t="n"/>
      <c r="AE46" s="75" t="n"/>
      <c r="AF46" s="75" t="n"/>
    </row>
    <row r="47" ht="15.75" customHeight="1" s="133">
      <c r="A47" s="75" t="n"/>
      <c r="B47" s="75" t="n"/>
      <c r="C47" s="75" t="n"/>
      <c r="D47" s="75" t="n"/>
      <c r="E47" s="76" t="n"/>
      <c r="F47" s="77" t="n"/>
      <c r="G47" s="75" t="n"/>
      <c r="H47" s="75">
        <f>IF(ISBLANK(E47),"",IF(OR(D47="Butterfly",D47="Butterfly ",D47="Iron Fly", D47="Iron Fly "),LEN(E47)-LEN(SUBSTITUTE(E47,"/",""))+2,LEN(E47)-LEN(SUBSTITUTE(E47,"/",""))+1))</f>
        <v/>
      </c>
      <c r="I47" s="78">
        <f>IF(ISBLANK(G47),"",IF(D47="Stock","0",Key!$A$3*H47*G47))</f>
        <v/>
      </c>
      <c r="J47" s="78">
        <f>IF(ISBLANK(E47),"",IF(ISNUMBER(SEARCH("/",E47)), IF(LEN(E47)-LEN(SUBSTITUTE(E47,"/",""))=1,(RIGHT(E47,LEN(E47)-FIND("/",E47)))-(LEFT(E47,FIND("/",E47)-1)),(MID(E47, SEARCH("/",E47) + 1, SEARCH("/",E47, SEARCH("/",E47)+1) - SEARCH("/",E47) - 1))-(LEFT(E47,FIND("/",E47)-1))), "NA"))</f>
        <v/>
      </c>
      <c r="K47" s="79">
        <f>IF(A47&lt;&gt;"", IF(ISBLANK(L47), TODAY(), K47), "")</f>
        <v/>
      </c>
      <c r="L47" s="78" t="n"/>
      <c r="M47" s="78">
        <f>IF(ISBLANK(L47),"",IF(D47="Stock",IF(C47="Buy",L47*G47,IF(C47="Sell",(L47*G47)-I47, X)),IF(C47="Buy",(L47*G47*100)+I47,IF(C47="Sell",(L47*G47*100)-I47, X))))</f>
        <v/>
      </c>
      <c r="N47" s="78">
        <f>IF(ISBLANK(L47),"",IF(AND(C47="Sell",D47="Stock"),M47,IF(ISBLANK(L47),"",IF(C47="Buy",M47, IF(AND(C47="Sell",J47="NA"),(E47*G47*100*0.1)+I47, IF(C47="Sell",(J47-L47)*(100*G47)+I47))))))</f>
        <v/>
      </c>
      <c r="O47" s="75" t="n"/>
      <c r="P47" s="75" t="n"/>
      <c r="Q47" s="75">
        <f>IF(ISBLANK(P47),"",IF(D47="Stock",P47*G47,IF(P47=0,"0",G47*P47*100-(G47*$AF$14))))</f>
        <v/>
      </c>
      <c r="R47" s="79">
        <f>IF(P47&lt;&gt;"", TODAY(), "")</f>
        <v/>
      </c>
      <c r="S47" s="78">
        <f>IF(AND(K47&lt;&gt;"", R47&lt;&gt;""), R47-K47, "")</f>
        <v/>
      </c>
      <c r="T47" s="78" t="n"/>
      <c r="U47" s="92">
        <f>IF(ISBLANK(P47),"",IF(C47="Buy",Q47-M47+T47, IF(C47="Sell",M47-Q47-T47, X)))</f>
        <v/>
      </c>
      <c r="V47" s="81">
        <f>IF(ISBLANK(P47),"",U47/N47)</f>
        <v/>
      </c>
      <c r="W47" s="81">
        <f>IF(ISBLANK(P47),"",IF(S47=0,(365/0.5)*V47,(365/S47)*V47))</f>
        <v/>
      </c>
      <c r="X47" s="75" t="n"/>
      <c r="Y47" s="98" t="n"/>
      <c r="Z47" s="77" t="n"/>
      <c r="AA47" s="75" t="n"/>
      <c r="AB47" s="75" t="n"/>
      <c r="AC47" s="75" t="n"/>
      <c r="AD47" s="75" t="n"/>
      <c r="AE47" s="75" t="n"/>
      <c r="AF47" s="75" t="n"/>
    </row>
    <row r="48" ht="15.75" customHeight="1" s="133">
      <c r="A48" s="75" t="n"/>
      <c r="B48" s="75" t="n"/>
      <c r="C48" s="75" t="n"/>
      <c r="D48" s="75" t="n"/>
      <c r="E48" s="76" t="n"/>
      <c r="F48" s="77" t="n"/>
      <c r="G48" s="75" t="n"/>
      <c r="H48" s="75">
        <f>IF(ISBLANK(E48),"",IF(OR(D48="Butterfly",D48="Butterfly ",D48="Iron Fly", D48="Iron Fly "),LEN(E48)-LEN(SUBSTITUTE(E48,"/",""))+2,LEN(E48)-LEN(SUBSTITUTE(E48,"/",""))+1))</f>
        <v/>
      </c>
      <c r="I48" s="78">
        <f>IF(ISBLANK(G48),"",IF(D48="Stock","0",Key!$A$3*H48*G48))</f>
        <v/>
      </c>
      <c r="J48" s="78">
        <f>IF(ISBLANK(E48),"",IF(ISNUMBER(SEARCH("/",E48)), IF(LEN(E48)-LEN(SUBSTITUTE(E48,"/",""))=1,(RIGHT(E48,LEN(E48)-FIND("/",E48)))-(LEFT(E48,FIND("/",E48)-1)),(MID(E48, SEARCH("/",E48) + 1, SEARCH("/",E48, SEARCH("/",E48)+1) - SEARCH("/",E48) - 1))-(LEFT(E48,FIND("/",E48)-1))), "NA"))</f>
        <v/>
      </c>
      <c r="K48" s="79">
        <f>IF(A48&lt;&gt;"", IF(ISBLANK(L48), TODAY(), K48), "")</f>
        <v/>
      </c>
      <c r="L48" s="78" t="n"/>
      <c r="M48" s="78">
        <f>IF(ISBLANK(L48),"",IF(D48="Stock",IF(C48="Buy",L48*G48,IF(C48="Sell",(L48*G48)-I48, X)),IF(C48="Buy",(L48*G48*100)+I48,IF(C48="Sell",(L48*G48*100)-I48, X))))</f>
        <v/>
      </c>
      <c r="N48" s="78">
        <f>IF(ISBLANK(L48),"",IF(AND(C48="Sell",D48="Stock"),M48,IF(ISBLANK(L48),"",IF(C48="Buy",M48, IF(AND(C48="Sell",J48="NA"),(E48*G48*100*0.1)+I48, IF(C48="Sell",(J48-L48)*(100*G48)+I48))))))</f>
        <v/>
      </c>
      <c r="O48" s="75" t="n"/>
      <c r="P48" s="75" t="n"/>
      <c r="Q48" s="75">
        <f>IF(ISBLANK(P48),"",IF(D48="Stock",P48*G48,IF(P48=0,"0",G48*P48*100-(G48*$AF$14))))</f>
        <v/>
      </c>
      <c r="R48" s="79">
        <f>IF(P48&lt;&gt;"", TODAY(), "")</f>
        <v/>
      </c>
      <c r="S48" s="78">
        <f>IF(AND(K48&lt;&gt;"", R48&lt;&gt;""), R48-K48, "")</f>
        <v/>
      </c>
      <c r="T48" s="78" t="n"/>
      <c r="U48" s="92">
        <f>IF(ISBLANK(P48),"",IF(C48="Buy",Q48-M48+T48, IF(C48="Sell",M48-Q48-T48, X)))</f>
        <v/>
      </c>
      <c r="V48" s="81">
        <f>IF(ISBLANK(P48),"",U48/N48)</f>
        <v/>
      </c>
      <c r="W48" s="81">
        <f>IF(ISBLANK(P48),"",IF(S48=0,(365/0.5)*V48,(365/S48)*V48))</f>
        <v/>
      </c>
      <c r="X48" s="75" t="n"/>
      <c r="Y48" s="77" t="n"/>
      <c r="Z48" s="77" t="n"/>
      <c r="AA48" s="75" t="n"/>
      <c r="AB48" s="75" t="n"/>
      <c r="AC48" s="75" t="n"/>
      <c r="AD48" s="75" t="n"/>
      <c r="AE48" s="75" t="n"/>
      <c r="AF48" s="75" t="n"/>
    </row>
    <row r="49" ht="15.75" customHeight="1" s="133">
      <c r="A49" s="75" t="n"/>
      <c r="B49" s="75" t="n"/>
      <c r="C49" s="75" t="n"/>
      <c r="D49" s="75" t="n"/>
      <c r="E49" s="76" t="n"/>
      <c r="F49" s="77" t="n"/>
      <c r="G49" s="75" t="n"/>
      <c r="H49" s="75">
        <f>IF(ISBLANK(E49),"",IF(OR(D49="Butterfly",D49="Butterfly ",D49="Iron Fly", D49="Iron Fly "),LEN(E49)-LEN(SUBSTITUTE(E49,"/",""))+2,LEN(E49)-LEN(SUBSTITUTE(E49,"/",""))+1))</f>
        <v/>
      </c>
      <c r="I49" s="78">
        <f>IF(ISBLANK(G49),"",IF(D49="Stock","0",Key!$A$3*H49*G49))</f>
        <v/>
      </c>
      <c r="J49" s="78">
        <f>IF(ISBLANK(E49),"",IF(ISNUMBER(SEARCH("/",E49)), IF(LEN(E49)-LEN(SUBSTITUTE(E49,"/",""))=1,(RIGHT(E49,LEN(E49)-FIND("/",E49)))-(LEFT(E49,FIND("/",E49)-1)),(MID(E49, SEARCH("/",E49) + 1, SEARCH("/",E49, SEARCH("/",E49)+1) - SEARCH("/",E49) - 1))-(LEFT(E49,FIND("/",E49)-1))), "NA"))</f>
        <v/>
      </c>
      <c r="K49" s="79">
        <f>IF(A49&lt;&gt;"", IF(ISBLANK(L49), TODAY(), K49), "")</f>
        <v/>
      </c>
      <c r="L49" s="78" t="n"/>
      <c r="M49" s="78">
        <f>IF(ISBLANK(L49),"",IF(D49="Stock",IF(C49="Buy",L49*G49,IF(C49="Sell",(L49*G49)-I49, X)),IF(C49="Buy",(L49*G49*100)+I49,IF(C49="Sell",(L49*G49*100)-I49, X))))</f>
        <v/>
      </c>
      <c r="N49" s="78">
        <f>IF(ISBLANK(L49),"",IF(AND(C49="Sell",D49="Stock"),M49,IF(ISBLANK(L49),"",IF(C49="Buy",M49, IF(AND(C49="Sell",J49="NA"),(E49*G49*100*0.1)+I49, IF(C49="Sell",(J49-L49)*(100*G49)+I49))))))</f>
        <v/>
      </c>
      <c r="O49" s="75" t="n"/>
      <c r="P49" s="75" t="n"/>
      <c r="Q49" s="75">
        <f>IF(ISBLANK(P49),"",IF(D49="Stock",P49*G49,IF(P49=0,"0",G49*P49*100-(G49*$AF$14))))</f>
        <v/>
      </c>
      <c r="R49" s="79">
        <f>IF(P49&lt;&gt;"", TODAY(), "")</f>
        <v/>
      </c>
      <c r="S49" s="78">
        <f>IF(AND(K49&lt;&gt;"", R49&lt;&gt;""), R49-K49, "")</f>
        <v/>
      </c>
      <c r="T49" s="78" t="n"/>
      <c r="U49" s="92">
        <f>IF(ISBLANK(P49),"",IF(C49="Buy",Q49-M49+T49, IF(C49="Sell",M49-Q49-T49, X)))</f>
        <v/>
      </c>
      <c r="V49" s="81">
        <f>IF(ISBLANK(P49),"",U49/N49)</f>
        <v/>
      </c>
      <c r="W49" s="81">
        <f>IF(ISBLANK(P49),"",IF(S49=0,(365/0.5)*V49,(365/S49)*V49))</f>
        <v/>
      </c>
      <c r="X49" s="75" t="n"/>
      <c r="Y49" s="77" t="n"/>
      <c r="Z49" s="77" t="n"/>
      <c r="AA49" s="75" t="n"/>
      <c r="AB49" s="75" t="n"/>
      <c r="AC49" s="75" t="n"/>
      <c r="AD49" s="75" t="n"/>
      <c r="AE49" s="75" t="n"/>
      <c r="AF49" s="75" t="n"/>
    </row>
    <row r="50" ht="15.75" customHeight="1" s="133">
      <c r="A50" s="75" t="n"/>
      <c r="B50" s="75" t="n"/>
      <c r="C50" s="75" t="n"/>
      <c r="D50" s="75" t="n"/>
      <c r="E50" s="76" t="n"/>
      <c r="F50" s="77" t="n"/>
      <c r="G50" s="75" t="n"/>
      <c r="H50" s="75">
        <f>IF(ISBLANK(E50),"",IF(OR(D50="Butterfly",D50="Butterfly ",D50="Iron Fly", D50="Iron Fly "),LEN(E50)-LEN(SUBSTITUTE(E50,"/",""))+2,LEN(E50)-LEN(SUBSTITUTE(E50,"/",""))+1))</f>
        <v/>
      </c>
      <c r="I50" s="78">
        <f>IF(ISBLANK(G50),"",IF(D50="Stock","0",Key!$A$3*H50*G50))</f>
        <v/>
      </c>
      <c r="J50" s="78">
        <f>IF(ISBLANK(E50),"",IF(ISNUMBER(SEARCH("/",E50)), IF(LEN(E50)-LEN(SUBSTITUTE(E50,"/",""))=1,(RIGHT(E50,LEN(E50)-FIND("/",E50)))-(LEFT(E50,FIND("/",E50)-1)),(MID(E50, SEARCH("/",E50) + 1, SEARCH("/",E50, SEARCH("/",E50)+1) - SEARCH("/",E50) - 1))-(LEFT(E50,FIND("/",E50)-1))), "NA"))</f>
        <v/>
      </c>
      <c r="K50" s="79">
        <f>IF(A50&lt;&gt;"", IF(ISBLANK(L50), TODAY(), K50), "")</f>
        <v/>
      </c>
      <c r="L50" s="78" t="n"/>
      <c r="M50" s="78">
        <f>IF(ISBLANK(L50),"",IF(D50="Stock",IF(C50="Buy",L50*G50,IF(C50="Sell",(L50*G50)-I50, X)),IF(C50="Buy",(L50*G50*100)+I50,IF(C50="Sell",(L50*G50*100)-I50, X))))</f>
        <v/>
      </c>
      <c r="N50" s="78">
        <f>IF(ISBLANK(L50),"",IF(AND(C50="Sell",D50="Stock"),M50,IF(ISBLANK(L50),"",IF(C50="Buy",M50, IF(AND(C50="Sell",J50="NA"),(E50*G50*100*0.1)+I50, IF(C50="Sell",(J50-L50)*(100*G50)+I50))))))</f>
        <v/>
      </c>
      <c r="O50" s="75" t="n"/>
      <c r="P50" s="75" t="n"/>
      <c r="Q50" s="75">
        <f>IF(ISBLANK(P50),"",IF(D50="Stock",P50*G50,IF(P50=0,"0",G50*P50*100-(G50*$AF$14))))</f>
        <v/>
      </c>
      <c r="R50" s="79">
        <f>IF(P50&lt;&gt;"", TODAY(), "")</f>
        <v/>
      </c>
      <c r="S50" s="78">
        <f>IF(AND(K50&lt;&gt;"", R50&lt;&gt;""), R50-K50, "")</f>
        <v/>
      </c>
      <c r="T50" s="78" t="n"/>
      <c r="U50" s="92">
        <f>IF(ISBLANK(P50),"",IF(C50="Buy",Q50-M50+T50, IF(C50="Sell",M50-Q50-T50, X)))</f>
        <v/>
      </c>
      <c r="V50" s="81">
        <f>IF(ISBLANK(P50),"",U50/N50)</f>
        <v/>
      </c>
      <c r="W50" s="81">
        <f>IF(ISBLANK(P50),"",IF(S50=0,(365/0.5)*V50,(365/S50)*V50))</f>
        <v/>
      </c>
      <c r="X50" s="75" t="n"/>
      <c r="Y50" s="77" t="n"/>
      <c r="Z50" s="77" t="n"/>
      <c r="AA50" s="75" t="n"/>
      <c r="AB50" s="75" t="n"/>
      <c r="AC50" s="75" t="n"/>
      <c r="AD50" s="75" t="n"/>
      <c r="AE50" s="75" t="n"/>
      <c r="AF50" s="75" t="n"/>
    </row>
    <row r="51" ht="15.75" customHeight="1" s="133">
      <c r="A51" s="75" t="n"/>
      <c r="B51" s="75" t="n"/>
      <c r="C51" s="75" t="n"/>
      <c r="D51" s="75" t="n"/>
      <c r="E51" s="76" t="n"/>
      <c r="F51" s="77" t="n"/>
      <c r="G51" s="75" t="n"/>
      <c r="H51" s="75">
        <f>IF(ISBLANK(E51),"",IF(OR(D51="Butterfly",D51="Butterfly ",D51="Iron Fly", D51="Iron Fly "),LEN(E51)-LEN(SUBSTITUTE(E51,"/",""))+2,LEN(E51)-LEN(SUBSTITUTE(E51,"/",""))+1))</f>
        <v/>
      </c>
      <c r="I51" s="78">
        <f>IF(ISBLANK(G51),"",IF(D51="Stock","0",Key!$A$3*H51*G51))</f>
        <v/>
      </c>
      <c r="J51" s="78">
        <f>IF(ISBLANK(E51),"",IF(ISNUMBER(SEARCH("/",E51)), IF(LEN(E51)-LEN(SUBSTITUTE(E51,"/",""))=1,(RIGHT(E51,LEN(E51)-FIND("/",E51)))-(LEFT(E51,FIND("/",E51)-1)),(MID(E51, SEARCH("/",E51) + 1, SEARCH("/",E51, SEARCH("/",E51)+1) - SEARCH("/",E51) - 1))-(LEFT(E51,FIND("/",E51)-1))), "NA"))</f>
        <v/>
      </c>
      <c r="K51" s="79">
        <f>IF(A51&lt;&gt;"", IF(ISBLANK(L51), TODAY(), K51), "")</f>
        <v/>
      </c>
      <c r="L51" s="78" t="n"/>
      <c r="M51" s="78">
        <f>IF(ISBLANK(L51),"",IF(D51="Stock",IF(C51="Buy",L51*G51,IF(C51="Sell",(L51*G51)-I51, X)),IF(C51="Buy",(L51*G51*100)+I51,IF(C51="Sell",(L51*G51*100)-I51, X))))</f>
        <v/>
      </c>
      <c r="N51" s="78">
        <f>IF(ISBLANK(L51),"",IF(AND(C51="Sell",D51="Stock"),M51,IF(ISBLANK(L51),"",IF(C51="Buy",M51, IF(AND(C51="Sell",J51="NA"),(E51*G51*100*0.1)+I51, IF(C51="Sell",(J51-L51)*(100*G51)+I51))))))</f>
        <v/>
      </c>
      <c r="O51" s="75" t="n"/>
      <c r="P51" s="75" t="n"/>
      <c r="Q51" s="75">
        <f>IF(ISBLANK(P51),"",IF(D51="Stock",P51*G51,IF(P51=0,"0",G51*P51*100-(G51*$AF$14))))</f>
        <v/>
      </c>
      <c r="R51" s="79">
        <f>IF(P51&lt;&gt;"", TODAY(), "")</f>
        <v/>
      </c>
      <c r="S51" s="78">
        <f>IF(AND(K51&lt;&gt;"", R51&lt;&gt;""), R51-K51, "")</f>
        <v/>
      </c>
      <c r="T51" s="78" t="n"/>
      <c r="U51" s="92">
        <f>IF(ISBLANK(P51),"",IF(C51="Buy",Q51-M51+T51, IF(C51="Sell",M51-Q51-T51, X)))</f>
        <v/>
      </c>
      <c r="V51" s="81">
        <f>IF(ISBLANK(P51),"",U51/N51)</f>
        <v/>
      </c>
      <c r="W51" s="81">
        <f>IF(ISBLANK(P51),"",IF(S51=0,(365/0.5)*V51,(365/S51)*V51))</f>
        <v/>
      </c>
      <c r="X51" s="75" t="n"/>
      <c r="Y51" s="77" t="n"/>
      <c r="Z51" s="77" t="n"/>
      <c r="AA51" s="75" t="n"/>
      <c r="AB51" s="75" t="n"/>
      <c r="AC51" s="75" t="n"/>
      <c r="AD51" s="75" t="n"/>
      <c r="AE51" s="75" t="n"/>
      <c r="AF51" s="75" t="n"/>
    </row>
    <row r="52" ht="15.75" customHeight="1" s="133">
      <c r="A52" s="75" t="n"/>
      <c r="B52" s="75" t="n"/>
      <c r="C52" s="75" t="n"/>
      <c r="D52" s="75" t="n"/>
      <c r="E52" s="76" t="n"/>
      <c r="F52" s="77" t="n"/>
      <c r="G52" s="75" t="n"/>
      <c r="H52" s="75">
        <f>IF(ISBLANK(E52),"",IF(OR(D52="Butterfly",D52="Butterfly ",D52="Iron Fly", D52="Iron Fly "),LEN(E52)-LEN(SUBSTITUTE(E52,"/",""))+2,LEN(E52)-LEN(SUBSTITUTE(E52,"/",""))+1))</f>
        <v/>
      </c>
      <c r="I52" s="78">
        <f>IF(ISBLANK(G52),"",IF(D52="Stock","0",Key!$A$3*H52*G52))</f>
        <v/>
      </c>
      <c r="J52" s="78">
        <f>IF(ISBLANK(E52),"",IF(ISNUMBER(SEARCH("/",E52)), IF(LEN(E52)-LEN(SUBSTITUTE(E52,"/",""))=1,(RIGHT(E52,LEN(E52)-FIND("/",E52)))-(LEFT(E52,FIND("/",E52)-1)),(MID(E52, SEARCH("/",E52) + 1, SEARCH("/",E52, SEARCH("/",E52)+1) - SEARCH("/",E52) - 1))-(LEFT(E52,FIND("/",E52)-1))), "NA"))</f>
        <v/>
      </c>
      <c r="K52" s="79">
        <f>IF(A52&lt;&gt;"", IF(ISBLANK(L52), TODAY(), K52), "")</f>
        <v/>
      </c>
      <c r="L52" s="78" t="n"/>
      <c r="M52" s="78">
        <f>IF(ISBLANK(L52),"",IF(D52="Stock",IF(C52="Buy",L52*G52,IF(C52="Sell",(L52*G52)-I52, X)),IF(C52="Buy",(L52*G52*100)+I52,IF(C52="Sell",(L52*G52*100)-I52, X))))</f>
        <v/>
      </c>
      <c r="N52" s="78">
        <f>IF(ISBLANK(L52),"",IF(AND(C52="Sell",D52="Stock"),M52,IF(ISBLANK(L52),"",IF(C52="Buy",M52, IF(AND(C52="Sell",J52="NA"),(E52*G52*100*0.1)+I52, IF(C52="Sell",(J52-L52)*(100*G52)+I52))))))</f>
        <v/>
      </c>
      <c r="O52" s="75" t="n"/>
      <c r="P52" s="75" t="n"/>
      <c r="Q52" s="75">
        <f>IF(ISBLANK(P52),"",IF(D52="Stock",P52*G52,IF(P52=0,"0",G52*P52*100-(G52*$AF$14))))</f>
        <v/>
      </c>
      <c r="R52" s="79">
        <f>IF(P52&lt;&gt;"", TODAY(), "")</f>
        <v/>
      </c>
      <c r="S52" s="78">
        <f>IF(AND(K52&lt;&gt;"", R52&lt;&gt;""), R52-K52, "")</f>
        <v/>
      </c>
      <c r="T52" s="78" t="n"/>
      <c r="U52" s="92">
        <f>IF(ISBLANK(P52),"",IF(C52="Buy",Q52-M52+T52, IF(C52="Sell",M52-Q52-T52, X)))</f>
        <v/>
      </c>
      <c r="V52" s="81">
        <f>IF(ISBLANK(P52),"",U52/N52)</f>
        <v/>
      </c>
      <c r="W52" s="81">
        <f>IF(ISBLANK(P52),"",IF(S52=0,(365/0.5)*V52,(365/S52)*V52))</f>
        <v/>
      </c>
      <c r="X52" s="75" t="n"/>
      <c r="Y52" s="77" t="n"/>
      <c r="Z52" s="77" t="n"/>
      <c r="AA52" s="75" t="n"/>
      <c r="AB52" s="75" t="n"/>
      <c r="AC52" s="75" t="n"/>
      <c r="AD52" s="75" t="n"/>
      <c r="AE52" s="75" t="n"/>
      <c r="AF52" s="75" t="n"/>
    </row>
    <row r="53" ht="15.75" customHeight="1" s="133">
      <c r="A53" s="75" t="n"/>
      <c r="B53" s="75" t="n"/>
      <c r="C53" s="75" t="n"/>
      <c r="D53" s="75" t="n"/>
      <c r="E53" s="76" t="n"/>
      <c r="F53" s="77" t="n"/>
      <c r="G53" s="75" t="n"/>
      <c r="H53" s="75">
        <f>IF(ISBLANK(E53),"",IF(OR(D53="Butterfly",D53="Butterfly ",D53="Iron Fly", D53="Iron Fly "),LEN(E53)-LEN(SUBSTITUTE(E53,"/",""))+2,LEN(E53)-LEN(SUBSTITUTE(E53,"/",""))+1))</f>
        <v/>
      </c>
      <c r="I53" s="78">
        <f>IF(ISBLANK(G53),"",IF(D53="Stock","0",Key!$A$3*H53*G53))</f>
        <v/>
      </c>
      <c r="J53" s="78">
        <f>IF(ISBLANK(E53),"",IF(ISNUMBER(SEARCH("/",E53)), IF(LEN(E53)-LEN(SUBSTITUTE(E53,"/",""))=1,(RIGHT(E53,LEN(E53)-FIND("/",E53)))-(LEFT(E53,FIND("/",E53)-1)),(MID(E53, SEARCH("/",E53) + 1, SEARCH("/",E53, SEARCH("/",E53)+1) - SEARCH("/",E53) - 1))-(LEFT(E53,FIND("/",E53)-1))), "NA"))</f>
        <v/>
      </c>
      <c r="K53" s="79">
        <f>IF(A53&lt;&gt;"", IF(ISBLANK(L53), TODAY(), K53), "")</f>
        <v/>
      </c>
      <c r="L53" s="78" t="n"/>
      <c r="M53" s="78">
        <f>IF(ISBLANK(L53),"",IF(D53="Stock",IF(C53="Buy",L53*G53,IF(C53="Sell",(L53*G53)-I53, X)),IF(C53="Buy",(L53*G53*100)+I53,IF(C53="Sell",(L53*G53*100)-I53, X))))</f>
        <v/>
      </c>
      <c r="N53" s="78">
        <f>IF(ISBLANK(L53),"",IF(AND(C53="Sell",D53="Stock"),M53,IF(ISBLANK(L53),"",IF(C53="Buy",M53, IF(AND(C53="Sell",J53="NA"),(E53*G53*100*0.1)+I53, IF(C53="Sell",(J53-L53)*(100*G53)+I53))))))</f>
        <v/>
      </c>
      <c r="O53" s="75" t="n"/>
      <c r="P53" s="75" t="n"/>
      <c r="Q53" s="75">
        <f>IF(ISBLANK(P53),"",IF(D53="Stock",P53*G53,IF(P53=0,"0",G53*P53*100-(G53*$AF$14))))</f>
        <v/>
      </c>
      <c r="R53" s="79">
        <f>IF(P53&lt;&gt;"", TODAY(), "")</f>
        <v/>
      </c>
      <c r="S53" s="78">
        <f>IF(AND(K53&lt;&gt;"", R53&lt;&gt;""), R53-K53, "")</f>
        <v/>
      </c>
      <c r="T53" s="78" t="n"/>
      <c r="U53" s="92">
        <f>IF(ISBLANK(P53),"",IF(C53="Buy",Q53-M53+T53, IF(C53="Sell",M53-Q53-T53, X)))</f>
        <v/>
      </c>
      <c r="V53" s="81">
        <f>IF(ISBLANK(P53),"",U53/N53)</f>
        <v/>
      </c>
      <c r="W53" s="81">
        <f>IF(ISBLANK(P53),"",IF(S53=0,(365/0.5)*V53,(365/S53)*V53))</f>
        <v/>
      </c>
      <c r="X53" s="75" t="n"/>
      <c r="Y53" s="77" t="n"/>
      <c r="Z53" s="77" t="n"/>
      <c r="AA53" s="75" t="n"/>
      <c r="AB53" s="75" t="n"/>
      <c r="AC53" s="75" t="n"/>
      <c r="AD53" s="75" t="n"/>
      <c r="AE53" s="75" t="n"/>
      <c r="AF53" s="75" t="n"/>
    </row>
    <row r="54" ht="15.75" customHeight="1" s="133">
      <c r="A54" s="75" t="n"/>
      <c r="B54" s="75" t="n"/>
      <c r="C54" s="75" t="n"/>
      <c r="D54" s="75" t="n"/>
      <c r="E54" s="76" t="n"/>
      <c r="F54" s="77" t="n"/>
      <c r="G54" s="75" t="n"/>
      <c r="H54" s="75">
        <f>IF(ISBLANK(E54),"",IF(OR(D54="Butterfly",D54="Butterfly ",D54="Iron Fly", D54="Iron Fly "),LEN(E54)-LEN(SUBSTITUTE(E54,"/",""))+2,LEN(E54)-LEN(SUBSTITUTE(E54,"/",""))+1))</f>
        <v/>
      </c>
      <c r="I54" s="78">
        <f>IF(ISBLANK(G54),"",IF(D54="Stock","0",Key!$A$3*H54*G54))</f>
        <v/>
      </c>
      <c r="J54" s="78">
        <f>IF(ISBLANK(E54),"",IF(ISNUMBER(SEARCH("/",E54)), IF(LEN(E54)-LEN(SUBSTITUTE(E54,"/",""))=1,(RIGHT(E54,LEN(E54)-FIND("/",E54)))-(LEFT(E54,FIND("/",E54)-1)),(MID(E54, SEARCH("/",E54) + 1, SEARCH("/",E54, SEARCH("/",E54)+1) - SEARCH("/",E54) - 1))-(LEFT(E54,FIND("/",E54)-1))), "NA"))</f>
        <v/>
      </c>
      <c r="K54" s="79">
        <f>IF(A54&lt;&gt;"", IF(ISBLANK(L54), TODAY(), K54), "")</f>
        <v/>
      </c>
      <c r="L54" s="78" t="n"/>
      <c r="M54" s="78">
        <f>IF(ISBLANK(L54),"",IF(D54="Stock",IF(C54="Buy",L54*G54,IF(C54="Sell",(L54*G54)-I54, X)),IF(C54="Buy",(L54*G54*100)+I54,IF(C54="Sell",(L54*G54*100)-I54, X))))</f>
        <v/>
      </c>
      <c r="N54" s="78">
        <f>IF(ISBLANK(L54),"",IF(AND(C54="Sell",D54="Stock"),M54,IF(ISBLANK(L54),"",IF(C54="Buy",M54, IF(AND(C54="Sell",J54="NA"),(E54*G54*100*0.1)+I54, IF(C54="Sell",(J54-L54)*(100*G54)+I54))))))</f>
        <v/>
      </c>
      <c r="O54" s="75" t="n"/>
      <c r="P54" s="75" t="n"/>
      <c r="Q54" s="75">
        <f>IF(ISBLANK(P54),"",IF(D54="Stock",P54*G54,IF(P54=0,"0",G54*P54*100-(G54*$AF$14))))</f>
        <v/>
      </c>
      <c r="R54" s="79">
        <f>IF(P54&lt;&gt;"", TODAY(), "")</f>
        <v/>
      </c>
      <c r="S54" s="78">
        <f>IF(AND(K54&lt;&gt;"", R54&lt;&gt;""), R54-K54, "")</f>
        <v/>
      </c>
      <c r="T54" s="78" t="n"/>
      <c r="U54" s="92">
        <f>IF(ISBLANK(P54),"",IF(C54="Buy",Q54-M54+T54, IF(C54="Sell",M54-Q54-T54, X)))</f>
        <v/>
      </c>
      <c r="V54" s="81">
        <f>IF(ISBLANK(P54),"",U54/N54)</f>
        <v/>
      </c>
      <c r="W54" s="81">
        <f>IF(ISBLANK(P54),"",IF(S54=0,(365/0.5)*V54,(365/S54)*V54))</f>
        <v/>
      </c>
      <c r="X54" s="75" t="n"/>
      <c r="Y54" s="77" t="n"/>
      <c r="Z54" s="77" t="n"/>
      <c r="AA54" s="75" t="n"/>
      <c r="AB54" s="75" t="n"/>
      <c r="AC54" s="75" t="n"/>
      <c r="AD54" s="75" t="n"/>
      <c r="AE54" s="75" t="n"/>
      <c r="AF54" s="75" t="n"/>
    </row>
    <row r="55" ht="15.75" customHeight="1" s="133">
      <c r="A55" s="75" t="n"/>
      <c r="B55" s="75" t="n"/>
      <c r="C55" s="75" t="n"/>
      <c r="D55" s="75" t="n"/>
      <c r="E55" s="76" t="n"/>
      <c r="F55" s="77" t="n"/>
      <c r="G55" s="75" t="n"/>
      <c r="H55" s="75">
        <f>IF(ISBLANK(E55),"",IF(OR(D55="Butterfly",D55="Butterfly ",D55="Iron Fly", D55="Iron Fly "),LEN(E55)-LEN(SUBSTITUTE(E55,"/",""))+2,LEN(E55)-LEN(SUBSTITUTE(E55,"/",""))+1))</f>
        <v/>
      </c>
      <c r="I55" s="78">
        <f>IF(ISBLANK(G55),"",IF(D55="Stock","0",Key!$A$3*H55*G55))</f>
        <v/>
      </c>
      <c r="J55" s="78">
        <f>IF(ISBLANK(E55),"",IF(ISNUMBER(SEARCH("/",E55)), IF(LEN(E55)-LEN(SUBSTITUTE(E55,"/",""))=1,(RIGHT(E55,LEN(E55)-FIND("/",E55)))-(LEFT(E55,FIND("/",E55)-1)),(MID(E55, SEARCH("/",E55) + 1, SEARCH("/",E55, SEARCH("/",E55)+1) - SEARCH("/",E55) - 1))-(LEFT(E55,FIND("/",E55)-1))), "NA"))</f>
        <v/>
      </c>
      <c r="K55" s="79">
        <f>IF(A55&lt;&gt;"", IF(ISBLANK(L55), TODAY(), K55), "")</f>
        <v/>
      </c>
      <c r="L55" s="78" t="n"/>
      <c r="M55" s="78">
        <f>IF(ISBLANK(L55),"",IF(D55="Stock",IF(C55="Buy",L55*G55,IF(C55="Sell",(L55*G55)-I55, X)),IF(C55="Buy",(L55*G55*100)+I55,IF(C55="Sell",(L55*G55*100)-I55, X))))</f>
        <v/>
      </c>
      <c r="N55" s="78">
        <f>IF(ISBLANK(L55),"",IF(AND(C55="Sell",D55="Stock"),M55,IF(ISBLANK(L55),"",IF(C55="Buy",M55, IF(AND(C55="Sell",J55="NA"),(E55*G55*100*0.1)+I55, IF(C55="Sell",(J55-L55)*(100*G55)+I55))))))</f>
        <v/>
      </c>
      <c r="O55" s="75" t="n"/>
      <c r="P55" s="75" t="n"/>
      <c r="Q55" s="75">
        <f>IF(ISBLANK(P55),"",IF(D55="Stock",P55*G55,IF(P55=0,"0",G55*P55*100-(G55*$AF$14))))</f>
        <v/>
      </c>
      <c r="R55" s="79">
        <f>IF(P55&lt;&gt;"", TODAY(), "")</f>
        <v/>
      </c>
      <c r="S55" s="78">
        <f>IF(AND(K55&lt;&gt;"", R55&lt;&gt;""), R55-K55, "")</f>
        <v/>
      </c>
      <c r="T55" s="78" t="n"/>
      <c r="U55" s="92">
        <f>IF(ISBLANK(P55),"",IF(C55="Buy",Q55-M55+T55, IF(C55="Sell",M55-Q55-T55, X)))</f>
        <v/>
      </c>
      <c r="V55" s="81">
        <f>IF(ISBLANK(P55),"",U55/N55)</f>
        <v/>
      </c>
      <c r="W55" s="81">
        <f>IF(ISBLANK(P55),"",IF(S55=0,(365/0.5)*V55,(365/S55)*V55))</f>
        <v/>
      </c>
      <c r="X55" s="75" t="n"/>
      <c r="Y55" s="77" t="n"/>
      <c r="Z55" s="77" t="n"/>
      <c r="AA55" s="75" t="n"/>
      <c r="AB55" s="75" t="n"/>
      <c r="AC55" s="75" t="n"/>
      <c r="AD55" s="75" t="n"/>
      <c r="AE55" s="75" t="n"/>
      <c r="AF55" s="75" t="n"/>
    </row>
    <row r="56" ht="15.75" customHeight="1" s="133">
      <c r="A56" s="75" t="n"/>
      <c r="B56" s="75" t="n"/>
      <c r="C56" s="75" t="n"/>
      <c r="D56" s="75" t="n"/>
      <c r="E56" s="76" t="n"/>
      <c r="F56" s="77" t="n"/>
      <c r="G56" s="75" t="n"/>
      <c r="H56" s="75">
        <f>IF(ISBLANK(E56),"",IF(OR(D56="Butterfly",D56="Butterfly ",D56="Iron Fly", D56="Iron Fly "),LEN(E56)-LEN(SUBSTITUTE(E56,"/",""))+2,LEN(E56)-LEN(SUBSTITUTE(E56,"/",""))+1))</f>
        <v/>
      </c>
      <c r="I56" s="78">
        <f>IF(ISBLANK(G56),"",IF(D56="Stock","0",Key!$A$3*H56*G56))</f>
        <v/>
      </c>
      <c r="J56" s="78">
        <f>IF(ISBLANK(E56),"",IF(ISNUMBER(SEARCH("/",E56)), IF(LEN(E56)-LEN(SUBSTITUTE(E56,"/",""))=1,(RIGHT(E56,LEN(E56)-FIND("/",E56)))-(LEFT(E56,FIND("/",E56)-1)),(MID(E56, SEARCH("/",E56) + 1, SEARCH("/",E56, SEARCH("/",E56)+1) - SEARCH("/",E56) - 1))-(LEFT(E56,FIND("/",E56)-1))), "NA"))</f>
        <v/>
      </c>
      <c r="K56" s="79">
        <f>IF(A56&lt;&gt;"", IF(ISBLANK(L56), TODAY(), K56), "")</f>
        <v/>
      </c>
      <c r="L56" s="78" t="n"/>
      <c r="M56" s="78">
        <f>IF(ISBLANK(L56),"",IF(D56="Stock",IF(C56="Buy",L56*G56,IF(C56="Sell",(L56*G56)-I56, X)),IF(C56="Buy",(L56*G56*100)+I56,IF(C56="Sell",(L56*G56*100)-I56, X))))</f>
        <v/>
      </c>
      <c r="N56" s="78">
        <f>IF(ISBLANK(L56),"",IF(AND(C56="Sell",D56="Stock"),M56,IF(ISBLANK(L56),"",IF(C56="Buy",M56, IF(AND(C56="Sell",J56="NA"),(E56*G56*100*0.1)+I56, IF(C56="Sell",(J56-L56)*(100*G56)+I56))))))</f>
        <v/>
      </c>
      <c r="O56" s="75" t="n"/>
      <c r="P56" s="75" t="n"/>
      <c r="Q56" s="75">
        <f>IF(ISBLANK(P56),"",IF(D56="Stock",P56*G56,IF(P56=0,"0",G56*P56*100-(G56*$AF$14))))</f>
        <v/>
      </c>
      <c r="R56" s="79">
        <f>IF(P56&lt;&gt;"", TODAY(), "")</f>
        <v/>
      </c>
      <c r="S56" s="78">
        <f>IF(AND(K56&lt;&gt;"", R56&lt;&gt;""), R56-K56, "")</f>
        <v/>
      </c>
      <c r="T56" s="78" t="n"/>
      <c r="U56" s="92">
        <f>IF(ISBLANK(P56),"",IF(C56="Buy",Q56-M56+T56, IF(C56="Sell",M56-Q56-T56, X)))</f>
        <v/>
      </c>
      <c r="V56" s="81">
        <f>IF(ISBLANK(P56),"",U56/N56)</f>
        <v/>
      </c>
      <c r="W56" s="81">
        <f>IF(ISBLANK(P56),"",IF(S56=0,(365/0.5)*V56,(365/S56)*V56))</f>
        <v/>
      </c>
      <c r="X56" s="75" t="n"/>
      <c r="Y56" s="77" t="n"/>
      <c r="Z56" s="77" t="n"/>
      <c r="AA56" s="75" t="n"/>
      <c r="AB56" s="75" t="n"/>
      <c r="AC56" s="75" t="n"/>
      <c r="AD56" s="75" t="n"/>
      <c r="AE56" s="75" t="n"/>
      <c r="AF56" s="75" t="n"/>
    </row>
    <row r="57" ht="15.75" customHeight="1" s="133">
      <c r="A57" s="75" t="n"/>
      <c r="B57" s="75" t="n"/>
      <c r="C57" s="75" t="n"/>
      <c r="D57" s="75" t="n"/>
      <c r="E57" s="76" t="n"/>
      <c r="F57" s="77" t="n"/>
      <c r="G57" s="75" t="n"/>
      <c r="H57" s="75">
        <f>IF(ISBLANK(E57),"",IF(OR(D57="Butterfly",D57="Butterfly ",D57="Iron Fly", D57="Iron Fly "),LEN(E57)-LEN(SUBSTITUTE(E57,"/",""))+2,LEN(E57)-LEN(SUBSTITUTE(E57,"/",""))+1))</f>
        <v/>
      </c>
      <c r="I57" s="78">
        <f>IF(ISBLANK(G57),"",IF(D57="Stock","0",Key!$A$3*H57*G57))</f>
        <v/>
      </c>
      <c r="J57" s="78">
        <f>IF(ISBLANK(E57),"",IF(ISNUMBER(SEARCH("/",E57)), IF(LEN(E57)-LEN(SUBSTITUTE(E57,"/",""))=1,(RIGHT(E57,LEN(E57)-FIND("/",E57)))-(LEFT(E57,FIND("/",E57)-1)),(MID(E57, SEARCH("/",E57) + 1, SEARCH("/",E57, SEARCH("/",E57)+1) - SEARCH("/",E57) - 1))-(LEFT(E57,FIND("/",E57)-1))), "NA"))</f>
        <v/>
      </c>
      <c r="K57" s="79">
        <f>IF(A57&lt;&gt;"", IF(ISBLANK(L57), TODAY(), K57), "")</f>
        <v/>
      </c>
      <c r="L57" s="78" t="n"/>
      <c r="M57" s="78">
        <f>IF(ISBLANK(L57),"",IF(D57="Stock",IF(C57="Buy",L57*G57,IF(C57="Sell",(L57*G57)-I57, X)),IF(C57="Buy",(L57*G57*100)+I57,IF(C57="Sell",(L57*G57*100)-I57, X))))</f>
        <v/>
      </c>
      <c r="N57" s="78">
        <f>IF(ISBLANK(L57),"",IF(AND(C57="Sell",D57="Stock"),M57,IF(ISBLANK(L57),"",IF(C57="Buy",M57, IF(AND(C57="Sell",J57="NA"),(E57*G57*100*0.1)+I57, IF(C57="Sell",(J57-L57)*(100*G57)+I57))))))</f>
        <v/>
      </c>
      <c r="O57" s="75" t="n"/>
      <c r="P57" s="75" t="n"/>
      <c r="Q57" s="75">
        <f>IF(ISBLANK(P57),"",IF(D57="Stock",P57*G57,IF(P57=0,"0",G57*P57*100-(G57*$AF$14))))</f>
        <v/>
      </c>
      <c r="R57" s="79">
        <f>IF(P57&lt;&gt;"", TODAY(), "")</f>
        <v/>
      </c>
      <c r="S57" s="78">
        <f>IF(AND(K57&lt;&gt;"", R57&lt;&gt;""), R57-K57, "")</f>
        <v/>
      </c>
      <c r="T57" s="78" t="n"/>
      <c r="U57" s="92">
        <f>IF(ISBLANK(P57),"",IF(C57="Buy",Q57-M57+T57, IF(C57="Sell",M57-Q57-T57, X)))</f>
        <v/>
      </c>
      <c r="V57" s="81">
        <f>IF(ISBLANK(P57),"",U57/N57)</f>
        <v/>
      </c>
      <c r="W57" s="81">
        <f>IF(ISBLANK(P57),"",IF(S57=0,(365/0.5)*V57,(365/S57)*V57))</f>
        <v/>
      </c>
      <c r="X57" s="75" t="n"/>
      <c r="Y57" s="77" t="n"/>
      <c r="Z57" s="77" t="n"/>
      <c r="AA57" s="75" t="n"/>
      <c r="AB57" s="75" t="n"/>
      <c r="AC57" s="75" t="n"/>
      <c r="AD57" s="75" t="n"/>
      <c r="AE57" s="75" t="n"/>
      <c r="AF57" s="75" t="n"/>
    </row>
    <row r="58" ht="15.75" customHeight="1" s="133">
      <c r="A58" s="75" t="n"/>
      <c r="B58" s="75" t="n"/>
      <c r="C58" s="75" t="n"/>
      <c r="D58" s="75" t="n"/>
      <c r="E58" s="76" t="n"/>
      <c r="F58" s="77" t="n"/>
      <c r="G58" s="75" t="n"/>
      <c r="H58" s="75">
        <f>IF(ISBLANK(E58),"",IF(OR(D58="Butterfly",D58="Butterfly ",D58="Iron Fly", D58="Iron Fly "),LEN(E58)-LEN(SUBSTITUTE(E58,"/",""))+2,LEN(E58)-LEN(SUBSTITUTE(E58,"/",""))+1))</f>
        <v/>
      </c>
      <c r="I58" s="78">
        <f>IF(ISBLANK(G58),"",IF(D58="Stock","0",Key!$A$3*H58*G58))</f>
        <v/>
      </c>
      <c r="J58" s="78">
        <f>IF(ISBLANK(E58),"",IF(ISNUMBER(SEARCH("/",E58)), IF(LEN(E58)-LEN(SUBSTITUTE(E58,"/",""))=1,(RIGHT(E58,LEN(E58)-FIND("/",E58)))-(LEFT(E58,FIND("/",E58)-1)),(MID(E58, SEARCH("/",E58) + 1, SEARCH("/",E58, SEARCH("/",E58)+1) - SEARCH("/",E58) - 1))-(LEFT(E58,FIND("/",E58)-1))), "NA"))</f>
        <v/>
      </c>
      <c r="K58" s="79">
        <f>IF(A58&lt;&gt;"", IF(ISBLANK(L58), TODAY(), K58), "")</f>
        <v/>
      </c>
      <c r="L58" s="78" t="n"/>
      <c r="M58" s="78">
        <f>IF(ISBLANK(L58),"",IF(D58="Stock",IF(C58="Buy",L58*G58,IF(C58="Sell",(L58*G58)-I58, X)),IF(C58="Buy",(L58*G58*100)+I58,IF(C58="Sell",(L58*G58*100)-I58, X))))</f>
        <v/>
      </c>
      <c r="N58" s="78">
        <f>IF(ISBLANK(L58),"",IF(AND(C58="Sell",D58="Stock"),M58,IF(ISBLANK(L58),"",IF(C58="Buy",M58, IF(AND(C58="Sell",J58="NA"),(E58*G58*100*0.1)+I58, IF(C58="Sell",(J58-L58)*(100*G58)+I58))))))</f>
        <v/>
      </c>
      <c r="O58" s="75" t="n"/>
      <c r="P58" s="75" t="n"/>
      <c r="Q58" s="75">
        <f>IF(ISBLANK(P58),"",IF(D58="Stock",P58*G58,IF(P58=0,"0",G58*P58*100-(G58*$AF$14))))</f>
        <v/>
      </c>
      <c r="R58" s="79">
        <f>IF(P58&lt;&gt;"", TODAY(), "")</f>
        <v/>
      </c>
      <c r="S58" s="78">
        <f>IF(AND(K58&lt;&gt;"", R58&lt;&gt;""), R58-K58, "")</f>
        <v/>
      </c>
      <c r="T58" s="78" t="n"/>
      <c r="U58" s="92">
        <f>IF(ISBLANK(P58),"",IF(C58="Buy",Q58-M58+T58, IF(C58="Sell",M58-Q58-T58, X)))</f>
        <v/>
      </c>
      <c r="V58" s="81">
        <f>IF(ISBLANK(P58),"",U58/N58)</f>
        <v/>
      </c>
      <c r="W58" s="81">
        <f>IF(ISBLANK(P58),"",IF(S58=0,(365/0.5)*V58,(365/S58)*V58))</f>
        <v/>
      </c>
      <c r="X58" s="75" t="n"/>
      <c r="Y58" s="77" t="n"/>
      <c r="Z58" s="77" t="n"/>
      <c r="AA58" s="75" t="n"/>
      <c r="AB58" s="75" t="n"/>
      <c r="AC58" s="75" t="n"/>
      <c r="AD58" s="75" t="n"/>
      <c r="AE58" s="75" t="n"/>
      <c r="AF58" s="75" t="n"/>
    </row>
    <row r="59" ht="15.75" customHeight="1" s="133">
      <c r="A59" s="75" t="n"/>
      <c r="B59" s="75" t="n"/>
      <c r="C59" s="75" t="n"/>
      <c r="D59" s="75" t="n"/>
      <c r="E59" s="76" t="n"/>
      <c r="F59" s="77" t="n"/>
      <c r="G59" s="75" t="n"/>
      <c r="H59" s="75">
        <f>IF(ISBLANK(E59),"",IF(OR(D59="Butterfly",D59="Butterfly ",D59="Iron Fly", D59="Iron Fly "),LEN(E59)-LEN(SUBSTITUTE(E59,"/",""))+2,LEN(E59)-LEN(SUBSTITUTE(E59,"/",""))+1))</f>
        <v/>
      </c>
      <c r="I59" s="78">
        <f>IF(ISBLANK(G59),"",IF(D59="Stock","0",Key!$A$3*H59*G59))</f>
        <v/>
      </c>
      <c r="J59" s="78">
        <f>IF(ISBLANK(E59),"",IF(ISNUMBER(SEARCH("/",E59)), IF(LEN(E59)-LEN(SUBSTITUTE(E59,"/",""))=1,(RIGHT(E59,LEN(E59)-FIND("/",E59)))-(LEFT(E59,FIND("/",E59)-1)),(MID(E59, SEARCH("/",E59) + 1, SEARCH("/",E59, SEARCH("/",E59)+1) - SEARCH("/",E59) - 1))-(LEFT(E59,FIND("/",E59)-1))), "NA"))</f>
        <v/>
      </c>
      <c r="K59" s="79">
        <f>IF(A59&lt;&gt;"", IF(ISBLANK(L59), TODAY(), K59), "")</f>
        <v/>
      </c>
      <c r="L59" s="78" t="n"/>
      <c r="M59" s="78">
        <f>IF(ISBLANK(L59),"",IF(D59="Stock",IF(C59="Buy",L59*G59,IF(C59="Sell",(L59*G59)-I59, X)),IF(C59="Buy",(L59*G59*100)+I59,IF(C59="Sell",(L59*G59*100)-I59, X))))</f>
        <v/>
      </c>
      <c r="N59" s="78">
        <f>IF(ISBLANK(L59),"",IF(AND(C59="Sell",D59="Stock"),M59,IF(ISBLANK(L59),"",IF(C59="Buy",M59, IF(AND(C59="Sell",J59="NA"),(E59*G59*100*0.1)+I59, IF(C59="Sell",(J59-L59)*(100*G59)+I59))))))</f>
        <v/>
      </c>
      <c r="O59" s="75" t="n"/>
      <c r="P59" s="75" t="n"/>
      <c r="Q59" s="75">
        <f>IF(ISBLANK(P59),"",IF(D59="Stock",P59*G59,IF(P59=0,"0",G59*P59*100-(G59*$AF$14))))</f>
        <v/>
      </c>
      <c r="R59" s="79">
        <f>IF(P59&lt;&gt;"", TODAY(), "")</f>
        <v/>
      </c>
      <c r="S59" s="78">
        <f>IF(AND(K59&lt;&gt;"", R59&lt;&gt;""), R59-K59, "")</f>
        <v/>
      </c>
      <c r="T59" s="78" t="n"/>
      <c r="U59" s="92">
        <f>IF(ISBLANK(P59),"",IF(C59="Buy",Q59-M59+T59, IF(C59="Sell",M59-Q59-T59, X)))</f>
        <v/>
      </c>
      <c r="V59" s="81">
        <f>IF(ISBLANK(P59),"",U59/N59)</f>
        <v/>
      </c>
      <c r="W59" s="81">
        <f>IF(ISBLANK(P59),"",IF(S59=0,(365/0.5)*V59,(365/S59)*V59))</f>
        <v/>
      </c>
      <c r="X59" s="75" t="n"/>
      <c r="Y59" s="77" t="n"/>
      <c r="Z59" s="77" t="n"/>
      <c r="AA59" s="75" t="n"/>
      <c r="AB59" s="75" t="n"/>
      <c r="AC59" s="6" t="n"/>
      <c r="AD59" s="75" t="n"/>
      <c r="AE59" s="75" t="n"/>
      <c r="AF59" s="75" t="n"/>
    </row>
    <row r="60" ht="15.75" customHeight="1" s="133">
      <c r="A60" s="75" t="n"/>
      <c r="B60" s="75" t="n"/>
      <c r="C60" s="75" t="n"/>
      <c r="D60" s="75" t="n"/>
      <c r="E60" s="76" t="n"/>
      <c r="F60" s="77" t="n"/>
      <c r="G60" s="75" t="n"/>
      <c r="H60" s="75">
        <f>IF(ISBLANK(E60),"",IF(OR(D60="Butterfly",D60="Butterfly ",D60="Iron Fly", D60="Iron Fly "),LEN(E60)-LEN(SUBSTITUTE(E60,"/",""))+2,LEN(E60)-LEN(SUBSTITUTE(E60,"/",""))+1))</f>
        <v/>
      </c>
      <c r="I60" s="78">
        <f>IF(ISBLANK(G60),"",IF(D60="Stock","0",Key!$A$3*H60*G60))</f>
        <v/>
      </c>
      <c r="J60" s="78">
        <f>IF(ISBLANK(E60),"",IF(ISNUMBER(SEARCH("/",E60)), IF(LEN(E60)-LEN(SUBSTITUTE(E60,"/",""))=1,(RIGHT(E60,LEN(E60)-FIND("/",E60)))-(LEFT(E60,FIND("/",E60)-1)),(MID(E60, SEARCH("/",E60) + 1, SEARCH("/",E60, SEARCH("/",E60)+1) - SEARCH("/",E60) - 1))-(LEFT(E60,FIND("/",E60)-1))), "NA"))</f>
        <v/>
      </c>
      <c r="K60" s="79">
        <f>IF(A60&lt;&gt;"", IF(ISBLANK(L60), TODAY(), K60), "")</f>
        <v/>
      </c>
      <c r="L60" s="78" t="n"/>
      <c r="M60" s="78">
        <f>IF(ISBLANK(L60),"",IF(D60="Stock",IF(C60="Buy",L60*G60,IF(C60="Sell",(L60*G60)-I60, X)),IF(C60="Buy",(L60*G60*100)+I60,IF(C60="Sell",(L60*G60*100)-I60, X))))</f>
        <v/>
      </c>
      <c r="N60" s="78">
        <f>IF(ISBLANK(L60),"",IF(AND(C60="Sell",D60="Stock"),M60,IF(ISBLANK(L60),"",IF(C60="Buy",M60, IF(AND(C60="Sell",J60="NA"),(E60*G60*100*0.1)+I60, IF(C60="Sell",(J60-L60)*(100*G60)+I60))))))</f>
        <v/>
      </c>
      <c r="O60" s="75" t="n"/>
      <c r="P60" s="75" t="n"/>
      <c r="Q60" s="75">
        <f>IF(ISBLANK(P60),"",IF(D60="Stock",P60*G60,IF(P60=0,"0",G60*P60*100-(G60*$AF$14))))</f>
        <v/>
      </c>
      <c r="R60" s="79">
        <f>IF(P60&lt;&gt;"", TODAY(), "")</f>
        <v/>
      </c>
      <c r="S60" s="78">
        <f>IF(AND(K60&lt;&gt;"", R60&lt;&gt;""), R60-K60, "")</f>
        <v/>
      </c>
      <c r="T60" s="78" t="n"/>
      <c r="U60" s="92">
        <f>IF(ISBLANK(P60),"",IF(C60="Buy",Q60-M60+T60, IF(C60="Sell",M60-Q60-T60, X)))</f>
        <v/>
      </c>
      <c r="V60" s="81">
        <f>IF(ISBLANK(P60),"",U60/N60)</f>
        <v/>
      </c>
      <c r="W60" s="81">
        <f>IF(ISBLANK(P60),"",IF(S60=0,(365/0.5)*V60,(365/S60)*V60))</f>
        <v/>
      </c>
      <c r="X60" s="75" t="n"/>
      <c r="Y60" s="77" t="n"/>
      <c r="Z60" s="77" t="n"/>
      <c r="AA60" s="75" t="n"/>
      <c r="AB60" s="75" t="n"/>
      <c r="AC60" s="6" t="n"/>
      <c r="AD60" s="75" t="n"/>
      <c r="AE60" s="75" t="n"/>
      <c r="AF60" s="75" t="n"/>
    </row>
    <row r="61" ht="15.75" customHeight="1" s="133">
      <c r="A61" s="75" t="n"/>
      <c r="B61" s="75" t="n"/>
      <c r="C61" s="75" t="n"/>
      <c r="D61" s="75" t="n"/>
      <c r="E61" s="76" t="n"/>
      <c r="F61" s="77" t="n"/>
      <c r="G61" s="75" t="n"/>
      <c r="H61" s="75">
        <f>IF(ISBLANK(E61),"",IF(OR(D61="Butterfly",D61="Butterfly ",D61="Iron Fly", D61="Iron Fly "),LEN(E61)-LEN(SUBSTITUTE(E61,"/",""))+2,LEN(E61)-LEN(SUBSTITUTE(E61,"/",""))+1))</f>
        <v/>
      </c>
      <c r="I61" s="78">
        <f>IF(ISBLANK(G61),"",IF(D61="Stock","0",Key!$A$3*H61*G61))</f>
        <v/>
      </c>
      <c r="J61" s="78">
        <f>IF(ISBLANK(E61),"",IF(ISNUMBER(SEARCH("/",E61)), IF(LEN(E61)-LEN(SUBSTITUTE(E61,"/",""))=1,(RIGHT(E61,LEN(E61)-FIND("/",E61)))-(LEFT(E61,FIND("/",E61)-1)),(MID(E61, SEARCH("/",E61) + 1, SEARCH("/",E61, SEARCH("/",E61)+1) - SEARCH("/",E61) - 1))-(LEFT(E61,FIND("/",E61)-1))), "NA"))</f>
        <v/>
      </c>
      <c r="K61" s="79">
        <f>IF(A61&lt;&gt;"", IF(ISBLANK(L61), TODAY(), K61), "")</f>
        <v/>
      </c>
      <c r="L61" s="78" t="n"/>
      <c r="M61" s="78">
        <f>IF(ISBLANK(L61),"",IF(D61="Stock",IF(C61="Buy",L61*G61,IF(C61="Sell",(L61*G61)-I61, X)),IF(C61="Buy",(L61*G61*100)+I61,IF(C61="Sell",(L61*G61*100)-I61, X))))</f>
        <v/>
      </c>
      <c r="N61" s="78">
        <f>IF(ISBLANK(L61),"",IF(AND(C61="Sell",D61="Stock"),M61,IF(ISBLANK(L61),"",IF(C61="Buy",M61, IF(AND(C61="Sell",J61="NA"),(E61*G61*100*0.1)+I61, IF(C61="Sell",(J61-L61)*(100*G61)+I61))))))</f>
        <v/>
      </c>
      <c r="O61" s="75" t="n"/>
      <c r="P61" s="75" t="n"/>
      <c r="Q61" s="75">
        <f>IF(ISBLANK(P61),"",IF(D61="Stock",P61*G61,IF(P61=0,"0",G61*P61*100-(G61*$AF$14))))</f>
        <v/>
      </c>
      <c r="R61" s="79">
        <f>IF(P61&lt;&gt;"", TODAY(), "")</f>
        <v/>
      </c>
      <c r="S61" s="78">
        <f>IF(AND(K61&lt;&gt;"", R61&lt;&gt;""), R61-K61, "")</f>
        <v/>
      </c>
      <c r="T61" s="78" t="n"/>
      <c r="U61" s="92">
        <f>IF(ISBLANK(P61),"",IF(C61="Buy",Q61-M61+T61, IF(C61="Sell",M61-Q61-T61, X)))</f>
        <v/>
      </c>
      <c r="V61" s="81">
        <f>IF(ISBLANK(P61),"",U61/N61)</f>
        <v/>
      </c>
      <c r="W61" s="81">
        <f>IF(ISBLANK(P61),"",IF(S61=0,(365/0.5)*V61,(365/S61)*V61))</f>
        <v/>
      </c>
      <c r="X61" s="75" t="n"/>
      <c r="Y61" s="77" t="n"/>
      <c r="Z61" s="77" t="n"/>
      <c r="AA61" s="75" t="n"/>
      <c r="AB61" s="75" t="n"/>
      <c r="AC61" s="6" t="n"/>
      <c r="AD61" s="75" t="n"/>
      <c r="AE61" s="75" t="n"/>
      <c r="AF61" s="75" t="n"/>
    </row>
    <row r="62" ht="15.75" customHeight="1" s="133">
      <c r="A62" s="75" t="n"/>
      <c r="B62" s="75" t="n"/>
      <c r="C62" s="75" t="n"/>
      <c r="D62" s="75" t="n"/>
      <c r="E62" s="76" t="n"/>
      <c r="F62" s="77" t="n"/>
      <c r="G62" s="75" t="n"/>
      <c r="H62" s="75">
        <f>IF(ISBLANK(E62),"",IF(OR(D62="Butterfly",D62="Butterfly ",D62="Iron Fly", D62="Iron Fly "),LEN(E62)-LEN(SUBSTITUTE(E62,"/",""))+2,LEN(E62)-LEN(SUBSTITUTE(E62,"/",""))+1))</f>
        <v/>
      </c>
      <c r="I62" s="78">
        <f>IF(ISBLANK(G62),"",IF(D62="Stock","0",Key!$A$3*H62*G62))</f>
        <v/>
      </c>
      <c r="J62" s="78">
        <f>IF(ISBLANK(E62),"",IF(ISNUMBER(SEARCH("/",E62)), IF(LEN(E62)-LEN(SUBSTITUTE(E62,"/",""))=1,(RIGHT(E62,LEN(E62)-FIND("/",E62)))-(LEFT(E62,FIND("/",E62)-1)),(MID(E62, SEARCH("/",E62) + 1, SEARCH("/",E62, SEARCH("/",E62)+1) - SEARCH("/",E62) - 1))-(LEFT(E62,FIND("/",E62)-1))), "NA"))</f>
        <v/>
      </c>
      <c r="K62" s="79">
        <f>IF(A62&lt;&gt;"", IF(ISBLANK(L62), TODAY(), K62), "")</f>
        <v/>
      </c>
      <c r="L62" s="78" t="n"/>
      <c r="M62" s="78">
        <f>IF(ISBLANK(L62),"",IF(D62="Stock",IF(C62="Buy",L62*G62,IF(C62="Sell",(L62*G62)-I62, X)),IF(C62="Buy",(L62*G62*100)+I62,IF(C62="Sell",(L62*G62*100)-I62, X))))</f>
        <v/>
      </c>
      <c r="N62" s="78">
        <f>IF(ISBLANK(L62),"",IF(AND(C62="Sell",D62="Stock"),M62,IF(ISBLANK(L62),"",IF(C62="Buy",M62, IF(AND(C62="Sell",J62="NA"),(E62*G62*100*0.1)+I62, IF(C62="Sell",(J62-L62)*(100*G62)+I62))))))</f>
        <v/>
      </c>
      <c r="O62" s="75" t="n"/>
      <c r="P62" s="75" t="n"/>
      <c r="Q62" s="75">
        <f>IF(ISBLANK(P62),"",IF(D62="Stock",P62*G62,IF(P62=0,"0",G62*P62*100-(G62*$AF$14))))</f>
        <v/>
      </c>
      <c r="R62" s="79">
        <f>IF(P62&lt;&gt;"", TODAY(), "")</f>
        <v/>
      </c>
      <c r="S62" s="78">
        <f>IF(AND(K62&lt;&gt;"", R62&lt;&gt;""), R62-K62, "")</f>
        <v/>
      </c>
      <c r="T62" s="78" t="n"/>
      <c r="U62" s="92">
        <f>IF(ISBLANK(P62),"",IF(C62="Buy",Q62-M62+T62, IF(C62="Sell",M62-Q62-T62, X)))</f>
        <v/>
      </c>
      <c r="V62" s="81">
        <f>IF(ISBLANK(P62),"",U62/N62)</f>
        <v/>
      </c>
      <c r="W62" s="81">
        <f>IF(ISBLANK(P62),"",IF(S62=0,(365/0.5)*V62,(365/S62)*V62))</f>
        <v/>
      </c>
      <c r="X62" s="75" t="n"/>
      <c r="Y62" s="77" t="n"/>
      <c r="Z62" s="77" t="n"/>
      <c r="AA62" s="75" t="n"/>
      <c r="AB62" s="75" t="n"/>
      <c r="AC62" s="6" t="n"/>
      <c r="AD62" s="75" t="n"/>
      <c r="AE62" s="75" t="n"/>
      <c r="AF62" s="75" t="n"/>
    </row>
    <row r="63" ht="15.75" customHeight="1" s="133">
      <c r="A63" s="75" t="n"/>
      <c r="B63" s="75" t="n"/>
      <c r="C63" s="75" t="n"/>
      <c r="D63" s="75" t="n"/>
      <c r="E63" s="76" t="n"/>
      <c r="F63" s="77" t="n"/>
      <c r="G63" s="75" t="n"/>
      <c r="H63" s="75">
        <f>IF(ISBLANK(E63),"",IF(OR(D63="Butterfly",D63="Butterfly ",D63="Iron Fly", D63="Iron Fly "),LEN(E63)-LEN(SUBSTITUTE(E63,"/",""))+2,LEN(E63)-LEN(SUBSTITUTE(E63,"/",""))+1))</f>
        <v/>
      </c>
      <c r="I63" s="78">
        <f>IF(ISBLANK(G63),"",IF(D63="Stock","0",Key!$A$3*H63*G63))</f>
        <v/>
      </c>
      <c r="J63" s="78">
        <f>IF(ISBLANK(E63),"",IF(ISNUMBER(SEARCH("/",E63)), IF(LEN(E63)-LEN(SUBSTITUTE(E63,"/",""))=1,(RIGHT(E63,LEN(E63)-FIND("/",E63)))-(LEFT(E63,FIND("/",E63)-1)),(MID(E63, SEARCH("/",E63) + 1, SEARCH("/",E63, SEARCH("/",E63)+1) - SEARCH("/",E63) - 1))-(LEFT(E63,FIND("/",E63)-1))), "NA"))</f>
        <v/>
      </c>
      <c r="K63" s="79">
        <f>IF(A63&lt;&gt;"", IF(ISBLANK(L63), TODAY(), K63), "")</f>
        <v/>
      </c>
      <c r="L63" s="78" t="n"/>
      <c r="M63" s="78">
        <f>IF(ISBLANK(L63),"",IF(D63="Stock",IF(C63="Buy",L63*G63,IF(C63="Sell",(L63*G63)-I63, X)),IF(C63="Buy",(L63*G63*100)+I63,IF(C63="Sell",(L63*G63*100)-I63, X))))</f>
        <v/>
      </c>
      <c r="N63" s="78">
        <f>IF(ISBLANK(L63),"",IF(AND(C63="Sell",D63="Stock"),M63,IF(ISBLANK(L63),"",IF(C63="Buy",M63, IF(AND(C63="Sell",J63="NA"),(E63*G63*100*0.1)+I63, IF(C63="Sell",(J63-L63)*(100*G63)+I63))))))</f>
        <v/>
      </c>
      <c r="O63" s="75" t="n"/>
      <c r="P63" s="75" t="n"/>
      <c r="Q63" s="75">
        <f>IF(ISBLANK(P63),"",IF(D63="Stock",P63*G63,IF(P63=0,"0",G63*P63*100-(G63*$AF$14))))</f>
        <v/>
      </c>
      <c r="R63" s="79">
        <f>IF(P63&lt;&gt;"", TODAY(), "")</f>
        <v/>
      </c>
      <c r="S63" s="78">
        <f>IF(AND(K63&lt;&gt;"", R63&lt;&gt;""), R63-K63, "")</f>
        <v/>
      </c>
      <c r="T63" s="78" t="n"/>
      <c r="U63" s="92">
        <f>IF(ISBLANK(P63),"",IF(C63="Buy",Q63-M63+T63, IF(C63="Sell",M63-Q63-T63, X)))</f>
        <v/>
      </c>
      <c r="V63" s="81">
        <f>IF(ISBLANK(P63),"",U63/N63)</f>
        <v/>
      </c>
      <c r="W63" s="81">
        <f>IF(ISBLANK(P63),"",IF(S63=0,(365/0.5)*V63,(365/S63)*V63))</f>
        <v/>
      </c>
      <c r="X63" s="75" t="n"/>
      <c r="Y63" s="77" t="n"/>
      <c r="Z63" s="77" t="n"/>
      <c r="AA63" s="75" t="n"/>
      <c r="AB63" s="75" t="n"/>
      <c r="AC63" s="6" t="n"/>
      <c r="AD63" s="75" t="n"/>
      <c r="AE63" s="75" t="n"/>
      <c r="AF63" s="75" t="n"/>
    </row>
    <row r="64" ht="15.75" customHeight="1" s="133">
      <c r="A64" s="75" t="n"/>
      <c r="B64" s="75" t="n"/>
      <c r="C64" s="75" t="n"/>
      <c r="D64" s="75" t="n"/>
      <c r="E64" s="76" t="n"/>
      <c r="F64" s="77" t="n"/>
      <c r="G64" s="75" t="n"/>
      <c r="H64" s="75">
        <f>IF(ISBLANK(E64),"",IF(OR(D64="Butterfly",D64="Butterfly ",D64="Iron Fly", D64="Iron Fly "),LEN(E64)-LEN(SUBSTITUTE(E64,"/",""))+2,LEN(E64)-LEN(SUBSTITUTE(E64,"/",""))+1))</f>
        <v/>
      </c>
      <c r="I64" s="78">
        <f>IF(ISBLANK(G64),"",IF(D64="Stock","0",Key!$A$3*H64*G64))</f>
        <v/>
      </c>
      <c r="J64" s="78">
        <f>IF(ISBLANK(E64),"",IF(ISNUMBER(SEARCH("/",E64)), IF(LEN(E64)-LEN(SUBSTITUTE(E64,"/",""))=1,(RIGHT(E64,LEN(E64)-FIND("/",E64)))-(LEFT(E64,FIND("/",E64)-1)),(MID(E64, SEARCH("/",E64) + 1, SEARCH("/",E64, SEARCH("/",E64)+1) - SEARCH("/",E64) - 1))-(LEFT(E64,FIND("/",E64)-1))), "NA"))</f>
        <v/>
      </c>
      <c r="K64" s="79">
        <f>IF(A64&lt;&gt;"", IF(ISBLANK(L64), TODAY(), K64), "")</f>
        <v/>
      </c>
      <c r="L64" s="78" t="n"/>
      <c r="M64" s="78">
        <f>IF(ISBLANK(L64),"",IF(D64="Stock",IF(C64="Buy",L64*G64,IF(C64="Sell",(L64*G64)-I64, X)),IF(C64="Buy",(L64*G64*100)+I64,IF(C64="Sell",(L64*G64*100)-I64, X))))</f>
        <v/>
      </c>
      <c r="N64" s="78">
        <f>IF(ISBLANK(L64),"",IF(AND(C64="Sell",D64="Stock"),M64,IF(ISBLANK(L64),"",IF(C64="Buy",M64, IF(AND(C64="Sell",J64="NA"),(E64*G64*100*0.1)+I64, IF(C64="Sell",(J64-L64)*(100*G64)+I64))))))</f>
        <v/>
      </c>
      <c r="O64" s="75" t="n"/>
      <c r="P64" s="75" t="n"/>
      <c r="Q64" s="75">
        <f>IF(ISBLANK(P64),"",IF(D64="Stock",P64*G64,IF(P64=0,"0",G64*P64*100-(G64*$AF$14))))</f>
        <v/>
      </c>
      <c r="R64" s="79">
        <f>IF(P64&lt;&gt;"", TODAY(), "")</f>
        <v/>
      </c>
      <c r="S64" s="78">
        <f>IF(AND(K64&lt;&gt;"", R64&lt;&gt;""), R64-K64, "")</f>
        <v/>
      </c>
      <c r="T64" s="78" t="n"/>
      <c r="U64" s="92">
        <f>IF(ISBLANK(P64),"",IF(C64="Buy",Q64-M64+T64, IF(C64="Sell",M64-Q64-T64, X)))</f>
        <v/>
      </c>
      <c r="V64" s="81">
        <f>IF(ISBLANK(P64),"",U64/N64)</f>
        <v/>
      </c>
      <c r="W64" s="81">
        <f>IF(ISBLANK(P64),"",IF(S64=0,(365/0.5)*V64,(365/S64)*V64))</f>
        <v/>
      </c>
      <c r="X64" s="75" t="n"/>
      <c r="Y64" s="77" t="n"/>
      <c r="Z64" s="77" t="n"/>
      <c r="AA64" s="75" t="n"/>
      <c r="AB64" s="75" t="n"/>
      <c r="AC64" s="6" t="n"/>
      <c r="AD64" s="75" t="n"/>
      <c r="AE64" s="75" t="n"/>
      <c r="AF64" s="75" t="n"/>
    </row>
    <row r="65" ht="15.75" customHeight="1" s="133">
      <c r="A65" s="75" t="n"/>
      <c r="B65" s="75" t="n"/>
      <c r="C65" s="75" t="n"/>
      <c r="D65" s="75" t="n"/>
      <c r="E65" s="76" t="n"/>
      <c r="F65" s="77" t="n"/>
      <c r="G65" s="75" t="n"/>
      <c r="H65" s="75">
        <f>IF(ISBLANK(E65),"",IF(OR(D65="Butterfly",D65="Butterfly ",D65="Iron Fly", D65="Iron Fly "),LEN(E65)-LEN(SUBSTITUTE(E65,"/",""))+2,LEN(E65)-LEN(SUBSTITUTE(E65,"/",""))+1))</f>
        <v/>
      </c>
      <c r="I65" s="78">
        <f>IF(ISBLANK(G65),"",IF(D65="Stock","0",Key!$A$3*H65*G65))</f>
        <v/>
      </c>
      <c r="J65" s="78">
        <f>IF(ISBLANK(E65),"",IF(ISNUMBER(SEARCH("/",E65)), IF(LEN(E65)-LEN(SUBSTITUTE(E65,"/",""))=1,(RIGHT(E65,LEN(E65)-FIND("/",E65)))-(LEFT(E65,FIND("/",E65)-1)),(MID(E65, SEARCH("/",E65) + 1, SEARCH("/",E65, SEARCH("/",E65)+1) - SEARCH("/",E65) - 1))-(LEFT(E65,FIND("/",E65)-1))), "NA"))</f>
        <v/>
      </c>
      <c r="K65" s="79">
        <f>IF(A65&lt;&gt;"", IF(ISBLANK(L65), TODAY(), K65), "")</f>
        <v/>
      </c>
      <c r="L65" s="78" t="n"/>
      <c r="M65" s="78">
        <f>IF(ISBLANK(L65),"",IF(D65="Stock",IF(C65="Buy",L65*G65,IF(C65="Sell",(L65*G65)-I65, X)),IF(C65="Buy",(L65*G65*100)+I65,IF(C65="Sell",(L65*G65*100)-I65, X))))</f>
        <v/>
      </c>
      <c r="N65" s="78">
        <f>IF(ISBLANK(L65),"",IF(AND(C65="Sell",D65="Stock"),M65,IF(ISBLANK(L65),"",IF(C65="Buy",M65, IF(AND(C65="Sell",J65="NA"),(E65*G65*100*0.1)+I65, IF(C65="Sell",(J65-L65)*(100*G65)+I65))))))</f>
        <v/>
      </c>
      <c r="O65" s="75" t="n"/>
      <c r="P65" s="75" t="n"/>
      <c r="Q65" s="75">
        <f>IF(ISBLANK(P65),"",IF(D65="Stock",P65*G65,IF(P65=0,"0",G65*P65*100-(G65*$AF$14))))</f>
        <v/>
      </c>
      <c r="R65" s="79">
        <f>IF(P65&lt;&gt;"", TODAY(), "")</f>
        <v/>
      </c>
      <c r="S65" s="78">
        <f>IF(AND(K65&lt;&gt;"", R65&lt;&gt;""), R65-K65, "")</f>
        <v/>
      </c>
      <c r="T65" s="78" t="n"/>
      <c r="U65" s="92">
        <f>IF(ISBLANK(P65),"",IF(C65="Buy",Q65-M65+T65, IF(C65="Sell",M65-Q65-T65, X)))</f>
        <v/>
      </c>
      <c r="V65" s="81">
        <f>IF(ISBLANK(P65),"",U65/N65)</f>
        <v/>
      </c>
      <c r="W65" s="81">
        <f>IF(ISBLANK(P65),"",IF(S65=0,(365/0.5)*V65,(365/S65)*V65))</f>
        <v/>
      </c>
      <c r="X65" s="75" t="n"/>
      <c r="Y65" s="77" t="n"/>
      <c r="Z65" s="77" t="n"/>
      <c r="AA65" s="75" t="n"/>
      <c r="AB65" s="75" t="n"/>
      <c r="AC65" s="6" t="n"/>
      <c r="AD65" s="75" t="n"/>
      <c r="AE65" s="75" t="n"/>
      <c r="AF65" s="75" t="n"/>
    </row>
    <row r="66" ht="15.75" customHeight="1" s="133">
      <c r="A66" s="75" t="n"/>
      <c r="B66" s="75" t="n"/>
      <c r="C66" s="75" t="n"/>
      <c r="D66" s="75" t="n"/>
      <c r="E66" s="76" t="n"/>
      <c r="F66" s="77" t="n"/>
      <c r="G66" s="75" t="n"/>
      <c r="H66" s="75">
        <f>IF(ISBLANK(E66),"",IF(OR(D66="Butterfly",D66="Butterfly ",D66="Iron Fly", D66="Iron Fly "),LEN(E66)-LEN(SUBSTITUTE(E66,"/",""))+2,LEN(E66)-LEN(SUBSTITUTE(E66,"/",""))+1))</f>
        <v/>
      </c>
      <c r="I66" s="78">
        <f>IF(ISBLANK(G66),"",IF(D66="Stock","0",Key!$A$3*H66*G66))</f>
        <v/>
      </c>
      <c r="J66" s="78">
        <f>IF(ISBLANK(E66),"",IF(ISNUMBER(SEARCH("/",E66)), IF(LEN(E66)-LEN(SUBSTITUTE(E66,"/",""))=1,(RIGHT(E66,LEN(E66)-FIND("/",E66)))-(LEFT(E66,FIND("/",E66)-1)),(MID(E66, SEARCH("/",E66) + 1, SEARCH("/",E66, SEARCH("/",E66)+1) - SEARCH("/",E66) - 1))-(LEFT(E66,FIND("/",E66)-1))), "NA"))</f>
        <v/>
      </c>
      <c r="K66" s="79">
        <f>IF(A66&lt;&gt;"", IF(ISBLANK(L66), TODAY(), K66), "")</f>
        <v/>
      </c>
      <c r="L66" s="78" t="n"/>
      <c r="M66" s="78">
        <f>IF(ISBLANK(L66),"",IF(D66="Stock",IF(C66="Buy",L66*G66,IF(C66="Sell",(L66*G66)-I66, X)),IF(C66="Buy",(L66*G66*100)+I66,IF(C66="Sell",(L66*G66*100)-I66, X))))</f>
        <v/>
      </c>
      <c r="N66" s="78">
        <f>IF(ISBLANK(L66),"",IF(AND(C66="Sell",D66="Stock"),M66,IF(ISBLANK(L66),"",IF(C66="Buy",M66, IF(AND(C66="Sell",J66="NA"),(E66*G66*100*0.1)+I66, IF(C66="Sell",(J66-L66)*(100*G66)+I66))))))</f>
        <v/>
      </c>
      <c r="O66" s="75" t="n"/>
      <c r="P66" s="75" t="n"/>
      <c r="Q66" s="75">
        <f>IF(ISBLANK(P66),"",IF(D66="Stock",P66*G66,IF(P66=0,"0",G66*P66*100-(G66*$AF$14))))</f>
        <v/>
      </c>
      <c r="R66" s="79">
        <f>IF(P66&lt;&gt;"", TODAY(), "")</f>
        <v/>
      </c>
      <c r="S66" s="78">
        <f>IF(AND(K66&lt;&gt;"", R66&lt;&gt;""), R66-K66, "")</f>
        <v/>
      </c>
      <c r="T66" s="78" t="n"/>
      <c r="U66" s="92">
        <f>IF(ISBLANK(P66),"",IF(C66="Buy",Q66-M66+T66, IF(C66="Sell",M66-Q66-T66, X)))</f>
        <v/>
      </c>
      <c r="V66" s="81">
        <f>IF(ISBLANK(P66),"",U66/N66)</f>
        <v/>
      </c>
      <c r="W66" s="81">
        <f>IF(ISBLANK(P66),"",IF(S66=0,(365/0.5)*V66,(365/S66)*V66))</f>
        <v/>
      </c>
      <c r="X66" s="75" t="n"/>
      <c r="Y66" s="77" t="n"/>
      <c r="Z66" s="77" t="n"/>
      <c r="AA66" s="75" t="n"/>
      <c r="AB66" s="75" t="n"/>
      <c r="AC66" s="6" t="n"/>
      <c r="AD66" s="75" t="n"/>
      <c r="AE66" s="75" t="n"/>
      <c r="AF66" s="75" t="n"/>
    </row>
    <row r="67" ht="15.75" customHeight="1" s="133">
      <c r="A67" s="75" t="n"/>
      <c r="B67" s="75" t="n"/>
      <c r="C67" s="75" t="n"/>
      <c r="D67" s="75" t="n"/>
      <c r="E67" s="76" t="n"/>
      <c r="F67" s="77" t="n"/>
      <c r="G67" s="75" t="n"/>
      <c r="H67" s="75">
        <f>IF(ISBLANK(E67),"",IF(OR(D67="Butterfly",D67="Butterfly ",D67="Iron Fly", D67="Iron Fly "),LEN(E67)-LEN(SUBSTITUTE(E67,"/",""))+2,LEN(E67)-LEN(SUBSTITUTE(E67,"/",""))+1))</f>
        <v/>
      </c>
      <c r="I67" s="78">
        <f>IF(ISBLANK(G67),"",IF(D67="Stock","0",Key!$A$3*H67*G67))</f>
        <v/>
      </c>
      <c r="J67" s="78">
        <f>IF(ISBLANK(E67),"",IF(ISNUMBER(SEARCH("/",E67)), IF(LEN(E67)-LEN(SUBSTITUTE(E67,"/",""))=1,(RIGHT(E67,LEN(E67)-FIND("/",E67)))-(LEFT(E67,FIND("/",E67)-1)),(MID(E67, SEARCH("/",E67) + 1, SEARCH("/",E67, SEARCH("/",E67)+1) - SEARCH("/",E67) - 1))-(LEFT(E67,FIND("/",E67)-1))), "NA"))</f>
        <v/>
      </c>
      <c r="K67" s="79">
        <f>IF(A67&lt;&gt;"", IF(ISBLANK(L67), TODAY(), K67), "")</f>
        <v/>
      </c>
      <c r="L67" s="78" t="n"/>
      <c r="M67" s="78">
        <f>IF(ISBLANK(L67),"",IF(D67="Stock",IF(C67="Buy",L67*G67,IF(C67="Sell",(L67*G67)-I67, X)),IF(C67="Buy",(L67*G67*100)+I67,IF(C67="Sell",(L67*G67*100)-I67, X))))</f>
        <v/>
      </c>
      <c r="N67" s="78">
        <f>IF(ISBLANK(L67),"",IF(AND(C67="Sell",D67="Stock"),M67,IF(ISBLANK(L67),"",IF(C67="Buy",M67, IF(AND(C67="Sell",J67="NA"),(E67*G67*100*0.1)+I67, IF(C67="Sell",(J67-L67)*(100*G67)+I67))))))</f>
        <v/>
      </c>
      <c r="O67" s="75" t="n"/>
      <c r="P67" s="75" t="n"/>
      <c r="Q67" s="75">
        <f>IF(ISBLANK(P67),"",IF(D67="Stock",P67*G67,IF(P67=0,"0",G67*P67*100-(G67*$AF$14))))</f>
        <v/>
      </c>
      <c r="R67" s="79">
        <f>IF(P67&lt;&gt;"", TODAY(), "")</f>
        <v/>
      </c>
      <c r="S67" s="78">
        <f>IF(AND(K67&lt;&gt;"", R67&lt;&gt;""), R67-K67, "")</f>
        <v/>
      </c>
      <c r="T67" s="78" t="n"/>
      <c r="U67" s="92">
        <f>IF(ISBLANK(P67),"",IF(C67="Buy",Q67-M67+T67, IF(C67="Sell",M67-Q67-T67, X)))</f>
        <v/>
      </c>
      <c r="V67" s="81">
        <f>IF(ISBLANK(P67),"",U67/N67)</f>
        <v/>
      </c>
      <c r="W67" s="81">
        <f>IF(ISBLANK(P67),"",IF(S67=0,(365/0.5)*V67,(365/S67)*V67))</f>
        <v/>
      </c>
      <c r="X67" s="75" t="n"/>
      <c r="Y67" s="77" t="n"/>
      <c r="Z67" s="77" t="n"/>
      <c r="AA67" s="75" t="n"/>
      <c r="AB67" s="75" t="n"/>
      <c r="AC67" s="6" t="n"/>
      <c r="AD67" s="75" t="n"/>
      <c r="AE67" s="75" t="n"/>
      <c r="AF67" s="75" t="n"/>
    </row>
    <row r="68" ht="15.75" customHeight="1" s="133">
      <c r="A68" s="75" t="n"/>
      <c r="B68" s="75" t="n"/>
      <c r="C68" s="75" t="n"/>
      <c r="D68" s="75" t="n"/>
      <c r="E68" s="76" t="n"/>
      <c r="F68" s="77" t="n"/>
      <c r="G68" s="75" t="n"/>
      <c r="H68" s="75">
        <f>IF(ISBLANK(E68),"",IF(OR(D68="Butterfly",D68="Butterfly ",D68="Iron Fly", D68="Iron Fly "),LEN(E68)-LEN(SUBSTITUTE(E68,"/",""))+2,LEN(E68)-LEN(SUBSTITUTE(E68,"/",""))+1))</f>
        <v/>
      </c>
      <c r="I68" s="78">
        <f>IF(ISBLANK(G68),"",IF(D68="Stock","0",Key!$A$3*H68*G68))</f>
        <v/>
      </c>
      <c r="J68" s="78">
        <f>IF(ISBLANK(E68),"",IF(ISNUMBER(SEARCH("/",E68)), IF(LEN(E68)-LEN(SUBSTITUTE(E68,"/",""))=1,(RIGHT(E68,LEN(E68)-FIND("/",E68)))-(LEFT(E68,FIND("/",E68)-1)),(MID(E68, SEARCH("/",E68) + 1, SEARCH("/",E68, SEARCH("/",E68)+1) - SEARCH("/",E68) - 1))-(LEFT(E68,FIND("/",E68)-1))), "NA"))</f>
        <v/>
      </c>
      <c r="K68" s="79">
        <f>IF(A68&lt;&gt;"", IF(ISBLANK(L68), TODAY(), K68), "")</f>
        <v/>
      </c>
      <c r="L68" s="78" t="n"/>
      <c r="M68" s="78">
        <f>IF(ISBLANK(L68),"",IF(D68="Stock",IF(C68="Buy",L68*G68,IF(C68="Sell",(L68*G68)-I68, X)),IF(C68="Buy",(L68*G68*100)+I68,IF(C68="Sell",(L68*G68*100)-I68, X))))</f>
        <v/>
      </c>
      <c r="N68" s="78">
        <f>IF(ISBLANK(L68),"",IF(AND(C68="Sell",D68="Stock"),M68,IF(ISBLANK(L68),"",IF(C68="Buy",M68, IF(AND(C68="Sell",J68="NA"),(E68*G68*100*0.1)+I68, IF(C68="Sell",(J68-L68)*(100*G68)+I68))))))</f>
        <v/>
      </c>
      <c r="O68" s="75" t="n"/>
      <c r="P68" s="75" t="n"/>
      <c r="Q68" s="75">
        <f>IF(ISBLANK(P68),"",IF(D68="Stock",P68*G68,IF(P68=0,"0",G68*P68*100-(G68*$AF$14))))</f>
        <v/>
      </c>
      <c r="R68" s="79">
        <f>IF(P68&lt;&gt;"", TODAY(), "")</f>
        <v/>
      </c>
      <c r="S68" s="78">
        <f>IF(AND(K68&lt;&gt;"", R68&lt;&gt;""), R68-K68, "")</f>
        <v/>
      </c>
      <c r="T68" s="78" t="n"/>
      <c r="U68" s="92">
        <f>IF(ISBLANK(P68),"",IF(C68="Buy",Q68-M68+T68, IF(C68="Sell",M68-Q68-T68, X)))</f>
        <v/>
      </c>
      <c r="V68" s="81">
        <f>IF(ISBLANK(P68),"",U68/N68)</f>
        <v/>
      </c>
      <c r="W68" s="81">
        <f>IF(ISBLANK(P68),"",IF(S68=0,(365/0.5)*V68,(365/S68)*V68))</f>
        <v/>
      </c>
      <c r="X68" s="75" t="n"/>
      <c r="Y68" s="77" t="n"/>
      <c r="Z68" s="77" t="n"/>
      <c r="AA68" s="75" t="n"/>
      <c r="AB68" s="75" t="n"/>
      <c r="AC68" s="6" t="n"/>
      <c r="AD68" s="75" t="n"/>
      <c r="AE68" s="75" t="n"/>
      <c r="AF68" s="75" t="n"/>
    </row>
    <row r="69" ht="15.75" customHeight="1" s="133">
      <c r="A69" s="75" t="n"/>
      <c r="B69" s="75" t="n"/>
      <c r="C69" s="75" t="n"/>
      <c r="D69" s="75" t="n"/>
      <c r="E69" s="76" t="n"/>
      <c r="F69" s="77" t="n"/>
      <c r="G69" s="75" t="n"/>
      <c r="H69" s="75">
        <f>IF(ISBLANK(E69),"",IF(OR(D69="Butterfly",D69="Butterfly ",D69="Iron Fly", D69="Iron Fly "),LEN(E69)-LEN(SUBSTITUTE(E69,"/",""))+2,LEN(E69)-LEN(SUBSTITUTE(E69,"/",""))+1))</f>
        <v/>
      </c>
      <c r="I69" s="78">
        <f>IF(ISBLANK(G69),"",IF(D69="Stock","0",Key!$A$3*H69*G69))</f>
        <v/>
      </c>
      <c r="J69" s="78">
        <f>IF(ISBLANK(E69),"",IF(ISNUMBER(SEARCH("/",E69)), IF(LEN(E69)-LEN(SUBSTITUTE(E69,"/",""))=1,(RIGHT(E69,LEN(E69)-FIND("/",E69)))-(LEFT(E69,FIND("/",E69)-1)),(MID(E69, SEARCH("/",E69) + 1, SEARCH("/",E69, SEARCH("/",E69)+1) - SEARCH("/",E69) - 1))-(LEFT(E69,FIND("/",E69)-1))), "NA"))</f>
        <v/>
      </c>
      <c r="K69" s="79">
        <f>IF(A69&lt;&gt;"", IF(ISBLANK(L69), TODAY(), K69), "")</f>
        <v/>
      </c>
      <c r="L69" s="78" t="n"/>
      <c r="M69" s="78">
        <f>IF(ISBLANK(L69),"",IF(D69="Stock",IF(C69="Buy",L69*G69,IF(C69="Sell",(L69*G69)-I69, X)),IF(C69="Buy",(L69*G69*100)+I69,IF(C69="Sell",(L69*G69*100)-I69, X))))</f>
        <v/>
      </c>
      <c r="N69" s="78">
        <f>IF(ISBLANK(L69),"",IF(AND(C69="Sell",D69="Stock"),M69,IF(ISBLANK(L69),"",IF(C69="Buy",M69, IF(AND(C69="Sell",J69="NA"),(E69*G69*100*0.1)+I69, IF(C69="Sell",(J69-L69)*(100*G69)+I69))))))</f>
        <v/>
      </c>
      <c r="O69" s="75" t="n"/>
      <c r="P69" s="75" t="n"/>
      <c r="Q69" s="75">
        <f>IF(ISBLANK(P69),"",IF(D69="Stock",P69*G69,IF(P69=0,"0",G69*P69*100-(G69*$AF$14))))</f>
        <v/>
      </c>
      <c r="R69" s="79">
        <f>IF(P69&lt;&gt;"", TODAY(), "")</f>
        <v/>
      </c>
      <c r="S69" s="78">
        <f>IF(AND(K69&lt;&gt;"", R69&lt;&gt;""), R69-K69, "")</f>
        <v/>
      </c>
      <c r="T69" s="78" t="n"/>
      <c r="U69" s="92">
        <f>IF(ISBLANK(P69),"",IF(C69="Buy",Q69-M69+T69, IF(C69="Sell",M69-Q69-T69, X)))</f>
        <v/>
      </c>
      <c r="V69" s="81">
        <f>IF(ISBLANK(P69),"",U69/N69)</f>
        <v/>
      </c>
      <c r="W69" s="81">
        <f>IF(ISBLANK(P69),"",IF(S69=0,(365/0.5)*V69,(365/S69)*V69))</f>
        <v/>
      </c>
      <c r="X69" s="75" t="n"/>
      <c r="Y69" s="77" t="n"/>
      <c r="Z69" s="77" t="n"/>
      <c r="AA69" s="75" t="n"/>
      <c r="AB69" s="75" t="n"/>
      <c r="AC69" s="6" t="n"/>
      <c r="AD69" s="75" t="n"/>
      <c r="AE69" s="75" t="n"/>
      <c r="AF69" s="75" t="n"/>
    </row>
    <row r="70" ht="15.75" customHeight="1" s="133">
      <c r="A70" s="75" t="n"/>
      <c r="B70" s="75" t="n"/>
      <c r="C70" s="75" t="n"/>
      <c r="D70" s="75" t="n"/>
      <c r="E70" s="76" t="n"/>
      <c r="F70" s="77" t="n"/>
      <c r="G70" s="75" t="n"/>
      <c r="H70" s="75">
        <f>IF(ISBLANK(E70),"",IF(OR(D70="Butterfly",D70="Butterfly ",D70="Iron Fly", D70="Iron Fly "),LEN(E70)-LEN(SUBSTITUTE(E70,"/",""))+2,LEN(E70)-LEN(SUBSTITUTE(E70,"/",""))+1))</f>
        <v/>
      </c>
      <c r="I70" s="78">
        <f>IF(ISBLANK(G70),"",IF(D70="Stock","0",Key!$A$3*H70*G70))</f>
        <v/>
      </c>
      <c r="J70" s="78">
        <f>IF(ISBLANK(E70),"",IF(ISNUMBER(SEARCH("/",E70)), IF(LEN(E70)-LEN(SUBSTITUTE(E70,"/",""))=1,(RIGHT(E70,LEN(E70)-FIND("/",E70)))-(LEFT(E70,FIND("/",E70)-1)),(MID(E70, SEARCH("/",E70) + 1, SEARCH("/",E70, SEARCH("/",E70)+1) - SEARCH("/",E70) - 1))-(LEFT(E70,FIND("/",E70)-1))), "NA"))</f>
        <v/>
      </c>
      <c r="K70" s="79">
        <f>IF(A70&lt;&gt;"", IF(ISBLANK(L70), TODAY(), K70), "")</f>
        <v/>
      </c>
      <c r="L70" s="78" t="n"/>
      <c r="M70" s="78">
        <f>IF(ISBLANK(L70),"",IF(D70="Stock",IF(C70="Buy",L70*G70,IF(C70="Sell",(L70*G70)-I70, X)),IF(C70="Buy",(L70*G70*100)+I70,IF(C70="Sell",(L70*G70*100)-I70, X))))</f>
        <v/>
      </c>
      <c r="N70" s="78">
        <f>IF(ISBLANK(L70),"",IF(AND(C70="Sell",D70="Stock"),M70,IF(ISBLANK(L70),"",IF(C70="Buy",M70, IF(AND(C70="Sell",J70="NA"),(E70*G70*100*0.1)+I70, IF(C70="Sell",(J70-L70)*(100*G70)+I70))))))</f>
        <v/>
      </c>
      <c r="O70" s="75" t="n"/>
      <c r="P70" s="75" t="n"/>
      <c r="Q70" s="75">
        <f>IF(ISBLANK(P70),"",IF(D70="Stock",P70*G70,IF(P70=0,"0",G70*P70*100-(G70*$AF$14))))</f>
        <v/>
      </c>
      <c r="R70" s="79">
        <f>IF(P70&lt;&gt;"", TODAY(), "")</f>
        <v/>
      </c>
      <c r="S70" s="78">
        <f>IF(AND(K70&lt;&gt;"", R70&lt;&gt;""), R70-K70, "")</f>
        <v/>
      </c>
      <c r="T70" s="78" t="n"/>
      <c r="U70" s="92">
        <f>IF(ISBLANK(P70),"",IF(C70="Buy",Q70-M70+T70, IF(C70="Sell",M70-Q70-T70, X)))</f>
        <v/>
      </c>
      <c r="V70" s="81">
        <f>IF(ISBLANK(P70),"",U70/N70)</f>
        <v/>
      </c>
      <c r="W70" s="81">
        <f>IF(ISBLANK(P70),"",IF(S70=0,(365/0.5)*V70,(365/S70)*V70))</f>
        <v/>
      </c>
      <c r="X70" s="75" t="n"/>
      <c r="Y70" s="77" t="n"/>
      <c r="Z70" s="77" t="n"/>
      <c r="AA70" s="75" t="n"/>
      <c r="AB70" s="75" t="n"/>
      <c r="AC70" s="6" t="n"/>
      <c r="AD70" s="75" t="n"/>
      <c r="AE70" s="75" t="n"/>
      <c r="AF70" s="75" t="n"/>
    </row>
    <row r="71" ht="15.75" customHeight="1" s="133">
      <c r="A71" s="75" t="n"/>
      <c r="B71" s="75" t="n"/>
      <c r="C71" s="75" t="n"/>
      <c r="D71" s="75" t="n"/>
      <c r="E71" s="76" t="n"/>
      <c r="F71" s="77" t="n"/>
      <c r="G71" s="75" t="n"/>
      <c r="H71" s="75">
        <f>IF(ISBLANK(E71),"",IF(OR(D71="Butterfly",D71="Butterfly ",D71="Iron Fly", D71="Iron Fly "),LEN(E71)-LEN(SUBSTITUTE(E71,"/",""))+2,LEN(E71)-LEN(SUBSTITUTE(E71,"/",""))+1))</f>
        <v/>
      </c>
      <c r="I71" s="78">
        <f>IF(ISBLANK(G71),"",IF(D71="Stock","0",Key!$A$3*H71*G71))</f>
        <v/>
      </c>
      <c r="J71" s="78">
        <f>IF(ISBLANK(E71),"",IF(ISNUMBER(SEARCH("/",E71)), IF(LEN(E71)-LEN(SUBSTITUTE(E71,"/",""))=1,(RIGHT(E71,LEN(E71)-FIND("/",E71)))-(LEFT(E71,FIND("/",E71)-1)),(MID(E71, SEARCH("/",E71) + 1, SEARCH("/",E71, SEARCH("/",E71)+1) - SEARCH("/",E71) - 1))-(LEFT(E71,FIND("/",E71)-1))), "NA"))</f>
        <v/>
      </c>
      <c r="K71" s="79">
        <f>IF(A71&lt;&gt;"", IF(ISBLANK(L71), TODAY(), K71), "")</f>
        <v/>
      </c>
      <c r="L71" s="78" t="n"/>
      <c r="M71" s="78">
        <f>IF(ISBLANK(L71),"",IF(D71="Stock",IF(C71="Buy",L71*G71,IF(C71="Sell",(L71*G71)-I71, X)),IF(C71="Buy",(L71*G71*100)+I71,IF(C71="Sell",(L71*G71*100)-I71, X))))</f>
        <v/>
      </c>
      <c r="N71" s="78">
        <f>IF(ISBLANK(L71),"",IF(AND(C71="Sell",D71="Stock"),M71,IF(ISBLANK(L71),"",IF(C71="Buy",M71, IF(AND(C71="Sell",J71="NA"),(E71*G71*100*0.1)+I71, IF(C71="Sell",(J71-L71)*(100*G71)+I71))))))</f>
        <v/>
      </c>
      <c r="O71" s="75" t="n"/>
      <c r="P71" s="75" t="n"/>
      <c r="Q71" s="75">
        <f>IF(ISBLANK(P71),"",IF(D71="Stock",P71*G71,IF(P71=0,"0",G71*P71*100-(G71*$AF$14))))</f>
        <v/>
      </c>
      <c r="R71" s="79">
        <f>IF(P71&lt;&gt;"", TODAY(), "")</f>
        <v/>
      </c>
      <c r="S71" s="78">
        <f>IF(AND(K71&lt;&gt;"", R71&lt;&gt;""), R71-K71, "")</f>
        <v/>
      </c>
      <c r="T71" s="78" t="n"/>
      <c r="U71" s="92">
        <f>IF(ISBLANK(P71),"",IF(C71="Buy",Q71-M71+T71, IF(C71="Sell",M71-Q71-T71, X)))</f>
        <v/>
      </c>
      <c r="V71" s="81">
        <f>IF(ISBLANK(P71),"",U71/N71)</f>
        <v/>
      </c>
      <c r="W71" s="81">
        <f>IF(ISBLANK(P71),"",IF(S71=0,(365/0.5)*V71,(365/S71)*V71))</f>
        <v/>
      </c>
      <c r="X71" s="75" t="n"/>
      <c r="Y71" s="77" t="n"/>
      <c r="Z71" s="77" t="n"/>
      <c r="AA71" s="75" t="n"/>
      <c r="AB71" s="75" t="n"/>
      <c r="AC71" s="6" t="n"/>
      <c r="AD71" s="75" t="n"/>
      <c r="AE71" s="75" t="n"/>
      <c r="AF71" s="75" t="n"/>
    </row>
    <row r="72" ht="15.75" customHeight="1" s="133">
      <c r="A72" s="75" t="n"/>
      <c r="B72" s="75" t="n"/>
      <c r="C72" s="75" t="n"/>
      <c r="D72" s="75" t="n"/>
      <c r="E72" s="76" t="n"/>
      <c r="F72" s="77" t="n"/>
      <c r="G72" s="75" t="n"/>
      <c r="H72" s="75">
        <f>IF(ISBLANK(E72),"",IF(OR(D72="Butterfly",D72="Butterfly ",D72="Iron Fly", D72="Iron Fly "),LEN(E72)-LEN(SUBSTITUTE(E72,"/",""))+2,LEN(E72)-LEN(SUBSTITUTE(E72,"/",""))+1))</f>
        <v/>
      </c>
      <c r="I72" s="78">
        <f>IF(ISBLANK(G72),"",IF(D72="Stock","0",Key!$A$3*H72*G72))</f>
        <v/>
      </c>
      <c r="J72" s="78">
        <f>IF(ISBLANK(E72),"",IF(ISNUMBER(SEARCH("/",E72)), IF(LEN(E72)-LEN(SUBSTITUTE(E72,"/",""))=1,(RIGHT(E72,LEN(E72)-FIND("/",E72)))-(LEFT(E72,FIND("/",E72)-1)),(MID(E72, SEARCH("/",E72) + 1, SEARCH("/",E72, SEARCH("/",E72)+1) - SEARCH("/",E72) - 1))-(LEFT(E72,FIND("/",E72)-1))), "NA"))</f>
        <v/>
      </c>
      <c r="K72" s="79">
        <f>IF(A72&lt;&gt;"", IF(ISBLANK(L72), TODAY(), K72), "")</f>
        <v/>
      </c>
      <c r="L72" s="78" t="n"/>
      <c r="M72" s="78">
        <f>IF(ISBLANK(L72),"",IF(D72="Stock",IF(C72="Buy",L72*G72,IF(C72="Sell",(L72*G72)-I72, X)),IF(C72="Buy",(L72*G72*100)+I72,IF(C72="Sell",(L72*G72*100)-I72, X))))</f>
        <v/>
      </c>
      <c r="N72" s="78">
        <f>IF(ISBLANK(L72),"",IF(AND(C72="Sell",D72="Stock"),M72,IF(ISBLANK(L72),"",IF(C72="Buy",M72, IF(AND(C72="Sell",J72="NA"),(E72*G72*100*0.1)+I72, IF(C72="Sell",(J72-L72)*(100*G72)+I72))))))</f>
        <v/>
      </c>
      <c r="O72" s="75" t="n"/>
      <c r="P72" s="75" t="n"/>
      <c r="Q72" s="75">
        <f>IF(ISBLANK(P72),"",IF(D72="Stock",P72*G72,IF(P72=0,"0",G72*P72*100-(G72*$AF$14))))</f>
        <v/>
      </c>
      <c r="R72" s="79">
        <f>IF(P72&lt;&gt;"", TODAY(), "")</f>
        <v/>
      </c>
      <c r="S72" s="78">
        <f>IF(AND(K72&lt;&gt;"", R72&lt;&gt;""), R72-K72, "")</f>
        <v/>
      </c>
      <c r="T72" s="78" t="n"/>
      <c r="U72" s="92">
        <f>IF(ISBLANK(P72),"",IF(C72="Buy",Q72-M72+T72, IF(C72="Sell",M72-Q72-T72, X)))</f>
        <v/>
      </c>
      <c r="V72" s="81">
        <f>IF(ISBLANK(P72),"",U72/N72)</f>
        <v/>
      </c>
      <c r="W72" s="81">
        <f>IF(ISBLANK(P72),"",IF(S72=0,(365/0.5)*V72,(365/S72)*V72))</f>
        <v/>
      </c>
      <c r="X72" s="75" t="n"/>
      <c r="Y72" s="77" t="n"/>
      <c r="Z72" s="77" t="n"/>
      <c r="AA72" s="75" t="n"/>
      <c r="AB72" s="75" t="n"/>
      <c r="AC72" s="6" t="n"/>
      <c r="AD72" s="75" t="n"/>
      <c r="AE72" s="75" t="n"/>
      <c r="AF72" s="75" t="n"/>
    </row>
    <row r="73" ht="15.75" customHeight="1" s="133">
      <c r="A73" s="75" t="n"/>
      <c r="B73" s="75" t="n"/>
      <c r="C73" s="75" t="n"/>
      <c r="D73" s="75" t="n"/>
      <c r="E73" s="76" t="n"/>
      <c r="F73" s="77" t="n"/>
      <c r="G73" s="75" t="n"/>
      <c r="H73" s="75">
        <f>IF(ISBLANK(E73),"",IF(OR(D73="Butterfly",D73="Butterfly ",D73="Iron Fly", D73="Iron Fly "),LEN(E73)-LEN(SUBSTITUTE(E73,"/",""))+2,LEN(E73)-LEN(SUBSTITUTE(E73,"/",""))+1))</f>
        <v/>
      </c>
      <c r="I73" s="78">
        <f>IF(ISBLANK(G73),"",IF(D73="Stock","0",Key!$A$3*H73*G73))</f>
        <v/>
      </c>
      <c r="J73" s="78">
        <f>IF(ISBLANK(E73),"",IF(ISNUMBER(SEARCH("/",E73)), IF(LEN(E73)-LEN(SUBSTITUTE(E73,"/",""))=1,(RIGHT(E73,LEN(E73)-FIND("/",E73)))-(LEFT(E73,FIND("/",E73)-1)),(MID(E73, SEARCH("/",E73) + 1, SEARCH("/",E73, SEARCH("/",E73)+1) - SEARCH("/",E73) - 1))-(LEFT(E73,FIND("/",E73)-1))), "NA"))</f>
        <v/>
      </c>
      <c r="K73" s="79">
        <f>IF(A73&lt;&gt;"", IF(ISBLANK(L73), TODAY(), K73), "")</f>
        <v/>
      </c>
      <c r="L73" s="78" t="n"/>
      <c r="M73" s="78">
        <f>IF(ISBLANK(L73),"",IF(D73="Stock",IF(C73="Buy",L73*G73,IF(C73="Sell",(L73*G73)-I73, X)),IF(C73="Buy",(L73*G73*100)+I73,IF(C73="Sell",(L73*G73*100)-I73, X))))</f>
        <v/>
      </c>
      <c r="N73" s="78">
        <f>IF(ISBLANK(L73),"",IF(AND(C73="Sell",D73="Stock"),M73,IF(ISBLANK(L73),"",IF(C73="Buy",M73, IF(AND(C73="Sell",J73="NA"),(E73*G73*100*0.1)+I73, IF(C73="Sell",(J73-L73)*(100*G73)+I73))))))</f>
        <v/>
      </c>
      <c r="O73" s="75" t="n"/>
      <c r="P73" s="75" t="n"/>
      <c r="Q73" s="75">
        <f>IF(ISBLANK(P73),"",IF(D73="Stock",P73*G73,IF(P73=0,"0",G73*P73*100-(G73*$AF$14))))</f>
        <v/>
      </c>
      <c r="R73" s="79">
        <f>IF(P73&lt;&gt;"", TODAY(), "")</f>
        <v/>
      </c>
      <c r="S73" s="78">
        <f>IF(AND(K73&lt;&gt;"", R73&lt;&gt;""), R73-K73, "")</f>
        <v/>
      </c>
      <c r="T73" s="78" t="n"/>
      <c r="U73" s="92">
        <f>IF(ISBLANK(P73),"",IF(C73="Buy",Q73-M73+T73, IF(C73="Sell",M73-Q73-T73, X)))</f>
        <v/>
      </c>
      <c r="V73" s="81">
        <f>IF(ISBLANK(P73),"",U73/N73)</f>
        <v/>
      </c>
      <c r="W73" s="81">
        <f>IF(ISBLANK(P73),"",IF(S73=0,(365/0.5)*V73,(365/S73)*V73))</f>
        <v/>
      </c>
      <c r="X73" s="75" t="n"/>
      <c r="Y73" s="77" t="n"/>
      <c r="Z73" s="77" t="n"/>
      <c r="AA73" s="75" t="n"/>
      <c r="AB73" s="75" t="n"/>
      <c r="AC73" s="6" t="n"/>
      <c r="AD73" s="75" t="n"/>
      <c r="AE73" s="75" t="n"/>
      <c r="AF73" s="75" t="n"/>
    </row>
    <row r="74" ht="15.75" customHeight="1" s="133">
      <c r="A74" s="75" t="n"/>
      <c r="B74" s="75" t="n"/>
      <c r="C74" s="75" t="n"/>
      <c r="D74" s="75" t="n"/>
      <c r="E74" s="76" t="n"/>
      <c r="F74" s="77" t="n"/>
      <c r="G74" s="75" t="n"/>
      <c r="H74" s="75">
        <f>IF(ISBLANK(E74),"",IF(OR(D74="Butterfly",D74="Butterfly ",D74="Iron Fly", D74="Iron Fly "),LEN(E74)-LEN(SUBSTITUTE(E74,"/",""))+2,LEN(E74)-LEN(SUBSTITUTE(E74,"/",""))+1))</f>
        <v/>
      </c>
      <c r="I74" s="78">
        <f>IF(ISBLANK(G74),"",IF(D74="Stock","0",Key!$A$3*H74*G74))</f>
        <v/>
      </c>
      <c r="J74" s="78">
        <f>IF(ISBLANK(E74),"",IF(ISNUMBER(SEARCH("/",E74)), IF(LEN(E74)-LEN(SUBSTITUTE(E74,"/",""))=1,(RIGHT(E74,LEN(E74)-FIND("/",E74)))-(LEFT(E74,FIND("/",E74)-1)),(MID(E74, SEARCH("/",E74) + 1, SEARCH("/",E74, SEARCH("/",E74)+1) - SEARCH("/",E74) - 1))-(LEFT(E74,FIND("/",E74)-1))), "NA"))</f>
        <v/>
      </c>
      <c r="K74" s="79">
        <f>IF(A74&lt;&gt;"", IF(ISBLANK(L74), TODAY(), K74), "")</f>
        <v/>
      </c>
      <c r="L74" s="78" t="n"/>
      <c r="M74" s="78">
        <f>IF(ISBLANK(L74),"",IF(D74="Stock",IF(C74="Buy",L74*G74,IF(C74="Sell",(L74*G74)-I74, X)),IF(C74="Buy",(L74*G74*100)+I74,IF(C74="Sell",(L74*G74*100)-I74, X))))</f>
        <v/>
      </c>
      <c r="N74" s="78">
        <f>IF(ISBLANK(L74),"",IF(AND(C74="Sell",D74="Stock"),M74,IF(ISBLANK(L74),"",IF(C74="Buy",M74, IF(AND(C74="Sell",J74="NA"),(E74*G74*100*0.1)+I74, IF(C74="Sell",(J74-L74)*(100*G74)+I74))))))</f>
        <v/>
      </c>
      <c r="O74" s="75" t="n"/>
      <c r="P74" s="75" t="n"/>
      <c r="Q74" s="75">
        <f>IF(ISBLANK(P74),"",IF(D74="Stock",P74*G74,IF(P74=0,"0",G74*P74*100-(G74*$AF$14))))</f>
        <v/>
      </c>
      <c r="R74" s="79">
        <f>IF(P74&lt;&gt;"", TODAY(), "")</f>
        <v/>
      </c>
      <c r="S74" s="78">
        <f>IF(AND(K74&lt;&gt;"", R74&lt;&gt;""), R74-K74, "")</f>
        <v/>
      </c>
      <c r="T74" s="78" t="n"/>
      <c r="U74" s="92">
        <f>IF(ISBLANK(P74),"",IF(C74="Buy",Q74-M74+T74, IF(C74="Sell",M74-Q74-T74, X)))</f>
        <v/>
      </c>
      <c r="V74" s="81">
        <f>IF(ISBLANK(P74),"",U74/N74)</f>
        <v/>
      </c>
      <c r="W74" s="81">
        <f>IF(ISBLANK(P74),"",IF(S74=0,(365/0.5)*V74,(365/S74)*V74))</f>
        <v/>
      </c>
      <c r="X74" s="75" t="n"/>
      <c r="Y74" s="77" t="n"/>
      <c r="Z74" s="77" t="n"/>
      <c r="AA74" s="75" t="n"/>
      <c r="AB74" s="75" t="n"/>
      <c r="AC74" s="6" t="n"/>
      <c r="AD74" s="75" t="n"/>
      <c r="AE74" s="75" t="n"/>
      <c r="AF74" s="75" t="n"/>
    </row>
    <row r="75" ht="15.75" customHeight="1" s="133">
      <c r="A75" s="75" t="n"/>
      <c r="B75" s="75" t="n"/>
      <c r="C75" s="75" t="n"/>
      <c r="D75" s="75" t="n"/>
      <c r="E75" s="76" t="n"/>
      <c r="F75" s="77" t="n"/>
      <c r="G75" s="75" t="n"/>
      <c r="H75" s="75">
        <f>IF(ISBLANK(E75),"",IF(OR(D75="Butterfly",D75="Butterfly ",D75="Iron Fly", D75="Iron Fly "),LEN(E75)-LEN(SUBSTITUTE(E75,"/",""))+2,LEN(E75)-LEN(SUBSTITUTE(E75,"/",""))+1))</f>
        <v/>
      </c>
      <c r="I75" s="78">
        <f>IF(ISBLANK(G75),"",IF(D75="Stock","0",Key!$A$3*H75*G75))</f>
        <v/>
      </c>
      <c r="J75" s="78">
        <f>IF(ISBLANK(E75),"",IF(ISNUMBER(SEARCH("/",E75)), IF(LEN(E75)-LEN(SUBSTITUTE(E75,"/",""))=1,(RIGHT(E75,LEN(E75)-FIND("/",E75)))-(LEFT(E75,FIND("/",E75)-1)),(MID(E75, SEARCH("/",E75) + 1, SEARCH("/",E75, SEARCH("/",E75)+1) - SEARCH("/",E75) - 1))-(LEFT(E75,FIND("/",E75)-1))), "NA"))</f>
        <v/>
      </c>
      <c r="K75" s="79">
        <f>IF(A75&lt;&gt;"", IF(ISBLANK(L75), TODAY(), K75), "")</f>
        <v/>
      </c>
      <c r="L75" s="78" t="n"/>
      <c r="M75" s="78">
        <f>IF(ISBLANK(L75),"",IF(D75="Stock",IF(C75="Buy",L75*G75,IF(C75="Sell",(L75*G75)-I75, X)),IF(C75="Buy",(L75*G75*100)+I75,IF(C75="Sell",(L75*G75*100)-I75, X))))</f>
        <v/>
      </c>
      <c r="N75" s="78">
        <f>IF(ISBLANK(L75),"",IF(AND(C75="Sell",D75="Stock"),M75,IF(ISBLANK(L75),"",IF(C75="Buy",M75, IF(AND(C75="Sell",J75="NA"),(E75*G75*100*0.1)+I75, IF(C75="Sell",(J75-L75)*(100*G75)+I75))))))</f>
        <v/>
      </c>
      <c r="O75" s="75" t="n"/>
      <c r="P75" s="75" t="n"/>
      <c r="Q75" s="75">
        <f>IF(ISBLANK(P75),"",IF(D75="Stock",P75*G75,IF(P75=0,"0",G75*P75*100-(G75*$AF$14))))</f>
        <v/>
      </c>
      <c r="R75" s="79">
        <f>IF(P75&lt;&gt;"", TODAY(), "")</f>
        <v/>
      </c>
      <c r="S75" s="78">
        <f>IF(AND(K75&lt;&gt;"", R75&lt;&gt;""), R75-K75, "")</f>
        <v/>
      </c>
      <c r="T75" s="78" t="n"/>
      <c r="U75" s="92">
        <f>IF(ISBLANK(P75),"",IF(C75="Buy",Q75-M75+T75, IF(C75="Sell",M75-Q75-T75, X)))</f>
        <v/>
      </c>
      <c r="V75" s="81">
        <f>IF(ISBLANK(P75),"",U75/N75)</f>
        <v/>
      </c>
      <c r="W75" s="81">
        <f>IF(ISBLANK(P75),"",IF(S75=0,(365/0.5)*V75,(365/S75)*V75))</f>
        <v/>
      </c>
      <c r="X75" s="75" t="n"/>
      <c r="Y75" s="77" t="n"/>
      <c r="Z75" s="77" t="n"/>
      <c r="AA75" s="75" t="n"/>
      <c r="AB75" s="75" t="n"/>
      <c r="AC75" s="6" t="n"/>
      <c r="AD75" s="75" t="n"/>
      <c r="AE75" s="75" t="n"/>
      <c r="AF75" s="75" t="n"/>
    </row>
    <row r="76" ht="15.75" customHeight="1" s="133">
      <c r="A76" s="75" t="n"/>
      <c r="B76" s="75" t="n"/>
      <c r="C76" s="75" t="n"/>
      <c r="D76" s="75" t="n"/>
      <c r="E76" s="76" t="n"/>
      <c r="F76" s="77" t="n"/>
      <c r="G76" s="75" t="n"/>
      <c r="H76" s="75">
        <f>IF(ISBLANK(E76),"",IF(OR(D76="Butterfly",D76="Butterfly ",D76="Iron Fly", D76="Iron Fly "),LEN(E76)-LEN(SUBSTITUTE(E76,"/",""))+2,LEN(E76)-LEN(SUBSTITUTE(E76,"/",""))+1))</f>
        <v/>
      </c>
      <c r="I76" s="78">
        <f>IF(ISBLANK(G76),"",IF(D76="Stock","0",Key!$A$3*H76*G76))</f>
        <v/>
      </c>
      <c r="J76" s="78">
        <f>IF(ISBLANK(E76),"",IF(ISNUMBER(SEARCH("/",E76)), IF(LEN(E76)-LEN(SUBSTITUTE(E76,"/",""))=1,(RIGHT(E76,LEN(E76)-FIND("/",E76)))-(LEFT(E76,FIND("/",E76)-1)),(MID(E76, SEARCH("/",E76) + 1, SEARCH("/",E76, SEARCH("/",E76)+1) - SEARCH("/",E76) - 1))-(LEFT(E76,FIND("/",E76)-1))), "NA"))</f>
        <v/>
      </c>
      <c r="K76" s="79">
        <f>IF(A76&lt;&gt;"", IF(ISBLANK(L76), TODAY(), K76), "")</f>
        <v/>
      </c>
      <c r="L76" s="78" t="n"/>
      <c r="M76" s="78">
        <f>IF(ISBLANK(L76),"",IF(D76="Stock",IF(C76="Buy",L76*G76,IF(C76="Sell",(L76*G76)-I76, X)),IF(C76="Buy",(L76*G76*100)+I76,IF(C76="Sell",(L76*G76*100)-I76, X))))</f>
        <v/>
      </c>
      <c r="N76" s="78">
        <f>IF(ISBLANK(L76),"",IF(AND(C76="Sell",D76="Stock"),M76,IF(ISBLANK(L76),"",IF(C76="Buy",M76, IF(AND(C76="Sell",J76="NA"),(E76*G76*100*0.1)+I76, IF(C76="Sell",(J76-L76)*(100*G76)+I76))))))</f>
        <v/>
      </c>
      <c r="O76" s="75" t="n"/>
      <c r="P76" s="75" t="n"/>
      <c r="Q76" s="75">
        <f>IF(ISBLANK(P76),"",IF(D76="Stock",P76*G76,IF(P76=0,"0",G76*P76*100-(G76*$AF$14))))</f>
        <v/>
      </c>
      <c r="R76" s="79">
        <f>IF(P76&lt;&gt;"", TODAY(), "")</f>
        <v/>
      </c>
      <c r="S76" s="78">
        <f>IF(AND(K76&lt;&gt;"", R76&lt;&gt;""), R76-K76, "")</f>
        <v/>
      </c>
      <c r="T76" s="78" t="n"/>
      <c r="U76" s="92">
        <f>IF(ISBLANK(P76),"",IF(C76="Buy",Q76-M76+T76, IF(C76="Sell",M76-Q76-T76, X)))</f>
        <v/>
      </c>
      <c r="V76" s="81">
        <f>IF(ISBLANK(P76),"",U76/N76)</f>
        <v/>
      </c>
      <c r="W76" s="81">
        <f>IF(ISBLANK(P76),"",IF(S76=0,(365/0.5)*V76,(365/S76)*V76))</f>
        <v/>
      </c>
      <c r="X76" s="75" t="n"/>
      <c r="Y76" s="77" t="n"/>
      <c r="Z76" s="77" t="n"/>
      <c r="AA76" s="75" t="n"/>
      <c r="AB76" s="75" t="n"/>
      <c r="AC76" s="6" t="n"/>
      <c r="AD76" s="75" t="n"/>
      <c r="AE76" s="75" t="n"/>
      <c r="AF76" s="75" t="n"/>
    </row>
    <row r="77" ht="15.75" customHeight="1" s="133">
      <c r="A77" s="75" t="n"/>
      <c r="B77" s="75" t="n"/>
      <c r="C77" s="75" t="n"/>
      <c r="D77" s="75" t="n"/>
      <c r="E77" s="76" t="n"/>
      <c r="F77" s="77" t="n"/>
      <c r="G77" s="75" t="n"/>
      <c r="H77" s="75">
        <f>IF(ISBLANK(E77),"",IF(OR(D77="Butterfly",D77="Butterfly ",D77="Iron Fly", D77="Iron Fly "),LEN(E77)-LEN(SUBSTITUTE(E77,"/",""))+2,LEN(E77)-LEN(SUBSTITUTE(E77,"/",""))+1))</f>
        <v/>
      </c>
      <c r="I77" s="78">
        <f>IF(ISBLANK(G77),"",IF(D77="Stock","0",Key!$A$3*H77*G77))</f>
        <v/>
      </c>
      <c r="J77" s="78">
        <f>IF(ISBLANK(E77),"",IF(ISNUMBER(SEARCH("/",E77)), IF(LEN(E77)-LEN(SUBSTITUTE(E77,"/",""))=1,(RIGHT(E77,LEN(E77)-FIND("/",E77)))-(LEFT(E77,FIND("/",E77)-1)),(MID(E77, SEARCH("/",E77) + 1, SEARCH("/",E77, SEARCH("/",E77)+1) - SEARCH("/",E77) - 1))-(LEFT(E77,FIND("/",E77)-1))), "NA"))</f>
        <v/>
      </c>
      <c r="K77" s="79">
        <f>IF(A77&lt;&gt;"", IF(ISBLANK(L77), TODAY(), K77), "")</f>
        <v/>
      </c>
      <c r="L77" s="78" t="n"/>
      <c r="M77" s="78">
        <f>IF(ISBLANK(L77),"",IF(D77="Stock",IF(C77="Buy",L77*G77,IF(C77="Sell",(L77*G77)-I77, X)),IF(C77="Buy",(L77*G77*100)+I77,IF(C77="Sell",(L77*G77*100)-I77, X))))</f>
        <v/>
      </c>
      <c r="N77" s="78">
        <f>IF(ISBLANK(L77),"",IF(AND(C77="Sell",D77="Stock"),M77,IF(ISBLANK(L77),"",IF(C77="Buy",M77, IF(AND(C77="Sell",J77="NA"),(E77*G77*100*0.1)+I77, IF(C77="Sell",(J77-L77)*(100*G77)+I77))))))</f>
        <v/>
      </c>
      <c r="O77" s="75" t="n"/>
      <c r="P77" s="75" t="n"/>
      <c r="Q77" s="75">
        <f>IF(ISBLANK(P77),"",IF(D77="Stock",P77*G77,IF(P77=0,"0",G77*P77*100-(G77*$AF$14))))</f>
        <v/>
      </c>
      <c r="R77" s="79">
        <f>IF(P77&lt;&gt;"", TODAY(), "")</f>
        <v/>
      </c>
      <c r="S77" s="78">
        <f>IF(AND(K77&lt;&gt;"", R77&lt;&gt;""), R77-K77, "")</f>
        <v/>
      </c>
      <c r="T77" s="78" t="n"/>
      <c r="U77" s="92">
        <f>IF(ISBLANK(P77),"",IF(C77="Buy",Q77-M77+T77, IF(C77="Sell",M77-Q77-T77, X)))</f>
        <v/>
      </c>
      <c r="V77" s="81">
        <f>IF(ISBLANK(P77),"",U77/N77)</f>
        <v/>
      </c>
      <c r="W77" s="81">
        <f>IF(ISBLANK(P77),"",IF(S77=0,(365/0.5)*V77,(365/S77)*V77))</f>
        <v/>
      </c>
      <c r="X77" s="75" t="n"/>
      <c r="Y77" s="77" t="n"/>
      <c r="Z77" s="77" t="n"/>
      <c r="AA77" s="75" t="n"/>
      <c r="AB77" s="75" t="n"/>
      <c r="AC77" s="6" t="n"/>
      <c r="AD77" s="75" t="n"/>
      <c r="AE77" s="75" t="n"/>
      <c r="AF77" s="75" t="n"/>
    </row>
    <row r="78" ht="15.75" customHeight="1" s="133">
      <c r="A78" s="75" t="n"/>
      <c r="B78" s="75" t="n"/>
      <c r="C78" s="75" t="n"/>
      <c r="D78" s="75" t="n"/>
      <c r="E78" s="76" t="n"/>
      <c r="F78" s="77" t="n"/>
      <c r="G78" s="75" t="n"/>
      <c r="H78" s="75">
        <f>IF(ISBLANK(E78),"",IF(OR(D78="Butterfly",D78="Butterfly ",D78="Iron Fly", D78="Iron Fly "),LEN(E78)-LEN(SUBSTITUTE(E78,"/",""))+2,LEN(E78)-LEN(SUBSTITUTE(E78,"/",""))+1))</f>
        <v/>
      </c>
      <c r="I78" s="78">
        <f>IF(ISBLANK(G78),"",IF(D78="Stock","0",Key!$A$3*H78*G78))</f>
        <v/>
      </c>
      <c r="J78" s="78">
        <f>IF(ISBLANK(E78),"",IF(ISNUMBER(SEARCH("/",E78)), IF(LEN(E78)-LEN(SUBSTITUTE(E78,"/",""))=1,(RIGHT(E78,LEN(E78)-FIND("/",E78)))-(LEFT(E78,FIND("/",E78)-1)),(MID(E78, SEARCH("/",E78) + 1, SEARCH("/",E78, SEARCH("/",E78)+1) - SEARCH("/",E78) - 1))-(LEFT(E78,FIND("/",E78)-1))), "NA"))</f>
        <v/>
      </c>
      <c r="K78" s="79">
        <f>IF(A78&lt;&gt;"", IF(ISBLANK(L78), TODAY(), K78), "")</f>
        <v/>
      </c>
      <c r="L78" s="78" t="n"/>
      <c r="M78" s="78">
        <f>IF(ISBLANK(L78),"",IF(D78="Stock",IF(C78="Buy",L78*G78,IF(C78="Sell",(L78*G78)-I78, X)),IF(C78="Buy",(L78*G78*100)+I78,IF(C78="Sell",(L78*G78*100)-I78, X))))</f>
        <v/>
      </c>
      <c r="N78" s="78">
        <f>IF(ISBLANK(L78),"",IF(AND(C78="Sell",D78="Stock"),M78,IF(ISBLANK(L78),"",IF(C78="Buy",M78, IF(AND(C78="Sell",J78="NA"),(E78*G78*100*0.1)+I78, IF(C78="Sell",(J78-L78)*(100*G78)+I78))))))</f>
        <v/>
      </c>
      <c r="O78" s="75" t="n"/>
      <c r="P78" s="75" t="n"/>
      <c r="Q78" s="75">
        <f>IF(ISBLANK(P78),"",IF(D78="Stock",P78*G78,IF(P78=0,"0",G78*P78*100-(G78*$AF$14))))</f>
        <v/>
      </c>
      <c r="R78" s="79">
        <f>IF(P78&lt;&gt;"", TODAY(), "")</f>
        <v/>
      </c>
      <c r="S78" s="78">
        <f>IF(AND(K78&lt;&gt;"", R78&lt;&gt;""), R78-K78, "")</f>
        <v/>
      </c>
      <c r="T78" s="78" t="n"/>
      <c r="U78" s="92">
        <f>IF(ISBLANK(P78),"",IF(C78="Buy",Q78-M78+T78, IF(C78="Sell",M78-Q78-T78, X)))</f>
        <v/>
      </c>
      <c r="V78" s="81">
        <f>IF(ISBLANK(P78),"",U78/N78)</f>
        <v/>
      </c>
      <c r="W78" s="81">
        <f>IF(ISBLANK(P78),"",IF(S78=0,(365/0.5)*V78,(365/S78)*V78))</f>
        <v/>
      </c>
      <c r="X78" s="75" t="n"/>
      <c r="Y78" s="77" t="n"/>
      <c r="Z78" s="77" t="n"/>
      <c r="AA78" s="75" t="n"/>
      <c r="AB78" s="75" t="n"/>
      <c r="AC78" s="6" t="n"/>
      <c r="AD78" s="75" t="n"/>
      <c r="AE78" s="75" t="n"/>
      <c r="AF78" s="75" t="n"/>
    </row>
    <row r="79" ht="15.75" customHeight="1" s="133">
      <c r="A79" s="75" t="n"/>
      <c r="B79" s="75" t="n"/>
      <c r="C79" s="75" t="n"/>
      <c r="D79" s="75" t="n"/>
      <c r="E79" s="76" t="n"/>
      <c r="F79" s="77" t="n"/>
      <c r="G79" s="75" t="n"/>
      <c r="H79" s="75">
        <f>IF(ISBLANK(E79),"",IF(OR(D79="Butterfly",D79="Butterfly ",D79="Iron Fly", D79="Iron Fly "),LEN(E79)-LEN(SUBSTITUTE(E79,"/",""))+2,LEN(E79)-LEN(SUBSTITUTE(E79,"/",""))+1))</f>
        <v/>
      </c>
      <c r="I79" s="78">
        <f>IF(ISBLANK(G79),"",IF(D79="Stock","0",Key!$A$3*H79*G79))</f>
        <v/>
      </c>
      <c r="J79" s="78">
        <f>IF(ISBLANK(E79),"",IF(ISNUMBER(SEARCH("/",E79)), IF(LEN(E79)-LEN(SUBSTITUTE(E79,"/",""))=1,(RIGHT(E79,LEN(E79)-FIND("/",E79)))-(LEFT(E79,FIND("/",E79)-1)),(MID(E79, SEARCH("/",E79) + 1, SEARCH("/",E79, SEARCH("/",E79)+1) - SEARCH("/",E79) - 1))-(LEFT(E79,FIND("/",E79)-1))), "NA"))</f>
        <v/>
      </c>
      <c r="K79" s="79">
        <f>IF(A79&lt;&gt;"", IF(ISBLANK(L79), TODAY(), K79), "")</f>
        <v/>
      </c>
      <c r="L79" s="78" t="n"/>
      <c r="M79" s="78">
        <f>IF(ISBLANK(L79),"",IF(D79="Stock",IF(C79="Buy",L79*G79,IF(C79="Sell",(L79*G79)-I79, X)),IF(C79="Buy",(L79*G79*100)+I79,IF(C79="Sell",(L79*G79*100)-I79, X))))</f>
        <v/>
      </c>
      <c r="N79" s="78">
        <f>IF(ISBLANK(L79),"",IF(AND(C79="Sell",D79="Stock"),M79,IF(ISBLANK(L79),"",IF(C79="Buy",M79, IF(AND(C79="Sell",J79="NA"),(E79*G79*100*0.1)+I79, IF(C79="Sell",(J79-L79)*(100*G79)+I79))))))</f>
        <v/>
      </c>
      <c r="O79" s="75" t="n"/>
      <c r="P79" s="75" t="n"/>
      <c r="Q79" s="75">
        <f>IF(ISBLANK(P79),"",IF(D79="Stock",P79*G79,IF(P79=0,"0",G79*P79*100-(G79*$AF$14))))</f>
        <v/>
      </c>
      <c r="R79" s="79">
        <f>IF(P79&lt;&gt;"", TODAY(), "")</f>
        <v/>
      </c>
      <c r="S79" s="78">
        <f>IF(AND(K79&lt;&gt;"", R79&lt;&gt;""), R79-K79, "")</f>
        <v/>
      </c>
      <c r="T79" s="78" t="n"/>
      <c r="U79" s="92">
        <f>IF(ISBLANK(P79),"",IF(C79="Buy",Q79-M79+T79, IF(C79="Sell",M79-Q79-T79, X)))</f>
        <v/>
      </c>
      <c r="V79" s="81">
        <f>IF(ISBLANK(P79),"",U79/N79)</f>
        <v/>
      </c>
      <c r="W79" s="81">
        <f>IF(ISBLANK(P79),"",IF(S79=0,(365/0.5)*V79,(365/S79)*V79))</f>
        <v/>
      </c>
      <c r="X79" s="75" t="n"/>
      <c r="Y79" s="77" t="n"/>
      <c r="Z79" s="77" t="n"/>
      <c r="AA79" s="75" t="n"/>
      <c r="AB79" s="75" t="n"/>
      <c r="AC79" s="6" t="n"/>
      <c r="AD79" s="75" t="n"/>
      <c r="AE79" s="75" t="n"/>
      <c r="AF79" s="75" t="n"/>
    </row>
    <row r="80" ht="15.75" customHeight="1" s="133">
      <c r="A80" s="75" t="n"/>
      <c r="B80" s="75" t="n"/>
      <c r="C80" s="75" t="n"/>
      <c r="D80" s="75" t="n"/>
      <c r="E80" s="76" t="n"/>
      <c r="F80" s="77" t="n"/>
      <c r="G80" s="75" t="n"/>
      <c r="H80" s="75">
        <f>IF(ISBLANK(E80),"",IF(OR(D80="Butterfly",D80="Butterfly ",D80="Iron Fly", D80="Iron Fly "),LEN(E80)-LEN(SUBSTITUTE(E80,"/",""))+2,LEN(E80)-LEN(SUBSTITUTE(E80,"/",""))+1))</f>
        <v/>
      </c>
      <c r="I80" s="78">
        <f>IF(ISBLANK(G80),"",IF(D80="Stock","0",Key!$A$3*H80*G80))</f>
        <v/>
      </c>
      <c r="J80" s="78">
        <f>IF(ISBLANK(E80),"",IF(ISNUMBER(SEARCH("/",E80)), IF(LEN(E80)-LEN(SUBSTITUTE(E80,"/",""))=1,(RIGHT(E80,LEN(E80)-FIND("/",E80)))-(LEFT(E80,FIND("/",E80)-1)),(MID(E80, SEARCH("/",E80) + 1, SEARCH("/",E80, SEARCH("/",E80)+1) - SEARCH("/",E80) - 1))-(LEFT(E80,FIND("/",E80)-1))), "NA"))</f>
        <v/>
      </c>
      <c r="K80" s="79">
        <f>IF(A80&lt;&gt;"", IF(ISBLANK(L80), TODAY(), K80), "")</f>
        <v/>
      </c>
      <c r="L80" s="78" t="n"/>
      <c r="M80" s="78">
        <f>IF(ISBLANK(L80),"",IF(D80="Stock",IF(C80="Buy",L80*G80,IF(C80="Sell",(L80*G80)-I80, X)),IF(C80="Buy",(L80*G80*100)+I80,IF(C80="Sell",(L80*G80*100)-I80, X))))</f>
        <v/>
      </c>
      <c r="N80" s="78">
        <f>IF(ISBLANK(L80),"",IF(AND(C80="Sell",D80="Stock"),M80,IF(ISBLANK(L80),"",IF(C80="Buy",M80, IF(AND(C80="Sell",J80="NA"),(E80*G80*100*0.1)+I80, IF(C80="Sell",(J80-L80)*(100*G80)+I80))))))</f>
        <v/>
      </c>
      <c r="O80" s="75" t="n"/>
      <c r="P80" s="75" t="n"/>
      <c r="Q80" s="75">
        <f>IF(ISBLANK(P80),"",IF(D80="Stock",P80*G80,IF(P80=0,"0",G80*P80*100-(G80*$AF$14))))</f>
        <v/>
      </c>
      <c r="R80" s="79">
        <f>IF(P80&lt;&gt;"", TODAY(), "")</f>
        <v/>
      </c>
      <c r="S80" s="78">
        <f>IF(AND(K80&lt;&gt;"", R80&lt;&gt;""), R80-K80, "")</f>
        <v/>
      </c>
      <c r="T80" s="78" t="n"/>
      <c r="U80" s="92">
        <f>IF(ISBLANK(P80),"",IF(C80="Buy",Q80-M80+T80, IF(C80="Sell",M80-Q80-T80, X)))</f>
        <v/>
      </c>
      <c r="V80" s="81">
        <f>IF(ISBLANK(P80),"",U80/N80)</f>
        <v/>
      </c>
      <c r="W80" s="81">
        <f>IF(ISBLANK(P80),"",IF(S80=0,(365/0.5)*V80,(365/S80)*V80))</f>
        <v/>
      </c>
      <c r="X80" s="75" t="n"/>
      <c r="Y80" s="77" t="n"/>
      <c r="Z80" s="77" t="n"/>
      <c r="AA80" s="75" t="n"/>
      <c r="AB80" s="75" t="n"/>
      <c r="AC80" s="6" t="n"/>
      <c r="AD80" s="75" t="n"/>
      <c r="AE80" s="75" t="n"/>
      <c r="AF80" s="75" t="n"/>
    </row>
    <row r="81" ht="15.75" customHeight="1" s="133">
      <c r="A81" s="75" t="n"/>
      <c r="B81" s="75" t="n"/>
      <c r="C81" s="75" t="n"/>
      <c r="D81" s="75" t="n"/>
      <c r="E81" s="76" t="n"/>
      <c r="F81" s="77" t="n"/>
      <c r="G81" s="75" t="n"/>
      <c r="H81" s="75">
        <f>IF(ISBLANK(E81),"",IF(OR(D81="Butterfly",D81="Butterfly ",D81="Iron Fly", D81="Iron Fly "),LEN(E81)-LEN(SUBSTITUTE(E81,"/",""))+2,LEN(E81)-LEN(SUBSTITUTE(E81,"/",""))+1))</f>
        <v/>
      </c>
      <c r="I81" s="78">
        <f>IF(ISBLANK(G81),"",IF(D81="Stock","0",Key!$A$3*H81*G81))</f>
        <v/>
      </c>
      <c r="J81" s="78">
        <f>IF(ISBLANK(E81),"",IF(ISNUMBER(SEARCH("/",E81)), IF(LEN(E81)-LEN(SUBSTITUTE(E81,"/",""))=1,(RIGHT(E81,LEN(E81)-FIND("/",E81)))-(LEFT(E81,FIND("/",E81)-1)),(MID(E81, SEARCH("/",E81) + 1, SEARCH("/",E81, SEARCH("/",E81)+1) - SEARCH("/",E81) - 1))-(LEFT(E81,FIND("/",E81)-1))), "NA"))</f>
        <v/>
      </c>
      <c r="K81" s="79">
        <f>IF(A81&lt;&gt;"", IF(ISBLANK(L81), TODAY(), K81), "")</f>
        <v/>
      </c>
      <c r="L81" s="78" t="n"/>
      <c r="M81" s="78">
        <f>IF(ISBLANK(L81),"",IF(D81="Stock",IF(C81="Buy",L81*G81,IF(C81="Sell",(L81*G81)-I81, X)),IF(C81="Buy",(L81*G81*100)+I81,IF(C81="Sell",(L81*G81*100)-I81, X))))</f>
        <v/>
      </c>
      <c r="N81" s="78">
        <f>IF(ISBLANK(L81),"",IF(AND(C81="Sell",D81="Stock"),M81,IF(ISBLANK(L81),"",IF(C81="Buy",M81, IF(AND(C81="Sell",J81="NA"),(E81*G81*100*0.1)+I81, IF(C81="Sell",(J81-L81)*(100*G81)+I81))))))</f>
        <v/>
      </c>
      <c r="O81" s="75" t="n"/>
      <c r="P81" s="75" t="n"/>
      <c r="Q81" s="75">
        <f>IF(ISBLANK(P81),"",IF(D81="Stock",P81*G81,IF(P81=0,"0",G81*P81*100-(G81*$AF$14))))</f>
        <v/>
      </c>
      <c r="R81" s="79">
        <f>IF(P81&lt;&gt;"", TODAY(), "")</f>
        <v/>
      </c>
      <c r="S81" s="78">
        <f>IF(AND(K81&lt;&gt;"", R81&lt;&gt;""), R81-K81, "")</f>
        <v/>
      </c>
      <c r="T81" s="78" t="n"/>
      <c r="U81" s="92">
        <f>IF(ISBLANK(P81),"",IF(C81="Buy",Q81-M81+T81, IF(C81="Sell",M81-Q81-T81, X)))</f>
        <v/>
      </c>
      <c r="V81" s="81">
        <f>IF(ISBLANK(P81),"",U81/N81)</f>
        <v/>
      </c>
      <c r="W81" s="81">
        <f>IF(ISBLANK(P81),"",IF(S81=0,(365/0.5)*V81,(365/S81)*V81))</f>
        <v/>
      </c>
      <c r="X81" s="75" t="n"/>
      <c r="Y81" s="77" t="n"/>
      <c r="Z81" s="77" t="n"/>
      <c r="AA81" s="75" t="n"/>
      <c r="AB81" s="75" t="n"/>
      <c r="AC81" s="6" t="n"/>
      <c r="AD81" s="75" t="n"/>
      <c r="AE81" s="75" t="n"/>
      <c r="AF81" s="75" t="n"/>
    </row>
    <row r="82" ht="15.75" customHeight="1" s="133">
      <c r="A82" s="75" t="n"/>
      <c r="B82" s="75" t="n"/>
      <c r="C82" s="75" t="n"/>
      <c r="D82" s="75" t="n"/>
      <c r="E82" s="76" t="n"/>
      <c r="F82" s="77" t="n"/>
      <c r="G82" s="75" t="n"/>
      <c r="H82" s="75">
        <f>IF(ISBLANK(E82),"",IF(OR(D82="Butterfly",D82="Butterfly ",D82="Iron Fly", D82="Iron Fly "),LEN(E82)-LEN(SUBSTITUTE(E82,"/",""))+2,LEN(E82)-LEN(SUBSTITUTE(E82,"/",""))+1))</f>
        <v/>
      </c>
      <c r="I82" s="78">
        <f>IF(ISBLANK(G82),"",IF(D82="Stock","0",Key!$A$3*H82*G82))</f>
        <v/>
      </c>
      <c r="J82" s="78">
        <f>IF(ISBLANK(E82),"",IF(ISNUMBER(SEARCH("/",E82)), IF(LEN(E82)-LEN(SUBSTITUTE(E82,"/",""))=1,(RIGHT(E82,LEN(E82)-FIND("/",E82)))-(LEFT(E82,FIND("/",E82)-1)),(MID(E82, SEARCH("/",E82) + 1, SEARCH("/",E82, SEARCH("/",E82)+1) - SEARCH("/",E82) - 1))-(LEFT(E82,FIND("/",E82)-1))), "NA"))</f>
        <v/>
      </c>
      <c r="K82" s="79">
        <f>IF(A82&lt;&gt;"", IF(ISBLANK(L82), TODAY(), K82), "")</f>
        <v/>
      </c>
      <c r="L82" s="78" t="n"/>
      <c r="M82" s="78">
        <f>IF(ISBLANK(L82),"",IF(D82="Stock",IF(C82="Buy",L82*G82,IF(C82="Sell",(L82*G82)-I82, X)),IF(C82="Buy",(L82*G82*100)+I82,IF(C82="Sell",(L82*G82*100)-I82, X))))</f>
        <v/>
      </c>
      <c r="N82" s="78">
        <f>IF(ISBLANK(L82),"",IF(AND(C82="Sell",D82="Stock"),M82,IF(ISBLANK(L82),"",IF(C82="Buy",M82, IF(AND(C82="Sell",J82="NA"),(E82*G82*100*0.1)+I82, IF(C82="Sell",(J82-L82)*(100*G82)+I82))))))</f>
        <v/>
      </c>
      <c r="O82" s="75" t="n"/>
      <c r="P82" s="75" t="n"/>
      <c r="Q82" s="75">
        <f>IF(ISBLANK(P82),"",IF(D82="Stock",P82*G82,IF(P82=0,"0",G82*P82*100-(G82*$AF$14))))</f>
        <v/>
      </c>
      <c r="R82" s="79">
        <f>IF(P82&lt;&gt;"", TODAY(), "")</f>
        <v/>
      </c>
      <c r="S82" s="78">
        <f>IF(AND(K82&lt;&gt;"", R82&lt;&gt;""), R82-K82, "")</f>
        <v/>
      </c>
      <c r="T82" s="78" t="n"/>
      <c r="U82" s="92">
        <f>IF(ISBLANK(P82),"",IF(C82="Buy",Q82-M82+T82, IF(C82="Sell",M82-Q82-T82, X)))</f>
        <v/>
      </c>
      <c r="V82" s="81">
        <f>IF(ISBLANK(P82),"",U82/N82)</f>
        <v/>
      </c>
      <c r="W82" s="81">
        <f>IF(ISBLANK(P82),"",IF(S82=0,(365/0.5)*V82,(365/S82)*V82))</f>
        <v/>
      </c>
      <c r="X82" s="75" t="n"/>
      <c r="Y82" s="77" t="n"/>
      <c r="Z82" s="77" t="n"/>
      <c r="AA82" s="75" t="n"/>
      <c r="AB82" s="75" t="n"/>
      <c r="AC82" s="6" t="n"/>
      <c r="AD82" s="75" t="n"/>
      <c r="AE82" s="75" t="n"/>
      <c r="AF82" s="75" t="n"/>
    </row>
    <row r="83" ht="15.75" customHeight="1" s="133">
      <c r="A83" s="75" t="n"/>
      <c r="B83" s="75" t="n"/>
      <c r="C83" s="75" t="n"/>
      <c r="D83" s="75" t="n"/>
      <c r="E83" s="76" t="n"/>
      <c r="F83" s="77" t="n"/>
      <c r="G83" s="75" t="n"/>
      <c r="H83" s="75">
        <f>IF(ISBLANK(E83),"",IF(OR(D83="Butterfly",D83="Butterfly ",D83="Iron Fly", D83="Iron Fly "),LEN(E83)-LEN(SUBSTITUTE(E83,"/",""))+2,LEN(E83)-LEN(SUBSTITUTE(E83,"/",""))+1))</f>
        <v/>
      </c>
      <c r="I83" s="78">
        <f>IF(ISBLANK(G83),"",IF(D83="Stock","0",Key!$A$3*H83*G83))</f>
        <v/>
      </c>
      <c r="J83" s="78">
        <f>IF(ISBLANK(E83),"",IF(ISNUMBER(SEARCH("/",E83)), IF(LEN(E83)-LEN(SUBSTITUTE(E83,"/",""))=1,(RIGHT(E83,LEN(E83)-FIND("/",E83)))-(LEFT(E83,FIND("/",E83)-1)),(MID(E83, SEARCH("/",E83) + 1, SEARCH("/",E83, SEARCH("/",E83)+1) - SEARCH("/",E83) - 1))-(LEFT(E83,FIND("/",E83)-1))), "NA"))</f>
        <v/>
      </c>
      <c r="K83" s="79">
        <f>IF(A83&lt;&gt;"", IF(ISBLANK(L83), TODAY(), K83), "")</f>
        <v/>
      </c>
      <c r="L83" s="78" t="n"/>
      <c r="M83" s="78">
        <f>IF(ISBLANK(L83),"",IF(D83="Stock",IF(C83="Buy",L83*G83,IF(C83="Sell",(L83*G83)-I83, X)),IF(C83="Buy",(L83*G83*100)+I83,IF(C83="Sell",(L83*G83*100)-I83, X))))</f>
        <v/>
      </c>
      <c r="N83" s="78">
        <f>IF(ISBLANK(L83),"",IF(AND(C83="Sell",D83="Stock"),M83,IF(ISBLANK(L83),"",IF(C83="Buy",M83, IF(AND(C83="Sell",J83="NA"),(E83*G83*100*0.1)+I83, IF(C83="Sell",(J83-L83)*(100*G83)+I83))))))</f>
        <v/>
      </c>
      <c r="O83" s="75" t="n"/>
      <c r="P83" s="75" t="n"/>
      <c r="Q83" s="75">
        <f>IF(ISBLANK(P83),"",IF(D83="Stock",P83*G83,IF(P83=0,"0",G83*P83*100-(G83*$AF$14))))</f>
        <v/>
      </c>
      <c r="R83" s="79">
        <f>IF(P83&lt;&gt;"", TODAY(), "")</f>
        <v/>
      </c>
      <c r="S83" s="78">
        <f>IF(AND(K83&lt;&gt;"", R83&lt;&gt;""), R83-K83, "")</f>
        <v/>
      </c>
      <c r="T83" s="78" t="n"/>
      <c r="U83" s="92">
        <f>IF(ISBLANK(P83),"",IF(C83="Buy",Q83-M83+T83, IF(C83="Sell",M83-Q83-T83, X)))</f>
        <v/>
      </c>
      <c r="V83" s="81">
        <f>IF(ISBLANK(P83),"",U83/N83)</f>
        <v/>
      </c>
      <c r="W83" s="81">
        <f>IF(ISBLANK(P83),"",IF(S83=0,(365/0.5)*V83,(365/S83)*V83))</f>
        <v/>
      </c>
      <c r="X83" s="75" t="n"/>
      <c r="Y83" s="77" t="n"/>
      <c r="Z83" s="77" t="n"/>
      <c r="AA83" s="75" t="n"/>
      <c r="AB83" s="75" t="n"/>
      <c r="AC83" s="6" t="n"/>
      <c r="AD83" s="75" t="n"/>
      <c r="AE83" s="75" t="n"/>
      <c r="AF83" s="75" t="n"/>
    </row>
    <row r="84" ht="15.75" customHeight="1" s="133">
      <c r="A84" s="75" t="n"/>
      <c r="B84" s="75" t="n"/>
      <c r="C84" s="75" t="n"/>
      <c r="D84" s="75" t="n"/>
      <c r="E84" s="76" t="n"/>
      <c r="F84" s="77" t="n"/>
      <c r="G84" s="75" t="n"/>
      <c r="H84" s="75">
        <f>IF(ISBLANK(E84),"",IF(OR(D84="Butterfly",D84="Butterfly ",D84="Iron Fly", D84="Iron Fly "),LEN(E84)-LEN(SUBSTITUTE(E84,"/",""))+2,LEN(E84)-LEN(SUBSTITUTE(E84,"/",""))+1))</f>
        <v/>
      </c>
      <c r="I84" s="78">
        <f>IF(ISBLANK(G84),"",IF(D84="Stock","0",Key!$A$3*H84*G84))</f>
        <v/>
      </c>
      <c r="J84" s="78">
        <f>IF(ISBLANK(E84),"",IF(ISNUMBER(SEARCH("/",E84)), IF(LEN(E84)-LEN(SUBSTITUTE(E84,"/",""))=1,(RIGHT(E84,LEN(E84)-FIND("/",E84)))-(LEFT(E84,FIND("/",E84)-1)),(MID(E84, SEARCH("/",E84) + 1, SEARCH("/",E84, SEARCH("/",E84)+1) - SEARCH("/",E84) - 1))-(LEFT(E84,FIND("/",E84)-1))), "NA"))</f>
        <v/>
      </c>
      <c r="K84" s="79">
        <f>IF(A84&lt;&gt;"", IF(ISBLANK(L84), TODAY(), K84), "")</f>
        <v/>
      </c>
      <c r="L84" s="78" t="n"/>
      <c r="M84" s="78">
        <f>IF(ISBLANK(L84),"",IF(D84="Stock",IF(C84="Buy",L84*G84,IF(C84="Sell",(L84*G84)-I84, X)),IF(C84="Buy",(L84*G84*100)+I84,IF(C84="Sell",(L84*G84*100)-I84, X))))</f>
        <v/>
      </c>
      <c r="N84" s="78">
        <f>IF(ISBLANK(L84),"",IF(AND(C84="Sell",D84="Stock"),M84,IF(ISBLANK(L84),"",IF(C84="Buy",M84, IF(AND(C84="Sell",J84="NA"),(E84*G84*100*0.1)+I84, IF(C84="Sell",(J84-L84)*(100*G84)+I84))))))</f>
        <v/>
      </c>
      <c r="O84" s="75" t="n"/>
      <c r="P84" s="75" t="n"/>
      <c r="Q84" s="75">
        <f>IF(ISBLANK(P84),"",IF(D84="Stock",P84*G84,IF(P84=0,"0",G84*P84*100-(G84*$AF$14))))</f>
        <v/>
      </c>
      <c r="R84" s="79">
        <f>IF(P84&lt;&gt;"", TODAY(), "")</f>
        <v/>
      </c>
      <c r="S84" s="78">
        <f>IF(AND(K84&lt;&gt;"", R84&lt;&gt;""), R84-K84, "")</f>
        <v/>
      </c>
      <c r="T84" s="78" t="n"/>
      <c r="U84" s="92">
        <f>IF(ISBLANK(P84),"",IF(C84="Buy",Q84-M84+T84, IF(C84="Sell",M84-Q84-T84, X)))</f>
        <v/>
      </c>
      <c r="V84" s="81">
        <f>IF(ISBLANK(P84),"",U84/N84)</f>
        <v/>
      </c>
      <c r="W84" s="81">
        <f>IF(ISBLANK(P84),"",IF(S84=0,(365/0.5)*V84,(365/S84)*V84))</f>
        <v/>
      </c>
      <c r="X84" s="75" t="n"/>
      <c r="Y84" s="77" t="n"/>
      <c r="Z84" s="77" t="n"/>
      <c r="AA84" s="75" t="n"/>
      <c r="AB84" s="75" t="n"/>
      <c r="AC84" s="6" t="n"/>
      <c r="AD84" s="75" t="n"/>
      <c r="AE84" s="75" t="n"/>
      <c r="AF84" s="75" t="n"/>
    </row>
    <row r="85" ht="15.75" customHeight="1" s="133">
      <c r="A85" s="75" t="n"/>
      <c r="B85" s="75" t="n"/>
      <c r="C85" s="75" t="n"/>
      <c r="D85" s="75" t="n"/>
      <c r="E85" s="76" t="n"/>
      <c r="F85" s="77" t="n"/>
      <c r="G85" s="75" t="n"/>
      <c r="H85" s="75">
        <f>IF(ISBLANK(E85),"",IF(OR(D85="Butterfly",D85="Butterfly ",D85="Iron Fly", D85="Iron Fly "),LEN(E85)-LEN(SUBSTITUTE(E85,"/",""))+2,LEN(E85)-LEN(SUBSTITUTE(E85,"/",""))+1))</f>
        <v/>
      </c>
      <c r="I85" s="78">
        <f>IF(ISBLANK(G85),"",IF(D85="Stock","0",Key!$A$3*H85*G85))</f>
        <v/>
      </c>
      <c r="J85" s="78">
        <f>IF(ISBLANK(E85),"",IF(ISNUMBER(SEARCH("/",E85)), IF(LEN(E85)-LEN(SUBSTITUTE(E85,"/",""))=1,(RIGHT(E85,LEN(E85)-FIND("/",E85)))-(LEFT(E85,FIND("/",E85)-1)),(MID(E85, SEARCH("/",E85) + 1, SEARCH("/",E85, SEARCH("/",E85)+1) - SEARCH("/",E85) - 1))-(LEFT(E85,FIND("/",E85)-1))), "NA"))</f>
        <v/>
      </c>
      <c r="K85" s="79">
        <f>IF(A85&lt;&gt;"", IF(ISBLANK(L85), TODAY(), K85), "")</f>
        <v/>
      </c>
      <c r="L85" s="78" t="n"/>
      <c r="M85" s="78">
        <f>IF(ISBLANK(L85),"",IF(D85="Stock",IF(C85="Buy",L85*G85,IF(C85="Sell",(L85*G85)-I85, X)),IF(C85="Buy",(L85*G85*100)+I85,IF(C85="Sell",(L85*G85*100)-I85, X))))</f>
        <v/>
      </c>
      <c r="N85" s="78">
        <f>IF(ISBLANK(L85),"",IF(AND(C85="Sell",D85="Stock"),M85,IF(ISBLANK(L85),"",IF(C85="Buy",M85, IF(AND(C85="Sell",J85="NA"),(E85*G85*100*0.1)+I85, IF(C85="Sell",(J85-L85)*(100*G85)+I85))))))</f>
        <v/>
      </c>
      <c r="O85" s="75" t="n"/>
      <c r="P85" s="75" t="n"/>
      <c r="Q85" s="75">
        <f>IF(ISBLANK(P85),"",IF(D85="Stock",P85*G85,IF(P85=0,"0",G85*P85*100-(G85*$AF$14))))</f>
        <v/>
      </c>
      <c r="R85" s="79">
        <f>IF(P85&lt;&gt;"", TODAY(), "")</f>
        <v/>
      </c>
      <c r="S85" s="78">
        <f>IF(AND(K85&lt;&gt;"", R85&lt;&gt;""), R85-K85, "")</f>
        <v/>
      </c>
      <c r="T85" s="78" t="n"/>
      <c r="U85" s="92">
        <f>IF(ISBLANK(P85),"",IF(C85="Buy",Q85-M85+T85, IF(C85="Sell",M85-Q85-T85, X)))</f>
        <v/>
      </c>
      <c r="V85" s="81">
        <f>IF(ISBLANK(P85),"",U85/N85)</f>
        <v/>
      </c>
      <c r="W85" s="81">
        <f>IF(ISBLANK(P85),"",IF(S85=0,(365/0.5)*V85,(365/S85)*V85))</f>
        <v/>
      </c>
      <c r="X85" s="75" t="n"/>
      <c r="Y85" s="77" t="n"/>
      <c r="Z85" s="77" t="n"/>
      <c r="AA85" s="75" t="n"/>
      <c r="AB85" s="75" t="n"/>
      <c r="AC85" s="6" t="n"/>
      <c r="AD85" s="75" t="n"/>
      <c r="AE85" s="75" t="n"/>
      <c r="AF85" s="75" t="n"/>
    </row>
    <row r="86" ht="15.75" customHeight="1" s="133">
      <c r="A86" s="75" t="n"/>
      <c r="B86" s="75" t="n"/>
      <c r="C86" s="75" t="n"/>
      <c r="D86" s="75" t="n"/>
      <c r="E86" s="76" t="n"/>
      <c r="F86" s="77" t="n"/>
      <c r="G86" s="75" t="n"/>
      <c r="H86" s="75">
        <f>IF(ISBLANK(E86),"",IF(OR(D86="Butterfly",D86="Butterfly ",D86="Iron Fly", D86="Iron Fly "),LEN(E86)-LEN(SUBSTITUTE(E86,"/",""))+2,LEN(E86)-LEN(SUBSTITUTE(E86,"/",""))+1))</f>
        <v/>
      </c>
      <c r="I86" s="78">
        <f>IF(ISBLANK(G86),"",IF(D86="Stock","0",Key!$A$3*H86*G86))</f>
        <v/>
      </c>
      <c r="J86" s="78">
        <f>IF(ISBLANK(E86),"",IF(ISNUMBER(SEARCH("/",E86)), IF(LEN(E86)-LEN(SUBSTITUTE(E86,"/",""))=1,(RIGHT(E86,LEN(E86)-FIND("/",E86)))-(LEFT(E86,FIND("/",E86)-1)),(MID(E86, SEARCH("/",E86) + 1, SEARCH("/",E86, SEARCH("/",E86)+1) - SEARCH("/",E86) - 1))-(LEFT(E86,FIND("/",E86)-1))), "NA"))</f>
        <v/>
      </c>
      <c r="K86" s="79">
        <f>IF(A86&lt;&gt;"", IF(ISBLANK(L86), TODAY(), K86), "")</f>
        <v/>
      </c>
      <c r="L86" s="78" t="n"/>
      <c r="M86" s="78">
        <f>IF(ISBLANK(L86),"",IF(D86="Stock",IF(C86="Buy",L86*G86,IF(C86="Sell",(L86*G86)-I86, X)),IF(C86="Buy",(L86*G86*100)+I86,IF(C86="Sell",(L86*G86*100)-I86, X))))</f>
        <v/>
      </c>
      <c r="N86" s="78">
        <f>IF(ISBLANK(L86),"",IF(AND(C86="Sell",D86="Stock"),M86,IF(ISBLANK(L86),"",IF(C86="Buy",M86, IF(AND(C86="Sell",J86="NA"),(E86*G86*100*0.1)+I86, IF(C86="Sell",(J86-L86)*(100*G86)+I86))))))</f>
        <v/>
      </c>
      <c r="O86" s="75" t="n"/>
      <c r="P86" s="75" t="n"/>
      <c r="Q86" s="75">
        <f>IF(ISBLANK(P86),"",IF(D86="Stock",P86*G86,IF(P86=0,"0",G86*P86*100-(G86*$AF$14))))</f>
        <v/>
      </c>
      <c r="R86" s="79">
        <f>IF(P86&lt;&gt;"", TODAY(), "")</f>
        <v/>
      </c>
      <c r="S86" s="78">
        <f>IF(AND(K86&lt;&gt;"", R86&lt;&gt;""), R86-K86, "")</f>
        <v/>
      </c>
      <c r="T86" s="78" t="n"/>
      <c r="U86" s="92">
        <f>IF(ISBLANK(P86),"",IF(C86="Buy",Q86-M86+T86, IF(C86="Sell",M86-Q86-T86, X)))</f>
        <v/>
      </c>
      <c r="V86" s="81">
        <f>IF(ISBLANK(P86),"",U86/N86)</f>
        <v/>
      </c>
      <c r="W86" s="81">
        <f>IF(ISBLANK(P86),"",IF(S86=0,(365/0.5)*V86,(365/S86)*V86))</f>
        <v/>
      </c>
      <c r="X86" s="75" t="n"/>
      <c r="Y86" s="77" t="n"/>
      <c r="Z86" s="77" t="n"/>
      <c r="AA86" s="75" t="n"/>
      <c r="AB86" s="75" t="n"/>
      <c r="AC86" s="6" t="n"/>
      <c r="AD86" s="75" t="n"/>
      <c r="AE86" s="75" t="n"/>
      <c r="AF86" s="75" t="n"/>
    </row>
    <row r="87" ht="15.75" customHeight="1" s="133">
      <c r="A87" s="75" t="n"/>
      <c r="B87" s="75" t="n"/>
      <c r="C87" s="75" t="n"/>
      <c r="D87" s="75" t="n"/>
      <c r="E87" s="76" t="n"/>
      <c r="F87" s="77" t="n"/>
      <c r="G87" s="75" t="n"/>
      <c r="H87" s="75">
        <f>IF(ISBLANK(E87),"",IF(OR(D87="Butterfly",D87="Butterfly ",D87="Iron Fly", D87="Iron Fly "),LEN(E87)-LEN(SUBSTITUTE(E87,"/",""))+2,LEN(E87)-LEN(SUBSTITUTE(E87,"/",""))+1))</f>
        <v/>
      </c>
      <c r="I87" s="78">
        <f>IF(ISBLANK(G87),"",IF(D87="Stock","0",Key!$A$3*H87*G87))</f>
        <v/>
      </c>
      <c r="J87" s="78">
        <f>IF(ISBLANK(E87),"",IF(ISNUMBER(SEARCH("/",E87)), IF(LEN(E87)-LEN(SUBSTITUTE(E87,"/",""))=1,(RIGHT(E87,LEN(E87)-FIND("/",E87)))-(LEFT(E87,FIND("/",E87)-1)),(MID(E87, SEARCH("/",E87) + 1, SEARCH("/",E87, SEARCH("/",E87)+1) - SEARCH("/",E87) - 1))-(LEFT(E87,FIND("/",E87)-1))), "NA"))</f>
        <v/>
      </c>
      <c r="K87" s="79">
        <f>IF(A87&lt;&gt;"", IF(ISBLANK(L87), TODAY(), K87), "")</f>
        <v/>
      </c>
      <c r="L87" s="78" t="n"/>
      <c r="M87" s="78">
        <f>IF(ISBLANK(L87),"",IF(D87="Stock",IF(C87="Buy",L87*G87,IF(C87="Sell",(L87*G87)-I87, X)),IF(C87="Buy",(L87*G87*100)+I87,IF(C87="Sell",(L87*G87*100)-I87, X))))</f>
        <v/>
      </c>
      <c r="N87" s="78">
        <f>IF(ISBLANK(L87),"",IF(AND(C87="Sell",D87="Stock"),M87,IF(ISBLANK(L87),"",IF(C87="Buy",M87, IF(AND(C87="Sell",J87="NA"),(E87*G87*100*0.1)+I87, IF(C87="Sell",(J87-L87)*(100*G87)+I87))))))</f>
        <v/>
      </c>
      <c r="O87" s="75" t="n"/>
      <c r="P87" s="75" t="n"/>
      <c r="Q87" s="75">
        <f>IF(ISBLANK(P87),"",IF(D87="Stock",P87*G87,IF(P87=0,"0",G87*P87*100-(G87*$AF$14))))</f>
        <v/>
      </c>
      <c r="R87" s="79">
        <f>IF(P87&lt;&gt;"", TODAY(), "")</f>
        <v/>
      </c>
      <c r="S87" s="78">
        <f>IF(AND(K87&lt;&gt;"", R87&lt;&gt;""), R87-K87, "")</f>
        <v/>
      </c>
      <c r="T87" s="78" t="n"/>
      <c r="U87" s="92">
        <f>IF(ISBLANK(P87),"",IF(C87="Buy",Q87-M87+T87, IF(C87="Sell",M87-Q87-T87, X)))</f>
        <v/>
      </c>
      <c r="V87" s="81">
        <f>IF(ISBLANK(P87),"",U87/N87)</f>
        <v/>
      </c>
      <c r="W87" s="81">
        <f>IF(ISBLANK(P87),"",IF(S87=0,(365/0.5)*V87,(365/S87)*V87))</f>
        <v/>
      </c>
      <c r="X87" s="75" t="n"/>
      <c r="Y87" s="77" t="n"/>
      <c r="Z87" s="77" t="n"/>
      <c r="AA87" s="75" t="n"/>
      <c r="AB87" s="75" t="n"/>
      <c r="AC87" s="6" t="n"/>
      <c r="AD87" s="75" t="n"/>
      <c r="AE87" s="75" t="n"/>
      <c r="AF87" s="75" t="n"/>
    </row>
    <row r="88" ht="15.75" customHeight="1" s="133">
      <c r="A88" s="75" t="n"/>
      <c r="B88" s="75" t="n"/>
      <c r="C88" s="75" t="n"/>
      <c r="D88" s="75" t="n"/>
      <c r="E88" s="76" t="n"/>
      <c r="F88" s="77" t="n"/>
      <c r="G88" s="75" t="n"/>
      <c r="H88" s="75">
        <f>IF(ISBLANK(E88),"",IF(OR(D88="Butterfly",D88="Butterfly ",D88="Iron Fly", D88="Iron Fly "),LEN(E88)-LEN(SUBSTITUTE(E88,"/",""))+2,LEN(E88)-LEN(SUBSTITUTE(E88,"/",""))+1))</f>
        <v/>
      </c>
      <c r="I88" s="78">
        <f>IF(ISBLANK(G88),"",IF(D88="Stock","0",Key!$A$3*H88*G88))</f>
        <v/>
      </c>
      <c r="J88" s="78">
        <f>IF(ISBLANK(E88),"",IF(ISNUMBER(SEARCH("/",E88)), IF(LEN(E88)-LEN(SUBSTITUTE(E88,"/",""))=1,(RIGHT(E88,LEN(E88)-FIND("/",E88)))-(LEFT(E88,FIND("/",E88)-1)),(MID(E88, SEARCH("/",E88) + 1, SEARCH("/",E88, SEARCH("/",E88)+1) - SEARCH("/",E88) - 1))-(LEFT(E88,FIND("/",E88)-1))), "NA"))</f>
        <v/>
      </c>
      <c r="K88" s="79">
        <f>IF(A88&lt;&gt;"", IF(ISBLANK(L88), TODAY(), K88), "")</f>
        <v/>
      </c>
      <c r="L88" s="78" t="n"/>
      <c r="M88" s="78">
        <f>IF(ISBLANK(L88),"",IF(D88="Stock",IF(C88="Buy",L88*G88,IF(C88="Sell",(L88*G88)-I88, X)),IF(C88="Buy",(L88*G88*100)+I88,IF(C88="Sell",(L88*G88*100)-I88, X))))</f>
        <v/>
      </c>
      <c r="N88" s="78">
        <f>IF(ISBLANK(L88),"",IF(AND(C88="Sell",D88="Stock"),M88,IF(ISBLANK(L88),"",IF(C88="Buy",M88, IF(AND(C88="Sell",J88="NA"),(E88*G88*100*0.1)+I88, IF(C88="Sell",(J88-L88)*(100*G88)+I88))))))</f>
        <v/>
      </c>
      <c r="O88" s="75" t="n"/>
      <c r="P88" s="75" t="n"/>
      <c r="Q88" s="75">
        <f>IF(ISBLANK(P88),"",IF(D88="Stock",P88*G88,IF(P88=0,"0",G88*P88*100-(G88*$AF$14))))</f>
        <v/>
      </c>
      <c r="R88" s="79">
        <f>IF(P88&lt;&gt;"", TODAY(), "")</f>
        <v/>
      </c>
      <c r="S88" s="78">
        <f>IF(AND(K88&lt;&gt;"", R88&lt;&gt;""), R88-K88, "")</f>
        <v/>
      </c>
      <c r="T88" s="78" t="n"/>
      <c r="U88" s="92">
        <f>IF(ISBLANK(P88),"",IF(C88="Buy",Q88-M88+T88, IF(C88="Sell",M88-Q88-T88, X)))</f>
        <v/>
      </c>
      <c r="V88" s="81">
        <f>IF(ISBLANK(P88),"",U88/N88)</f>
        <v/>
      </c>
      <c r="W88" s="81">
        <f>IF(ISBLANK(P88),"",IF(S88=0,(365/0.5)*V88,(365/S88)*V88))</f>
        <v/>
      </c>
      <c r="X88" s="75" t="n"/>
      <c r="Y88" s="77" t="n"/>
      <c r="Z88" s="77" t="n"/>
      <c r="AA88" s="75" t="n"/>
      <c r="AB88" s="75" t="n"/>
      <c r="AC88" s="6" t="n"/>
      <c r="AD88" s="75" t="n"/>
      <c r="AE88" s="75" t="n"/>
      <c r="AF88" s="75" t="n"/>
    </row>
    <row r="89" ht="15.75" customHeight="1" s="133">
      <c r="A89" s="75" t="n"/>
      <c r="B89" s="75" t="n"/>
      <c r="C89" s="75" t="n"/>
      <c r="D89" s="75" t="n"/>
      <c r="E89" s="76" t="n"/>
      <c r="F89" s="77" t="n"/>
      <c r="G89" s="75" t="n"/>
      <c r="H89" s="75">
        <f>IF(ISBLANK(E89),"",IF(OR(D89="Butterfly",D89="Butterfly ",D89="Iron Fly", D89="Iron Fly "),LEN(E89)-LEN(SUBSTITUTE(E89,"/",""))+2,LEN(E89)-LEN(SUBSTITUTE(E89,"/",""))+1))</f>
        <v/>
      </c>
      <c r="I89" s="78">
        <f>IF(ISBLANK(G89),"",IF(D89="Stock","0",Key!$A$3*H89*G89))</f>
        <v/>
      </c>
      <c r="J89" s="78">
        <f>IF(ISBLANK(E89),"",IF(ISNUMBER(SEARCH("/",E89)), IF(LEN(E89)-LEN(SUBSTITUTE(E89,"/",""))=1,(RIGHT(E89,LEN(E89)-FIND("/",E89)))-(LEFT(E89,FIND("/",E89)-1)),(MID(E89, SEARCH("/",E89) + 1, SEARCH("/",E89, SEARCH("/",E89)+1) - SEARCH("/",E89) - 1))-(LEFT(E89,FIND("/",E89)-1))), "NA"))</f>
        <v/>
      </c>
      <c r="K89" s="79">
        <f>IF(A89&lt;&gt;"", IF(ISBLANK(L89), TODAY(), K89), "")</f>
        <v/>
      </c>
      <c r="L89" s="78" t="n"/>
      <c r="M89" s="78">
        <f>IF(ISBLANK(L89),"",IF(D89="Stock",IF(C89="Buy",L89*G89,IF(C89="Sell",(L89*G89)-I89, X)),IF(C89="Buy",(L89*G89*100)+I89,IF(C89="Sell",(L89*G89*100)-I89, X))))</f>
        <v/>
      </c>
      <c r="N89" s="78">
        <f>IF(ISBLANK(L89),"",IF(AND(C89="Sell",D89="Stock"),M89,IF(ISBLANK(L89),"",IF(C89="Buy",M89, IF(AND(C89="Sell",J89="NA"),(E89*G89*100*0.1)+I89, IF(C89="Sell",(J89-L89)*(100*G89)+I89))))))</f>
        <v/>
      </c>
      <c r="O89" s="75" t="n"/>
      <c r="P89" s="75" t="n"/>
      <c r="Q89" s="75">
        <f>IF(ISBLANK(P89),"",IF(D89="Stock",P89*G89,IF(P89=0,"0",G89*P89*100-(G89*$AF$14))))</f>
        <v/>
      </c>
      <c r="R89" s="79">
        <f>IF(P89&lt;&gt;"", TODAY(), "")</f>
        <v/>
      </c>
      <c r="S89" s="78">
        <f>IF(AND(K89&lt;&gt;"", R89&lt;&gt;""), R89-K89, "")</f>
        <v/>
      </c>
      <c r="T89" s="78" t="n"/>
      <c r="U89" s="92">
        <f>IF(ISBLANK(P89),"",IF(C89="Buy",Q89-M89+T89, IF(C89="Sell",M89-Q89-T89, X)))</f>
        <v/>
      </c>
      <c r="V89" s="81">
        <f>IF(ISBLANK(P89),"",U89/N89)</f>
        <v/>
      </c>
      <c r="W89" s="81">
        <f>IF(ISBLANK(P89),"",IF(S89=0,(365/0.5)*V89,(365/S89)*V89))</f>
        <v/>
      </c>
      <c r="X89" s="75" t="n"/>
      <c r="Y89" s="77" t="n"/>
      <c r="Z89" s="77" t="n"/>
      <c r="AA89" s="75" t="n"/>
      <c r="AB89" s="75" t="n"/>
      <c r="AC89" s="6" t="n"/>
      <c r="AD89" s="75" t="n"/>
      <c r="AE89" s="75" t="n"/>
      <c r="AF89" s="75" t="n"/>
    </row>
    <row r="90" ht="15.75" customHeight="1" s="133">
      <c r="A90" s="75" t="n"/>
      <c r="B90" s="75" t="n"/>
      <c r="C90" s="75" t="n"/>
      <c r="D90" s="75" t="n"/>
      <c r="E90" s="76" t="n"/>
      <c r="F90" s="77" t="n"/>
      <c r="G90" s="75" t="n"/>
      <c r="H90" s="75">
        <f>IF(ISBLANK(E90),"",IF(OR(D90="Butterfly",D90="Butterfly ",D90="Iron Fly", D90="Iron Fly "),LEN(E90)-LEN(SUBSTITUTE(E90,"/",""))+2,LEN(E90)-LEN(SUBSTITUTE(E90,"/",""))+1))</f>
        <v/>
      </c>
      <c r="I90" s="78">
        <f>IF(ISBLANK(G90),"",IF(D90="Stock","0",Key!$A$3*H90*G90))</f>
        <v/>
      </c>
      <c r="J90" s="78">
        <f>IF(ISBLANK(E90),"",IF(ISNUMBER(SEARCH("/",E90)), IF(LEN(E90)-LEN(SUBSTITUTE(E90,"/",""))=1,(RIGHT(E90,LEN(E90)-FIND("/",E90)))-(LEFT(E90,FIND("/",E90)-1)),(MID(E90, SEARCH("/",E90) + 1, SEARCH("/",E90, SEARCH("/",E90)+1) - SEARCH("/",E90) - 1))-(LEFT(E90,FIND("/",E90)-1))), "NA"))</f>
        <v/>
      </c>
      <c r="K90" s="79">
        <f>IF(A90&lt;&gt;"", IF(ISBLANK(L90), TODAY(), K90), "")</f>
        <v/>
      </c>
      <c r="L90" s="78" t="n"/>
      <c r="M90" s="78">
        <f>IF(ISBLANK(L90),"",IF(D90="Stock",IF(C90="Buy",L90*G90,IF(C90="Sell",(L90*G90)-I90, X)),IF(C90="Buy",(L90*G90*100)+I90,IF(C90="Sell",(L90*G90*100)-I90, X))))</f>
        <v/>
      </c>
      <c r="N90" s="78">
        <f>IF(ISBLANK(L90),"",IF(AND(C90="Sell",D90="Stock"),M90,IF(ISBLANK(L90),"",IF(C90="Buy",M90, IF(AND(C90="Sell",J90="NA"),(E90*G90*100*0.1)+I90, IF(C90="Sell",(J90-L90)*(100*G90)+I90))))))</f>
        <v/>
      </c>
      <c r="O90" s="75" t="n"/>
      <c r="P90" s="75" t="n"/>
      <c r="Q90" s="75">
        <f>IF(ISBLANK(P90),"",IF(D90="Stock",P90*G90,IF(P90=0,"0",G90*P90*100-(G90*$AF$14))))</f>
        <v/>
      </c>
      <c r="R90" s="79">
        <f>IF(P90&lt;&gt;"", TODAY(), "")</f>
        <v/>
      </c>
      <c r="S90" s="78">
        <f>IF(AND(K90&lt;&gt;"", R90&lt;&gt;""), R90-K90, "")</f>
        <v/>
      </c>
      <c r="T90" s="78" t="n"/>
      <c r="U90" s="92">
        <f>IF(ISBLANK(P90),"",IF(C90="Buy",Q90-M90+T90, IF(C90="Sell",M90-Q90-T90, X)))</f>
        <v/>
      </c>
      <c r="V90" s="81">
        <f>IF(ISBLANK(P90),"",U90/N90)</f>
        <v/>
      </c>
      <c r="W90" s="81">
        <f>IF(ISBLANK(P90),"",IF(S90=0,(365/0.5)*V90,(365/S90)*V90))</f>
        <v/>
      </c>
      <c r="X90" s="75" t="n"/>
      <c r="Y90" s="77" t="n"/>
      <c r="Z90" s="77" t="n"/>
      <c r="AA90" s="75" t="n"/>
      <c r="AB90" s="75" t="n"/>
      <c r="AC90" s="6" t="n"/>
      <c r="AD90" s="75" t="n"/>
      <c r="AE90" s="75" t="n"/>
      <c r="AF90" s="75" t="n"/>
    </row>
    <row r="91" ht="15.75" customHeight="1" s="133">
      <c r="A91" s="75" t="n"/>
      <c r="B91" s="75" t="n"/>
      <c r="C91" s="75" t="n"/>
      <c r="D91" s="75" t="n"/>
      <c r="E91" s="76" t="n"/>
      <c r="F91" s="77" t="n"/>
      <c r="G91" s="75" t="n"/>
      <c r="H91" s="75">
        <f>IF(ISBLANK(E91),"",IF(OR(D91="Butterfly",D91="Butterfly ",D91="Iron Fly", D91="Iron Fly "),LEN(E91)-LEN(SUBSTITUTE(E91,"/",""))+2,LEN(E91)-LEN(SUBSTITUTE(E91,"/",""))+1))</f>
        <v/>
      </c>
      <c r="I91" s="78">
        <f>IF(ISBLANK(G91),"",IF(D91="Stock","0",Key!$A$3*H91*G91))</f>
        <v/>
      </c>
      <c r="J91" s="78">
        <f>IF(ISBLANK(E91),"",IF(ISNUMBER(SEARCH("/",E91)), IF(LEN(E91)-LEN(SUBSTITUTE(E91,"/",""))=1,(RIGHT(E91,LEN(E91)-FIND("/",E91)))-(LEFT(E91,FIND("/",E91)-1)),(MID(E91, SEARCH("/",E91) + 1, SEARCH("/",E91, SEARCH("/",E91)+1) - SEARCH("/",E91) - 1))-(LEFT(E91,FIND("/",E91)-1))), "NA"))</f>
        <v/>
      </c>
      <c r="K91" s="79">
        <f>IF(A91&lt;&gt;"", IF(ISBLANK(L91), TODAY(), K91), "")</f>
        <v/>
      </c>
      <c r="L91" s="78" t="n"/>
      <c r="M91" s="78">
        <f>IF(ISBLANK(L91),"",IF(D91="Stock",IF(C91="Buy",L91*G91,IF(C91="Sell",(L91*G91)-I91, X)),IF(C91="Buy",(L91*G91*100)+I91,IF(C91="Sell",(L91*G91*100)-I91, X))))</f>
        <v/>
      </c>
      <c r="N91" s="78">
        <f>IF(ISBLANK(L91),"",IF(AND(C91="Sell",D91="Stock"),M91,IF(ISBLANK(L91),"",IF(C91="Buy",M91, IF(AND(C91="Sell",J91="NA"),(E91*G91*100*0.1)+I91, IF(C91="Sell",(J91-L91)*(100*G91)+I91))))))</f>
        <v/>
      </c>
      <c r="O91" s="75" t="n"/>
      <c r="P91" s="75" t="n"/>
      <c r="Q91" s="75">
        <f>IF(ISBLANK(P91),"",IF(D91="Stock",P91*G91,IF(P91=0,"0",G91*P91*100-(G91*$AF$14))))</f>
        <v/>
      </c>
      <c r="R91" s="79">
        <f>IF(P91&lt;&gt;"", TODAY(), "")</f>
        <v/>
      </c>
      <c r="S91" s="78">
        <f>IF(AND(K91&lt;&gt;"", R91&lt;&gt;""), R91-K91, "")</f>
        <v/>
      </c>
      <c r="T91" s="78" t="n"/>
      <c r="U91" s="92">
        <f>IF(ISBLANK(P91),"",IF(C91="Buy",Q91-M91+T91, IF(C91="Sell",M91-Q91-T91, X)))</f>
        <v/>
      </c>
      <c r="V91" s="81">
        <f>IF(ISBLANK(P91),"",U91/N91)</f>
        <v/>
      </c>
      <c r="W91" s="81">
        <f>IF(ISBLANK(P91),"",IF(S91=0,(365/0.5)*V91,(365/S91)*V91))</f>
        <v/>
      </c>
      <c r="X91" s="75" t="n"/>
      <c r="Y91" s="77" t="n"/>
      <c r="Z91" s="77" t="n"/>
      <c r="AA91" s="75" t="n"/>
      <c r="AB91" s="75" t="n"/>
      <c r="AC91" s="6" t="n"/>
      <c r="AD91" s="75" t="n"/>
      <c r="AE91" s="75" t="n"/>
      <c r="AF91" s="75" t="n"/>
    </row>
    <row r="92" ht="15.75" customHeight="1" s="133">
      <c r="A92" s="75" t="n"/>
      <c r="B92" s="75" t="n"/>
      <c r="C92" s="75" t="n"/>
      <c r="D92" s="75" t="n"/>
      <c r="E92" s="76" t="n"/>
      <c r="F92" s="77" t="n"/>
      <c r="G92" s="75" t="n"/>
      <c r="H92" s="75">
        <f>IF(ISBLANK(E92),"",IF(OR(D92="Butterfly",D92="Butterfly ",D92="Iron Fly", D92="Iron Fly "),LEN(E92)-LEN(SUBSTITUTE(E92,"/",""))+2,LEN(E92)-LEN(SUBSTITUTE(E92,"/",""))+1))</f>
        <v/>
      </c>
      <c r="I92" s="78">
        <f>IF(ISBLANK(G92),"",IF(D92="Stock","0",Key!$A$3*H92*G92))</f>
        <v/>
      </c>
      <c r="J92" s="78">
        <f>IF(ISBLANK(E92),"",IF(ISNUMBER(SEARCH("/",E92)), IF(LEN(E92)-LEN(SUBSTITUTE(E92,"/",""))=1,(RIGHT(E92,LEN(E92)-FIND("/",E92)))-(LEFT(E92,FIND("/",E92)-1)),(MID(E92, SEARCH("/",E92) + 1, SEARCH("/",E92, SEARCH("/",E92)+1) - SEARCH("/",E92) - 1))-(LEFT(E92,FIND("/",E92)-1))), "NA"))</f>
        <v/>
      </c>
      <c r="K92" s="79">
        <f>IF(A92&lt;&gt;"", IF(ISBLANK(L92), TODAY(), K92), "")</f>
        <v/>
      </c>
      <c r="L92" s="78" t="n"/>
      <c r="M92" s="78">
        <f>IF(ISBLANK(L92),"",IF(D92="Stock",IF(C92="Buy",L92*G92,IF(C92="Sell",(L92*G92)-I92, X)),IF(C92="Buy",(L92*G92*100)+I92,IF(C92="Sell",(L92*G92*100)-I92, X))))</f>
        <v/>
      </c>
      <c r="N92" s="78">
        <f>IF(ISBLANK(L92),"",IF(AND(C92="Sell",D92="Stock"),M92,IF(ISBLANK(L92),"",IF(C92="Buy",M92, IF(AND(C92="Sell",J92="NA"),(E92*G92*100*0.1)+I92, IF(C92="Sell",(J92-L92)*(100*G92)+I92))))))</f>
        <v/>
      </c>
      <c r="O92" s="75" t="n"/>
      <c r="P92" s="75" t="n"/>
      <c r="Q92" s="75">
        <f>IF(ISBLANK(P92),"",IF(D92="Stock",P92*G92,IF(P92=0,"0",G92*P92*100-(G92*$AF$14))))</f>
        <v/>
      </c>
      <c r="R92" s="79">
        <f>IF(P92&lt;&gt;"", TODAY(), "")</f>
        <v/>
      </c>
      <c r="S92" s="78">
        <f>IF(AND(K92&lt;&gt;"", R92&lt;&gt;""), R92-K92, "")</f>
        <v/>
      </c>
      <c r="T92" s="78" t="n"/>
      <c r="U92" s="92">
        <f>IF(ISBLANK(P92),"",IF(C92="Buy",Q92-M92+T92, IF(C92="Sell",M92-Q92-T92, X)))</f>
        <v/>
      </c>
      <c r="V92" s="81">
        <f>IF(ISBLANK(P92),"",U92/N92)</f>
        <v/>
      </c>
      <c r="W92" s="81">
        <f>IF(ISBLANK(P92),"",IF(S92=0,(365/0.5)*V92,(365/S92)*V92))</f>
        <v/>
      </c>
      <c r="X92" s="75" t="n"/>
      <c r="Y92" s="77" t="n"/>
      <c r="Z92" s="77" t="n"/>
      <c r="AA92" s="75" t="n"/>
      <c r="AB92" s="75" t="n"/>
      <c r="AC92" s="6" t="n"/>
      <c r="AD92" s="75" t="n"/>
      <c r="AE92" s="75" t="n"/>
      <c r="AF92" s="75" t="n"/>
    </row>
    <row r="93" ht="15.75" customHeight="1" s="133">
      <c r="A93" s="75" t="n"/>
      <c r="B93" s="75" t="n"/>
      <c r="C93" s="75" t="n"/>
      <c r="D93" s="75" t="n"/>
      <c r="E93" s="76" t="n"/>
      <c r="F93" s="77" t="n"/>
      <c r="G93" s="75" t="n"/>
      <c r="H93" s="75">
        <f>IF(ISBLANK(E93),"",IF(OR(D93="Butterfly",D93="Butterfly ",D93="Iron Fly", D93="Iron Fly "),LEN(E93)-LEN(SUBSTITUTE(E93,"/",""))+2,LEN(E93)-LEN(SUBSTITUTE(E93,"/",""))+1))</f>
        <v/>
      </c>
      <c r="I93" s="78">
        <f>IF(ISBLANK(G93),"",IF(D93="Stock","0",Key!$A$3*H93*G93))</f>
        <v/>
      </c>
      <c r="J93" s="78">
        <f>IF(ISBLANK(E93),"",IF(ISNUMBER(SEARCH("/",E93)), IF(LEN(E93)-LEN(SUBSTITUTE(E93,"/",""))=1,(RIGHT(E93,LEN(E93)-FIND("/",E93)))-(LEFT(E93,FIND("/",E93)-1)),(MID(E93, SEARCH("/",E93) + 1, SEARCH("/",E93, SEARCH("/",E93)+1) - SEARCH("/",E93) - 1))-(LEFT(E93,FIND("/",E93)-1))), "NA"))</f>
        <v/>
      </c>
      <c r="K93" s="79">
        <f>IF(A93&lt;&gt;"", IF(ISBLANK(L93), TODAY(), K93), "")</f>
        <v/>
      </c>
      <c r="L93" s="78" t="n"/>
      <c r="M93" s="78">
        <f>IF(ISBLANK(L93),"",IF(D93="Stock",IF(C93="Buy",L93*G93,IF(C93="Sell",(L93*G93)-I93, X)),IF(C93="Buy",(L93*G93*100)+I93,IF(C93="Sell",(L93*G93*100)-I93, X))))</f>
        <v/>
      </c>
      <c r="N93" s="78">
        <f>IF(ISBLANK(L93),"",IF(AND(C93="Sell",D93="Stock"),M93,IF(ISBLANK(L93),"",IF(C93="Buy",M93, IF(AND(C93="Sell",J93="NA"),(E93*G93*100*0.1)+I93, IF(C93="Sell",(J93-L93)*(100*G93)+I93))))))</f>
        <v/>
      </c>
      <c r="O93" s="75" t="n"/>
      <c r="P93" s="75" t="n"/>
      <c r="Q93" s="75">
        <f>IF(ISBLANK(P93),"",IF(D93="Stock",P93*G93,IF(P93=0,"0",G93*P93*100-(G93*$AF$14))))</f>
        <v/>
      </c>
      <c r="R93" s="79">
        <f>IF(P93&lt;&gt;"", TODAY(), "")</f>
        <v/>
      </c>
      <c r="S93" s="78">
        <f>IF(AND(K93&lt;&gt;"", R93&lt;&gt;""), R93-K93, "")</f>
        <v/>
      </c>
      <c r="T93" s="78" t="n"/>
      <c r="U93" s="92">
        <f>IF(ISBLANK(P93),"",IF(C93="Buy",Q93-M93+T93, IF(C93="Sell",M93-Q93-T93, X)))</f>
        <v/>
      </c>
      <c r="V93" s="81">
        <f>IF(ISBLANK(P93),"",U93/N93)</f>
        <v/>
      </c>
      <c r="W93" s="81">
        <f>IF(ISBLANK(P93),"",IF(S93=0,(365/0.5)*V93,(365/S93)*V93))</f>
        <v/>
      </c>
      <c r="X93" s="75" t="n"/>
      <c r="Y93" s="77" t="n"/>
      <c r="Z93" s="77" t="n"/>
      <c r="AA93" s="75" t="n"/>
      <c r="AB93" s="75" t="n"/>
      <c r="AC93" s="6" t="n"/>
      <c r="AD93" s="75" t="n"/>
      <c r="AE93" s="75" t="n"/>
      <c r="AF93" s="75" t="n"/>
    </row>
    <row r="94" ht="15.75" customHeight="1" s="133">
      <c r="A94" s="75" t="n"/>
      <c r="B94" s="75" t="n"/>
      <c r="C94" s="75" t="n"/>
      <c r="D94" s="75" t="n"/>
      <c r="E94" s="76" t="n"/>
      <c r="F94" s="77" t="n"/>
      <c r="G94" s="75" t="n"/>
      <c r="H94" s="75">
        <f>IF(ISBLANK(E94),"",IF(OR(D94="Butterfly",D94="Butterfly ",D94="Iron Fly", D94="Iron Fly "),LEN(E94)-LEN(SUBSTITUTE(E94,"/",""))+2,LEN(E94)-LEN(SUBSTITUTE(E94,"/",""))+1))</f>
        <v/>
      </c>
      <c r="I94" s="78">
        <f>IF(ISBLANK(G94),"",IF(D94="Stock","0",Key!$A$3*H94*G94))</f>
        <v/>
      </c>
      <c r="J94" s="78">
        <f>IF(ISBLANK(E94),"",IF(ISNUMBER(SEARCH("/",E94)), IF(LEN(E94)-LEN(SUBSTITUTE(E94,"/",""))=1,(RIGHT(E94,LEN(E94)-FIND("/",E94)))-(LEFT(E94,FIND("/",E94)-1)),(MID(E94, SEARCH("/",E94) + 1, SEARCH("/",E94, SEARCH("/",E94)+1) - SEARCH("/",E94) - 1))-(LEFT(E94,FIND("/",E94)-1))), "NA"))</f>
        <v/>
      </c>
      <c r="K94" s="79">
        <f>IF(A94&lt;&gt;"", IF(ISBLANK(L94), TODAY(), K94), "")</f>
        <v/>
      </c>
      <c r="L94" s="78" t="n"/>
      <c r="M94" s="78">
        <f>IF(ISBLANK(L94),"",IF(D94="Stock",IF(C94="Buy",L94*G94,IF(C94="Sell",(L94*G94)-I94, X)),IF(C94="Buy",(L94*G94*100)+I94,IF(C94="Sell",(L94*G94*100)-I94, X))))</f>
        <v/>
      </c>
      <c r="N94" s="78">
        <f>IF(ISBLANK(L94),"",IF(AND(C94="Sell",D94="Stock"),M94,IF(ISBLANK(L94),"",IF(C94="Buy",M94, IF(AND(C94="Sell",J94="NA"),(E94*G94*100*0.1)+I94, IF(C94="Sell",(J94-L94)*(100*G94)+I94))))))</f>
        <v/>
      </c>
      <c r="O94" s="75" t="n"/>
      <c r="P94" s="75" t="n"/>
      <c r="Q94" s="75">
        <f>IF(ISBLANK(P94),"",IF(D94="Stock",P94*G94,IF(P94=0,"0",G94*P94*100-(G94*$AF$14))))</f>
        <v/>
      </c>
      <c r="R94" s="79">
        <f>IF(P94&lt;&gt;"", TODAY(), "")</f>
        <v/>
      </c>
      <c r="S94" s="78">
        <f>IF(AND(K94&lt;&gt;"", R94&lt;&gt;""), R94-K94, "")</f>
        <v/>
      </c>
      <c r="T94" s="78" t="n"/>
      <c r="U94" s="92">
        <f>IF(ISBLANK(P94),"",IF(C94="Buy",Q94-M94+T94, IF(C94="Sell",M94-Q94-T94, X)))</f>
        <v/>
      </c>
      <c r="V94" s="81">
        <f>IF(ISBLANK(P94),"",U94/N94)</f>
        <v/>
      </c>
      <c r="W94" s="81">
        <f>IF(ISBLANK(P94),"",IF(S94=0,(365/0.5)*V94,(365/S94)*V94))</f>
        <v/>
      </c>
      <c r="X94" s="75" t="n"/>
      <c r="Y94" s="77" t="n"/>
      <c r="Z94" s="77" t="n"/>
      <c r="AA94" s="75" t="n"/>
      <c r="AB94" s="75" t="n"/>
      <c r="AC94" s="6" t="n"/>
      <c r="AD94" s="75" t="n"/>
      <c r="AE94" s="75" t="n"/>
      <c r="AF94" s="75" t="n"/>
    </row>
    <row r="95" ht="15.75" customHeight="1" s="133">
      <c r="A95" s="75" t="n"/>
      <c r="B95" s="75" t="n"/>
      <c r="C95" s="75" t="n"/>
      <c r="D95" s="75" t="n"/>
      <c r="E95" s="76" t="n"/>
      <c r="F95" s="77" t="n"/>
      <c r="G95" s="75" t="n"/>
      <c r="H95" s="75">
        <f>IF(ISBLANK(E95),"",IF(OR(D95="Butterfly",D95="Butterfly ",D95="Iron Fly", D95="Iron Fly "),LEN(E95)-LEN(SUBSTITUTE(E95,"/",""))+2,LEN(E95)-LEN(SUBSTITUTE(E95,"/",""))+1))</f>
        <v/>
      </c>
      <c r="I95" s="78">
        <f>IF(ISBLANK(G95),"",IF(D95="Stock","0",Key!$A$3*H95*G95))</f>
        <v/>
      </c>
      <c r="J95" s="78">
        <f>IF(ISBLANK(E95),"",IF(ISNUMBER(SEARCH("/",E95)), IF(LEN(E95)-LEN(SUBSTITUTE(E95,"/",""))=1,(RIGHT(E95,LEN(E95)-FIND("/",E95)))-(LEFT(E95,FIND("/",E95)-1)),(MID(E95, SEARCH("/",E95) + 1, SEARCH("/",E95, SEARCH("/",E95)+1) - SEARCH("/",E95) - 1))-(LEFT(E95,FIND("/",E95)-1))), "NA"))</f>
        <v/>
      </c>
      <c r="K95" s="79">
        <f>IF(A95&lt;&gt;"", IF(ISBLANK(L95), TODAY(), K95), "")</f>
        <v/>
      </c>
      <c r="L95" s="78" t="n"/>
      <c r="M95" s="78">
        <f>IF(ISBLANK(L95),"",IF(D95="Stock",IF(C95="Buy",L95*G95,IF(C95="Sell",(L95*G95)-I95, X)),IF(C95="Buy",(L95*G95*100)+I95,IF(C95="Sell",(L95*G95*100)-I95, X))))</f>
        <v/>
      </c>
      <c r="N95" s="78">
        <f>IF(ISBLANK(L95),"",IF(AND(C95="Sell",D95="Stock"),M95,IF(ISBLANK(L95),"",IF(C95="Buy",M95, IF(AND(C95="Sell",J95="NA"),(E95*G95*100*0.1)+I95, IF(C95="Sell",(J95-L95)*(100*G95)+I95))))))</f>
        <v/>
      </c>
      <c r="O95" s="75" t="n"/>
      <c r="P95" s="75" t="n"/>
      <c r="Q95" s="75">
        <f>IF(ISBLANK(P95),"",IF(D95="Stock",P95*G95,IF(P95=0,"0",G95*P95*100-(G95*$AF$14))))</f>
        <v/>
      </c>
      <c r="R95" s="79">
        <f>IF(P95&lt;&gt;"", TODAY(), "")</f>
        <v/>
      </c>
      <c r="S95" s="78">
        <f>IF(AND(K95&lt;&gt;"", R95&lt;&gt;""), R95-K95, "")</f>
        <v/>
      </c>
      <c r="T95" s="78" t="n"/>
      <c r="U95" s="92">
        <f>IF(ISBLANK(P95),"",IF(C95="Buy",Q95-M95+T95, IF(C95="Sell",M95-Q95-T95, X)))</f>
        <v/>
      </c>
      <c r="V95" s="81">
        <f>IF(ISBLANK(P95),"",U95/N95)</f>
        <v/>
      </c>
      <c r="W95" s="81">
        <f>IF(ISBLANK(P95),"",IF(S95=0,(365/0.5)*V95,(365/S95)*V95))</f>
        <v/>
      </c>
      <c r="X95" s="75" t="n"/>
      <c r="Y95" s="77" t="n"/>
      <c r="Z95" s="77" t="n"/>
      <c r="AA95" s="75" t="n"/>
      <c r="AB95" s="75" t="n"/>
      <c r="AC95" s="6" t="n"/>
      <c r="AD95" s="75" t="n"/>
      <c r="AE95" s="75" t="n"/>
      <c r="AF95" s="75" t="n"/>
    </row>
    <row r="96" ht="15.75" customHeight="1" s="133">
      <c r="A96" s="75" t="n"/>
      <c r="B96" s="75" t="n"/>
      <c r="C96" s="75" t="n"/>
      <c r="D96" s="75" t="n"/>
      <c r="E96" s="76" t="n"/>
      <c r="F96" s="77" t="n"/>
      <c r="G96" s="75" t="n"/>
      <c r="H96" s="75">
        <f>IF(ISBLANK(E96),"",IF(OR(D96="Butterfly",D96="Butterfly ",D96="Iron Fly", D96="Iron Fly "),LEN(E96)-LEN(SUBSTITUTE(E96,"/",""))+2,LEN(E96)-LEN(SUBSTITUTE(E96,"/",""))+1))</f>
        <v/>
      </c>
      <c r="I96" s="78">
        <f>IF(ISBLANK(G96),"",IF(D96="Stock","0",Key!$A$3*H96*G96))</f>
        <v/>
      </c>
      <c r="J96" s="78">
        <f>IF(ISBLANK(E96),"",IF(ISNUMBER(SEARCH("/",E96)), IF(LEN(E96)-LEN(SUBSTITUTE(E96,"/",""))=1,(RIGHT(E96,LEN(E96)-FIND("/",E96)))-(LEFT(E96,FIND("/",E96)-1)),(MID(E96, SEARCH("/",E96) + 1, SEARCH("/",E96, SEARCH("/",E96)+1) - SEARCH("/",E96) - 1))-(LEFT(E96,FIND("/",E96)-1))), "NA"))</f>
        <v/>
      </c>
      <c r="K96" s="79">
        <f>IF(A96&lt;&gt;"", IF(ISBLANK(L96), TODAY(), K96), "")</f>
        <v/>
      </c>
      <c r="L96" s="78" t="n"/>
      <c r="M96" s="78">
        <f>IF(ISBLANK(L96),"",IF(D96="Stock",IF(C96="Buy",L96*G96,IF(C96="Sell",(L96*G96)-I96, X)),IF(C96="Buy",(L96*G96*100)+I96,IF(C96="Sell",(L96*G96*100)-I96, X))))</f>
        <v/>
      </c>
      <c r="N96" s="78">
        <f>IF(ISBLANK(L96),"",IF(AND(C96="Sell",D96="Stock"),M96,IF(ISBLANK(L96),"",IF(C96="Buy",M96, IF(AND(C96="Sell",J96="NA"),(E96*G96*100*0.1)+I96, IF(C96="Sell",(J96-L96)*(100*G96)+I96))))))</f>
        <v/>
      </c>
      <c r="O96" s="75" t="n"/>
      <c r="P96" s="75" t="n"/>
      <c r="Q96" s="75">
        <f>IF(ISBLANK(P96),"",IF(D96="Stock",P96*G96,IF(P96=0,"0",G96*P96*100-(G96*$AF$14))))</f>
        <v/>
      </c>
      <c r="R96" s="79">
        <f>IF(P96&lt;&gt;"", TODAY(), "")</f>
        <v/>
      </c>
      <c r="S96" s="78">
        <f>IF(AND(K96&lt;&gt;"", R96&lt;&gt;""), R96-K96, "")</f>
        <v/>
      </c>
      <c r="T96" s="78" t="n"/>
      <c r="U96" s="92">
        <f>IF(ISBLANK(P96),"",IF(C96="Buy",Q96-M96+T96, IF(C96="Sell",M96-Q96-T96, X)))</f>
        <v/>
      </c>
      <c r="V96" s="81">
        <f>IF(ISBLANK(P96),"",U96/N96)</f>
        <v/>
      </c>
      <c r="W96" s="81">
        <f>IF(ISBLANK(P96),"",IF(S96=0,(365/0.5)*V96,(365/S96)*V96))</f>
        <v/>
      </c>
      <c r="X96" s="75" t="n"/>
      <c r="Y96" s="77" t="n"/>
      <c r="Z96" s="77" t="n"/>
      <c r="AA96" s="75" t="n"/>
      <c r="AB96" s="75" t="n"/>
      <c r="AC96" s="6" t="n"/>
      <c r="AD96" s="75" t="n"/>
      <c r="AE96" s="75" t="n"/>
      <c r="AF96" s="75" t="n"/>
    </row>
    <row r="97" ht="15.75" customHeight="1" s="133">
      <c r="A97" s="75" t="n"/>
      <c r="B97" s="75" t="n"/>
      <c r="C97" s="75" t="n"/>
      <c r="D97" s="75" t="n"/>
      <c r="E97" s="76" t="n"/>
      <c r="F97" s="77" t="n"/>
      <c r="G97" s="75" t="n"/>
      <c r="H97" s="75">
        <f>IF(ISBLANK(E97),"",IF(OR(D97="Butterfly",D97="Butterfly ",D97="Iron Fly", D97="Iron Fly "),LEN(E97)-LEN(SUBSTITUTE(E97,"/",""))+2,LEN(E97)-LEN(SUBSTITUTE(E97,"/",""))+1))</f>
        <v/>
      </c>
      <c r="I97" s="78">
        <f>IF(ISBLANK(G97),"",IF(D97="Stock","0",Key!$A$3*H97*G97))</f>
        <v/>
      </c>
      <c r="J97" s="78">
        <f>IF(ISBLANK(E97),"",IF(ISNUMBER(SEARCH("/",E97)), IF(LEN(E97)-LEN(SUBSTITUTE(E97,"/",""))=1,(RIGHT(E97,LEN(E97)-FIND("/",E97)))-(LEFT(E97,FIND("/",E97)-1)),(MID(E97, SEARCH("/",E97) + 1, SEARCH("/",E97, SEARCH("/",E97)+1) - SEARCH("/",E97) - 1))-(LEFT(E97,FIND("/",E97)-1))), "NA"))</f>
        <v/>
      </c>
      <c r="K97" s="79">
        <f>IF(A97&lt;&gt;"", IF(ISBLANK(L97), TODAY(), K97), "")</f>
        <v/>
      </c>
      <c r="L97" s="78" t="n"/>
      <c r="M97" s="78">
        <f>IF(ISBLANK(L97),"",IF(D97="Stock",IF(C97="Buy",L97*G97,IF(C97="Sell",(L97*G97)-I97, X)),IF(C97="Buy",(L97*G97*100)+I97,IF(C97="Sell",(L97*G97*100)-I97, X))))</f>
        <v/>
      </c>
      <c r="N97" s="78">
        <f>IF(ISBLANK(L97),"",IF(AND(C97="Sell",D97="Stock"),M97,IF(ISBLANK(L97),"",IF(C97="Buy",M97, IF(AND(C97="Sell",J97="NA"),(E97*G97*100*0.1)+I97, IF(C97="Sell",(J97-L97)*(100*G97)+I97))))))</f>
        <v/>
      </c>
      <c r="O97" s="75" t="n"/>
      <c r="P97" s="75" t="n"/>
      <c r="Q97" s="75">
        <f>IF(ISBLANK(P97),"",IF(D97="Stock",P97*G97,IF(P97=0,"0",G97*P97*100-(G97*$AF$14))))</f>
        <v/>
      </c>
      <c r="R97" s="79">
        <f>IF(P97&lt;&gt;"", TODAY(), "")</f>
        <v/>
      </c>
      <c r="S97" s="78">
        <f>IF(AND(K97&lt;&gt;"", R97&lt;&gt;""), R97-K97, "")</f>
        <v/>
      </c>
      <c r="T97" s="78" t="n"/>
      <c r="U97" s="92">
        <f>IF(ISBLANK(P97),"",IF(C97="Buy",Q97-M97+T97, IF(C97="Sell",M97-Q97-T97, X)))</f>
        <v/>
      </c>
      <c r="V97" s="81">
        <f>IF(ISBLANK(P97),"",U97/N97)</f>
        <v/>
      </c>
      <c r="W97" s="81">
        <f>IF(ISBLANK(P97),"",IF(S97=0,(365/0.5)*V97,(365/S97)*V97))</f>
        <v/>
      </c>
      <c r="X97" s="75" t="n"/>
      <c r="Y97" s="77" t="n"/>
      <c r="Z97" s="77" t="n"/>
      <c r="AA97" s="75" t="n"/>
      <c r="AB97" s="75" t="n"/>
      <c r="AC97" s="6" t="n"/>
      <c r="AD97" s="75" t="n"/>
      <c r="AE97" s="75" t="n"/>
      <c r="AF97" s="75" t="n"/>
    </row>
    <row r="98" ht="15.75" customHeight="1" s="133">
      <c r="A98" s="75" t="n"/>
      <c r="B98" s="75" t="n"/>
      <c r="C98" s="75" t="n"/>
      <c r="D98" s="75" t="n"/>
      <c r="E98" s="76" t="n"/>
      <c r="F98" s="77" t="n"/>
      <c r="G98" s="75" t="n"/>
      <c r="H98" s="75">
        <f>IF(ISBLANK(E98),"",IF(OR(D98="Butterfly",D98="Butterfly ",D98="Iron Fly", D98="Iron Fly "),LEN(E98)-LEN(SUBSTITUTE(E98,"/",""))+2,LEN(E98)-LEN(SUBSTITUTE(E98,"/",""))+1))</f>
        <v/>
      </c>
      <c r="I98" s="78">
        <f>IF(ISBLANK(G98),"",IF(D98="Stock","0",Key!$A$3*H98*G98))</f>
        <v/>
      </c>
      <c r="J98" s="78">
        <f>IF(ISBLANK(E98),"",IF(ISNUMBER(SEARCH("/",E98)), IF(LEN(E98)-LEN(SUBSTITUTE(E98,"/",""))=1,(RIGHT(E98,LEN(E98)-FIND("/",E98)))-(LEFT(E98,FIND("/",E98)-1)),(MID(E98, SEARCH("/",E98) + 1, SEARCH("/",E98, SEARCH("/",E98)+1) - SEARCH("/",E98) - 1))-(LEFT(E98,FIND("/",E98)-1))), "NA"))</f>
        <v/>
      </c>
      <c r="K98" s="79">
        <f>IF(A98&lt;&gt;"", IF(ISBLANK(L98), TODAY(), K98), "")</f>
        <v/>
      </c>
      <c r="L98" s="78" t="n"/>
      <c r="M98" s="78">
        <f>IF(ISBLANK(L98),"",IF(D98="Stock",IF(C98="Buy",L98*G98,IF(C98="Sell",(L98*G98)-I98, X)),IF(C98="Buy",(L98*G98*100)+I98,IF(C98="Sell",(L98*G98*100)-I98, X))))</f>
        <v/>
      </c>
      <c r="N98" s="78">
        <f>IF(ISBLANK(L98),"",IF(AND(C98="Sell",D98="Stock"),M98,IF(ISBLANK(L98),"",IF(C98="Buy",M98, IF(AND(C98="Sell",J98="NA"),(E98*G98*100*0.1)+I98, IF(C98="Sell",(J98-L98)*(100*G98)+I98))))))</f>
        <v/>
      </c>
      <c r="O98" s="75" t="n"/>
      <c r="P98" s="75" t="n"/>
      <c r="Q98" s="75">
        <f>IF(ISBLANK(P98),"",IF(D98="Stock",P98*G98,IF(P98=0,"0",G98*P98*100-(G98*$AF$14))))</f>
        <v/>
      </c>
      <c r="R98" s="79">
        <f>IF(P98&lt;&gt;"", TODAY(), "")</f>
        <v/>
      </c>
      <c r="S98" s="78">
        <f>IF(AND(K98&lt;&gt;"", R98&lt;&gt;""), R98-K98, "")</f>
        <v/>
      </c>
      <c r="T98" s="78" t="n"/>
      <c r="U98" s="92">
        <f>IF(ISBLANK(P98),"",IF(C98="Buy",Q98-M98+T98, IF(C98="Sell",M98-Q98-T98, X)))</f>
        <v/>
      </c>
      <c r="V98" s="81">
        <f>IF(ISBLANK(P98),"",U98/N98)</f>
        <v/>
      </c>
      <c r="W98" s="81">
        <f>IF(ISBLANK(P98),"",IF(S98=0,(365/0.5)*V98,(365/S98)*V98))</f>
        <v/>
      </c>
      <c r="X98" s="75" t="n"/>
      <c r="Y98" s="77" t="n"/>
      <c r="Z98" s="77" t="n"/>
      <c r="AA98" s="75" t="n"/>
      <c r="AB98" s="75" t="n"/>
      <c r="AC98" s="6" t="n"/>
      <c r="AD98" s="75" t="n"/>
      <c r="AE98" s="75" t="n"/>
      <c r="AF98" s="75" t="n"/>
    </row>
    <row r="99" ht="15.75" customHeight="1" s="133">
      <c r="A99" s="75" t="n"/>
      <c r="B99" s="75" t="n"/>
      <c r="C99" s="75" t="n"/>
      <c r="D99" s="75" t="n"/>
      <c r="E99" s="76" t="n"/>
      <c r="F99" s="77" t="n"/>
      <c r="G99" s="75" t="n"/>
      <c r="H99" s="75">
        <f>IF(ISBLANK(E99),"",IF(OR(D99="Butterfly",D99="Butterfly ",D99="Iron Fly", D99="Iron Fly "),LEN(E99)-LEN(SUBSTITUTE(E99,"/",""))+2,LEN(E99)-LEN(SUBSTITUTE(E99,"/",""))+1))</f>
        <v/>
      </c>
      <c r="I99" s="78">
        <f>IF(ISBLANK(G99),"",IF(D99="Stock","0",Key!$A$3*H99*G99))</f>
        <v/>
      </c>
      <c r="J99" s="78">
        <f>IF(ISBLANK(E99),"",IF(ISNUMBER(SEARCH("/",E99)), IF(LEN(E99)-LEN(SUBSTITUTE(E99,"/",""))=1,(RIGHT(E99,LEN(E99)-FIND("/",E99)))-(LEFT(E99,FIND("/",E99)-1)),(MID(E99, SEARCH("/",E99) + 1, SEARCH("/",E99, SEARCH("/",E99)+1) - SEARCH("/",E99) - 1))-(LEFT(E99,FIND("/",E99)-1))), "NA"))</f>
        <v/>
      </c>
      <c r="K99" s="79">
        <f>IF(A99&lt;&gt;"", IF(ISBLANK(L99), TODAY(), K99), "")</f>
        <v/>
      </c>
      <c r="L99" s="78" t="n"/>
      <c r="M99" s="78">
        <f>IF(ISBLANK(L99),"",IF(D99="Stock",IF(C99="Buy",L99*G99,IF(C99="Sell",(L99*G99)-I99, X)),IF(C99="Buy",(L99*G99*100)+I99,IF(C99="Sell",(L99*G99*100)-I99, X))))</f>
        <v/>
      </c>
      <c r="N99" s="78">
        <f>IF(ISBLANK(L99),"",IF(AND(C99="Sell",D99="Stock"),M99,IF(ISBLANK(L99),"",IF(C99="Buy",M99, IF(AND(C99="Sell",J99="NA"),(E99*G99*100*0.1)+I99, IF(C99="Sell",(J99-L99)*(100*G99)+I99))))))</f>
        <v/>
      </c>
      <c r="O99" s="75" t="n"/>
      <c r="P99" s="75" t="n"/>
      <c r="Q99" s="75">
        <f>IF(ISBLANK(P99),"",IF(D99="Stock",P99*G99,IF(P99=0,"0",G99*P99*100-(G99*$AF$14))))</f>
        <v/>
      </c>
      <c r="R99" s="79">
        <f>IF(P99&lt;&gt;"", TODAY(), "")</f>
        <v/>
      </c>
      <c r="S99" s="78">
        <f>IF(AND(K99&lt;&gt;"", R99&lt;&gt;""), R99-K99, "")</f>
        <v/>
      </c>
      <c r="T99" s="78" t="n"/>
      <c r="U99" s="92">
        <f>IF(ISBLANK(P99),"",IF(C99="Buy",Q99-M99+T99, IF(C99="Sell",M99-Q99-T99, X)))</f>
        <v/>
      </c>
      <c r="V99" s="81">
        <f>IF(ISBLANK(P99),"",U99/N99)</f>
        <v/>
      </c>
      <c r="W99" s="81">
        <f>IF(ISBLANK(P99),"",IF(S99=0,(365/0.5)*V99,(365/S99)*V99))</f>
        <v/>
      </c>
      <c r="X99" s="75" t="n"/>
      <c r="Y99" s="77" t="n"/>
      <c r="Z99" s="77" t="n"/>
      <c r="AA99" s="75" t="n"/>
      <c r="AB99" s="75" t="n"/>
      <c r="AC99" s="6" t="n"/>
      <c r="AD99" s="75" t="n"/>
      <c r="AE99" s="75" t="n"/>
      <c r="AF99" s="75" t="n"/>
    </row>
    <row r="100" ht="15.75" customHeight="1" s="133">
      <c r="A100" s="75" t="n"/>
      <c r="B100" s="75" t="n"/>
      <c r="C100" s="75" t="n"/>
      <c r="D100" s="75" t="n"/>
      <c r="E100" s="76" t="n"/>
      <c r="F100" s="77" t="n"/>
      <c r="G100" s="75" t="n"/>
      <c r="H100" s="75">
        <f>IF(ISBLANK(E100),"",IF(OR(D100="Butterfly",D100="Butterfly ",D100="Iron Fly", D100="Iron Fly "),LEN(E100)-LEN(SUBSTITUTE(E100,"/",""))+2,LEN(E100)-LEN(SUBSTITUTE(E100,"/",""))+1))</f>
        <v/>
      </c>
      <c r="I100" s="78">
        <f>IF(ISBLANK(G100),"",IF(D100="Stock","0",Key!$A$3*H100*G100))</f>
        <v/>
      </c>
      <c r="J100" s="78">
        <f>IF(ISBLANK(E100),"",IF(ISNUMBER(SEARCH("/",E100)), IF(LEN(E100)-LEN(SUBSTITUTE(E100,"/",""))=1,(RIGHT(E100,LEN(E100)-FIND("/",E100)))-(LEFT(E100,FIND("/",E100)-1)),(MID(E100, SEARCH("/",E100) + 1, SEARCH("/",E100, SEARCH("/",E100)+1) - SEARCH("/",E100) - 1))-(LEFT(E100,FIND("/",E100)-1))), "NA"))</f>
        <v/>
      </c>
      <c r="K100" s="79">
        <f>IF(A100&lt;&gt;"", IF(ISBLANK(L100), TODAY(), K100), "")</f>
        <v/>
      </c>
      <c r="L100" s="78" t="n"/>
      <c r="M100" s="78">
        <f>IF(ISBLANK(L100),"",IF(D100="Stock",IF(C100="Buy",L100*G100,IF(C100="Sell",(L100*G100)-I100, X)),IF(C100="Buy",(L100*G100*100)+I100,IF(C100="Sell",(L100*G100*100)-I100, X))))</f>
        <v/>
      </c>
      <c r="N100" s="78">
        <f>IF(ISBLANK(L100),"",IF(AND(C100="Sell",D100="Stock"),M100,IF(ISBLANK(L100),"",IF(C100="Buy",M100, IF(AND(C100="Sell",J100="NA"),(E100*G100*100*0.1)+I100, IF(C100="Sell",(J100-L100)*(100*G100)+I100))))))</f>
        <v/>
      </c>
      <c r="O100" s="75" t="n"/>
      <c r="P100" s="75" t="n"/>
      <c r="Q100" s="75">
        <f>IF(ISBLANK(P100),"",IF(D100="Stock",P100*G100,IF(P100=0,"0",G100*P100*100-(G100*$AF$14))))</f>
        <v/>
      </c>
      <c r="R100" s="79">
        <f>IF(P100&lt;&gt;"", TODAY(), "")</f>
        <v/>
      </c>
      <c r="S100" s="78">
        <f>IF(AND(K100&lt;&gt;"", R100&lt;&gt;""), R100-K100, "")</f>
        <v/>
      </c>
      <c r="T100" s="78" t="n"/>
      <c r="U100" s="92">
        <f>IF(ISBLANK(P100),"",IF(C100="Buy",Q100-M100+T100, IF(C100="Sell",M100-Q100-T100, X)))</f>
        <v/>
      </c>
      <c r="V100" s="81">
        <f>IF(ISBLANK(P100),"",U100/N100)</f>
        <v/>
      </c>
      <c r="W100" s="81">
        <f>IF(ISBLANK(P100),"",IF(S100=0,(365/0.5)*V100,(365/S100)*V100))</f>
        <v/>
      </c>
      <c r="X100" s="75" t="n"/>
      <c r="Y100" s="77" t="n"/>
      <c r="Z100" s="77" t="n"/>
      <c r="AA100" s="75" t="n"/>
      <c r="AB100" s="75" t="n"/>
      <c r="AC100" s="6" t="n"/>
      <c r="AD100" s="75" t="n"/>
      <c r="AE100" s="75" t="n"/>
      <c r="AF100" s="75" t="n"/>
    </row>
    <row r="101" ht="15.75" customHeight="1" s="133">
      <c r="A101" s="75" t="n"/>
      <c r="B101" s="75" t="n"/>
      <c r="C101" s="75" t="n"/>
      <c r="D101" s="75" t="n"/>
      <c r="E101" s="76" t="n"/>
      <c r="F101" s="77" t="n"/>
      <c r="G101" s="75" t="n"/>
      <c r="H101" s="75">
        <f>IF(ISBLANK(E101),"",IF(OR(D101="Butterfly",D101="Butterfly ",D101="Iron Fly", D101="Iron Fly "),LEN(E101)-LEN(SUBSTITUTE(E101,"/",""))+2,LEN(E101)-LEN(SUBSTITUTE(E101,"/",""))+1))</f>
        <v/>
      </c>
      <c r="I101" s="78">
        <f>IF(ISBLANK(G101),"",IF(D101="Stock","0",Key!$A$3*H101*G101))</f>
        <v/>
      </c>
      <c r="J101" s="78">
        <f>IF(ISBLANK(E101),"",IF(ISNUMBER(SEARCH("/",E101)), IF(LEN(E101)-LEN(SUBSTITUTE(E101,"/",""))=1,(RIGHT(E101,LEN(E101)-FIND("/",E101)))-(LEFT(E101,FIND("/",E101)-1)),(MID(E101, SEARCH("/",E101) + 1, SEARCH("/",E101, SEARCH("/",E101)+1) - SEARCH("/",E101) - 1))-(LEFT(E101,FIND("/",E101)-1))), "NA"))</f>
        <v/>
      </c>
      <c r="K101" s="79">
        <f>IF(A101&lt;&gt;"", IF(ISBLANK(L101), TODAY(), K101), "")</f>
        <v/>
      </c>
      <c r="L101" s="78" t="n"/>
      <c r="M101" s="78">
        <f>IF(ISBLANK(L101),"",IF(D101="Stock",IF(C101="Buy",L101*G101,IF(C101="Sell",(L101*G101)-I101, X)),IF(C101="Buy",(L101*G101*100)+I101,IF(C101="Sell",(L101*G101*100)-I101, X))))</f>
        <v/>
      </c>
      <c r="N101" s="78">
        <f>IF(ISBLANK(L101),"",IF(AND(C101="Sell",D101="Stock"),M101,IF(ISBLANK(L101),"",IF(C101="Buy",M101, IF(AND(C101="Sell",J101="NA"),(E101*G101*100*0.1)+I101, IF(C101="Sell",(J101-L101)*(100*G101)+I101))))))</f>
        <v/>
      </c>
      <c r="O101" s="75" t="n"/>
      <c r="P101" s="75" t="n"/>
      <c r="Q101" s="75">
        <f>IF(ISBLANK(P101),"",IF(D101="Stock",P101*G101,IF(P101=0,"0",G101*P101*100-(G101*$AF$14))))</f>
        <v/>
      </c>
      <c r="R101" s="79">
        <f>IF(P101&lt;&gt;"", TODAY(), "")</f>
        <v/>
      </c>
      <c r="S101" s="78">
        <f>IF(AND(K101&lt;&gt;"", R101&lt;&gt;""), R101-K101, "")</f>
        <v/>
      </c>
      <c r="T101" s="78" t="n"/>
      <c r="U101" s="92">
        <f>IF(ISBLANK(P101),"",IF(C101="Buy",Q101-M101+T101, IF(C101="Sell",M101-Q101-T101, X)))</f>
        <v/>
      </c>
      <c r="V101" s="81">
        <f>IF(ISBLANK(P101),"",U101/N101)</f>
        <v/>
      </c>
      <c r="W101" s="81">
        <f>IF(ISBLANK(P101),"",IF(S101=0,(365/0.5)*V101,(365/S101)*V101))</f>
        <v/>
      </c>
      <c r="X101" s="75" t="n"/>
      <c r="Y101" s="77" t="n"/>
      <c r="Z101" s="77" t="n"/>
      <c r="AA101" s="75" t="n"/>
      <c r="AB101" s="75" t="n"/>
      <c r="AC101" s="6" t="n"/>
      <c r="AD101" s="75" t="n"/>
      <c r="AE101" s="75" t="n"/>
      <c r="AF101" s="75" t="n"/>
    </row>
    <row r="102" ht="15.75" customHeight="1" s="133">
      <c r="A102" s="75" t="n"/>
      <c r="B102" s="75" t="n"/>
      <c r="C102" s="75" t="n"/>
      <c r="D102" s="75" t="n"/>
      <c r="E102" s="76" t="n"/>
      <c r="F102" s="77" t="n"/>
      <c r="G102" s="75" t="n"/>
      <c r="H102" s="75">
        <f>IF(ISBLANK(E102),"",IF(OR(D102="Butterfly",D102="Butterfly ",D102="Iron Fly", D102="Iron Fly "),LEN(E102)-LEN(SUBSTITUTE(E102,"/",""))+2,LEN(E102)-LEN(SUBSTITUTE(E102,"/",""))+1))</f>
        <v/>
      </c>
      <c r="I102" s="78">
        <f>IF(ISBLANK(G102),"",IF(D102="Stock","0",Key!$A$3*H102*G102))</f>
        <v/>
      </c>
      <c r="J102" s="78">
        <f>IF(ISBLANK(E102),"",IF(ISNUMBER(SEARCH("/",E102)), IF(LEN(E102)-LEN(SUBSTITUTE(E102,"/",""))=1,(RIGHT(E102,LEN(E102)-FIND("/",E102)))-(LEFT(E102,FIND("/",E102)-1)),(MID(E102, SEARCH("/",E102) + 1, SEARCH("/",E102, SEARCH("/",E102)+1) - SEARCH("/",E102) - 1))-(LEFT(E102,FIND("/",E102)-1))), "NA"))</f>
        <v/>
      </c>
      <c r="K102" s="79">
        <f>IF(A102&lt;&gt;"", IF(ISBLANK(L102), TODAY(), K102), "")</f>
        <v/>
      </c>
      <c r="L102" s="78" t="n"/>
      <c r="M102" s="78">
        <f>IF(ISBLANK(L102),"",IF(D102="Stock",IF(C102="Buy",L102*G102,IF(C102="Sell",(L102*G102)-I102, X)),IF(C102="Buy",(L102*G102*100)+I102,IF(C102="Sell",(L102*G102*100)-I102, X))))</f>
        <v/>
      </c>
      <c r="N102" s="78">
        <f>IF(ISBLANK(L102),"",IF(AND(C102="Sell",D102="Stock"),M102,IF(ISBLANK(L102),"",IF(C102="Buy",M102, IF(AND(C102="Sell",J102="NA"),(E102*G102*100*0.1)+I102, IF(C102="Sell",(J102-L102)*(100*G102)+I102))))))</f>
        <v/>
      </c>
      <c r="O102" s="75" t="n"/>
      <c r="P102" s="75" t="n"/>
      <c r="Q102" s="75">
        <f>IF(ISBLANK(P102),"",IF(D102="Stock",P102*G102,IF(P102=0,"0",G102*P102*100-(G102*$AF$14))))</f>
        <v/>
      </c>
      <c r="R102" s="79">
        <f>IF(P102&lt;&gt;"", TODAY(), "")</f>
        <v/>
      </c>
      <c r="S102" s="78">
        <f>IF(AND(K102&lt;&gt;"", R102&lt;&gt;""), R102-K102, "")</f>
        <v/>
      </c>
      <c r="T102" s="78" t="n"/>
      <c r="U102" s="92">
        <f>IF(ISBLANK(P102),"",IF(C102="Buy",Q102-M102+T102, IF(C102="Sell",M102-Q102-T102, X)))</f>
        <v/>
      </c>
      <c r="V102" s="81">
        <f>IF(ISBLANK(P102),"",U102/N102)</f>
        <v/>
      </c>
      <c r="W102" s="81">
        <f>IF(ISBLANK(P102),"",IF(S102=0,(365/0.5)*V102,(365/S102)*V102))</f>
        <v/>
      </c>
      <c r="X102" s="75" t="n"/>
      <c r="Y102" s="77" t="n"/>
      <c r="Z102" s="77" t="n"/>
      <c r="AA102" s="75" t="n"/>
      <c r="AB102" s="75" t="n"/>
      <c r="AC102" s="6" t="n"/>
      <c r="AD102" s="75" t="n"/>
      <c r="AE102" s="75" t="n"/>
      <c r="AF102" s="75" t="n"/>
    </row>
    <row r="103" ht="15.75" customHeight="1" s="133">
      <c r="A103" s="75" t="n"/>
      <c r="B103" s="75" t="n"/>
      <c r="C103" s="75" t="n"/>
      <c r="D103" s="75" t="n"/>
      <c r="E103" s="76" t="n"/>
      <c r="F103" s="77" t="n"/>
      <c r="G103" s="75" t="n"/>
      <c r="H103" s="75">
        <f>IF(ISBLANK(E103),"",IF(OR(D103="Butterfly",D103="Butterfly ",D103="Iron Fly", D103="Iron Fly "),LEN(E103)-LEN(SUBSTITUTE(E103,"/",""))+2,LEN(E103)-LEN(SUBSTITUTE(E103,"/",""))+1))</f>
        <v/>
      </c>
      <c r="I103" s="78">
        <f>IF(ISBLANK(G103),"",IF(D103="Stock","0",Key!$A$3*H103*G103))</f>
        <v/>
      </c>
      <c r="J103" s="78">
        <f>IF(ISBLANK(E103),"",IF(ISNUMBER(SEARCH("/",E103)), IF(LEN(E103)-LEN(SUBSTITUTE(E103,"/",""))=1,(RIGHT(E103,LEN(E103)-FIND("/",E103)))-(LEFT(E103,FIND("/",E103)-1)),(MID(E103, SEARCH("/",E103) + 1, SEARCH("/",E103, SEARCH("/",E103)+1) - SEARCH("/",E103) - 1))-(LEFT(E103,FIND("/",E103)-1))), "NA"))</f>
        <v/>
      </c>
      <c r="K103" s="79">
        <f>IF(A103&lt;&gt;"", IF(ISBLANK(L103), TODAY(), K103), "")</f>
        <v/>
      </c>
      <c r="L103" s="78" t="n"/>
      <c r="M103" s="78">
        <f>IF(ISBLANK(L103),"",IF(D103="Stock",IF(C103="Buy",L103*G103,IF(C103="Sell",(L103*G103)-I103, X)),IF(C103="Buy",(L103*G103*100)+I103,IF(C103="Sell",(L103*G103*100)-I103, X))))</f>
        <v/>
      </c>
      <c r="N103" s="78">
        <f>IF(ISBLANK(L103),"",IF(AND(C103="Sell",D103="Stock"),M103,IF(ISBLANK(L103),"",IF(C103="Buy",M103, IF(AND(C103="Sell",J103="NA"),(E103*G103*100*0.1)+I103, IF(C103="Sell",(J103-L103)*(100*G103)+I103))))))</f>
        <v/>
      </c>
      <c r="O103" s="75" t="n"/>
      <c r="P103" s="75" t="n"/>
      <c r="Q103" s="75">
        <f>IF(ISBLANK(P103),"",IF(D103="Stock",P103*G103,IF(P103=0,"0",G103*P103*100-(G103*$AF$14))))</f>
        <v/>
      </c>
      <c r="R103" s="79">
        <f>IF(P103&lt;&gt;"", TODAY(), "")</f>
        <v/>
      </c>
      <c r="S103" s="78">
        <f>IF(AND(K103&lt;&gt;"", R103&lt;&gt;""), R103-K103, "")</f>
        <v/>
      </c>
      <c r="T103" s="78" t="n"/>
      <c r="U103" s="92">
        <f>IF(ISBLANK(P103),"",IF(C103="Buy",Q103-M103+T103, IF(C103="Sell",M103-Q103-T103, X)))</f>
        <v/>
      </c>
      <c r="V103" s="81">
        <f>IF(ISBLANK(P103),"",U103/N103)</f>
        <v/>
      </c>
      <c r="W103" s="81">
        <f>IF(ISBLANK(P103),"",IF(S103=0,(365/0.5)*V103,(365/S103)*V103))</f>
        <v/>
      </c>
      <c r="X103" s="75" t="n"/>
      <c r="Y103" s="77" t="n"/>
      <c r="Z103" s="77" t="n"/>
      <c r="AA103" s="75" t="n"/>
      <c r="AB103" s="75" t="n"/>
      <c r="AC103" s="6" t="n"/>
      <c r="AD103" s="75" t="n"/>
      <c r="AE103" s="75" t="n"/>
      <c r="AF103" s="75" t="n"/>
    </row>
    <row r="104" ht="15.75" customHeight="1" s="133">
      <c r="A104" s="75" t="n"/>
      <c r="B104" s="75" t="n"/>
      <c r="C104" s="75" t="n"/>
      <c r="D104" s="75" t="n"/>
      <c r="E104" s="76" t="n"/>
      <c r="F104" s="77" t="n"/>
      <c r="G104" s="75" t="n"/>
      <c r="H104" s="75">
        <f>IF(ISBLANK(E104),"",IF(OR(D104="Butterfly",D104="Butterfly ",D104="Iron Fly", D104="Iron Fly "),LEN(E104)-LEN(SUBSTITUTE(E104,"/",""))+2,LEN(E104)-LEN(SUBSTITUTE(E104,"/",""))+1))</f>
        <v/>
      </c>
      <c r="I104" s="78">
        <f>IF(ISBLANK(G104),"",IF(D104="Stock","0",Key!$A$3*H104*G104))</f>
        <v/>
      </c>
      <c r="J104" s="78">
        <f>IF(ISBLANK(E104),"",IF(ISNUMBER(SEARCH("/",E104)), IF(LEN(E104)-LEN(SUBSTITUTE(E104,"/",""))=1,(RIGHT(E104,LEN(E104)-FIND("/",E104)))-(LEFT(E104,FIND("/",E104)-1)),(MID(E104, SEARCH("/",E104) + 1, SEARCH("/",E104, SEARCH("/",E104)+1) - SEARCH("/",E104) - 1))-(LEFT(E104,FIND("/",E104)-1))), "NA"))</f>
        <v/>
      </c>
      <c r="K104" s="79">
        <f>IF(A104&lt;&gt;"", IF(ISBLANK(L104), TODAY(), K104), "")</f>
        <v/>
      </c>
      <c r="L104" s="78" t="n"/>
      <c r="M104" s="78">
        <f>IF(ISBLANK(L104),"",IF(D104="Stock",IF(C104="Buy",L104*G104,IF(C104="Sell",(L104*G104)-I104, X)),IF(C104="Buy",(L104*G104*100)+I104,IF(C104="Sell",(L104*G104*100)-I104, X))))</f>
        <v/>
      </c>
      <c r="N104" s="78">
        <f>IF(ISBLANK(L104),"",IF(AND(C104="Sell",D104="Stock"),M104,IF(ISBLANK(L104),"",IF(C104="Buy",M104, IF(AND(C104="Sell",J104="NA"),(E104*G104*100*0.1)+I104, IF(C104="Sell",(J104-L104)*(100*G104)+I104))))))</f>
        <v/>
      </c>
      <c r="O104" s="75" t="n"/>
      <c r="P104" s="75" t="n"/>
      <c r="Q104" s="75">
        <f>IF(ISBLANK(P104),"",IF(D104="Stock",P104*G104,IF(P104=0,"0",G104*P104*100-(G104*$AF$14))))</f>
        <v/>
      </c>
      <c r="R104" s="79">
        <f>IF(P104&lt;&gt;"", TODAY(), "")</f>
        <v/>
      </c>
      <c r="S104" s="78">
        <f>IF(AND(K104&lt;&gt;"", R104&lt;&gt;""), R104-K104, "")</f>
        <v/>
      </c>
      <c r="T104" s="78" t="n"/>
      <c r="U104" s="92">
        <f>IF(ISBLANK(P104),"",IF(C104="Buy",Q104-M104+T104, IF(C104="Sell",M104-Q104-T104, X)))</f>
        <v/>
      </c>
      <c r="V104" s="81">
        <f>IF(ISBLANK(P104),"",U104/N104)</f>
        <v/>
      </c>
      <c r="W104" s="81">
        <f>IF(ISBLANK(P104),"",IF(S104=0,(365/0.5)*V104,(365/S104)*V104))</f>
        <v/>
      </c>
      <c r="X104" s="75" t="n"/>
      <c r="Y104" s="77" t="n"/>
      <c r="Z104" s="77" t="n"/>
      <c r="AA104" s="75" t="n"/>
      <c r="AB104" s="75" t="n"/>
      <c r="AC104" s="6" t="n"/>
      <c r="AD104" s="75" t="n"/>
      <c r="AE104" s="75" t="n"/>
      <c r="AF104" s="75" t="n"/>
    </row>
    <row r="105" ht="15.75" customHeight="1" s="133">
      <c r="A105" s="75" t="n"/>
      <c r="B105" s="75" t="n"/>
      <c r="C105" s="75" t="n"/>
      <c r="D105" s="75" t="n"/>
      <c r="E105" s="76" t="n"/>
      <c r="F105" s="77" t="n"/>
      <c r="G105" s="75" t="n"/>
      <c r="H105" s="75">
        <f>IF(ISBLANK(E105),"",IF(OR(D105="Butterfly",D105="Butterfly ",D105="Iron Fly", D105="Iron Fly "),LEN(E105)-LEN(SUBSTITUTE(E105,"/",""))+2,LEN(E105)-LEN(SUBSTITUTE(E105,"/",""))+1))</f>
        <v/>
      </c>
      <c r="I105" s="78">
        <f>IF(ISBLANK(G105),"",IF(D105="Stock","0",Key!$A$3*H105*G105))</f>
        <v/>
      </c>
      <c r="J105" s="78">
        <f>IF(ISBLANK(E105),"",IF(ISNUMBER(SEARCH("/",E105)), IF(LEN(E105)-LEN(SUBSTITUTE(E105,"/",""))=1,(RIGHT(E105,LEN(E105)-FIND("/",E105)))-(LEFT(E105,FIND("/",E105)-1)),(MID(E105, SEARCH("/",E105) + 1, SEARCH("/",E105, SEARCH("/",E105)+1) - SEARCH("/",E105) - 1))-(LEFT(E105,FIND("/",E105)-1))), "NA"))</f>
        <v/>
      </c>
      <c r="K105" s="79">
        <f>IF(A105&lt;&gt;"", IF(ISBLANK(L105), TODAY(), K105), "")</f>
        <v/>
      </c>
      <c r="L105" s="78" t="n"/>
      <c r="M105" s="78">
        <f>IF(ISBLANK(L105),"",IF(D105="Stock",IF(C105="Buy",L105*G105,IF(C105="Sell",(L105*G105)-I105, X)),IF(C105="Buy",(L105*G105*100)+I105,IF(C105="Sell",(L105*G105*100)-I105, X))))</f>
        <v/>
      </c>
      <c r="N105" s="78">
        <f>IF(ISBLANK(L105),"",IF(AND(C105="Sell",D105="Stock"),M105,IF(ISBLANK(L105),"",IF(C105="Buy",M105, IF(AND(C105="Sell",J105="NA"),(E105*G105*100*0.1)+I105, IF(C105="Sell",(J105-L105)*(100*G105)+I105))))))</f>
        <v/>
      </c>
      <c r="O105" s="75" t="n"/>
      <c r="P105" s="75" t="n"/>
      <c r="Q105" s="75">
        <f>IF(ISBLANK(P105),"",IF(D105="Stock",P105*G105,IF(P105=0,"0",G105*P105*100-(G105*$AF$14))))</f>
        <v/>
      </c>
      <c r="R105" s="79">
        <f>IF(P105&lt;&gt;"", TODAY(), "")</f>
        <v/>
      </c>
      <c r="S105" s="78">
        <f>IF(AND(K105&lt;&gt;"", R105&lt;&gt;""), R105-K105, "")</f>
        <v/>
      </c>
      <c r="T105" s="78" t="n"/>
      <c r="U105" s="92">
        <f>IF(ISBLANK(P105),"",IF(C105="Buy",Q105-M105+T105, IF(C105="Sell",M105-Q105-T105, X)))</f>
        <v/>
      </c>
      <c r="V105" s="81">
        <f>IF(ISBLANK(P105),"",U105/N105)</f>
        <v/>
      </c>
      <c r="W105" s="81">
        <f>IF(ISBLANK(P105),"",IF(S105=0,(365/0.5)*V105,(365/S105)*V105))</f>
        <v/>
      </c>
      <c r="X105" s="75" t="n"/>
      <c r="Y105" s="77" t="n"/>
      <c r="Z105" s="77" t="n"/>
      <c r="AA105" s="75" t="n"/>
      <c r="AB105" s="75" t="n"/>
      <c r="AC105" s="6" t="n"/>
      <c r="AD105" s="75" t="n"/>
      <c r="AE105" s="75" t="n"/>
      <c r="AF105" s="75" t="n"/>
    </row>
    <row r="106" ht="15.75" customHeight="1" s="133">
      <c r="A106" s="75" t="n"/>
      <c r="B106" s="75" t="n"/>
      <c r="C106" s="75" t="n"/>
      <c r="D106" s="75" t="n"/>
      <c r="E106" s="76" t="n"/>
      <c r="F106" s="77" t="n"/>
      <c r="G106" s="75" t="n"/>
      <c r="H106" s="75">
        <f>IF(ISBLANK(E106),"",IF(OR(D106="Butterfly",D106="Butterfly ",D106="Iron Fly", D106="Iron Fly "),LEN(E106)-LEN(SUBSTITUTE(E106,"/",""))+2,LEN(E106)-LEN(SUBSTITUTE(E106,"/",""))+1))</f>
        <v/>
      </c>
      <c r="I106" s="78">
        <f>IF(ISBLANK(G106),"",IF(D106="Stock","0",Key!$A$3*H106*G106))</f>
        <v/>
      </c>
      <c r="J106" s="78">
        <f>IF(ISBLANK(E106),"",IF(ISNUMBER(SEARCH("/",E106)), IF(LEN(E106)-LEN(SUBSTITUTE(E106,"/",""))=1,(RIGHT(E106,LEN(E106)-FIND("/",E106)))-(LEFT(E106,FIND("/",E106)-1)),(MID(E106, SEARCH("/",E106) + 1, SEARCH("/",E106, SEARCH("/",E106)+1) - SEARCH("/",E106) - 1))-(LEFT(E106,FIND("/",E106)-1))), "NA"))</f>
        <v/>
      </c>
      <c r="K106" s="79">
        <f>IF(A106&lt;&gt;"", IF(ISBLANK(L106), TODAY(), K106), "")</f>
        <v/>
      </c>
      <c r="L106" s="78" t="n"/>
      <c r="M106" s="78">
        <f>IF(ISBLANK(L106),"",IF(D106="Stock",IF(C106="Buy",L106*G106,IF(C106="Sell",(L106*G106)-I106, X)),IF(C106="Buy",(L106*G106*100)+I106,IF(C106="Sell",(L106*G106*100)-I106, X))))</f>
        <v/>
      </c>
      <c r="N106" s="78">
        <f>IF(ISBLANK(L106),"",IF(AND(C106="Sell",D106="Stock"),M106,IF(ISBLANK(L106),"",IF(C106="Buy",M106, IF(AND(C106="Sell",J106="NA"),(E106*G106*100*0.1)+I106, IF(C106="Sell",(J106-L106)*(100*G106)+I106))))))</f>
        <v/>
      </c>
      <c r="O106" s="75" t="n"/>
      <c r="P106" s="75" t="n"/>
      <c r="Q106" s="75">
        <f>IF(ISBLANK(P106),"",IF(D106="Stock",P106*G106,IF(P106=0,"0",G106*P106*100-(G106*$AF$14))))</f>
        <v/>
      </c>
      <c r="R106" s="79">
        <f>IF(P106&lt;&gt;"", TODAY(), "")</f>
        <v/>
      </c>
      <c r="S106" s="78">
        <f>IF(AND(K106&lt;&gt;"", R106&lt;&gt;""), R106-K106, "")</f>
        <v/>
      </c>
      <c r="T106" s="78" t="n"/>
      <c r="U106" s="92">
        <f>IF(ISBLANK(P106),"",IF(C106="Buy",Q106-M106+T106, IF(C106="Sell",M106-Q106-T106, X)))</f>
        <v/>
      </c>
      <c r="V106" s="81">
        <f>IF(ISBLANK(P106),"",U106/N106)</f>
        <v/>
      </c>
      <c r="W106" s="81">
        <f>IF(ISBLANK(P106),"",IF(S106=0,(365/0.5)*V106,(365/S106)*V106))</f>
        <v/>
      </c>
      <c r="X106" s="75" t="n"/>
      <c r="Y106" s="77" t="n"/>
      <c r="Z106" s="77" t="n"/>
      <c r="AA106" s="75" t="n"/>
      <c r="AB106" s="75" t="n"/>
      <c r="AC106" s="6" t="n"/>
      <c r="AD106" s="75" t="n"/>
      <c r="AE106" s="75" t="n"/>
      <c r="AF106" s="75" t="n"/>
    </row>
    <row r="107" ht="15.75" customHeight="1" s="133">
      <c r="A107" s="75" t="n"/>
      <c r="B107" s="75" t="n"/>
      <c r="C107" s="75" t="n"/>
      <c r="D107" s="75" t="n"/>
      <c r="E107" s="76" t="n"/>
      <c r="F107" s="77" t="n"/>
      <c r="G107" s="75" t="n"/>
      <c r="H107" s="75">
        <f>IF(ISBLANK(E107),"",IF(OR(D107="Butterfly",D107="Butterfly ",D107="Iron Fly", D107="Iron Fly "),LEN(E107)-LEN(SUBSTITUTE(E107,"/",""))+2,LEN(E107)-LEN(SUBSTITUTE(E107,"/",""))+1))</f>
        <v/>
      </c>
      <c r="I107" s="78">
        <f>IF(ISBLANK(G107),"",IF(D107="Stock","0",Key!$A$3*H107*G107))</f>
        <v/>
      </c>
      <c r="J107" s="78">
        <f>IF(ISBLANK(E107),"",IF(ISNUMBER(SEARCH("/",E107)), IF(LEN(E107)-LEN(SUBSTITUTE(E107,"/",""))=1,(RIGHT(E107,LEN(E107)-FIND("/",E107)))-(LEFT(E107,FIND("/",E107)-1)),(MID(E107, SEARCH("/",E107) + 1, SEARCH("/",E107, SEARCH("/",E107)+1) - SEARCH("/",E107) - 1))-(LEFT(E107,FIND("/",E107)-1))), "NA"))</f>
        <v/>
      </c>
      <c r="K107" s="79">
        <f>IF(A107&lt;&gt;"", IF(ISBLANK(L107), TODAY(), K107), "")</f>
        <v/>
      </c>
      <c r="L107" s="78" t="n"/>
      <c r="M107" s="78">
        <f>IF(ISBLANK(L107),"",IF(D107="Stock",IF(C107="Buy",L107*G107,IF(C107="Sell",(L107*G107)-I107, X)),IF(C107="Buy",(L107*G107*100)+I107,IF(C107="Sell",(L107*G107*100)-I107, X))))</f>
        <v/>
      </c>
      <c r="N107" s="78">
        <f>IF(ISBLANK(L107),"",IF(AND(C107="Sell",D107="Stock"),M107,IF(ISBLANK(L107),"",IF(C107="Buy",M107, IF(AND(C107="Sell",J107="NA"),(E107*G107*100*0.1)+I107, IF(C107="Sell",(J107-L107)*(100*G107)+I107))))))</f>
        <v/>
      </c>
      <c r="O107" s="75" t="n"/>
      <c r="P107" s="75" t="n"/>
      <c r="Q107" s="75">
        <f>IF(ISBLANK(P107),"",IF(D107="Stock",P107*G107,IF(P107=0,"0",G107*P107*100-(G107*$AF$14))))</f>
        <v/>
      </c>
      <c r="R107" s="79">
        <f>IF(P107&lt;&gt;"", TODAY(), "")</f>
        <v/>
      </c>
      <c r="S107" s="78">
        <f>IF(AND(K107&lt;&gt;"", R107&lt;&gt;""), R107-K107, "")</f>
        <v/>
      </c>
      <c r="T107" s="78" t="n"/>
      <c r="U107" s="92">
        <f>IF(ISBLANK(P107),"",IF(C107="Buy",Q107-M107+T107, IF(C107="Sell",M107-Q107-T107, X)))</f>
        <v/>
      </c>
      <c r="V107" s="81">
        <f>IF(ISBLANK(P107),"",U107/N107)</f>
        <v/>
      </c>
      <c r="W107" s="81">
        <f>IF(ISBLANK(P107),"",IF(S107=0,(365/0.5)*V107,(365/S107)*V107))</f>
        <v/>
      </c>
      <c r="X107" s="75" t="n"/>
      <c r="Y107" s="77" t="n"/>
      <c r="Z107" s="77" t="n"/>
      <c r="AA107" s="75" t="n"/>
      <c r="AB107" s="75" t="n"/>
      <c r="AC107" s="6" t="n"/>
      <c r="AD107" s="75" t="n"/>
      <c r="AE107" s="75" t="n"/>
      <c r="AF107" s="75" t="n"/>
    </row>
    <row r="108" ht="15.75" customHeight="1" s="133">
      <c r="A108" s="75" t="n"/>
      <c r="B108" s="75" t="n"/>
      <c r="C108" s="75" t="n"/>
      <c r="D108" s="75" t="n"/>
      <c r="E108" s="76" t="n"/>
      <c r="F108" s="77" t="n"/>
      <c r="G108" s="75" t="n"/>
      <c r="H108" s="75">
        <f>IF(ISBLANK(E108),"",IF(OR(D108="Butterfly",D108="Butterfly ",D108="Iron Fly", D108="Iron Fly "),LEN(E108)-LEN(SUBSTITUTE(E108,"/",""))+2,LEN(E108)-LEN(SUBSTITUTE(E108,"/",""))+1))</f>
        <v/>
      </c>
      <c r="I108" s="78">
        <f>IF(ISBLANK(G108),"",IF(D108="Stock","0",Key!$A$3*H108*G108))</f>
        <v/>
      </c>
      <c r="J108" s="78">
        <f>IF(ISBLANK(E108),"",IF(ISNUMBER(SEARCH("/",E108)), IF(LEN(E108)-LEN(SUBSTITUTE(E108,"/",""))=1,(RIGHT(E108,LEN(E108)-FIND("/",E108)))-(LEFT(E108,FIND("/",E108)-1)),(MID(E108, SEARCH("/",E108) + 1, SEARCH("/",E108, SEARCH("/",E108)+1) - SEARCH("/",E108) - 1))-(LEFT(E108,FIND("/",E108)-1))), "NA"))</f>
        <v/>
      </c>
      <c r="K108" s="79">
        <f>IF(A108&lt;&gt;"", IF(ISBLANK(L108), TODAY(), K108), "")</f>
        <v/>
      </c>
      <c r="L108" s="78" t="n"/>
      <c r="M108" s="78">
        <f>IF(ISBLANK(L108),"",IF(D108="Stock",IF(C108="Buy",L108*G108,IF(C108="Sell",(L108*G108)-I108, X)),IF(C108="Buy",(L108*G108*100)+I108,IF(C108="Sell",(L108*G108*100)-I108, X))))</f>
        <v/>
      </c>
      <c r="N108" s="78">
        <f>IF(ISBLANK(L108),"",IF(AND(C108="Sell",D108="Stock"),M108,IF(ISBLANK(L108),"",IF(C108="Buy",M108, IF(AND(C108="Sell",J108="NA"),(E108*G108*100*0.1)+I108, IF(C108="Sell",(J108-L108)*(100*G108)+I108))))))</f>
        <v/>
      </c>
      <c r="O108" s="75" t="n"/>
      <c r="P108" s="75" t="n"/>
      <c r="Q108" s="75">
        <f>IF(ISBLANK(P108),"",IF(D108="Stock",P108*G108,IF(P108=0,"0",G108*P108*100-(G108*$AF$14))))</f>
        <v/>
      </c>
      <c r="R108" s="79">
        <f>IF(P108&lt;&gt;"", TODAY(), "")</f>
        <v/>
      </c>
      <c r="S108" s="78">
        <f>IF(AND(K108&lt;&gt;"", R108&lt;&gt;""), R108-K108, "")</f>
        <v/>
      </c>
      <c r="T108" s="78" t="n"/>
      <c r="U108" s="92">
        <f>IF(ISBLANK(P108),"",IF(C108="Buy",Q108-M108+T108, IF(C108="Sell",M108-Q108-T108, X)))</f>
        <v/>
      </c>
      <c r="V108" s="81">
        <f>IF(ISBLANK(P108),"",U108/N108)</f>
        <v/>
      </c>
      <c r="W108" s="81">
        <f>IF(ISBLANK(P108),"",IF(S108=0,(365/0.5)*V108,(365/S108)*V108))</f>
        <v/>
      </c>
      <c r="X108" s="75" t="n"/>
      <c r="Y108" s="77" t="n"/>
      <c r="Z108" s="77" t="n"/>
      <c r="AA108" s="75" t="n"/>
      <c r="AB108" s="75" t="n"/>
      <c r="AC108" s="6" t="n"/>
      <c r="AD108" s="75" t="n"/>
      <c r="AE108" s="75" t="n"/>
      <c r="AF108" s="75" t="n"/>
    </row>
    <row r="109" ht="15.75" customHeight="1" s="133">
      <c r="A109" s="75" t="n"/>
      <c r="B109" s="75" t="n"/>
      <c r="C109" s="75" t="n"/>
      <c r="D109" s="75" t="n"/>
      <c r="E109" s="76" t="n"/>
      <c r="F109" s="77" t="n"/>
      <c r="G109" s="75" t="n"/>
      <c r="H109" s="75">
        <f>IF(ISBLANK(E109),"",IF(OR(D109="Butterfly",D109="Butterfly ",D109="Iron Fly", D109="Iron Fly "),LEN(E109)-LEN(SUBSTITUTE(E109,"/",""))+2,LEN(E109)-LEN(SUBSTITUTE(E109,"/",""))+1))</f>
        <v/>
      </c>
      <c r="I109" s="78">
        <f>IF(ISBLANK(G109),"",IF(D109="Stock","0",Key!$A$3*H109*G109))</f>
        <v/>
      </c>
      <c r="J109" s="78">
        <f>IF(ISBLANK(E109),"",IF(ISNUMBER(SEARCH("/",E109)), IF(LEN(E109)-LEN(SUBSTITUTE(E109,"/",""))=1,(RIGHT(E109,LEN(E109)-FIND("/",E109)))-(LEFT(E109,FIND("/",E109)-1)),(MID(E109, SEARCH("/",E109) + 1, SEARCH("/",E109, SEARCH("/",E109)+1) - SEARCH("/",E109) - 1))-(LEFT(E109,FIND("/",E109)-1))), "NA"))</f>
        <v/>
      </c>
      <c r="K109" s="79">
        <f>IF(A109&lt;&gt;"", IF(ISBLANK(L109), TODAY(), K109), "")</f>
        <v/>
      </c>
      <c r="L109" s="78" t="n"/>
      <c r="M109" s="78">
        <f>IF(ISBLANK(L109),"",IF(D109="Stock",IF(C109="Buy",L109*G109,IF(C109="Sell",(L109*G109)-I109, X)),IF(C109="Buy",(L109*G109*100)+I109,IF(C109="Sell",(L109*G109*100)-I109, X))))</f>
        <v/>
      </c>
      <c r="N109" s="78">
        <f>IF(ISBLANK(L109),"",IF(AND(C109="Sell",D109="Stock"),M109,IF(ISBLANK(L109),"",IF(C109="Buy",M109, IF(AND(C109="Sell",J109="NA"),(E109*G109*100*0.1)+I109, IF(C109="Sell",(J109-L109)*(100*G109)+I109))))))</f>
        <v/>
      </c>
      <c r="O109" s="75" t="n"/>
      <c r="P109" s="75" t="n"/>
      <c r="Q109" s="75">
        <f>IF(ISBLANK(P109),"",IF(D109="Stock",P109*G109,IF(P109=0,"0",G109*P109*100-(G109*$AF$14))))</f>
        <v/>
      </c>
      <c r="R109" s="79">
        <f>IF(P109&lt;&gt;"", TODAY(), "")</f>
        <v/>
      </c>
      <c r="S109" s="78">
        <f>IF(AND(K109&lt;&gt;"", R109&lt;&gt;""), R109-K109, "")</f>
        <v/>
      </c>
      <c r="T109" s="78" t="n"/>
      <c r="U109" s="92">
        <f>IF(ISBLANK(P109),"",IF(C109="Buy",Q109-M109+T109, IF(C109="Sell",M109-Q109-T109, X)))</f>
        <v/>
      </c>
      <c r="V109" s="81">
        <f>IF(ISBLANK(P109),"",U109/N109)</f>
        <v/>
      </c>
      <c r="W109" s="81">
        <f>IF(ISBLANK(P109),"",IF(S109=0,(365/0.5)*V109,(365/S109)*V109))</f>
        <v/>
      </c>
      <c r="X109" s="75" t="n"/>
      <c r="Y109" s="77" t="n"/>
      <c r="Z109" s="77" t="n"/>
      <c r="AA109" s="75" t="n"/>
      <c r="AB109" s="75" t="n"/>
      <c r="AC109" s="6" t="n"/>
      <c r="AD109" s="75" t="n"/>
      <c r="AE109" s="75" t="n"/>
      <c r="AF109" s="75" t="n"/>
    </row>
    <row r="110" ht="15.75" customHeight="1" s="133">
      <c r="A110" s="75" t="n"/>
      <c r="B110" s="75" t="n"/>
      <c r="C110" s="75" t="n"/>
      <c r="D110" s="75" t="n"/>
      <c r="E110" s="76" t="n"/>
      <c r="F110" s="77" t="n"/>
      <c r="G110" s="75" t="n"/>
      <c r="H110" s="75">
        <f>IF(ISBLANK(E110),"",IF(OR(D110="Butterfly",D110="Butterfly ",D110="Iron Fly", D110="Iron Fly "),LEN(E110)-LEN(SUBSTITUTE(E110,"/",""))+2,LEN(E110)-LEN(SUBSTITUTE(E110,"/",""))+1))</f>
        <v/>
      </c>
      <c r="I110" s="78">
        <f>IF(ISBLANK(G110),"",IF(D110="Stock","0",Key!$A$3*H110*G110))</f>
        <v/>
      </c>
      <c r="J110" s="78">
        <f>IF(ISBLANK(E110),"",IF(ISNUMBER(SEARCH("/",E110)), IF(LEN(E110)-LEN(SUBSTITUTE(E110,"/",""))=1,(RIGHT(E110,LEN(E110)-FIND("/",E110)))-(LEFT(E110,FIND("/",E110)-1)),(MID(E110, SEARCH("/",E110) + 1, SEARCH("/",E110, SEARCH("/",E110)+1) - SEARCH("/",E110) - 1))-(LEFT(E110,FIND("/",E110)-1))), "NA"))</f>
        <v/>
      </c>
      <c r="K110" s="79">
        <f>IF(A110&lt;&gt;"", IF(ISBLANK(L110), TODAY(), K110), "")</f>
        <v/>
      </c>
      <c r="L110" s="78" t="n"/>
      <c r="M110" s="78">
        <f>IF(ISBLANK(L110),"",IF(D110="Stock",IF(C110="Buy",L110*G110,IF(C110="Sell",(L110*G110)-I110, X)),IF(C110="Buy",(L110*G110*100)+I110,IF(C110="Sell",(L110*G110*100)-I110, X))))</f>
        <v/>
      </c>
      <c r="N110" s="78">
        <f>IF(ISBLANK(L110),"",IF(AND(C110="Sell",D110="Stock"),M110,IF(ISBLANK(L110),"",IF(C110="Buy",M110, IF(AND(C110="Sell",J110="NA"),(E110*G110*100*0.1)+I110, IF(C110="Sell",(J110-L110)*(100*G110)+I110))))))</f>
        <v/>
      </c>
      <c r="O110" s="75" t="n"/>
      <c r="P110" s="75" t="n"/>
      <c r="Q110" s="75">
        <f>IF(ISBLANK(P110),"",IF(D110="Stock",P110*G110,IF(P110=0,"0",G110*P110*100-(G110*$AF$14))))</f>
        <v/>
      </c>
      <c r="R110" s="79">
        <f>IF(P110&lt;&gt;"", TODAY(), "")</f>
        <v/>
      </c>
      <c r="S110" s="78">
        <f>IF(AND(K110&lt;&gt;"", R110&lt;&gt;""), R110-K110, "")</f>
        <v/>
      </c>
      <c r="T110" s="78" t="n"/>
      <c r="U110" s="92">
        <f>IF(ISBLANK(P110),"",IF(C110="Buy",Q110-M110+T110, IF(C110="Sell",M110-Q110-T110, X)))</f>
        <v/>
      </c>
      <c r="V110" s="81">
        <f>IF(ISBLANK(P110),"",U110/N110)</f>
        <v/>
      </c>
      <c r="W110" s="81">
        <f>IF(ISBLANK(P110),"",IF(S110=0,(365/0.5)*V110,(365/S110)*V110))</f>
        <v/>
      </c>
      <c r="X110" s="75" t="n"/>
      <c r="Y110" s="77" t="n"/>
      <c r="Z110" s="77" t="n"/>
      <c r="AA110" s="75" t="n"/>
      <c r="AB110" s="75" t="n"/>
      <c r="AC110" s="6" t="n"/>
      <c r="AD110" s="75" t="n"/>
      <c r="AE110" s="75" t="n"/>
      <c r="AF110" s="75" t="n"/>
    </row>
    <row r="111" ht="15.75" customHeight="1" s="133">
      <c r="A111" s="75" t="n"/>
      <c r="B111" s="75" t="n"/>
      <c r="C111" s="75" t="n"/>
      <c r="D111" s="75" t="n"/>
      <c r="E111" s="76" t="n"/>
      <c r="F111" s="77" t="n"/>
      <c r="G111" s="75" t="n"/>
      <c r="H111" s="75">
        <f>IF(ISBLANK(E111),"",IF(OR(D111="Butterfly",D111="Butterfly ",D111="Iron Fly", D111="Iron Fly "),LEN(E111)-LEN(SUBSTITUTE(E111,"/",""))+2,LEN(E111)-LEN(SUBSTITUTE(E111,"/",""))+1))</f>
        <v/>
      </c>
      <c r="I111" s="78">
        <f>IF(ISBLANK(G111),"",IF(D111="Stock","0",Key!$A$3*H111*G111))</f>
        <v/>
      </c>
      <c r="J111" s="78">
        <f>IF(ISBLANK(E111),"",IF(ISNUMBER(SEARCH("/",E111)), IF(LEN(E111)-LEN(SUBSTITUTE(E111,"/",""))=1,(RIGHT(E111,LEN(E111)-FIND("/",E111)))-(LEFT(E111,FIND("/",E111)-1)),(MID(E111, SEARCH("/",E111) + 1, SEARCH("/",E111, SEARCH("/",E111)+1) - SEARCH("/",E111) - 1))-(LEFT(E111,FIND("/",E111)-1))), "NA"))</f>
        <v/>
      </c>
      <c r="K111" s="79">
        <f>IF(A111&lt;&gt;"", IF(ISBLANK(L111), TODAY(), K111), "")</f>
        <v/>
      </c>
      <c r="L111" s="78" t="n"/>
      <c r="M111" s="78">
        <f>IF(ISBLANK(L111),"",IF(D111="Stock",IF(C111="Buy",L111*G111,IF(C111="Sell",(L111*G111)-I111, X)),IF(C111="Buy",(L111*G111*100)+I111,IF(C111="Sell",(L111*G111*100)-I111, X))))</f>
        <v/>
      </c>
      <c r="N111" s="78">
        <f>IF(ISBLANK(L111),"",IF(AND(C111="Sell",D111="Stock"),M111,IF(ISBLANK(L111),"",IF(C111="Buy",M111, IF(AND(C111="Sell",J111="NA"),(E111*G111*100*0.1)+I111, IF(C111="Sell",(J111-L111)*(100*G111)+I111))))))</f>
        <v/>
      </c>
      <c r="O111" s="75" t="n"/>
      <c r="P111" s="75" t="n"/>
      <c r="Q111" s="75">
        <f>IF(ISBLANK(P111),"",IF(D111="Stock",P111*G111,IF(P111=0,"0",G111*P111*100-(G111*$AF$14))))</f>
        <v/>
      </c>
      <c r="R111" s="79">
        <f>IF(P111&lt;&gt;"", TODAY(), "")</f>
        <v/>
      </c>
      <c r="S111" s="78">
        <f>IF(AND(K111&lt;&gt;"", R111&lt;&gt;""), R111-K111, "")</f>
        <v/>
      </c>
      <c r="T111" s="78" t="n"/>
      <c r="U111" s="92">
        <f>IF(ISBLANK(P111),"",IF(C111="Buy",Q111-M111+T111, IF(C111="Sell",M111-Q111-T111, X)))</f>
        <v/>
      </c>
      <c r="V111" s="81">
        <f>IF(ISBLANK(P111),"",U111/N111)</f>
        <v/>
      </c>
      <c r="W111" s="81">
        <f>IF(ISBLANK(P111),"",IF(S111=0,(365/0.5)*V111,(365/S111)*V111))</f>
        <v/>
      </c>
      <c r="X111" s="75" t="n"/>
      <c r="Y111" s="77" t="n"/>
      <c r="Z111" s="77" t="n"/>
      <c r="AA111" s="75" t="n"/>
      <c r="AB111" s="75" t="n"/>
      <c r="AC111" s="6" t="n"/>
      <c r="AD111" s="75" t="n"/>
      <c r="AE111" s="75" t="n"/>
      <c r="AF111" s="75" t="n"/>
    </row>
    <row r="112" ht="15.75" customHeight="1" s="133">
      <c r="A112" s="75" t="n"/>
      <c r="B112" s="75" t="n"/>
      <c r="C112" s="75" t="n"/>
      <c r="D112" s="75" t="n"/>
      <c r="E112" s="76" t="n"/>
      <c r="F112" s="77" t="n"/>
      <c r="G112" s="75" t="n"/>
      <c r="H112" s="75">
        <f>IF(ISBLANK(E112),"",IF(OR(D112="Butterfly",D112="Butterfly ",D112="Iron Fly", D112="Iron Fly "),LEN(E112)-LEN(SUBSTITUTE(E112,"/",""))+2,LEN(E112)-LEN(SUBSTITUTE(E112,"/",""))+1))</f>
        <v/>
      </c>
      <c r="I112" s="78">
        <f>IF(ISBLANK(G112),"",IF(D112="Stock","0",Key!$A$3*H112*G112))</f>
        <v/>
      </c>
      <c r="J112" s="78">
        <f>IF(ISBLANK(E112),"",IF(ISNUMBER(SEARCH("/",E112)), IF(LEN(E112)-LEN(SUBSTITUTE(E112,"/",""))=1,(RIGHT(E112,LEN(E112)-FIND("/",E112)))-(LEFT(E112,FIND("/",E112)-1)),(MID(E112, SEARCH("/",E112) + 1, SEARCH("/",E112, SEARCH("/",E112)+1) - SEARCH("/",E112) - 1))-(LEFT(E112,FIND("/",E112)-1))), "NA"))</f>
        <v/>
      </c>
      <c r="K112" s="79">
        <f>IF(A112&lt;&gt;"", IF(ISBLANK(L112), TODAY(), K112), "")</f>
        <v/>
      </c>
      <c r="L112" s="78" t="n"/>
      <c r="M112" s="78">
        <f>IF(ISBLANK(L112),"",IF(D112="Stock",IF(C112="Buy",L112*G112,IF(C112="Sell",(L112*G112)-I112, X)),IF(C112="Buy",(L112*G112*100)+I112,IF(C112="Sell",(L112*G112*100)-I112, X))))</f>
        <v/>
      </c>
      <c r="N112" s="78">
        <f>IF(ISBLANK(L112),"",IF(AND(C112="Sell",D112="Stock"),M112,IF(ISBLANK(L112),"",IF(C112="Buy",M112, IF(AND(C112="Sell",J112="NA"),(E112*G112*100*0.1)+I112, IF(C112="Sell",(J112-L112)*(100*G112)+I112))))))</f>
        <v/>
      </c>
      <c r="O112" s="75" t="n"/>
      <c r="P112" s="75" t="n"/>
      <c r="Q112" s="75">
        <f>IF(ISBLANK(P112),"",IF(D112="Stock",P112*G112,IF(P112=0,"0",G112*P112*100-(G112*$AF$14))))</f>
        <v/>
      </c>
      <c r="R112" s="79">
        <f>IF(P112&lt;&gt;"", TODAY(), "")</f>
        <v/>
      </c>
      <c r="S112" s="78">
        <f>IF(AND(K112&lt;&gt;"", R112&lt;&gt;""), R112-K112, "")</f>
        <v/>
      </c>
      <c r="T112" s="78" t="n"/>
      <c r="U112" s="92">
        <f>IF(ISBLANK(P112),"",IF(C112="Buy",Q112-M112+T112, IF(C112="Sell",M112-Q112-T112, X)))</f>
        <v/>
      </c>
      <c r="V112" s="81">
        <f>IF(ISBLANK(P112),"",U112/N112)</f>
        <v/>
      </c>
      <c r="W112" s="81">
        <f>IF(ISBLANK(P112),"",IF(S112=0,(365/0.5)*V112,(365/S112)*V112))</f>
        <v/>
      </c>
      <c r="X112" s="75" t="n"/>
      <c r="Y112" s="77" t="n"/>
      <c r="Z112" s="77" t="n"/>
      <c r="AA112" s="75" t="n"/>
      <c r="AB112" s="75" t="n"/>
      <c r="AC112" s="6" t="n"/>
      <c r="AD112" s="75" t="n"/>
      <c r="AE112" s="75" t="n"/>
      <c r="AF112" s="75" t="n"/>
    </row>
    <row r="113" ht="15.75" customHeight="1" s="133">
      <c r="A113" s="75" t="n"/>
      <c r="B113" s="75" t="n"/>
      <c r="C113" s="75" t="n"/>
      <c r="D113" s="75" t="n"/>
      <c r="E113" s="76" t="n"/>
      <c r="F113" s="77" t="n"/>
      <c r="G113" s="75" t="n"/>
      <c r="H113" s="75">
        <f>IF(ISBLANK(E113),"",IF(OR(D113="Butterfly",D113="Butterfly ",D113="Iron Fly", D113="Iron Fly "),LEN(E113)-LEN(SUBSTITUTE(E113,"/",""))+2,LEN(E113)-LEN(SUBSTITUTE(E113,"/",""))+1))</f>
        <v/>
      </c>
      <c r="I113" s="78">
        <f>IF(ISBLANK(G113),"",IF(D113="Stock","0",Key!$A$3*H113*G113))</f>
        <v/>
      </c>
      <c r="J113" s="78">
        <f>IF(ISBLANK(E113),"",IF(ISNUMBER(SEARCH("/",E113)), IF(LEN(E113)-LEN(SUBSTITUTE(E113,"/",""))=1,(RIGHT(E113,LEN(E113)-FIND("/",E113)))-(LEFT(E113,FIND("/",E113)-1)),(MID(E113, SEARCH("/",E113) + 1, SEARCH("/",E113, SEARCH("/",E113)+1) - SEARCH("/",E113) - 1))-(LEFT(E113,FIND("/",E113)-1))), "NA"))</f>
        <v/>
      </c>
      <c r="K113" s="79">
        <f>IF(A113&lt;&gt;"", IF(ISBLANK(L113), TODAY(), K113), "")</f>
        <v/>
      </c>
      <c r="L113" s="78" t="n"/>
      <c r="M113" s="78">
        <f>IF(ISBLANK(L113),"",IF(D113="Stock",IF(C113="Buy",L113*G113,IF(C113="Sell",(L113*G113)-I113, X)),IF(C113="Buy",(L113*G113*100)+I113,IF(C113="Sell",(L113*G113*100)-I113, X))))</f>
        <v/>
      </c>
      <c r="N113" s="78">
        <f>IF(ISBLANK(L113),"",IF(AND(C113="Sell",D113="Stock"),M113,IF(ISBLANK(L113),"",IF(C113="Buy",M113, IF(AND(C113="Sell",J113="NA"),(E113*G113*100*0.1)+I113, IF(C113="Sell",(J113-L113)*(100*G113)+I113))))))</f>
        <v/>
      </c>
      <c r="O113" s="75" t="n"/>
      <c r="P113" s="75" t="n"/>
      <c r="Q113" s="75">
        <f>IF(ISBLANK(P113),"",IF(D113="Stock",P113*G113,IF(P113=0,"0",G113*P113*100-(G113*$AF$14))))</f>
        <v/>
      </c>
      <c r="R113" s="79">
        <f>IF(P113&lt;&gt;"", TODAY(), "")</f>
        <v/>
      </c>
      <c r="S113" s="78">
        <f>IF(AND(K113&lt;&gt;"", R113&lt;&gt;""), R113-K113, "")</f>
        <v/>
      </c>
      <c r="T113" s="78" t="n"/>
      <c r="U113" s="92">
        <f>IF(ISBLANK(P113),"",IF(C113="Buy",Q113-M113+T113, IF(C113="Sell",M113-Q113-T113, X)))</f>
        <v/>
      </c>
      <c r="V113" s="81">
        <f>IF(ISBLANK(P113),"",U113/N113)</f>
        <v/>
      </c>
      <c r="W113" s="81">
        <f>IF(ISBLANK(P113),"",IF(S113=0,(365/0.5)*V113,(365/S113)*V113))</f>
        <v/>
      </c>
      <c r="X113" s="75" t="n"/>
      <c r="Y113" s="77" t="n"/>
      <c r="Z113" s="77" t="n"/>
      <c r="AA113" s="75" t="n"/>
      <c r="AB113" s="75" t="n"/>
      <c r="AC113" s="6" t="n"/>
      <c r="AD113" s="75" t="n"/>
      <c r="AE113" s="75" t="n"/>
      <c r="AF113" s="75" t="n"/>
    </row>
    <row r="114" ht="15.75" customHeight="1" s="133">
      <c r="A114" s="75" t="n"/>
      <c r="B114" s="75" t="n"/>
      <c r="C114" s="75" t="n"/>
      <c r="D114" s="75" t="n"/>
      <c r="E114" s="76" t="n"/>
      <c r="F114" s="77" t="n"/>
      <c r="G114" s="75" t="n"/>
      <c r="H114" s="75">
        <f>IF(ISBLANK(E114),"",IF(OR(D114="Butterfly",D114="Butterfly ",D114="Iron Fly", D114="Iron Fly "),LEN(E114)-LEN(SUBSTITUTE(E114,"/",""))+2,LEN(E114)-LEN(SUBSTITUTE(E114,"/",""))+1))</f>
        <v/>
      </c>
      <c r="I114" s="78">
        <f>IF(ISBLANK(G114),"",IF(D114="Stock","0",Key!$A$3*H114*G114))</f>
        <v/>
      </c>
      <c r="J114" s="78">
        <f>IF(ISBLANK(E114),"",IF(ISNUMBER(SEARCH("/",E114)), IF(LEN(E114)-LEN(SUBSTITUTE(E114,"/",""))=1,(RIGHT(E114,LEN(E114)-FIND("/",E114)))-(LEFT(E114,FIND("/",E114)-1)),(MID(E114, SEARCH("/",E114) + 1, SEARCH("/",E114, SEARCH("/",E114)+1) - SEARCH("/",E114) - 1))-(LEFT(E114,FIND("/",E114)-1))), "NA"))</f>
        <v/>
      </c>
      <c r="K114" s="79">
        <f>IF(A114&lt;&gt;"", IF(ISBLANK(L114), TODAY(), K114), "")</f>
        <v/>
      </c>
      <c r="L114" s="78" t="n"/>
      <c r="M114" s="78">
        <f>IF(ISBLANK(L114),"",IF(D114="Stock",IF(C114="Buy",L114*G114,IF(C114="Sell",(L114*G114)-I114, X)),IF(C114="Buy",(L114*G114*100)+I114,IF(C114="Sell",(L114*G114*100)-I114, X))))</f>
        <v/>
      </c>
      <c r="N114" s="78">
        <f>IF(ISBLANK(L114),"",IF(AND(C114="Sell",D114="Stock"),M114,IF(ISBLANK(L114),"",IF(C114="Buy",M114, IF(AND(C114="Sell",J114="NA"),(E114*G114*100*0.1)+I114, IF(C114="Sell",(J114-L114)*(100*G114)+I114))))))</f>
        <v/>
      </c>
      <c r="O114" s="75" t="n"/>
      <c r="P114" s="75" t="n"/>
      <c r="Q114" s="75">
        <f>IF(ISBLANK(P114),"",IF(D114="Stock",P114*G114,IF(P114=0,"0",G114*P114*100-(G114*$AF$14))))</f>
        <v/>
      </c>
      <c r="R114" s="79">
        <f>IF(P114&lt;&gt;"", TODAY(), "")</f>
        <v/>
      </c>
      <c r="S114" s="78">
        <f>IF(AND(K114&lt;&gt;"", R114&lt;&gt;""), R114-K114, "")</f>
        <v/>
      </c>
      <c r="T114" s="78" t="n"/>
      <c r="U114" s="92">
        <f>IF(ISBLANK(P114),"",IF(C114="Buy",Q114-M114+T114, IF(C114="Sell",M114-Q114-T114, X)))</f>
        <v/>
      </c>
      <c r="V114" s="81">
        <f>IF(ISBLANK(P114),"",U114/N114)</f>
        <v/>
      </c>
      <c r="W114" s="81">
        <f>IF(ISBLANK(P114),"",IF(S114=0,(365/0.5)*V114,(365/S114)*V114))</f>
        <v/>
      </c>
      <c r="X114" s="75" t="n"/>
      <c r="Y114" s="77" t="n"/>
      <c r="Z114" s="77" t="n"/>
      <c r="AA114" s="75" t="n"/>
      <c r="AB114" s="75" t="n"/>
      <c r="AC114" s="6" t="n"/>
      <c r="AD114" s="75" t="n"/>
      <c r="AE114" s="75" t="n"/>
      <c r="AF114" s="75" t="n"/>
    </row>
    <row r="115" ht="15.75" customHeight="1" s="133">
      <c r="A115" s="75" t="n"/>
      <c r="B115" s="75" t="n"/>
      <c r="C115" s="75" t="n"/>
      <c r="D115" s="75" t="n"/>
      <c r="E115" s="76" t="n"/>
      <c r="F115" s="77" t="n"/>
      <c r="G115" s="75" t="n"/>
      <c r="H115" s="75">
        <f>IF(ISBLANK(E115),"",IF(OR(D115="Butterfly",D115="Butterfly ",D115="Iron Fly", D115="Iron Fly "),LEN(E115)-LEN(SUBSTITUTE(E115,"/",""))+2,LEN(E115)-LEN(SUBSTITUTE(E115,"/",""))+1))</f>
        <v/>
      </c>
      <c r="I115" s="78">
        <f>IF(ISBLANK(G115),"",IF(D115="Stock","0",Key!$A$3*H115*G115))</f>
        <v/>
      </c>
      <c r="J115" s="78">
        <f>IF(ISBLANK(E115),"",IF(ISNUMBER(SEARCH("/",E115)), IF(LEN(E115)-LEN(SUBSTITUTE(E115,"/",""))=1,(RIGHT(E115,LEN(E115)-FIND("/",E115)))-(LEFT(E115,FIND("/",E115)-1)),(MID(E115, SEARCH("/",E115) + 1, SEARCH("/",E115, SEARCH("/",E115)+1) - SEARCH("/",E115) - 1))-(LEFT(E115,FIND("/",E115)-1))), "NA"))</f>
        <v/>
      </c>
      <c r="K115" s="79">
        <f>IF(A115&lt;&gt;"", IF(ISBLANK(L115), TODAY(), K115), "")</f>
        <v/>
      </c>
      <c r="L115" s="78" t="n"/>
      <c r="M115" s="78">
        <f>IF(ISBLANK(L115),"",IF(D115="Stock",IF(C115="Buy",L115*G115,IF(C115="Sell",(L115*G115)-I115, X)),IF(C115="Buy",(L115*G115*100)+I115,IF(C115="Sell",(L115*G115*100)-I115, X))))</f>
        <v/>
      </c>
      <c r="N115" s="78">
        <f>IF(ISBLANK(L115),"",IF(AND(C115="Sell",D115="Stock"),M115,IF(ISBLANK(L115),"",IF(C115="Buy",M115, IF(AND(C115="Sell",J115="NA"),(E115*G115*100*0.1)+I115, IF(C115="Sell",(J115-L115)*(100*G115)+I115))))))</f>
        <v/>
      </c>
      <c r="O115" s="75" t="n"/>
      <c r="P115" s="75" t="n"/>
      <c r="Q115" s="75">
        <f>IF(ISBLANK(P115),"",IF(D115="Stock",P115*G115,IF(P115=0,"0",G115*P115*100-(G115*$AF$14))))</f>
        <v/>
      </c>
      <c r="R115" s="79">
        <f>IF(P115&lt;&gt;"", TODAY(), "")</f>
        <v/>
      </c>
      <c r="S115" s="78">
        <f>IF(AND(K115&lt;&gt;"", R115&lt;&gt;""), R115-K115, "")</f>
        <v/>
      </c>
      <c r="T115" s="78" t="n"/>
      <c r="U115" s="92">
        <f>IF(ISBLANK(P115),"",IF(C115="Buy",Q115-M115+T115, IF(C115="Sell",M115-Q115-T115, X)))</f>
        <v/>
      </c>
      <c r="V115" s="81">
        <f>IF(ISBLANK(P115),"",U115/N115)</f>
        <v/>
      </c>
      <c r="W115" s="81">
        <f>IF(ISBLANK(P115),"",IF(S115=0,(365/0.5)*V115,(365/S115)*V115))</f>
        <v/>
      </c>
      <c r="X115" s="75" t="n"/>
      <c r="Y115" s="77" t="n"/>
      <c r="Z115" s="77" t="n"/>
      <c r="AA115" s="75" t="n"/>
      <c r="AB115" s="75" t="n"/>
      <c r="AC115" s="6" t="n"/>
      <c r="AD115" s="75" t="n"/>
      <c r="AE115" s="75" t="n"/>
      <c r="AF115" s="75" t="n"/>
    </row>
    <row r="116" ht="15.75" customHeight="1" s="133">
      <c r="A116" s="75" t="n"/>
      <c r="B116" s="75" t="n"/>
      <c r="C116" s="75" t="n"/>
      <c r="D116" s="75" t="n"/>
      <c r="E116" s="76" t="n"/>
      <c r="F116" s="77" t="n"/>
      <c r="G116" s="75" t="n"/>
      <c r="H116" s="75">
        <f>IF(ISBLANK(E116),"",IF(OR(D116="Butterfly",D116="Butterfly ",D116="Iron Fly", D116="Iron Fly "),LEN(E116)-LEN(SUBSTITUTE(E116,"/",""))+2,LEN(E116)-LEN(SUBSTITUTE(E116,"/",""))+1))</f>
        <v/>
      </c>
      <c r="I116" s="78">
        <f>IF(ISBLANK(G116),"",IF(D116="Stock","0",Key!$A$3*H116*G116))</f>
        <v/>
      </c>
      <c r="J116" s="78">
        <f>IF(ISBLANK(E116),"",IF(ISNUMBER(SEARCH("/",E116)), IF(LEN(E116)-LEN(SUBSTITUTE(E116,"/",""))=1,(RIGHT(E116,LEN(E116)-FIND("/",E116)))-(LEFT(E116,FIND("/",E116)-1)),(MID(E116, SEARCH("/",E116) + 1, SEARCH("/",E116, SEARCH("/",E116)+1) - SEARCH("/",E116) - 1))-(LEFT(E116,FIND("/",E116)-1))), "NA"))</f>
        <v/>
      </c>
      <c r="K116" s="79">
        <f>IF(A116&lt;&gt;"", IF(ISBLANK(L116), TODAY(), K116), "")</f>
        <v/>
      </c>
      <c r="L116" s="78" t="n"/>
      <c r="M116" s="78">
        <f>IF(ISBLANK(L116),"",IF(D116="Stock",IF(C116="Buy",L116*G116,IF(C116="Sell",(L116*G116)-I116, X)),IF(C116="Buy",(L116*G116*100)+I116,IF(C116="Sell",(L116*G116*100)-I116, X))))</f>
        <v/>
      </c>
      <c r="N116" s="78">
        <f>IF(ISBLANK(L116),"",IF(AND(C116="Sell",D116="Stock"),M116,IF(ISBLANK(L116),"",IF(C116="Buy",M116, IF(AND(C116="Sell",J116="NA"),(E116*G116*100*0.1)+I116, IF(C116="Sell",(J116-L116)*(100*G116)+I116))))))</f>
        <v/>
      </c>
      <c r="O116" s="75" t="n"/>
      <c r="P116" s="75" t="n"/>
      <c r="Q116" s="75">
        <f>IF(ISBLANK(P116),"",IF(D116="Stock",P116*G116,IF(P116=0,"0",G116*P116*100-(G116*$AF$14))))</f>
        <v/>
      </c>
      <c r="R116" s="79">
        <f>IF(P116&lt;&gt;"", TODAY(), "")</f>
        <v/>
      </c>
      <c r="S116" s="78">
        <f>IF(AND(K116&lt;&gt;"", R116&lt;&gt;""), R116-K116, "")</f>
        <v/>
      </c>
      <c r="T116" s="78" t="n"/>
      <c r="U116" s="92">
        <f>IF(ISBLANK(P116),"",IF(C116="Buy",Q116-M116+T116, IF(C116="Sell",M116-Q116-T116, X)))</f>
        <v/>
      </c>
      <c r="V116" s="81">
        <f>IF(ISBLANK(P116),"",U116/N116)</f>
        <v/>
      </c>
      <c r="W116" s="81">
        <f>IF(ISBLANK(P116),"",IF(S116=0,(365/0.5)*V116,(365/S116)*V116))</f>
        <v/>
      </c>
      <c r="X116" s="75" t="n"/>
      <c r="Y116" s="77" t="n"/>
      <c r="Z116" s="77" t="n"/>
      <c r="AA116" s="75" t="n"/>
      <c r="AB116" s="75" t="n"/>
      <c r="AC116" s="6" t="n"/>
      <c r="AD116" s="75" t="n"/>
      <c r="AE116" s="75" t="n"/>
      <c r="AF116" s="75" t="n"/>
    </row>
    <row r="117" ht="15.75" customHeight="1" s="133">
      <c r="A117" s="75" t="n"/>
      <c r="B117" s="75" t="n"/>
      <c r="C117" s="75" t="n"/>
      <c r="D117" s="75" t="n"/>
      <c r="E117" s="76" t="n"/>
      <c r="F117" s="77" t="n"/>
      <c r="G117" s="75" t="n"/>
      <c r="H117" s="75">
        <f>IF(ISBLANK(E117),"",IF(OR(D117="Butterfly",D117="Butterfly ",D117="Iron Fly", D117="Iron Fly "),LEN(E117)-LEN(SUBSTITUTE(E117,"/",""))+2,LEN(E117)-LEN(SUBSTITUTE(E117,"/",""))+1))</f>
        <v/>
      </c>
      <c r="I117" s="78">
        <f>IF(ISBLANK(G117),"",IF(D117="Stock","0",Key!$A$3*H117*G117))</f>
        <v/>
      </c>
      <c r="J117" s="78">
        <f>IF(ISBLANK(E117),"",IF(ISNUMBER(SEARCH("/",E117)), IF(LEN(E117)-LEN(SUBSTITUTE(E117,"/",""))=1,(RIGHT(E117,LEN(E117)-FIND("/",E117)))-(LEFT(E117,FIND("/",E117)-1)),(MID(E117, SEARCH("/",E117) + 1, SEARCH("/",E117, SEARCH("/",E117)+1) - SEARCH("/",E117) - 1))-(LEFT(E117,FIND("/",E117)-1))), "NA"))</f>
        <v/>
      </c>
      <c r="K117" s="79">
        <f>IF(A117&lt;&gt;"", IF(ISBLANK(L117), TODAY(), K117), "")</f>
        <v/>
      </c>
      <c r="L117" s="78" t="n"/>
      <c r="M117" s="78">
        <f>IF(ISBLANK(L117),"",IF(D117="Stock",IF(C117="Buy",L117*G117,IF(C117="Sell",(L117*G117)-I117, X)),IF(C117="Buy",(L117*G117*100)+I117,IF(C117="Sell",(L117*G117*100)-I117, X))))</f>
        <v/>
      </c>
      <c r="N117" s="78">
        <f>IF(ISBLANK(L117),"",IF(AND(C117="Sell",D117="Stock"),M117,IF(ISBLANK(L117),"",IF(C117="Buy",M117, IF(AND(C117="Sell",J117="NA"),(E117*G117*100*0.1)+I117, IF(C117="Sell",(J117-L117)*(100*G117)+I117))))))</f>
        <v/>
      </c>
      <c r="O117" s="75" t="n"/>
      <c r="P117" s="75" t="n"/>
      <c r="Q117" s="75">
        <f>IF(ISBLANK(P117),"",IF(D117="Stock",P117*G117,IF(P117=0,"0",G117*P117*100-(G117*$AF$14))))</f>
        <v/>
      </c>
      <c r="R117" s="79">
        <f>IF(P117&lt;&gt;"", TODAY(), "")</f>
        <v/>
      </c>
      <c r="S117" s="78">
        <f>IF(AND(K117&lt;&gt;"", R117&lt;&gt;""), R117-K117, "")</f>
        <v/>
      </c>
      <c r="T117" s="78" t="n"/>
      <c r="U117" s="92">
        <f>IF(ISBLANK(P117),"",IF(C117="Buy",Q117-M117+T117, IF(C117="Sell",M117-Q117-T117, X)))</f>
        <v/>
      </c>
      <c r="V117" s="81">
        <f>IF(ISBLANK(P117),"",U117/N117)</f>
        <v/>
      </c>
      <c r="W117" s="81">
        <f>IF(ISBLANK(P117),"",IF(S117=0,(365/0.5)*V117,(365/S117)*V117))</f>
        <v/>
      </c>
      <c r="X117" s="75" t="n"/>
      <c r="Y117" s="77" t="n"/>
      <c r="Z117" s="77" t="n"/>
      <c r="AA117" s="75" t="n"/>
      <c r="AB117" s="75" t="n"/>
      <c r="AC117" s="6" t="n"/>
      <c r="AD117" s="75" t="n"/>
      <c r="AE117" s="75" t="n"/>
      <c r="AF117" s="75" t="n"/>
    </row>
    <row r="118" ht="15.75" customHeight="1" s="133">
      <c r="A118" s="75" t="n"/>
      <c r="B118" s="75" t="n"/>
      <c r="C118" s="75" t="n"/>
      <c r="D118" s="75" t="n"/>
      <c r="E118" s="76" t="n"/>
      <c r="F118" s="77" t="n"/>
      <c r="G118" s="75" t="n"/>
      <c r="H118" s="75">
        <f>IF(ISBLANK(E118),"",IF(OR(D118="Butterfly",D118="Butterfly ",D118="Iron Fly", D118="Iron Fly "),LEN(E118)-LEN(SUBSTITUTE(E118,"/",""))+2,LEN(E118)-LEN(SUBSTITUTE(E118,"/",""))+1))</f>
        <v/>
      </c>
      <c r="I118" s="78">
        <f>IF(ISBLANK(G118),"",IF(D118="Stock","0",Key!$A$3*H118*G118))</f>
        <v/>
      </c>
      <c r="J118" s="78">
        <f>IF(ISBLANK(E118),"",IF(ISNUMBER(SEARCH("/",E118)), IF(LEN(E118)-LEN(SUBSTITUTE(E118,"/",""))=1,(RIGHT(E118,LEN(E118)-FIND("/",E118)))-(LEFT(E118,FIND("/",E118)-1)),(MID(E118, SEARCH("/",E118) + 1, SEARCH("/",E118, SEARCH("/",E118)+1) - SEARCH("/",E118) - 1))-(LEFT(E118,FIND("/",E118)-1))), "NA"))</f>
        <v/>
      </c>
      <c r="K118" s="79">
        <f>IF(A118&lt;&gt;"", IF(ISBLANK(L118), TODAY(), K118), "")</f>
        <v/>
      </c>
      <c r="L118" s="78" t="n"/>
      <c r="M118" s="78">
        <f>IF(ISBLANK(L118),"",IF(D118="Stock",IF(C118="Buy",L118*G118,IF(C118="Sell",(L118*G118)-I118, X)),IF(C118="Buy",(L118*G118*100)+I118,IF(C118="Sell",(L118*G118*100)-I118, X))))</f>
        <v/>
      </c>
      <c r="N118" s="78">
        <f>IF(ISBLANK(L118),"",IF(AND(C118="Sell",D118="Stock"),M118,IF(ISBLANK(L118),"",IF(C118="Buy",M118, IF(AND(C118="Sell",J118="NA"),(E118*G118*100*0.1)+I118, IF(C118="Sell",(J118-L118)*(100*G118)+I118))))))</f>
        <v/>
      </c>
      <c r="O118" s="75" t="n"/>
      <c r="P118" s="75" t="n"/>
      <c r="Q118" s="75">
        <f>IF(ISBLANK(P118),"",IF(D118="Stock",P118*G118,IF(P118=0,"0",G118*P118*100-(G118*$AF$14))))</f>
        <v/>
      </c>
      <c r="R118" s="79">
        <f>IF(P118&lt;&gt;"", TODAY(), "")</f>
        <v/>
      </c>
      <c r="S118" s="78">
        <f>IF(AND(K118&lt;&gt;"", R118&lt;&gt;""), R118-K118, "")</f>
        <v/>
      </c>
      <c r="T118" s="78" t="n"/>
      <c r="U118" s="92">
        <f>IF(ISBLANK(P118),"",IF(C118="Buy",Q118-M118+T118, IF(C118="Sell",M118-Q118-T118, X)))</f>
        <v/>
      </c>
      <c r="V118" s="81">
        <f>IF(ISBLANK(P118),"",U118/N118)</f>
        <v/>
      </c>
      <c r="W118" s="81">
        <f>IF(ISBLANK(P118),"",IF(S118=0,(365/0.5)*V118,(365/S118)*V118))</f>
        <v/>
      </c>
      <c r="X118" s="75" t="n"/>
      <c r="Y118" s="77" t="n"/>
      <c r="Z118" s="77" t="n"/>
      <c r="AA118" s="75" t="n"/>
      <c r="AB118" s="75" t="n"/>
      <c r="AC118" s="6" t="n"/>
      <c r="AD118" s="75" t="n"/>
      <c r="AE118" s="75" t="n"/>
      <c r="AF118" s="75" t="n"/>
    </row>
    <row r="119" ht="15.75" customHeight="1" s="133">
      <c r="A119" s="75" t="n"/>
      <c r="B119" s="75" t="n"/>
      <c r="C119" s="75" t="n"/>
      <c r="D119" s="75" t="n"/>
      <c r="E119" s="76" t="n"/>
      <c r="F119" s="77" t="n"/>
      <c r="G119" s="75" t="n"/>
      <c r="H119" s="75">
        <f>IF(ISBLANK(E119),"",IF(OR(D119="Butterfly",D119="Butterfly ",D119="Iron Fly", D119="Iron Fly "),LEN(E119)-LEN(SUBSTITUTE(E119,"/",""))+2,LEN(E119)-LEN(SUBSTITUTE(E119,"/",""))+1))</f>
        <v/>
      </c>
      <c r="I119" s="78">
        <f>IF(ISBLANK(G119),"",IF(D119="Stock","0",Key!$A$3*H119*G119))</f>
        <v/>
      </c>
      <c r="J119" s="78">
        <f>IF(ISBLANK(E119),"",IF(ISNUMBER(SEARCH("/",E119)), IF(LEN(E119)-LEN(SUBSTITUTE(E119,"/",""))=1,(RIGHT(E119,LEN(E119)-FIND("/",E119)))-(LEFT(E119,FIND("/",E119)-1)),(MID(E119, SEARCH("/",E119) + 1, SEARCH("/",E119, SEARCH("/",E119)+1) - SEARCH("/",E119) - 1))-(LEFT(E119,FIND("/",E119)-1))), "NA"))</f>
        <v/>
      </c>
      <c r="K119" s="79">
        <f>IF(A119&lt;&gt;"", IF(ISBLANK(L119), TODAY(), K119), "")</f>
        <v/>
      </c>
      <c r="L119" s="78" t="n"/>
      <c r="M119" s="78">
        <f>IF(ISBLANK(L119),"",IF(D119="Stock",IF(C119="Buy",L119*G119,IF(C119="Sell",(L119*G119)-I119, X)),IF(C119="Buy",(L119*G119*100)+I119,IF(C119="Sell",(L119*G119*100)-I119, X))))</f>
        <v/>
      </c>
      <c r="N119" s="78">
        <f>IF(ISBLANK(L119),"",IF(AND(C119="Sell",D119="Stock"),M119,IF(ISBLANK(L119),"",IF(C119="Buy",M119, IF(AND(C119="Sell",J119="NA"),(E119*G119*100*0.1)+I119, IF(C119="Sell",(J119-L119)*(100*G119)+I119))))))</f>
        <v/>
      </c>
      <c r="O119" s="75" t="n"/>
      <c r="P119" s="75" t="n"/>
      <c r="Q119" s="75">
        <f>IF(ISBLANK(P119),"",IF(D119="Stock",P119*G119,IF(P119=0,"0",G119*P119*100-(G119*$AF$14))))</f>
        <v/>
      </c>
      <c r="R119" s="79">
        <f>IF(P119&lt;&gt;"", TODAY(), "")</f>
        <v/>
      </c>
      <c r="S119" s="78">
        <f>IF(AND(K119&lt;&gt;"", R119&lt;&gt;""), R119-K119, "")</f>
        <v/>
      </c>
      <c r="T119" s="78" t="n"/>
      <c r="U119" s="92">
        <f>IF(ISBLANK(P119),"",IF(C119="Buy",Q119-M119+T119, IF(C119="Sell",M119-Q119-T119, X)))</f>
        <v/>
      </c>
      <c r="V119" s="81">
        <f>IF(ISBLANK(P119),"",U119/N119)</f>
        <v/>
      </c>
      <c r="W119" s="81">
        <f>IF(ISBLANK(P119),"",IF(S119=0,(365/0.5)*V119,(365/S119)*V119))</f>
        <v/>
      </c>
      <c r="X119" s="75" t="n"/>
      <c r="Y119" s="77" t="n"/>
      <c r="Z119" s="77" t="n"/>
      <c r="AA119" s="75" t="n"/>
      <c r="AB119" s="75" t="n"/>
      <c r="AC119" s="6" t="n"/>
      <c r="AD119" s="75" t="n"/>
      <c r="AE119" s="75" t="n"/>
      <c r="AF119" s="75" t="n"/>
    </row>
    <row r="120" ht="15.75" customHeight="1" s="133">
      <c r="A120" s="75" t="n"/>
      <c r="B120" s="75" t="n"/>
      <c r="C120" s="75" t="n"/>
      <c r="D120" s="75" t="n"/>
      <c r="E120" s="76" t="n"/>
      <c r="F120" s="77" t="n"/>
      <c r="G120" s="75" t="n"/>
      <c r="H120" s="75">
        <f>IF(ISBLANK(E120),"",IF(OR(D120="Butterfly",D120="Butterfly ",D120="Iron Fly", D120="Iron Fly "),LEN(E120)-LEN(SUBSTITUTE(E120,"/",""))+2,LEN(E120)-LEN(SUBSTITUTE(E120,"/",""))+1))</f>
        <v/>
      </c>
      <c r="I120" s="78">
        <f>IF(ISBLANK(G120),"",IF(D120="Stock","0",Key!$A$3*H120*G120))</f>
        <v/>
      </c>
      <c r="J120" s="78">
        <f>IF(ISBLANK(E120),"",IF(ISNUMBER(SEARCH("/",E120)), IF(LEN(E120)-LEN(SUBSTITUTE(E120,"/",""))=1,(RIGHT(E120,LEN(E120)-FIND("/",E120)))-(LEFT(E120,FIND("/",E120)-1)),(MID(E120, SEARCH("/",E120) + 1, SEARCH("/",E120, SEARCH("/",E120)+1) - SEARCH("/",E120) - 1))-(LEFT(E120,FIND("/",E120)-1))), "NA"))</f>
        <v/>
      </c>
      <c r="K120" s="79">
        <f>IF(A120&lt;&gt;"", IF(ISBLANK(L120), TODAY(), K120), "")</f>
        <v/>
      </c>
      <c r="L120" s="78" t="n"/>
      <c r="M120" s="78">
        <f>IF(ISBLANK(L120),"",IF(D120="Stock",IF(C120="Buy",L120*G120,IF(C120="Sell",(L120*G120)-I120, X)),IF(C120="Buy",(L120*G120*100)+I120,IF(C120="Sell",(L120*G120*100)-I120, X))))</f>
        <v/>
      </c>
      <c r="N120" s="78">
        <f>IF(ISBLANK(L120),"",IF(AND(C120="Sell",D120="Stock"),M120,IF(ISBLANK(L120),"",IF(C120="Buy",M120, IF(AND(C120="Sell",J120="NA"),(E120*G120*100*0.1)+I120, IF(C120="Sell",(J120-L120)*(100*G120)+I120))))))</f>
        <v/>
      </c>
      <c r="O120" s="75" t="n"/>
      <c r="P120" s="75" t="n"/>
      <c r="Q120" s="75">
        <f>IF(ISBLANK(P120),"",IF(D120="Stock",P120*G120,IF(P120=0,"0",G120*P120*100-(G120*$AF$14))))</f>
        <v/>
      </c>
      <c r="R120" s="79">
        <f>IF(P120&lt;&gt;"", TODAY(), "")</f>
        <v/>
      </c>
      <c r="S120" s="78">
        <f>IF(AND(K120&lt;&gt;"", R120&lt;&gt;""), R120-K120, "")</f>
        <v/>
      </c>
      <c r="T120" s="78" t="n"/>
      <c r="U120" s="92">
        <f>IF(ISBLANK(P120),"",IF(C120="Buy",Q120-M120+T120, IF(C120="Sell",M120-Q120-T120, X)))</f>
        <v/>
      </c>
      <c r="V120" s="81">
        <f>IF(ISBLANK(P120),"",U120/N120)</f>
        <v/>
      </c>
      <c r="W120" s="81">
        <f>IF(ISBLANK(P120),"",IF(S120=0,(365/0.5)*V120,(365/S120)*V120))</f>
        <v/>
      </c>
      <c r="X120" s="75" t="n"/>
      <c r="Y120" s="77" t="n"/>
      <c r="Z120" s="77" t="n"/>
      <c r="AA120" s="75" t="n"/>
      <c r="AB120" s="75" t="n"/>
      <c r="AC120" s="6" t="n"/>
      <c r="AD120" s="75" t="n"/>
      <c r="AE120" s="75" t="n"/>
      <c r="AF120" s="75" t="n"/>
    </row>
    <row r="121" ht="15.75" customHeight="1" s="133">
      <c r="A121" s="75" t="n"/>
      <c r="B121" s="75" t="n"/>
      <c r="C121" s="75" t="n"/>
      <c r="D121" s="75" t="n"/>
      <c r="E121" s="76" t="n"/>
      <c r="F121" s="77" t="n"/>
      <c r="G121" s="75" t="n"/>
      <c r="H121" s="75">
        <f>IF(ISBLANK(E121),"",IF(OR(D121="Butterfly",D121="Butterfly ",D121="Iron Fly", D121="Iron Fly "),LEN(E121)-LEN(SUBSTITUTE(E121,"/",""))+2,LEN(E121)-LEN(SUBSTITUTE(E121,"/",""))+1))</f>
        <v/>
      </c>
      <c r="I121" s="78">
        <f>IF(ISBLANK(G121),"",IF(D121="Stock","0",Key!$A$3*H121*G121))</f>
        <v/>
      </c>
      <c r="J121" s="78">
        <f>IF(ISBLANK(E121),"",IF(ISNUMBER(SEARCH("/",E121)), IF(LEN(E121)-LEN(SUBSTITUTE(E121,"/",""))=1,(RIGHT(E121,LEN(E121)-FIND("/",E121)))-(LEFT(E121,FIND("/",E121)-1)),(MID(E121, SEARCH("/",E121) + 1, SEARCH("/",E121, SEARCH("/",E121)+1) - SEARCH("/",E121) - 1))-(LEFT(E121,FIND("/",E121)-1))), "NA"))</f>
        <v/>
      </c>
      <c r="K121" s="79">
        <f>IF(A121&lt;&gt;"", IF(ISBLANK(L121), TODAY(), K121), "")</f>
        <v/>
      </c>
      <c r="L121" s="78" t="n"/>
      <c r="M121" s="78">
        <f>IF(ISBLANK(L121),"",IF(D121="Stock",IF(C121="Buy",L121*G121,IF(C121="Sell",(L121*G121)-I121, X)),IF(C121="Buy",(L121*G121*100)+I121,IF(C121="Sell",(L121*G121*100)-I121, X))))</f>
        <v/>
      </c>
      <c r="N121" s="78">
        <f>IF(ISBLANK(L121),"",IF(AND(C121="Sell",D121="Stock"),M121,IF(ISBLANK(L121),"",IF(C121="Buy",M121, IF(AND(C121="Sell",J121="NA"),(E121*G121*100*0.1)+I121, IF(C121="Sell",(J121-L121)*(100*G121)+I121))))))</f>
        <v/>
      </c>
      <c r="O121" s="75" t="n"/>
      <c r="P121" s="75" t="n"/>
      <c r="Q121" s="75">
        <f>IF(ISBLANK(P121),"",IF(D121="Stock",P121*G121,IF(P121=0,"0",G121*P121*100-(G121*$AF$14))))</f>
        <v/>
      </c>
      <c r="R121" s="79">
        <f>IF(P121&lt;&gt;"", TODAY(), "")</f>
        <v/>
      </c>
      <c r="S121" s="78">
        <f>IF(AND(K121&lt;&gt;"", R121&lt;&gt;""), R121-K121, "")</f>
        <v/>
      </c>
      <c r="T121" s="78" t="n"/>
      <c r="U121" s="92">
        <f>IF(ISBLANK(P121),"",IF(C121="Buy",Q121-M121+T121, IF(C121="Sell",M121-Q121-T121, X)))</f>
        <v/>
      </c>
      <c r="V121" s="81">
        <f>IF(ISBLANK(P121),"",U121/N121)</f>
        <v/>
      </c>
      <c r="W121" s="81">
        <f>IF(ISBLANK(P121),"",IF(S121=0,(365/0.5)*V121,(365/S121)*V121))</f>
        <v/>
      </c>
      <c r="X121" s="75" t="n"/>
      <c r="Y121" s="77" t="n"/>
      <c r="Z121" s="77" t="n"/>
      <c r="AA121" s="75" t="n"/>
      <c r="AB121" s="75" t="n"/>
      <c r="AC121" s="6" t="n"/>
      <c r="AD121" s="75" t="n"/>
      <c r="AE121" s="75" t="n"/>
      <c r="AF121" s="75" t="n"/>
    </row>
    <row r="122" ht="15.75" customHeight="1" s="133">
      <c r="A122" s="75" t="n"/>
      <c r="B122" s="75" t="n"/>
      <c r="C122" s="75" t="n"/>
      <c r="D122" s="75" t="n"/>
      <c r="E122" s="76" t="n"/>
      <c r="F122" s="77" t="n"/>
      <c r="G122" s="75" t="n"/>
      <c r="H122" s="75">
        <f>IF(ISBLANK(E122),"",IF(OR(D122="Butterfly",D122="Butterfly ",D122="Iron Fly", D122="Iron Fly "),LEN(E122)-LEN(SUBSTITUTE(E122,"/",""))+2,LEN(E122)-LEN(SUBSTITUTE(E122,"/",""))+1))</f>
        <v/>
      </c>
      <c r="I122" s="78">
        <f>IF(ISBLANK(G122),"",IF(D122="Stock","0",Key!$A$3*H122*G122))</f>
        <v/>
      </c>
      <c r="J122" s="78">
        <f>IF(ISBLANK(E122),"",IF(ISNUMBER(SEARCH("/",E122)), IF(LEN(E122)-LEN(SUBSTITUTE(E122,"/",""))=1,(RIGHT(E122,LEN(E122)-FIND("/",E122)))-(LEFT(E122,FIND("/",E122)-1)),(MID(E122, SEARCH("/",E122) + 1, SEARCH("/",E122, SEARCH("/",E122)+1) - SEARCH("/",E122) - 1))-(LEFT(E122,FIND("/",E122)-1))), "NA"))</f>
        <v/>
      </c>
      <c r="K122" s="79">
        <f>IF(A122&lt;&gt;"", IF(ISBLANK(L122), TODAY(), K122), "")</f>
        <v/>
      </c>
      <c r="L122" s="78" t="n"/>
      <c r="M122" s="78">
        <f>IF(ISBLANK(L122),"",IF(D122="Stock",IF(C122="Buy",L122*G122,IF(C122="Sell",(L122*G122)-I122, X)),IF(C122="Buy",(L122*G122*100)+I122,IF(C122="Sell",(L122*G122*100)-I122, X))))</f>
        <v/>
      </c>
      <c r="N122" s="78">
        <f>IF(ISBLANK(L122),"",IF(AND(C122="Sell",D122="Stock"),M122,IF(ISBLANK(L122),"",IF(C122="Buy",M122, IF(AND(C122="Sell",J122="NA"),(E122*G122*100*0.1)+I122, IF(C122="Sell",(J122-L122)*(100*G122)+I122))))))</f>
        <v/>
      </c>
      <c r="O122" s="75" t="n"/>
      <c r="P122" s="75" t="n"/>
      <c r="Q122" s="75">
        <f>IF(ISBLANK(P122),"",IF(D122="Stock",P122*G122,IF(P122=0,"0",G122*P122*100-(G122*$AF$14))))</f>
        <v/>
      </c>
      <c r="R122" s="79">
        <f>IF(P122&lt;&gt;"", TODAY(), "")</f>
        <v/>
      </c>
      <c r="S122" s="78">
        <f>IF(AND(K122&lt;&gt;"", R122&lt;&gt;""), R122-K122, "")</f>
        <v/>
      </c>
      <c r="T122" s="78" t="n"/>
      <c r="U122" s="92">
        <f>IF(ISBLANK(P122),"",IF(C122="Buy",Q122-M122+T122, IF(C122="Sell",M122-Q122-T122, X)))</f>
        <v/>
      </c>
      <c r="V122" s="81">
        <f>IF(ISBLANK(P122),"",U122/N122)</f>
        <v/>
      </c>
      <c r="W122" s="81">
        <f>IF(ISBLANK(P122),"",IF(S122=0,(365/0.5)*V122,(365/S122)*V122))</f>
        <v/>
      </c>
      <c r="X122" s="75" t="n"/>
      <c r="Y122" s="77" t="n"/>
      <c r="Z122" s="77" t="n"/>
      <c r="AA122" s="75" t="n"/>
      <c r="AB122" s="75" t="n"/>
      <c r="AC122" s="6" t="n"/>
      <c r="AD122" s="75" t="n"/>
      <c r="AE122" s="75" t="n"/>
      <c r="AF122" s="75" t="n"/>
    </row>
    <row r="123" ht="15.75" customHeight="1" s="133">
      <c r="A123" s="75" t="n"/>
      <c r="B123" s="75" t="n"/>
      <c r="C123" s="75" t="n"/>
      <c r="D123" s="75" t="n"/>
      <c r="E123" s="76" t="n"/>
      <c r="F123" s="77" t="n"/>
      <c r="G123" s="75" t="n"/>
      <c r="H123" s="75">
        <f>IF(ISBLANK(E123),"",IF(OR(D123="Butterfly",D123="Butterfly ",D123="Iron Fly", D123="Iron Fly "),LEN(E123)-LEN(SUBSTITUTE(E123,"/",""))+2,LEN(E123)-LEN(SUBSTITUTE(E123,"/",""))+1))</f>
        <v/>
      </c>
      <c r="I123" s="78">
        <f>IF(ISBLANK(G123),"",IF(D123="Stock","0",Key!$A$3*H123*G123))</f>
        <v/>
      </c>
      <c r="J123" s="78">
        <f>IF(ISBLANK(E123),"",IF(ISNUMBER(SEARCH("/",E123)), IF(LEN(E123)-LEN(SUBSTITUTE(E123,"/",""))=1,(RIGHT(E123,LEN(E123)-FIND("/",E123)))-(LEFT(E123,FIND("/",E123)-1)),(MID(E123, SEARCH("/",E123) + 1, SEARCH("/",E123, SEARCH("/",E123)+1) - SEARCH("/",E123) - 1))-(LEFT(E123,FIND("/",E123)-1))), "NA"))</f>
        <v/>
      </c>
      <c r="K123" s="79">
        <f>IF(A123&lt;&gt;"", IF(ISBLANK(L123), TODAY(), K123), "")</f>
        <v/>
      </c>
      <c r="L123" s="78" t="n"/>
      <c r="M123" s="78">
        <f>IF(ISBLANK(L123),"",IF(D123="Stock",IF(C123="Buy",L123*G123,IF(C123="Sell",(L123*G123)-I123, X)),IF(C123="Buy",(L123*G123*100)+I123,IF(C123="Sell",(L123*G123*100)-I123, X))))</f>
        <v/>
      </c>
      <c r="N123" s="78">
        <f>IF(ISBLANK(L123),"",IF(AND(C123="Sell",D123="Stock"),M123,IF(ISBLANK(L123),"",IF(C123="Buy",M123, IF(AND(C123="Sell",J123="NA"),(E123*G123*100*0.1)+I123, IF(C123="Sell",(J123-L123)*(100*G123)+I123))))))</f>
        <v/>
      </c>
      <c r="O123" s="75" t="n"/>
      <c r="P123" s="75" t="n"/>
      <c r="Q123" s="75">
        <f>IF(ISBLANK(P123),"",IF(D123="Stock",P123*G123,IF(P123=0,"0",G123*P123*100-(G123*$AF$14))))</f>
        <v/>
      </c>
      <c r="R123" s="79">
        <f>IF(P123&lt;&gt;"", TODAY(), "")</f>
        <v/>
      </c>
      <c r="S123" s="78">
        <f>IF(AND(K123&lt;&gt;"", R123&lt;&gt;""), R123-K123, "")</f>
        <v/>
      </c>
      <c r="T123" s="78" t="n"/>
      <c r="U123" s="92">
        <f>IF(ISBLANK(P123),"",IF(C123="Buy",Q123-M123+T123, IF(C123="Sell",M123-Q123-T123, X)))</f>
        <v/>
      </c>
      <c r="V123" s="81">
        <f>IF(ISBLANK(P123),"",U123/N123)</f>
        <v/>
      </c>
      <c r="W123" s="81">
        <f>IF(ISBLANK(P123),"",IF(S123=0,(365/0.5)*V123,(365/S123)*V123))</f>
        <v/>
      </c>
      <c r="X123" s="75" t="n"/>
      <c r="Y123" s="77" t="n"/>
      <c r="Z123" s="77" t="n"/>
      <c r="AA123" s="75" t="n"/>
      <c r="AB123" s="75" t="n"/>
      <c r="AC123" s="6" t="n"/>
      <c r="AD123" s="75" t="n"/>
      <c r="AE123" s="75" t="n"/>
      <c r="AF123" s="75" t="n"/>
    </row>
    <row r="124" ht="15.75" customHeight="1" s="133">
      <c r="A124" s="75" t="n"/>
      <c r="B124" s="75" t="n"/>
      <c r="C124" s="75" t="n"/>
      <c r="D124" s="75" t="n"/>
      <c r="E124" s="76" t="n"/>
      <c r="F124" s="77" t="n"/>
      <c r="G124" s="75" t="n"/>
      <c r="H124" s="75">
        <f>IF(ISBLANK(E124),"",IF(OR(D124="Butterfly",D124="Butterfly ",D124="Iron Fly", D124="Iron Fly "),LEN(E124)-LEN(SUBSTITUTE(E124,"/",""))+2,LEN(E124)-LEN(SUBSTITUTE(E124,"/",""))+1))</f>
        <v/>
      </c>
      <c r="I124" s="78">
        <f>IF(ISBLANK(G124),"",IF(D124="Stock","0",Key!$A$3*H124*G124))</f>
        <v/>
      </c>
      <c r="J124" s="78">
        <f>IF(ISBLANK(E124),"",IF(ISNUMBER(SEARCH("/",E124)), IF(LEN(E124)-LEN(SUBSTITUTE(E124,"/",""))=1,(RIGHT(E124,LEN(E124)-FIND("/",E124)))-(LEFT(E124,FIND("/",E124)-1)),(MID(E124, SEARCH("/",E124) + 1, SEARCH("/",E124, SEARCH("/",E124)+1) - SEARCH("/",E124) - 1))-(LEFT(E124,FIND("/",E124)-1))), "NA"))</f>
        <v/>
      </c>
      <c r="K124" s="79">
        <f>IF(A124&lt;&gt;"", IF(ISBLANK(L124), TODAY(), K124), "")</f>
        <v/>
      </c>
      <c r="L124" s="78" t="n"/>
      <c r="M124" s="78">
        <f>IF(ISBLANK(L124),"",IF(D124="Stock",IF(C124="Buy",L124*G124,IF(C124="Sell",(L124*G124)-I124, X)),IF(C124="Buy",(L124*G124*100)+I124,IF(C124="Sell",(L124*G124*100)-I124, X))))</f>
        <v/>
      </c>
      <c r="N124" s="78">
        <f>IF(ISBLANK(L124),"",IF(AND(C124="Sell",D124="Stock"),M124,IF(ISBLANK(L124),"",IF(C124="Buy",M124, IF(AND(C124="Sell",J124="NA"),(E124*G124*100*0.1)+I124, IF(C124="Sell",(J124-L124)*(100*G124)+I124))))))</f>
        <v/>
      </c>
      <c r="O124" s="75" t="n"/>
      <c r="P124" s="75" t="n"/>
      <c r="Q124" s="75">
        <f>IF(ISBLANK(P124),"",IF(D124="Stock",P124*G124,IF(P124=0,"0",G124*P124*100-(G124*$AF$14))))</f>
        <v/>
      </c>
      <c r="R124" s="79">
        <f>IF(P124&lt;&gt;"", TODAY(), "")</f>
        <v/>
      </c>
      <c r="S124" s="78">
        <f>IF(AND(K124&lt;&gt;"", R124&lt;&gt;""), R124-K124, "")</f>
        <v/>
      </c>
      <c r="T124" s="78" t="n"/>
      <c r="U124" s="92">
        <f>IF(ISBLANK(P124),"",IF(C124="Buy",Q124-M124+T124, IF(C124="Sell",M124-Q124-T124, X)))</f>
        <v/>
      </c>
      <c r="V124" s="81">
        <f>IF(ISBLANK(P124),"",U124/N124)</f>
        <v/>
      </c>
      <c r="W124" s="81">
        <f>IF(ISBLANK(P124),"",IF(S124=0,(365/0.5)*V124,(365/S124)*V124))</f>
        <v/>
      </c>
      <c r="X124" s="75" t="n"/>
      <c r="Y124" s="77" t="n"/>
      <c r="Z124" s="77" t="n"/>
      <c r="AA124" s="75" t="n"/>
      <c r="AB124" s="75" t="n"/>
      <c r="AC124" s="6" t="n"/>
      <c r="AD124" s="75" t="n"/>
      <c r="AE124" s="75" t="n"/>
      <c r="AF124" s="75" t="n"/>
    </row>
    <row r="125" ht="15.75" customHeight="1" s="133">
      <c r="A125" s="75" t="n"/>
      <c r="B125" s="75" t="n"/>
      <c r="C125" s="75" t="n"/>
      <c r="D125" s="75" t="n"/>
      <c r="E125" s="76" t="n"/>
      <c r="F125" s="77" t="n"/>
      <c r="G125" s="75" t="n"/>
      <c r="H125" s="75">
        <f>IF(ISBLANK(E125),"",IF(OR(D125="Butterfly",D125="Butterfly ",D125="Iron Fly", D125="Iron Fly "),LEN(E125)-LEN(SUBSTITUTE(E125,"/",""))+2,LEN(E125)-LEN(SUBSTITUTE(E125,"/",""))+1))</f>
        <v/>
      </c>
      <c r="I125" s="78">
        <f>IF(ISBLANK(G125),"",IF(D125="Stock","0",Key!$A$3*H125*G125))</f>
        <v/>
      </c>
      <c r="J125" s="78">
        <f>IF(ISBLANK(E125),"",IF(ISNUMBER(SEARCH("/",E125)), IF(LEN(E125)-LEN(SUBSTITUTE(E125,"/",""))=1,(RIGHT(E125,LEN(E125)-FIND("/",E125)))-(LEFT(E125,FIND("/",E125)-1)),(MID(E125, SEARCH("/",E125) + 1, SEARCH("/",E125, SEARCH("/",E125)+1) - SEARCH("/",E125) - 1))-(LEFT(E125,FIND("/",E125)-1))), "NA"))</f>
        <v/>
      </c>
      <c r="K125" s="79">
        <f>IF(A125&lt;&gt;"", IF(ISBLANK(L125), TODAY(), K125), "")</f>
        <v/>
      </c>
      <c r="L125" s="78" t="n"/>
      <c r="M125" s="78">
        <f>IF(ISBLANK(L125),"",IF(D125="Stock",IF(C125="Buy",L125*G125,IF(C125="Sell",(L125*G125)-I125, X)),IF(C125="Buy",(L125*G125*100)+I125,IF(C125="Sell",(L125*G125*100)-I125, X))))</f>
        <v/>
      </c>
      <c r="N125" s="78">
        <f>IF(ISBLANK(L125),"",IF(AND(C125="Sell",D125="Stock"),M125,IF(ISBLANK(L125),"",IF(C125="Buy",M125, IF(AND(C125="Sell",J125="NA"),(E125*G125*100*0.1)+I125, IF(C125="Sell",(J125-L125)*(100*G125)+I125))))))</f>
        <v/>
      </c>
      <c r="O125" s="75" t="n"/>
      <c r="P125" s="75" t="n"/>
      <c r="Q125" s="75">
        <f>IF(ISBLANK(P125),"",IF(D125="Stock",P125*G125,IF(P125=0,"0",G125*P125*100-(G125*$AF$14))))</f>
        <v/>
      </c>
      <c r="R125" s="79">
        <f>IF(P125&lt;&gt;"", TODAY(), "")</f>
        <v/>
      </c>
      <c r="S125" s="78">
        <f>IF(AND(K125&lt;&gt;"", R125&lt;&gt;""), R125-K125, "")</f>
        <v/>
      </c>
      <c r="T125" s="78" t="n"/>
      <c r="U125" s="92">
        <f>IF(ISBLANK(P125),"",IF(C125="Buy",Q125-M125+T125, IF(C125="Sell",M125-Q125-T125, X)))</f>
        <v/>
      </c>
      <c r="V125" s="81">
        <f>IF(ISBLANK(P125),"",U125/N125)</f>
        <v/>
      </c>
      <c r="W125" s="81">
        <f>IF(ISBLANK(P125),"",IF(S125=0,(365/0.5)*V125,(365/S125)*V125))</f>
        <v/>
      </c>
      <c r="X125" s="75" t="n"/>
      <c r="Y125" s="77" t="n"/>
      <c r="Z125" s="77" t="n"/>
      <c r="AA125" s="75" t="n"/>
      <c r="AB125" s="75" t="n"/>
      <c r="AC125" s="6" t="n"/>
      <c r="AD125" s="75" t="n"/>
      <c r="AE125" s="75" t="n"/>
      <c r="AF125" s="75" t="n"/>
    </row>
    <row r="126" ht="15.75" customHeight="1" s="133">
      <c r="A126" s="75" t="n"/>
      <c r="B126" s="75" t="n"/>
      <c r="C126" s="75" t="n"/>
      <c r="D126" s="75" t="n"/>
      <c r="E126" s="76" t="n"/>
      <c r="F126" s="77" t="n"/>
      <c r="G126" s="75" t="n"/>
      <c r="H126" s="75">
        <f>IF(ISBLANK(E126),"",IF(OR(D126="Butterfly",D126="Butterfly ",D126="Iron Fly", D126="Iron Fly "),LEN(E126)-LEN(SUBSTITUTE(E126,"/",""))+2,LEN(E126)-LEN(SUBSTITUTE(E126,"/",""))+1))</f>
        <v/>
      </c>
      <c r="I126" s="78">
        <f>IF(ISBLANK(G126),"",IF(D126="Stock","0",Key!$A$3*H126*G126))</f>
        <v/>
      </c>
      <c r="J126" s="78">
        <f>IF(ISBLANK(E126),"",IF(ISNUMBER(SEARCH("/",E126)), IF(LEN(E126)-LEN(SUBSTITUTE(E126,"/",""))=1,(RIGHT(E126,LEN(E126)-FIND("/",E126)))-(LEFT(E126,FIND("/",E126)-1)),(MID(E126, SEARCH("/",E126) + 1, SEARCH("/",E126, SEARCH("/",E126)+1) - SEARCH("/",E126) - 1))-(LEFT(E126,FIND("/",E126)-1))), "NA"))</f>
        <v/>
      </c>
      <c r="K126" s="79">
        <f>IF(A126&lt;&gt;"", IF(ISBLANK(L126), TODAY(), K126), "")</f>
        <v/>
      </c>
      <c r="L126" s="78" t="n"/>
      <c r="M126" s="78">
        <f>IF(ISBLANK(L126),"",IF(D126="Stock",IF(C126="Buy",L126*G126,IF(C126="Sell",(L126*G126)-I126, X)),IF(C126="Buy",(L126*G126*100)+I126,IF(C126="Sell",(L126*G126*100)-I126, X))))</f>
        <v/>
      </c>
      <c r="N126" s="78">
        <f>IF(ISBLANK(L126),"",IF(AND(C126="Sell",D126="Stock"),M126,IF(ISBLANK(L126),"",IF(C126="Buy",M126, IF(AND(C126="Sell",J126="NA"),(E126*G126*100*0.1)+I126, IF(C126="Sell",(J126-L126)*(100*G126)+I126))))))</f>
        <v/>
      </c>
      <c r="O126" s="75" t="n"/>
      <c r="P126" s="75" t="n"/>
      <c r="Q126" s="75">
        <f>IF(ISBLANK(P126),"",IF(D126="Stock",P126*G126,IF(P126=0,"0",G126*P126*100-(G126*$AF$14))))</f>
        <v/>
      </c>
      <c r="R126" s="79">
        <f>IF(P126&lt;&gt;"", TODAY(), "")</f>
        <v/>
      </c>
      <c r="S126" s="78">
        <f>IF(AND(K126&lt;&gt;"", R126&lt;&gt;""), R126-K126, "")</f>
        <v/>
      </c>
      <c r="T126" s="78" t="n"/>
      <c r="U126" s="92">
        <f>IF(ISBLANK(P126),"",IF(C126="Buy",Q126-M126+T126, IF(C126="Sell",M126-Q126-T126, X)))</f>
        <v/>
      </c>
      <c r="V126" s="81">
        <f>IF(ISBLANK(P126),"",U126/N126)</f>
        <v/>
      </c>
      <c r="W126" s="81">
        <f>IF(ISBLANK(P126),"",IF(S126=0,(365/0.5)*V126,(365/S126)*V126))</f>
        <v/>
      </c>
      <c r="X126" s="75" t="n"/>
      <c r="Y126" s="77" t="n"/>
      <c r="Z126" s="77" t="n"/>
      <c r="AA126" s="75" t="n"/>
      <c r="AB126" s="75" t="n"/>
      <c r="AC126" s="6" t="n"/>
      <c r="AD126" s="75" t="n"/>
      <c r="AE126" s="75" t="n"/>
      <c r="AF126" s="75" t="n"/>
    </row>
    <row r="127" ht="15.75" customHeight="1" s="133">
      <c r="A127" s="75" t="n"/>
      <c r="B127" s="75" t="n"/>
      <c r="C127" s="75" t="n"/>
      <c r="D127" s="75" t="n"/>
      <c r="E127" s="76" t="n"/>
      <c r="F127" s="77" t="n"/>
      <c r="G127" s="75" t="n"/>
      <c r="H127" s="75">
        <f>IF(ISBLANK(E127),"",IF(OR(D127="Butterfly",D127="Butterfly ",D127="Iron Fly", D127="Iron Fly "),LEN(E127)-LEN(SUBSTITUTE(E127,"/",""))+2,LEN(E127)-LEN(SUBSTITUTE(E127,"/",""))+1))</f>
        <v/>
      </c>
      <c r="I127" s="78">
        <f>IF(ISBLANK(G127),"",IF(D127="Stock","0",Key!$A$3*H127*G127))</f>
        <v/>
      </c>
      <c r="J127" s="78">
        <f>IF(ISBLANK(E127),"",IF(ISNUMBER(SEARCH("/",E127)), IF(LEN(E127)-LEN(SUBSTITUTE(E127,"/",""))=1,(RIGHT(E127,LEN(E127)-FIND("/",E127)))-(LEFT(E127,FIND("/",E127)-1)),(MID(E127, SEARCH("/",E127) + 1, SEARCH("/",E127, SEARCH("/",E127)+1) - SEARCH("/",E127) - 1))-(LEFT(E127,FIND("/",E127)-1))), "NA"))</f>
        <v/>
      </c>
      <c r="K127" s="79">
        <f>IF(A127&lt;&gt;"", IF(ISBLANK(L127), TODAY(), K127), "")</f>
        <v/>
      </c>
      <c r="L127" s="78" t="n"/>
      <c r="M127" s="78">
        <f>IF(ISBLANK(L127),"",IF(D127="Stock",IF(C127="Buy",L127*G127,IF(C127="Sell",(L127*G127)-I127, X)),IF(C127="Buy",(L127*G127*100)+I127,IF(C127="Sell",(L127*G127*100)-I127, X))))</f>
        <v/>
      </c>
      <c r="N127" s="78">
        <f>IF(ISBLANK(L127),"",IF(AND(C127="Sell",D127="Stock"),M127,IF(ISBLANK(L127),"",IF(C127="Buy",M127, IF(AND(C127="Sell",J127="NA"),(E127*G127*100*0.1)+I127, IF(C127="Sell",(J127-L127)*(100*G127)+I127))))))</f>
        <v/>
      </c>
      <c r="O127" s="75" t="n"/>
      <c r="P127" s="75" t="n"/>
      <c r="Q127" s="75">
        <f>IF(ISBLANK(P127),"",IF(D127="Stock",P127*G127,IF(P127=0,"0",G127*P127*100-(G127*$AF$14))))</f>
        <v/>
      </c>
      <c r="R127" s="79">
        <f>IF(P127&lt;&gt;"", TODAY(), "")</f>
        <v/>
      </c>
      <c r="S127" s="78">
        <f>IF(AND(K127&lt;&gt;"", R127&lt;&gt;""), R127-K127, "")</f>
        <v/>
      </c>
      <c r="T127" s="78" t="n"/>
      <c r="U127" s="92">
        <f>IF(ISBLANK(P127),"",IF(C127="Buy",Q127-M127+T127, IF(C127="Sell",M127-Q127-T127, X)))</f>
        <v/>
      </c>
      <c r="V127" s="81">
        <f>IF(ISBLANK(P127),"",U127/N127)</f>
        <v/>
      </c>
      <c r="W127" s="81">
        <f>IF(ISBLANK(P127),"",IF(S127=0,(365/0.5)*V127,(365/S127)*V127))</f>
        <v/>
      </c>
      <c r="X127" s="75" t="n"/>
      <c r="Y127" s="77" t="n"/>
      <c r="Z127" s="77" t="n"/>
      <c r="AA127" s="75" t="n"/>
      <c r="AB127" s="75" t="n"/>
      <c r="AC127" s="6" t="n"/>
      <c r="AD127" s="75" t="n"/>
      <c r="AE127" s="75" t="n"/>
      <c r="AF127" s="75" t="n"/>
    </row>
    <row r="128" ht="15.75" customHeight="1" s="133">
      <c r="A128" s="75" t="n"/>
      <c r="B128" s="75" t="n"/>
      <c r="C128" s="75" t="n"/>
      <c r="D128" s="75" t="n"/>
      <c r="E128" s="76" t="n"/>
      <c r="F128" s="77" t="n"/>
      <c r="G128" s="75" t="n"/>
      <c r="H128" s="75">
        <f>IF(ISBLANK(E128),"",IF(OR(D128="Butterfly",D128="Butterfly ",D128="Iron Fly", D128="Iron Fly "),LEN(E128)-LEN(SUBSTITUTE(E128,"/",""))+2,LEN(E128)-LEN(SUBSTITUTE(E128,"/",""))+1))</f>
        <v/>
      </c>
      <c r="I128" s="78">
        <f>IF(ISBLANK(G128),"",IF(D128="Stock","0",Key!$A$3*H128*G128))</f>
        <v/>
      </c>
      <c r="J128" s="78">
        <f>IF(ISBLANK(E128),"",IF(ISNUMBER(SEARCH("/",E128)), IF(LEN(E128)-LEN(SUBSTITUTE(E128,"/",""))=1,(RIGHT(E128,LEN(E128)-FIND("/",E128)))-(LEFT(E128,FIND("/",E128)-1)),(MID(E128, SEARCH("/",E128) + 1, SEARCH("/",E128, SEARCH("/",E128)+1) - SEARCH("/",E128) - 1))-(LEFT(E128,FIND("/",E128)-1))), "NA"))</f>
        <v/>
      </c>
      <c r="K128" s="79">
        <f>IF(A128&lt;&gt;"", IF(ISBLANK(L128), TODAY(), K128), "")</f>
        <v/>
      </c>
      <c r="L128" s="78" t="n"/>
      <c r="M128" s="78">
        <f>IF(ISBLANK(L128),"",IF(D128="Stock",IF(C128="Buy",L128*G128,IF(C128="Sell",(L128*G128)-I128, X)),IF(C128="Buy",(L128*G128*100)+I128,IF(C128="Sell",(L128*G128*100)-I128, X))))</f>
        <v/>
      </c>
      <c r="N128" s="78">
        <f>IF(ISBLANK(L128),"",IF(AND(C128="Sell",D128="Stock"),M128,IF(ISBLANK(L128),"",IF(C128="Buy",M128, IF(AND(C128="Sell",J128="NA"),(E128*G128*100*0.1)+I128, IF(C128="Sell",(J128-L128)*(100*G128)+I128))))))</f>
        <v/>
      </c>
      <c r="O128" s="75" t="n"/>
      <c r="P128" s="75" t="n"/>
      <c r="Q128" s="75">
        <f>IF(ISBLANK(P128),"",IF(D128="Stock",P128*G128,IF(P128=0,"0",G128*P128*100-(G128*$AF$14))))</f>
        <v/>
      </c>
      <c r="R128" s="79">
        <f>IF(P128&lt;&gt;"", TODAY(), "")</f>
        <v/>
      </c>
      <c r="S128" s="78">
        <f>IF(AND(K128&lt;&gt;"", R128&lt;&gt;""), R128-K128, "")</f>
        <v/>
      </c>
      <c r="T128" s="78" t="n"/>
      <c r="U128" s="92">
        <f>IF(ISBLANK(P128),"",IF(C128="Buy",Q128-M128+T128, IF(C128="Sell",M128-Q128-T128, X)))</f>
        <v/>
      </c>
      <c r="V128" s="81">
        <f>IF(ISBLANK(P128),"",U128/N128)</f>
        <v/>
      </c>
      <c r="W128" s="81">
        <f>IF(ISBLANK(P128),"",IF(S128=0,(365/0.5)*V128,(365/S128)*V128))</f>
        <v/>
      </c>
      <c r="X128" s="75" t="n"/>
      <c r="Y128" s="77" t="n"/>
      <c r="Z128" s="77" t="n"/>
      <c r="AA128" s="75" t="n"/>
      <c r="AB128" s="75" t="n"/>
      <c r="AC128" s="6" t="n"/>
      <c r="AD128" s="75" t="n"/>
      <c r="AE128" s="75" t="n"/>
      <c r="AF128" s="75" t="n"/>
    </row>
    <row r="129" ht="15.75" customHeight="1" s="133">
      <c r="A129" s="75" t="n"/>
      <c r="B129" s="75" t="n"/>
      <c r="C129" s="75" t="n"/>
      <c r="D129" s="75" t="n"/>
      <c r="E129" s="76" t="n"/>
      <c r="F129" s="77" t="n"/>
      <c r="G129" s="75" t="n"/>
      <c r="H129" s="75">
        <f>IF(ISBLANK(E129),"",IF(OR(D129="Butterfly",D129="Butterfly ",D129="Iron Fly", D129="Iron Fly "),LEN(E129)-LEN(SUBSTITUTE(E129,"/",""))+2,LEN(E129)-LEN(SUBSTITUTE(E129,"/",""))+1))</f>
        <v/>
      </c>
      <c r="I129" s="78">
        <f>IF(ISBLANK(G129),"",IF(D129="Stock","0",Key!$A$3*H129*G129))</f>
        <v/>
      </c>
      <c r="J129" s="78">
        <f>IF(ISBLANK(E129),"",IF(ISNUMBER(SEARCH("/",E129)), IF(LEN(E129)-LEN(SUBSTITUTE(E129,"/",""))=1,(RIGHT(E129,LEN(E129)-FIND("/",E129)))-(LEFT(E129,FIND("/",E129)-1)),(MID(E129, SEARCH("/",E129) + 1, SEARCH("/",E129, SEARCH("/",E129)+1) - SEARCH("/",E129) - 1))-(LEFT(E129,FIND("/",E129)-1))), "NA"))</f>
        <v/>
      </c>
      <c r="K129" s="79">
        <f>IF(A129&lt;&gt;"", IF(ISBLANK(L129), TODAY(), K129), "")</f>
        <v/>
      </c>
      <c r="L129" s="78" t="n"/>
      <c r="M129" s="78">
        <f>IF(ISBLANK(L129),"",IF(D129="Stock",IF(C129="Buy",L129*G129,IF(C129="Sell",(L129*G129)-I129, X)),IF(C129="Buy",(L129*G129*100)+I129,IF(C129="Sell",(L129*G129*100)-I129, X))))</f>
        <v/>
      </c>
      <c r="N129" s="78">
        <f>IF(ISBLANK(L129),"",IF(AND(C129="Sell",D129="Stock"),M129,IF(ISBLANK(L129),"",IF(C129="Buy",M129, IF(AND(C129="Sell",J129="NA"),(E129*G129*100*0.1)+I129, IF(C129="Sell",(J129-L129)*(100*G129)+I129))))))</f>
        <v/>
      </c>
      <c r="O129" s="75" t="n"/>
      <c r="P129" s="75" t="n"/>
      <c r="Q129" s="75">
        <f>IF(ISBLANK(P129),"",IF(D129="Stock",P129*G129,IF(P129=0,"0",G129*P129*100-(G129*$AF$14))))</f>
        <v/>
      </c>
      <c r="R129" s="79">
        <f>IF(P129&lt;&gt;"", TODAY(), "")</f>
        <v/>
      </c>
      <c r="S129" s="78">
        <f>IF(AND(K129&lt;&gt;"", R129&lt;&gt;""), R129-K129, "")</f>
        <v/>
      </c>
      <c r="T129" s="78" t="n"/>
      <c r="U129" s="92">
        <f>IF(ISBLANK(P129),"",IF(C129="Buy",Q129-M129+T129, IF(C129="Sell",M129-Q129-T129, X)))</f>
        <v/>
      </c>
      <c r="V129" s="81">
        <f>IF(ISBLANK(P129),"",U129/N129)</f>
        <v/>
      </c>
      <c r="W129" s="81">
        <f>IF(ISBLANK(P129),"",IF(S129=0,(365/0.5)*V129,(365/S129)*V129))</f>
        <v/>
      </c>
      <c r="X129" s="75" t="n"/>
      <c r="Y129" s="77" t="n"/>
      <c r="Z129" s="77" t="n"/>
      <c r="AA129" s="75" t="n"/>
      <c r="AB129" s="75" t="n"/>
      <c r="AC129" s="6" t="n"/>
      <c r="AD129" s="75" t="n"/>
      <c r="AE129" s="75" t="n"/>
      <c r="AF129" s="75" t="n"/>
    </row>
    <row r="130" ht="15.75" customHeight="1" s="133">
      <c r="A130" s="75" t="n"/>
      <c r="B130" s="75" t="n"/>
      <c r="C130" s="75" t="n"/>
      <c r="D130" s="75" t="n"/>
      <c r="E130" s="76" t="n"/>
      <c r="F130" s="77" t="n"/>
      <c r="G130" s="75" t="n"/>
      <c r="H130" s="75">
        <f>IF(ISBLANK(E130),"",IF(OR(D130="Butterfly",D130="Butterfly ",D130="Iron Fly", D130="Iron Fly "),LEN(E130)-LEN(SUBSTITUTE(E130,"/",""))+2,LEN(E130)-LEN(SUBSTITUTE(E130,"/",""))+1))</f>
        <v/>
      </c>
      <c r="I130" s="78">
        <f>IF(ISBLANK(G130),"",IF(D130="Stock","0",Key!$A$3*H130*G130))</f>
        <v/>
      </c>
      <c r="J130" s="78">
        <f>IF(ISBLANK(E130),"",IF(ISNUMBER(SEARCH("/",E130)), IF(LEN(E130)-LEN(SUBSTITUTE(E130,"/",""))=1,(RIGHT(E130,LEN(E130)-FIND("/",E130)))-(LEFT(E130,FIND("/",E130)-1)),(MID(E130, SEARCH("/",E130) + 1, SEARCH("/",E130, SEARCH("/",E130)+1) - SEARCH("/",E130) - 1))-(LEFT(E130,FIND("/",E130)-1))), "NA"))</f>
        <v/>
      </c>
      <c r="K130" s="79">
        <f>IF(A130&lt;&gt;"", IF(ISBLANK(L130), TODAY(), K130), "")</f>
        <v/>
      </c>
      <c r="L130" s="78" t="n"/>
      <c r="M130" s="78">
        <f>IF(ISBLANK(L130),"",IF(D130="Stock",IF(C130="Buy",L130*G130,IF(C130="Sell",(L130*G130)-I130, X)),IF(C130="Buy",(L130*G130*100)+I130,IF(C130="Sell",(L130*G130*100)-I130, X))))</f>
        <v/>
      </c>
      <c r="N130" s="78">
        <f>IF(ISBLANK(L130),"",IF(AND(C130="Sell",D130="Stock"),M130,IF(ISBLANK(L130),"",IF(C130="Buy",M130, IF(AND(C130="Sell",J130="NA"),(E130*G130*100*0.1)+I130, IF(C130="Sell",(J130-L130)*(100*G130)+I130))))))</f>
        <v/>
      </c>
      <c r="O130" s="75" t="n"/>
      <c r="P130" s="75" t="n"/>
      <c r="Q130" s="75">
        <f>IF(ISBLANK(P130),"",IF(D130="Stock",P130*G130,IF(P130=0,"0",G130*P130*100-(G130*$AF$14))))</f>
        <v/>
      </c>
      <c r="R130" s="79">
        <f>IF(P130&lt;&gt;"", TODAY(), "")</f>
        <v/>
      </c>
      <c r="S130" s="78">
        <f>IF(AND(K130&lt;&gt;"", R130&lt;&gt;""), R130-K130, "")</f>
        <v/>
      </c>
      <c r="T130" s="78" t="n"/>
      <c r="U130" s="92">
        <f>IF(ISBLANK(P130),"",IF(C130="Buy",Q130-M130+T130, IF(C130="Sell",M130-Q130-T130, X)))</f>
        <v/>
      </c>
      <c r="V130" s="81">
        <f>IF(ISBLANK(P130),"",U130/N130)</f>
        <v/>
      </c>
      <c r="W130" s="81">
        <f>IF(ISBLANK(P130),"",IF(S130=0,(365/0.5)*V130,(365/S130)*V130))</f>
        <v/>
      </c>
      <c r="X130" s="75" t="n"/>
      <c r="Y130" s="77" t="n"/>
      <c r="Z130" s="77" t="n"/>
      <c r="AA130" s="75" t="n"/>
      <c r="AB130" s="75" t="n"/>
      <c r="AC130" s="6" t="n"/>
      <c r="AD130" s="75" t="n"/>
      <c r="AE130" s="75" t="n"/>
      <c r="AF130" s="75" t="n"/>
    </row>
    <row r="131" ht="15.75" customHeight="1" s="133">
      <c r="A131" s="75" t="n"/>
      <c r="B131" s="75" t="n"/>
      <c r="C131" s="75" t="n"/>
      <c r="D131" s="75" t="n"/>
      <c r="E131" s="76" t="n"/>
      <c r="F131" s="77" t="n"/>
      <c r="G131" s="75" t="n"/>
      <c r="H131" s="75">
        <f>IF(ISBLANK(E131),"",IF(OR(D131="Butterfly",D131="Butterfly ",D131="Iron Fly", D131="Iron Fly "),LEN(E131)-LEN(SUBSTITUTE(E131,"/",""))+2,LEN(E131)-LEN(SUBSTITUTE(E131,"/",""))+1))</f>
        <v/>
      </c>
      <c r="I131" s="78">
        <f>IF(ISBLANK(G131),"",IF(D131="Stock","0",Key!$A$3*H131*G131))</f>
        <v/>
      </c>
      <c r="J131" s="78">
        <f>IF(ISBLANK(E131),"",IF(ISNUMBER(SEARCH("/",E131)), IF(LEN(E131)-LEN(SUBSTITUTE(E131,"/",""))=1,(RIGHT(E131,LEN(E131)-FIND("/",E131)))-(LEFT(E131,FIND("/",E131)-1)),(MID(E131, SEARCH("/",E131) + 1, SEARCH("/",E131, SEARCH("/",E131)+1) - SEARCH("/",E131) - 1))-(LEFT(E131,FIND("/",E131)-1))), "NA"))</f>
        <v/>
      </c>
      <c r="K131" s="79">
        <f>IF(A131&lt;&gt;"", IF(ISBLANK(L131), TODAY(), K131), "")</f>
        <v/>
      </c>
      <c r="L131" s="78" t="n"/>
      <c r="M131" s="78">
        <f>IF(ISBLANK(L131),"",IF(D131="Stock",IF(C131="Buy",L131*G131,IF(C131="Sell",(L131*G131)-I131, X)),IF(C131="Buy",(L131*G131*100)+I131,IF(C131="Sell",(L131*G131*100)-I131, X))))</f>
        <v/>
      </c>
      <c r="N131" s="78">
        <f>IF(ISBLANK(L131),"",IF(AND(C131="Sell",D131="Stock"),M131,IF(ISBLANK(L131),"",IF(C131="Buy",M131, IF(AND(C131="Sell",J131="NA"),(E131*G131*100*0.1)+I131, IF(C131="Sell",(J131-L131)*(100*G131)+I131))))))</f>
        <v/>
      </c>
      <c r="O131" s="75" t="n"/>
      <c r="P131" s="75" t="n"/>
      <c r="Q131" s="75">
        <f>IF(ISBLANK(P131),"",IF(D131="Stock",P131*G131,IF(P131=0,"0",G131*P131*100-(G131*$AF$14))))</f>
        <v/>
      </c>
      <c r="R131" s="79">
        <f>IF(P131&lt;&gt;"", TODAY(), "")</f>
        <v/>
      </c>
      <c r="S131" s="78">
        <f>IF(AND(K131&lt;&gt;"", R131&lt;&gt;""), R131-K131, "")</f>
        <v/>
      </c>
      <c r="T131" s="78" t="n"/>
      <c r="U131" s="92">
        <f>IF(ISBLANK(P131),"",IF(C131="Buy",Q131-M131+T131, IF(C131="Sell",M131-Q131-T131, X)))</f>
        <v/>
      </c>
      <c r="V131" s="81">
        <f>IF(ISBLANK(P131),"",U131/N131)</f>
        <v/>
      </c>
      <c r="W131" s="81">
        <f>IF(ISBLANK(P131),"",IF(S131=0,(365/0.5)*V131,(365/S131)*V131))</f>
        <v/>
      </c>
      <c r="X131" s="75" t="n"/>
      <c r="Y131" s="77" t="n"/>
      <c r="Z131" s="77" t="n"/>
      <c r="AA131" s="75" t="n"/>
      <c r="AB131" s="75" t="n"/>
      <c r="AC131" s="6" t="n"/>
      <c r="AD131" s="75" t="n"/>
      <c r="AE131" s="75" t="n"/>
      <c r="AF131" s="75" t="n"/>
    </row>
    <row r="132" ht="15.75" customHeight="1" s="133">
      <c r="A132" s="75" t="n"/>
      <c r="B132" s="75" t="n"/>
      <c r="C132" s="75" t="n"/>
      <c r="D132" s="75" t="n"/>
      <c r="E132" s="76" t="n"/>
      <c r="F132" s="77" t="n"/>
      <c r="G132" s="75" t="n"/>
      <c r="H132" s="75">
        <f>IF(ISBLANK(E132),"",IF(OR(D132="Butterfly",D132="Butterfly ",D132="Iron Fly", D132="Iron Fly "),LEN(E132)-LEN(SUBSTITUTE(E132,"/",""))+2,LEN(E132)-LEN(SUBSTITUTE(E132,"/",""))+1))</f>
        <v/>
      </c>
      <c r="I132" s="78">
        <f>IF(ISBLANK(G132),"",IF(D132="Stock","0",Key!$A$3*H132*G132))</f>
        <v/>
      </c>
      <c r="J132" s="78">
        <f>IF(ISBLANK(E132),"",IF(ISNUMBER(SEARCH("/",E132)), IF(LEN(E132)-LEN(SUBSTITUTE(E132,"/",""))=1,(RIGHT(E132,LEN(E132)-FIND("/",E132)))-(LEFT(E132,FIND("/",E132)-1)),(MID(E132, SEARCH("/",E132) + 1, SEARCH("/",E132, SEARCH("/",E132)+1) - SEARCH("/",E132) - 1))-(LEFT(E132,FIND("/",E132)-1))), "NA"))</f>
        <v/>
      </c>
      <c r="K132" s="79">
        <f>IF(A132&lt;&gt;"", IF(ISBLANK(L132), TODAY(), K132), "")</f>
        <v/>
      </c>
      <c r="L132" s="78" t="n"/>
      <c r="M132" s="78">
        <f>IF(ISBLANK(L132),"",IF(D132="Stock",IF(C132="Buy",L132*G132,IF(C132="Sell",(L132*G132)-I132, X)),IF(C132="Buy",(L132*G132*100)+I132,IF(C132="Sell",(L132*G132*100)-I132, X))))</f>
        <v/>
      </c>
      <c r="N132" s="78">
        <f>IF(ISBLANK(L132),"",IF(AND(C132="Sell",D132="Stock"),M132,IF(ISBLANK(L132),"",IF(C132="Buy",M132, IF(AND(C132="Sell",J132="NA"),(E132*G132*100*0.1)+I132, IF(C132="Sell",(J132-L132)*(100*G132)+I132))))))</f>
        <v/>
      </c>
      <c r="O132" s="75" t="n"/>
      <c r="P132" s="75" t="n"/>
      <c r="Q132" s="75">
        <f>IF(ISBLANK(P132),"",IF(D132="Stock",P132*G132,IF(P132=0,"0",G132*P132*100-(G132*$AF$14))))</f>
        <v/>
      </c>
      <c r="R132" s="79">
        <f>IF(P132&lt;&gt;"", TODAY(), "")</f>
        <v/>
      </c>
      <c r="S132" s="78">
        <f>IF(AND(K132&lt;&gt;"", R132&lt;&gt;""), R132-K132, "")</f>
        <v/>
      </c>
      <c r="T132" s="78" t="n"/>
      <c r="U132" s="92">
        <f>IF(ISBLANK(P132),"",IF(C132="Buy",Q132-M132+T132, IF(C132="Sell",M132-Q132-T132, X)))</f>
        <v/>
      </c>
      <c r="V132" s="81">
        <f>IF(ISBLANK(P132),"",U132/N132)</f>
        <v/>
      </c>
      <c r="W132" s="81">
        <f>IF(ISBLANK(P132),"",IF(S132=0,(365/0.5)*V132,(365/S132)*V132))</f>
        <v/>
      </c>
      <c r="X132" s="75" t="n"/>
      <c r="Y132" s="77" t="n"/>
      <c r="Z132" s="77" t="n"/>
      <c r="AA132" s="75" t="n"/>
      <c r="AB132" s="75" t="n"/>
      <c r="AC132" s="6" t="n"/>
      <c r="AD132" s="75" t="n"/>
      <c r="AE132" s="75" t="n"/>
      <c r="AF132" s="75" t="n"/>
    </row>
    <row r="133" ht="15.75" customHeight="1" s="133">
      <c r="A133" s="75" t="n"/>
      <c r="B133" s="75" t="n"/>
      <c r="C133" s="75" t="n"/>
      <c r="D133" s="75" t="n"/>
      <c r="E133" s="76" t="n"/>
      <c r="F133" s="77" t="n"/>
      <c r="G133" s="75" t="n"/>
      <c r="H133" s="75">
        <f>IF(ISBLANK(E133),"",IF(OR(D133="Butterfly",D133="Butterfly ",D133="Iron Fly", D133="Iron Fly "),LEN(E133)-LEN(SUBSTITUTE(E133,"/",""))+2,LEN(E133)-LEN(SUBSTITUTE(E133,"/",""))+1))</f>
        <v/>
      </c>
      <c r="I133" s="78">
        <f>IF(ISBLANK(G133),"",IF(D133="Stock","0",Key!$A$3*H133*G133))</f>
        <v/>
      </c>
      <c r="J133" s="78">
        <f>IF(ISBLANK(E133),"",IF(ISNUMBER(SEARCH("/",E133)), IF(LEN(E133)-LEN(SUBSTITUTE(E133,"/",""))=1,(RIGHT(E133,LEN(E133)-FIND("/",E133)))-(LEFT(E133,FIND("/",E133)-1)),(MID(E133, SEARCH("/",E133) + 1, SEARCH("/",E133, SEARCH("/",E133)+1) - SEARCH("/",E133) - 1))-(LEFT(E133,FIND("/",E133)-1))), "NA"))</f>
        <v/>
      </c>
      <c r="K133" s="79">
        <f>IF(A133&lt;&gt;"", IF(ISBLANK(L133), TODAY(), K133), "")</f>
        <v/>
      </c>
      <c r="L133" s="78" t="n"/>
      <c r="M133" s="78">
        <f>IF(ISBLANK(L133),"",IF(D133="Stock",IF(C133="Buy",L133*G133,IF(C133="Sell",(L133*G133)-I133, X)),IF(C133="Buy",(L133*G133*100)+I133,IF(C133="Sell",(L133*G133*100)-I133, X))))</f>
        <v/>
      </c>
      <c r="N133" s="78">
        <f>IF(ISBLANK(L133),"",IF(AND(C133="Sell",D133="Stock"),M133,IF(ISBLANK(L133),"",IF(C133="Buy",M133, IF(AND(C133="Sell",J133="NA"),(E133*G133*100*0.1)+I133, IF(C133="Sell",(J133-L133)*(100*G133)+I133))))))</f>
        <v/>
      </c>
      <c r="O133" s="75" t="n"/>
      <c r="P133" s="75" t="n"/>
      <c r="Q133" s="75">
        <f>IF(ISBLANK(P133),"",IF(D133="Stock",P133*G133,IF(P133=0,"0",G133*P133*100-(G133*$AF$14))))</f>
        <v/>
      </c>
      <c r="R133" s="79">
        <f>IF(P133&lt;&gt;"", TODAY(), "")</f>
        <v/>
      </c>
      <c r="S133" s="78">
        <f>IF(AND(K133&lt;&gt;"", R133&lt;&gt;""), R133-K133, "")</f>
        <v/>
      </c>
      <c r="T133" s="78" t="n"/>
      <c r="U133" s="92">
        <f>IF(ISBLANK(P133),"",IF(C133="Buy",Q133-M133+T133, IF(C133="Sell",M133-Q133-T133, X)))</f>
        <v/>
      </c>
      <c r="V133" s="81">
        <f>IF(ISBLANK(P133),"",U133/N133)</f>
        <v/>
      </c>
      <c r="W133" s="81">
        <f>IF(ISBLANK(P133),"",IF(S133=0,(365/0.5)*V133,(365/S133)*V133))</f>
        <v/>
      </c>
      <c r="X133" s="75" t="n"/>
      <c r="Y133" s="77" t="n"/>
      <c r="Z133" s="77" t="n"/>
      <c r="AA133" s="75" t="n"/>
      <c r="AB133" s="75" t="n"/>
      <c r="AC133" s="6" t="n"/>
      <c r="AD133" s="75" t="n"/>
      <c r="AE133" s="75" t="n"/>
      <c r="AF133" s="75" t="n"/>
    </row>
    <row r="134" ht="15.75" customHeight="1" s="133">
      <c r="A134" s="75" t="n"/>
      <c r="B134" s="75" t="n"/>
      <c r="C134" s="75" t="n"/>
      <c r="D134" s="75" t="n"/>
      <c r="E134" s="76" t="n"/>
      <c r="F134" s="77" t="n"/>
      <c r="G134" s="75" t="n"/>
      <c r="H134" s="75">
        <f>IF(ISBLANK(E134),"",IF(OR(D134="Butterfly",D134="Butterfly ",D134="Iron Fly", D134="Iron Fly "),LEN(E134)-LEN(SUBSTITUTE(E134,"/",""))+2,LEN(E134)-LEN(SUBSTITUTE(E134,"/",""))+1))</f>
        <v/>
      </c>
      <c r="I134" s="78">
        <f>IF(ISBLANK(G134),"",IF(D134="Stock","0",Key!$A$3*H134*G134))</f>
        <v/>
      </c>
      <c r="J134" s="78">
        <f>IF(ISBLANK(E134),"",IF(ISNUMBER(SEARCH("/",E134)), IF(LEN(E134)-LEN(SUBSTITUTE(E134,"/",""))=1,(RIGHT(E134,LEN(E134)-FIND("/",E134)))-(LEFT(E134,FIND("/",E134)-1)),(MID(E134, SEARCH("/",E134) + 1, SEARCH("/",E134, SEARCH("/",E134)+1) - SEARCH("/",E134) - 1))-(LEFT(E134,FIND("/",E134)-1))), "NA"))</f>
        <v/>
      </c>
      <c r="K134" s="79">
        <f>IF(A134&lt;&gt;"", IF(ISBLANK(L134), TODAY(), K134), "")</f>
        <v/>
      </c>
      <c r="L134" s="78" t="n"/>
      <c r="M134" s="78">
        <f>IF(ISBLANK(L134),"",IF(D134="Stock",IF(C134="Buy",L134*G134,IF(C134="Sell",(L134*G134)-I134, X)),IF(C134="Buy",(L134*G134*100)+I134,IF(C134="Sell",(L134*G134*100)-I134, X))))</f>
        <v/>
      </c>
      <c r="N134" s="78">
        <f>IF(ISBLANK(L134),"",IF(AND(C134="Sell",D134="Stock"),M134,IF(ISBLANK(L134),"",IF(C134="Buy",M134, IF(AND(C134="Sell",J134="NA"),(E134*G134*100*0.1)+I134, IF(C134="Sell",(J134-L134)*(100*G134)+I134))))))</f>
        <v/>
      </c>
      <c r="O134" s="75" t="n"/>
      <c r="P134" s="75" t="n"/>
      <c r="Q134" s="75">
        <f>IF(ISBLANK(P134),"",IF(D134="Stock",P134*G134,IF(P134=0,"0",G134*P134*100-(G134*$AF$14))))</f>
        <v/>
      </c>
      <c r="R134" s="79">
        <f>IF(P134&lt;&gt;"", TODAY(), "")</f>
        <v/>
      </c>
      <c r="S134" s="78">
        <f>IF(AND(K134&lt;&gt;"", R134&lt;&gt;""), R134-K134, "")</f>
        <v/>
      </c>
      <c r="T134" s="78" t="n"/>
      <c r="U134" s="92">
        <f>IF(ISBLANK(P134),"",IF(C134="Buy",Q134-M134+T134, IF(C134="Sell",M134-Q134-T134, X)))</f>
        <v/>
      </c>
      <c r="V134" s="81">
        <f>IF(ISBLANK(P134),"",U134/N134)</f>
        <v/>
      </c>
      <c r="W134" s="81">
        <f>IF(ISBLANK(P134),"",IF(S134=0,(365/0.5)*V134,(365/S134)*V134))</f>
        <v/>
      </c>
      <c r="X134" s="75" t="n"/>
      <c r="Y134" s="77" t="n"/>
      <c r="Z134" s="77" t="n"/>
      <c r="AA134" s="75" t="n"/>
      <c r="AB134" s="75" t="n"/>
      <c r="AC134" s="6" t="n"/>
      <c r="AD134" s="75" t="n"/>
      <c r="AE134" s="75" t="n"/>
      <c r="AF134" s="75" t="n"/>
    </row>
    <row r="135" ht="15.75" customHeight="1" s="133">
      <c r="A135" s="75" t="n"/>
      <c r="B135" s="75" t="n"/>
      <c r="C135" s="75" t="n"/>
      <c r="D135" s="75" t="n"/>
      <c r="E135" s="76" t="n"/>
      <c r="F135" s="77" t="n"/>
      <c r="G135" s="75" t="n"/>
      <c r="H135" s="75">
        <f>IF(ISBLANK(E135),"",IF(OR(D135="Butterfly",D135="Butterfly ",D135="Iron Fly", D135="Iron Fly "),LEN(E135)-LEN(SUBSTITUTE(E135,"/",""))+2,LEN(E135)-LEN(SUBSTITUTE(E135,"/",""))+1))</f>
        <v/>
      </c>
      <c r="I135" s="78">
        <f>IF(ISBLANK(G135),"",IF(D135="Stock","0",Key!$A$3*H135*G135))</f>
        <v/>
      </c>
      <c r="J135" s="78">
        <f>IF(ISBLANK(E135),"",IF(ISNUMBER(SEARCH("/",E135)), IF(LEN(E135)-LEN(SUBSTITUTE(E135,"/",""))=1,(RIGHT(E135,LEN(E135)-FIND("/",E135)))-(LEFT(E135,FIND("/",E135)-1)),(MID(E135, SEARCH("/",E135) + 1, SEARCH("/",E135, SEARCH("/",E135)+1) - SEARCH("/",E135) - 1))-(LEFT(E135,FIND("/",E135)-1))), "NA"))</f>
        <v/>
      </c>
      <c r="K135" s="79">
        <f>IF(A135&lt;&gt;"", IF(ISBLANK(L135), TODAY(), K135), "")</f>
        <v/>
      </c>
      <c r="L135" s="78" t="n"/>
      <c r="M135" s="78">
        <f>IF(ISBLANK(L135),"",IF(D135="Stock",IF(C135="Buy",L135*G135,IF(C135="Sell",(L135*G135)-I135, X)),IF(C135="Buy",(L135*G135*100)+I135,IF(C135="Sell",(L135*G135*100)-I135, X))))</f>
        <v/>
      </c>
      <c r="N135" s="78">
        <f>IF(ISBLANK(L135),"",IF(AND(C135="Sell",D135="Stock"),M135,IF(ISBLANK(L135),"",IF(C135="Buy",M135, IF(AND(C135="Sell",J135="NA"),(E135*G135*100*0.1)+I135, IF(C135="Sell",(J135-L135)*(100*G135)+I135))))))</f>
        <v/>
      </c>
      <c r="O135" s="75" t="n"/>
      <c r="P135" s="75" t="n"/>
      <c r="Q135" s="75">
        <f>IF(ISBLANK(P135),"",IF(D135="Stock",P135*G135,IF(P135=0,"0",G135*P135*100-(G135*$AF$14))))</f>
        <v/>
      </c>
      <c r="R135" s="79">
        <f>IF(P135&lt;&gt;"", TODAY(), "")</f>
        <v/>
      </c>
      <c r="S135" s="78">
        <f>IF(AND(K135&lt;&gt;"", R135&lt;&gt;""), R135-K135, "")</f>
        <v/>
      </c>
      <c r="T135" s="78" t="n"/>
      <c r="U135" s="92">
        <f>IF(ISBLANK(P135),"",IF(C135="Buy",Q135-M135+T135, IF(C135="Sell",M135-Q135-T135, X)))</f>
        <v/>
      </c>
      <c r="V135" s="81">
        <f>IF(ISBLANK(P135),"",U135/N135)</f>
        <v/>
      </c>
      <c r="W135" s="81">
        <f>IF(ISBLANK(P135),"",IF(S135=0,(365/0.5)*V135,(365/S135)*V135))</f>
        <v/>
      </c>
      <c r="X135" s="75" t="n"/>
      <c r="Y135" s="77" t="n"/>
      <c r="Z135" s="77" t="n"/>
      <c r="AA135" s="75" t="n"/>
      <c r="AB135" s="75" t="n"/>
      <c r="AC135" s="6" t="n"/>
      <c r="AD135" s="75" t="n"/>
      <c r="AE135" s="75" t="n"/>
      <c r="AF135" s="75" t="n"/>
    </row>
    <row r="136" ht="15.75" customHeight="1" s="133">
      <c r="A136" s="75" t="n"/>
      <c r="B136" s="75" t="n"/>
      <c r="C136" s="75" t="n"/>
      <c r="D136" s="75" t="n"/>
      <c r="E136" s="76" t="n"/>
      <c r="F136" s="77" t="n"/>
      <c r="G136" s="75" t="n"/>
      <c r="H136" s="75">
        <f>IF(ISBLANK(E136),"",IF(OR(D136="Butterfly",D136="Butterfly ",D136="Iron Fly", D136="Iron Fly "),LEN(E136)-LEN(SUBSTITUTE(E136,"/",""))+2,LEN(E136)-LEN(SUBSTITUTE(E136,"/",""))+1))</f>
        <v/>
      </c>
      <c r="I136" s="78">
        <f>IF(ISBLANK(G136),"",IF(D136="Stock","0",Key!$A$3*H136*G136))</f>
        <v/>
      </c>
      <c r="J136" s="78">
        <f>IF(ISBLANK(E136),"",IF(ISNUMBER(SEARCH("/",E136)), IF(LEN(E136)-LEN(SUBSTITUTE(E136,"/",""))=1,(RIGHT(E136,LEN(E136)-FIND("/",E136)))-(LEFT(E136,FIND("/",E136)-1)),(MID(E136, SEARCH("/",E136) + 1, SEARCH("/",E136, SEARCH("/",E136)+1) - SEARCH("/",E136) - 1))-(LEFT(E136,FIND("/",E136)-1))), "NA"))</f>
        <v/>
      </c>
      <c r="K136" s="79">
        <f>IF(A136&lt;&gt;"", IF(ISBLANK(L136), TODAY(), K136), "")</f>
        <v/>
      </c>
      <c r="L136" s="78" t="n"/>
      <c r="M136" s="78">
        <f>IF(ISBLANK(L136),"",IF(D136="Stock",IF(C136="Buy",L136*G136,IF(C136="Sell",(L136*G136)-I136, X)),IF(C136="Buy",(L136*G136*100)+I136,IF(C136="Sell",(L136*G136*100)-I136, X))))</f>
        <v/>
      </c>
      <c r="N136" s="78">
        <f>IF(ISBLANK(L136),"",IF(AND(C136="Sell",D136="Stock"),M136,IF(ISBLANK(L136),"",IF(C136="Buy",M136, IF(AND(C136="Sell",J136="NA"),(E136*G136*100*0.1)+I136, IF(C136="Sell",(J136-L136)*(100*G136)+I136))))))</f>
        <v/>
      </c>
      <c r="O136" s="75" t="n"/>
      <c r="P136" s="75" t="n"/>
      <c r="Q136" s="75">
        <f>IF(ISBLANK(P136),"",IF(D136="Stock",P136*G136,IF(P136=0,"0",G136*P136*100-(G136*$AF$14))))</f>
        <v/>
      </c>
      <c r="R136" s="79">
        <f>IF(P136&lt;&gt;"", TODAY(), "")</f>
        <v/>
      </c>
      <c r="S136" s="78">
        <f>IF(AND(K136&lt;&gt;"", R136&lt;&gt;""), R136-K136, "")</f>
        <v/>
      </c>
      <c r="T136" s="78" t="n"/>
      <c r="U136" s="92">
        <f>IF(ISBLANK(P136),"",IF(C136="Buy",Q136-M136+T136, IF(C136="Sell",M136-Q136-T136, X)))</f>
        <v/>
      </c>
      <c r="V136" s="81">
        <f>IF(ISBLANK(P136),"",U136/N136)</f>
        <v/>
      </c>
      <c r="W136" s="81">
        <f>IF(ISBLANK(P136),"",IF(S136=0,(365/0.5)*V136,(365/S136)*V136))</f>
        <v/>
      </c>
      <c r="X136" s="75" t="n"/>
      <c r="Y136" s="77" t="n"/>
      <c r="Z136" s="77" t="n"/>
      <c r="AA136" s="75" t="n"/>
      <c r="AB136" s="75" t="n"/>
      <c r="AC136" s="6" t="n"/>
      <c r="AD136" s="75" t="n"/>
      <c r="AE136" s="75" t="n"/>
      <c r="AF136" s="75" t="n"/>
    </row>
    <row r="137" ht="15.75" customHeight="1" s="133">
      <c r="A137" s="75" t="n"/>
      <c r="B137" s="75" t="n"/>
      <c r="C137" s="75" t="n"/>
      <c r="D137" s="75" t="n"/>
      <c r="E137" s="76" t="n"/>
      <c r="F137" s="77" t="n"/>
      <c r="G137" s="75" t="n"/>
      <c r="H137" s="75">
        <f>IF(ISBLANK(E137),"",IF(OR(D137="Butterfly",D137="Butterfly ",D137="Iron Fly", D137="Iron Fly "),LEN(E137)-LEN(SUBSTITUTE(E137,"/",""))+2,LEN(E137)-LEN(SUBSTITUTE(E137,"/",""))+1))</f>
        <v/>
      </c>
      <c r="I137" s="78">
        <f>IF(ISBLANK(G137),"",IF(D137="Stock","0",Key!$A$3*H137*G137))</f>
        <v/>
      </c>
      <c r="J137" s="78">
        <f>IF(ISBLANK(E137),"",IF(ISNUMBER(SEARCH("/",E137)), IF(LEN(E137)-LEN(SUBSTITUTE(E137,"/",""))=1,(RIGHT(E137,LEN(E137)-FIND("/",E137)))-(LEFT(E137,FIND("/",E137)-1)),(MID(E137, SEARCH("/",E137) + 1, SEARCH("/",E137, SEARCH("/",E137)+1) - SEARCH("/",E137) - 1))-(LEFT(E137,FIND("/",E137)-1))), "NA"))</f>
        <v/>
      </c>
      <c r="K137" s="79">
        <f>IF(A137&lt;&gt;"", IF(ISBLANK(L137), TODAY(), K137), "")</f>
        <v/>
      </c>
      <c r="L137" s="78" t="n"/>
      <c r="M137" s="78">
        <f>IF(ISBLANK(L137),"",IF(D137="Stock",IF(C137="Buy",L137*G137,IF(C137="Sell",(L137*G137)-I137, X)),IF(C137="Buy",(L137*G137*100)+I137,IF(C137="Sell",(L137*G137*100)-I137, X))))</f>
        <v/>
      </c>
      <c r="N137" s="78">
        <f>IF(ISBLANK(L137),"",IF(AND(C137="Sell",D137="Stock"),M137,IF(ISBLANK(L137),"",IF(C137="Buy",M137, IF(AND(C137="Sell",J137="NA"),(E137*G137*100*0.1)+I137, IF(C137="Sell",(J137-L137)*(100*G137)+I137))))))</f>
        <v/>
      </c>
      <c r="O137" s="75" t="n"/>
      <c r="P137" s="75" t="n"/>
      <c r="Q137" s="75">
        <f>IF(ISBLANK(P137),"",IF(D137="Stock",P137*G137,IF(P137=0,"0",G137*P137*100-(G137*$AF$14))))</f>
        <v/>
      </c>
      <c r="R137" s="79">
        <f>IF(P137&lt;&gt;"", TODAY(), "")</f>
        <v/>
      </c>
      <c r="S137" s="78">
        <f>IF(AND(K137&lt;&gt;"", R137&lt;&gt;""), R137-K137, "")</f>
        <v/>
      </c>
      <c r="T137" s="78" t="n"/>
      <c r="U137" s="92">
        <f>IF(ISBLANK(P137),"",IF(C137="Buy",Q137-M137+T137, IF(C137="Sell",M137-Q137-T137, X)))</f>
        <v/>
      </c>
      <c r="V137" s="81">
        <f>IF(ISBLANK(P137),"",U137/N137)</f>
        <v/>
      </c>
      <c r="W137" s="81">
        <f>IF(ISBLANK(P137),"",IF(S137=0,(365/0.5)*V137,(365/S137)*V137))</f>
        <v/>
      </c>
      <c r="X137" s="75" t="n"/>
      <c r="Y137" s="77" t="n"/>
      <c r="Z137" s="77" t="n"/>
      <c r="AA137" s="75" t="n"/>
      <c r="AB137" s="75" t="n"/>
      <c r="AC137" s="6" t="n"/>
      <c r="AD137" s="75" t="n"/>
      <c r="AE137" s="75" t="n"/>
      <c r="AF137" s="75" t="n"/>
    </row>
    <row r="138" ht="15.75" customHeight="1" s="133">
      <c r="A138" s="75" t="n"/>
      <c r="B138" s="75" t="n"/>
      <c r="C138" s="75" t="n"/>
      <c r="D138" s="75" t="n"/>
      <c r="E138" s="76" t="n"/>
      <c r="F138" s="77" t="n"/>
      <c r="G138" s="75" t="n"/>
      <c r="H138" s="75">
        <f>IF(ISBLANK(E138),"",IF(OR(D138="Butterfly",D138="Butterfly ",D138="Iron Fly", D138="Iron Fly "),LEN(E138)-LEN(SUBSTITUTE(E138,"/",""))+2,LEN(E138)-LEN(SUBSTITUTE(E138,"/",""))+1))</f>
        <v/>
      </c>
      <c r="I138" s="78">
        <f>IF(ISBLANK(G138),"",IF(D138="Stock","0",Key!$A$3*H138*G138))</f>
        <v/>
      </c>
      <c r="J138" s="78">
        <f>IF(ISBLANK(E138),"",IF(ISNUMBER(SEARCH("/",E138)), IF(LEN(E138)-LEN(SUBSTITUTE(E138,"/",""))=1,(RIGHT(E138,LEN(E138)-FIND("/",E138)))-(LEFT(E138,FIND("/",E138)-1)),(MID(E138, SEARCH("/",E138) + 1, SEARCH("/",E138, SEARCH("/",E138)+1) - SEARCH("/",E138) - 1))-(LEFT(E138,FIND("/",E138)-1))), "NA"))</f>
        <v/>
      </c>
      <c r="K138" s="79">
        <f>IF(A138&lt;&gt;"", IF(ISBLANK(L138), TODAY(), K138), "")</f>
        <v/>
      </c>
      <c r="L138" s="78" t="n"/>
      <c r="M138" s="78">
        <f>IF(ISBLANK(L138),"",IF(D138="Stock",IF(C138="Buy",L138*G138,IF(C138="Sell",(L138*G138)-I138, X)),IF(C138="Buy",(L138*G138*100)+I138,IF(C138="Sell",(L138*G138*100)-I138, X))))</f>
        <v/>
      </c>
      <c r="N138" s="78">
        <f>IF(ISBLANK(L138),"",IF(AND(C138="Sell",D138="Stock"),M138,IF(ISBLANK(L138),"",IF(C138="Buy",M138, IF(AND(C138="Sell",J138="NA"),(E138*G138*100*0.1)+I138, IF(C138="Sell",(J138-L138)*(100*G138)+I138))))))</f>
        <v/>
      </c>
      <c r="O138" s="75" t="n"/>
      <c r="P138" s="75" t="n"/>
      <c r="Q138" s="75">
        <f>IF(ISBLANK(P138),"",IF(D138="Stock",P138*G138,IF(P138=0,"0",G138*P138*100-(G138*$AF$14))))</f>
        <v/>
      </c>
      <c r="R138" s="79">
        <f>IF(P138&lt;&gt;"", TODAY(), "")</f>
        <v/>
      </c>
      <c r="S138" s="78">
        <f>IF(AND(K138&lt;&gt;"", R138&lt;&gt;""), R138-K138, "")</f>
        <v/>
      </c>
      <c r="T138" s="78" t="n"/>
      <c r="U138" s="92">
        <f>IF(ISBLANK(P138),"",IF(C138="Buy",Q138-M138+T138, IF(C138="Sell",M138-Q138-T138, X)))</f>
        <v/>
      </c>
      <c r="V138" s="81">
        <f>IF(ISBLANK(P138),"",U138/N138)</f>
        <v/>
      </c>
      <c r="W138" s="81">
        <f>IF(ISBLANK(P138),"",IF(S138=0,(365/0.5)*V138,(365/S138)*V138))</f>
        <v/>
      </c>
      <c r="X138" s="75" t="n"/>
      <c r="Y138" s="77" t="n"/>
      <c r="Z138" s="77" t="n"/>
      <c r="AA138" s="75" t="n"/>
      <c r="AB138" s="75" t="n"/>
      <c r="AC138" s="6" t="n"/>
      <c r="AD138" s="75" t="n"/>
      <c r="AE138" s="75" t="n"/>
      <c r="AF138" s="75" t="n"/>
    </row>
    <row r="139" ht="15.75" customHeight="1" s="133">
      <c r="A139" s="75" t="n"/>
      <c r="B139" s="75" t="n"/>
      <c r="C139" s="75" t="n"/>
      <c r="D139" s="75" t="n"/>
      <c r="E139" s="76" t="n"/>
      <c r="F139" s="77" t="n"/>
      <c r="G139" s="75" t="n"/>
      <c r="H139" s="75">
        <f>IF(ISBLANK(E139),"",IF(OR(D139="Butterfly",D139="Butterfly ",D139="Iron Fly", D139="Iron Fly "),LEN(E139)-LEN(SUBSTITUTE(E139,"/",""))+2,LEN(E139)-LEN(SUBSTITUTE(E139,"/",""))+1))</f>
        <v/>
      </c>
      <c r="I139" s="78">
        <f>IF(ISBLANK(G139),"",IF(D139="Stock","0",Key!$A$3*H139*G139))</f>
        <v/>
      </c>
      <c r="J139" s="78">
        <f>IF(ISBLANK(E139),"",IF(ISNUMBER(SEARCH("/",E139)), IF(LEN(E139)-LEN(SUBSTITUTE(E139,"/",""))=1,(RIGHT(E139,LEN(E139)-FIND("/",E139)))-(LEFT(E139,FIND("/",E139)-1)),(MID(E139, SEARCH("/",E139) + 1, SEARCH("/",E139, SEARCH("/",E139)+1) - SEARCH("/",E139) - 1))-(LEFT(E139,FIND("/",E139)-1))), "NA"))</f>
        <v/>
      </c>
      <c r="K139" s="79">
        <f>IF(A139&lt;&gt;"", IF(ISBLANK(L139), TODAY(), K139), "")</f>
        <v/>
      </c>
      <c r="L139" s="78" t="n"/>
      <c r="M139" s="78">
        <f>IF(ISBLANK(L139),"",IF(D139="Stock",IF(C139="Buy",L139*G139,IF(C139="Sell",(L139*G139)-I139, X)),IF(C139="Buy",(L139*G139*100)+I139,IF(C139="Sell",(L139*G139*100)-I139, X))))</f>
        <v/>
      </c>
      <c r="N139" s="78">
        <f>IF(ISBLANK(L139),"",IF(AND(C139="Sell",D139="Stock"),M139,IF(ISBLANK(L139),"",IF(C139="Buy",M139, IF(AND(C139="Sell",J139="NA"),(E139*G139*100*0.1)+I139, IF(C139="Sell",(J139-L139)*(100*G139)+I139))))))</f>
        <v/>
      </c>
      <c r="O139" s="75" t="n"/>
      <c r="P139" s="75" t="n"/>
      <c r="Q139" s="75">
        <f>IF(ISBLANK(P139),"",IF(D139="Stock",P139*G139,IF(P139=0,"0",G139*P139*100-(G139*$AF$14))))</f>
        <v/>
      </c>
      <c r="R139" s="79">
        <f>IF(P139&lt;&gt;"", TODAY(), "")</f>
        <v/>
      </c>
      <c r="S139" s="78">
        <f>IF(AND(K139&lt;&gt;"", R139&lt;&gt;""), R139-K139, "")</f>
        <v/>
      </c>
      <c r="T139" s="78" t="n"/>
      <c r="U139" s="92">
        <f>IF(ISBLANK(P139),"",IF(C139="Buy",Q139-M139+T139, IF(C139="Sell",M139-Q139-T139, X)))</f>
        <v/>
      </c>
      <c r="V139" s="81">
        <f>IF(ISBLANK(P139),"",U139/N139)</f>
        <v/>
      </c>
      <c r="W139" s="81">
        <f>IF(ISBLANK(P139),"",IF(S139=0,(365/0.5)*V139,(365/S139)*V139))</f>
        <v/>
      </c>
      <c r="X139" s="75" t="n"/>
      <c r="Y139" s="77" t="n"/>
      <c r="Z139" s="77" t="n"/>
      <c r="AA139" s="75" t="n"/>
      <c r="AB139" s="75" t="n"/>
      <c r="AC139" s="6" t="n"/>
      <c r="AD139" s="75" t="n"/>
      <c r="AE139" s="75" t="n"/>
      <c r="AF139" s="75" t="n"/>
    </row>
    <row r="140" ht="15.75" customHeight="1" s="133">
      <c r="A140" s="75" t="n"/>
      <c r="B140" s="75" t="n"/>
      <c r="C140" s="75" t="n"/>
      <c r="D140" s="75" t="n"/>
      <c r="E140" s="76" t="n"/>
      <c r="F140" s="77" t="n"/>
      <c r="G140" s="75" t="n"/>
      <c r="H140" s="75">
        <f>IF(ISBLANK(E140),"",IF(OR(D140="Butterfly",D140="Butterfly ",D140="Iron Fly", D140="Iron Fly "),LEN(E140)-LEN(SUBSTITUTE(E140,"/",""))+2,LEN(E140)-LEN(SUBSTITUTE(E140,"/",""))+1))</f>
        <v/>
      </c>
      <c r="I140" s="78">
        <f>IF(ISBLANK(G140),"",IF(D140="Stock","0",Key!$A$3*H140*G140))</f>
        <v/>
      </c>
      <c r="J140" s="78">
        <f>IF(ISBLANK(E140),"",IF(ISNUMBER(SEARCH("/",E140)), IF(LEN(E140)-LEN(SUBSTITUTE(E140,"/",""))=1,(RIGHT(E140,LEN(E140)-FIND("/",E140)))-(LEFT(E140,FIND("/",E140)-1)),(MID(E140, SEARCH("/",E140) + 1, SEARCH("/",E140, SEARCH("/",E140)+1) - SEARCH("/",E140) - 1))-(LEFT(E140,FIND("/",E140)-1))), "NA"))</f>
        <v/>
      </c>
      <c r="K140" s="79">
        <f>IF(A140&lt;&gt;"", IF(ISBLANK(L140), TODAY(), K140), "")</f>
        <v/>
      </c>
      <c r="L140" s="78" t="n"/>
      <c r="M140" s="78">
        <f>IF(ISBLANK(L140),"",IF(D140="Stock",IF(C140="Buy",L140*G140,IF(C140="Sell",(L140*G140)-I140, X)),IF(C140="Buy",(L140*G140*100)+I140,IF(C140="Sell",(L140*G140*100)-I140, X))))</f>
        <v/>
      </c>
      <c r="N140" s="78">
        <f>IF(ISBLANK(L140),"",IF(AND(C140="Sell",D140="Stock"),M140,IF(ISBLANK(L140),"",IF(C140="Buy",M140, IF(AND(C140="Sell",J140="NA"),(E140*G140*100*0.1)+I140, IF(C140="Sell",(J140-L140)*(100*G140)+I140))))))</f>
        <v/>
      </c>
      <c r="O140" s="75" t="n"/>
      <c r="P140" s="75" t="n"/>
      <c r="Q140" s="75">
        <f>IF(ISBLANK(P140),"",IF(D140="Stock",P140*G140,IF(P140=0,"0",G140*P140*100-(G140*$AF$14))))</f>
        <v/>
      </c>
      <c r="R140" s="79">
        <f>IF(P140&lt;&gt;"", TODAY(), "")</f>
        <v/>
      </c>
      <c r="S140" s="78">
        <f>IF(AND(K140&lt;&gt;"", R140&lt;&gt;""), R140-K140, "")</f>
        <v/>
      </c>
      <c r="T140" s="78" t="n"/>
      <c r="U140" s="92">
        <f>IF(ISBLANK(P140),"",IF(C140="Buy",Q140-M140+T140, IF(C140="Sell",M140-Q140-T140, X)))</f>
        <v/>
      </c>
      <c r="V140" s="81">
        <f>IF(ISBLANK(P140),"",U140/N140)</f>
        <v/>
      </c>
      <c r="W140" s="81">
        <f>IF(ISBLANK(P140),"",IF(S140=0,(365/0.5)*V140,(365/S140)*V140))</f>
        <v/>
      </c>
      <c r="X140" s="75" t="n"/>
      <c r="Y140" s="77" t="n"/>
      <c r="Z140" s="77" t="n"/>
      <c r="AA140" s="75" t="n"/>
      <c r="AB140" s="75" t="n"/>
      <c r="AC140" s="6" t="n"/>
      <c r="AD140" s="75" t="n"/>
      <c r="AE140" s="75" t="n"/>
      <c r="AF140" s="75" t="n"/>
    </row>
    <row r="141" ht="15.75" customHeight="1" s="133">
      <c r="A141" s="75" t="n"/>
      <c r="B141" s="75" t="n"/>
      <c r="C141" s="75" t="n"/>
      <c r="D141" s="75" t="n"/>
      <c r="E141" s="76" t="n"/>
      <c r="F141" s="77" t="n"/>
      <c r="G141" s="75" t="n"/>
      <c r="H141" s="75">
        <f>IF(ISBLANK(E141),"",IF(OR(D141="Butterfly",D141="Butterfly ",D141="Iron Fly", D141="Iron Fly "),LEN(E141)-LEN(SUBSTITUTE(E141,"/",""))+2,LEN(E141)-LEN(SUBSTITUTE(E141,"/",""))+1))</f>
        <v/>
      </c>
      <c r="I141" s="78">
        <f>IF(ISBLANK(G141),"",IF(D141="Stock","0",Key!$A$3*H141*G141))</f>
        <v/>
      </c>
      <c r="J141" s="78">
        <f>IF(ISBLANK(E141),"",IF(ISNUMBER(SEARCH("/",E141)), IF(LEN(E141)-LEN(SUBSTITUTE(E141,"/",""))=1,(RIGHT(E141,LEN(E141)-FIND("/",E141)))-(LEFT(E141,FIND("/",E141)-1)),(MID(E141, SEARCH("/",E141) + 1, SEARCH("/",E141, SEARCH("/",E141)+1) - SEARCH("/",E141) - 1))-(LEFT(E141,FIND("/",E141)-1))), "NA"))</f>
        <v/>
      </c>
      <c r="K141" s="79">
        <f>IF(A141&lt;&gt;"", IF(ISBLANK(L141), TODAY(), K141), "")</f>
        <v/>
      </c>
      <c r="L141" s="78" t="n"/>
      <c r="M141" s="78">
        <f>IF(ISBLANK(L141),"",IF(D141="Stock",IF(C141="Buy",L141*G141,IF(C141="Sell",(L141*G141)-I141, X)),IF(C141="Buy",(L141*G141*100)+I141,IF(C141="Sell",(L141*G141*100)-I141, X))))</f>
        <v/>
      </c>
      <c r="N141" s="78">
        <f>IF(ISBLANK(L141),"",IF(AND(C141="Sell",D141="Stock"),M141,IF(ISBLANK(L141),"",IF(C141="Buy",M141, IF(AND(C141="Sell",J141="NA"),(E141*G141*100*0.1)+I141, IF(C141="Sell",(J141-L141)*(100*G141)+I141))))))</f>
        <v/>
      </c>
      <c r="O141" s="75" t="n"/>
      <c r="P141" s="75" t="n"/>
      <c r="Q141" s="75">
        <f>IF(ISBLANK(P141),"",IF(D141="Stock",P141*G141,IF(P141=0,"0",G141*P141*100-(G141*$AF$14))))</f>
        <v/>
      </c>
      <c r="R141" s="79">
        <f>IF(P141&lt;&gt;"", TODAY(), "")</f>
        <v/>
      </c>
      <c r="S141" s="78">
        <f>IF(AND(K141&lt;&gt;"", R141&lt;&gt;""), R141-K141, "")</f>
        <v/>
      </c>
      <c r="T141" s="78" t="n"/>
      <c r="U141" s="92">
        <f>IF(ISBLANK(P141),"",IF(C141="Buy",Q141-M141+T141, IF(C141="Sell",M141-Q141-T141, X)))</f>
        <v/>
      </c>
      <c r="V141" s="81">
        <f>IF(ISBLANK(P141),"",U141/N141)</f>
        <v/>
      </c>
      <c r="W141" s="81">
        <f>IF(ISBLANK(P141),"",IF(S141=0,(365/0.5)*V141,(365/S141)*V141))</f>
        <v/>
      </c>
      <c r="X141" s="75" t="n"/>
      <c r="Y141" s="77" t="n"/>
      <c r="Z141" s="77" t="n"/>
      <c r="AA141" s="75" t="n"/>
      <c r="AB141" s="75" t="n"/>
      <c r="AC141" s="6" t="n"/>
      <c r="AD141" s="75" t="n"/>
      <c r="AE141" s="75" t="n"/>
      <c r="AF141" s="75" t="n"/>
    </row>
    <row r="142" ht="15.75" customHeight="1" s="133">
      <c r="A142" s="75" t="n"/>
      <c r="B142" s="75" t="n"/>
      <c r="C142" s="75" t="n"/>
      <c r="D142" s="75" t="n"/>
      <c r="E142" s="76" t="n"/>
      <c r="F142" s="77" t="n"/>
      <c r="G142" s="75" t="n"/>
      <c r="H142" s="75">
        <f>IF(ISBLANK(E142),"",IF(OR(D142="Butterfly",D142="Butterfly ",D142="Iron Fly", D142="Iron Fly "),LEN(E142)-LEN(SUBSTITUTE(E142,"/",""))+2,LEN(E142)-LEN(SUBSTITUTE(E142,"/",""))+1))</f>
        <v/>
      </c>
      <c r="I142" s="78">
        <f>IF(ISBLANK(G142),"",IF(D142="Stock","0",Key!$A$3*H142*G142))</f>
        <v/>
      </c>
      <c r="J142" s="78">
        <f>IF(ISBLANK(E142),"",IF(ISNUMBER(SEARCH("/",E142)), IF(LEN(E142)-LEN(SUBSTITUTE(E142,"/",""))=1,(RIGHT(E142,LEN(E142)-FIND("/",E142)))-(LEFT(E142,FIND("/",E142)-1)),(MID(E142, SEARCH("/",E142) + 1, SEARCH("/",E142, SEARCH("/",E142)+1) - SEARCH("/",E142) - 1))-(LEFT(E142,FIND("/",E142)-1))), "NA"))</f>
        <v/>
      </c>
      <c r="K142" s="79">
        <f>IF(A142&lt;&gt;"", IF(ISBLANK(L142), TODAY(), K142), "")</f>
        <v/>
      </c>
      <c r="L142" s="78" t="n"/>
      <c r="M142" s="78">
        <f>IF(ISBLANK(L142),"",IF(D142="Stock",IF(C142="Buy",L142*G142,IF(C142="Sell",(L142*G142)-I142, X)),IF(C142="Buy",(L142*G142*100)+I142,IF(C142="Sell",(L142*G142*100)-I142, X))))</f>
        <v/>
      </c>
      <c r="N142" s="78">
        <f>IF(ISBLANK(L142),"",IF(AND(C142="Sell",D142="Stock"),M142,IF(ISBLANK(L142),"",IF(C142="Buy",M142, IF(AND(C142="Sell",J142="NA"),(E142*G142*100*0.1)+I142, IF(C142="Sell",(J142-L142)*(100*G142)+I142))))))</f>
        <v/>
      </c>
      <c r="O142" s="75" t="n"/>
      <c r="P142" s="75" t="n"/>
      <c r="Q142" s="75">
        <f>IF(ISBLANK(P142),"",IF(D142="Stock",P142*G142,IF(P142=0,"0",G142*P142*100-(G142*$AF$14))))</f>
        <v/>
      </c>
      <c r="R142" s="79">
        <f>IF(P142&lt;&gt;"", TODAY(), "")</f>
        <v/>
      </c>
      <c r="S142" s="78">
        <f>IF(AND(K142&lt;&gt;"", R142&lt;&gt;""), R142-K142, "")</f>
        <v/>
      </c>
      <c r="T142" s="78" t="n"/>
      <c r="U142" s="92">
        <f>IF(ISBLANK(P142),"",IF(C142="Buy",Q142-M142+T142, IF(C142="Sell",M142-Q142-T142, X)))</f>
        <v/>
      </c>
      <c r="V142" s="81">
        <f>IF(ISBLANK(P142),"",U142/N142)</f>
        <v/>
      </c>
      <c r="W142" s="81">
        <f>IF(ISBLANK(P142),"",IF(S142=0,(365/0.5)*V142,(365/S142)*V142))</f>
        <v/>
      </c>
      <c r="X142" s="75" t="n"/>
      <c r="Y142" s="77" t="n"/>
      <c r="Z142" s="77" t="n"/>
      <c r="AA142" s="75" t="n"/>
      <c r="AB142" s="75" t="n"/>
      <c r="AC142" s="6" t="n"/>
      <c r="AD142" s="75" t="n"/>
      <c r="AE142" s="75" t="n"/>
      <c r="AF142" s="75" t="n"/>
    </row>
    <row r="143" ht="15.75" customHeight="1" s="133">
      <c r="A143" s="75" t="n"/>
      <c r="B143" s="75" t="n"/>
      <c r="C143" s="75" t="n"/>
      <c r="D143" s="75" t="n"/>
      <c r="E143" s="76" t="n"/>
      <c r="F143" s="77" t="n"/>
      <c r="G143" s="75" t="n"/>
      <c r="H143" s="75">
        <f>IF(ISBLANK(E143),"",IF(OR(D143="Butterfly",D143="Butterfly ",D143="Iron Fly", D143="Iron Fly "),LEN(E143)-LEN(SUBSTITUTE(E143,"/",""))+2,LEN(E143)-LEN(SUBSTITUTE(E143,"/",""))+1))</f>
        <v/>
      </c>
      <c r="I143" s="78">
        <f>IF(ISBLANK(G143),"",IF(D143="Stock","0",Key!$A$3*H143*G143))</f>
        <v/>
      </c>
      <c r="J143" s="78">
        <f>IF(ISBLANK(E143),"",IF(ISNUMBER(SEARCH("/",E143)), IF(LEN(E143)-LEN(SUBSTITUTE(E143,"/",""))=1,(RIGHT(E143,LEN(E143)-FIND("/",E143)))-(LEFT(E143,FIND("/",E143)-1)),(MID(E143, SEARCH("/",E143) + 1, SEARCH("/",E143, SEARCH("/",E143)+1) - SEARCH("/",E143) - 1))-(LEFT(E143,FIND("/",E143)-1))), "NA"))</f>
        <v/>
      </c>
      <c r="K143" s="79">
        <f>IF(A143&lt;&gt;"", IF(ISBLANK(L143), TODAY(), K143), "")</f>
        <v/>
      </c>
      <c r="L143" s="78" t="n"/>
      <c r="M143" s="78">
        <f>IF(ISBLANK(L143),"",IF(D143="Stock",IF(C143="Buy",L143*G143,IF(C143="Sell",(L143*G143)-I143, X)),IF(C143="Buy",(L143*G143*100)+I143,IF(C143="Sell",(L143*G143*100)-I143, X))))</f>
        <v/>
      </c>
      <c r="N143" s="78">
        <f>IF(ISBLANK(L143),"",IF(AND(C143="Sell",D143="Stock"),M143,IF(ISBLANK(L143),"",IF(C143="Buy",M143, IF(AND(C143="Sell",J143="NA"),(E143*G143*100*0.1)+I143, IF(C143="Sell",(J143-L143)*(100*G143)+I143))))))</f>
        <v/>
      </c>
      <c r="O143" s="75" t="n"/>
      <c r="P143" s="75" t="n"/>
      <c r="Q143" s="75">
        <f>IF(ISBLANK(P143),"",IF(D143="Stock",P143*G143,IF(P143=0,"0",G143*P143*100-(G143*$AF$14))))</f>
        <v/>
      </c>
      <c r="R143" s="79">
        <f>IF(P143&lt;&gt;"", TODAY(), "")</f>
        <v/>
      </c>
      <c r="S143" s="78">
        <f>IF(AND(K143&lt;&gt;"", R143&lt;&gt;""), R143-K143, "")</f>
        <v/>
      </c>
      <c r="T143" s="78" t="n"/>
      <c r="U143" s="92">
        <f>IF(ISBLANK(P143),"",IF(C143="Buy",Q143-M143+T143, IF(C143="Sell",M143-Q143-T143, X)))</f>
        <v/>
      </c>
      <c r="V143" s="81">
        <f>IF(ISBLANK(P143),"",U143/N143)</f>
        <v/>
      </c>
      <c r="W143" s="81">
        <f>IF(ISBLANK(P143),"",IF(S143=0,(365/0.5)*V143,(365/S143)*V143))</f>
        <v/>
      </c>
      <c r="X143" s="75" t="n"/>
      <c r="Y143" s="77" t="n"/>
      <c r="Z143" s="77" t="n"/>
      <c r="AA143" s="75" t="n"/>
      <c r="AB143" s="75" t="n"/>
      <c r="AC143" s="6" t="n"/>
      <c r="AD143" s="75" t="n"/>
      <c r="AE143" s="75" t="n"/>
      <c r="AF143" s="75" t="n"/>
    </row>
    <row r="144" ht="15.75" customHeight="1" s="133">
      <c r="A144" s="75" t="n"/>
      <c r="B144" s="75" t="n"/>
      <c r="C144" s="75" t="n"/>
      <c r="D144" s="75" t="n"/>
      <c r="E144" s="76" t="n"/>
      <c r="F144" s="77" t="n"/>
      <c r="G144" s="75" t="n"/>
      <c r="H144" s="75">
        <f>IF(ISBLANK(E144),"",IF(OR(D144="Butterfly",D144="Butterfly ",D144="Iron Fly", D144="Iron Fly "),LEN(E144)-LEN(SUBSTITUTE(E144,"/",""))+2,LEN(E144)-LEN(SUBSTITUTE(E144,"/",""))+1))</f>
        <v/>
      </c>
      <c r="I144" s="78">
        <f>IF(ISBLANK(G144),"",IF(D144="Stock","0",Key!$A$3*H144*G144))</f>
        <v/>
      </c>
      <c r="J144" s="78">
        <f>IF(ISBLANK(E144),"",IF(ISNUMBER(SEARCH("/",E144)), IF(LEN(E144)-LEN(SUBSTITUTE(E144,"/",""))=1,(RIGHT(E144,LEN(E144)-FIND("/",E144)))-(LEFT(E144,FIND("/",E144)-1)),(MID(E144, SEARCH("/",E144) + 1, SEARCH("/",E144, SEARCH("/",E144)+1) - SEARCH("/",E144) - 1))-(LEFT(E144,FIND("/",E144)-1))), "NA"))</f>
        <v/>
      </c>
      <c r="K144" s="79">
        <f>IF(A144&lt;&gt;"", IF(ISBLANK(L144), TODAY(), K144), "")</f>
        <v/>
      </c>
      <c r="L144" s="78" t="n"/>
      <c r="M144" s="78">
        <f>IF(ISBLANK(L144),"",IF(D144="Stock",IF(C144="Buy",L144*G144,IF(C144="Sell",(L144*G144)-I144, X)),IF(C144="Buy",(L144*G144*100)+I144,IF(C144="Sell",(L144*G144*100)-I144, X))))</f>
        <v/>
      </c>
      <c r="N144" s="78">
        <f>IF(ISBLANK(L144),"",IF(AND(C144="Sell",D144="Stock"),M144,IF(ISBLANK(L144),"",IF(C144="Buy",M144, IF(AND(C144="Sell",J144="NA"),(E144*G144*100*0.1)+I144, IF(C144="Sell",(J144-L144)*(100*G144)+I144))))))</f>
        <v/>
      </c>
      <c r="O144" s="75" t="n"/>
      <c r="P144" s="75" t="n"/>
      <c r="Q144" s="75">
        <f>IF(ISBLANK(P144),"",IF(D144="Stock",P144*G144,IF(P144=0,"0",G144*P144*100-(G144*$AF$14))))</f>
        <v/>
      </c>
      <c r="R144" s="79">
        <f>IF(P144&lt;&gt;"", TODAY(), "")</f>
        <v/>
      </c>
      <c r="S144" s="78">
        <f>IF(AND(K144&lt;&gt;"", R144&lt;&gt;""), R144-K144, "")</f>
        <v/>
      </c>
      <c r="T144" s="78" t="n"/>
      <c r="U144" s="92">
        <f>IF(ISBLANK(P144),"",IF(C144="Buy",Q144-M144+T144, IF(C144="Sell",M144-Q144-T144, X)))</f>
        <v/>
      </c>
      <c r="V144" s="81">
        <f>IF(ISBLANK(P144),"",U144/N144)</f>
        <v/>
      </c>
      <c r="W144" s="81">
        <f>IF(ISBLANK(P144),"",IF(S144=0,(365/0.5)*V144,(365/S144)*V144))</f>
        <v/>
      </c>
      <c r="X144" s="75" t="n"/>
      <c r="Y144" s="77" t="n"/>
      <c r="Z144" s="77" t="n"/>
      <c r="AA144" s="75" t="n"/>
      <c r="AB144" s="75" t="n"/>
      <c r="AC144" s="6" t="n"/>
      <c r="AD144" s="75" t="n"/>
      <c r="AE144" s="75" t="n"/>
      <c r="AF144" s="75" t="n"/>
    </row>
    <row r="145" ht="15.75" customHeight="1" s="133">
      <c r="A145" s="75" t="n"/>
      <c r="B145" s="75" t="n"/>
      <c r="C145" s="75" t="n"/>
      <c r="D145" s="75" t="n"/>
      <c r="E145" s="76" t="n"/>
      <c r="F145" s="77" t="n"/>
      <c r="G145" s="75" t="n"/>
      <c r="H145" s="75">
        <f>IF(ISBLANK(E145),"",IF(OR(D145="Butterfly",D145="Butterfly ",D145="Iron Fly", D145="Iron Fly "),LEN(E145)-LEN(SUBSTITUTE(E145,"/",""))+2,LEN(E145)-LEN(SUBSTITUTE(E145,"/",""))+1))</f>
        <v/>
      </c>
      <c r="I145" s="78">
        <f>IF(ISBLANK(G145),"",IF(D145="Stock","0",Key!$A$3*H145*G145))</f>
        <v/>
      </c>
      <c r="J145" s="78">
        <f>IF(ISBLANK(E145),"",IF(ISNUMBER(SEARCH("/",E145)), IF(LEN(E145)-LEN(SUBSTITUTE(E145,"/",""))=1,(RIGHT(E145,LEN(E145)-FIND("/",E145)))-(LEFT(E145,FIND("/",E145)-1)),(MID(E145, SEARCH("/",E145) + 1, SEARCH("/",E145, SEARCH("/",E145)+1) - SEARCH("/",E145) - 1))-(LEFT(E145,FIND("/",E145)-1))), "NA"))</f>
        <v/>
      </c>
      <c r="K145" s="79">
        <f>IF(A145&lt;&gt;"", IF(ISBLANK(L145), TODAY(), K145), "")</f>
        <v/>
      </c>
      <c r="L145" s="78" t="n"/>
      <c r="M145" s="78">
        <f>IF(ISBLANK(L145),"",IF(D145="Stock",IF(C145="Buy",L145*G145,IF(C145="Sell",(L145*G145)-I145, X)),IF(C145="Buy",(L145*G145*100)+I145,IF(C145="Sell",(L145*G145*100)-I145, X))))</f>
        <v/>
      </c>
      <c r="N145" s="78">
        <f>IF(ISBLANK(L145),"",IF(AND(C145="Sell",D145="Stock"),M145,IF(ISBLANK(L145),"",IF(C145="Buy",M145, IF(AND(C145="Sell",J145="NA"),(E145*G145*100*0.1)+I145, IF(C145="Sell",(J145-L145)*(100*G145)+I145))))))</f>
        <v/>
      </c>
      <c r="O145" s="75" t="n"/>
      <c r="P145" s="75" t="n"/>
      <c r="Q145" s="75">
        <f>IF(ISBLANK(P145),"",IF(D145="Stock",P145*G145,IF(P145=0,"0",G145*P145*100-(G145*$AF$14))))</f>
        <v/>
      </c>
      <c r="R145" s="79">
        <f>IF(P145&lt;&gt;"", TODAY(), "")</f>
        <v/>
      </c>
      <c r="S145" s="78">
        <f>IF(AND(K145&lt;&gt;"", R145&lt;&gt;""), R145-K145, "")</f>
        <v/>
      </c>
      <c r="T145" s="78" t="n"/>
      <c r="U145" s="92">
        <f>IF(ISBLANK(P145),"",IF(C145="Buy",Q145-M145+T145, IF(C145="Sell",M145-Q145-T145, X)))</f>
        <v/>
      </c>
      <c r="V145" s="81">
        <f>IF(ISBLANK(P145),"",U145/N145)</f>
        <v/>
      </c>
      <c r="W145" s="81">
        <f>IF(ISBLANK(P145),"",IF(S145=0,(365/0.5)*V145,(365/S145)*V145))</f>
        <v/>
      </c>
      <c r="X145" s="75" t="n"/>
      <c r="Y145" s="77" t="n"/>
      <c r="Z145" s="77" t="n"/>
      <c r="AA145" s="75" t="n"/>
      <c r="AB145" s="75" t="n"/>
      <c r="AC145" s="6" t="n"/>
      <c r="AD145" s="75" t="n"/>
      <c r="AE145" s="75" t="n"/>
      <c r="AF145" s="75" t="n"/>
    </row>
    <row r="146" ht="15.75" customHeight="1" s="133">
      <c r="A146" s="75" t="n"/>
      <c r="B146" s="75" t="n"/>
      <c r="C146" s="75" t="n"/>
      <c r="D146" s="75" t="n"/>
      <c r="E146" s="76" t="n"/>
      <c r="F146" s="77" t="n"/>
      <c r="G146" s="75" t="n"/>
      <c r="H146" s="75">
        <f>IF(ISBLANK(E146),"",IF(OR(D146="Butterfly",D146="Butterfly ",D146="Iron Fly", D146="Iron Fly "),LEN(E146)-LEN(SUBSTITUTE(E146,"/",""))+2,LEN(E146)-LEN(SUBSTITUTE(E146,"/",""))+1))</f>
        <v/>
      </c>
      <c r="I146" s="78">
        <f>IF(ISBLANK(G146),"",IF(D146="Stock","0",Key!$A$3*H146*G146))</f>
        <v/>
      </c>
      <c r="J146" s="78">
        <f>IF(ISBLANK(E146),"",IF(ISNUMBER(SEARCH("/",E146)), IF(LEN(E146)-LEN(SUBSTITUTE(E146,"/",""))=1,(RIGHT(E146,LEN(E146)-FIND("/",E146)))-(LEFT(E146,FIND("/",E146)-1)),(MID(E146, SEARCH("/",E146) + 1, SEARCH("/",E146, SEARCH("/",E146)+1) - SEARCH("/",E146) - 1))-(LEFT(E146,FIND("/",E146)-1))), "NA"))</f>
        <v/>
      </c>
      <c r="K146" s="79">
        <f>IF(A146&lt;&gt;"", IF(ISBLANK(L146), TODAY(), K146), "")</f>
        <v/>
      </c>
      <c r="L146" s="78" t="n"/>
      <c r="M146" s="78">
        <f>IF(ISBLANK(L146),"",IF(D146="Stock",IF(C146="Buy",L146*G146,IF(C146="Sell",(L146*G146)-I146, X)),IF(C146="Buy",(L146*G146*100)+I146,IF(C146="Sell",(L146*G146*100)-I146, X))))</f>
        <v/>
      </c>
      <c r="N146" s="78">
        <f>IF(ISBLANK(L146),"",IF(AND(C146="Sell",D146="Stock"),M146,IF(ISBLANK(L146),"",IF(C146="Buy",M146, IF(AND(C146="Sell",J146="NA"),(E146*G146*100*0.1)+I146, IF(C146="Sell",(J146-L146)*(100*G146)+I146))))))</f>
        <v/>
      </c>
      <c r="O146" s="75" t="n"/>
      <c r="P146" s="75" t="n"/>
      <c r="Q146" s="75">
        <f>IF(ISBLANK(P146),"",IF(D146="Stock",P146*G146,IF(P146=0,"0",G146*P146*100-(G146*$AF$14))))</f>
        <v/>
      </c>
      <c r="R146" s="79">
        <f>IF(P146&lt;&gt;"", TODAY(), "")</f>
        <v/>
      </c>
      <c r="S146" s="78">
        <f>IF(AND(K146&lt;&gt;"", R146&lt;&gt;""), R146-K146, "")</f>
        <v/>
      </c>
      <c r="T146" s="78" t="n"/>
      <c r="U146" s="92">
        <f>IF(ISBLANK(P146),"",IF(C146="Buy",Q146-M146+T146, IF(C146="Sell",M146-Q146-T146, X)))</f>
        <v/>
      </c>
      <c r="V146" s="81">
        <f>IF(ISBLANK(P146),"",U146/N146)</f>
        <v/>
      </c>
      <c r="W146" s="81">
        <f>IF(ISBLANK(P146),"",IF(S146=0,(365/0.5)*V146,(365/S146)*V146))</f>
        <v/>
      </c>
      <c r="X146" s="75" t="n"/>
      <c r="Y146" s="77" t="n"/>
      <c r="Z146" s="77" t="n"/>
      <c r="AA146" s="75" t="n"/>
      <c r="AB146" s="75" t="n"/>
      <c r="AC146" s="6" t="n"/>
      <c r="AD146" s="75" t="n"/>
      <c r="AE146" s="75" t="n"/>
      <c r="AF146" s="75" t="n"/>
    </row>
    <row r="147" ht="15.75" customHeight="1" s="133">
      <c r="A147" s="75" t="n"/>
      <c r="B147" s="75" t="n"/>
      <c r="C147" s="75" t="n"/>
      <c r="D147" s="75" t="n"/>
      <c r="E147" s="76" t="n"/>
      <c r="F147" s="77" t="n"/>
      <c r="G147" s="75" t="n"/>
      <c r="H147" s="75">
        <f>IF(ISBLANK(E147),"",IF(OR(D147="Butterfly",D147="Butterfly ",D147="Iron Fly", D147="Iron Fly "),LEN(E147)-LEN(SUBSTITUTE(E147,"/",""))+2,LEN(E147)-LEN(SUBSTITUTE(E147,"/",""))+1))</f>
        <v/>
      </c>
      <c r="I147" s="78">
        <f>IF(ISBLANK(G147),"",IF(D147="Stock","0",Key!$A$3*H147*G147))</f>
        <v/>
      </c>
      <c r="J147" s="78">
        <f>IF(ISBLANK(E147),"",IF(ISNUMBER(SEARCH("/",E147)), IF(LEN(E147)-LEN(SUBSTITUTE(E147,"/",""))=1,(RIGHT(E147,LEN(E147)-FIND("/",E147)))-(LEFT(E147,FIND("/",E147)-1)),(MID(E147, SEARCH("/",E147) + 1, SEARCH("/",E147, SEARCH("/",E147)+1) - SEARCH("/",E147) - 1))-(LEFT(E147,FIND("/",E147)-1))), "NA"))</f>
        <v/>
      </c>
      <c r="K147" s="79">
        <f>IF(A147&lt;&gt;"", IF(ISBLANK(L147), TODAY(), K147), "")</f>
        <v/>
      </c>
      <c r="L147" s="78" t="n"/>
      <c r="M147" s="78">
        <f>IF(ISBLANK(L147),"",IF(D147="Stock",IF(C147="Buy",L147*G147,IF(C147="Sell",(L147*G147)-I147, X)),IF(C147="Buy",(L147*G147*100)+I147,IF(C147="Sell",(L147*G147*100)-I147, X))))</f>
        <v/>
      </c>
      <c r="N147" s="78">
        <f>IF(ISBLANK(L147),"",IF(AND(C147="Sell",D147="Stock"),M147,IF(ISBLANK(L147),"",IF(C147="Buy",M147, IF(AND(C147="Sell",J147="NA"),(E147*G147*100*0.1)+I147, IF(C147="Sell",(J147-L147)*(100*G147)+I147))))))</f>
        <v/>
      </c>
      <c r="O147" s="75" t="n"/>
      <c r="P147" s="75" t="n"/>
      <c r="Q147" s="75">
        <f>IF(ISBLANK(P147),"",IF(D147="Stock",P147*G147,IF(P147=0,"0",G147*P147*100-(G147*$AF$14))))</f>
        <v/>
      </c>
      <c r="R147" s="79">
        <f>IF(P147&lt;&gt;"", TODAY(), "")</f>
        <v/>
      </c>
      <c r="S147" s="78">
        <f>IF(AND(K147&lt;&gt;"", R147&lt;&gt;""), R147-K147, "")</f>
        <v/>
      </c>
      <c r="T147" s="78" t="n"/>
      <c r="U147" s="92">
        <f>IF(ISBLANK(P147),"",IF(C147="Buy",Q147-M147+T147, IF(C147="Sell",M147-Q147-T147, X)))</f>
        <v/>
      </c>
      <c r="V147" s="81">
        <f>IF(ISBLANK(P147),"",U147/N147)</f>
        <v/>
      </c>
      <c r="W147" s="81">
        <f>IF(ISBLANK(P147),"",IF(S147=0,(365/0.5)*V147,(365/S147)*V147))</f>
        <v/>
      </c>
      <c r="X147" s="75" t="n"/>
      <c r="Y147" s="77" t="n"/>
      <c r="Z147" s="77" t="n"/>
      <c r="AA147" s="75" t="n"/>
      <c r="AB147" s="75" t="n"/>
      <c r="AC147" s="6" t="n"/>
      <c r="AD147" s="75" t="n"/>
      <c r="AE147" s="75" t="n"/>
      <c r="AF147" s="75" t="n"/>
    </row>
    <row r="148" ht="15.75" customHeight="1" s="133">
      <c r="A148" s="75" t="n"/>
      <c r="B148" s="75" t="n"/>
      <c r="C148" s="75" t="n"/>
      <c r="D148" s="75" t="n"/>
      <c r="E148" s="76" t="n"/>
      <c r="F148" s="77" t="n"/>
      <c r="G148" s="75" t="n"/>
      <c r="H148" s="75">
        <f>IF(ISBLANK(E148),"",IF(OR(D148="Butterfly",D148="Butterfly ",D148="Iron Fly", D148="Iron Fly "),LEN(E148)-LEN(SUBSTITUTE(E148,"/",""))+2,LEN(E148)-LEN(SUBSTITUTE(E148,"/",""))+1))</f>
        <v/>
      </c>
      <c r="I148" s="78">
        <f>IF(ISBLANK(G148),"",IF(D148="Stock","0",Key!$A$3*H148*G148))</f>
        <v/>
      </c>
      <c r="J148" s="78">
        <f>IF(ISBLANK(E148),"",IF(ISNUMBER(SEARCH("/",E148)), IF(LEN(E148)-LEN(SUBSTITUTE(E148,"/",""))=1,(RIGHT(E148,LEN(E148)-FIND("/",E148)))-(LEFT(E148,FIND("/",E148)-1)),(MID(E148, SEARCH("/",E148) + 1, SEARCH("/",E148, SEARCH("/",E148)+1) - SEARCH("/",E148) - 1))-(LEFT(E148,FIND("/",E148)-1))), "NA"))</f>
        <v/>
      </c>
      <c r="K148" s="79">
        <f>IF(A148&lt;&gt;"", IF(ISBLANK(L148), TODAY(), K148), "")</f>
        <v/>
      </c>
      <c r="L148" s="78" t="n"/>
      <c r="M148" s="78">
        <f>IF(ISBLANK(L148),"",IF(D148="Stock",IF(C148="Buy",L148*G148,IF(C148="Sell",(L148*G148)-I148, X)),IF(C148="Buy",(L148*G148*100)+I148,IF(C148="Sell",(L148*G148*100)-I148, X))))</f>
        <v/>
      </c>
      <c r="N148" s="78">
        <f>IF(ISBLANK(L148),"",IF(AND(C148="Sell",D148="Stock"),M148,IF(ISBLANK(L148),"",IF(C148="Buy",M148, IF(AND(C148="Sell",J148="NA"),(E148*G148*100*0.1)+I148, IF(C148="Sell",(J148-L148)*(100*G148)+I148))))))</f>
        <v/>
      </c>
      <c r="O148" s="75" t="n"/>
      <c r="P148" s="75" t="n"/>
      <c r="Q148" s="75">
        <f>IF(ISBLANK(P148),"",IF(D148="Stock",P148*G148,IF(P148=0,"0",G148*P148*100-(G148*$AF$14))))</f>
        <v/>
      </c>
      <c r="R148" s="79">
        <f>IF(P148&lt;&gt;"", TODAY(), "")</f>
        <v/>
      </c>
      <c r="S148" s="78">
        <f>IF(AND(K148&lt;&gt;"", R148&lt;&gt;""), R148-K148, "")</f>
        <v/>
      </c>
      <c r="T148" s="78" t="n"/>
      <c r="U148" s="92">
        <f>IF(ISBLANK(P148),"",IF(C148="Buy",Q148-M148+T148, IF(C148="Sell",M148-Q148-T148, X)))</f>
        <v/>
      </c>
      <c r="V148" s="81">
        <f>IF(ISBLANK(P148),"",U148/N148)</f>
        <v/>
      </c>
      <c r="W148" s="81">
        <f>IF(ISBLANK(P148),"",IF(S148=0,(365/0.5)*V148,(365/S148)*V148))</f>
        <v/>
      </c>
      <c r="X148" s="75" t="n"/>
      <c r="Y148" s="77" t="n"/>
      <c r="Z148" s="77" t="n"/>
      <c r="AA148" s="75" t="n"/>
      <c r="AB148" s="75" t="n"/>
      <c r="AC148" s="6" t="n"/>
      <c r="AD148" s="75" t="n"/>
      <c r="AE148" s="75" t="n"/>
      <c r="AF148" s="75" t="n"/>
    </row>
    <row r="149" ht="15.75" customHeight="1" s="133">
      <c r="A149" s="75" t="n"/>
      <c r="B149" s="75" t="n"/>
      <c r="C149" s="75" t="n"/>
      <c r="D149" s="75" t="n"/>
      <c r="E149" s="76" t="n"/>
      <c r="F149" s="77" t="n"/>
      <c r="G149" s="75" t="n"/>
      <c r="H149" s="75">
        <f>IF(ISBLANK(E149),"",IF(OR(D149="Butterfly",D149="Butterfly ",D149="Iron Fly", D149="Iron Fly "),LEN(E149)-LEN(SUBSTITUTE(E149,"/",""))+2,LEN(E149)-LEN(SUBSTITUTE(E149,"/",""))+1))</f>
        <v/>
      </c>
      <c r="I149" s="78">
        <f>IF(ISBLANK(G149),"",IF(D149="Stock","0",Key!$A$3*H149*G149))</f>
        <v/>
      </c>
      <c r="J149" s="78">
        <f>IF(ISBLANK(E149),"",IF(ISNUMBER(SEARCH("/",E149)), IF(LEN(E149)-LEN(SUBSTITUTE(E149,"/",""))=1,(RIGHT(E149,LEN(E149)-FIND("/",E149)))-(LEFT(E149,FIND("/",E149)-1)),(MID(E149, SEARCH("/",E149) + 1, SEARCH("/",E149, SEARCH("/",E149)+1) - SEARCH("/",E149) - 1))-(LEFT(E149,FIND("/",E149)-1))), "NA"))</f>
        <v/>
      </c>
      <c r="K149" s="79">
        <f>IF(A149&lt;&gt;"", IF(ISBLANK(L149), TODAY(), K149), "")</f>
        <v/>
      </c>
      <c r="L149" s="78" t="n"/>
      <c r="M149" s="78">
        <f>IF(ISBLANK(L149),"",IF(D149="Stock",IF(C149="Buy",L149*G149,IF(C149="Sell",(L149*G149)-I149, X)),IF(C149="Buy",(L149*G149*100)+I149,IF(C149="Sell",(L149*G149*100)-I149, X))))</f>
        <v/>
      </c>
      <c r="N149" s="78">
        <f>IF(ISBLANK(L149),"",IF(AND(C149="Sell",D149="Stock"),M149,IF(ISBLANK(L149),"",IF(C149="Buy",M149, IF(AND(C149="Sell",J149="NA"),(E149*G149*100*0.1)+I149, IF(C149="Sell",(J149-L149)*(100*G149)+I149))))))</f>
        <v/>
      </c>
      <c r="O149" s="75" t="n"/>
      <c r="P149" s="75" t="n"/>
      <c r="Q149" s="75">
        <f>IF(ISBLANK(P149),"",IF(D149="Stock",P149*G149,IF(P149=0,"0",G149*P149*100-(G149*$AF$14))))</f>
        <v/>
      </c>
      <c r="R149" s="79">
        <f>IF(P149&lt;&gt;"", TODAY(), "")</f>
        <v/>
      </c>
      <c r="S149" s="78">
        <f>IF(AND(K149&lt;&gt;"", R149&lt;&gt;""), R149-K149, "")</f>
        <v/>
      </c>
      <c r="T149" s="78" t="n"/>
      <c r="U149" s="92">
        <f>IF(ISBLANK(P149),"",IF(C149="Buy",Q149-M149+T149, IF(C149="Sell",M149-Q149-T149, X)))</f>
        <v/>
      </c>
      <c r="V149" s="81">
        <f>IF(ISBLANK(P149),"",U149/N149)</f>
        <v/>
      </c>
      <c r="W149" s="81">
        <f>IF(ISBLANK(P149),"",IF(S149=0,(365/0.5)*V149,(365/S149)*V149))</f>
        <v/>
      </c>
      <c r="X149" s="75" t="n"/>
      <c r="Y149" s="77" t="n"/>
      <c r="Z149" s="77" t="n"/>
      <c r="AA149" s="75" t="n"/>
      <c r="AB149" s="75" t="n"/>
      <c r="AC149" s="6" t="n"/>
      <c r="AD149" s="75" t="n"/>
      <c r="AE149" s="75" t="n"/>
      <c r="AF149" s="75" t="n"/>
    </row>
    <row r="150" ht="15.75" customHeight="1" s="133">
      <c r="A150" s="75" t="n"/>
      <c r="B150" s="75" t="n"/>
      <c r="C150" s="75" t="n"/>
      <c r="D150" s="75" t="n"/>
      <c r="E150" s="76" t="n"/>
      <c r="F150" s="77" t="n"/>
      <c r="G150" s="75" t="n"/>
      <c r="H150" s="75">
        <f>IF(ISBLANK(E150),"",IF(OR(D150="Butterfly",D150="Butterfly ",D150="Iron Fly", D150="Iron Fly "),LEN(E150)-LEN(SUBSTITUTE(E150,"/",""))+2,LEN(E150)-LEN(SUBSTITUTE(E150,"/",""))+1))</f>
        <v/>
      </c>
      <c r="I150" s="78">
        <f>IF(ISBLANK(G150),"",IF(D150="Stock","0",Key!$A$3*H150*G150))</f>
        <v/>
      </c>
      <c r="J150" s="78">
        <f>IF(ISBLANK(E150),"",IF(ISNUMBER(SEARCH("/",E150)), IF(LEN(E150)-LEN(SUBSTITUTE(E150,"/",""))=1,(RIGHT(E150,LEN(E150)-FIND("/",E150)))-(LEFT(E150,FIND("/",E150)-1)),(MID(E150, SEARCH("/",E150) + 1, SEARCH("/",E150, SEARCH("/",E150)+1) - SEARCH("/",E150) - 1))-(LEFT(E150,FIND("/",E150)-1))), "NA"))</f>
        <v/>
      </c>
      <c r="K150" s="79">
        <f>IF(A150&lt;&gt;"", IF(ISBLANK(L150), TODAY(), K150), "")</f>
        <v/>
      </c>
      <c r="L150" s="78" t="n"/>
      <c r="M150" s="78">
        <f>IF(ISBLANK(L150),"",IF(D150="Stock",IF(C150="Buy",L150*G150,IF(C150="Sell",(L150*G150)-I150, X)),IF(C150="Buy",(L150*G150*100)+I150,IF(C150="Sell",(L150*G150*100)-I150, X))))</f>
        <v/>
      </c>
      <c r="N150" s="78">
        <f>IF(ISBLANK(L150),"",IF(AND(C150="Sell",D150="Stock"),M150,IF(ISBLANK(L150),"",IF(C150="Buy",M150, IF(AND(C150="Sell",J150="NA"),(E150*G150*100*0.1)+I150, IF(C150="Sell",(J150-L150)*(100*G150)+I150))))))</f>
        <v/>
      </c>
      <c r="O150" s="75" t="n"/>
      <c r="P150" s="75" t="n"/>
      <c r="Q150" s="75">
        <f>IF(ISBLANK(P150),"",IF(D150="Stock",P150*G150,IF(P150=0,"0",G150*P150*100-(G150*$AF$14))))</f>
        <v/>
      </c>
      <c r="R150" s="79">
        <f>IF(P150&lt;&gt;"", TODAY(), "")</f>
        <v/>
      </c>
      <c r="S150" s="78">
        <f>IF(AND(K150&lt;&gt;"", R150&lt;&gt;""), R150-K150, "")</f>
        <v/>
      </c>
      <c r="T150" s="78" t="n"/>
      <c r="U150" s="92">
        <f>IF(ISBLANK(P150),"",IF(C150="Buy",Q150-M150+T150, IF(C150="Sell",M150-Q150-T150, X)))</f>
        <v/>
      </c>
      <c r="V150" s="81">
        <f>IF(ISBLANK(P150),"",U150/N150)</f>
        <v/>
      </c>
      <c r="W150" s="81">
        <f>IF(ISBLANK(P150),"",IF(S150=0,(365/0.5)*V150,(365/S150)*V150))</f>
        <v/>
      </c>
      <c r="X150" s="75" t="n"/>
      <c r="Y150" s="77" t="n"/>
      <c r="Z150" s="77" t="n"/>
      <c r="AA150" s="75" t="n"/>
      <c r="AB150" s="75" t="n"/>
      <c r="AC150" s="6" t="n"/>
      <c r="AD150" s="75" t="n"/>
      <c r="AE150" s="75" t="n"/>
      <c r="AF150" s="75" t="n"/>
    </row>
    <row r="151" ht="15.75" customHeight="1" s="133">
      <c r="A151" s="75" t="n"/>
      <c r="B151" s="75" t="n"/>
      <c r="C151" s="75" t="n"/>
      <c r="D151" s="75" t="n"/>
      <c r="E151" s="76" t="n"/>
      <c r="F151" s="77" t="n"/>
      <c r="G151" s="75" t="n"/>
      <c r="H151" s="75">
        <f>IF(ISBLANK(E151),"",IF(OR(D151="Butterfly",D151="Butterfly ",D151="Iron Fly", D151="Iron Fly "),LEN(E151)-LEN(SUBSTITUTE(E151,"/",""))+2,LEN(E151)-LEN(SUBSTITUTE(E151,"/",""))+1))</f>
        <v/>
      </c>
      <c r="I151" s="78">
        <f>IF(ISBLANK(G151),"",IF(D151="Stock","0",Key!$A$3*H151*G151))</f>
        <v/>
      </c>
      <c r="J151" s="78">
        <f>IF(ISBLANK(E151),"",IF(ISNUMBER(SEARCH("/",E151)), IF(LEN(E151)-LEN(SUBSTITUTE(E151,"/",""))=1,(RIGHT(E151,LEN(E151)-FIND("/",E151)))-(LEFT(E151,FIND("/",E151)-1)),(MID(E151, SEARCH("/",E151) + 1, SEARCH("/",E151, SEARCH("/",E151)+1) - SEARCH("/",E151) - 1))-(LEFT(E151,FIND("/",E151)-1))), "NA"))</f>
        <v/>
      </c>
      <c r="K151" s="79">
        <f>IF(A151&lt;&gt;"", IF(ISBLANK(L151), TODAY(), K151), "")</f>
        <v/>
      </c>
      <c r="L151" s="78" t="n"/>
      <c r="M151" s="78">
        <f>IF(ISBLANK(L151),"",IF(D151="Stock",IF(C151="Buy",L151*G151,IF(C151="Sell",(L151*G151)-I151, X)),IF(C151="Buy",(L151*G151*100)+I151,IF(C151="Sell",(L151*G151*100)-I151, X))))</f>
        <v/>
      </c>
      <c r="N151" s="78">
        <f>IF(ISBLANK(L151),"",IF(AND(C151="Sell",D151="Stock"),M151,IF(ISBLANK(L151),"",IF(C151="Buy",M151, IF(AND(C151="Sell",J151="NA"),(E151*G151*100*0.1)+I151, IF(C151="Sell",(J151-L151)*(100*G151)+I151))))))</f>
        <v/>
      </c>
      <c r="O151" s="75" t="n"/>
      <c r="P151" s="75" t="n"/>
      <c r="Q151" s="75">
        <f>IF(ISBLANK(P151),"",IF(D151="Stock",P151*G151,IF(P151=0,"0",G151*P151*100-(G151*$AF$14))))</f>
        <v/>
      </c>
      <c r="R151" s="79">
        <f>IF(P151&lt;&gt;"", TODAY(), "")</f>
        <v/>
      </c>
      <c r="S151" s="78">
        <f>IF(AND(K151&lt;&gt;"", R151&lt;&gt;""), R151-K151, "")</f>
        <v/>
      </c>
      <c r="T151" s="78" t="n"/>
      <c r="U151" s="92">
        <f>IF(ISBLANK(P151),"",IF(C151="Buy",Q151-M151+T151, IF(C151="Sell",M151-Q151-T151, X)))</f>
        <v/>
      </c>
      <c r="V151" s="81">
        <f>IF(ISBLANK(P151),"",U151/N151)</f>
        <v/>
      </c>
      <c r="W151" s="81">
        <f>IF(ISBLANK(P151),"",IF(S151=0,(365/0.5)*V151,(365/S151)*V151))</f>
        <v/>
      </c>
      <c r="X151" s="75" t="n"/>
      <c r="Y151" s="77" t="n"/>
      <c r="Z151" s="77" t="n"/>
      <c r="AA151" s="75" t="n"/>
      <c r="AB151" s="75" t="n"/>
      <c r="AC151" s="6" t="n"/>
      <c r="AD151" s="75" t="n"/>
      <c r="AE151" s="75" t="n"/>
      <c r="AF151" s="75" t="n"/>
    </row>
    <row r="152" ht="15.75" customHeight="1" s="133">
      <c r="A152" s="75" t="n"/>
      <c r="B152" s="75" t="n"/>
      <c r="C152" s="75" t="n"/>
      <c r="D152" s="75" t="n"/>
      <c r="E152" s="76" t="n"/>
      <c r="F152" s="77" t="n"/>
      <c r="G152" s="75" t="n"/>
      <c r="H152" s="75">
        <f>IF(ISBLANK(E152),"",IF(OR(D152="Butterfly",D152="Butterfly ",D152="Iron Fly", D152="Iron Fly "),LEN(E152)-LEN(SUBSTITUTE(E152,"/",""))+2,LEN(E152)-LEN(SUBSTITUTE(E152,"/",""))+1))</f>
        <v/>
      </c>
      <c r="I152" s="78">
        <f>IF(ISBLANK(G152),"",IF(D152="Stock","0",Key!$A$3*H152*G152))</f>
        <v/>
      </c>
      <c r="J152" s="78">
        <f>IF(ISBLANK(E152),"",IF(ISNUMBER(SEARCH("/",E152)), IF(LEN(E152)-LEN(SUBSTITUTE(E152,"/",""))=1,(RIGHT(E152,LEN(E152)-FIND("/",E152)))-(LEFT(E152,FIND("/",E152)-1)),(MID(E152, SEARCH("/",E152) + 1, SEARCH("/",E152, SEARCH("/",E152)+1) - SEARCH("/",E152) - 1))-(LEFT(E152,FIND("/",E152)-1))), "NA"))</f>
        <v/>
      </c>
      <c r="K152" s="79">
        <f>IF(A152&lt;&gt;"", IF(ISBLANK(L152), TODAY(), K152), "")</f>
        <v/>
      </c>
      <c r="L152" s="78" t="n"/>
      <c r="M152" s="78">
        <f>IF(ISBLANK(L152),"",IF(D152="Stock",IF(C152="Buy",L152*G152,IF(C152="Sell",(L152*G152)-I152, X)),IF(C152="Buy",(L152*G152*100)+I152,IF(C152="Sell",(L152*G152*100)-I152, X))))</f>
        <v/>
      </c>
      <c r="N152" s="78">
        <f>IF(ISBLANK(L152),"",IF(AND(C152="Sell",D152="Stock"),M152,IF(ISBLANK(L152),"",IF(C152="Buy",M152, IF(AND(C152="Sell",J152="NA"),(E152*G152*100*0.1)+I152, IF(C152="Sell",(J152-L152)*(100*G152)+I152))))))</f>
        <v/>
      </c>
      <c r="O152" s="75" t="n"/>
      <c r="P152" s="75" t="n"/>
      <c r="Q152" s="75">
        <f>IF(ISBLANK(P152),"",IF(D152="Stock",P152*G152,IF(P152=0,"0",G152*P152*100-(G152*$AF$14))))</f>
        <v/>
      </c>
      <c r="R152" s="79">
        <f>IF(P152&lt;&gt;"", TODAY(), "")</f>
        <v/>
      </c>
      <c r="S152" s="78">
        <f>IF(AND(K152&lt;&gt;"", R152&lt;&gt;""), R152-K152, "")</f>
        <v/>
      </c>
      <c r="T152" s="78" t="n"/>
      <c r="U152" s="92">
        <f>IF(ISBLANK(P152),"",IF(C152="Buy",Q152-M152+T152, IF(C152="Sell",M152-Q152-T152, X)))</f>
        <v/>
      </c>
      <c r="V152" s="81">
        <f>IF(ISBLANK(P152),"",U152/N152)</f>
        <v/>
      </c>
      <c r="W152" s="81">
        <f>IF(ISBLANK(P152),"",IF(S152=0,(365/0.5)*V152,(365/S152)*V152))</f>
        <v/>
      </c>
      <c r="X152" s="75" t="n"/>
      <c r="Y152" s="77" t="n"/>
      <c r="Z152" s="77" t="n"/>
      <c r="AA152" s="75" t="n"/>
      <c r="AB152" s="75" t="n"/>
      <c r="AC152" s="6" t="n"/>
      <c r="AD152" s="75" t="n"/>
      <c r="AE152" s="75" t="n"/>
      <c r="AF152" s="75" t="n"/>
    </row>
    <row r="153" ht="15.75" customHeight="1" s="133">
      <c r="A153" s="75" t="n"/>
      <c r="B153" s="75" t="n"/>
      <c r="C153" s="75" t="n"/>
      <c r="D153" s="75" t="n"/>
      <c r="E153" s="76" t="n"/>
      <c r="F153" s="77" t="n"/>
      <c r="G153" s="75" t="n"/>
      <c r="H153" s="75">
        <f>IF(ISBLANK(E153),"",IF(OR(D153="Butterfly",D153="Butterfly ",D153="Iron Fly", D153="Iron Fly "),LEN(E153)-LEN(SUBSTITUTE(E153,"/",""))+2,LEN(E153)-LEN(SUBSTITUTE(E153,"/",""))+1))</f>
        <v/>
      </c>
      <c r="I153" s="78">
        <f>IF(ISBLANK(G153),"",IF(D153="Stock","0",Key!$A$3*H153*G153))</f>
        <v/>
      </c>
      <c r="J153" s="78">
        <f>IF(ISBLANK(E153),"",IF(ISNUMBER(SEARCH("/",E153)), IF(LEN(E153)-LEN(SUBSTITUTE(E153,"/",""))=1,(RIGHT(E153,LEN(E153)-FIND("/",E153)))-(LEFT(E153,FIND("/",E153)-1)),(MID(E153, SEARCH("/",E153) + 1, SEARCH("/",E153, SEARCH("/",E153)+1) - SEARCH("/",E153) - 1))-(LEFT(E153,FIND("/",E153)-1))), "NA"))</f>
        <v/>
      </c>
      <c r="K153" s="79">
        <f>IF(A153&lt;&gt;"", IF(ISBLANK(L153), TODAY(), K153), "")</f>
        <v/>
      </c>
      <c r="L153" s="78" t="n"/>
      <c r="M153" s="78">
        <f>IF(ISBLANK(L153),"",IF(D153="Stock",IF(C153="Buy",L153*G153,IF(C153="Sell",(L153*G153)-I153, X)),IF(C153="Buy",(L153*G153*100)+I153,IF(C153="Sell",(L153*G153*100)-I153, X))))</f>
        <v/>
      </c>
      <c r="N153" s="78">
        <f>IF(ISBLANK(L153),"",IF(AND(C153="Sell",D153="Stock"),M153,IF(ISBLANK(L153),"",IF(C153="Buy",M153, IF(AND(C153="Sell",J153="NA"),(E153*G153*100*0.1)+I153, IF(C153="Sell",(J153-L153)*(100*G153)+I153))))))</f>
        <v/>
      </c>
      <c r="O153" s="75" t="n"/>
      <c r="P153" s="75" t="n"/>
      <c r="Q153" s="75">
        <f>IF(ISBLANK(P153),"",IF(D153="Stock",P153*G153,IF(P153=0,"0",G153*P153*100-(G153*$AF$14))))</f>
        <v/>
      </c>
      <c r="R153" s="79">
        <f>IF(P153&lt;&gt;"", TODAY(), "")</f>
        <v/>
      </c>
      <c r="S153" s="78">
        <f>IF(AND(K153&lt;&gt;"", R153&lt;&gt;""), R153-K153, "")</f>
        <v/>
      </c>
      <c r="T153" s="78" t="n"/>
      <c r="U153" s="92">
        <f>IF(ISBLANK(P153),"",IF(C153="Buy",Q153-M153+T153, IF(C153="Sell",M153-Q153-T153, X)))</f>
        <v/>
      </c>
      <c r="V153" s="81">
        <f>IF(ISBLANK(P153),"",U153/N153)</f>
        <v/>
      </c>
      <c r="W153" s="81">
        <f>IF(ISBLANK(P153),"",IF(S153=0,(365/0.5)*V153,(365/S153)*V153))</f>
        <v/>
      </c>
      <c r="X153" s="75" t="n"/>
      <c r="Y153" s="77" t="n"/>
      <c r="Z153" s="77" t="n"/>
      <c r="AA153" s="75" t="n"/>
      <c r="AB153" s="75" t="n"/>
      <c r="AC153" s="6" t="n"/>
      <c r="AD153" s="75" t="n"/>
      <c r="AE153" s="75" t="n"/>
      <c r="AF153" s="75" t="n"/>
    </row>
    <row r="154" ht="15.75" customHeight="1" s="133">
      <c r="A154" s="75" t="n"/>
      <c r="B154" s="75" t="n"/>
      <c r="C154" s="75" t="n"/>
      <c r="D154" s="75" t="n"/>
      <c r="E154" s="76" t="n"/>
      <c r="F154" s="77" t="n"/>
      <c r="G154" s="75" t="n"/>
      <c r="H154" s="75">
        <f>IF(ISBLANK(E154),"",IF(OR(D154="Butterfly",D154="Butterfly ",D154="Iron Fly", D154="Iron Fly "),LEN(E154)-LEN(SUBSTITUTE(E154,"/",""))+2,LEN(E154)-LEN(SUBSTITUTE(E154,"/",""))+1))</f>
        <v/>
      </c>
      <c r="I154" s="78">
        <f>IF(ISBLANK(G154),"",IF(D154="Stock","0",Key!$A$3*H154*G154))</f>
        <v/>
      </c>
      <c r="J154" s="78">
        <f>IF(ISBLANK(E154),"",IF(ISNUMBER(SEARCH("/",E154)), IF(LEN(E154)-LEN(SUBSTITUTE(E154,"/",""))=1,(RIGHT(E154,LEN(E154)-FIND("/",E154)))-(LEFT(E154,FIND("/",E154)-1)),(MID(E154, SEARCH("/",E154) + 1, SEARCH("/",E154, SEARCH("/",E154)+1) - SEARCH("/",E154) - 1))-(LEFT(E154,FIND("/",E154)-1))), "NA"))</f>
        <v/>
      </c>
      <c r="K154" s="79">
        <f>IF(A154&lt;&gt;"", IF(ISBLANK(L154), TODAY(), K154), "")</f>
        <v/>
      </c>
      <c r="L154" s="78" t="n"/>
      <c r="M154" s="78">
        <f>IF(ISBLANK(L154),"",IF(D154="Stock",IF(C154="Buy",L154*G154,IF(C154="Sell",(L154*G154)-I154, X)),IF(C154="Buy",(L154*G154*100)+I154,IF(C154="Sell",(L154*G154*100)-I154, X))))</f>
        <v/>
      </c>
      <c r="N154" s="78">
        <f>IF(ISBLANK(L154),"",IF(AND(C154="Sell",D154="Stock"),M154,IF(ISBLANK(L154),"",IF(C154="Buy",M154, IF(AND(C154="Sell",J154="NA"),(E154*G154*100*0.1)+I154, IF(C154="Sell",(J154-L154)*(100*G154)+I154))))))</f>
        <v/>
      </c>
      <c r="O154" s="75" t="n"/>
      <c r="P154" s="75" t="n"/>
      <c r="Q154" s="75">
        <f>IF(ISBLANK(P154),"",IF(D154="Stock",P154*G154,IF(P154=0,"0",G154*P154*100-(G154*$AF$14))))</f>
        <v/>
      </c>
      <c r="R154" s="79">
        <f>IF(P154&lt;&gt;"", TODAY(), "")</f>
        <v/>
      </c>
      <c r="S154" s="78">
        <f>IF(AND(K154&lt;&gt;"", R154&lt;&gt;""), R154-K154, "")</f>
        <v/>
      </c>
      <c r="T154" s="78" t="n"/>
      <c r="U154" s="92">
        <f>IF(ISBLANK(P154),"",IF(C154="Buy",Q154-M154+T154, IF(C154="Sell",M154-Q154-T154, X)))</f>
        <v/>
      </c>
      <c r="V154" s="81">
        <f>IF(ISBLANK(P154),"",U154/N154)</f>
        <v/>
      </c>
      <c r="W154" s="81">
        <f>IF(ISBLANK(P154),"",IF(S154=0,(365/0.5)*V154,(365/S154)*V154))</f>
        <v/>
      </c>
      <c r="X154" s="75" t="n"/>
      <c r="Y154" s="77" t="n"/>
      <c r="Z154" s="77" t="n"/>
      <c r="AA154" s="75" t="n"/>
      <c r="AB154" s="75" t="n"/>
      <c r="AC154" s="6" t="n"/>
      <c r="AD154" s="75" t="n"/>
      <c r="AE154" s="75" t="n"/>
      <c r="AF154" s="75" t="n"/>
    </row>
    <row r="155" ht="15.75" customHeight="1" s="133">
      <c r="A155" s="75" t="n"/>
      <c r="B155" s="75" t="n"/>
      <c r="C155" s="75" t="n"/>
      <c r="D155" s="75" t="n"/>
      <c r="E155" s="76" t="n"/>
      <c r="F155" s="77" t="n"/>
      <c r="G155" s="75" t="n"/>
      <c r="H155" s="75">
        <f>IF(ISBLANK(E155),"",IF(OR(D155="Butterfly",D155="Butterfly ",D155="Iron Fly", D155="Iron Fly "),LEN(E155)-LEN(SUBSTITUTE(E155,"/",""))+2,LEN(E155)-LEN(SUBSTITUTE(E155,"/",""))+1))</f>
        <v/>
      </c>
      <c r="I155" s="78">
        <f>IF(ISBLANK(G155),"",IF(D155="Stock","0",Key!$A$3*H155*G155))</f>
        <v/>
      </c>
      <c r="J155" s="78">
        <f>IF(ISBLANK(E155),"",IF(ISNUMBER(SEARCH("/",E155)), IF(LEN(E155)-LEN(SUBSTITUTE(E155,"/",""))=1,(RIGHT(E155,LEN(E155)-FIND("/",E155)))-(LEFT(E155,FIND("/",E155)-1)),(MID(E155, SEARCH("/",E155) + 1, SEARCH("/",E155, SEARCH("/",E155)+1) - SEARCH("/",E155) - 1))-(LEFT(E155,FIND("/",E155)-1))), "NA"))</f>
        <v/>
      </c>
      <c r="K155" s="79">
        <f>IF(A155&lt;&gt;"", IF(ISBLANK(L155), TODAY(), K155), "")</f>
        <v/>
      </c>
      <c r="L155" s="78" t="n"/>
      <c r="M155" s="78">
        <f>IF(ISBLANK(L155),"",IF(D155="Stock",IF(C155="Buy",L155*G155,IF(C155="Sell",(L155*G155)-I155, X)),IF(C155="Buy",(L155*G155*100)+I155,IF(C155="Sell",(L155*G155*100)-I155, X))))</f>
        <v/>
      </c>
      <c r="N155" s="78">
        <f>IF(ISBLANK(L155),"",IF(AND(C155="Sell",D155="Stock"),M155,IF(ISBLANK(L155),"",IF(C155="Buy",M155, IF(AND(C155="Sell",J155="NA"),(E155*G155*100*0.1)+I155, IF(C155="Sell",(J155-L155)*(100*G155)+I155))))))</f>
        <v/>
      </c>
      <c r="O155" s="75" t="n"/>
      <c r="P155" s="75" t="n"/>
      <c r="Q155" s="75">
        <f>IF(ISBLANK(P155),"",IF(D155="Stock",P155*G155,IF(P155=0,"0",G155*P155*100-(G155*$AF$14))))</f>
        <v/>
      </c>
      <c r="R155" s="79">
        <f>IF(P155&lt;&gt;"", TODAY(), "")</f>
        <v/>
      </c>
      <c r="S155" s="78">
        <f>IF(AND(K155&lt;&gt;"", R155&lt;&gt;""), R155-K155, "")</f>
        <v/>
      </c>
      <c r="T155" s="78" t="n"/>
      <c r="U155" s="92">
        <f>IF(ISBLANK(P155),"",IF(C155="Buy",Q155-M155+T155, IF(C155="Sell",M155-Q155-T155, X)))</f>
        <v/>
      </c>
      <c r="V155" s="81">
        <f>IF(ISBLANK(P155),"",U155/N155)</f>
        <v/>
      </c>
      <c r="W155" s="81">
        <f>IF(ISBLANK(P155),"",IF(S155=0,(365/0.5)*V155,(365/S155)*V155))</f>
        <v/>
      </c>
      <c r="X155" s="75" t="n"/>
      <c r="Y155" s="77" t="n"/>
      <c r="Z155" s="77" t="n"/>
      <c r="AA155" s="75" t="n"/>
      <c r="AB155" s="75" t="n"/>
      <c r="AC155" s="6" t="n"/>
      <c r="AD155" s="75" t="n"/>
      <c r="AE155" s="75" t="n"/>
      <c r="AF155" s="75" t="n"/>
    </row>
    <row r="156" ht="15.75" customHeight="1" s="133">
      <c r="A156" s="75" t="n"/>
      <c r="B156" s="75" t="n"/>
      <c r="C156" s="75" t="n"/>
      <c r="D156" s="75" t="n"/>
      <c r="E156" s="76" t="n"/>
      <c r="F156" s="77" t="n"/>
      <c r="G156" s="75" t="n"/>
      <c r="H156" s="75">
        <f>IF(ISBLANK(E156),"",IF(OR(D156="Butterfly",D156="Butterfly ",D156="Iron Fly", D156="Iron Fly "),LEN(E156)-LEN(SUBSTITUTE(E156,"/",""))+2,LEN(E156)-LEN(SUBSTITUTE(E156,"/",""))+1))</f>
        <v/>
      </c>
      <c r="I156" s="78">
        <f>IF(ISBLANK(G156),"",IF(D156="Stock","0",Key!$A$3*H156*G156))</f>
        <v/>
      </c>
      <c r="J156" s="78">
        <f>IF(ISBLANK(E156),"",IF(ISNUMBER(SEARCH("/",E156)), IF(LEN(E156)-LEN(SUBSTITUTE(E156,"/",""))=1,(RIGHT(E156,LEN(E156)-FIND("/",E156)))-(LEFT(E156,FIND("/",E156)-1)),(MID(E156, SEARCH("/",E156) + 1, SEARCH("/",E156, SEARCH("/",E156)+1) - SEARCH("/",E156) - 1))-(LEFT(E156,FIND("/",E156)-1))), "NA"))</f>
        <v/>
      </c>
      <c r="K156" s="79">
        <f>IF(A156&lt;&gt;"", IF(ISBLANK(L156), TODAY(), K156), "")</f>
        <v/>
      </c>
      <c r="L156" s="78" t="n"/>
      <c r="M156" s="78">
        <f>IF(ISBLANK(L156),"",IF(D156="Stock",IF(C156="Buy",L156*G156,IF(C156="Sell",(L156*G156)-I156, X)),IF(C156="Buy",(L156*G156*100)+I156,IF(C156="Sell",(L156*G156*100)-I156, X))))</f>
        <v/>
      </c>
      <c r="N156" s="78">
        <f>IF(ISBLANK(L156),"",IF(AND(C156="Sell",D156="Stock"),M156,IF(ISBLANK(L156),"",IF(C156="Buy",M156, IF(AND(C156="Sell",J156="NA"),(E156*G156*100*0.1)+I156, IF(C156="Sell",(J156-L156)*(100*G156)+I156))))))</f>
        <v/>
      </c>
      <c r="O156" s="75" t="n"/>
      <c r="P156" s="75" t="n"/>
      <c r="Q156" s="75">
        <f>IF(ISBLANK(P156),"",IF(D156="Stock",P156*G156,IF(P156=0,"0",G156*P156*100-(G156*$AF$14))))</f>
        <v/>
      </c>
      <c r="R156" s="79">
        <f>IF(P156&lt;&gt;"", TODAY(), "")</f>
        <v/>
      </c>
      <c r="S156" s="78">
        <f>IF(AND(K156&lt;&gt;"", R156&lt;&gt;""), R156-K156, "")</f>
        <v/>
      </c>
      <c r="T156" s="78" t="n"/>
      <c r="U156" s="92">
        <f>IF(ISBLANK(P156),"",IF(C156="Buy",Q156-M156+T156, IF(C156="Sell",M156-Q156-T156, X)))</f>
        <v/>
      </c>
      <c r="V156" s="81">
        <f>IF(ISBLANK(P156),"",U156/N156)</f>
        <v/>
      </c>
      <c r="W156" s="81">
        <f>IF(ISBLANK(P156),"",IF(S156=0,(365/0.5)*V156,(365/S156)*V156))</f>
        <v/>
      </c>
      <c r="X156" s="75" t="n"/>
      <c r="Y156" s="77" t="n"/>
      <c r="Z156" s="77" t="n"/>
      <c r="AA156" s="75" t="n"/>
      <c r="AB156" s="75" t="n"/>
      <c r="AC156" s="6" t="n"/>
      <c r="AD156" s="75" t="n"/>
      <c r="AE156" s="75" t="n"/>
      <c r="AF156" s="75" t="n"/>
    </row>
    <row r="157" ht="15.75" customHeight="1" s="133">
      <c r="A157" s="75" t="n"/>
      <c r="B157" s="75" t="n"/>
      <c r="C157" s="75" t="n"/>
      <c r="D157" s="75" t="n"/>
      <c r="E157" s="76" t="n"/>
      <c r="F157" s="77" t="n"/>
      <c r="G157" s="75" t="n"/>
      <c r="H157" s="75">
        <f>IF(ISBLANK(E157),"",IF(OR(D157="Butterfly",D157="Butterfly ",D157="Iron Fly", D157="Iron Fly "),LEN(E157)-LEN(SUBSTITUTE(E157,"/",""))+2,LEN(E157)-LEN(SUBSTITUTE(E157,"/",""))+1))</f>
        <v/>
      </c>
      <c r="I157" s="78">
        <f>IF(ISBLANK(G157),"",IF(D157="Stock","0",Key!$A$3*H157*G157))</f>
        <v/>
      </c>
      <c r="J157" s="78">
        <f>IF(ISBLANK(E157),"",IF(ISNUMBER(SEARCH("/",E157)), IF(LEN(E157)-LEN(SUBSTITUTE(E157,"/",""))=1,(RIGHT(E157,LEN(E157)-FIND("/",E157)))-(LEFT(E157,FIND("/",E157)-1)),(MID(E157, SEARCH("/",E157) + 1, SEARCH("/",E157, SEARCH("/",E157)+1) - SEARCH("/",E157) - 1))-(LEFT(E157,FIND("/",E157)-1))), "NA"))</f>
        <v/>
      </c>
      <c r="K157" s="79">
        <f>IF(A157&lt;&gt;"", IF(ISBLANK(L157), TODAY(), K157), "")</f>
        <v/>
      </c>
      <c r="L157" s="78" t="n"/>
      <c r="M157" s="78">
        <f>IF(ISBLANK(L157),"",IF(D157="Stock",IF(C157="Buy",L157*G157,IF(C157="Sell",(L157*G157)-I157, X)),IF(C157="Buy",(L157*G157*100)+I157,IF(C157="Sell",(L157*G157*100)-I157, X))))</f>
        <v/>
      </c>
      <c r="N157" s="78">
        <f>IF(ISBLANK(L157),"",IF(AND(C157="Sell",D157="Stock"),M157,IF(ISBLANK(L157),"",IF(C157="Buy",M157, IF(AND(C157="Sell",J157="NA"),(E157*G157*100*0.1)+I157, IF(C157="Sell",(J157-L157)*(100*G157)+I157))))))</f>
        <v/>
      </c>
      <c r="O157" s="75" t="n"/>
      <c r="P157" s="75" t="n"/>
      <c r="Q157" s="75">
        <f>IF(ISBLANK(P157),"",IF(D157="Stock",P157*G157,IF(P157=0,"0",G157*P157*100-(G157*$AF$14))))</f>
        <v/>
      </c>
      <c r="R157" s="79">
        <f>IF(P157&lt;&gt;"", TODAY(), "")</f>
        <v/>
      </c>
      <c r="S157" s="78">
        <f>IF(AND(K157&lt;&gt;"", R157&lt;&gt;""), R157-K157, "")</f>
        <v/>
      </c>
      <c r="T157" s="78" t="n"/>
      <c r="U157" s="92">
        <f>IF(ISBLANK(P157),"",IF(C157="Buy",Q157-M157+T157, IF(C157="Sell",M157-Q157-T157, X)))</f>
        <v/>
      </c>
      <c r="V157" s="81">
        <f>IF(ISBLANK(P157),"",U157/N157)</f>
        <v/>
      </c>
      <c r="W157" s="81">
        <f>IF(ISBLANK(P157),"",IF(S157=0,(365/0.5)*V157,(365/S157)*V157))</f>
        <v/>
      </c>
      <c r="X157" s="75" t="n"/>
      <c r="Y157" s="77" t="n"/>
      <c r="Z157" s="77" t="n"/>
      <c r="AA157" s="75" t="n"/>
      <c r="AB157" s="75" t="n"/>
      <c r="AC157" s="6" t="n"/>
      <c r="AD157" s="75" t="n"/>
      <c r="AE157" s="75" t="n"/>
      <c r="AF157" s="75" t="n"/>
    </row>
    <row r="158" ht="15.75" customHeight="1" s="133">
      <c r="A158" s="75" t="n"/>
      <c r="B158" s="75" t="n"/>
      <c r="C158" s="75" t="n"/>
      <c r="D158" s="75" t="n"/>
      <c r="E158" s="76" t="n"/>
      <c r="F158" s="77" t="n"/>
      <c r="G158" s="75" t="n"/>
      <c r="H158" s="75">
        <f>IF(ISBLANK(E158),"",IF(OR(D158="Butterfly",D158="Butterfly ",D158="Iron Fly", D158="Iron Fly "),LEN(E158)-LEN(SUBSTITUTE(E158,"/",""))+2,LEN(E158)-LEN(SUBSTITUTE(E158,"/",""))+1))</f>
        <v/>
      </c>
      <c r="I158" s="78">
        <f>IF(ISBLANK(G158),"",IF(D158="Stock","0",Key!$A$3*H158*G158))</f>
        <v/>
      </c>
      <c r="J158" s="78">
        <f>IF(ISBLANK(E158),"",IF(ISNUMBER(SEARCH("/",E158)), IF(LEN(E158)-LEN(SUBSTITUTE(E158,"/",""))=1,(RIGHT(E158,LEN(E158)-FIND("/",E158)))-(LEFT(E158,FIND("/",E158)-1)),(MID(E158, SEARCH("/",E158) + 1, SEARCH("/",E158, SEARCH("/",E158)+1) - SEARCH("/",E158) - 1))-(LEFT(E158,FIND("/",E158)-1))), "NA"))</f>
        <v/>
      </c>
      <c r="K158" s="79">
        <f>IF(A158&lt;&gt;"", IF(ISBLANK(L158), TODAY(), K158), "")</f>
        <v/>
      </c>
      <c r="L158" s="78" t="n"/>
      <c r="M158" s="78">
        <f>IF(ISBLANK(L158),"",IF(D158="Stock",IF(C158="Buy",L158*G158,IF(C158="Sell",(L158*G158)-I158, X)),IF(C158="Buy",(L158*G158*100)+I158,IF(C158="Sell",(L158*G158*100)-I158, X))))</f>
        <v/>
      </c>
      <c r="N158" s="78">
        <f>IF(ISBLANK(L158),"",IF(AND(C158="Sell",D158="Stock"),M158,IF(ISBLANK(L158),"",IF(C158="Buy",M158, IF(AND(C158="Sell",J158="NA"),(E158*G158*100*0.1)+I158, IF(C158="Sell",(J158-L158)*(100*G158)+I158))))))</f>
        <v/>
      </c>
      <c r="O158" s="75" t="n"/>
      <c r="P158" s="75" t="n"/>
      <c r="Q158" s="75">
        <f>IF(ISBLANK(P158),"",IF(D158="Stock",P158*G158,IF(P158=0,"0",G158*P158*100-(G158*$AF$14))))</f>
        <v/>
      </c>
      <c r="R158" s="79">
        <f>IF(P158&lt;&gt;"", TODAY(), "")</f>
        <v/>
      </c>
      <c r="S158" s="78">
        <f>IF(AND(K158&lt;&gt;"", R158&lt;&gt;""), R158-K158, "")</f>
        <v/>
      </c>
      <c r="T158" s="78" t="n"/>
      <c r="U158" s="92">
        <f>IF(ISBLANK(P158),"",IF(C158="Buy",Q158-M158+T158, IF(C158="Sell",M158-Q158-T158, X)))</f>
        <v/>
      </c>
      <c r="V158" s="81">
        <f>IF(ISBLANK(P158),"",U158/N158)</f>
        <v/>
      </c>
      <c r="W158" s="81">
        <f>IF(ISBLANK(P158),"",IF(S158=0,(365/0.5)*V158,(365/S158)*V158))</f>
        <v/>
      </c>
      <c r="X158" s="75" t="n"/>
      <c r="Y158" s="77" t="n"/>
      <c r="Z158" s="77" t="n"/>
      <c r="AA158" s="75" t="n"/>
      <c r="AB158" s="75" t="n"/>
      <c r="AC158" s="6" t="n"/>
      <c r="AD158" s="75" t="n"/>
      <c r="AE158" s="75" t="n"/>
      <c r="AF158" s="75" t="n"/>
    </row>
    <row r="159" ht="15.75" customHeight="1" s="133">
      <c r="A159" s="75" t="n"/>
      <c r="B159" s="75" t="n"/>
      <c r="C159" s="75" t="n"/>
      <c r="D159" s="75" t="n"/>
      <c r="E159" s="76" t="n"/>
      <c r="F159" s="77" t="n"/>
      <c r="G159" s="75" t="n"/>
      <c r="H159" s="75">
        <f>IF(ISBLANK(E159),"",IF(OR(D159="Butterfly",D159="Butterfly ",D159="Iron Fly", D159="Iron Fly "),LEN(E159)-LEN(SUBSTITUTE(E159,"/",""))+2,LEN(E159)-LEN(SUBSTITUTE(E159,"/",""))+1))</f>
        <v/>
      </c>
      <c r="I159" s="78">
        <f>IF(ISBLANK(G159),"",IF(D159="Stock","0",Key!$A$3*H159*G159))</f>
        <v/>
      </c>
      <c r="J159" s="78">
        <f>IF(ISBLANK(E159),"",IF(ISNUMBER(SEARCH("/",E159)), IF(LEN(E159)-LEN(SUBSTITUTE(E159,"/",""))=1,(RIGHT(E159,LEN(E159)-FIND("/",E159)))-(LEFT(E159,FIND("/",E159)-1)),(MID(E159, SEARCH("/",E159) + 1, SEARCH("/",E159, SEARCH("/",E159)+1) - SEARCH("/",E159) - 1))-(LEFT(E159,FIND("/",E159)-1))), "NA"))</f>
        <v/>
      </c>
      <c r="K159" s="79">
        <f>IF(A159&lt;&gt;"", IF(ISBLANK(L159), TODAY(), K159), "")</f>
        <v/>
      </c>
      <c r="L159" s="78" t="n"/>
      <c r="M159" s="78">
        <f>IF(ISBLANK(L159),"",IF(D159="Stock",IF(C159="Buy",L159*G159,IF(C159="Sell",(L159*G159)-I159, X)),IF(C159="Buy",(L159*G159*100)+I159,IF(C159="Sell",(L159*G159*100)-I159, X))))</f>
        <v/>
      </c>
      <c r="N159" s="78">
        <f>IF(ISBLANK(L159),"",IF(AND(C159="Sell",D159="Stock"),M159,IF(ISBLANK(L159),"",IF(C159="Buy",M159, IF(AND(C159="Sell",J159="NA"),(E159*G159*100*0.1)+I159, IF(C159="Sell",(J159-L159)*(100*G159)+I159))))))</f>
        <v/>
      </c>
      <c r="O159" s="75" t="n"/>
      <c r="P159" s="75" t="n"/>
      <c r="Q159" s="75">
        <f>IF(ISBLANK(P159),"",IF(D159="Stock",P159*G159,IF(P159=0,"0",G159*P159*100-(G159*$AF$14))))</f>
        <v/>
      </c>
      <c r="R159" s="79">
        <f>IF(P159&lt;&gt;"", TODAY(), "")</f>
        <v/>
      </c>
      <c r="S159" s="78">
        <f>IF(AND(K159&lt;&gt;"", R159&lt;&gt;""), R159-K159, "")</f>
        <v/>
      </c>
      <c r="T159" s="78" t="n"/>
      <c r="U159" s="92">
        <f>IF(ISBLANK(P159),"",IF(C159="Buy",Q159-M159+T159, IF(C159="Sell",M159-Q159-T159, X)))</f>
        <v/>
      </c>
      <c r="V159" s="81">
        <f>IF(ISBLANK(P159),"",U159/N159)</f>
        <v/>
      </c>
      <c r="W159" s="81">
        <f>IF(ISBLANK(P159),"",IF(S159=0,(365/0.5)*V159,(365/S159)*V159))</f>
        <v/>
      </c>
      <c r="X159" s="75" t="n"/>
      <c r="Y159" s="77" t="n"/>
      <c r="Z159" s="77" t="n"/>
      <c r="AA159" s="75" t="n"/>
      <c r="AB159" s="75" t="n"/>
      <c r="AC159" s="6" t="n"/>
      <c r="AD159" s="75" t="n"/>
      <c r="AE159" s="75" t="n"/>
      <c r="AF159" s="75" t="n"/>
    </row>
    <row r="160" ht="15.75" customHeight="1" s="133">
      <c r="A160" s="75" t="n"/>
      <c r="B160" s="75" t="n"/>
      <c r="C160" s="75" t="n"/>
      <c r="D160" s="75" t="n"/>
      <c r="E160" s="76" t="n"/>
      <c r="F160" s="77" t="n"/>
      <c r="G160" s="75" t="n"/>
      <c r="H160" s="75">
        <f>IF(ISBLANK(E160),"",IF(OR(D160="Butterfly",D160="Butterfly ",D160="Iron Fly", D160="Iron Fly "),LEN(E160)-LEN(SUBSTITUTE(E160,"/",""))+2,LEN(E160)-LEN(SUBSTITUTE(E160,"/",""))+1))</f>
        <v/>
      </c>
      <c r="I160" s="78">
        <f>IF(ISBLANK(G160),"",IF(D160="Stock","0",Key!$A$3*H160*G160))</f>
        <v/>
      </c>
      <c r="J160" s="78">
        <f>IF(ISBLANK(E160),"",IF(ISNUMBER(SEARCH("/",E160)), IF(LEN(E160)-LEN(SUBSTITUTE(E160,"/",""))=1,(RIGHT(E160,LEN(E160)-FIND("/",E160)))-(LEFT(E160,FIND("/",E160)-1)),(MID(E160, SEARCH("/",E160) + 1, SEARCH("/",E160, SEARCH("/",E160)+1) - SEARCH("/",E160) - 1))-(LEFT(E160,FIND("/",E160)-1))), "NA"))</f>
        <v/>
      </c>
      <c r="K160" s="79">
        <f>IF(A160&lt;&gt;"", IF(ISBLANK(L160), TODAY(), K160), "")</f>
        <v/>
      </c>
      <c r="L160" s="78" t="n"/>
      <c r="M160" s="78">
        <f>IF(ISBLANK(L160),"",IF(D160="Stock",IF(C160="Buy",L160*G160,IF(C160="Sell",(L160*G160)-I160, X)),IF(C160="Buy",(L160*G160*100)+I160,IF(C160="Sell",(L160*G160*100)-I160, X))))</f>
        <v/>
      </c>
      <c r="N160" s="78">
        <f>IF(ISBLANK(L160),"",IF(AND(C160="Sell",D160="Stock"),M160,IF(ISBLANK(L160),"",IF(C160="Buy",M160, IF(AND(C160="Sell",J160="NA"),(E160*G160*100*0.1)+I160, IF(C160="Sell",(J160-L160)*(100*G160)+I160))))))</f>
        <v/>
      </c>
      <c r="O160" s="75" t="n"/>
      <c r="P160" s="75" t="n"/>
      <c r="Q160" s="75">
        <f>IF(ISBLANK(P160),"",IF(D160="Stock",P160*G160,IF(P160=0,"0",G160*P160*100-(G160*$AF$14))))</f>
        <v/>
      </c>
      <c r="R160" s="79">
        <f>IF(P160&lt;&gt;"", TODAY(), "")</f>
        <v/>
      </c>
      <c r="S160" s="78">
        <f>IF(AND(K160&lt;&gt;"", R160&lt;&gt;""), R160-K160, "")</f>
        <v/>
      </c>
      <c r="T160" s="78" t="n"/>
      <c r="U160" s="92">
        <f>IF(ISBLANK(P160),"",IF(C160="Buy",Q160-M160+T160, IF(C160="Sell",M160-Q160-T160, X)))</f>
        <v/>
      </c>
      <c r="V160" s="81">
        <f>IF(ISBLANK(P160),"",U160/N160)</f>
        <v/>
      </c>
      <c r="W160" s="81">
        <f>IF(ISBLANK(P160),"",IF(S160=0,(365/0.5)*V160,(365/S160)*V160))</f>
        <v/>
      </c>
      <c r="X160" s="75" t="n"/>
      <c r="Y160" s="77" t="n"/>
      <c r="Z160" s="77" t="n"/>
      <c r="AA160" s="75" t="n"/>
      <c r="AB160" s="75" t="n"/>
      <c r="AC160" s="6" t="n"/>
      <c r="AD160" s="75" t="n"/>
      <c r="AE160" s="75" t="n"/>
      <c r="AF160" s="75" t="n"/>
    </row>
    <row r="161" ht="15.75" customHeight="1" s="133">
      <c r="A161" s="75" t="n"/>
      <c r="B161" s="75" t="n"/>
      <c r="C161" s="75" t="n"/>
      <c r="D161" s="75" t="n"/>
      <c r="E161" s="76" t="n"/>
      <c r="F161" s="77" t="n"/>
      <c r="G161" s="75" t="n"/>
      <c r="H161" s="75">
        <f>IF(ISBLANK(E161),"",IF(OR(D161="Butterfly",D161="Butterfly ",D161="Iron Fly", D161="Iron Fly "),LEN(E161)-LEN(SUBSTITUTE(E161,"/",""))+2,LEN(E161)-LEN(SUBSTITUTE(E161,"/",""))+1))</f>
        <v/>
      </c>
      <c r="I161" s="78">
        <f>IF(ISBLANK(G161),"",IF(D161="Stock","0",Key!$A$3*H161*G161))</f>
        <v/>
      </c>
      <c r="J161" s="78">
        <f>IF(ISBLANK(E161),"",IF(ISNUMBER(SEARCH("/",E161)), IF(LEN(E161)-LEN(SUBSTITUTE(E161,"/",""))=1,(RIGHT(E161,LEN(E161)-FIND("/",E161)))-(LEFT(E161,FIND("/",E161)-1)),(MID(E161, SEARCH("/",E161) + 1, SEARCH("/",E161, SEARCH("/",E161)+1) - SEARCH("/",E161) - 1))-(LEFT(E161,FIND("/",E161)-1))), "NA"))</f>
        <v/>
      </c>
      <c r="K161" s="79">
        <f>IF(A161&lt;&gt;"", IF(ISBLANK(L161), TODAY(), K161), "")</f>
        <v/>
      </c>
      <c r="L161" s="78" t="n"/>
      <c r="M161" s="78">
        <f>IF(ISBLANK(L161),"",IF(D161="Stock",IF(C161="Buy",L161*G161,IF(C161="Sell",(L161*G161)-I161, X)),IF(C161="Buy",(L161*G161*100)+I161,IF(C161="Sell",(L161*G161*100)-I161, X))))</f>
        <v/>
      </c>
      <c r="N161" s="78">
        <f>IF(ISBLANK(L161),"",IF(AND(C161="Sell",D161="Stock"),M161,IF(ISBLANK(L161),"",IF(C161="Buy",M161, IF(AND(C161="Sell",J161="NA"),(E161*G161*100*0.1)+I161, IF(C161="Sell",(J161-L161)*(100*G161)+I161))))))</f>
        <v/>
      </c>
      <c r="O161" s="75" t="n"/>
      <c r="P161" s="75" t="n"/>
      <c r="Q161" s="75">
        <f>IF(ISBLANK(P161),"",IF(D161="Stock",P161*G161,IF(P161=0,"0",G161*P161*100-(G161*$AF$14))))</f>
        <v/>
      </c>
      <c r="R161" s="79">
        <f>IF(P161&lt;&gt;"", TODAY(), "")</f>
        <v/>
      </c>
      <c r="S161" s="78">
        <f>IF(AND(K161&lt;&gt;"", R161&lt;&gt;""), R161-K161, "")</f>
        <v/>
      </c>
      <c r="T161" s="78" t="n"/>
      <c r="U161" s="92">
        <f>IF(ISBLANK(P161),"",IF(C161="Buy",Q161-M161+T161, IF(C161="Sell",M161-Q161-T161, X)))</f>
        <v/>
      </c>
      <c r="V161" s="81">
        <f>IF(ISBLANK(P161),"",U161/N161)</f>
        <v/>
      </c>
      <c r="W161" s="81">
        <f>IF(ISBLANK(P161),"",IF(S161=0,(365/0.5)*V161,(365/S161)*V161))</f>
        <v/>
      </c>
      <c r="X161" s="75" t="n"/>
      <c r="Y161" s="77" t="n"/>
      <c r="Z161" s="77" t="n"/>
      <c r="AA161" s="75" t="n"/>
      <c r="AB161" s="75" t="n"/>
      <c r="AC161" s="6" t="n"/>
      <c r="AD161" s="75" t="n"/>
      <c r="AE161" s="75" t="n"/>
      <c r="AF161" s="75" t="n"/>
    </row>
    <row r="162" ht="15.75" customHeight="1" s="133">
      <c r="A162" s="75" t="n"/>
      <c r="B162" s="75" t="n"/>
      <c r="C162" s="75" t="n"/>
      <c r="D162" s="75" t="n"/>
      <c r="E162" s="76" t="n"/>
      <c r="F162" s="77" t="n"/>
      <c r="G162" s="75" t="n"/>
      <c r="H162" s="75">
        <f>IF(ISBLANK(E162),"",IF(OR(D162="Butterfly",D162="Butterfly ",D162="Iron Fly", D162="Iron Fly "),LEN(E162)-LEN(SUBSTITUTE(E162,"/",""))+2,LEN(E162)-LEN(SUBSTITUTE(E162,"/",""))+1))</f>
        <v/>
      </c>
      <c r="I162" s="78">
        <f>IF(ISBLANK(G162),"",IF(D162="Stock","0",Key!$A$3*H162*G162))</f>
        <v/>
      </c>
      <c r="J162" s="78">
        <f>IF(ISBLANK(E162),"",IF(ISNUMBER(SEARCH("/",E162)), IF(LEN(E162)-LEN(SUBSTITUTE(E162,"/",""))=1,(RIGHT(E162,LEN(E162)-FIND("/",E162)))-(LEFT(E162,FIND("/",E162)-1)),(MID(E162, SEARCH("/",E162) + 1, SEARCH("/",E162, SEARCH("/",E162)+1) - SEARCH("/",E162) - 1))-(LEFT(E162,FIND("/",E162)-1))), "NA"))</f>
        <v/>
      </c>
      <c r="K162" s="79">
        <f>IF(A162&lt;&gt;"", IF(ISBLANK(L162), TODAY(), K162), "")</f>
        <v/>
      </c>
      <c r="L162" s="78" t="n"/>
      <c r="M162" s="78">
        <f>IF(ISBLANK(L162),"",IF(D162="Stock",IF(C162="Buy",L162*G162,IF(C162="Sell",(L162*G162)-I162, X)),IF(C162="Buy",(L162*G162*100)+I162,IF(C162="Sell",(L162*G162*100)-I162, X))))</f>
        <v/>
      </c>
      <c r="N162" s="78">
        <f>IF(ISBLANK(L162),"",IF(AND(C162="Sell",D162="Stock"),M162,IF(ISBLANK(L162),"",IF(C162="Buy",M162, IF(AND(C162="Sell",J162="NA"),(E162*G162*100*0.1)+I162, IF(C162="Sell",(J162-L162)*(100*G162)+I162))))))</f>
        <v/>
      </c>
      <c r="O162" s="75" t="n"/>
      <c r="P162" s="75" t="n"/>
      <c r="Q162" s="75">
        <f>IF(ISBLANK(P162),"",IF(D162="Stock",P162*G162,IF(P162=0,"0",G162*P162*100-(G162*$AF$14))))</f>
        <v/>
      </c>
      <c r="R162" s="79">
        <f>IF(P162&lt;&gt;"", TODAY(), "")</f>
        <v/>
      </c>
      <c r="S162" s="78">
        <f>IF(AND(K162&lt;&gt;"", R162&lt;&gt;""), R162-K162, "")</f>
        <v/>
      </c>
      <c r="T162" s="78" t="n"/>
      <c r="U162" s="92">
        <f>IF(ISBLANK(P162),"",IF(C162="Buy",Q162-M162+T162, IF(C162="Sell",M162-Q162-T162, X)))</f>
        <v/>
      </c>
      <c r="V162" s="81">
        <f>IF(ISBLANK(P162),"",U162/N162)</f>
        <v/>
      </c>
      <c r="W162" s="81">
        <f>IF(ISBLANK(P162),"",IF(S162=0,(365/0.5)*V162,(365/S162)*V162))</f>
        <v/>
      </c>
      <c r="X162" s="75" t="n"/>
      <c r="Y162" s="77" t="n"/>
      <c r="Z162" s="77" t="n"/>
      <c r="AA162" s="75" t="n"/>
      <c r="AB162" s="75" t="n"/>
      <c r="AC162" s="6" t="n"/>
      <c r="AD162" s="75" t="n"/>
      <c r="AE162" s="75" t="n"/>
      <c r="AF162" s="75" t="n"/>
    </row>
    <row r="163" ht="15.75" customHeight="1" s="133">
      <c r="A163" s="75" t="n"/>
      <c r="B163" s="75" t="n"/>
      <c r="C163" s="75" t="n"/>
      <c r="D163" s="75" t="n"/>
      <c r="E163" s="76" t="n"/>
      <c r="F163" s="77" t="n"/>
      <c r="G163" s="75" t="n"/>
      <c r="H163" s="75">
        <f>IF(ISBLANK(E163),"",IF(OR(D163="Butterfly",D163="Butterfly ",D163="Iron Fly", D163="Iron Fly "),LEN(E163)-LEN(SUBSTITUTE(E163,"/",""))+2,LEN(E163)-LEN(SUBSTITUTE(E163,"/",""))+1))</f>
        <v/>
      </c>
      <c r="I163" s="78">
        <f>IF(ISBLANK(G163),"",IF(D163="Stock","0",Key!$A$3*H163*G163))</f>
        <v/>
      </c>
      <c r="J163" s="78">
        <f>IF(ISBLANK(E163),"",IF(ISNUMBER(SEARCH("/",E163)), IF(LEN(E163)-LEN(SUBSTITUTE(E163,"/",""))=1,(RIGHT(E163,LEN(E163)-FIND("/",E163)))-(LEFT(E163,FIND("/",E163)-1)),(MID(E163, SEARCH("/",E163) + 1, SEARCH("/",E163, SEARCH("/",E163)+1) - SEARCH("/",E163) - 1))-(LEFT(E163,FIND("/",E163)-1))), "NA"))</f>
        <v/>
      </c>
      <c r="K163" s="79">
        <f>IF(A163&lt;&gt;"", IF(ISBLANK(L163), TODAY(), K163), "")</f>
        <v/>
      </c>
      <c r="L163" s="78" t="n"/>
      <c r="M163" s="78">
        <f>IF(ISBLANK(L163),"",IF(D163="Stock",IF(C163="Buy",L163*G163,IF(C163="Sell",(L163*G163)-I163, X)),IF(C163="Buy",(L163*G163*100)+I163,IF(C163="Sell",(L163*G163*100)-I163, X))))</f>
        <v/>
      </c>
      <c r="N163" s="78">
        <f>IF(ISBLANK(L163),"",IF(AND(C163="Sell",D163="Stock"),M163,IF(ISBLANK(L163),"",IF(C163="Buy",M163, IF(AND(C163="Sell",J163="NA"),(E163*G163*100*0.1)+I163, IF(C163="Sell",(J163-L163)*(100*G163)+I163))))))</f>
        <v/>
      </c>
      <c r="O163" s="75" t="n"/>
      <c r="P163" s="75" t="n"/>
      <c r="Q163" s="75">
        <f>IF(ISBLANK(P163),"",IF(D163="Stock",P163*G163,IF(P163=0,"0",G163*P163*100-(G163*$AF$14))))</f>
        <v/>
      </c>
      <c r="R163" s="79">
        <f>IF(P163&lt;&gt;"", TODAY(), "")</f>
        <v/>
      </c>
      <c r="S163" s="78">
        <f>IF(AND(K163&lt;&gt;"", R163&lt;&gt;""), R163-K163, "")</f>
        <v/>
      </c>
      <c r="T163" s="78" t="n"/>
      <c r="U163" s="92">
        <f>IF(ISBLANK(P163),"",IF(C163="Buy",Q163-M163+T163, IF(C163="Sell",M163-Q163-T163, X)))</f>
        <v/>
      </c>
      <c r="V163" s="81">
        <f>IF(ISBLANK(P163),"",U163/N163)</f>
        <v/>
      </c>
      <c r="W163" s="81">
        <f>IF(ISBLANK(P163),"",IF(S163=0,(365/0.5)*V163,(365/S163)*V163))</f>
        <v/>
      </c>
      <c r="X163" s="75" t="n"/>
      <c r="Y163" s="77" t="n"/>
      <c r="Z163" s="77" t="n"/>
      <c r="AA163" s="75" t="n"/>
      <c r="AB163" s="75" t="n"/>
      <c r="AC163" s="6" t="n"/>
      <c r="AD163" s="75" t="n"/>
      <c r="AE163" s="75" t="n"/>
      <c r="AF163" s="75" t="n"/>
    </row>
    <row r="164" ht="15.75" customHeight="1" s="133">
      <c r="A164" s="75" t="n"/>
      <c r="B164" s="75" t="n"/>
      <c r="C164" s="75" t="n"/>
      <c r="D164" s="75" t="n"/>
      <c r="E164" s="76" t="n"/>
      <c r="F164" s="77" t="n"/>
      <c r="G164" s="75" t="n"/>
      <c r="H164" s="75">
        <f>IF(ISBLANK(E164),"",IF(OR(D164="Butterfly",D164="Butterfly ",D164="Iron Fly", D164="Iron Fly "),LEN(E164)-LEN(SUBSTITUTE(E164,"/",""))+2,LEN(E164)-LEN(SUBSTITUTE(E164,"/",""))+1))</f>
        <v/>
      </c>
      <c r="I164" s="78">
        <f>IF(ISBLANK(G164),"",IF(D164="Stock","0",Key!$A$3*H164*G164))</f>
        <v/>
      </c>
      <c r="J164" s="78">
        <f>IF(ISBLANK(E164),"",IF(ISNUMBER(SEARCH("/",E164)), IF(LEN(E164)-LEN(SUBSTITUTE(E164,"/",""))=1,(RIGHT(E164,LEN(E164)-FIND("/",E164)))-(LEFT(E164,FIND("/",E164)-1)),(MID(E164, SEARCH("/",E164) + 1, SEARCH("/",E164, SEARCH("/",E164)+1) - SEARCH("/",E164) - 1))-(LEFT(E164,FIND("/",E164)-1))), "NA"))</f>
        <v/>
      </c>
      <c r="K164" s="79">
        <f>IF(A164&lt;&gt;"", IF(ISBLANK(L164), TODAY(), K164), "")</f>
        <v/>
      </c>
      <c r="L164" s="78" t="n"/>
      <c r="M164" s="78">
        <f>IF(ISBLANK(L164),"",IF(D164="Stock",IF(C164="Buy",L164*G164,IF(C164="Sell",(L164*G164)-I164, X)),IF(C164="Buy",(L164*G164*100)+I164,IF(C164="Sell",(L164*G164*100)-I164, X))))</f>
        <v/>
      </c>
      <c r="N164" s="78">
        <f>IF(ISBLANK(L164),"",IF(AND(C164="Sell",D164="Stock"),M164,IF(ISBLANK(L164),"",IF(C164="Buy",M164, IF(AND(C164="Sell",J164="NA"),(E164*G164*100*0.1)+I164, IF(C164="Sell",(J164-L164)*(100*G164)+I164))))))</f>
        <v/>
      </c>
      <c r="O164" s="75" t="n"/>
      <c r="P164" s="75" t="n"/>
      <c r="Q164" s="75">
        <f>IF(ISBLANK(P164),"",IF(D164="Stock",P164*G164,IF(P164=0,"0",G164*P164*100-(G164*$AF$14))))</f>
        <v/>
      </c>
      <c r="R164" s="79">
        <f>IF(P164&lt;&gt;"", TODAY(), "")</f>
        <v/>
      </c>
      <c r="S164" s="78">
        <f>IF(AND(K164&lt;&gt;"", R164&lt;&gt;""), R164-K164, "")</f>
        <v/>
      </c>
      <c r="T164" s="78" t="n"/>
      <c r="U164" s="92">
        <f>IF(ISBLANK(P164),"",IF(C164="Buy",Q164-M164+T164, IF(C164="Sell",M164-Q164-T164, X)))</f>
        <v/>
      </c>
      <c r="V164" s="81">
        <f>IF(ISBLANK(P164),"",U164/N164)</f>
        <v/>
      </c>
      <c r="W164" s="81">
        <f>IF(ISBLANK(P164),"",IF(S164=0,(365/0.5)*V164,(365/S164)*V164))</f>
        <v/>
      </c>
      <c r="X164" s="75" t="n"/>
      <c r="Y164" s="77" t="n"/>
      <c r="Z164" s="77" t="n"/>
      <c r="AA164" s="75" t="n"/>
      <c r="AB164" s="75" t="n"/>
      <c r="AC164" s="6" t="n"/>
      <c r="AD164" s="75" t="n"/>
      <c r="AE164" s="75" t="n"/>
      <c r="AF164" s="75" t="n"/>
    </row>
    <row r="165" ht="15.75" customHeight="1" s="133">
      <c r="A165" s="75" t="n"/>
      <c r="B165" s="75" t="n"/>
      <c r="C165" s="75" t="n"/>
      <c r="D165" s="75" t="n"/>
      <c r="E165" s="76" t="n"/>
      <c r="F165" s="77" t="n"/>
      <c r="G165" s="75" t="n"/>
      <c r="H165" s="75">
        <f>IF(ISBLANK(E165),"",IF(OR(D165="Butterfly",D165="Butterfly ",D165="Iron Fly", D165="Iron Fly "),LEN(E165)-LEN(SUBSTITUTE(E165,"/",""))+2,LEN(E165)-LEN(SUBSTITUTE(E165,"/",""))+1))</f>
        <v/>
      </c>
      <c r="I165" s="78">
        <f>IF(ISBLANK(G165),"",IF(D165="Stock","0",Key!$A$3*H165*G165))</f>
        <v/>
      </c>
      <c r="J165" s="78">
        <f>IF(ISBLANK(E165),"",IF(ISNUMBER(SEARCH("/",E165)), IF(LEN(E165)-LEN(SUBSTITUTE(E165,"/",""))=1,(RIGHT(E165,LEN(E165)-FIND("/",E165)))-(LEFT(E165,FIND("/",E165)-1)),(MID(E165, SEARCH("/",E165) + 1, SEARCH("/",E165, SEARCH("/",E165)+1) - SEARCH("/",E165) - 1))-(LEFT(E165,FIND("/",E165)-1))), "NA"))</f>
        <v/>
      </c>
      <c r="K165" s="79">
        <f>IF(A165&lt;&gt;"", IF(ISBLANK(L165), TODAY(), K165), "")</f>
        <v/>
      </c>
      <c r="L165" s="78" t="n"/>
      <c r="M165" s="78">
        <f>IF(ISBLANK(L165),"",IF(D165="Stock",IF(C165="Buy",L165*G165,IF(C165="Sell",(L165*G165)-I165, X)),IF(C165="Buy",(L165*G165*100)+I165,IF(C165="Sell",(L165*G165*100)-I165, X))))</f>
        <v/>
      </c>
      <c r="N165" s="78">
        <f>IF(ISBLANK(L165),"",IF(AND(C165="Sell",D165="Stock"),M165,IF(ISBLANK(L165),"",IF(C165="Buy",M165, IF(AND(C165="Sell",J165="NA"),(E165*G165*100*0.1)+I165, IF(C165="Sell",(J165-L165)*(100*G165)+I165))))))</f>
        <v/>
      </c>
      <c r="O165" s="75" t="n"/>
      <c r="P165" s="75" t="n"/>
      <c r="Q165" s="75">
        <f>IF(ISBLANK(P165),"",IF(D165="Stock",P165*G165,IF(P165=0,"0",G165*P165*100-(G165*$AF$14))))</f>
        <v/>
      </c>
      <c r="R165" s="79">
        <f>IF(P165&lt;&gt;"", TODAY(), "")</f>
        <v/>
      </c>
      <c r="S165" s="78">
        <f>IF(AND(K165&lt;&gt;"", R165&lt;&gt;""), R165-K165, "")</f>
        <v/>
      </c>
      <c r="T165" s="78" t="n"/>
      <c r="U165" s="92">
        <f>IF(ISBLANK(P165),"",IF(C165="Buy",Q165-M165+T165, IF(C165="Sell",M165-Q165-T165, X)))</f>
        <v/>
      </c>
      <c r="V165" s="81">
        <f>IF(ISBLANK(P165),"",U165/N165)</f>
        <v/>
      </c>
      <c r="W165" s="81">
        <f>IF(ISBLANK(P165),"",IF(S165=0,(365/0.5)*V165,(365/S165)*V165))</f>
        <v/>
      </c>
      <c r="X165" s="75" t="n"/>
      <c r="Y165" s="77" t="n"/>
      <c r="Z165" s="77" t="n"/>
      <c r="AA165" s="75" t="n"/>
      <c r="AB165" s="75" t="n"/>
      <c r="AC165" s="6" t="n"/>
      <c r="AD165" s="75" t="n"/>
      <c r="AE165" s="75" t="n"/>
      <c r="AF165" s="75" t="n"/>
    </row>
    <row r="166" ht="15.75" customHeight="1" s="133">
      <c r="A166" s="75" t="n"/>
      <c r="B166" s="75" t="n"/>
      <c r="C166" s="75" t="n"/>
      <c r="D166" s="75" t="n"/>
      <c r="E166" s="76" t="n"/>
      <c r="F166" s="77" t="n"/>
      <c r="G166" s="75" t="n"/>
      <c r="H166" s="75">
        <f>IF(ISBLANK(E166),"",IF(OR(D166="Butterfly",D166="Butterfly ",D166="Iron Fly", D166="Iron Fly "),LEN(E166)-LEN(SUBSTITUTE(E166,"/",""))+2,LEN(E166)-LEN(SUBSTITUTE(E166,"/",""))+1))</f>
        <v/>
      </c>
      <c r="I166" s="78">
        <f>IF(ISBLANK(G166),"",IF(D166="Stock","0",Key!$A$3*H166*G166))</f>
        <v/>
      </c>
      <c r="J166" s="78">
        <f>IF(ISBLANK(E166),"",IF(ISNUMBER(SEARCH("/",E166)), IF(LEN(E166)-LEN(SUBSTITUTE(E166,"/",""))=1,(RIGHT(E166,LEN(E166)-FIND("/",E166)))-(LEFT(E166,FIND("/",E166)-1)),(MID(E166, SEARCH("/",E166) + 1, SEARCH("/",E166, SEARCH("/",E166)+1) - SEARCH("/",E166) - 1))-(LEFT(E166,FIND("/",E166)-1))), "NA"))</f>
        <v/>
      </c>
      <c r="K166" s="79">
        <f>IF(A166&lt;&gt;"", IF(ISBLANK(L166), TODAY(), K166), "")</f>
        <v/>
      </c>
      <c r="L166" s="78" t="n"/>
      <c r="M166" s="78">
        <f>IF(ISBLANK(L166),"",IF(D166="Stock",IF(C166="Buy",L166*G166,IF(C166="Sell",(L166*G166)-I166, X)),IF(C166="Buy",(L166*G166*100)+I166,IF(C166="Sell",(L166*G166*100)-I166, X))))</f>
        <v/>
      </c>
      <c r="N166" s="78">
        <f>IF(ISBLANK(L166),"",IF(AND(C166="Sell",D166="Stock"),M166,IF(ISBLANK(L166),"",IF(C166="Buy",M166, IF(AND(C166="Sell",J166="NA"),(E166*G166*100*0.1)+I166, IF(C166="Sell",(J166-L166)*(100*G166)+I166))))))</f>
        <v/>
      </c>
      <c r="O166" s="75" t="n"/>
      <c r="P166" s="75" t="n"/>
      <c r="Q166" s="75">
        <f>IF(ISBLANK(P166),"",IF(D166="Stock",P166*G166,IF(P166=0,"0",G166*P166*100-(G166*$AF$14))))</f>
        <v/>
      </c>
      <c r="R166" s="79">
        <f>IF(P166&lt;&gt;"", TODAY(), "")</f>
        <v/>
      </c>
      <c r="S166" s="78">
        <f>IF(AND(K166&lt;&gt;"", R166&lt;&gt;""), R166-K166, "")</f>
        <v/>
      </c>
      <c r="T166" s="78" t="n"/>
      <c r="U166" s="92">
        <f>IF(ISBLANK(P166),"",IF(C166="Buy",Q166-M166+T166, IF(C166="Sell",M166-Q166-T166, X)))</f>
        <v/>
      </c>
      <c r="V166" s="81">
        <f>IF(ISBLANK(P166),"",U166/N166)</f>
        <v/>
      </c>
      <c r="W166" s="81">
        <f>IF(ISBLANK(P166),"",IF(S166=0,(365/0.5)*V166,(365/S166)*V166))</f>
        <v/>
      </c>
      <c r="X166" s="75" t="n"/>
      <c r="Y166" s="77" t="n"/>
      <c r="Z166" s="77" t="n"/>
      <c r="AA166" s="75" t="n"/>
      <c r="AB166" s="75" t="n"/>
      <c r="AC166" s="6" t="n"/>
      <c r="AD166" s="75" t="n"/>
      <c r="AE166" s="75" t="n"/>
      <c r="AF166" s="75" t="n"/>
    </row>
    <row r="167" ht="15.75" customHeight="1" s="133">
      <c r="A167" s="75" t="n"/>
      <c r="B167" s="75" t="n"/>
      <c r="C167" s="75" t="n"/>
      <c r="D167" s="75" t="n"/>
      <c r="E167" s="76" t="n"/>
      <c r="F167" s="77" t="n"/>
      <c r="G167" s="75" t="n"/>
      <c r="H167" s="75">
        <f>IF(ISBLANK(E167),"",IF(OR(D167="Butterfly",D167="Butterfly ",D167="Iron Fly", D167="Iron Fly "),LEN(E167)-LEN(SUBSTITUTE(E167,"/",""))+2,LEN(E167)-LEN(SUBSTITUTE(E167,"/",""))+1))</f>
        <v/>
      </c>
      <c r="I167" s="78">
        <f>IF(ISBLANK(G167),"",IF(D167="Stock","0",Key!$A$3*H167*G167))</f>
        <v/>
      </c>
      <c r="J167" s="78">
        <f>IF(ISBLANK(E167),"",IF(ISNUMBER(SEARCH("/",E167)), IF(LEN(E167)-LEN(SUBSTITUTE(E167,"/",""))=1,(RIGHT(E167,LEN(E167)-FIND("/",E167)))-(LEFT(E167,FIND("/",E167)-1)),(MID(E167, SEARCH("/",E167) + 1, SEARCH("/",E167, SEARCH("/",E167)+1) - SEARCH("/",E167) - 1))-(LEFT(E167,FIND("/",E167)-1))), "NA"))</f>
        <v/>
      </c>
      <c r="K167" s="79">
        <f>IF(A167&lt;&gt;"", IF(ISBLANK(L167), TODAY(), K167), "")</f>
        <v/>
      </c>
      <c r="L167" s="78" t="n"/>
      <c r="M167" s="78">
        <f>IF(ISBLANK(L167),"",IF(D167="Stock",IF(C167="Buy",L167*G167,IF(C167="Sell",(L167*G167)-I167, X)),IF(C167="Buy",(L167*G167*100)+I167,IF(C167="Sell",(L167*G167*100)-I167, X))))</f>
        <v/>
      </c>
      <c r="N167" s="78">
        <f>IF(ISBLANK(L167),"",IF(AND(C167="Sell",D167="Stock"),M167,IF(ISBLANK(L167),"",IF(C167="Buy",M167, IF(AND(C167="Sell",J167="NA"),(E167*G167*100*0.1)+I167, IF(C167="Sell",(J167-L167)*(100*G167)+I167))))))</f>
        <v/>
      </c>
      <c r="O167" s="75" t="n"/>
      <c r="P167" s="75" t="n"/>
      <c r="Q167" s="75">
        <f>IF(ISBLANK(P167),"",IF(D167="Stock",P167*G167,IF(P167=0,"0",G167*P167*100-(G167*$AF$14))))</f>
        <v/>
      </c>
      <c r="R167" s="79">
        <f>IF(P167&lt;&gt;"", TODAY(), "")</f>
        <v/>
      </c>
      <c r="S167" s="78">
        <f>IF(AND(K167&lt;&gt;"", R167&lt;&gt;""), R167-K167, "")</f>
        <v/>
      </c>
      <c r="T167" s="78" t="n"/>
      <c r="U167" s="92">
        <f>IF(ISBLANK(P167),"",IF(C167="Buy",Q167-M167+T167, IF(C167="Sell",M167-Q167-T167, X)))</f>
        <v/>
      </c>
      <c r="V167" s="81">
        <f>IF(ISBLANK(P167),"",U167/N167)</f>
        <v/>
      </c>
      <c r="W167" s="81">
        <f>IF(ISBLANK(P167),"",IF(S167=0,(365/0.5)*V167,(365/S167)*V167))</f>
        <v/>
      </c>
      <c r="X167" s="75" t="n"/>
      <c r="Y167" s="77" t="n"/>
      <c r="Z167" s="77" t="n"/>
      <c r="AA167" s="75" t="n"/>
      <c r="AB167" s="75" t="n"/>
      <c r="AC167" s="6" t="n"/>
      <c r="AD167" s="75" t="n"/>
      <c r="AE167" s="75" t="n"/>
      <c r="AF167" s="75" t="n"/>
    </row>
    <row r="168" ht="15.75" customHeight="1" s="133">
      <c r="A168" s="75" t="n"/>
      <c r="B168" s="75" t="n"/>
      <c r="C168" s="75" t="n"/>
      <c r="D168" s="75" t="n"/>
      <c r="E168" s="76" t="n"/>
      <c r="F168" s="77" t="n"/>
      <c r="G168" s="75" t="n"/>
      <c r="H168" s="75">
        <f>IF(ISBLANK(E168),"",IF(OR(D168="Butterfly",D168="Butterfly ",D168="Iron Fly", D168="Iron Fly "),LEN(E168)-LEN(SUBSTITUTE(E168,"/",""))+2,LEN(E168)-LEN(SUBSTITUTE(E168,"/",""))+1))</f>
        <v/>
      </c>
      <c r="I168" s="78">
        <f>IF(ISBLANK(G168),"",IF(D168="Stock","0",Key!$A$3*H168*G168))</f>
        <v/>
      </c>
      <c r="J168" s="78">
        <f>IF(ISBLANK(E168),"",IF(ISNUMBER(SEARCH("/",E168)), IF(LEN(E168)-LEN(SUBSTITUTE(E168,"/",""))=1,(RIGHT(E168,LEN(E168)-FIND("/",E168)))-(LEFT(E168,FIND("/",E168)-1)),(MID(E168, SEARCH("/",E168) + 1, SEARCH("/",E168, SEARCH("/",E168)+1) - SEARCH("/",E168) - 1))-(LEFT(E168,FIND("/",E168)-1))), "NA"))</f>
        <v/>
      </c>
      <c r="K168" s="79">
        <f>IF(A168&lt;&gt;"", IF(ISBLANK(L168), TODAY(), K168), "")</f>
        <v/>
      </c>
      <c r="L168" s="78" t="n"/>
      <c r="M168" s="78">
        <f>IF(ISBLANK(L168),"",IF(D168="Stock",IF(C168="Buy",L168*G168,IF(C168="Sell",(L168*G168)-I168, X)),IF(C168="Buy",(L168*G168*100)+I168,IF(C168="Sell",(L168*G168*100)-I168, X))))</f>
        <v/>
      </c>
      <c r="N168" s="78">
        <f>IF(ISBLANK(L168),"",IF(AND(C168="Sell",D168="Stock"),M168,IF(ISBLANK(L168),"",IF(C168="Buy",M168, IF(AND(C168="Sell",J168="NA"),(E168*G168*100*0.1)+I168, IF(C168="Sell",(J168-L168)*(100*G168)+I168))))))</f>
        <v/>
      </c>
      <c r="O168" s="75" t="n"/>
      <c r="P168" s="75" t="n"/>
      <c r="Q168" s="75">
        <f>IF(ISBLANK(P168),"",IF(D168="Stock",P168*G168,IF(P168=0,"0",G168*P168*100-(G168*$AF$14))))</f>
        <v/>
      </c>
      <c r="R168" s="79">
        <f>IF(P168&lt;&gt;"", TODAY(), "")</f>
        <v/>
      </c>
      <c r="S168" s="78">
        <f>IF(AND(K168&lt;&gt;"", R168&lt;&gt;""), R168-K168, "")</f>
        <v/>
      </c>
      <c r="T168" s="78" t="n"/>
      <c r="U168" s="92">
        <f>IF(ISBLANK(P168),"",IF(C168="Buy",Q168-M168+T168, IF(C168="Sell",M168-Q168-T168, X)))</f>
        <v/>
      </c>
      <c r="V168" s="81">
        <f>IF(ISBLANK(P168),"",U168/N168)</f>
        <v/>
      </c>
      <c r="W168" s="81">
        <f>IF(ISBLANK(P168),"",IF(S168=0,(365/0.5)*V168,(365/S168)*V168))</f>
        <v/>
      </c>
      <c r="X168" s="75" t="n"/>
      <c r="Y168" s="77" t="n"/>
      <c r="Z168" s="77" t="n"/>
      <c r="AA168" s="75" t="n"/>
      <c r="AB168" s="75" t="n"/>
      <c r="AC168" s="6" t="n"/>
      <c r="AD168" s="75" t="n"/>
      <c r="AE168" s="75" t="n"/>
      <c r="AF168" s="75" t="n"/>
    </row>
    <row r="169" ht="15.75" customHeight="1" s="133">
      <c r="A169" s="75" t="n"/>
      <c r="B169" s="75" t="n"/>
      <c r="C169" s="75" t="n"/>
      <c r="D169" s="75" t="n"/>
      <c r="E169" s="76" t="n"/>
      <c r="F169" s="77" t="n"/>
      <c r="G169" s="75" t="n"/>
      <c r="H169" s="75">
        <f>IF(ISBLANK(E169),"",IF(OR(D169="Butterfly",D169="Butterfly ",D169="Iron Fly", D169="Iron Fly "),LEN(E169)-LEN(SUBSTITUTE(E169,"/",""))+2,LEN(E169)-LEN(SUBSTITUTE(E169,"/",""))+1))</f>
        <v/>
      </c>
      <c r="I169" s="78">
        <f>IF(ISBLANK(G169),"",IF(D169="Stock","0",Key!$A$3*H169*G169))</f>
        <v/>
      </c>
      <c r="J169" s="78">
        <f>IF(ISBLANK(E169),"",IF(ISNUMBER(SEARCH("/",E169)), IF(LEN(E169)-LEN(SUBSTITUTE(E169,"/",""))=1,(RIGHT(E169,LEN(E169)-FIND("/",E169)))-(LEFT(E169,FIND("/",E169)-1)),(MID(E169, SEARCH("/",E169) + 1, SEARCH("/",E169, SEARCH("/",E169)+1) - SEARCH("/",E169) - 1))-(LEFT(E169,FIND("/",E169)-1))), "NA"))</f>
        <v/>
      </c>
      <c r="K169" s="79">
        <f>IF(A169&lt;&gt;"", IF(ISBLANK(L169), TODAY(), K169), "")</f>
        <v/>
      </c>
      <c r="L169" s="78" t="n"/>
      <c r="M169" s="78">
        <f>IF(ISBLANK(L169),"",IF(D169="Stock",IF(C169="Buy",L169*G169,IF(C169="Sell",(L169*G169)-I169, X)),IF(C169="Buy",(L169*G169*100)+I169,IF(C169="Sell",(L169*G169*100)-I169, X))))</f>
        <v/>
      </c>
      <c r="N169" s="78">
        <f>IF(ISBLANK(L169),"",IF(AND(C169="Sell",D169="Stock"),M169,IF(ISBLANK(L169),"",IF(C169="Buy",M169, IF(AND(C169="Sell",J169="NA"),(E169*G169*100*0.1)+I169, IF(C169="Sell",(J169-L169)*(100*G169)+I169))))))</f>
        <v/>
      </c>
      <c r="O169" s="75" t="n"/>
      <c r="P169" s="75" t="n"/>
      <c r="Q169" s="75">
        <f>IF(ISBLANK(P169),"",IF(D169="Stock",P169*G169,IF(P169=0,"0",G169*P169*100-(G169*$AF$14))))</f>
        <v/>
      </c>
      <c r="R169" s="79">
        <f>IF(P169&lt;&gt;"", TODAY(), "")</f>
        <v/>
      </c>
      <c r="S169" s="78">
        <f>IF(AND(K169&lt;&gt;"", R169&lt;&gt;""), R169-K169, "")</f>
        <v/>
      </c>
      <c r="T169" s="78" t="n"/>
      <c r="U169" s="92">
        <f>IF(ISBLANK(P169),"",IF(C169="Buy",Q169-M169+T169, IF(C169="Sell",M169-Q169-T169, X)))</f>
        <v/>
      </c>
      <c r="V169" s="81">
        <f>IF(ISBLANK(P169),"",U169/N169)</f>
        <v/>
      </c>
      <c r="W169" s="81">
        <f>IF(ISBLANK(P169),"",IF(S169=0,(365/0.5)*V169,(365/S169)*V169))</f>
        <v/>
      </c>
      <c r="X169" s="75" t="n"/>
      <c r="Y169" s="77" t="n"/>
      <c r="Z169" s="77" t="n"/>
      <c r="AA169" s="75" t="n"/>
      <c r="AB169" s="75" t="n"/>
      <c r="AC169" s="6" t="n"/>
      <c r="AD169" s="75" t="n"/>
      <c r="AE169" s="75" t="n"/>
      <c r="AF169" s="75" t="n"/>
    </row>
    <row r="170" ht="15.75" customHeight="1" s="133">
      <c r="A170" s="75" t="n"/>
      <c r="B170" s="75" t="n"/>
      <c r="C170" s="75" t="n"/>
      <c r="D170" s="75" t="n"/>
      <c r="E170" s="76" t="n"/>
      <c r="F170" s="77" t="n"/>
      <c r="G170" s="75" t="n"/>
      <c r="H170" s="75">
        <f>IF(ISBLANK(E170),"",IF(OR(D170="Butterfly",D170="Butterfly ",D170="Iron Fly", D170="Iron Fly "),LEN(E170)-LEN(SUBSTITUTE(E170,"/",""))+2,LEN(E170)-LEN(SUBSTITUTE(E170,"/",""))+1))</f>
        <v/>
      </c>
      <c r="I170" s="78">
        <f>IF(ISBLANK(G170),"",IF(D170="Stock","0",Key!$A$3*H170*G170))</f>
        <v/>
      </c>
      <c r="J170" s="78">
        <f>IF(ISBLANK(E170),"",IF(ISNUMBER(SEARCH("/",E170)), IF(LEN(E170)-LEN(SUBSTITUTE(E170,"/",""))=1,(RIGHT(E170,LEN(E170)-FIND("/",E170)))-(LEFT(E170,FIND("/",E170)-1)),(MID(E170, SEARCH("/",E170) + 1, SEARCH("/",E170, SEARCH("/",E170)+1) - SEARCH("/",E170) - 1))-(LEFT(E170,FIND("/",E170)-1))), "NA"))</f>
        <v/>
      </c>
      <c r="K170" s="79">
        <f>IF(A170&lt;&gt;"", IF(ISBLANK(L170), TODAY(), K170), "")</f>
        <v/>
      </c>
      <c r="L170" s="78" t="n"/>
      <c r="M170" s="78">
        <f>IF(ISBLANK(L170),"",IF(D170="Stock",IF(C170="Buy",L170*G170,IF(C170="Sell",(L170*G170)-I170, X)),IF(C170="Buy",(L170*G170*100)+I170,IF(C170="Sell",(L170*G170*100)-I170, X))))</f>
        <v/>
      </c>
      <c r="N170" s="78">
        <f>IF(ISBLANK(L170),"",IF(AND(C170="Sell",D170="Stock"),M170,IF(ISBLANK(L170),"",IF(C170="Buy",M170, IF(AND(C170="Sell",J170="NA"),(E170*G170*100*0.1)+I170, IF(C170="Sell",(J170-L170)*(100*G170)+I170))))))</f>
        <v/>
      </c>
      <c r="O170" s="75" t="n"/>
      <c r="P170" s="75" t="n"/>
      <c r="Q170" s="75">
        <f>IF(ISBLANK(P170),"",IF(D170="Stock",P170*G170,IF(P170=0,"0",G170*P170*100-(G170*$AF$14))))</f>
        <v/>
      </c>
      <c r="R170" s="79">
        <f>IF(P170&lt;&gt;"", TODAY(), "")</f>
        <v/>
      </c>
      <c r="S170" s="78">
        <f>IF(AND(K170&lt;&gt;"", R170&lt;&gt;""), R170-K170, "")</f>
        <v/>
      </c>
      <c r="T170" s="78" t="n"/>
      <c r="U170" s="92">
        <f>IF(ISBLANK(P170),"",IF(C170="Buy",Q170-M170+T170, IF(C170="Sell",M170-Q170-T170, X)))</f>
        <v/>
      </c>
      <c r="V170" s="81">
        <f>IF(ISBLANK(P170),"",U170/N170)</f>
        <v/>
      </c>
      <c r="W170" s="81">
        <f>IF(ISBLANK(P170),"",IF(S170=0,(365/0.5)*V170,(365/S170)*V170))</f>
        <v/>
      </c>
      <c r="X170" s="75" t="n"/>
      <c r="Y170" s="77" t="n"/>
      <c r="Z170" s="77" t="n"/>
      <c r="AA170" s="75" t="n"/>
      <c r="AB170" s="75" t="n"/>
      <c r="AC170" s="6" t="n"/>
      <c r="AD170" s="75" t="n"/>
      <c r="AE170" s="75" t="n"/>
      <c r="AF170" s="75" t="n"/>
    </row>
    <row r="171" ht="15.75" customHeight="1" s="133">
      <c r="A171" s="75" t="n"/>
      <c r="B171" s="75" t="n"/>
      <c r="C171" s="75" t="n"/>
      <c r="D171" s="75" t="n"/>
      <c r="E171" s="76" t="n"/>
      <c r="F171" s="77" t="n"/>
      <c r="G171" s="75" t="n"/>
      <c r="H171" s="75">
        <f>IF(ISBLANK(E171),"",IF(OR(D171="Butterfly",D171="Butterfly ",D171="Iron Fly", D171="Iron Fly "),LEN(E171)-LEN(SUBSTITUTE(E171,"/",""))+2,LEN(E171)-LEN(SUBSTITUTE(E171,"/",""))+1))</f>
        <v/>
      </c>
      <c r="I171" s="78">
        <f>IF(ISBLANK(G171),"",IF(D171="Stock","0",Key!$A$3*H171*G171))</f>
        <v/>
      </c>
      <c r="J171" s="78">
        <f>IF(ISBLANK(E171),"",IF(ISNUMBER(SEARCH("/",E171)), IF(LEN(E171)-LEN(SUBSTITUTE(E171,"/",""))=1,(RIGHT(E171,LEN(E171)-FIND("/",E171)))-(LEFT(E171,FIND("/",E171)-1)),(MID(E171, SEARCH("/",E171) + 1, SEARCH("/",E171, SEARCH("/",E171)+1) - SEARCH("/",E171) - 1))-(LEFT(E171,FIND("/",E171)-1))), "NA"))</f>
        <v/>
      </c>
      <c r="K171" s="79">
        <f>IF(A171&lt;&gt;"", IF(ISBLANK(L171), TODAY(), K171), "")</f>
        <v/>
      </c>
      <c r="L171" s="78" t="n"/>
      <c r="M171" s="78">
        <f>IF(ISBLANK(L171),"",IF(D171="Stock",IF(C171="Buy",L171*G171,IF(C171="Sell",(L171*G171)-I171, X)),IF(C171="Buy",(L171*G171*100)+I171,IF(C171="Sell",(L171*G171*100)-I171, X))))</f>
        <v/>
      </c>
      <c r="N171" s="78">
        <f>IF(ISBLANK(L171),"",IF(AND(C171="Sell",D171="Stock"),M171,IF(ISBLANK(L171),"",IF(C171="Buy",M171, IF(AND(C171="Sell",J171="NA"),(E171*G171*100*0.1)+I171, IF(C171="Sell",(J171-L171)*(100*G171)+I171))))))</f>
        <v/>
      </c>
      <c r="O171" s="75" t="n"/>
      <c r="P171" s="75" t="n"/>
      <c r="Q171" s="75">
        <f>IF(ISBLANK(P171),"",IF(D171="Stock",P171*G171,IF(P171=0,"0",G171*P171*100-(G171*$AF$14))))</f>
        <v/>
      </c>
      <c r="R171" s="79">
        <f>IF(P171&lt;&gt;"", TODAY(), "")</f>
        <v/>
      </c>
      <c r="S171" s="78">
        <f>IF(AND(K171&lt;&gt;"", R171&lt;&gt;""), R171-K171, "")</f>
        <v/>
      </c>
      <c r="T171" s="78" t="n"/>
      <c r="U171" s="92">
        <f>IF(ISBLANK(P171),"",IF(C171="Buy",Q171-M171+T171, IF(C171="Sell",M171-Q171-T171, X)))</f>
        <v/>
      </c>
      <c r="V171" s="81">
        <f>IF(ISBLANK(P171),"",U171/N171)</f>
        <v/>
      </c>
      <c r="W171" s="81">
        <f>IF(ISBLANK(P171),"",IF(S171=0,(365/0.5)*V171,(365/S171)*V171))</f>
        <v/>
      </c>
      <c r="X171" s="75" t="n"/>
      <c r="Y171" s="77" t="n"/>
      <c r="Z171" s="77" t="n"/>
      <c r="AA171" s="75" t="n"/>
      <c r="AB171" s="75" t="n"/>
      <c r="AC171" s="6" t="n"/>
      <c r="AD171" s="75" t="n"/>
      <c r="AE171" s="75" t="n"/>
      <c r="AF171" s="75" t="n"/>
    </row>
    <row r="172" ht="15.75" customHeight="1" s="133">
      <c r="A172" s="75" t="n"/>
      <c r="B172" s="75" t="n"/>
      <c r="C172" s="75" t="n"/>
      <c r="D172" s="75" t="n"/>
      <c r="E172" s="76" t="n"/>
      <c r="F172" s="77" t="n"/>
      <c r="G172" s="75" t="n"/>
      <c r="H172" s="75">
        <f>IF(ISBLANK(E172),"",IF(OR(D172="Butterfly",D172="Butterfly ",D172="Iron Fly", D172="Iron Fly "),LEN(E172)-LEN(SUBSTITUTE(E172,"/",""))+2,LEN(E172)-LEN(SUBSTITUTE(E172,"/",""))+1))</f>
        <v/>
      </c>
      <c r="I172" s="78">
        <f>IF(ISBLANK(G172),"",IF(D172="Stock","0",Key!$A$3*H172*G172))</f>
        <v/>
      </c>
      <c r="J172" s="78">
        <f>IF(ISBLANK(E172),"",IF(ISNUMBER(SEARCH("/",E172)), IF(LEN(E172)-LEN(SUBSTITUTE(E172,"/",""))=1,(RIGHT(E172,LEN(E172)-FIND("/",E172)))-(LEFT(E172,FIND("/",E172)-1)),(MID(E172, SEARCH("/",E172) + 1, SEARCH("/",E172, SEARCH("/",E172)+1) - SEARCH("/",E172) - 1))-(LEFT(E172,FIND("/",E172)-1))), "NA"))</f>
        <v/>
      </c>
      <c r="K172" s="79">
        <f>IF(A172&lt;&gt;"", IF(ISBLANK(L172), TODAY(), K172), "")</f>
        <v/>
      </c>
      <c r="L172" s="78" t="n"/>
      <c r="M172" s="78">
        <f>IF(ISBLANK(L172),"",IF(D172="Stock",IF(C172="Buy",L172*G172,IF(C172="Sell",(L172*G172)-I172, X)),IF(C172="Buy",(L172*G172*100)+I172,IF(C172="Sell",(L172*G172*100)-I172, X))))</f>
        <v/>
      </c>
      <c r="N172" s="78">
        <f>IF(ISBLANK(L172),"",IF(AND(C172="Sell",D172="Stock"),M172,IF(ISBLANK(L172),"",IF(C172="Buy",M172, IF(AND(C172="Sell",J172="NA"),(E172*G172*100*0.1)+I172, IF(C172="Sell",(J172-L172)*(100*G172)+I172))))))</f>
        <v/>
      </c>
      <c r="O172" s="75" t="n"/>
      <c r="P172" s="75" t="n"/>
      <c r="Q172" s="75">
        <f>IF(ISBLANK(P172),"",IF(D172="Stock",P172*G172,IF(P172=0,"0",G172*P172*100-(G172*$AF$14))))</f>
        <v/>
      </c>
      <c r="R172" s="79">
        <f>IF(P172&lt;&gt;"", TODAY(), "")</f>
        <v/>
      </c>
      <c r="S172" s="78">
        <f>IF(AND(K172&lt;&gt;"", R172&lt;&gt;""), R172-K172, "")</f>
        <v/>
      </c>
      <c r="T172" s="78" t="n"/>
      <c r="U172" s="92">
        <f>IF(ISBLANK(P172),"",IF(C172="Buy",Q172-M172+T172, IF(C172="Sell",M172-Q172-T172, X)))</f>
        <v/>
      </c>
      <c r="V172" s="81">
        <f>IF(ISBLANK(P172),"",U172/N172)</f>
        <v/>
      </c>
      <c r="W172" s="81">
        <f>IF(ISBLANK(P172),"",IF(S172=0,(365/0.5)*V172,(365/S172)*V172))</f>
        <v/>
      </c>
      <c r="X172" s="75" t="n"/>
      <c r="Y172" s="77" t="n"/>
      <c r="Z172" s="77" t="n"/>
      <c r="AA172" s="75" t="n"/>
      <c r="AB172" s="75" t="n"/>
      <c r="AC172" s="6" t="n"/>
      <c r="AD172" s="75" t="n"/>
      <c r="AE172" s="75" t="n"/>
      <c r="AF172" s="75" t="n"/>
    </row>
    <row r="173" ht="15.75" customHeight="1" s="133">
      <c r="A173" s="75" t="n"/>
      <c r="B173" s="75" t="n"/>
      <c r="C173" s="75" t="n"/>
      <c r="D173" s="75" t="n"/>
      <c r="E173" s="76" t="n"/>
      <c r="F173" s="77" t="n"/>
      <c r="G173" s="75" t="n"/>
      <c r="H173" s="75">
        <f>IF(ISBLANK(E173),"",IF(OR(D173="Butterfly",D173="Butterfly ",D173="Iron Fly", D173="Iron Fly "),LEN(E173)-LEN(SUBSTITUTE(E173,"/",""))+2,LEN(E173)-LEN(SUBSTITUTE(E173,"/",""))+1))</f>
        <v/>
      </c>
      <c r="I173" s="78">
        <f>IF(ISBLANK(G173),"",IF(D173="Stock","0",Key!$A$3*H173*G173))</f>
        <v/>
      </c>
      <c r="J173" s="78">
        <f>IF(ISBLANK(E173),"",IF(ISNUMBER(SEARCH("/",E173)), IF(LEN(E173)-LEN(SUBSTITUTE(E173,"/",""))=1,(RIGHT(E173,LEN(E173)-FIND("/",E173)))-(LEFT(E173,FIND("/",E173)-1)),(MID(E173, SEARCH("/",E173) + 1, SEARCH("/",E173, SEARCH("/",E173)+1) - SEARCH("/",E173) - 1))-(LEFT(E173,FIND("/",E173)-1))), "NA"))</f>
        <v/>
      </c>
      <c r="K173" s="79">
        <f>IF(A173&lt;&gt;"", IF(ISBLANK(L173), TODAY(), K173), "")</f>
        <v/>
      </c>
      <c r="L173" s="78" t="n"/>
      <c r="M173" s="78">
        <f>IF(ISBLANK(L173),"",IF(D173="Stock",IF(C173="Buy",L173*G173,IF(C173="Sell",(L173*G173)-I173, X)),IF(C173="Buy",(L173*G173*100)+I173,IF(C173="Sell",(L173*G173*100)-I173, X))))</f>
        <v/>
      </c>
      <c r="N173" s="78">
        <f>IF(ISBLANK(L173),"",IF(AND(C173="Sell",D173="Stock"),M173,IF(ISBLANK(L173),"",IF(C173="Buy",M173, IF(AND(C173="Sell",J173="NA"),(E173*G173*100*0.1)+I173, IF(C173="Sell",(J173-L173)*(100*G173)+I173))))))</f>
        <v/>
      </c>
      <c r="O173" s="75" t="n"/>
      <c r="P173" s="75" t="n"/>
      <c r="Q173" s="75">
        <f>IF(ISBLANK(P173),"",IF(D173="Stock",P173*G173,IF(P173=0,"0",G173*P173*100-(G173*$AF$14))))</f>
        <v/>
      </c>
      <c r="R173" s="79">
        <f>IF(P173&lt;&gt;"", TODAY(), "")</f>
        <v/>
      </c>
      <c r="S173" s="78">
        <f>IF(AND(K173&lt;&gt;"", R173&lt;&gt;""), R173-K173, "")</f>
        <v/>
      </c>
      <c r="T173" s="78" t="n"/>
      <c r="U173" s="92">
        <f>IF(ISBLANK(P173),"",IF(C173="Buy",Q173-M173+T173, IF(C173="Sell",M173-Q173-T173, X)))</f>
        <v/>
      </c>
      <c r="V173" s="81">
        <f>IF(ISBLANK(P173),"",U173/N173)</f>
        <v/>
      </c>
      <c r="W173" s="81">
        <f>IF(ISBLANK(P173),"",IF(S173=0,(365/0.5)*V173,(365/S173)*V173))</f>
        <v/>
      </c>
      <c r="X173" s="75" t="n"/>
      <c r="Y173" s="77" t="n"/>
      <c r="Z173" s="77" t="n"/>
      <c r="AA173" s="75" t="n"/>
      <c r="AB173" s="75" t="n"/>
      <c r="AC173" s="6" t="n"/>
      <c r="AD173" s="75" t="n"/>
      <c r="AE173" s="75" t="n"/>
      <c r="AF173" s="75" t="n"/>
    </row>
    <row r="174" ht="15.75" customHeight="1" s="133">
      <c r="A174" s="75" t="n"/>
      <c r="B174" s="75" t="n"/>
      <c r="C174" s="75" t="n"/>
      <c r="D174" s="75" t="n"/>
      <c r="E174" s="76" t="n"/>
      <c r="F174" s="77" t="n"/>
      <c r="G174" s="75" t="n"/>
      <c r="H174" s="75">
        <f>IF(ISBLANK(E174),"",IF(OR(D174="Butterfly",D174="Butterfly ",D174="Iron Fly", D174="Iron Fly "),LEN(E174)-LEN(SUBSTITUTE(E174,"/",""))+2,LEN(E174)-LEN(SUBSTITUTE(E174,"/",""))+1))</f>
        <v/>
      </c>
      <c r="I174" s="78">
        <f>IF(ISBLANK(G174),"",IF(D174="Stock","0",Key!$A$3*H174*G174))</f>
        <v/>
      </c>
      <c r="J174" s="78">
        <f>IF(ISBLANK(E174),"",IF(ISNUMBER(SEARCH("/",E174)), IF(LEN(E174)-LEN(SUBSTITUTE(E174,"/",""))=1,(RIGHT(E174,LEN(E174)-FIND("/",E174)))-(LEFT(E174,FIND("/",E174)-1)),(MID(E174, SEARCH("/",E174) + 1, SEARCH("/",E174, SEARCH("/",E174)+1) - SEARCH("/",E174) - 1))-(LEFT(E174,FIND("/",E174)-1))), "NA"))</f>
        <v/>
      </c>
      <c r="K174" s="79">
        <f>IF(A174&lt;&gt;"", IF(ISBLANK(L174), TODAY(), K174), "")</f>
        <v/>
      </c>
      <c r="L174" s="78" t="n"/>
      <c r="M174" s="78">
        <f>IF(ISBLANK(L174),"",IF(D174="Stock",IF(C174="Buy",L174*G174,IF(C174="Sell",(L174*G174)-I174, X)),IF(C174="Buy",(L174*G174*100)+I174,IF(C174="Sell",(L174*G174*100)-I174, X))))</f>
        <v/>
      </c>
      <c r="N174" s="78">
        <f>IF(ISBLANK(L174),"",IF(AND(C174="Sell",D174="Stock"),M174,IF(ISBLANK(L174),"",IF(C174="Buy",M174, IF(AND(C174="Sell",J174="NA"),(E174*G174*100*0.1)+I174, IF(C174="Sell",(J174-L174)*(100*G174)+I174))))))</f>
        <v/>
      </c>
      <c r="O174" s="75" t="n"/>
      <c r="P174" s="75" t="n"/>
      <c r="Q174" s="75">
        <f>IF(ISBLANK(P174),"",IF(D174="Stock",P174*G174,IF(P174=0,"0",G174*P174*100-(G174*$AF$14))))</f>
        <v/>
      </c>
      <c r="R174" s="79">
        <f>IF(P174&lt;&gt;"", TODAY(), "")</f>
        <v/>
      </c>
      <c r="S174" s="78">
        <f>IF(AND(K174&lt;&gt;"", R174&lt;&gt;""), R174-K174, "")</f>
        <v/>
      </c>
      <c r="T174" s="78" t="n"/>
      <c r="U174" s="92">
        <f>IF(ISBLANK(P174),"",IF(C174="Buy",Q174-M174+T174, IF(C174="Sell",M174-Q174-T174, X)))</f>
        <v/>
      </c>
      <c r="V174" s="81">
        <f>IF(ISBLANK(P174),"",U174/N174)</f>
        <v/>
      </c>
      <c r="W174" s="81">
        <f>IF(ISBLANK(P174),"",IF(S174=0,(365/0.5)*V174,(365/S174)*V174))</f>
        <v/>
      </c>
      <c r="X174" s="75" t="n"/>
      <c r="Y174" s="77" t="n"/>
      <c r="Z174" s="77" t="n"/>
      <c r="AA174" s="75" t="n"/>
      <c r="AB174" s="75" t="n"/>
      <c r="AC174" s="6" t="n"/>
      <c r="AD174" s="75" t="n"/>
      <c r="AE174" s="75" t="n"/>
      <c r="AF174" s="75" t="n"/>
    </row>
    <row r="175" ht="15.75" customHeight="1" s="133">
      <c r="A175" s="75" t="n"/>
      <c r="B175" s="75" t="n"/>
      <c r="C175" s="75" t="n"/>
      <c r="D175" s="75" t="n"/>
      <c r="E175" s="76" t="n"/>
      <c r="F175" s="77" t="n"/>
      <c r="G175" s="75" t="n"/>
      <c r="H175" s="75">
        <f>IF(ISBLANK(E175),"",IF(OR(D175="Butterfly",D175="Butterfly ",D175="Iron Fly", D175="Iron Fly "),LEN(E175)-LEN(SUBSTITUTE(E175,"/",""))+2,LEN(E175)-LEN(SUBSTITUTE(E175,"/",""))+1))</f>
        <v/>
      </c>
      <c r="I175" s="78">
        <f>IF(ISBLANK(G175),"",IF(D175="Stock","0",Key!$A$3*H175*G175))</f>
        <v/>
      </c>
      <c r="J175" s="78">
        <f>IF(ISBLANK(E175),"",IF(ISNUMBER(SEARCH("/",E175)), IF(LEN(E175)-LEN(SUBSTITUTE(E175,"/",""))=1,(RIGHT(E175,LEN(E175)-FIND("/",E175)))-(LEFT(E175,FIND("/",E175)-1)),(MID(E175, SEARCH("/",E175) + 1, SEARCH("/",E175, SEARCH("/",E175)+1) - SEARCH("/",E175) - 1))-(LEFT(E175,FIND("/",E175)-1))), "NA"))</f>
        <v/>
      </c>
      <c r="K175" s="79">
        <f>IF(A175&lt;&gt;"", IF(ISBLANK(L175), TODAY(), K175), "")</f>
        <v/>
      </c>
      <c r="L175" s="78" t="n"/>
      <c r="M175" s="78">
        <f>IF(ISBLANK(L175),"",IF(D175="Stock",IF(C175="Buy",L175*G175,IF(C175="Sell",(L175*G175)-I175, X)),IF(C175="Buy",(L175*G175*100)+I175,IF(C175="Sell",(L175*G175*100)-I175, X))))</f>
        <v/>
      </c>
      <c r="N175" s="78">
        <f>IF(ISBLANK(L175),"",IF(AND(C175="Sell",D175="Stock"),M175,IF(ISBLANK(L175),"",IF(C175="Buy",M175, IF(AND(C175="Sell",J175="NA"),(E175*G175*100*0.1)+I175, IF(C175="Sell",(J175-L175)*(100*G175)+I175))))))</f>
        <v/>
      </c>
      <c r="O175" s="75" t="n"/>
      <c r="P175" s="75" t="n"/>
      <c r="Q175" s="75">
        <f>IF(ISBLANK(P175),"",IF(D175="Stock",P175*G175,IF(P175=0,"0",G175*P175*100-(G175*$AF$14))))</f>
        <v/>
      </c>
      <c r="R175" s="79">
        <f>IF(P175&lt;&gt;"", TODAY(), "")</f>
        <v/>
      </c>
      <c r="S175" s="78">
        <f>IF(AND(K175&lt;&gt;"", R175&lt;&gt;""), R175-K175, "")</f>
        <v/>
      </c>
      <c r="T175" s="78" t="n"/>
      <c r="U175" s="92">
        <f>IF(ISBLANK(P175),"",IF(C175="Buy",Q175-M175+T175, IF(C175="Sell",M175-Q175-T175, X)))</f>
        <v/>
      </c>
      <c r="V175" s="81">
        <f>IF(ISBLANK(P175),"",U175/N175)</f>
        <v/>
      </c>
      <c r="W175" s="81">
        <f>IF(ISBLANK(P175),"",IF(S175=0,(365/0.5)*V175,(365/S175)*V175))</f>
        <v/>
      </c>
      <c r="X175" s="75" t="n"/>
      <c r="Y175" s="77" t="n"/>
      <c r="Z175" s="77" t="n"/>
      <c r="AA175" s="75" t="n"/>
      <c r="AB175" s="75" t="n"/>
      <c r="AC175" s="6" t="n"/>
      <c r="AD175" s="75" t="n"/>
      <c r="AE175" s="75" t="n"/>
      <c r="AF175" s="75" t="n"/>
    </row>
    <row r="176" ht="15.75" customHeight="1" s="133">
      <c r="A176" s="75" t="n"/>
      <c r="B176" s="75" t="n"/>
      <c r="C176" s="75" t="n"/>
      <c r="D176" s="75" t="n"/>
      <c r="E176" s="76" t="n"/>
      <c r="F176" s="77" t="n"/>
      <c r="G176" s="75" t="n"/>
      <c r="H176" s="75">
        <f>IF(ISBLANK(E176),"",IF(OR(D176="Butterfly",D176="Butterfly ",D176="Iron Fly", D176="Iron Fly "),LEN(E176)-LEN(SUBSTITUTE(E176,"/",""))+2,LEN(E176)-LEN(SUBSTITUTE(E176,"/",""))+1))</f>
        <v/>
      </c>
      <c r="I176" s="78">
        <f>IF(ISBLANK(G176),"",IF(D176="Stock","0",Key!$A$3*H176*G176))</f>
        <v/>
      </c>
      <c r="J176" s="78">
        <f>IF(ISBLANK(E176),"",IF(ISNUMBER(SEARCH("/",E176)), IF(LEN(E176)-LEN(SUBSTITUTE(E176,"/",""))=1,(RIGHT(E176,LEN(E176)-FIND("/",E176)))-(LEFT(E176,FIND("/",E176)-1)),(MID(E176, SEARCH("/",E176) + 1, SEARCH("/",E176, SEARCH("/",E176)+1) - SEARCH("/",E176) - 1))-(LEFT(E176,FIND("/",E176)-1))), "NA"))</f>
        <v/>
      </c>
      <c r="K176" s="79">
        <f>IF(A176&lt;&gt;"", IF(ISBLANK(L176), TODAY(), K176), "")</f>
        <v/>
      </c>
      <c r="L176" s="78" t="n"/>
      <c r="M176" s="78">
        <f>IF(ISBLANK(L176),"",IF(D176="Stock",IF(C176="Buy",L176*G176,IF(C176="Sell",(L176*G176)-I176, X)),IF(C176="Buy",(L176*G176*100)+I176,IF(C176="Sell",(L176*G176*100)-I176, X))))</f>
        <v/>
      </c>
      <c r="N176" s="78">
        <f>IF(ISBLANK(L176),"",IF(AND(C176="Sell",D176="Stock"),M176,IF(ISBLANK(L176),"",IF(C176="Buy",M176, IF(AND(C176="Sell",J176="NA"),(E176*G176*100*0.1)+I176, IF(C176="Sell",(J176-L176)*(100*G176)+I176))))))</f>
        <v/>
      </c>
      <c r="O176" s="75" t="n"/>
      <c r="P176" s="75" t="n"/>
      <c r="Q176" s="75">
        <f>IF(ISBLANK(P176),"",IF(D176="Stock",P176*G176,IF(P176=0,"0",G176*P176*100-(G176*$AF$14))))</f>
        <v/>
      </c>
      <c r="R176" s="79">
        <f>IF(P176&lt;&gt;"", TODAY(), "")</f>
        <v/>
      </c>
      <c r="S176" s="78">
        <f>IF(AND(K176&lt;&gt;"", R176&lt;&gt;""), R176-K176, "")</f>
        <v/>
      </c>
      <c r="T176" s="78" t="n"/>
      <c r="U176" s="92">
        <f>IF(ISBLANK(P176),"",IF(C176="Buy",Q176-M176+T176, IF(C176="Sell",M176-Q176-T176, X)))</f>
        <v/>
      </c>
      <c r="V176" s="81">
        <f>IF(ISBLANK(P176),"",U176/N176)</f>
        <v/>
      </c>
      <c r="W176" s="81">
        <f>IF(ISBLANK(P176),"",IF(S176=0,(365/0.5)*V176,(365/S176)*V176))</f>
        <v/>
      </c>
      <c r="X176" s="75" t="n"/>
      <c r="Y176" s="77" t="n"/>
      <c r="Z176" s="77" t="n"/>
      <c r="AA176" s="75" t="n"/>
      <c r="AB176" s="75" t="n"/>
      <c r="AC176" s="6" t="n"/>
      <c r="AD176" s="75" t="n"/>
      <c r="AE176" s="75" t="n"/>
      <c r="AF176" s="75" t="n"/>
    </row>
    <row r="177" ht="15.75" customHeight="1" s="133">
      <c r="A177" s="75" t="n"/>
      <c r="B177" s="75" t="n"/>
      <c r="C177" s="75" t="n"/>
      <c r="D177" s="75" t="n"/>
      <c r="E177" s="76" t="n"/>
      <c r="F177" s="77" t="n"/>
      <c r="G177" s="75" t="n"/>
      <c r="H177" s="75">
        <f>IF(ISBLANK(E177),"",IF(OR(D177="Butterfly",D177="Butterfly ",D177="Iron Fly", D177="Iron Fly "),LEN(E177)-LEN(SUBSTITUTE(E177,"/",""))+2,LEN(E177)-LEN(SUBSTITUTE(E177,"/",""))+1))</f>
        <v/>
      </c>
      <c r="I177" s="78">
        <f>IF(ISBLANK(G177),"",IF(D177="Stock","0",Key!$A$3*H177*G177))</f>
        <v/>
      </c>
      <c r="J177" s="78">
        <f>IF(ISBLANK(E177),"",IF(ISNUMBER(SEARCH("/",E177)), IF(LEN(E177)-LEN(SUBSTITUTE(E177,"/",""))=1,(RIGHT(E177,LEN(E177)-FIND("/",E177)))-(LEFT(E177,FIND("/",E177)-1)),(MID(E177, SEARCH("/",E177) + 1, SEARCH("/",E177, SEARCH("/",E177)+1) - SEARCH("/",E177) - 1))-(LEFT(E177,FIND("/",E177)-1))), "NA"))</f>
        <v/>
      </c>
      <c r="K177" s="79">
        <f>IF(A177&lt;&gt;"", IF(ISBLANK(L177), TODAY(), K177), "")</f>
        <v/>
      </c>
      <c r="L177" s="78" t="n"/>
      <c r="M177" s="78">
        <f>IF(ISBLANK(L177),"",IF(D177="Stock",IF(C177="Buy",L177*G177,IF(C177="Sell",(L177*G177)-I177, X)),IF(C177="Buy",(L177*G177*100)+I177,IF(C177="Sell",(L177*G177*100)-I177, X))))</f>
        <v/>
      </c>
      <c r="N177" s="78">
        <f>IF(ISBLANK(L177),"",IF(AND(C177="Sell",D177="Stock"),M177,IF(ISBLANK(L177),"",IF(C177="Buy",M177, IF(AND(C177="Sell",J177="NA"),(E177*G177*100*0.1)+I177, IF(C177="Sell",(J177-L177)*(100*G177)+I177))))))</f>
        <v/>
      </c>
      <c r="O177" s="75" t="n"/>
      <c r="P177" s="75" t="n"/>
      <c r="Q177" s="75">
        <f>IF(ISBLANK(P177),"",IF(D177="Stock",P177*G177,IF(P177=0,"0",G177*P177*100-(G177*$AF$14))))</f>
        <v/>
      </c>
      <c r="R177" s="79">
        <f>IF(P177&lt;&gt;"", TODAY(), "")</f>
        <v/>
      </c>
      <c r="S177" s="78">
        <f>IF(AND(K177&lt;&gt;"", R177&lt;&gt;""), R177-K177, "")</f>
        <v/>
      </c>
      <c r="T177" s="78" t="n"/>
      <c r="U177" s="92">
        <f>IF(ISBLANK(P177),"",IF(C177="Buy",Q177-M177+T177, IF(C177="Sell",M177-Q177-T177, X)))</f>
        <v/>
      </c>
      <c r="V177" s="81">
        <f>IF(ISBLANK(P177),"",U177/N177)</f>
        <v/>
      </c>
      <c r="W177" s="81">
        <f>IF(ISBLANK(P177),"",IF(S177=0,(365/0.5)*V177,(365/S177)*V177))</f>
        <v/>
      </c>
      <c r="X177" s="75" t="n"/>
      <c r="Y177" s="77" t="n"/>
      <c r="Z177" s="77" t="n"/>
      <c r="AA177" s="75" t="n"/>
      <c r="AB177" s="75" t="n"/>
      <c r="AC177" s="6" t="n"/>
      <c r="AD177" s="75" t="n"/>
      <c r="AE177" s="75" t="n"/>
      <c r="AF177" s="75" t="n"/>
    </row>
    <row r="178" ht="15.75" customHeight="1" s="133">
      <c r="A178" s="75" t="n"/>
      <c r="B178" s="75" t="n"/>
      <c r="C178" s="75" t="n"/>
      <c r="D178" s="75" t="n"/>
      <c r="E178" s="76" t="n"/>
      <c r="F178" s="77" t="n"/>
      <c r="G178" s="75" t="n"/>
      <c r="H178" s="75">
        <f>IF(ISBLANK(E178),"",IF(OR(D178="Butterfly",D178="Butterfly ",D178="Iron Fly", D178="Iron Fly "),LEN(E178)-LEN(SUBSTITUTE(E178,"/",""))+2,LEN(E178)-LEN(SUBSTITUTE(E178,"/",""))+1))</f>
        <v/>
      </c>
      <c r="I178" s="78">
        <f>IF(ISBLANK(G178),"",IF(D178="Stock","0",Key!$A$3*H178*G178))</f>
        <v/>
      </c>
      <c r="J178" s="78">
        <f>IF(ISBLANK(E178),"",IF(ISNUMBER(SEARCH("/",E178)), IF(LEN(E178)-LEN(SUBSTITUTE(E178,"/",""))=1,(RIGHT(E178,LEN(E178)-FIND("/",E178)))-(LEFT(E178,FIND("/",E178)-1)),(MID(E178, SEARCH("/",E178) + 1, SEARCH("/",E178, SEARCH("/",E178)+1) - SEARCH("/",E178) - 1))-(LEFT(E178,FIND("/",E178)-1))), "NA"))</f>
        <v/>
      </c>
      <c r="K178" s="79">
        <f>IF(A178&lt;&gt;"", IF(ISBLANK(L178), TODAY(), K178), "")</f>
        <v/>
      </c>
      <c r="L178" s="78" t="n"/>
      <c r="M178" s="78">
        <f>IF(ISBLANK(L178),"",IF(D178="Stock",IF(C178="Buy",L178*G178,IF(C178="Sell",(L178*G178)-I178, X)),IF(C178="Buy",(L178*G178*100)+I178,IF(C178="Sell",(L178*G178*100)-I178, X))))</f>
        <v/>
      </c>
      <c r="N178" s="78">
        <f>IF(ISBLANK(L178),"",IF(AND(C178="Sell",D178="Stock"),M178,IF(ISBLANK(L178),"",IF(C178="Buy",M178, IF(AND(C178="Sell",J178="NA"),(E178*G178*100*0.1)+I178, IF(C178="Sell",(J178-L178)*(100*G178)+I178))))))</f>
        <v/>
      </c>
      <c r="O178" s="75" t="n"/>
      <c r="P178" s="75" t="n"/>
      <c r="Q178" s="75">
        <f>IF(ISBLANK(P178),"",IF(D178="Stock",P178*G178,IF(P178=0,"0",G178*P178*100-(G178*$AF$14))))</f>
        <v/>
      </c>
      <c r="R178" s="79">
        <f>IF(P178&lt;&gt;"", TODAY(), "")</f>
        <v/>
      </c>
      <c r="S178" s="78">
        <f>IF(AND(K178&lt;&gt;"", R178&lt;&gt;""), R178-K178, "")</f>
        <v/>
      </c>
      <c r="T178" s="78" t="n"/>
      <c r="U178" s="92">
        <f>IF(ISBLANK(P178),"",IF(C178="Buy",Q178-M178+T178, IF(C178="Sell",M178-Q178-T178, X)))</f>
        <v/>
      </c>
      <c r="V178" s="81">
        <f>IF(ISBLANK(P178),"",U178/N178)</f>
        <v/>
      </c>
      <c r="W178" s="81">
        <f>IF(ISBLANK(P178),"",IF(S178=0,(365/0.5)*V178,(365/S178)*V178))</f>
        <v/>
      </c>
      <c r="X178" s="75" t="n"/>
      <c r="Y178" s="77" t="n"/>
      <c r="Z178" s="77" t="n"/>
      <c r="AA178" s="75" t="n"/>
      <c r="AB178" s="75" t="n"/>
      <c r="AC178" s="6" t="n"/>
      <c r="AD178" s="75" t="n"/>
      <c r="AE178" s="75" t="n"/>
      <c r="AF178" s="75" t="n"/>
    </row>
    <row r="179" ht="15.75" customHeight="1" s="133">
      <c r="A179" s="75" t="n"/>
      <c r="B179" s="75" t="n"/>
      <c r="C179" s="75" t="n"/>
      <c r="D179" s="75" t="n"/>
      <c r="E179" s="76" t="n"/>
      <c r="F179" s="77" t="n"/>
      <c r="G179" s="75" t="n"/>
      <c r="H179" s="75">
        <f>IF(ISBLANK(E179),"",IF(OR(D179="Butterfly",D179="Butterfly ",D179="Iron Fly", D179="Iron Fly "),LEN(E179)-LEN(SUBSTITUTE(E179,"/",""))+2,LEN(E179)-LEN(SUBSTITUTE(E179,"/",""))+1))</f>
        <v/>
      </c>
      <c r="I179" s="78">
        <f>IF(ISBLANK(G179),"",IF(D179="Stock","0",Key!$A$3*H179*G179))</f>
        <v/>
      </c>
      <c r="J179" s="78">
        <f>IF(ISBLANK(E179),"",IF(ISNUMBER(SEARCH("/",E179)), IF(LEN(E179)-LEN(SUBSTITUTE(E179,"/",""))=1,(RIGHT(E179,LEN(E179)-FIND("/",E179)))-(LEFT(E179,FIND("/",E179)-1)),(MID(E179, SEARCH("/",E179) + 1, SEARCH("/",E179, SEARCH("/",E179)+1) - SEARCH("/",E179) - 1))-(LEFT(E179,FIND("/",E179)-1))), "NA"))</f>
        <v/>
      </c>
      <c r="K179" s="79">
        <f>IF(A179&lt;&gt;"", IF(ISBLANK(L179), TODAY(), K179), "")</f>
        <v/>
      </c>
      <c r="L179" s="78" t="n"/>
      <c r="M179" s="78">
        <f>IF(ISBLANK(L179),"",IF(D179="Stock",IF(C179="Buy",L179*G179,IF(C179="Sell",(L179*G179)-I179, X)),IF(C179="Buy",(L179*G179*100)+I179,IF(C179="Sell",(L179*G179*100)-I179, X))))</f>
        <v/>
      </c>
      <c r="N179" s="78">
        <f>IF(ISBLANK(L179),"",IF(AND(C179="Sell",D179="Stock"),M179,IF(ISBLANK(L179),"",IF(C179="Buy",M179, IF(AND(C179="Sell",J179="NA"),(E179*G179*100*0.1)+I179, IF(C179="Sell",(J179-L179)*(100*G179)+I179))))))</f>
        <v/>
      </c>
      <c r="O179" s="75" t="n"/>
      <c r="P179" s="75" t="n"/>
      <c r="Q179" s="75">
        <f>IF(ISBLANK(P179),"",IF(D179="Stock",P179*G179,IF(P179=0,"0",G179*P179*100-(G179*$AF$14))))</f>
        <v/>
      </c>
      <c r="R179" s="79">
        <f>IF(P179&lt;&gt;"", TODAY(), "")</f>
        <v/>
      </c>
      <c r="S179" s="78">
        <f>IF(AND(K179&lt;&gt;"", R179&lt;&gt;""), R179-K179, "")</f>
        <v/>
      </c>
      <c r="T179" s="78" t="n"/>
      <c r="U179" s="92">
        <f>IF(ISBLANK(P179),"",IF(C179="Buy",Q179-M179+T179, IF(C179="Sell",M179-Q179-T179, X)))</f>
        <v/>
      </c>
      <c r="V179" s="81">
        <f>IF(ISBLANK(P179),"",U179/N179)</f>
        <v/>
      </c>
      <c r="W179" s="81">
        <f>IF(ISBLANK(P179),"",IF(S179=0,(365/0.5)*V179,(365/S179)*V179))</f>
        <v/>
      </c>
      <c r="X179" s="75" t="n"/>
      <c r="Y179" s="77" t="n"/>
      <c r="Z179" s="77" t="n"/>
      <c r="AA179" s="75" t="n"/>
      <c r="AB179" s="75" t="n"/>
      <c r="AC179" s="6" t="n"/>
      <c r="AD179" s="75" t="n"/>
      <c r="AE179" s="75" t="n"/>
      <c r="AF179" s="75" t="n"/>
    </row>
    <row r="180" ht="15.75" customHeight="1" s="133">
      <c r="A180" s="75" t="n"/>
      <c r="B180" s="75" t="n"/>
      <c r="C180" s="75" t="n"/>
      <c r="D180" s="75" t="n"/>
      <c r="E180" s="76" t="n"/>
      <c r="F180" s="77" t="n"/>
      <c r="G180" s="75" t="n"/>
      <c r="H180" s="75">
        <f>IF(ISBLANK(E180),"",IF(OR(D180="Butterfly",D180="Butterfly ",D180="Iron Fly", D180="Iron Fly "),LEN(E180)-LEN(SUBSTITUTE(E180,"/",""))+2,LEN(E180)-LEN(SUBSTITUTE(E180,"/",""))+1))</f>
        <v/>
      </c>
      <c r="I180" s="78">
        <f>IF(ISBLANK(G180),"",IF(D180="Stock","0",Key!$A$3*H180*G180))</f>
        <v/>
      </c>
      <c r="J180" s="78">
        <f>IF(ISBLANK(E180),"",IF(ISNUMBER(SEARCH("/",E180)), IF(LEN(E180)-LEN(SUBSTITUTE(E180,"/",""))=1,(RIGHT(E180,LEN(E180)-FIND("/",E180)))-(LEFT(E180,FIND("/",E180)-1)),(MID(E180, SEARCH("/",E180) + 1, SEARCH("/",E180, SEARCH("/",E180)+1) - SEARCH("/",E180) - 1))-(LEFT(E180,FIND("/",E180)-1))), "NA"))</f>
        <v/>
      </c>
      <c r="K180" s="79">
        <f>IF(A180&lt;&gt;"", IF(ISBLANK(L180), TODAY(), K180), "")</f>
        <v/>
      </c>
      <c r="L180" s="78" t="n"/>
      <c r="M180" s="78">
        <f>IF(ISBLANK(L180),"",IF(D180="Stock",IF(C180="Buy",L180*G180,IF(C180="Sell",(L180*G180)-I180, X)),IF(C180="Buy",(L180*G180*100)+I180,IF(C180="Sell",(L180*G180*100)-I180, X))))</f>
        <v/>
      </c>
      <c r="N180" s="78">
        <f>IF(ISBLANK(L180),"",IF(AND(C180="Sell",D180="Stock"),M180,IF(ISBLANK(L180),"",IF(C180="Buy",M180, IF(AND(C180="Sell",J180="NA"),(E180*G180*100*0.1)+I180, IF(C180="Sell",(J180-L180)*(100*G180)+I180))))))</f>
        <v/>
      </c>
      <c r="O180" s="75" t="n"/>
      <c r="P180" s="75" t="n"/>
      <c r="Q180" s="75">
        <f>IF(ISBLANK(P180),"",IF(D180="Stock",P180*G180,IF(P180=0,"0",G180*P180*100-(G180*$AF$14))))</f>
        <v/>
      </c>
      <c r="R180" s="79">
        <f>IF(P180&lt;&gt;"", TODAY(), "")</f>
        <v/>
      </c>
      <c r="S180" s="78">
        <f>IF(AND(K180&lt;&gt;"", R180&lt;&gt;""), R180-K180, "")</f>
        <v/>
      </c>
      <c r="T180" s="78" t="n"/>
      <c r="U180" s="92">
        <f>IF(ISBLANK(P180),"",IF(C180="Buy",Q180-M180+T180, IF(C180="Sell",M180-Q180-T180, X)))</f>
        <v/>
      </c>
      <c r="V180" s="81">
        <f>IF(ISBLANK(P180),"",U180/N180)</f>
        <v/>
      </c>
      <c r="W180" s="81">
        <f>IF(ISBLANK(P180),"",IF(S180=0,(365/0.5)*V180,(365/S180)*V180))</f>
        <v/>
      </c>
      <c r="X180" s="75" t="n"/>
      <c r="Y180" s="77" t="n"/>
      <c r="Z180" s="77" t="n"/>
      <c r="AA180" s="75" t="n"/>
      <c r="AB180" s="75" t="n"/>
      <c r="AC180" s="6" t="n"/>
      <c r="AD180" s="75" t="n"/>
      <c r="AE180" s="75" t="n"/>
      <c r="AF180" s="75" t="n"/>
    </row>
    <row r="181" ht="15.75" customHeight="1" s="133">
      <c r="A181" s="75" t="n"/>
      <c r="B181" s="75" t="n"/>
      <c r="C181" s="75" t="n"/>
      <c r="D181" s="75" t="n"/>
      <c r="E181" s="76" t="n"/>
      <c r="F181" s="77" t="n"/>
      <c r="G181" s="75" t="n"/>
      <c r="H181" s="75">
        <f>IF(ISBLANK(E181),"",IF(OR(D181="Butterfly",D181="Butterfly ",D181="Iron Fly", D181="Iron Fly "),LEN(E181)-LEN(SUBSTITUTE(E181,"/",""))+2,LEN(E181)-LEN(SUBSTITUTE(E181,"/",""))+1))</f>
        <v/>
      </c>
      <c r="I181" s="78">
        <f>IF(ISBLANK(G181),"",IF(D181="Stock","0",Key!$A$3*H181*G181))</f>
        <v/>
      </c>
      <c r="J181" s="78">
        <f>IF(ISBLANK(E181),"",IF(ISNUMBER(SEARCH("/",E181)), IF(LEN(E181)-LEN(SUBSTITUTE(E181,"/",""))=1,(RIGHT(E181,LEN(E181)-FIND("/",E181)))-(LEFT(E181,FIND("/",E181)-1)),(MID(E181, SEARCH("/",E181) + 1, SEARCH("/",E181, SEARCH("/",E181)+1) - SEARCH("/",E181) - 1))-(LEFT(E181,FIND("/",E181)-1))), "NA"))</f>
        <v/>
      </c>
      <c r="K181" s="79">
        <f>IF(A181&lt;&gt;"", IF(ISBLANK(L181), TODAY(), K181), "")</f>
        <v/>
      </c>
      <c r="L181" s="78" t="n"/>
      <c r="M181" s="78">
        <f>IF(ISBLANK(L181),"",IF(D181="Stock",IF(C181="Buy",L181*G181,IF(C181="Sell",(L181*G181)-I181, X)),IF(C181="Buy",(L181*G181*100)+I181,IF(C181="Sell",(L181*G181*100)-I181, X))))</f>
        <v/>
      </c>
      <c r="N181" s="78">
        <f>IF(ISBLANK(L181),"",IF(AND(C181="Sell",D181="Stock"),M181,IF(ISBLANK(L181),"",IF(C181="Buy",M181, IF(AND(C181="Sell",J181="NA"),(E181*G181*100*0.1)+I181, IF(C181="Sell",(J181-L181)*(100*G181)+I181))))))</f>
        <v/>
      </c>
      <c r="O181" s="75" t="n"/>
      <c r="P181" s="75" t="n"/>
      <c r="Q181" s="75">
        <f>IF(ISBLANK(P181),"",IF(D181="Stock",P181*G181,IF(P181=0,"0",G181*P181*100-(G181*$AF$14))))</f>
        <v/>
      </c>
      <c r="R181" s="79">
        <f>IF(P181&lt;&gt;"", TODAY(), "")</f>
        <v/>
      </c>
      <c r="S181" s="78">
        <f>IF(AND(K181&lt;&gt;"", R181&lt;&gt;""), R181-K181, "")</f>
        <v/>
      </c>
      <c r="T181" s="78" t="n"/>
      <c r="U181" s="92">
        <f>IF(ISBLANK(P181),"",IF(C181="Buy",Q181-M181+T181, IF(C181="Sell",M181-Q181-T181, X)))</f>
        <v/>
      </c>
      <c r="V181" s="81">
        <f>IF(ISBLANK(P181),"",U181/N181)</f>
        <v/>
      </c>
      <c r="W181" s="81">
        <f>IF(ISBLANK(P181),"",IF(S181=0,(365/0.5)*V181,(365/S181)*V181))</f>
        <v/>
      </c>
      <c r="X181" s="75" t="n"/>
      <c r="Y181" s="77" t="n"/>
      <c r="Z181" s="77" t="n"/>
      <c r="AA181" s="75" t="n"/>
      <c r="AB181" s="75" t="n"/>
      <c r="AC181" s="6" t="n"/>
      <c r="AD181" s="75" t="n"/>
      <c r="AE181" s="75" t="n"/>
      <c r="AF181" s="75" t="n"/>
    </row>
    <row r="182" ht="15.75" customHeight="1" s="133">
      <c r="A182" s="75" t="n"/>
      <c r="B182" s="75" t="n"/>
      <c r="C182" s="75" t="n"/>
      <c r="D182" s="75" t="n"/>
      <c r="E182" s="76" t="n"/>
      <c r="F182" s="77" t="n"/>
      <c r="G182" s="75" t="n"/>
      <c r="H182" s="75">
        <f>IF(ISBLANK(E182),"",IF(OR(D182="Butterfly",D182="Butterfly ",D182="Iron Fly", D182="Iron Fly "),LEN(E182)-LEN(SUBSTITUTE(E182,"/",""))+2,LEN(E182)-LEN(SUBSTITUTE(E182,"/",""))+1))</f>
        <v/>
      </c>
      <c r="I182" s="78">
        <f>IF(ISBLANK(G182),"",IF(D182="Stock","0",Key!$A$3*H182*G182))</f>
        <v/>
      </c>
      <c r="J182" s="78">
        <f>IF(ISBLANK(E182),"",IF(ISNUMBER(SEARCH("/",E182)), IF(LEN(E182)-LEN(SUBSTITUTE(E182,"/",""))=1,(RIGHT(E182,LEN(E182)-FIND("/",E182)))-(LEFT(E182,FIND("/",E182)-1)),(MID(E182, SEARCH("/",E182) + 1, SEARCH("/",E182, SEARCH("/",E182)+1) - SEARCH("/",E182) - 1))-(LEFT(E182,FIND("/",E182)-1))), "NA"))</f>
        <v/>
      </c>
      <c r="K182" s="79">
        <f>IF(A182&lt;&gt;"", IF(ISBLANK(L182), TODAY(), K182), "")</f>
        <v/>
      </c>
      <c r="L182" s="78" t="n"/>
      <c r="M182" s="78">
        <f>IF(ISBLANK(L182),"",IF(D182="Stock",IF(C182="Buy",L182*G182,IF(C182="Sell",(L182*G182)-I182, X)),IF(C182="Buy",(L182*G182*100)+I182,IF(C182="Sell",(L182*G182*100)-I182, X))))</f>
        <v/>
      </c>
      <c r="N182" s="78">
        <f>IF(ISBLANK(L182),"",IF(AND(C182="Sell",D182="Stock"),M182,IF(ISBLANK(L182),"",IF(C182="Buy",M182, IF(AND(C182="Sell",J182="NA"),(E182*G182*100*0.1)+I182, IF(C182="Sell",(J182-L182)*(100*G182)+I182))))))</f>
        <v/>
      </c>
      <c r="O182" s="75" t="n"/>
      <c r="P182" s="75" t="n"/>
      <c r="Q182" s="75">
        <f>IF(ISBLANK(P182),"",IF(D182="Stock",P182*G182,IF(P182=0,"0",G182*P182*100-(G182*$AF$14))))</f>
        <v/>
      </c>
      <c r="R182" s="79">
        <f>IF(P182&lt;&gt;"", TODAY(), "")</f>
        <v/>
      </c>
      <c r="S182" s="78">
        <f>IF(AND(K182&lt;&gt;"", R182&lt;&gt;""), R182-K182, "")</f>
        <v/>
      </c>
      <c r="T182" s="78" t="n"/>
      <c r="U182" s="92">
        <f>IF(ISBLANK(P182),"",IF(C182="Buy",Q182-M182+T182, IF(C182="Sell",M182-Q182-T182, X)))</f>
        <v/>
      </c>
      <c r="V182" s="81">
        <f>IF(ISBLANK(P182),"",U182/N182)</f>
        <v/>
      </c>
      <c r="W182" s="81">
        <f>IF(ISBLANK(P182),"",IF(S182=0,(365/0.5)*V182,(365/S182)*V182))</f>
        <v/>
      </c>
      <c r="X182" s="75" t="n"/>
      <c r="Y182" s="77" t="n"/>
      <c r="Z182" s="77" t="n"/>
      <c r="AA182" s="75" t="n"/>
      <c r="AB182" s="75" t="n"/>
      <c r="AC182" s="6" t="n"/>
      <c r="AD182" s="75" t="n"/>
      <c r="AE182" s="75" t="n"/>
      <c r="AF182" s="75" t="n"/>
    </row>
    <row r="183" ht="15.75" customHeight="1" s="133">
      <c r="A183" s="75" t="n"/>
      <c r="B183" s="75" t="n"/>
      <c r="C183" s="75" t="n"/>
      <c r="D183" s="75" t="n"/>
      <c r="E183" s="76" t="n"/>
      <c r="F183" s="77" t="n"/>
      <c r="G183" s="75" t="n"/>
      <c r="H183" s="75">
        <f>IF(ISBLANK(E183),"",IF(OR(D183="Butterfly",D183="Butterfly ",D183="Iron Fly", D183="Iron Fly "),LEN(E183)-LEN(SUBSTITUTE(E183,"/",""))+2,LEN(E183)-LEN(SUBSTITUTE(E183,"/",""))+1))</f>
        <v/>
      </c>
      <c r="I183" s="78">
        <f>IF(ISBLANK(G183),"",IF(D183="Stock","0",Key!$A$3*H183*G183))</f>
        <v/>
      </c>
      <c r="J183" s="78">
        <f>IF(ISBLANK(E183),"",IF(ISNUMBER(SEARCH("/",E183)), IF(LEN(E183)-LEN(SUBSTITUTE(E183,"/",""))=1,(RIGHT(E183,LEN(E183)-FIND("/",E183)))-(LEFT(E183,FIND("/",E183)-1)),(MID(E183, SEARCH("/",E183) + 1, SEARCH("/",E183, SEARCH("/",E183)+1) - SEARCH("/",E183) - 1))-(LEFT(E183,FIND("/",E183)-1))), "NA"))</f>
        <v/>
      </c>
      <c r="K183" s="79">
        <f>IF(A183&lt;&gt;"", IF(ISBLANK(L183), TODAY(), K183), "")</f>
        <v/>
      </c>
      <c r="L183" s="78" t="n"/>
      <c r="M183" s="78">
        <f>IF(ISBLANK(L183),"",IF(D183="Stock",IF(C183="Buy",L183*G183,IF(C183="Sell",(L183*G183)-I183, X)),IF(C183="Buy",(L183*G183*100)+I183,IF(C183="Sell",(L183*G183*100)-I183, X))))</f>
        <v/>
      </c>
      <c r="N183" s="78">
        <f>IF(ISBLANK(L183),"",IF(AND(C183="Sell",D183="Stock"),M183,IF(ISBLANK(L183),"",IF(C183="Buy",M183, IF(AND(C183="Sell",J183="NA"),(E183*G183*100*0.1)+I183, IF(C183="Sell",(J183-L183)*(100*G183)+I183))))))</f>
        <v/>
      </c>
      <c r="O183" s="75" t="n"/>
      <c r="P183" s="75" t="n"/>
      <c r="Q183" s="75">
        <f>IF(ISBLANK(P183),"",IF(D183="Stock",P183*G183,IF(P183=0,"0",G183*P183*100-(G183*$AF$14))))</f>
        <v/>
      </c>
      <c r="R183" s="79">
        <f>IF(P183&lt;&gt;"", TODAY(), "")</f>
        <v/>
      </c>
      <c r="S183" s="78">
        <f>IF(AND(K183&lt;&gt;"", R183&lt;&gt;""), R183-K183, "")</f>
        <v/>
      </c>
      <c r="T183" s="78" t="n"/>
      <c r="U183" s="92">
        <f>IF(ISBLANK(P183),"",IF(C183="Buy",Q183-M183+T183, IF(C183="Sell",M183-Q183-T183, X)))</f>
        <v/>
      </c>
      <c r="V183" s="81">
        <f>IF(ISBLANK(P183),"",U183/N183)</f>
        <v/>
      </c>
      <c r="W183" s="81">
        <f>IF(ISBLANK(P183),"",IF(S183=0,(365/0.5)*V183,(365/S183)*V183))</f>
        <v/>
      </c>
      <c r="X183" s="75" t="n"/>
      <c r="Y183" s="77" t="n"/>
      <c r="Z183" s="77" t="n"/>
      <c r="AA183" s="75" t="n"/>
      <c r="AB183" s="75" t="n"/>
      <c r="AC183" s="6" t="n"/>
      <c r="AD183" s="75" t="n"/>
      <c r="AE183" s="75" t="n"/>
      <c r="AF183" s="75" t="n"/>
    </row>
    <row r="184" ht="15.75" customHeight="1" s="133">
      <c r="A184" s="75" t="n"/>
      <c r="B184" s="75" t="n"/>
      <c r="C184" s="75" t="n"/>
      <c r="D184" s="75" t="n"/>
      <c r="E184" s="76" t="n"/>
      <c r="F184" s="77" t="n"/>
      <c r="G184" s="75" t="n"/>
      <c r="H184" s="75">
        <f>IF(ISBLANK(E184),"",IF(OR(D184="Butterfly",D184="Butterfly ",D184="Iron Fly", D184="Iron Fly "),LEN(E184)-LEN(SUBSTITUTE(E184,"/",""))+2,LEN(E184)-LEN(SUBSTITUTE(E184,"/",""))+1))</f>
        <v/>
      </c>
      <c r="I184" s="78">
        <f>IF(ISBLANK(G184),"",IF(D184="Stock","0",Key!$A$3*H184*G184))</f>
        <v/>
      </c>
      <c r="J184" s="78">
        <f>IF(ISBLANK(E184),"",IF(ISNUMBER(SEARCH("/",E184)), IF(LEN(E184)-LEN(SUBSTITUTE(E184,"/",""))=1,(RIGHT(E184,LEN(E184)-FIND("/",E184)))-(LEFT(E184,FIND("/",E184)-1)),(MID(E184, SEARCH("/",E184) + 1, SEARCH("/",E184, SEARCH("/",E184)+1) - SEARCH("/",E184) - 1))-(LEFT(E184,FIND("/",E184)-1))), "NA"))</f>
        <v/>
      </c>
      <c r="K184" s="79">
        <f>IF(A184&lt;&gt;"", IF(ISBLANK(L184), TODAY(), K184), "")</f>
        <v/>
      </c>
      <c r="L184" s="78" t="n"/>
      <c r="M184" s="78">
        <f>IF(ISBLANK(L184),"",IF(D184="Stock",IF(C184="Buy",L184*G184,IF(C184="Sell",(L184*G184)-I184, X)),IF(C184="Buy",(L184*G184*100)+I184,IF(C184="Sell",(L184*G184*100)-I184, X))))</f>
        <v/>
      </c>
      <c r="N184" s="78">
        <f>IF(ISBLANK(L184),"",IF(AND(C184="Sell",D184="Stock"),M184,IF(ISBLANK(L184),"",IF(C184="Buy",M184, IF(AND(C184="Sell",J184="NA"),(E184*G184*100*0.1)+I184, IF(C184="Sell",(J184-L184)*(100*G184)+I184))))))</f>
        <v/>
      </c>
      <c r="O184" s="75" t="n"/>
      <c r="P184" s="75" t="n"/>
      <c r="Q184" s="75">
        <f>IF(ISBLANK(P184),"",IF(D184="Stock",P184*G184,IF(P184=0,"0",G184*P184*100-(G184*$AF$14))))</f>
        <v/>
      </c>
      <c r="R184" s="79">
        <f>IF(P184&lt;&gt;"", TODAY(), "")</f>
        <v/>
      </c>
      <c r="S184" s="78">
        <f>IF(AND(K184&lt;&gt;"", R184&lt;&gt;""), R184-K184, "")</f>
        <v/>
      </c>
      <c r="T184" s="78" t="n"/>
      <c r="U184" s="92">
        <f>IF(ISBLANK(P184),"",IF(C184="Buy",Q184-M184+T184, IF(C184="Sell",M184-Q184-T184, X)))</f>
        <v/>
      </c>
      <c r="V184" s="81">
        <f>IF(ISBLANK(P184),"",U184/N184)</f>
        <v/>
      </c>
      <c r="W184" s="81">
        <f>IF(ISBLANK(P184),"",IF(S184=0,(365/0.5)*V184,(365/S184)*V184))</f>
        <v/>
      </c>
      <c r="X184" s="75" t="n"/>
      <c r="Y184" s="77" t="n"/>
      <c r="Z184" s="77" t="n"/>
      <c r="AA184" s="75" t="n"/>
      <c r="AB184" s="75" t="n"/>
      <c r="AC184" s="6" t="n"/>
      <c r="AD184" s="75" t="n"/>
      <c r="AE184" s="75" t="n"/>
      <c r="AF184" s="75" t="n"/>
    </row>
    <row r="185" ht="15.75" customHeight="1" s="133">
      <c r="A185" s="75" t="n"/>
      <c r="B185" s="75" t="n"/>
      <c r="C185" s="75" t="n"/>
      <c r="D185" s="75" t="n"/>
      <c r="E185" s="76" t="n"/>
      <c r="F185" s="77" t="n"/>
      <c r="G185" s="75" t="n"/>
      <c r="H185" s="75">
        <f>IF(ISBLANK(E185),"",IF(OR(D185="Butterfly",D185="Butterfly ",D185="Iron Fly", D185="Iron Fly "),LEN(E185)-LEN(SUBSTITUTE(E185,"/",""))+2,LEN(E185)-LEN(SUBSTITUTE(E185,"/",""))+1))</f>
        <v/>
      </c>
      <c r="I185" s="78">
        <f>IF(ISBLANK(G185),"",IF(D185="Stock","0",Key!$A$3*H185*G185))</f>
        <v/>
      </c>
      <c r="J185" s="78">
        <f>IF(ISBLANK(E185),"",IF(ISNUMBER(SEARCH("/",E185)), IF(LEN(E185)-LEN(SUBSTITUTE(E185,"/",""))=1,(RIGHT(E185,LEN(E185)-FIND("/",E185)))-(LEFT(E185,FIND("/",E185)-1)),(MID(E185, SEARCH("/",E185) + 1, SEARCH("/",E185, SEARCH("/",E185)+1) - SEARCH("/",E185) - 1))-(LEFT(E185,FIND("/",E185)-1))), "NA"))</f>
        <v/>
      </c>
      <c r="K185" s="79">
        <f>IF(A185&lt;&gt;"", IF(ISBLANK(L185), TODAY(), K185), "")</f>
        <v/>
      </c>
      <c r="L185" s="78" t="n"/>
      <c r="M185" s="78">
        <f>IF(ISBLANK(L185),"",IF(D185="Stock",IF(C185="Buy",L185*G185,IF(C185="Sell",(L185*G185)-I185, X)),IF(C185="Buy",(L185*G185*100)+I185,IF(C185="Sell",(L185*G185*100)-I185, X))))</f>
        <v/>
      </c>
      <c r="N185" s="78">
        <f>IF(ISBLANK(L185),"",IF(AND(C185="Sell",D185="Stock"),M185,IF(ISBLANK(L185),"",IF(C185="Buy",M185, IF(AND(C185="Sell",J185="NA"),(E185*G185*100*0.1)+I185, IF(C185="Sell",(J185-L185)*(100*G185)+I185))))))</f>
        <v/>
      </c>
      <c r="O185" s="75" t="n"/>
      <c r="P185" s="75" t="n"/>
      <c r="Q185" s="75">
        <f>IF(ISBLANK(P185),"",IF(D185="Stock",P185*G185,IF(P185=0,"0",G185*P185*100-(G185*$AF$14))))</f>
        <v/>
      </c>
      <c r="R185" s="79">
        <f>IF(P185&lt;&gt;"", TODAY(), "")</f>
        <v/>
      </c>
      <c r="S185" s="78">
        <f>IF(AND(K185&lt;&gt;"", R185&lt;&gt;""), R185-K185, "")</f>
        <v/>
      </c>
      <c r="T185" s="78" t="n"/>
      <c r="U185" s="92">
        <f>IF(ISBLANK(P185),"",IF(C185="Buy",Q185-M185+T185, IF(C185="Sell",M185-Q185-T185, X)))</f>
        <v/>
      </c>
      <c r="V185" s="81">
        <f>IF(ISBLANK(P185),"",U185/N185)</f>
        <v/>
      </c>
      <c r="W185" s="81">
        <f>IF(ISBLANK(P185),"",IF(S185=0,(365/0.5)*V185,(365/S185)*V185))</f>
        <v/>
      </c>
      <c r="X185" s="75" t="n"/>
      <c r="Y185" s="77" t="n"/>
      <c r="Z185" s="77" t="n"/>
      <c r="AA185" s="75" t="n"/>
      <c r="AB185" s="75" t="n"/>
      <c r="AC185" s="6" t="n"/>
      <c r="AD185" s="75" t="n"/>
      <c r="AE185" s="75" t="n"/>
      <c r="AF185" s="75" t="n"/>
    </row>
    <row r="186" ht="15.75" customHeight="1" s="133">
      <c r="A186" s="75" t="n"/>
      <c r="B186" s="75" t="n"/>
      <c r="C186" s="75" t="n"/>
      <c r="D186" s="75" t="n"/>
      <c r="E186" s="76" t="n"/>
      <c r="F186" s="77" t="n"/>
      <c r="G186" s="75" t="n"/>
      <c r="H186" s="75">
        <f>IF(ISBLANK(E186),"",IF(OR(D186="Butterfly",D186="Butterfly ",D186="Iron Fly", D186="Iron Fly "),LEN(E186)-LEN(SUBSTITUTE(E186,"/",""))+2,LEN(E186)-LEN(SUBSTITUTE(E186,"/",""))+1))</f>
        <v/>
      </c>
      <c r="I186" s="78">
        <f>IF(ISBLANK(G186),"",IF(D186="Stock","0",Key!$A$3*H186*G186))</f>
        <v/>
      </c>
      <c r="J186" s="78">
        <f>IF(ISBLANK(E186),"",IF(ISNUMBER(SEARCH("/",E186)), IF(LEN(E186)-LEN(SUBSTITUTE(E186,"/",""))=1,(RIGHT(E186,LEN(E186)-FIND("/",E186)))-(LEFT(E186,FIND("/",E186)-1)),(MID(E186, SEARCH("/",E186) + 1, SEARCH("/",E186, SEARCH("/",E186)+1) - SEARCH("/",E186) - 1))-(LEFT(E186,FIND("/",E186)-1))), "NA"))</f>
        <v/>
      </c>
      <c r="K186" s="79">
        <f>IF(A186&lt;&gt;"", IF(ISBLANK(L186), TODAY(), K186), "")</f>
        <v/>
      </c>
      <c r="L186" s="78" t="n"/>
      <c r="M186" s="78">
        <f>IF(ISBLANK(L186),"",IF(D186="Stock",IF(C186="Buy",L186*G186,IF(C186="Sell",(L186*G186)-I186, X)),IF(C186="Buy",(L186*G186*100)+I186,IF(C186="Sell",(L186*G186*100)-I186, X))))</f>
        <v/>
      </c>
      <c r="N186" s="78">
        <f>IF(ISBLANK(L186),"",IF(AND(C186="Sell",D186="Stock"),M186,IF(ISBLANK(L186),"",IF(C186="Buy",M186, IF(AND(C186="Sell",J186="NA"),(E186*G186*100*0.1)+I186, IF(C186="Sell",(J186-L186)*(100*G186)+I186))))))</f>
        <v/>
      </c>
      <c r="O186" s="75" t="n"/>
      <c r="P186" s="75" t="n"/>
      <c r="Q186" s="75">
        <f>IF(ISBLANK(P186),"",IF(D186="Stock",P186*G186,IF(P186=0,"0",G186*P186*100-(G186*$AF$14))))</f>
        <v/>
      </c>
      <c r="R186" s="79">
        <f>IF(P186&lt;&gt;"", TODAY(), "")</f>
        <v/>
      </c>
      <c r="S186" s="78">
        <f>IF(AND(K186&lt;&gt;"", R186&lt;&gt;""), R186-K186, "")</f>
        <v/>
      </c>
      <c r="T186" s="78" t="n"/>
      <c r="U186" s="92">
        <f>IF(ISBLANK(P186),"",IF(C186="Buy",Q186-M186+T186, IF(C186="Sell",M186-Q186-T186, X)))</f>
        <v/>
      </c>
      <c r="V186" s="81">
        <f>IF(ISBLANK(P186),"",U186/N186)</f>
        <v/>
      </c>
      <c r="W186" s="81">
        <f>IF(ISBLANK(P186),"",IF(S186=0,(365/0.5)*V186,(365/S186)*V186))</f>
        <v/>
      </c>
      <c r="X186" s="75" t="n"/>
      <c r="Y186" s="77" t="n"/>
      <c r="Z186" s="77" t="n"/>
      <c r="AA186" s="75" t="n"/>
      <c r="AB186" s="75" t="n"/>
      <c r="AC186" s="6" t="n"/>
      <c r="AD186" s="75" t="n"/>
      <c r="AE186" s="75" t="n"/>
      <c r="AF186" s="75" t="n"/>
    </row>
    <row r="187" ht="15.75" customHeight="1" s="133">
      <c r="A187" s="75" t="n"/>
      <c r="B187" s="75" t="n"/>
      <c r="C187" s="75" t="n"/>
      <c r="D187" s="75" t="n"/>
      <c r="E187" s="76" t="n"/>
      <c r="F187" s="77" t="n"/>
      <c r="G187" s="75" t="n"/>
      <c r="H187" s="75">
        <f>IF(ISBLANK(E187),"",IF(OR(D187="Butterfly",D187="Butterfly ",D187="Iron Fly", D187="Iron Fly "),LEN(E187)-LEN(SUBSTITUTE(E187,"/",""))+2,LEN(E187)-LEN(SUBSTITUTE(E187,"/",""))+1))</f>
        <v/>
      </c>
      <c r="I187" s="78">
        <f>IF(ISBLANK(G187),"",IF(D187="Stock","0",Key!$A$3*H187*G187))</f>
        <v/>
      </c>
      <c r="J187" s="78">
        <f>IF(ISBLANK(E187),"",IF(ISNUMBER(SEARCH("/",E187)), IF(LEN(E187)-LEN(SUBSTITUTE(E187,"/",""))=1,(RIGHT(E187,LEN(E187)-FIND("/",E187)))-(LEFT(E187,FIND("/",E187)-1)),(MID(E187, SEARCH("/",E187) + 1, SEARCH("/",E187, SEARCH("/",E187)+1) - SEARCH("/",E187) - 1))-(LEFT(E187,FIND("/",E187)-1))), "NA"))</f>
        <v/>
      </c>
      <c r="K187" s="79">
        <f>IF(A187&lt;&gt;"", IF(ISBLANK(L187), TODAY(), K187), "")</f>
        <v/>
      </c>
      <c r="L187" s="78" t="n"/>
      <c r="M187" s="78">
        <f>IF(ISBLANK(L187),"",IF(D187="Stock",IF(C187="Buy",L187*G187,IF(C187="Sell",(L187*G187)-I187, X)),IF(C187="Buy",(L187*G187*100)+I187,IF(C187="Sell",(L187*G187*100)-I187, X))))</f>
        <v/>
      </c>
      <c r="N187" s="78">
        <f>IF(ISBLANK(L187),"",IF(AND(C187="Sell",D187="Stock"),M187,IF(ISBLANK(L187),"",IF(C187="Buy",M187, IF(AND(C187="Sell",J187="NA"),(E187*G187*100*0.1)+I187, IF(C187="Sell",(J187-L187)*(100*G187)+I187))))))</f>
        <v/>
      </c>
      <c r="O187" s="75" t="n"/>
      <c r="P187" s="75" t="n"/>
      <c r="Q187" s="75">
        <f>IF(ISBLANK(P187),"",IF(D187="Stock",P187*G187,IF(P187=0,"0",G187*P187*100-(G187*$AF$14))))</f>
        <v/>
      </c>
      <c r="R187" s="79">
        <f>IF(P187&lt;&gt;"", TODAY(), "")</f>
        <v/>
      </c>
      <c r="S187" s="78">
        <f>IF(AND(K187&lt;&gt;"", R187&lt;&gt;""), R187-K187, "")</f>
        <v/>
      </c>
      <c r="T187" s="78" t="n"/>
      <c r="U187" s="92">
        <f>IF(ISBLANK(P187),"",IF(C187="Buy",Q187-M187+T187, IF(C187="Sell",M187-Q187-T187, X)))</f>
        <v/>
      </c>
      <c r="V187" s="81">
        <f>IF(ISBLANK(P187),"",U187/N187)</f>
        <v/>
      </c>
      <c r="W187" s="81">
        <f>IF(ISBLANK(P187),"",IF(S187=0,(365/0.5)*V187,(365/S187)*V187))</f>
        <v/>
      </c>
      <c r="X187" s="75" t="n"/>
      <c r="Y187" s="77" t="n"/>
      <c r="Z187" s="77" t="n"/>
      <c r="AA187" s="75" t="n"/>
      <c r="AB187" s="75" t="n"/>
      <c r="AC187" s="6" t="n"/>
      <c r="AD187" s="75" t="n"/>
      <c r="AE187" s="75" t="n"/>
      <c r="AF187" s="75" t="n"/>
    </row>
    <row r="188" ht="15.75" customHeight="1" s="133">
      <c r="A188" s="75" t="n"/>
      <c r="B188" s="75" t="n"/>
      <c r="C188" s="75" t="n"/>
      <c r="D188" s="75" t="n"/>
      <c r="E188" s="76" t="n"/>
      <c r="F188" s="77" t="n"/>
      <c r="G188" s="75" t="n"/>
      <c r="H188" s="75">
        <f>IF(ISBLANK(E188),"",IF(OR(D188="Butterfly",D188="Butterfly ",D188="Iron Fly", D188="Iron Fly "),LEN(E188)-LEN(SUBSTITUTE(E188,"/",""))+2,LEN(E188)-LEN(SUBSTITUTE(E188,"/",""))+1))</f>
        <v/>
      </c>
      <c r="I188" s="78">
        <f>IF(ISBLANK(G188),"",IF(D188="Stock","0",Key!$A$3*H188*G188))</f>
        <v/>
      </c>
      <c r="J188" s="78">
        <f>IF(ISBLANK(E188),"",IF(ISNUMBER(SEARCH("/",E188)), IF(LEN(E188)-LEN(SUBSTITUTE(E188,"/",""))=1,(RIGHT(E188,LEN(E188)-FIND("/",E188)))-(LEFT(E188,FIND("/",E188)-1)),(MID(E188, SEARCH("/",E188) + 1, SEARCH("/",E188, SEARCH("/",E188)+1) - SEARCH("/",E188) - 1))-(LEFT(E188,FIND("/",E188)-1))), "NA"))</f>
        <v/>
      </c>
      <c r="K188" s="79">
        <f>IF(A188&lt;&gt;"", IF(ISBLANK(L188), TODAY(), K188), "")</f>
        <v/>
      </c>
      <c r="L188" s="78" t="n"/>
      <c r="M188" s="78">
        <f>IF(ISBLANK(L188),"",IF(D188="Stock",IF(C188="Buy",L188*G188,IF(C188="Sell",(L188*G188)-I188, X)),IF(C188="Buy",(L188*G188*100)+I188,IF(C188="Sell",(L188*G188*100)-I188, X))))</f>
        <v/>
      </c>
      <c r="N188" s="78">
        <f>IF(ISBLANK(L188),"",IF(AND(C188="Sell",D188="Stock"),M188,IF(ISBLANK(L188),"",IF(C188="Buy",M188, IF(AND(C188="Sell",J188="NA"),(E188*G188*100*0.1)+I188, IF(C188="Sell",(J188-L188)*(100*G188)+I188))))))</f>
        <v/>
      </c>
      <c r="O188" s="75" t="n"/>
      <c r="P188" s="75" t="n"/>
      <c r="Q188" s="75">
        <f>IF(ISBLANK(P188),"",IF(D188="Stock",P188*G188,IF(P188=0,"0",G188*P188*100-(G188*$AF$14))))</f>
        <v/>
      </c>
      <c r="R188" s="79">
        <f>IF(P188&lt;&gt;"", TODAY(), "")</f>
        <v/>
      </c>
      <c r="S188" s="78">
        <f>IF(AND(K188&lt;&gt;"", R188&lt;&gt;""), R188-K188, "")</f>
        <v/>
      </c>
      <c r="T188" s="78" t="n"/>
      <c r="U188" s="92">
        <f>IF(ISBLANK(P188),"",IF(C188="Buy",Q188-M188+T188, IF(C188="Sell",M188-Q188-T188, X)))</f>
        <v/>
      </c>
      <c r="V188" s="81">
        <f>IF(ISBLANK(P188),"",U188/N188)</f>
        <v/>
      </c>
      <c r="W188" s="81">
        <f>IF(ISBLANK(P188),"",IF(S188=0,(365/0.5)*V188,(365/S188)*V188))</f>
        <v/>
      </c>
      <c r="X188" s="75" t="n"/>
      <c r="Y188" s="77" t="n"/>
      <c r="Z188" s="77" t="n"/>
      <c r="AA188" s="75" t="n"/>
      <c r="AB188" s="75" t="n"/>
      <c r="AC188" s="6" t="n"/>
      <c r="AD188" s="75" t="n"/>
      <c r="AE188" s="75" t="n"/>
      <c r="AF188" s="75" t="n"/>
    </row>
    <row r="189" ht="15.75" customHeight="1" s="133">
      <c r="A189" s="75" t="n"/>
      <c r="B189" s="75" t="n"/>
      <c r="C189" s="75" t="n"/>
      <c r="D189" s="75" t="n"/>
      <c r="E189" s="76" t="n"/>
      <c r="F189" s="77" t="n"/>
      <c r="G189" s="75" t="n"/>
      <c r="H189" s="75">
        <f>IF(ISBLANK(E189),"",IF(OR(D189="Butterfly",D189="Butterfly ",D189="Iron Fly", D189="Iron Fly "),LEN(E189)-LEN(SUBSTITUTE(E189,"/",""))+2,LEN(E189)-LEN(SUBSTITUTE(E189,"/",""))+1))</f>
        <v/>
      </c>
      <c r="I189" s="78">
        <f>IF(ISBLANK(G189),"",IF(D189="Stock","0",Key!$A$3*H189*G189))</f>
        <v/>
      </c>
      <c r="J189" s="78">
        <f>IF(ISBLANK(E189),"",IF(ISNUMBER(SEARCH("/",E189)), IF(LEN(E189)-LEN(SUBSTITUTE(E189,"/",""))=1,(RIGHT(E189,LEN(E189)-FIND("/",E189)))-(LEFT(E189,FIND("/",E189)-1)),(MID(E189, SEARCH("/",E189) + 1, SEARCH("/",E189, SEARCH("/",E189)+1) - SEARCH("/",E189) - 1))-(LEFT(E189,FIND("/",E189)-1))), "NA"))</f>
        <v/>
      </c>
      <c r="K189" s="79">
        <f>IF(A189&lt;&gt;"", IF(ISBLANK(L189), TODAY(), K189), "")</f>
        <v/>
      </c>
      <c r="L189" s="78" t="n"/>
      <c r="M189" s="78">
        <f>IF(ISBLANK(L189),"",IF(D189="Stock",IF(C189="Buy",L189*G189,IF(C189="Sell",(L189*G189)-I189, X)),IF(C189="Buy",(L189*G189*100)+I189,IF(C189="Sell",(L189*G189*100)-I189, X))))</f>
        <v/>
      </c>
      <c r="N189" s="78">
        <f>IF(ISBLANK(L189),"",IF(AND(C189="Sell",D189="Stock"),M189,IF(ISBLANK(L189),"",IF(C189="Buy",M189, IF(AND(C189="Sell",J189="NA"),(E189*G189*100*0.1)+I189, IF(C189="Sell",(J189-L189)*(100*G189)+I189))))))</f>
        <v/>
      </c>
      <c r="O189" s="75" t="n"/>
      <c r="P189" s="75" t="n"/>
      <c r="Q189" s="75">
        <f>IF(ISBLANK(P189),"",IF(D189="Stock",P189*G189,IF(P189=0,"0",G189*P189*100-(G189*$AF$14))))</f>
        <v/>
      </c>
      <c r="R189" s="79">
        <f>IF(P189&lt;&gt;"", TODAY(), "")</f>
        <v/>
      </c>
      <c r="S189" s="78">
        <f>IF(AND(K189&lt;&gt;"", R189&lt;&gt;""), R189-K189, "")</f>
        <v/>
      </c>
      <c r="T189" s="78" t="n"/>
      <c r="U189" s="92">
        <f>IF(ISBLANK(P189),"",IF(C189="Buy",Q189-M189+T189, IF(C189="Sell",M189-Q189-T189, X)))</f>
        <v/>
      </c>
      <c r="V189" s="81">
        <f>IF(ISBLANK(P189),"",U189/N189)</f>
        <v/>
      </c>
      <c r="W189" s="81">
        <f>IF(ISBLANK(P189),"",IF(S189=0,(365/0.5)*V189,(365/S189)*V189))</f>
        <v/>
      </c>
      <c r="X189" s="75" t="n"/>
      <c r="Y189" s="77" t="n"/>
      <c r="Z189" s="77" t="n"/>
      <c r="AA189" s="75" t="n"/>
      <c r="AB189" s="75" t="n"/>
      <c r="AC189" s="6" t="n"/>
      <c r="AD189" s="75" t="n"/>
      <c r="AE189" s="75" t="n"/>
      <c r="AF189" s="75" t="n"/>
    </row>
    <row r="190" ht="15.75" customHeight="1" s="133">
      <c r="A190" s="75" t="n"/>
      <c r="B190" s="75" t="n"/>
      <c r="C190" s="75" t="n"/>
      <c r="D190" s="75" t="n"/>
      <c r="E190" s="76" t="n"/>
      <c r="F190" s="77" t="n"/>
      <c r="G190" s="75" t="n"/>
      <c r="H190" s="75">
        <f>IF(ISBLANK(E190),"",IF(OR(D190="Butterfly",D190="Butterfly ",D190="Iron Fly", D190="Iron Fly "),LEN(E190)-LEN(SUBSTITUTE(E190,"/",""))+2,LEN(E190)-LEN(SUBSTITUTE(E190,"/",""))+1))</f>
        <v/>
      </c>
      <c r="I190" s="78">
        <f>IF(ISBLANK(G190),"",IF(D190="Stock","0",Key!$A$3*H190*G190))</f>
        <v/>
      </c>
      <c r="J190" s="78">
        <f>IF(ISBLANK(E190),"",IF(ISNUMBER(SEARCH("/",E190)), IF(LEN(E190)-LEN(SUBSTITUTE(E190,"/",""))=1,(RIGHT(E190,LEN(E190)-FIND("/",E190)))-(LEFT(E190,FIND("/",E190)-1)),(MID(E190, SEARCH("/",E190) + 1, SEARCH("/",E190, SEARCH("/",E190)+1) - SEARCH("/",E190) - 1))-(LEFT(E190,FIND("/",E190)-1))), "NA"))</f>
        <v/>
      </c>
      <c r="K190" s="79">
        <f>IF(A190&lt;&gt;"", IF(ISBLANK(L190), TODAY(), K190), "")</f>
        <v/>
      </c>
      <c r="L190" s="78" t="n"/>
      <c r="M190" s="78">
        <f>IF(ISBLANK(L190),"",IF(D190="Stock",IF(C190="Buy",L190*G190,IF(C190="Sell",(L190*G190)-I190, X)),IF(C190="Buy",(L190*G190*100)+I190,IF(C190="Sell",(L190*G190*100)-I190, X))))</f>
        <v/>
      </c>
      <c r="N190" s="78">
        <f>IF(ISBLANK(L190),"",IF(AND(C190="Sell",D190="Stock"),M190,IF(ISBLANK(L190),"",IF(C190="Buy",M190, IF(AND(C190="Sell",J190="NA"),(E190*G190*100*0.1)+I190, IF(C190="Sell",(J190-L190)*(100*G190)+I190))))))</f>
        <v/>
      </c>
      <c r="O190" s="75" t="n"/>
      <c r="P190" s="75" t="n"/>
      <c r="Q190" s="75">
        <f>IF(ISBLANK(P190),"",IF(D190="Stock",P190*G190,IF(P190=0,"0",G190*P190*100-(G190*$AF$14))))</f>
        <v/>
      </c>
      <c r="R190" s="79">
        <f>IF(P190&lt;&gt;"", TODAY(), "")</f>
        <v/>
      </c>
      <c r="S190" s="78">
        <f>IF(AND(K190&lt;&gt;"", R190&lt;&gt;""), R190-K190, "")</f>
        <v/>
      </c>
      <c r="T190" s="78" t="n"/>
      <c r="U190" s="92">
        <f>IF(ISBLANK(P190),"",IF(C190="Buy",Q190-M190+T190, IF(C190="Sell",M190-Q190-T190, X)))</f>
        <v/>
      </c>
      <c r="V190" s="81">
        <f>IF(ISBLANK(P190),"",U190/N190)</f>
        <v/>
      </c>
      <c r="W190" s="81">
        <f>IF(ISBLANK(P190),"",IF(S190=0,(365/0.5)*V190,(365/S190)*V190))</f>
        <v/>
      </c>
      <c r="X190" s="75" t="n"/>
      <c r="Y190" s="77" t="n"/>
      <c r="Z190" s="77" t="n"/>
      <c r="AA190" s="75" t="n"/>
      <c r="AB190" s="75" t="n"/>
      <c r="AC190" s="6" t="n"/>
      <c r="AD190" s="75" t="n"/>
      <c r="AE190" s="75" t="n"/>
      <c r="AF190" s="75" t="n"/>
    </row>
    <row r="191" ht="15.75" customHeight="1" s="133">
      <c r="A191" s="75" t="n"/>
      <c r="B191" s="75" t="n"/>
      <c r="C191" s="75" t="n"/>
      <c r="D191" s="75" t="n"/>
      <c r="E191" s="76" t="n"/>
      <c r="F191" s="77" t="n"/>
      <c r="G191" s="75" t="n"/>
      <c r="H191" s="75">
        <f>IF(ISBLANK(E191),"",IF(OR(D191="Butterfly",D191="Butterfly ",D191="Iron Fly", D191="Iron Fly "),LEN(E191)-LEN(SUBSTITUTE(E191,"/",""))+2,LEN(E191)-LEN(SUBSTITUTE(E191,"/",""))+1))</f>
        <v/>
      </c>
      <c r="I191" s="78">
        <f>IF(ISBLANK(G191),"",IF(D191="Stock","0",Key!$A$3*H191*G191))</f>
        <v/>
      </c>
      <c r="J191" s="78">
        <f>IF(ISBLANK(E191),"",IF(ISNUMBER(SEARCH("/",E191)), IF(LEN(E191)-LEN(SUBSTITUTE(E191,"/",""))=1,(RIGHT(E191,LEN(E191)-FIND("/",E191)))-(LEFT(E191,FIND("/",E191)-1)),(MID(E191, SEARCH("/",E191) + 1, SEARCH("/",E191, SEARCH("/",E191)+1) - SEARCH("/",E191) - 1))-(LEFT(E191,FIND("/",E191)-1))), "NA"))</f>
        <v/>
      </c>
      <c r="K191" s="79">
        <f>IF(A191&lt;&gt;"", IF(ISBLANK(L191), TODAY(), K191), "")</f>
        <v/>
      </c>
      <c r="L191" s="78" t="n"/>
      <c r="M191" s="78">
        <f>IF(ISBLANK(L191),"",IF(D191="Stock",IF(C191="Buy",L191*G191,IF(C191="Sell",(L191*G191)-I191, X)),IF(C191="Buy",(L191*G191*100)+I191,IF(C191="Sell",(L191*G191*100)-I191, X))))</f>
        <v/>
      </c>
      <c r="N191" s="78">
        <f>IF(ISBLANK(L191),"",IF(AND(C191="Sell",D191="Stock"),M191,IF(ISBLANK(L191),"",IF(C191="Buy",M191, IF(AND(C191="Sell",J191="NA"),(E191*G191*100*0.1)+I191, IF(C191="Sell",(J191-L191)*(100*G191)+I191))))))</f>
        <v/>
      </c>
      <c r="O191" s="75" t="n"/>
      <c r="P191" s="75" t="n"/>
      <c r="Q191" s="75">
        <f>IF(ISBLANK(P191),"",IF(D191="Stock",P191*G191,IF(P191=0,"0",G191*P191*100-(G191*$AF$14))))</f>
        <v/>
      </c>
      <c r="R191" s="79">
        <f>IF(P191&lt;&gt;"", TODAY(), "")</f>
        <v/>
      </c>
      <c r="S191" s="78">
        <f>IF(AND(K191&lt;&gt;"", R191&lt;&gt;""), R191-K191, "")</f>
        <v/>
      </c>
      <c r="T191" s="78" t="n"/>
      <c r="U191" s="92">
        <f>IF(ISBLANK(P191),"",IF(C191="Buy",Q191-M191+T191, IF(C191="Sell",M191-Q191-T191, X)))</f>
        <v/>
      </c>
      <c r="V191" s="81">
        <f>IF(ISBLANK(P191),"",U191/N191)</f>
        <v/>
      </c>
      <c r="W191" s="81">
        <f>IF(ISBLANK(P191),"",IF(S191=0,(365/0.5)*V191,(365/S191)*V191))</f>
        <v/>
      </c>
      <c r="X191" s="75" t="n"/>
      <c r="Y191" s="77" t="n"/>
      <c r="Z191" s="77" t="n"/>
      <c r="AA191" s="75" t="n"/>
      <c r="AB191" s="75" t="n"/>
      <c r="AC191" s="6" t="n"/>
      <c r="AD191" s="75" t="n"/>
      <c r="AE191" s="75" t="n"/>
      <c r="AF191" s="75" t="n"/>
    </row>
    <row r="192" ht="15.75" customHeight="1" s="133">
      <c r="A192" s="75" t="n"/>
      <c r="B192" s="75" t="n"/>
      <c r="C192" s="75" t="n"/>
      <c r="D192" s="75" t="n"/>
      <c r="E192" s="76" t="n"/>
      <c r="F192" s="77" t="n"/>
      <c r="G192" s="75" t="n"/>
      <c r="H192" s="75">
        <f>IF(ISBLANK(E192),"",IF(OR(D192="Butterfly",D192="Butterfly ",D192="Iron Fly", D192="Iron Fly "),LEN(E192)-LEN(SUBSTITUTE(E192,"/",""))+2,LEN(E192)-LEN(SUBSTITUTE(E192,"/",""))+1))</f>
        <v/>
      </c>
      <c r="I192" s="78">
        <f>IF(ISBLANK(G192),"",IF(D192="Stock","0",Key!$A$3*H192*G192))</f>
        <v/>
      </c>
      <c r="J192" s="78">
        <f>IF(ISBLANK(E192),"",IF(ISNUMBER(SEARCH("/",E192)), IF(LEN(E192)-LEN(SUBSTITUTE(E192,"/",""))=1,(RIGHT(E192,LEN(E192)-FIND("/",E192)))-(LEFT(E192,FIND("/",E192)-1)),(MID(E192, SEARCH("/",E192) + 1, SEARCH("/",E192, SEARCH("/",E192)+1) - SEARCH("/",E192) - 1))-(LEFT(E192,FIND("/",E192)-1))), "NA"))</f>
        <v/>
      </c>
      <c r="K192" s="79">
        <f>IF(A192&lt;&gt;"", IF(ISBLANK(L192), TODAY(), K192), "")</f>
        <v/>
      </c>
      <c r="L192" s="78" t="n"/>
      <c r="M192" s="78">
        <f>IF(ISBLANK(L192),"",IF(D192="Stock",IF(C192="Buy",L192*G192,IF(C192="Sell",(L192*G192)-I192, X)),IF(C192="Buy",(L192*G192*100)+I192,IF(C192="Sell",(L192*G192*100)-I192, X))))</f>
        <v/>
      </c>
      <c r="N192" s="78">
        <f>IF(ISBLANK(L192),"",IF(AND(C192="Sell",D192="Stock"),M192,IF(ISBLANK(L192),"",IF(C192="Buy",M192, IF(AND(C192="Sell",J192="NA"),(E192*G192*100*0.1)+I192, IF(C192="Sell",(J192-L192)*(100*G192)+I192))))))</f>
        <v/>
      </c>
      <c r="O192" s="75" t="n"/>
      <c r="P192" s="75" t="n"/>
      <c r="Q192" s="75">
        <f>IF(ISBLANK(P192),"",IF(D192="Stock",P192*G192,IF(P192=0,"0",G192*P192*100-(G192*$AF$14))))</f>
        <v/>
      </c>
      <c r="R192" s="79">
        <f>IF(P192&lt;&gt;"", TODAY(), "")</f>
        <v/>
      </c>
      <c r="S192" s="78">
        <f>IF(AND(K192&lt;&gt;"", R192&lt;&gt;""), R192-K192, "")</f>
        <v/>
      </c>
      <c r="T192" s="78" t="n"/>
      <c r="U192" s="92">
        <f>IF(ISBLANK(P192),"",IF(C192="Buy",Q192-M192+T192, IF(C192="Sell",M192-Q192-T192, X)))</f>
        <v/>
      </c>
      <c r="V192" s="81">
        <f>IF(ISBLANK(P192),"",U192/N192)</f>
        <v/>
      </c>
      <c r="W192" s="81">
        <f>IF(ISBLANK(P192),"",IF(S192=0,(365/0.5)*V192,(365/S192)*V192))</f>
        <v/>
      </c>
      <c r="X192" s="75" t="n"/>
      <c r="Y192" s="77" t="n"/>
      <c r="Z192" s="77" t="n"/>
      <c r="AA192" s="75" t="n"/>
      <c r="AB192" s="75" t="n"/>
      <c r="AC192" s="6" t="n"/>
      <c r="AD192" s="75" t="n"/>
      <c r="AE192" s="75" t="n"/>
      <c r="AF192" s="75" t="n"/>
    </row>
    <row r="193" ht="15.75" customHeight="1" s="133">
      <c r="A193" s="75" t="n"/>
      <c r="B193" s="75" t="n"/>
      <c r="C193" s="75" t="n"/>
      <c r="D193" s="75" t="n"/>
      <c r="E193" s="76" t="n"/>
      <c r="F193" s="77" t="n"/>
      <c r="G193" s="75" t="n"/>
      <c r="H193" s="75">
        <f>IF(ISBLANK(E193),"",IF(OR(D193="Butterfly",D193="Butterfly ",D193="Iron Fly", D193="Iron Fly "),LEN(E193)-LEN(SUBSTITUTE(E193,"/",""))+2,LEN(E193)-LEN(SUBSTITUTE(E193,"/",""))+1))</f>
        <v/>
      </c>
      <c r="I193" s="78">
        <f>IF(ISBLANK(G193),"",IF(D193="Stock","0",Key!$A$3*H193*G193))</f>
        <v/>
      </c>
      <c r="J193" s="78">
        <f>IF(ISBLANK(E193),"",IF(ISNUMBER(SEARCH("/",E193)), IF(LEN(E193)-LEN(SUBSTITUTE(E193,"/",""))=1,(RIGHT(E193,LEN(E193)-FIND("/",E193)))-(LEFT(E193,FIND("/",E193)-1)),(MID(E193, SEARCH("/",E193) + 1, SEARCH("/",E193, SEARCH("/",E193)+1) - SEARCH("/",E193) - 1))-(LEFT(E193,FIND("/",E193)-1))), "NA"))</f>
        <v/>
      </c>
      <c r="K193" s="79">
        <f>IF(A193&lt;&gt;"", IF(ISBLANK(L193), TODAY(), K193), "")</f>
        <v/>
      </c>
      <c r="L193" s="78" t="n"/>
      <c r="M193" s="78">
        <f>IF(ISBLANK(L193),"",IF(D193="Stock",IF(C193="Buy",L193*G193,IF(C193="Sell",(L193*G193)-I193, X)),IF(C193="Buy",(L193*G193*100)+I193,IF(C193="Sell",(L193*G193*100)-I193, X))))</f>
        <v/>
      </c>
      <c r="N193" s="78">
        <f>IF(ISBLANK(L193),"",IF(AND(C193="Sell",D193="Stock"),M193,IF(ISBLANK(L193),"",IF(C193="Buy",M193, IF(AND(C193="Sell",J193="NA"),(E193*G193*100*0.1)+I193, IF(C193="Sell",(J193-L193)*(100*G193)+I193))))))</f>
        <v/>
      </c>
      <c r="O193" s="75" t="n"/>
      <c r="P193" s="75" t="n"/>
      <c r="Q193" s="75">
        <f>IF(ISBLANK(P193),"",IF(D193="Stock",P193*G193,IF(P193=0,"0",G193*P193*100-(G193*$AF$14))))</f>
        <v/>
      </c>
      <c r="R193" s="79">
        <f>IF(P193&lt;&gt;"", TODAY(), "")</f>
        <v/>
      </c>
      <c r="S193" s="78">
        <f>IF(AND(K193&lt;&gt;"", R193&lt;&gt;""), R193-K193, "")</f>
        <v/>
      </c>
      <c r="T193" s="78" t="n"/>
      <c r="U193" s="92">
        <f>IF(ISBLANK(P193),"",IF(C193="Buy",Q193-M193+T193, IF(C193="Sell",M193-Q193-T193, X)))</f>
        <v/>
      </c>
      <c r="V193" s="81">
        <f>IF(ISBLANK(P193),"",U193/N193)</f>
        <v/>
      </c>
      <c r="W193" s="81">
        <f>IF(ISBLANK(P193),"",IF(S193=0,(365/0.5)*V193,(365/S193)*V193))</f>
        <v/>
      </c>
      <c r="X193" s="75" t="n"/>
      <c r="Y193" s="77" t="n"/>
      <c r="Z193" s="77" t="n"/>
      <c r="AA193" s="75" t="n"/>
      <c r="AB193" s="75" t="n"/>
      <c r="AC193" s="6" t="n"/>
      <c r="AD193" s="75" t="n"/>
      <c r="AE193" s="75" t="n"/>
      <c r="AF193" s="75" t="n"/>
    </row>
    <row r="194" ht="15.75" customHeight="1" s="133">
      <c r="A194" s="75" t="n"/>
      <c r="B194" s="75" t="n"/>
      <c r="C194" s="75" t="n"/>
      <c r="D194" s="75" t="n"/>
      <c r="E194" s="76" t="n"/>
      <c r="F194" s="77" t="n"/>
      <c r="G194" s="75" t="n"/>
      <c r="H194" s="75">
        <f>IF(ISBLANK(E194),"",IF(OR(D194="Butterfly",D194="Butterfly ",D194="Iron Fly", D194="Iron Fly "),LEN(E194)-LEN(SUBSTITUTE(E194,"/",""))+2,LEN(E194)-LEN(SUBSTITUTE(E194,"/",""))+1))</f>
        <v/>
      </c>
      <c r="I194" s="78">
        <f>IF(ISBLANK(G194),"",IF(D194="Stock","0",Key!$A$3*H194*G194))</f>
        <v/>
      </c>
      <c r="J194" s="78">
        <f>IF(ISBLANK(E194),"",IF(ISNUMBER(SEARCH("/",E194)), IF(LEN(E194)-LEN(SUBSTITUTE(E194,"/",""))=1,(RIGHT(E194,LEN(E194)-FIND("/",E194)))-(LEFT(E194,FIND("/",E194)-1)),(MID(E194, SEARCH("/",E194) + 1, SEARCH("/",E194, SEARCH("/",E194)+1) - SEARCH("/",E194) - 1))-(LEFT(E194,FIND("/",E194)-1))), "NA"))</f>
        <v/>
      </c>
      <c r="K194" s="79">
        <f>IF(A194&lt;&gt;"", IF(ISBLANK(L194), TODAY(), K194), "")</f>
        <v/>
      </c>
      <c r="L194" s="78" t="n"/>
      <c r="M194" s="78">
        <f>IF(ISBLANK(L194),"",IF(D194="Stock",IF(C194="Buy",L194*G194,IF(C194="Sell",(L194*G194)-I194, X)),IF(C194="Buy",(L194*G194*100)+I194,IF(C194="Sell",(L194*G194*100)-I194, X))))</f>
        <v/>
      </c>
      <c r="N194" s="78">
        <f>IF(ISBLANK(L194),"",IF(AND(C194="Sell",D194="Stock"),M194,IF(ISBLANK(L194),"",IF(C194="Buy",M194, IF(AND(C194="Sell",J194="NA"),(E194*G194*100*0.1)+I194, IF(C194="Sell",(J194-L194)*(100*G194)+I194))))))</f>
        <v/>
      </c>
      <c r="O194" s="75" t="n"/>
      <c r="P194" s="75" t="n"/>
      <c r="Q194" s="75">
        <f>IF(ISBLANK(P194),"",IF(D194="Stock",P194*G194,IF(P194=0,"0",G194*P194*100-(G194*$AF$14))))</f>
        <v/>
      </c>
      <c r="R194" s="79">
        <f>IF(P194&lt;&gt;"", TODAY(), "")</f>
        <v/>
      </c>
      <c r="S194" s="78">
        <f>IF(AND(K194&lt;&gt;"", R194&lt;&gt;""), R194-K194, "")</f>
        <v/>
      </c>
      <c r="T194" s="78" t="n"/>
      <c r="U194" s="92">
        <f>IF(ISBLANK(P194),"",IF(C194="Buy",Q194-M194+T194, IF(C194="Sell",M194-Q194-T194, X)))</f>
        <v/>
      </c>
      <c r="V194" s="81">
        <f>IF(ISBLANK(P194),"",U194/N194)</f>
        <v/>
      </c>
      <c r="W194" s="81">
        <f>IF(ISBLANK(P194),"",IF(S194=0,(365/0.5)*V194,(365/S194)*V194))</f>
        <v/>
      </c>
      <c r="X194" s="75" t="n"/>
      <c r="Y194" s="77" t="n"/>
      <c r="Z194" s="77" t="n"/>
      <c r="AA194" s="75" t="n"/>
      <c r="AB194" s="75" t="n"/>
      <c r="AC194" s="6" t="n"/>
      <c r="AD194" s="75" t="n"/>
      <c r="AE194" s="75" t="n"/>
      <c r="AF194" s="75" t="n"/>
    </row>
    <row r="195" ht="15.75" customHeight="1" s="133">
      <c r="A195" s="75" t="n"/>
      <c r="B195" s="75" t="n"/>
      <c r="C195" s="75" t="n"/>
      <c r="D195" s="75" t="n"/>
      <c r="E195" s="76" t="n"/>
      <c r="F195" s="77" t="n"/>
      <c r="G195" s="75" t="n"/>
      <c r="H195" s="75">
        <f>IF(ISBLANK(E195),"",IF(OR(D195="Butterfly",D195="Butterfly ",D195="Iron Fly", D195="Iron Fly "),LEN(E195)-LEN(SUBSTITUTE(E195,"/",""))+2,LEN(E195)-LEN(SUBSTITUTE(E195,"/",""))+1))</f>
        <v/>
      </c>
      <c r="I195" s="78">
        <f>IF(ISBLANK(G195),"",IF(D195="Stock","0",Key!$A$3*H195*G195))</f>
        <v/>
      </c>
      <c r="J195" s="78">
        <f>IF(ISBLANK(E195),"",IF(ISNUMBER(SEARCH("/",E195)), IF(LEN(E195)-LEN(SUBSTITUTE(E195,"/",""))=1,(RIGHT(E195,LEN(E195)-FIND("/",E195)))-(LEFT(E195,FIND("/",E195)-1)),(MID(E195, SEARCH("/",E195) + 1, SEARCH("/",E195, SEARCH("/",E195)+1) - SEARCH("/",E195) - 1))-(LEFT(E195,FIND("/",E195)-1))), "NA"))</f>
        <v/>
      </c>
      <c r="K195" s="79">
        <f>IF(A195&lt;&gt;"", IF(ISBLANK(L195), TODAY(), K195), "")</f>
        <v/>
      </c>
      <c r="L195" s="78" t="n"/>
      <c r="M195" s="78">
        <f>IF(ISBLANK(L195),"",IF(D195="Stock",IF(C195="Buy",L195*G195,IF(C195="Sell",(L195*G195)-I195, X)),IF(C195="Buy",(L195*G195*100)+I195,IF(C195="Sell",(L195*G195*100)-I195, X))))</f>
        <v/>
      </c>
      <c r="N195" s="78">
        <f>IF(ISBLANK(L195),"",IF(AND(C195="Sell",D195="Stock"),M195,IF(ISBLANK(L195),"",IF(C195="Buy",M195, IF(AND(C195="Sell",J195="NA"),(E195*G195*100*0.1)+I195, IF(C195="Sell",(J195-L195)*(100*G195)+I195))))))</f>
        <v/>
      </c>
      <c r="O195" s="75" t="n"/>
      <c r="P195" s="75" t="n"/>
      <c r="Q195" s="75">
        <f>IF(ISBLANK(P195),"",IF(D195="Stock",P195*G195,IF(P195=0,"0",G195*P195*100-(G195*$AF$14))))</f>
        <v/>
      </c>
      <c r="R195" s="79">
        <f>IF(P195&lt;&gt;"", TODAY(), "")</f>
        <v/>
      </c>
      <c r="S195" s="78">
        <f>IF(AND(K195&lt;&gt;"", R195&lt;&gt;""), R195-K195, "")</f>
        <v/>
      </c>
      <c r="T195" s="78" t="n"/>
      <c r="U195" s="92">
        <f>IF(ISBLANK(P195),"",IF(C195="Buy",Q195-M195+T195, IF(C195="Sell",M195-Q195-T195, X)))</f>
        <v/>
      </c>
      <c r="V195" s="81">
        <f>IF(ISBLANK(P195),"",U195/N195)</f>
        <v/>
      </c>
      <c r="W195" s="81">
        <f>IF(ISBLANK(P195),"",IF(S195=0,(365/0.5)*V195,(365/S195)*V195))</f>
        <v/>
      </c>
      <c r="X195" s="75" t="n"/>
      <c r="Y195" s="77" t="n"/>
      <c r="Z195" s="77" t="n"/>
      <c r="AA195" s="75" t="n"/>
      <c r="AB195" s="75" t="n"/>
      <c r="AC195" s="6" t="n"/>
      <c r="AD195" s="75" t="n"/>
      <c r="AE195" s="75" t="n"/>
      <c r="AF195" s="75" t="n"/>
    </row>
    <row r="196" ht="15.75" customHeight="1" s="133">
      <c r="A196" s="75" t="n"/>
      <c r="B196" s="75" t="n"/>
      <c r="C196" s="75" t="n"/>
      <c r="D196" s="75" t="n"/>
      <c r="E196" s="76" t="n"/>
      <c r="F196" s="77" t="n"/>
      <c r="G196" s="75" t="n"/>
      <c r="H196" s="75">
        <f>IF(ISBLANK(E196),"",IF(OR(D196="Butterfly",D196="Butterfly ",D196="Iron Fly", D196="Iron Fly "),LEN(E196)-LEN(SUBSTITUTE(E196,"/",""))+2,LEN(E196)-LEN(SUBSTITUTE(E196,"/",""))+1))</f>
        <v/>
      </c>
      <c r="I196" s="78">
        <f>IF(ISBLANK(G196),"",IF(D196="Stock","0",Key!$A$3*H196*G196))</f>
        <v/>
      </c>
      <c r="J196" s="78">
        <f>IF(ISBLANK(E196),"",IF(ISNUMBER(SEARCH("/",E196)), IF(LEN(E196)-LEN(SUBSTITUTE(E196,"/",""))=1,(RIGHT(E196,LEN(E196)-FIND("/",E196)))-(LEFT(E196,FIND("/",E196)-1)),(MID(E196, SEARCH("/",E196) + 1, SEARCH("/",E196, SEARCH("/",E196)+1) - SEARCH("/",E196) - 1))-(LEFT(E196,FIND("/",E196)-1))), "NA"))</f>
        <v/>
      </c>
      <c r="K196" s="79">
        <f>IF(A196&lt;&gt;"", IF(ISBLANK(L196), TODAY(), K196), "")</f>
        <v/>
      </c>
      <c r="L196" s="78" t="n"/>
      <c r="M196" s="78">
        <f>IF(ISBLANK(L196),"",IF(D196="Stock",IF(C196="Buy",L196*G196,IF(C196="Sell",(L196*G196)-I196, X)),IF(C196="Buy",(L196*G196*100)+I196,IF(C196="Sell",(L196*G196*100)-I196, X))))</f>
        <v/>
      </c>
      <c r="N196" s="78">
        <f>IF(ISBLANK(L196),"",IF(AND(C196="Sell",D196="Stock"),M196,IF(ISBLANK(L196),"",IF(C196="Buy",M196, IF(AND(C196="Sell",J196="NA"),(E196*G196*100*0.1)+I196, IF(C196="Sell",(J196-L196)*(100*G196)+I196))))))</f>
        <v/>
      </c>
      <c r="O196" s="75" t="n"/>
      <c r="P196" s="75" t="n"/>
      <c r="Q196" s="75">
        <f>IF(ISBLANK(P196),"",IF(D196="Stock",P196*G196,IF(P196=0,"0",G196*P196*100-(G196*$AF$14))))</f>
        <v/>
      </c>
      <c r="R196" s="79">
        <f>IF(P196&lt;&gt;"", TODAY(), "")</f>
        <v/>
      </c>
      <c r="S196" s="78">
        <f>IF(AND(K196&lt;&gt;"", R196&lt;&gt;""), R196-K196, "")</f>
        <v/>
      </c>
      <c r="T196" s="78" t="n"/>
      <c r="U196" s="92">
        <f>IF(ISBLANK(P196),"",IF(C196="Buy",Q196-M196+T196, IF(C196="Sell",M196-Q196-T196, X)))</f>
        <v/>
      </c>
      <c r="V196" s="81">
        <f>IF(ISBLANK(P196),"",U196/N196)</f>
        <v/>
      </c>
      <c r="W196" s="81">
        <f>IF(ISBLANK(P196),"",IF(S196=0,(365/0.5)*V196,(365/S196)*V196))</f>
        <v/>
      </c>
      <c r="X196" s="75" t="n"/>
      <c r="Y196" s="77" t="n"/>
      <c r="Z196" s="77" t="n"/>
      <c r="AA196" s="75" t="n"/>
      <c r="AB196" s="75" t="n"/>
      <c r="AC196" s="6" t="n"/>
      <c r="AD196" s="75" t="n"/>
      <c r="AE196" s="75" t="n"/>
      <c r="AF196" s="75" t="n"/>
    </row>
    <row r="197" ht="15.75" customHeight="1" s="133">
      <c r="A197" s="75" t="n"/>
      <c r="B197" s="75" t="n"/>
      <c r="C197" s="75" t="n"/>
      <c r="D197" s="75" t="n"/>
      <c r="E197" s="76" t="n"/>
      <c r="F197" s="77" t="n"/>
      <c r="G197" s="75" t="n"/>
      <c r="H197" s="75">
        <f>IF(ISBLANK(E197),"",IF(OR(D197="Butterfly",D197="Butterfly ",D197="Iron Fly", D197="Iron Fly "),LEN(E197)-LEN(SUBSTITUTE(E197,"/",""))+2,LEN(E197)-LEN(SUBSTITUTE(E197,"/",""))+1))</f>
        <v/>
      </c>
      <c r="I197" s="78">
        <f>IF(ISBLANK(G197),"",IF(D197="Stock","0",Key!$A$3*H197*G197))</f>
        <v/>
      </c>
      <c r="J197" s="78">
        <f>IF(ISBLANK(E197),"",IF(ISNUMBER(SEARCH("/",E197)), IF(LEN(E197)-LEN(SUBSTITUTE(E197,"/",""))=1,(RIGHT(E197,LEN(E197)-FIND("/",E197)))-(LEFT(E197,FIND("/",E197)-1)),(MID(E197, SEARCH("/",E197) + 1, SEARCH("/",E197, SEARCH("/",E197)+1) - SEARCH("/",E197) - 1))-(LEFT(E197,FIND("/",E197)-1))), "NA"))</f>
        <v/>
      </c>
      <c r="K197" s="79">
        <f>IF(A197&lt;&gt;"", IF(ISBLANK(L197), TODAY(), K197), "")</f>
        <v/>
      </c>
      <c r="L197" s="78" t="n"/>
      <c r="M197" s="78">
        <f>IF(ISBLANK(L197),"",IF(D197="Stock",IF(C197="Buy",L197*G197,IF(C197="Sell",(L197*G197)-I197, X)),IF(C197="Buy",(L197*G197*100)+I197,IF(C197="Sell",(L197*G197*100)-I197, X))))</f>
        <v/>
      </c>
      <c r="N197" s="78">
        <f>IF(ISBLANK(L197),"",IF(AND(C197="Sell",D197="Stock"),M197,IF(ISBLANK(L197),"",IF(C197="Buy",M197, IF(AND(C197="Sell",J197="NA"),(E197*G197*100*0.1)+I197, IF(C197="Sell",(J197-L197)*(100*G197)+I197))))))</f>
        <v/>
      </c>
      <c r="O197" s="75" t="n"/>
      <c r="P197" s="75" t="n"/>
      <c r="Q197" s="75">
        <f>IF(ISBLANK(P197),"",IF(D197="Stock",P197*G197,IF(P197=0,"0",G197*P197*100-(G197*$AF$14))))</f>
        <v/>
      </c>
      <c r="R197" s="79">
        <f>IF(P197&lt;&gt;"", TODAY(), "")</f>
        <v/>
      </c>
      <c r="S197" s="78">
        <f>IF(AND(K197&lt;&gt;"", R197&lt;&gt;""), R197-K197, "")</f>
        <v/>
      </c>
      <c r="T197" s="78" t="n"/>
      <c r="U197" s="92">
        <f>IF(ISBLANK(P197),"",IF(C197="Buy",Q197-M197+T197, IF(C197="Sell",M197-Q197-T197, X)))</f>
        <v/>
      </c>
      <c r="V197" s="81">
        <f>IF(ISBLANK(P197),"",U197/N197)</f>
        <v/>
      </c>
      <c r="W197" s="81">
        <f>IF(ISBLANK(P197),"",IF(S197=0,(365/0.5)*V197,(365/S197)*V197))</f>
        <v/>
      </c>
      <c r="X197" s="75" t="n"/>
      <c r="Y197" s="77" t="n"/>
      <c r="Z197" s="77" t="n"/>
      <c r="AA197" s="75" t="n"/>
      <c r="AB197" s="75" t="n"/>
      <c r="AC197" s="6" t="n"/>
      <c r="AD197" s="75" t="n"/>
      <c r="AE197" s="75" t="n"/>
      <c r="AF197" s="75" t="n"/>
    </row>
    <row r="198" ht="15.75" customHeight="1" s="133">
      <c r="A198" s="75" t="n"/>
      <c r="B198" s="75" t="n"/>
      <c r="C198" s="75" t="n"/>
      <c r="D198" s="75" t="n"/>
      <c r="E198" s="76" t="n"/>
      <c r="F198" s="77" t="n"/>
      <c r="G198" s="75" t="n"/>
      <c r="H198" s="75">
        <f>IF(ISBLANK(E198),"",IF(OR(D198="Butterfly",D198="Butterfly ",D198="Iron Fly", D198="Iron Fly "),LEN(E198)-LEN(SUBSTITUTE(E198,"/",""))+2,LEN(E198)-LEN(SUBSTITUTE(E198,"/",""))+1))</f>
        <v/>
      </c>
      <c r="I198" s="78">
        <f>IF(ISBLANK(G198),"",IF(D198="Stock","0",Key!$A$3*H198*G198))</f>
        <v/>
      </c>
      <c r="J198" s="78">
        <f>IF(ISBLANK(E198),"",IF(ISNUMBER(SEARCH("/",E198)), IF(LEN(E198)-LEN(SUBSTITUTE(E198,"/",""))=1,(RIGHT(E198,LEN(E198)-FIND("/",E198)))-(LEFT(E198,FIND("/",E198)-1)),(MID(E198, SEARCH("/",E198) + 1, SEARCH("/",E198, SEARCH("/",E198)+1) - SEARCH("/",E198) - 1))-(LEFT(E198,FIND("/",E198)-1))), "NA"))</f>
        <v/>
      </c>
      <c r="K198" s="79">
        <f>IF(A198&lt;&gt;"", IF(ISBLANK(L198), TODAY(), K198), "")</f>
        <v/>
      </c>
      <c r="L198" s="78" t="n"/>
      <c r="M198" s="78">
        <f>IF(ISBLANK(L198),"",IF(D198="Stock",IF(C198="Buy",L198*G198,IF(C198="Sell",(L198*G198)-I198, X)),IF(C198="Buy",(L198*G198*100)+I198,IF(C198="Sell",(L198*G198*100)-I198, X))))</f>
        <v/>
      </c>
      <c r="N198" s="78">
        <f>IF(ISBLANK(L198),"",IF(AND(C198="Sell",D198="Stock"),M198,IF(ISBLANK(L198),"",IF(C198="Buy",M198, IF(AND(C198="Sell",J198="NA"),(E198*G198*100*0.1)+I198, IF(C198="Sell",(J198-L198)*(100*G198)+I198))))))</f>
        <v/>
      </c>
      <c r="O198" s="75" t="n"/>
      <c r="P198" s="75" t="n"/>
      <c r="Q198" s="75">
        <f>IF(ISBLANK(P198),"",IF(D198="Stock",P198*G198,IF(P198=0,"0",G198*P198*100-(G198*$AF$14))))</f>
        <v/>
      </c>
      <c r="R198" s="79">
        <f>IF(P198&lt;&gt;"", TODAY(), "")</f>
        <v/>
      </c>
      <c r="S198" s="78">
        <f>IF(AND(K198&lt;&gt;"", R198&lt;&gt;""), R198-K198, "")</f>
        <v/>
      </c>
      <c r="T198" s="78" t="n"/>
      <c r="U198" s="92">
        <f>IF(ISBLANK(P198),"",IF(C198="Buy",Q198-M198+T198, IF(C198="Sell",M198-Q198-T198, X)))</f>
        <v/>
      </c>
      <c r="V198" s="81">
        <f>IF(ISBLANK(P198),"",U198/N198)</f>
        <v/>
      </c>
      <c r="W198" s="81">
        <f>IF(ISBLANK(P198),"",IF(S198=0,(365/0.5)*V198,(365/S198)*V198))</f>
        <v/>
      </c>
      <c r="X198" s="75" t="n"/>
      <c r="Y198" s="77" t="n"/>
      <c r="Z198" s="77" t="n"/>
      <c r="AA198" s="75" t="n"/>
      <c r="AB198" s="75" t="n"/>
      <c r="AC198" s="6" t="n"/>
      <c r="AD198" s="75" t="n"/>
      <c r="AE198" s="75" t="n"/>
      <c r="AF198" s="75" t="n"/>
    </row>
    <row r="199" ht="15.75" customHeight="1" s="133">
      <c r="A199" s="75" t="n"/>
      <c r="B199" s="75" t="n"/>
      <c r="C199" s="75" t="n"/>
      <c r="D199" s="75" t="n"/>
      <c r="E199" s="76" t="n"/>
      <c r="F199" s="77" t="n"/>
      <c r="G199" s="75" t="n"/>
      <c r="H199" s="75">
        <f>IF(ISBLANK(E199),"",IF(OR(D199="Butterfly",D199="Butterfly ",D199="Iron Fly", D199="Iron Fly "),LEN(E199)-LEN(SUBSTITUTE(E199,"/",""))+2,LEN(E199)-LEN(SUBSTITUTE(E199,"/",""))+1))</f>
        <v/>
      </c>
      <c r="I199" s="78">
        <f>IF(ISBLANK(G199),"",IF(D199="Stock","0",Key!$A$3*H199*G199))</f>
        <v/>
      </c>
      <c r="J199" s="78">
        <f>IF(ISBLANK(E199),"",IF(ISNUMBER(SEARCH("/",E199)), IF(LEN(E199)-LEN(SUBSTITUTE(E199,"/",""))=1,(RIGHT(E199,LEN(E199)-FIND("/",E199)))-(LEFT(E199,FIND("/",E199)-1)),(MID(E199, SEARCH("/",E199) + 1, SEARCH("/",E199, SEARCH("/",E199)+1) - SEARCH("/",E199) - 1))-(LEFT(E199,FIND("/",E199)-1))), "NA"))</f>
        <v/>
      </c>
      <c r="K199" s="79">
        <f>IF(A199&lt;&gt;"", IF(ISBLANK(L199), TODAY(), K199), "")</f>
        <v/>
      </c>
      <c r="L199" s="78" t="n"/>
      <c r="M199" s="78">
        <f>IF(ISBLANK(L199),"",IF(D199="Stock",IF(C199="Buy",L199*G199,IF(C199="Sell",(L199*G199)-I199, X)),IF(C199="Buy",(L199*G199*100)+I199,IF(C199="Sell",(L199*G199*100)-I199, X))))</f>
        <v/>
      </c>
      <c r="N199" s="78">
        <f>IF(ISBLANK(L199),"",IF(AND(C199="Sell",D199="Stock"),M199,IF(ISBLANK(L199),"",IF(C199="Buy",M199, IF(AND(C199="Sell",J199="NA"),(E199*G199*100*0.1)+I199, IF(C199="Sell",(J199-L199)*(100*G199)+I199))))))</f>
        <v/>
      </c>
      <c r="O199" s="75" t="n"/>
      <c r="P199" s="75" t="n"/>
      <c r="Q199" s="75">
        <f>IF(ISBLANK(P199),"",IF(D199="Stock",P199*G199,IF(P199=0,"0",G199*P199*100-(G199*$AF$14))))</f>
        <v/>
      </c>
      <c r="R199" s="79">
        <f>IF(P199&lt;&gt;"", TODAY(), "")</f>
        <v/>
      </c>
      <c r="S199" s="78">
        <f>IF(AND(K199&lt;&gt;"", R199&lt;&gt;""), R199-K199, "")</f>
        <v/>
      </c>
      <c r="T199" s="78" t="n"/>
      <c r="U199" s="92">
        <f>IF(ISBLANK(P199),"",IF(C199="Buy",Q199-M199+T199, IF(C199="Sell",M199-Q199-T199, X)))</f>
        <v/>
      </c>
      <c r="V199" s="81">
        <f>IF(ISBLANK(P199),"",U199/N199)</f>
        <v/>
      </c>
      <c r="W199" s="81">
        <f>IF(ISBLANK(P199),"",IF(S199=0,(365/0.5)*V199,(365/S199)*V199))</f>
        <v/>
      </c>
      <c r="X199" s="75" t="n"/>
      <c r="Y199" s="77" t="n"/>
      <c r="Z199" s="77" t="n"/>
      <c r="AA199" s="75" t="n"/>
      <c r="AB199" s="75" t="n"/>
      <c r="AC199" s="6" t="n"/>
      <c r="AD199" s="75" t="n"/>
      <c r="AE199" s="75" t="n"/>
      <c r="AF199" s="75" t="n"/>
    </row>
    <row r="200" ht="15.75" customHeight="1" s="133">
      <c r="A200" s="75" t="n"/>
      <c r="B200" s="75" t="n"/>
      <c r="C200" s="75" t="n"/>
      <c r="D200" s="75" t="n"/>
      <c r="E200" s="76" t="n"/>
      <c r="F200" s="77" t="n"/>
      <c r="G200" s="75" t="n"/>
      <c r="H200" s="75">
        <f>IF(ISBLANK(E200),"",IF(OR(D200="Butterfly",D200="Butterfly ",D200="Iron Fly", D200="Iron Fly "),LEN(E200)-LEN(SUBSTITUTE(E200,"/",""))+2,LEN(E200)-LEN(SUBSTITUTE(E200,"/",""))+1))</f>
        <v/>
      </c>
      <c r="I200" s="78">
        <f>IF(ISBLANK(G200),"",IF(D200="Stock","0",Key!$A$3*H200*G200))</f>
        <v/>
      </c>
      <c r="J200" s="78">
        <f>IF(ISBLANK(E200),"",IF(ISNUMBER(SEARCH("/",E200)), IF(LEN(E200)-LEN(SUBSTITUTE(E200,"/",""))=1,(RIGHT(E200,LEN(E200)-FIND("/",E200)))-(LEFT(E200,FIND("/",E200)-1)),(MID(E200, SEARCH("/",E200) + 1, SEARCH("/",E200, SEARCH("/",E200)+1) - SEARCH("/",E200) - 1))-(LEFT(E200,FIND("/",E200)-1))), "NA"))</f>
        <v/>
      </c>
      <c r="K200" s="79">
        <f>IF(A200&lt;&gt;"", IF(ISBLANK(L200), TODAY(), K200), "")</f>
        <v/>
      </c>
      <c r="L200" s="78" t="n"/>
      <c r="M200" s="78">
        <f>IF(ISBLANK(L200),"",IF(D200="Stock",IF(C200="Buy",L200*G200,IF(C200="Sell",(L200*G200)-I200, X)),IF(C200="Buy",(L200*G200*100)+I200,IF(C200="Sell",(L200*G200*100)-I200, X))))</f>
        <v/>
      </c>
      <c r="N200" s="78">
        <f>IF(ISBLANK(L200),"",IF(AND(C200="Sell",D200="Stock"),M200,IF(ISBLANK(L200),"",IF(C200="Buy",M200, IF(AND(C200="Sell",J200="NA"),(E200*G200*100*0.1)+I200, IF(C200="Sell",(J200-L200)*(100*G200)+I200))))))</f>
        <v/>
      </c>
      <c r="O200" s="75" t="n"/>
      <c r="P200" s="75" t="n"/>
      <c r="Q200" s="75">
        <f>IF(ISBLANK(P200),"",IF(D200="Stock",P200*G200,IF(P200=0,"0",G200*P200*100-(G200*$AF$14))))</f>
        <v/>
      </c>
      <c r="R200" s="79">
        <f>IF(P200&lt;&gt;"", TODAY(), "")</f>
        <v/>
      </c>
      <c r="S200" s="78">
        <f>IF(AND(K200&lt;&gt;"", R200&lt;&gt;""), R200-K200, "")</f>
        <v/>
      </c>
      <c r="T200" s="78" t="n"/>
      <c r="U200" s="92">
        <f>IF(ISBLANK(P200),"",IF(C200="Buy",Q200-M200+T200, IF(C200="Sell",M200-Q200-T200, X)))</f>
        <v/>
      </c>
      <c r="V200" s="81">
        <f>IF(ISBLANK(P200),"",U200/N200)</f>
        <v/>
      </c>
      <c r="W200" s="81">
        <f>IF(ISBLANK(P200),"",IF(S200=0,(365/0.5)*V200,(365/S200)*V200))</f>
        <v/>
      </c>
      <c r="X200" s="75" t="n"/>
      <c r="Y200" s="77" t="n"/>
      <c r="Z200" s="77" t="n"/>
      <c r="AA200" s="75" t="n"/>
      <c r="AB200" s="75" t="n"/>
      <c r="AC200" s="6" t="n"/>
      <c r="AD200" s="75" t="n"/>
      <c r="AE200" s="75" t="n"/>
      <c r="AF200" s="75" t="n"/>
    </row>
    <row r="201" ht="15.75" customHeight="1" s="133">
      <c r="A201" s="75" t="n"/>
      <c r="B201" s="75" t="n"/>
      <c r="C201" s="75" t="n"/>
      <c r="D201" s="75" t="n"/>
      <c r="E201" s="76" t="n"/>
      <c r="F201" s="77" t="n"/>
      <c r="G201" s="75" t="n"/>
      <c r="H201" s="75">
        <f>IF(ISBLANK(E201),"",IF(OR(D201="Butterfly",D201="Butterfly ",D201="Iron Fly", D201="Iron Fly "),LEN(E201)-LEN(SUBSTITUTE(E201,"/",""))+2,LEN(E201)-LEN(SUBSTITUTE(E201,"/",""))+1))</f>
        <v/>
      </c>
      <c r="I201" s="78">
        <f>IF(ISBLANK(G201),"",IF(D201="Stock","0",Key!$A$3*H201*G201))</f>
        <v/>
      </c>
      <c r="J201" s="78">
        <f>IF(ISBLANK(E201),"",IF(ISNUMBER(SEARCH("/",E201)), IF(LEN(E201)-LEN(SUBSTITUTE(E201,"/",""))=1,(RIGHT(E201,LEN(E201)-FIND("/",E201)))-(LEFT(E201,FIND("/",E201)-1)),(MID(E201, SEARCH("/",E201) + 1, SEARCH("/",E201, SEARCH("/",E201)+1) - SEARCH("/",E201) - 1))-(LEFT(E201,FIND("/",E201)-1))), "NA"))</f>
        <v/>
      </c>
      <c r="K201" s="79">
        <f>IF(A201&lt;&gt;"", IF(ISBLANK(L201), TODAY(), K201), "")</f>
        <v/>
      </c>
      <c r="L201" s="78" t="n"/>
      <c r="M201" s="78">
        <f>IF(ISBLANK(L201),"",IF(D201="Stock",IF(C201="Buy",L201*G201,IF(C201="Sell",(L201*G201)-I201, X)),IF(C201="Buy",(L201*G201*100)+I201,IF(C201="Sell",(L201*G201*100)-I201, X))))</f>
        <v/>
      </c>
      <c r="N201" s="78">
        <f>IF(ISBLANK(L201),"",IF(AND(C201="Sell",D201="Stock"),M201,IF(ISBLANK(L201),"",IF(C201="Buy",M201, IF(AND(C201="Sell",J201="NA"),(E201*G201*100*0.1)+I201, IF(C201="Sell",(J201-L201)*(100*G201)+I201))))))</f>
        <v/>
      </c>
      <c r="O201" s="75" t="n"/>
      <c r="P201" s="75" t="n"/>
      <c r="Q201" s="75">
        <f>IF(ISBLANK(P201),"",IF(D201="Stock",P201*G201,IF(P201=0,"0",G201*P201*100-(G201*$AF$14))))</f>
        <v/>
      </c>
      <c r="R201" s="79">
        <f>IF(P201&lt;&gt;"", TODAY(), "")</f>
        <v/>
      </c>
      <c r="S201" s="78">
        <f>IF(AND(K201&lt;&gt;"", R201&lt;&gt;""), R201-K201, "")</f>
        <v/>
      </c>
      <c r="T201" s="78" t="n"/>
      <c r="U201" s="92">
        <f>IF(ISBLANK(P201),"",IF(C201="Buy",Q201-M201+T201, IF(C201="Sell",M201-Q201-T201, X)))</f>
        <v/>
      </c>
      <c r="V201" s="81">
        <f>IF(ISBLANK(P201),"",U201/N201)</f>
        <v/>
      </c>
      <c r="W201" s="81">
        <f>IF(ISBLANK(P201),"",IF(S201=0,(365/0.5)*V201,(365/S201)*V201))</f>
        <v/>
      </c>
      <c r="X201" s="75" t="n"/>
      <c r="Y201" s="77" t="n"/>
      <c r="Z201" s="77" t="n"/>
      <c r="AA201" s="75" t="n"/>
      <c r="AB201" s="75" t="n"/>
      <c r="AC201" s="6" t="n"/>
      <c r="AD201" s="75" t="n"/>
      <c r="AE201" s="75" t="n"/>
      <c r="AF201" s="75" t="n"/>
    </row>
    <row r="202" ht="15.75" customHeight="1" s="133">
      <c r="A202" s="75" t="n"/>
      <c r="B202" s="75" t="n"/>
      <c r="C202" s="75" t="n"/>
      <c r="D202" s="75" t="n"/>
      <c r="E202" s="76" t="n"/>
      <c r="F202" s="77" t="n"/>
      <c r="G202" s="75" t="n"/>
      <c r="H202" s="75">
        <f>IF(ISBLANK(E202),"",IF(OR(D202="Butterfly",D202="Butterfly ",D202="Iron Fly", D202="Iron Fly "),LEN(E202)-LEN(SUBSTITUTE(E202,"/",""))+2,LEN(E202)-LEN(SUBSTITUTE(E202,"/",""))+1))</f>
        <v/>
      </c>
      <c r="I202" s="78">
        <f>IF(ISBLANK(G202),"",IF(D202="Stock","0",Key!$A$3*H202*G202))</f>
        <v/>
      </c>
      <c r="J202" s="78">
        <f>IF(ISBLANK(E202),"",IF(ISNUMBER(SEARCH("/",E202)), IF(LEN(E202)-LEN(SUBSTITUTE(E202,"/",""))=1,(RIGHT(E202,LEN(E202)-FIND("/",E202)))-(LEFT(E202,FIND("/",E202)-1)),(MID(E202, SEARCH("/",E202) + 1, SEARCH("/",E202, SEARCH("/",E202)+1) - SEARCH("/",E202) - 1))-(LEFT(E202,FIND("/",E202)-1))), "NA"))</f>
        <v/>
      </c>
      <c r="K202" s="79">
        <f>IF(A202&lt;&gt;"", IF(ISBLANK(L202), TODAY(), K202), "")</f>
        <v/>
      </c>
      <c r="L202" s="78" t="n"/>
      <c r="M202" s="78">
        <f>IF(ISBLANK(L202),"",IF(D202="Stock",IF(C202="Buy",L202*G202,IF(C202="Sell",(L202*G202)-I202, X)),IF(C202="Buy",(L202*G202*100)+I202,IF(C202="Sell",(L202*G202*100)-I202, X))))</f>
        <v/>
      </c>
      <c r="N202" s="78">
        <f>IF(ISBLANK(L202),"",IF(AND(C202="Sell",D202="Stock"),M202,IF(ISBLANK(L202),"",IF(C202="Buy",M202, IF(AND(C202="Sell",J202="NA"),(E202*G202*100*0.1)+I202, IF(C202="Sell",(J202-L202)*(100*G202)+I202))))))</f>
        <v/>
      </c>
      <c r="O202" s="75" t="n"/>
      <c r="P202" s="75" t="n"/>
      <c r="Q202" s="75">
        <f>IF(ISBLANK(P202),"",IF(D202="Stock",P202*G202,IF(P202=0,"0",G202*P202*100-(G202*$AF$14))))</f>
        <v/>
      </c>
      <c r="R202" s="79">
        <f>IF(P202&lt;&gt;"", TODAY(), "")</f>
        <v/>
      </c>
      <c r="S202" s="78">
        <f>IF(AND(K202&lt;&gt;"", R202&lt;&gt;""), R202-K202, "")</f>
        <v/>
      </c>
      <c r="T202" s="78" t="n"/>
      <c r="U202" s="92">
        <f>IF(ISBLANK(P202),"",IF(C202="Buy",Q202-M202+T202, IF(C202="Sell",M202-Q202-T202, X)))</f>
        <v/>
      </c>
      <c r="V202" s="81">
        <f>IF(ISBLANK(P202),"",U202/N202)</f>
        <v/>
      </c>
      <c r="W202" s="81">
        <f>IF(ISBLANK(P202),"",IF(S202=0,(365/0.5)*V202,(365/S202)*V202))</f>
        <v/>
      </c>
      <c r="X202" s="75" t="n"/>
      <c r="Y202" s="77" t="n"/>
      <c r="Z202" s="77" t="n"/>
      <c r="AA202" s="75" t="n"/>
      <c r="AB202" s="75" t="n"/>
      <c r="AC202" s="6" t="n"/>
      <c r="AD202" s="75" t="n"/>
      <c r="AE202" s="75" t="n"/>
      <c r="AF202" s="75" t="n"/>
    </row>
    <row r="203" ht="15.75" customHeight="1" s="133">
      <c r="A203" s="75" t="n"/>
      <c r="B203" s="75" t="n"/>
      <c r="C203" s="75" t="n"/>
      <c r="D203" s="75" t="n"/>
      <c r="E203" s="76" t="n"/>
      <c r="F203" s="77" t="n"/>
      <c r="G203" s="75" t="n"/>
      <c r="H203" s="75">
        <f>IF(ISBLANK(E203),"",IF(OR(D203="Butterfly",D203="Butterfly ",D203="Iron Fly", D203="Iron Fly "),LEN(E203)-LEN(SUBSTITUTE(E203,"/",""))+2,LEN(E203)-LEN(SUBSTITUTE(E203,"/",""))+1))</f>
        <v/>
      </c>
      <c r="I203" s="78">
        <f>IF(ISBLANK(G203),"",IF(D203="Stock","0",Key!$A$3*H203*G203))</f>
        <v/>
      </c>
      <c r="J203" s="78">
        <f>IF(ISBLANK(E203),"",IF(ISNUMBER(SEARCH("/",E203)), IF(LEN(E203)-LEN(SUBSTITUTE(E203,"/",""))=1,(RIGHT(E203,LEN(E203)-FIND("/",E203)))-(LEFT(E203,FIND("/",E203)-1)),(MID(E203, SEARCH("/",E203) + 1, SEARCH("/",E203, SEARCH("/",E203)+1) - SEARCH("/",E203) - 1))-(LEFT(E203,FIND("/",E203)-1))), "NA"))</f>
        <v/>
      </c>
      <c r="K203" s="79">
        <f>IF(A203&lt;&gt;"", IF(ISBLANK(L203), TODAY(), K203), "")</f>
        <v/>
      </c>
      <c r="L203" s="78" t="n"/>
      <c r="M203" s="78">
        <f>IF(ISBLANK(L203),"",IF(D203="Stock",IF(C203="Buy",L203*G203,IF(C203="Sell",(L203*G203)-I203, X)),IF(C203="Buy",(L203*G203*100)+I203,IF(C203="Sell",(L203*G203*100)-I203, X))))</f>
        <v/>
      </c>
      <c r="N203" s="78">
        <f>IF(ISBLANK(L203),"",IF(AND(C203="Sell",D203="Stock"),M203,IF(ISBLANK(L203),"",IF(C203="Buy",M203, IF(AND(C203="Sell",J203="NA"),(E203*G203*100*0.1)+I203, IF(C203="Sell",(J203-L203)*(100*G203)+I203))))))</f>
        <v/>
      </c>
      <c r="O203" s="75" t="n"/>
      <c r="P203" s="75" t="n"/>
      <c r="Q203" s="75">
        <f>IF(ISBLANK(P203),"",IF(D203="Stock",P203*G203,IF(P203=0,"0",G203*P203*100-(G203*$AF$14))))</f>
        <v/>
      </c>
      <c r="R203" s="79">
        <f>IF(P203&lt;&gt;"", TODAY(), "")</f>
        <v/>
      </c>
      <c r="S203" s="78">
        <f>IF(AND(K203&lt;&gt;"", R203&lt;&gt;""), R203-K203, "")</f>
        <v/>
      </c>
      <c r="T203" s="78" t="n"/>
      <c r="U203" s="92">
        <f>IF(ISBLANK(P203),"",IF(C203="Buy",Q203-M203+T203, IF(C203="Sell",M203-Q203-T203, X)))</f>
        <v/>
      </c>
      <c r="V203" s="81">
        <f>IF(ISBLANK(P203),"",U203/N203)</f>
        <v/>
      </c>
      <c r="W203" s="81">
        <f>IF(ISBLANK(P203),"",IF(S203=0,(365/0.5)*V203,(365/S203)*V203))</f>
        <v/>
      </c>
      <c r="X203" s="75" t="n"/>
      <c r="Y203" s="77" t="n"/>
      <c r="Z203" s="77" t="n"/>
      <c r="AA203" s="75" t="n"/>
      <c r="AB203" s="75" t="n"/>
      <c r="AC203" s="6" t="n"/>
      <c r="AD203" s="75" t="n"/>
      <c r="AE203" s="75" t="n"/>
      <c r="AF203" s="75" t="n"/>
    </row>
    <row r="204" ht="15.75" customHeight="1" s="133">
      <c r="A204" s="75" t="n"/>
      <c r="B204" s="75" t="n"/>
      <c r="C204" s="75" t="n"/>
      <c r="D204" s="75" t="n"/>
      <c r="E204" s="76" t="n"/>
      <c r="F204" s="77" t="n"/>
      <c r="G204" s="75" t="n"/>
      <c r="H204" s="75">
        <f>IF(ISBLANK(E204),"",IF(OR(D204="Butterfly",D204="Butterfly ",D204="Iron Fly", D204="Iron Fly "),LEN(E204)-LEN(SUBSTITUTE(E204,"/",""))+2,LEN(E204)-LEN(SUBSTITUTE(E204,"/",""))+1))</f>
        <v/>
      </c>
      <c r="I204" s="78">
        <f>IF(ISBLANK(G204),"",IF(D204="Stock","0",Key!$A$3*H204*G204))</f>
        <v/>
      </c>
      <c r="J204" s="78">
        <f>IF(ISBLANK(E204),"",IF(ISNUMBER(SEARCH("/",E204)), IF(LEN(E204)-LEN(SUBSTITUTE(E204,"/",""))=1,(RIGHT(E204,LEN(E204)-FIND("/",E204)))-(LEFT(E204,FIND("/",E204)-1)),(MID(E204, SEARCH("/",E204) + 1, SEARCH("/",E204, SEARCH("/",E204)+1) - SEARCH("/",E204) - 1))-(LEFT(E204,FIND("/",E204)-1))), "NA"))</f>
        <v/>
      </c>
      <c r="K204" s="79">
        <f>IF(A204&lt;&gt;"", IF(ISBLANK(L204), TODAY(), K204), "")</f>
        <v/>
      </c>
      <c r="L204" s="78" t="n"/>
      <c r="M204" s="78">
        <f>IF(ISBLANK(L204),"",IF(D204="Stock",IF(C204="Buy",L204*G204,IF(C204="Sell",(L204*G204)-I204, X)),IF(C204="Buy",(L204*G204*100)+I204,IF(C204="Sell",(L204*G204*100)-I204, X))))</f>
        <v/>
      </c>
      <c r="N204" s="78">
        <f>IF(ISBLANK(L204),"",IF(AND(C204="Sell",D204="Stock"),M204,IF(ISBLANK(L204),"",IF(C204="Buy",M204, IF(AND(C204="Sell",J204="NA"),(E204*G204*100*0.1)+I204, IF(C204="Sell",(J204-L204)*(100*G204)+I204))))))</f>
        <v/>
      </c>
      <c r="O204" s="75" t="n"/>
      <c r="P204" s="75" t="n"/>
      <c r="Q204" s="75">
        <f>IF(ISBLANK(P204),"",IF(D204="Stock",P204*G204,IF(P204=0,"0",G204*P204*100-(G204*$AF$14))))</f>
        <v/>
      </c>
      <c r="R204" s="79">
        <f>IF(P204&lt;&gt;"", TODAY(), "")</f>
        <v/>
      </c>
      <c r="S204" s="78">
        <f>IF(AND(K204&lt;&gt;"", R204&lt;&gt;""), R204-K204, "")</f>
        <v/>
      </c>
      <c r="T204" s="78" t="n"/>
      <c r="U204" s="92">
        <f>IF(ISBLANK(P204),"",IF(C204="Buy",Q204-M204+T204, IF(C204="Sell",M204-Q204-T204, X)))</f>
        <v/>
      </c>
      <c r="V204" s="81">
        <f>IF(ISBLANK(P204),"",U204/N204)</f>
        <v/>
      </c>
      <c r="W204" s="81">
        <f>IF(ISBLANK(P204),"",IF(S204=0,(365/0.5)*V204,(365/S204)*V204))</f>
        <v/>
      </c>
      <c r="X204" s="75" t="n"/>
      <c r="Y204" s="77" t="n"/>
      <c r="Z204" s="77" t="n"/>
      <c r="AA204" s="75" t="n"/>
      <c r="AB204" s="75" t="n"/>
      <c r="AC204" s="6" t="n"/>
      <c r="AD204" s="75" t="n"/>
      <c r="AE204" s="75" t="n"/>
      <c r="AF204" s="75" t="n"/>
    </row>
    <row r="205" ht="15.75" customHeight="1" s="133">
      <c r="A205" s="75" t="n"/>
      <c r="B205" s="75" t="n"/>
      <c r="C205" s="75" t="n"/>
      <c r="D205" s="75" t="n"/>
      <c r="E205" s="76" t="n"/>
      <c r="F205" s="77" t="n"/>
      <c r="G205" s="75" t="n"/>
      <c r="H205" s="75">
        <f>IF(ISBLANK(E205),"",IF(OR(D205="Butterfly",D205="Butterfly ",D205="Iron Fly", D205="Iron Fly "),LEN(E205)-LEN(SUBSTITUTE(E205,"/",""))+2,LEN(E205)-LEN(SUBSTITUTE(E205,"/",""))+1))</f>
        <v/>
      </c>
      <c r="I205" s="78">
        <f>IF(ISBLANK(G205),"",IF(D205="Stock","0",Key!$A$3*H205*G205))</f>
        <v/>
      </c>
      <c r="J205" s="78">
        <f>IF(ISBLANK(E205),"",IF(ISNUMBER(SEARCH("/",E205)), IF(LEN(E205)-LEN(SUBSTITUTE(E205,"/",""))=1,(RIGHT(E205,LEN(E205)-FIND("/",E205)))-(LEFT(E205,FIND("/",E205)-1)),(MID(E205, SEARCH("/",E205) + 1, SEARCH("/",E205, SEARCH("/",E205)+1) - SEARCH("/",E205) - 1))-(LEFT(E205,FIND("/",E205)-1))), "NA"))</f>
        <v/>
      </c>
      <c r="K205" s="79">
        <f>IF(A205&lt;&gt;"", IF(ISBLANK(L205), TODAY(), K205), "")</f>
        <v/>
      </c>
      <c r="L205" s="78" t="n"/>
      <c r="M205" s="78">
        <f>IF(ISBLANK(L205),"",IF(D205="Stock",IF(C205="Buy",L205*G205,IF(C205="Sell",(L205*G205)-I205, X)),IF(C205="Buy",(L205*G205*100)+I205,IF(C205="Sell",(L205*G205*100)-I205, X))))</f>
        <v/>
      </c>
      <c r="N205" s="78">
        <f>IF(ISBLANK(L205),"",IF(AND(C205="Sell",D205="Stock"),M205,IF(ISBLANK(L205),"",IF(C205="Buy",M205, IF(AND(C205="Sell",J205="NA"),(E205*G205*100*0.1)+I205, IF(C205="Sell",(J205-L205)*(100*G205)+I205))))))</f>
        <v/>
      </c>
      <c r="O205" s="75" t="n"/>
      <c r="P205" s="75" t="n"/>
      <c r="Q205" s="75">
        <f>IF(ISBLANK(P205),"",IF(D205="Stock",P205*G205,IF(P205=0,"0",G205*P205*100-(G205*$AF$14))))</f>
        <v/>
      </c>
      <c r="R205" s="79">
        <f>IF(P205&lt;&gt;"", TODAY(), "")</f>
        <v/>
      </c>
      <c r="S205" s="78">
        <f>IF(AND(K205&lt;&gt;"", R205&lt;&gt;""), R205-K205, "")</f>
        <v/>
      </c>
      <c r="T205" s="78" t="n"/>
      <c r="U205" s="92">
        <f>IF(ISBLANK(P205),"",IF(C205="Buy",Q205-M205+T205, IF(C205="Sell",M205-Q205-T205, X)))</f>
        <v/>
      </c>
      <c r="V205" s="81">
        <f>IF(ISBLANK(P205),"",U205/N205)</f>
        <v/>
      </c>
      <c r="W205" s="81">
        <f>IF(ISBLANK(P205),"",IF(S205=0,(365/0.5)*V205,(365/S205)*V205))</f>
        <v/>
      </c>
      <c r="X205" s="75" t="n"/>
      <c r="Y205" s="77" t="n"/>
      <c r="Z205" s="77" t="n"/>
      <c r="AA205" s="75" t="n"/>
      <c r="AB205" s="75" t="n"/>
      <c r="AC205" s="6" t="n"/>
      <c r="AD205" s="75" t="n"/>
      <c r="AE205" s="75" t="n"/>
      <c r="AF205" s="75" t="n"/>
    </row>
    <row r="206" ht="15.75" customHeight="1" s="133">
      <c r="A206" s="75" t="n"/>
      <c r="B206" s="75" t="n"/>
      <c r="C206" s="75" t="n"/>
      <c r="D206" s="75" t="n"/>
      <c r="E206" s="76" t="n"/>
      <c r="F206" s="77" t="n"/>
      <c r="G206" s="75" t="n"/>
      <c r="H206" s="75">
        <f>IF(ISBLANK(E206),"",IF(OR(D206="Butterfly",D206="Butterfly ",D206="Iron Fly", D206="Iron Fly "),LEN(E206)-LEN(SUBSTITUTE(E206,"/",""))+2,LEN(E206)-LEN(SUBSTITUTE(E206,"/",""))+1))</f>
        <v/>
      </c>
      <c r="I206" s="78">
        <f>IF(ISBLANK(G206),"",IF(D206="Stock","0",Key!$A$3*H206*G206))</f>
        <v/>
      </c>
      <c r="J206" s="78">
        <f>IF(ISBLANK(E206),"",IF(ISNUMBER(SEARCH("/",E206)), IF(LEN(E206)-LEN(SUBSTITUTE(E206,"/",""))=1,(RIGHT(E206,LEN(E206)-FIND("/",E206)))-(LEFT(E206,FIND("/",E206)-1)),(MID(E206, SEARCH("/",E206) + 1, SEARCH("/",E206, SEARCH("/",E206)+1) - SEARCH("/",E206) - 1))-(LEFT(E206,FIND("/",E206)-1))), "NA"))</f>
        <v/>
      </c>
      <c r="K206" s="79">
        <f>IF(A206&lt;&gt;"", IF(ISBLANK(L206), TODAY(), K206), "")</f>
        <v/>
      </c>
      <c r="L206" s="78" t="n"/>
      <c r="M206" s="78">
        <f>IF(ISBLANK(L206),"",IF(D206="Stock",IF(C206="Buy",L206*G206,IF(C206="Sell",(L206*G206)-I206, X)),IF(C206="Buy",(L206*G206*100)+I206,IF(C206="Sell",(L206*G206*100)-I206, X))))</f>
        <v/>
      </c>
      <c r="N206" s="78">
        <f>IF(ISBLANK(L206),"",IF(AND(C206="Sell",D206="Stock"),M206,IF(ISBLANK(L206),"",IF(C206="Buy",M206, IF(AND(C206="Sell",J206="NA"),(E206*G206*100*0.1)+I206, IF(C206="Sell",(J206-L206)*(100*G206)+I206))))))</f>
        <v/>
      </c>
      <c r="O206" s="75" t="n"/>
      <c r="P206" s="75" t="n"/>
      <c r="Q206" s="75">
        <f>IF(ISBLANK(P206),"",IF(D206="Stock",P206*G206,IF(P206=0,"0",G206*P206*100-(G206*$AF$14))))</f>
        <v/>
      </c>
      <c r="R206" s="79">
        <f>IF(P206&lt;&gt;"", TODAY(), "")</f>
        <v/>
      </c>
      <c r="S206" s="78">
        <f>IF(AND(K206&lt;&gt;"", R206&lt;&gt;""), R206-K206, "")</f>
        <v/>
      </c>
      <c r="T206" s="78" t="n"/>
      <c r="U206" s="92">
        <f>IF(ISBLANK(P206),"",IF(C206="Buy",Q206-M206+T206, IF(C206="Sell",M206-Q206-T206, X)))</f>
        <v/>
      </c>
      <c r="V206" s="81">
        <f>IF(ISBLANK(P206),"",U206/N206)</f>
        <v/>
      </c>
      <c r="W206" s="81">
        <f>IF(ISBLANK(P206),"",IF(S206=0,(365/0.5)*V206,(365/S206)*V206))</f>
        <v/>
      </c>
      <c r="X206" s="75" t="n"/>
      <c r="Y206" s="77" t="n"/>
      <c r="Z206" s="77" t="n"/>
      <c r="AA206" s="75" t="n"/>
      <c r="AB206" s="75" t="n"/>
      <c r="AC206" s="6" t="n"/>
      <c r="AD206" s="75" t="n"/>
      <c r="AE206" s="75" t="n"/>
      <c r="AF206" s="75" t="n"/>
    </row>
    <row r="207" ht="15.75" customHeight="1" s="133">
      <c r="A207" s="75" t="n"/>
      <c r="B207" s="75" t="n"/>
      <c r="C207" s="75" t="n"/>
      <c r="D207" s="75" t="n"/>
      <c r="E207" s="76" t="n"/>
      <c r="F207" s="77" t="n"/>
      <c r="G207" s="75" t="n"/>
      <c r="H207" s="75">
        <f>IF(ISBLANK(E207),"",IF(OR(D207="Butterfly",D207="Butterfly ",D207="Iron Fly", D207="Iron Fly "),LEN(E207)-LEN(SUBSTITUTE(E207,"/",""))+2,LEN(E207)-LEN(SUBSTITUTE(E207,"/",""))+1))</f>
        <v/>
      </c>
      <c r="I207" s="78">
        <f>IF(ISBLANK(G207),"",IF(D207="Stock","0",Key!$A$3*H207*G207))</f>
        <v/>
      </c>
      <c r="J207" s="78">
        <f>IF(ISBLANK(E207),"",IF(ISNUMBER(SEARCH("/",E207)), IF(LEN(E207)-LEN(SUBSTITUTE(E207,"/",""))=1,(RIGHT(E207,LEN(E207)-FIND("/",E207)))-(LEFT(E207,FIND("/",E207)-1)),(MID(E207, SEARCH("/",E207) + 1, SEARCH("/",E207, SEARCH("/",E207)+1) - SEARCH("/",E207) - 1))-(LEFT(E207,FIND("/",E207)-1))), "NA"))</f>
        <v/>
      </c>
      <c r="K207" s="79">
        <f>IF(A207&lt;&gt;"", IF(ISBLANK(L207), TODAY(), K207), "")</f>
        <v/>
      </c>
      <c r="L207" s="78" t="n"/>
      <c r="M207" s="78">
        <f>IF(ISBLANK(L207),"",IF(D207="Stock",IF(C207="Buy",L207*G207,IF(C207="Sell",(L207*G207)-I207, X)),IF(C207="Buy",(L207*G207*100)+I207,IF(C207="Sell",(L207*G207*100)-I207, X))))</f>
        <v/>
      </c>
      <c r="N207" s="78">
        <f>IF(ISBLANK(L207),"",IF(AND(C207="Sell",D207="Stock"),M207,IF(ISBLANK(L207),"",IF(C207="Buy",M207, IF(AND(C207="Sell",J207="NA"),(E207*G207*100*0.1)+I207, IF(C207="Sell",(J207-L207)*(100*G207)+I207))))))</f>
        <v/>
      </c>
      <c r="O207" s="75" t="n"/>
      <c r="P207" s="75" t="n"/>
      <c r="Q207" s="75">
        <f>IF(ISBLANK(P207),"",IF(D207="Stock",P207*G207,IF(P207=0,"0",G207*P207*100-(G207*$AF$14))))</f>
        <v/>
      </c>
      <c r="R207" s="79">
        <f>IF(P207&lt;&gt;"", TODAY(), "")</f>
        <v/>
      </c>
      <c r="S207" s="78">
        <f>IF(AND(K207&lt;&gt;"", R207&lt;&gt;""), R207-K207, "")</f>
        <v/>
      </c>
      <c r="T207" s="78" t="n"/>
      <c r="U207" s="92">
        <f>IF(ISBLANK(P207),"",IF(C207="Buy",Q207-M207+T207, IF(C207="Sell",M207-Q207-T207, X)))</f>
        <v/>
      </c>
      <c r="V207" s="81">
        <f>IF(ISBLANK(P207),"",U207/N207)</f>
        <v/>
      </c>
      <c r="W207" s="81">
        <f>IF(ISBLANK(P207),"",IF(S207=0,(365/0.5)*V207,(365/S207)*V207))</f>
        <v/>
      </c>
      <c r="X207" s="75" t="n"/>
      <c r="Y207" s="77" t="n"/>
      <c r="Z207" s="77" t="n"/>
      <c r="AA207" s="75" t="n"/>
      <c r="AB207" s="75" t="n"/>
      <c r="AC207" s="6" t="n"/>
      <c r="AD207" s="75" t="n"/>
      <c r="AE207" s="75" t="n"/>
      <c r="AF207" s="75" t="n"/>
    </row>
    <row r="208" ht="15.75" customHeight="1" s="133">
      <c r="A208" s="75" t="n"/>
      <c r="B208" s="75" t="n"/>
      <c r="C208" s="75" t="n"/>
      <c r="D208" s="75" t="n"/>
      <c r="E208" s="76" t="n"/>
      <c r="F208" s="77" t="n"/>
      <c r="G208" s="75" t="n"/>
      <c r="H208" s="75">
        <f>IF(ISBLANK(E208),"",IF(OR(D208="Butterfly",D208="Butterfly ",D208="Iron Fly", D208="Iron Fly "),LEN(E208)-LEN(SUBSTITUTE(E208,"/",""))+2,LEN(E208)-LEN(SUBSTITUTE(E208,"/",""))+1))</f>
        <v/>
      </c>
      <c r="I208" s="78">
        <f>IF(ISBLANK(G208),"",IF(D208="Stock","0",Key!$A$3*H208*G208))</f>
        <v/>
      </c>
      <c r="J208" s="78">
        <f>IF(ISBLANK(E208),"",IF(ISNUMBER(SEARCH("/",E208)), IF(LEN(E208)-LEN(SUBSTITUTE(E208,"/",""))=1,(RIGHT(E208,LEN(E208)-FIND("/",E208)))-(LEFT(E208,FIND("/",E208)-1)),(MID(E208, SEARCH("/",E208) + 1, SEARCH("/",E208, SEARCH("/",E208)+1) - SEARCH("/",E208) - 1))-(LEFT(E208,FIND("/",E208)-1))), "NA"))</f>
        <v/>
      </c>
      <c r="K208" s="79">
        <f>IF(A208&lt;&gt;"", IF(ISBLANK(L208), TODAY(), K208), "")</f>
        <v/>
      </c>
      <c r="L208" s="78" t="n"/>
      <c r="M208" s="78">
        <f>IF(ISBLANK(L208),"",IF(D208="Stock",IF(C208="Buy",L208*G208,IF(C208="Sell",(L208*G208)-I208, X)),IF(C208="Buy",(L208*G208*100)+I208,IF(C208="Sell",(L208*G208*100)-I208, X))))</f>
        <v/>
      </c>
      <c r="N208" s="78">
        <f>IF(ISBLANK(L208),"",IF(AND(C208="Sell",D208="Stock"),M208,IF(ISBLANK(L208),"",IF(C208="Buy",M208, IF(AND(C208="Sell",J208="NA"),(E208*G208*100*0.1)+I208, IF(C208="Sell",(J208-L208)*(100*G208)+I208))))))</f>
        <v/>
      </c>
      <c r="O208" s="75" t="n"/>
      <c r="P208" s="75" t="n"/>
      <c r="Q208" s="75">
        <f>IF(ISBLANK(P208),"",IF(D208="Stock",P208*G208,IF(P208=0,"0",G208*P208*100-(G208*$AF$14))))</f>
        <v/>
      </c>
      <c r="R208" s="79">
        <f>IF(P208&lt;&gt;"", TODAY(), "")</f>
        <v/>
      </c>
      <c r="S208" s="78">
        <f>IF(AND(K208&lt;&gt;"", R208&lt;&gt;""), R208-K208, "")</f>
        <v/>
      </c>
      <c r="T208" s="78" t="n"/>
      <c r="U208" s="92">
        <f>IF(ISBLANK(P208),"",IF(C208="Buy",Q208-M208+T208, IF(C208="Sell",M208-Q208-T208, X)))</f>
        <v/>
      </c>
      <c r="V208" s="81">
        <f>IF(ISBLANK(P208),"",U208/N208)</f>
        <v/>
      </c>
      <c r="W208" s="81">
        <f>IF(ISBLANK(P208),"",IF(S208=0,(365/0.5)*V208,(365/S208)*V208))</f>
        <v/>
      </c>
      <c r="X208" s="75" t="n"/>
      <c r="Y208" s="77" t="n"/>
      <c r="Z208" s="77" t="n"/>
      <c r="AA208" s="75" t="n"/>
      <c r="AB208" s="75" t="n"/>
      <c r="AC208" s="6" t="n"/>
      <c r="AD208" s="75" t="n"/>
      <c r="AE208" s="75" t="n"/>
      <c r="AF208" s="75" t="n"/>
    </row>
    <row r="209" ht="15.75" customHeight="1" s="133">
      <c r="A209" s="75" t="n"/>
      <c r="B209" s="75" t="n"/>
      <c r="C209" s="75" t="n"/>
      <c r="D209" s="75" t="n"/>
      <c r="E209" s="76" t="n"/>
      <c r="F209" s="77" t="n"/>
      <c r="G209" s="75" t="n"/>
      <c r="H209" s="75">
        <f>IF(ISBLANK(E209),"",IF(OR(D209="Butterfly",D209="Butterfly ",D209="Iron Fly", D209="Iron Fly "),LEN(E209)-LEN(SUBSTITUTE(E209,"/",""))+2,LEN(E209)-LEN(SUBSTITUTE(E209,"/",""))+1))</f>
        <v/>
      </c>
      <c r="I209" s="78">
        <f>IF(ISBLANK(G209),"",IF(D209="Stock","0",Key!$A$3*H209*G209))</f>
        <v/>
      </c>
      <c r="J209" s="78">
        <f>IF(ISBLANK(E209),"",IF(ISNUMBER(SEARCH("/",E209)), IF(LEN(E209)-LEN(SUBSTITUTE(E209,"/",""))=1,(RIGHT(E209,LEN(E209)-FIND("/",E209)))-(LEFT(E209,FIND("/",E209)-1)),(MID(E209, SEARCH("/",E209) + 1, SEARCH("/",E209, SEARCH("/",E209)+1) - SEARCH("/",E209) - 1))-(LEFT(E209,FIND("/",E209)-1))), "NA"))</f>
        <v/>
      </c>
      <c r="K209" s="79">
        <f>IF(A209&lt;&gt;"", IF(ISBLANK(L209), TODAY(), K209), "")</f>
        <v/>
      </c>
      <c r="L209" s="78" t="n"/>
      <c r="M209" s="78">
        <f>IF(ISBLANK(L209),"",IF(D209="Stock",IF(C209="Buy",L209*G209,IF(C209="Sell",(L209*G209)-I209, X)),IF(C209="Buy",(L209*G209*100)+I209,IF(C209="Sell",(L209*G209*100)-I209, X))))</f>
        <v/>
      </c>
      <c r="N209" s="78">
        <f>IF(ISBLANK(L209),"",IF(AND(C209="Sell",D209="Stock"),M209,IF(ISBLANK(L209),"",IF(C209="Buy",M209, IF(AND(C209="Sell",J209="NA"),(E209*G209*100*0.1)+I209, IF(C209="Sell",(J209-L209)*(100*G209)+I209))))))</f>
        <v/>
      </c>
      <c r="O209" s="75" t="n"/>
      <c r="P209" s="75" t="n"/>
      <c r="Q209" s="75">
        <f>IF(ISBLANK(P209),"",IF(D209="Stock",P209*G209,IF(P209=0,"0",G209*P209*100-(G209*$AF$14))))</f>
        <v/>
      </c>
      <c r="R209" s="79">
        <f>IF(P209&lt;&gt;"", TODAY(), "")</f>
        <v/>
      </c>
      <c r="S209" s="78">
        <f>IF(AND(K209&lt;&gt;"", R209&lt;&gt;""), R209-K209, "")</f>
        <v/>
      </c>
      <c r="T209" s="78" t="n"/>
      <c r="U209" s="92">
        <f>IF(ISBLANK(P209),"",IF(C209="Buy",Q209-M209+T209, IF(C209="Sell",M209-Q209-T209, X)))</f>
        <v/>
      </c>
      <c r="V209" s="81">
        <f>IF(ISBLANK(P209),"",U209/N209)</f>
        <v/>
      </c>
      <c r="W209" s="81">
        <f>IF(ISBLANK(P209),"",IF(S209=0,(365/0.5)*V209,(365/S209)*V209))</f>
        <v/>
      </c>
      <c r="X209" s="75" t="n"/>
      <c r="Y209" s="77" t="n"/>
      <c r="Z209" s="77" t="n"/>
      <c r="AA209" s="75" t="n"/>
      <c r="AB209" s="75" t="n"/>
      <c r="AC209" s="6" t="n"/>
      <c r="AD209" s="75" t="n"/>
      <c r="AE209" s="75" t="n"/>
      <c r="AF209" s="75" t="n"/>
    </row>
    <row r="210" ht="15.75" customHeight="1" s="133">
      <c r="A210" s="75" t="n"/>
      <c r="B210" s="75" t="n"/>
      <c r="C210" s="75" t="n"/>
      <c r="D210" s="75" t="n"/>
      <c r="E210" s="76" t="n"/>
      <c r="F210" s="77" t="n"/>
      <c r="G210" s="75" t="n"/>
      <c r="H210" s="75">
        <f>IF(ISBLANK(E210),"",IF(OR(D210="Butterfly",D210="Butterfly ",D210="Iron Fly", D210="Iron Fly "),LEN(E210)-LEN(SUBSTITUTE(E210,"/",""))+2,LEN(E210)-LEN(SUBSTITUTE(E210,"/",""))+1))</f>
        <v/>
      </c>
      <c r="I210" s="78">
        <f>IF(ISBLANK(G210),"",IF(D210="Stock","0",Key!$A$3*H210*G210))</f>
        <v/>
      </c>
      <c r="J210" s="78">
        <f>IF(ISBLANK(E210),"",IF(ISNUMBER(SEARCH("/",E210)), IF(LEN(E210)-LEN(SUBSTITUTE(E210,"/",""))=1,(RIGHT(E210,LEN(E210)-FIND("/",E210)))-(LEFT(E210,FIND("/",E210)-1)),(MID(E210, SEARCH("/",E210) + 1, SEARCH("/",E210, SEARCH("/",E210)+1) - SEARCH("/",E210) - 1))-(LEFT(E210,FIND("/",E210)-1))), "NA"))</f>
        <v/>
      </c>
      <c r="K210" s="79">
        <f>IF(A210&lt;&gt;"", IF(ISBLANK(L210), TODAY(), K210), "")</f>
        <v/>
      </c>
      <c r="L210" s="78" t="n"/>
      <c r="M210" s="78">
        <f>IF(ISBLANK(L210),"",IF(D210="Stock",IF(C210="Buy",L210*G210,IF(C210="Sell",(L210*G210)-I210, X)),IF(C210="Buy",(L210*G210*100)+I210,IF(C210="Sell",(L210*G210*100)-I210, X))))</f>
        <v/>
      </c>
      <c r="N210" s="78">
        <f>IF(ISBLANK(L210),"",IF(AND(C210="Sell",D210="Stock"),M210,IF(ISBLANK(L210),"",IF(C210="Buy",M210, IF(AND(C210="Sell",J210="NA"),(E210*G210*100*0.1)+I210, IF(C210="Sell",(J210-L210)*(100*G210)+I210))))))</f>
        <v/>
      </c>
      <c r="O210" s="75" t="n"/>
      <c r="P210" s="75" t="n"/>
      <c r="Q210" s="75">
        <f>IF(ISBLANK(P210),"",IF(D210="Stock",P210*G210,IF(P210=0,"0",G210*P210*100-(G210*$AF$14))))</f>
        <v/>
      </c>
      <c r="R210" s="79">
        <f>IF(P210&lt;&gt;"", TODAY(), "")</f>
        <v/>
      </c>
      <c r="S210" s="78">
        <f>IF(AND(K210&lt;&gt;"", R210&lt;&gt;""), R210-K210, "")</f>
        <v/>
      </c>
      <c r="T210" s="78" t="n"/>
      <c r="U210" s="92">
        <f>IF(ISBLANK(P210),"",IF(C210="Buy",Q210-M210+T210, IF(C210="Sell",M210-Q210-T210, X)))</f>
        <v/>
      </c>
      <c r="V210" s="81">
        <f>IF(ISBLANK(P210),"",U210/N210)</f>
        <v/>
      </c>
      <c r="W210" s="81">
        <f>IF(ISBLANK(P210),"",IF(S210=0,(365/0.5)*V210,(365/S210)*V210))</f>
        <v/>
      </c>
      <c r="X210" s="75" t="n"/>
      <c r="Y210" s="77" t="n"/>
      <c r="Z210" s="77" t="n"/>
      <c r="AA210" s="75" t="n"/>
      <c r="AB210" s="75" t="n"/>
      <c r="AC210" s="6" t="n"/>
      <c r="AD210" s="75" t="n"/>
      <c r="AE210" s="75" t="n"/>
      <c r="AF210" s="75" t="n"/>
    </row>
    <row r="211" ht="15.75" customHeight="1" s="133">
      <c r="A211" s="75" t="n"/>
      <c r="B211" s="75" t="n"/>
      <c r="C211" s="75" t="n"/>
      <c r="D211" s="75" t="n"/>
      <c r="E211" s="76" t="n"/>
      <c r="F211" s="77" t="n"/>
      <c r="G211" s="75" t="n"/>
      <c r="H211" s="75">
        <f>IF(ISBLANK(E211),"",IF(OR(D211="Butterfly",D211="Butterfly ",D211="Iron Fly", D211="Iron Fly "),LEN(E211)-LEN(SUBSTITUTE(E211,"/",""))+2,LEN(E211)-LEN(SUBSTITUTE(E211,"/",""))+1))</f>
        <v/>
      </c>
      <c r="I211" s="78">
        <f>IF(ISBLANK(G211),"",IF(D211="Stock","0",Key!$A$3*H211*G211))</f>
        <v/>
      </c>
      <c r="J211" s="78">
        <f>IF(ISBLANK(E211),"",IF(ISNUMBER(SEARCH("/",E211)), IF(LEN(E211)-LEN(SUBSTITUTE(E211,"/",""))=1,(RIGHT(E211,LEN(E211)-FIND("/",E211)))-(LEFT(E211,FIND("/",E211)-1)),(MID(E211, SEARCH("/",E211) + 1, SEARCH("/",E211, SEARCH("/",E211)+1) - SEARCH("/",E211) - 1))-(LEFT(E211,FIND("/",E211)-1))), "NA"))</f>
        <v/>
      </c>
      <c r="K211" s="79">
        <f>IF(A211&lt;&gt;"", IF(ISBLANK(L211), TODAY(), K211), "")</f>
        <v/>
      </c>
      <c r="L211" s="78" t="n"/>
      <c r="M211" s="78">
        <f>IF(ISBLANK(L211),"",IF(D211="Stock",IF(C211="Buy",L211*G211,IF(C211="Sell",(L211*G211)-I211, X)),IF(C211="Buy",(L211*G211*100)+I211,IF(C211="Sell",(L211*G211*100)-I211, X))))</f>
        <v/>
      </c>
      <c r="N211" s="78">
        <f>IF(ISBLANK(L211),"",IF(AND(C211="Sell",D211="Stock"),M211,IF(ISBLANK(L211),"",IF(C211="Buy",M211, IF(AND(C211="Sell",J211="NA"),(E211*G211*100*0.1)+I211, IF(C211="Sell",(J211-L211)*(100*G211)+I211))))))</f>
        <v/>
      </c>
      <c r="O211" s="75" t="n"/>
      <c r="P211" s="75" t="n"/>
      <c r="Q211" s="75">
        <f>IF(ISBLANK(P211),"",IF(D211="Stock",P211*G211,IF(P211=0,"0",G211*P211*100-(G211*$AF$14))))</f>
        <v/>
      </c>
      <c r="R211" s="79">
        <f>IF(P211&lt;&gt;"", TODAY(), "")</f>
        <v/>
      </c>
      <c r="S211" s="78">
        <f>IF(AND(K211&lt;&gt;"", R211&lt;&gt;""), R211-K211, "")</f>
        <v/>
      </c>
      <c r="T211" s="78" t="n"/>
      <c r="U211" s="92">
        <f>IF(ISBLANK(P211),"",IF(C211="Buy",Q211-M211+T211, IF(C211="Sell",M211-Q211-T211, X)))</f>
        <v/>
      </c>
      <c r="V211" s="81">
        <f>IF(ISBLANK(P211),"",U211/N211)</f>
        <v/>
      </c>
      <c r="W211" s="81">
        <f>IF(ISBLANK(P211),"",IF(S211=0,(365/0.5)*V211,(365/S211)*V211))</f>
        <v/>
      </c>
      <c r="X211" s="75" t="n"/>
      <c r="Y211" s="77" t="n"/>
      <c r="Z211" s="77" t="n"/>
      <c r="AA211" s="75" t="n"/>
      <c r="AB211" s="75" t="n"/>
      <c r="AC211" s="6" t="n"/>
      <c r="AD211" s="75" t="n"/>
      <c r="AE211" s="75" t="n"/>
      <c r="AF211" s="75" t="n"/>
    </row>
    <row r="212" ht="15.75" customHeight="1" s="133">
      <c r="A212" s="75" t="n"/>
      <c r="B212" s="75" t="n"/>
      <c r="C212" s="75" t="n"/>
      <c r="D212" s="75" t="n"/>
      <c r="E212" s="76" t="n"/>
      <c r="F212" s="77" t="n"/>
      <c r="G212" s="75" t="n"/>
      <c r="H212" s="75">
        <f>IF(ISBLANK(E212),"",IF(OR(D212="Butterfly",D212="Butterfly ",D212="Iron Fly", D212="Iron Fly "),LEN(E212)-LEN(SUBSTITUTE(E212,"/",""))+2,LEN(E212)-LEN(SUBSTITUTE(E212,"/",""))+1))</f>
        <v/>
      </c>
      <c r="I212" s="78">
        <f>IF(ISBLANK(G212),"",IF(D212="Stock","0",Key!$A$3*H212*G212))</f>
        <v/>
      </c>
      <c r="J212" s="78">
        <f>IF(ISBLANK(E212),"",IF(ISNUMBER(SEARCH("/",E212)), IF(LEN(E212)-LEN(SUBSTITUTE(E212,"/",""))=1,(RIGHT(E212,LEN(E212)-FIND("/",E212)))-(LEFT(E212,FIND("/",E212)-1)),(MID(E212, SEARCH("/",E212) + 1, SEARCH("/",E212, SEARCH("/",E212)+1) - SEARCH("/",E212) - 1))-(LEFT(E212,FIND("/",E212)-1))), "NA"))</f>
        <v/>
      </c>
      <c r="K212" s="79">
        <f>IF(A212&lt;&gt;"", IF(ISBLANK(L212), TODAY(), K212), "")</f>
        <v/>
      </c>
      <c r="L212" s="78" t="n"/>
      <c r="M212" s="78">
        <f>IF(ISBLANK(L212),"",IF(D212="Stock",IF(C212="Buy",L212*G212,IF(C212="Sell",(L212*G212)-I212, X)),IF(C212="Buy",(L212*G212*100)+I212,IF(C212="Sell",(L212*G212*100)-I212, X))))</f>
        <v/>
      </c>
      <c r="N212" s="78">
        <f>IF(ISBLANK(L212),"",IF(AND(C212="Sell",D212="Stock"),M212,IF(ISBLANK(L212),"",IF(C212="Buy",M212, IF(AND(C212="Sell",J212="NA"),(E212*G212*100*0.1)+I212, IF(C212="Sell",(J212-L212)*(100*G212)+I212))))))</f>
        <v/>
      </c>
      <c r="O212" s="75" t="n"/>
      <c r="P212" s="75" t="n"/>
      <c r="Q212" s="75">
        <f>IF(ISBLANK(P212),"",IF(D212="Stock",P212*G212,IF(P212=0,"0",G212*P212*100-(G212*$AF$14))))</f>
        <v/>
      </c>
      <c r="R212" s="79">
        <f>IF(P212&lt;&gt;"", TODAY(), "")</f>
        <v/>
      </c>
      <c r="S212" s="78">
        <f>IF(AND(K212&lt;&gt;"", R212&lt;&gt;""), R212-K212, "")</f>
        <v/>
      </c>
      <c r="T212" s="78" t="n"/>
      <c r="U212" s="92">
        <f>IF(ISBLANK(P212),"",IF(C212="Buy",Q212-M212+T212, IF(C212="Sell",M212-Q212-T212, X)))</f>
        <v/>
      </c>
      <c r="V212" s="81">
        <f>IF(ISBLANK(P212),"",U212/N212)</f>
        <v/>
      </c>
      <c r="W212" s="81">
        <f>IF(ISBLANK(P212),"",IF(S212=0,(365/0.5)*V212,(365/S212)*V212))</f>
        <v/>
      </c>
      <c r="X212" s="75" t="n"/>
      <c r="Y212" s="77" t="n"/>
      <c r="Z212" s="77" t="n"/>
      <c r="AA212" s="75" t="n"/>
      <c r="AB212" s="75" t="n"/>
      <c r="AC212" s="6" t="n"/>
      <c r="AD212" s="75" t="n"/>
      <c r="AE212" s="75" t="n"/>
      <c r="AF212" s="75" t="n"/>
    </row>
    <row r="213" ht="15.75" customHeight="1" s="133">
      <c r="A213" s="75" t="n"/>
      <c r="B213" s="75" t="n"/>
      <c r="C213" s="75" t="n"/>
      <c r="D213" s="75" t="n"/>
      <c r="E213" s="76" t="n"/>
      <c r="F213" s="77" t="n"/>
      <c r="G213" s="75" t="n"/>
      <c r="H213" s="75">
        <f>IF(ISBLANK(E213),"",IF(OR(D213="Butterfly",D213="Butterfly ",D213="Iron Fly", D213="Iron Fly "),LEN(E213)-LEN(SUBSTITUTE(E213,"/",""))+2,LEN(E213)-LEN(SUBSTITUTE(E213,"/",""))+1))</f>
        <v/>
      </c>
      <c r="I213" s="78">
        <f>IF(ISBLANK(G213),"",IF(D213="Stock","0",Key!$A$3*H213*G213))</f>
        <v/>
      </c>
      <c r="J213" s="78">
        <f>IF(ISBLANK(E213),"",IF(ISNUMBER(SEARCH("/",E213)), IF(LEN(E213)-LEN(SUBSTITUTE(E213,"/",""))=1,(RIGHT(E213,LEN(E213)-FIND("/",E213)))-(LEFT(E213,FIND("/",E213)-1)),(MID(E213, SEARCH("/",E213) + 1, SEARCH("/",E213, SEARCH("/",E213)+1) - SEARCH("/",E213) - 1))-(LEFT(E213,FIND("/",E213)-1))), "NA"))</f>
        <v/>
      </c>
      <c r="K213" s="79">
        <f>IF(A213&lt;&gt;"", IF(ISBLANK(L213), TODAY(), K213), "")</f>
        <v/>
      </c>
      <c r="L213" s="78" t="n"/>
      <c r="M213" s="78">
        <f>IF(ISBLANK(L213),"",IF(D213="Stock",IF(C213="Buy",L213*G213,IF(C213="Sell",(L213*G213)-I213, X)),IF(C213="Buy",(L213*G213*100)+I213,IF(C213="Sell",(L213*G213*100)-I213, X))))</f>
        <v/>
      </c>
      <c r="N213" s="78">
        <f>IF(ISBLANK(L213),"",IF(AND(C213="Sell",D213="Stock"),M213,IF(ISBLANK(L213),"",IF(C213="Buy",M213, IF(AND(C213="Sell",J213="NA"),(E213*G213*100*0.1)+I213, IF(C213="Sell",(J213-L213)*(100*G213)+I213))))))</f>
        <v/>
      </c>
      <c r="O213" s="75" t="n"/>
      <c r="P213" s="75" t="n"/>
      <c r="Q213" s="75">
        <f>IF(ISBLANK(P213),"",IF(D213="Stock",P213*G213,IF(P213=0,"0",G213*P213*100-(G213*$AF$14))))</f>
        <v/>
      </c>
      <c r="R213" s="79">
        <f>IF(P213&lt;&gt;"", TODAY(), "")</f>
        <v/>
      </c>
      <c r="S213" s="78">
        <f>IF(AND(K213&lt;&gt;"", R213&lt;&gt;""), R213-K213, "")</f>
        <v/>
      </c>
      <c r="T213" s="78" t="n"/>
      <c r="U213" s="92">
        <f>IF(ISBLANK(P213),"",IF(C213="Buy",Q213-M213+T213, IF(C213="Sell",M213-Q213-T213, X)))</f>
        <v/>
      </c>
      <c r="V213" s="81">
        <f>IF(ISBLANK(P213),"",U213/N213)</f>
        <v/>
      </c>
      <c r="W213" s="81">
        <f>IF(ISBLANK(P213),"",IF(S213=0,(365/0.5)*V213,(365/S213)*V213))</f>
        <v/>
      </c>
      <c r="X213" s="75" t="n"/>
      <c r="Y213" s="77" t="n"/>
      <c r="Z213" s="77" t="n"/>
      <c r="AA213" s="75" t="n"/>
      <c r="AB213" s="75" t="n"/>
      <c r="AC213" s="6" t="n"/>
      <c r="AD213" s="75" t="n"/>
      <c r="AE213" s="75" t="n"/>
      <c r="AF213" s="75" t="n"/>
    </row>
    <row r="214" ht="15.75" customHeight="1" s="133">
      <c r="A214" s="75" t="n"/>
      <c r="B214" s="75" t="n"/>
      <c r="C214" s="75" t="n"/>
      <c r="D214" s="75" t="n"/>
      <c r="E214" s="76" t="n"/>
      <c r="F214" s="77" t="n"/>
      <c r="G214" s="75" t="n"/>
      <c r="H214" s="75">
        <f>IF(ISBLANK(E214),"",IF(OR(D214="Butterfly",D214="Butterfly ",D214="Iron Fly", D214="Iron Fly "),LEN(E214)-LEN(SUBSTITUTE(E214,"/",""))+2,LEN(E214)-LEN(SUBSTITUTE(E214,"/",""))+1))</f>
        <v/>
      </c>
      <c r="I214" s="78">
        <f>IF(ISBLANK(G214),"",IF(D214="Stock","0",Key!$A$3*H214*G214))</f>
        <v/>
      </c>
      <c r="J214" s="78">
        <f>IF(ISBLANK(E214),"",IF(ISNUMBER(SEARCH("/",E214)), IF(LEN(E214)-LEN(SUBSTITUTE(E214,"/",""))=1,(RIGHT(E214,LEN(E214)-FIND("/",E214)))-(LEFT(E214,FIND("/",E214)-1)),(MID(E214, SEARCH("/",E214) + 1, SEARCH("/",E214, SEARCH("/",E214)+1) - SEARCH("/",E214) - 1))-(LEFT(E214,FIND("/",E214)-1))), "NA"))</f>
        <v/>
      </c>
      <c r="K214" s="79">
        <f>IF(A214&lt;&gt;"", IF(ISBLANK(L214), TODAY(), K214), "")</f>
        <v/>
      </c>
      <c r="L214" s="78" t="n"/>
      <c r="M214" s="78">
        <f>IF(ISBLANK(L214),"",IF(D214="Stock",IF(C214="Buy",L214*G214,IF(C214="Sell",(L214*G214)-I214, X)),IF(C214="Buy",(L214*G214*100)+I214,IF(C214="Sell",(L214*G214*100)-I214, X))))</f>
        <v/>
      </c>
      <c r="N214" s="78">
        <f>IF(ISBLANK(L214),"",IF(AND(C214="Sell",D214="Stock"),M214,IF(ISBLANK(L214),"",IF(C214="Buy",M214, IF(AND(C214="Sell",J214="NA"),(E214*G214*100*0.1)+I214, IF(C214="Sell",(J214-L214)*(100*G214)+I214))))))</f>
        <v/>
      </c>
      <c r="O214" s="75" t="n"/>
      <c r="P214" s="75" t="n"/>
      <c r="Q214" s="75">
        <f>IF(ISBLANK(P214),"",IF(D214="Stock",P214*G214,IF(P214=0,"0",G214*P214*100-(G214*$AF$14))))</f>
        <v/>
      </c>
      <c r="R214" s="79">
        <f>IF(P214&lt;&gt;"", TODAY(), "")</f>
        <v/>
      </c>
      <c r="S214" s="78">
        <f>IF(AND(K214&lt;&gt;"", R214&lt;&gt;""), R214-K214, "")</f>
        <v/>
      </c>
      <c r="T214" s="78" t="n"/>
      <c r="U214" s="92">
        <f>IF(ISBLANK(P214),"",IF(C214="Buy",Q214-M214+T214, IF(C214="Sell",M214-Q214-T214, X)))</f>
        <v/>
      </c>
      <c r="V214" s="81">
        <f>IF(ISBLANK(P214),"",U214/N214)</f>
        <v/>
      </c>
      <c r="W214" s="81">
        <f>IF(ISBLANK(P214),"",IF(S214=0,(365/0.5)*V214,(365/S214)*V214))</f>
        <v/>
      </c>
      <c r="X214" s="75" t="n"/>
      <c r="Y214" s="77" t="n"/>
      <c r="Z214" s="77" t="n"/>
      <c r="AA214" s="75" t="n"/>
      <c r="AB214" s="75" t="n"/>
      <c r="AC214" s="6" t="n"/>
      <c r="AD214" s="75" t="n"/>
      <c r="AE214" s="75" t="n"/>
      <c r="AF214" s="75" t="n"/>
    </row>
    <row r="215" ht="15.75" customHeight="1" s="133">
      <c r="A215" s="75" t="n"/>
      <c r="B215" s="75" t="n"/>
      <c r="C215" s="75" t="n"/>
      <c r="D215" s="75" t="n"/>
      <c r="E215" s="76" t="n"/>
      <c r="F215" s="77" t="n"/>
      <c r="G215" s="75" t="n"/>
      <c r="H215" s="75">
        <f>IF(ISBLANK(E215),"",IF(OR(D215="Butterfly",D215="Butterfly ",D215="Iron Fly", D215="Iron Fly "),LEN(E215)-LEN(SUBSTITUTE(E215,"/",""))+2,LEN(E215)-LEN(SUBSTITUTE(E215,"/",""))+1))</f>
        <v/>
      </c>
      <c r="I215" s="78">
        <f>IF(ISBLANK(G215),"",IF(D215="Stock","0",Key!$A$3*H215*G215))</f>
        <v/>
      </c>
      <c r="J215" s="78">
        <f>IF(ISBLANK(E215),"",IF(ISNUMBER(SEARCH("/",E215)), IF(LEN(E215)-LEN(SUBSTITUTE(E215,"/",""))=1,(RIGHT(E215,LEN(E215)-FIND("/",E215)))-(LEFT(E215,FIND("/",E215)-1)),(MID(E215, SEARCH("/",E215) + 1, SEARCH("/",E215, SEARCH("/",E215)+1) - SEARCH("/",E215) - 1))-(LEFT(E215,FIND("/",E215)-1))), "NA"))</f>
        <v/>
      </c>
      <c r="K215" s="79">
        <f>IF(A215&lt;&gt;"", IF(ISBLANK(L215), TODAY(), K215), "")</f>
        <v/>
      </c>
      <c r="L215" s="78" t="n"/>
      <c r="M215" s="78">
        <f>IF(ISBLANK(L215),"",IF(D215="Stock",IF(C215="Buy",L215*G215,IF(C215="Sell",(L215*G215)-I215, X)),IF(C215="Buy",(L215*G215*100)+I215,IF(C215="Sell",(L215*G215*100)-I215, X))))</f>
        <v/>
      </c>
      <c r="N215" s="78">
        <f>IF(ISBLANK(L215),"",IF(AND(C215="Sell",D215="Stock"),M215,IF(ISBLANK(L215),"",IF(C215="Buy",M215, IF(AND(C215="Sell",J215="NA"),(E215*G215*100*0.1)+I215, IF(C215="Sell",(J215-L215)*(100*G215)+I215))))))</f>
        <v/>
      </c>
      <c r="O215" s="75" t="n"/>
      <c r="P215" s="75" t="n"/>
      <c r="Q215" s="75">
        <f>IF(ISBLANK(P215),"",IF(D215="Stock",P215*G215,IF(P215=0,"0",G215*P215*100-(G215*$AF$14))))</f>
        <v/>
      </c>
      <c r="R215" s="79">
        <f>IF(P215&lt;&gt;"", TODAY(), "")</f>
        <v/>
      </c>
      <c r="S215" s="78">
        <f>IF(AND(K215&lt;&gt;"", R215&lt;&gt;""), R215-K215, "")</f>
        <v/>
      </c>
      <c r="T215" s="78" t="n"/>
      <c r="U215" s="92">
        <f>IF(ISBLANK(P215),"",IF(C215="Buy",Q215-M215+T215, IF(C215="Sell",M215-Q215-T215, X)))</f>
        <v/>
      </c>
      <c r="V215" s="81">
        <f>IF(ISBLANK(P215),"",U215/N215)</f>
        <v/>
      </c>
      <c r="W215" s="81">
        <f>IF(ISBLANK(P215),"",IF(S215=0,(365/0.5)*V215,(365/S215)*V215))</f>
        <v/>
      </c>
      <c r="X215" s="75" t="n"/>
      <c r="Y215" s="77" t="n"/>
      <c r="Z215" s="77" t="n"/>
      <c r="AA215" s="75" t="n"/>
      <c r="AB215" s="75" t="n"/>
      <c r="AC215" s="6" t="n"/>
      <c r="AD215" s="75" t="n"/>
      <c r="AE215" s="75" t="n"/>
      <c r="AF215" s="75" t="n"/>
    </row>
    <row r="216" ht="15.75" customHeight="1" s="133">
      <c r="A216" s="75" t="n"/>
      <c r="B216" s="75" t="n"/>
      <c r="C216" s="75" t="n"/>
      <c r="D216" s="75" t="n"/>
      <c r="E216" s="76" t="n"/>
      <c r="F216" s="77" t="n"/>
      <c r="G216" s="75" t="n"/>
      <c r="H216" s="75">
        <f>IF(ISBLANK(E216),"",IF(OR(D216="Butterfly",D216="Butterfly ",D216="Iron Fly", D216="Iron Fly "),LEN(E216)-LEN(SUBSTITUTE(E216,"/",""))+2,LEN(E216)-LEN(SUBSTITUTE(E216,"/",""))+1))</f>
        <v/>
      </c>
      <c r="I216" s="78">
        <f>IF(ISBLANK(G216),"",IF(D216="Stock","0",Key!$A$3*H216*G216))</f>
        <v/>
      </c>
      <c r="J216" s="78">
        <f>IF(ISBLANK(E216),"",IF(ISNUMBER(SEARCH("/",E216)), IF(LEN(E216)-LEN(SUBSTITUTE(E216,"/",""))=1,(RIGHT(E216,LEN(E216)-FIND("/",E216)))-(LEFT(E216,FIND("/",E216)-1)),(MID(E216, SEARCH("/",E216) + 1, SEARCH("/",E216, SEARCH("/",E216)+1) - SEARCH("/",E216) - 1))-(LEFT(E216,FIND("/",E216)-1))), "NA"))</f>
        <v/>
      </c>
      <c r="K216" s="79">
        <f>IF(A216&lt;&gt;"", IF(ISBLANK(L216), TODAY(), K216), "")</f>
        <v/>
      </c>
      <c r="L216" s="78" t="n"/>
      <c r="M216" s="78">
        <f>IF(ISBLANK(L216),"",IF(D216="Stock",IF(C216="Buy",L216*G216,IF(C216="Sell",(L216*G216)-I216, X)),IF(C216="Buy",(L216*G216*100)+I216,IF(C216="Sell",(L216*G216*100)-I216, X))))</f>
        <v/>
      </c>
      <c r="N216" s="78">
        <f>IF(ISBLANK(L216),"",IF(AND(C216="Sell",D216="Stock"),M216,IF(ISBLANK(L216),"",IF(C216="Buy",M216, IF(AND(C216="Sell",J216="NA"),(E216*G216*100*0.1)+I216, IF(C216="Sell",(J216-L216)*(100*G216)+I216))))))</f>
        <v/>
      </c>
      <c r="O216" s="75" t="n"/>
      <c r="P216" s="75" t="n"/>
      <c r="Q216" s="75">
        <f>IF(ISBLANK(P216),"",IF(D216="Stock",P216*G216,IF(P216=0,"0",G216*P216*100-(G216*$AF$14))))</f>
        <v/>
      </c>
      <c r="R216" s="79">
        <f>IF(P216&lt;&gt;"", TODAY(), "")</f>
        <v/>
      </c>
      <c r="S216" s="78">
        <f>IF(AND(K216&lt;&gt;"", R216&lt;&gt;""), R216-K216, "")</f>
        <v/>
      </c>
      <c r="T216" s="78" t="n"/>
      <c r="U216" s="92">
        <f>IF(ISBLANK(P216),"",IF(C216="Buy",Q216-M216+T216, IF(C216="Sell",M216-Q216-T216, X)))</f>
        <v/>
      </c>
      <c r="V216" s="81">
        <f>IF(ISBLANK(P216),"",U216/N216)</f>
        <v/>
      </c>
      <c r="W216" s="81">
        <f>IF(ISBLANK(P216),"",IF(S216=0,(365/0.5)*V216,(365/S216)*V216))</f>
        <v/>
      </c>
      <c r="X216" s="75" t="n"/>
      <c r="Y216" s="77" t="n"/>
      <c r="Z216" s="77" t="n"/>
      <c r="AA216" s="75" t="n"/>
      <c r="AB216" s="75" t="n"/>
      <c r="AC216" s="6" t="n"/>
      <c r="AD216" s="75" t="n"/>
      <c r="AE216" s="75" t="n"/>
      <c r="AF216" s="75" t="n"/>
    </row>
    <row r="217" ht="15.75" customHeight="1" s="133">
      <c r="A217" s="75" t="n"/>
      <c r="B217" s="75" t="n"/>
      <c r="C217" s="75" t="n"/>
      <c r="D217" s="75" t="n"/>
      <c r="E217" s="76" t="n"/>
      <c r="F217" s="77" t="n"/>
      <c r="G217" s="75" t="n"/>
      <c r="H217" s="75">
        <f>IF(ISBLANK(E217),"",IF(OR(D217="Butterfly",D217="Butterfly ",D217="Iron Fly", D217="Iron Fly "),LEN(E217)-LEN(SUBSTITUTE(E217,"/",""))+2,LEN(E217)-LEN(SUBSTITUTE(E217,"/",""))+1))</f>
        <v/>
      </c>
      <c r="I217" s="78">
        <f>IF(ISBLANK(G217),"",IF(D217="Stock","0",Key!$A$3*H217*G217))</f>
        <v/>
      </c>
      <c r="J217" s="78">
        <f>IF(ISBLANK(E217),"",IF(ISNUMBER(SEARCH("/",E217)), IF(LEN(E217)-LEN(SUBSTITUTE(E217,"/",""))=1,(RIGHT(E217,LEN(E217)-FIND("/",E217)))-(LEFT(E217,FIND("/",E217)-1)),(MID(E217, SEARCH("/",E217) + 1, SEARCH("/",E217, SEARCH("/",E217)+1) - SEARCH("/",E217) - 1))-(LEFT(E217,FIND("/",E217)-1))), "NA"))</f>
        <v/>
      </c>
      <c r="K217" s="79">
        <f>IF(A217&lt;&gt;"", IF(ISBLANK(L217), TODAY(), K217), "")</f>
        <v/>
      </c>
      <c r="L217" s="78" t="n"/>
      <c r="M217" s="78">
        <f>IF(ISBLANK(L217),"",IF(D217="Stock",IF(C217="Buy",L217*G217,IF(C217="Sell",(L217*G217)-I217, X)),IF(C217="Buy",(L217*G217*100)+I217,IF(C217="Sell",(L217*G217*100)-I217, X))))</f>
        <v/>
      </c>
      <c r="N217" s="78">
        <f>IF(ISBLANK(L217),"",IF(AND(C217="Sell",D217="Stock"),M217,IF(ISBLANK(L217),"",IF(C217="Buy",M217, IF(AND(C217="Sell",J217="NA"),(E217*G217*100*0.1)+I217, IF(C217="Sell",(J217-L217)*(100*G217)+I217))))))</f>
        <v/>
      </c>
      <c r="O217" s="75" t="n"/>
      <c r="P217" s="75" t="n"/>
      <c r="Q217" s="75">
        <f>IF(ISBLANK(P217),"",IF(D217="Stock",P217*G217,IF(P217=0,"0",G217*P217*100-(G217*$AF$14))))</f>
        <v/>
      </c>
      <c r="R217" s="79">
        <f>IF(P217&lt;&gt;"", TODAY(), "")</f>
        <v/>
      </c>
      <c r="S217" s="78">
        <f>IF(AND(K217&lt;&gt;"", R217&lt;&gt;""), R217-K217, "")</f>
        <v/>
      </c>
      <c r="T217" s="78" t="n"/>
      <c r="U217" s="92">
        <f>IF(ISBLANK(P217),"",IF(C217="Buy",Q217-M217+T217, IF(C217="Sell",M217-Q217-T217, X)))</f>
        <v/>
      </c>
      <c r="V217" s="81">
        <f>IF(ISBLANK(P217),"",U217/N217)</f>
        <v/>
      </c>
      <c r="W217" s="81">
        <f>IF(ISBLANK(P217),"",IF(S217=0,(365/0.5)*V217,(365/S217)*V217))</f>
        <v/>
      </c>
      <c r="X217" s="75" t="n"/>
      <c r="Y217" s="77" t="n"/>
      <c r="Z217" s="77" t="n"/>
      <c r="AA217" s="75" t="n"/>
      <c r="AB217" s="75" t="n"/>
      <c r="AC217" s="6" t="n"/>
      <c r="AD217" s="75" t="n"/>
      <c r="AE217" s="75" t="n"/>
      <c r="AF217" s="75" t="n"/>
    </row>
    <row r="218" ht="15.75" customHeight="1" s="133">
      <c r="A218" s="75" t="n"/>
      <c r="B218" s="75" t="n"/>
      <c r="C218" s="75" t="n"/>
      <c r="D218" s="75" t="n"/>
      <c r="E218" s="76" t="n"/>
      <c r="F218" s="77" t="n"/>
      <c r="G218" s="75" t="n"/>
      <c r="H218" s="75">
        <f>IF(ISBLANK(E218),"",IF(OR(D218="Butterfly",D218="Butterfly ",D218="Iron Fly", D218="Iron Fly "),LEN(E218)-LEN(SUBSTITUTE(E218,"/",""))+2,LEN(E218)-LEN(SUBSTITUTE(E218,"/",""))+1))</f>
        <v/>
      </c>
      <c r="I218" s="78">
        <f>IF(ISBLANK(G218),"",IF(D218="Stock","0",Key!$A$3*H218*G218))</f>
        <v/>
      </c>
      <c r="J218" s="78">
        <f>IF(ISBLANK(E218),"",IF(ISNUMBER(SEARCH("/",E218)), IF(LEN(E218)-LEN(SUBSTITUTE(E218,"/",""))=1,(RIGHT(E218,LEN(E218)-FIND("/",E218)))-(LEFT(E218,FIND("/",E218)-1)),(MID(E218, SEARCH("/",E218) + 1, SEARCH("/",E218, SEARCH("/",E218)+1) - SEARCH("/",E218) - 1))-(LEFT(E218,FIND("/",E218)-1))), "NA"))</f>
        <v/>
      </c>
      <c r="K218" s="79">
        <f>IF(A218&lt;&gt;"", IF(ISBLANK(L218), TODAY(), K218), "")</f>
        <v/>
      </c>
      <c r="L218" s="78" t="n"/>
      <c r="M218" s="78">
        <f>IF(ISBLANK(L218),"",IF(D218="Stock",IF(C218="Buy",L218*G218,IF(C218="Sell",(L218*G218)-I218, X)),IF(C218="Buy",(L218*G218*100)+I218,IF(C218="Sell",(L218*G218*100)-I218, X))))</f>
        <v/>
      </c>
      <c r="N218" s="78">
        <f>IF(ISBLANK(L218),"",IF(AND(C218="Sell",D218="Stock"),M218,IF(ISBLANK(L218),"",IF(C218="Buy",M218, IF(AND(C218="Sell",J218="NA"),(E218*G218*100*0.1)+I218, IF(C218="Sell",(J218-L218)*(100*G218)+I218))))))</f>
        <v/>
      </c>
      <c r="O218" s="75" t="n"/>
      <c r="P218" s="75" t="n"/>
      <c r="Q218" s="75">
        <f>IF(ISBLANK(P218),"",IF(D218="Stock",P218*G218,IF(P218=0,"0",G218*P218*100-(G218*$AF$14))))</f>
        <v/>
      </c>
      <c r="R218" s="79">
        <f>IF(P218&lt;&gt;"", TODAY(), "")</f>
        <v/>
      </c>
      <c r="S218" s="78">
        <f>IF(AND(K218&lt;&gt;"", R218&lt;&gt;""), R218-K218, "")</f>
        <v/>
      </c>
      <c r="T218" s="78" t="n"/>
      <c r="U218" s="92">
        <f>IF(ISBLANK(P218),"",IF(C218="Buy",Q218-M218+T218, IF(C218="Sell",M218-Q218-T218, X)))</f>
        <v/>
      </c>
      <c r="V218" s="81">
        <f>IF(ISBLANK(P218),"",U218/N218)</f>
        <v/>
      </c>
      <c r="W218" s="81">
        <f>IF(ISBLANK(P218),"",IF(S218=0,(365/0.5)*V218,(365/S218)*V218))</f>
        <v/>
      </c>
      <c r="X218" s="75" t="n"/>
      <c r="Y218" s="77" t="n"/>
      <c r="Z218" s="77" t="n"/>
      <c r="AA218" s="75" t="n"/>
      <c r="AB218" s="75" t="n"/>
      <c r="AC218" s="6" t="n"/>
      <c r="AD218" s="75" t="n"/>
      <c r="AE218" s="75" t="n"/>
      <c r="AF218" s="75" t="n"/>
    </row>
    <row r="219" ht="15.75" customHeight="1" s="133">
      <c r="A219" s="75" t="n"/>
      <c r="B219" s="75" t="n"/>
      <c r="C219" s="75" t="n"/>
      <c r="D219" s="75" t="n"/>
      <c r="E219" s="76" t="n"/>
      <c r="F219" s="77" t="n"/>
      <c r="G219" s="75" t="n"/>
      <c r="H219" s="75">
        <f>IF(ISBLANK(E219),"",IF(OR(D219="Butterfly",D219="Butterfly ",D219="Iron Fly", D219="Iron Fly "),LEN(E219)-LEN(SUBSTITUTE(E219,"/",""))+2,LEN(E219)-LEN(SUBSTITUTE(E219,"/",""))+1))</f>
        <v/>
      </c>
      <c r="I219" s="78">
        <f>IF(ISBLANK(G219),"",IF(D219="Stock","0",Key!$A$3*H219*G219))</f>
        <v/>
      </c>
      <c r="J219" s="78">
        <f>IF(ISBLANK(E219),"",IF(ISNUMBER(SEARCH("/",E219)), IF(LEN(E219)-LEN(SUBSTITUTE(E219,"/",""))=1,(RIGHT(E219,LEN(E219)-FIND("/",E219)))-(LEFT(E219,FIND("/",E219)-1)),(MID(E219, SEARCH("/",E219) + 1, SEARCH("/",E219, SEARCH("/",E219)+1) - SEARCH("/",E219) - 1))-(LEFT(E219,FIND("/",E219)-1))), "NA"))</f>
        <v/>
      </c>
      <c r="K219" s="79">
        <f>IF(A219&lt;&gt;"", IF(ISBLANK(L219), TODAY(), K219), "")</f>
        <v/>
      </c>
      <c r="L219" s="78" t="n"/>
      <c r="M219" s="78">
        <f>IF(ISBLANK(L219),"",IF(D219="Stock",IF(C219="Buy",L219*G219,IF(C219="Sell",(L219*G219)-I219, X)),IF(C219="Buy",(L219*G219*100)+I219,IF(C219="Sell",(L219*G219*100)-I219, X))))</f>
        <v/>
      </c>
      <c r="N219" s="78">
        <f>IF(ISBLANK(L219),"",IF(AND(C219="Sell",D219="Stock"),M219,IF(ISBLANK(L219),"",IF(C219="Buy",M219, IF(AND(C219="Sell",J219="NA"),(E219*G219*100*0.1)+I219, IF(C219="Sell",(J219-L219)*(100*G219)+I219))))))</f>
        <v/>
      </c>
      <c r="O219" s="75" t="n"/>
      <c r="P219" s="75" t="n"/>
      <c r="Q219" s="75">
        <f>IF(ISBLANK(P219),"",IF(D219="Stock",P219*G219,IF(P219=0,"0",G219*P219*100-(G219*$AF$14))))</f>
        <v/>
      </c>
      <c r="R219" s="79">
        <f>IF(P219&lt;&gt;"", TODAY(), "")</f>
        <v/>
      </c>
      <c r="S219" s="78">
        <f>IF(AND(K219&lt;&gt;"", R219&lt;&gt;""), R219-K219, "")</f>
        <v/>
      </c>
      <c r="T219" s="78" t="n"/>
      <c r="U219" s="92">
        <f>IF(ISBLANK(P219),"",IF(C219="Buy",Q219-M219+T219, IF(C219="Sell",M219-Q219-T219, X)))</f>
        <v/>
      </c>
      <c r="V219" s="81">
        <f>IF(ISBLANK(P219),"",U219/N219)</f>
        <v/>
      </c>
      <c r="W219" s="81">
        <f>IF(ISBLANK(P219),"",IF(S219=0,(365/0.5)*V219,(365/S219)*V219))</f>
        <v/>
      </c>
      <c r="X219" s="75" t="n"/>
      <c r="Y219" s="77" t="n"/>
      <c r="Z219" s="77" t="n"/>
      <c r="AA219" s="75" t="n"/>
      <c r="AB219" s="75" t="n"/>
      <c r="AC219" s="6" t="n"/>
      <c r="AD219" s="75" t="n"/>
      <c r="AE219" s="75" t="n"/>
      <c r="AF219" s="75" t="n"/>
    </row>
    <row r="220" ht="15.75" customHeight="1" s="133">
      <c r="A220" s="75" t="n"/>
      <c r="B220" s="75" t="n"/>
      <c r="C220" s="75" t="n"/>
      <c r="D220" s="75" t="n"/>
      <c r="E220" s="76" t="n"/>
      <c r="F220" s="77" t="n"/>
      <c r="G220" s="75" t="n"/>
      <c r="H220" s="75">
        <f>IF(ISBLANK(E220),"",IF(OR(D220="Butterfly",D220="Butterfly ",D220="Iron Fly", D220="Iron Fly "),LEN(E220)-LEN(SUBSTITUTE(E220,"/",""))+2,LEN(E220)-LEN(SUBSTITUTE(E220,"/",""))+1))</f>
        <v/>
      </c>
      <c r="I220" s="78">
        <f>IF(ISBLANK(G220),"",IF(D220="Stock","0",Key!$A$3*H220*G220))</f>
        <v/>
      </c>
      <c r="J220" s="78">
        <f>IF(ISBLANK(E220),"",IF(ISNUMBER(SEARCH("/",E220)), IF(LEN(E220)-LEN(SUBSTITUTE(E220,"/",""))=1,(RIGHT(E220,LEN(E220)-FIND("/",E220)))-(LEFT(E220,FIND("/",E220)-1)),(MID(E220, SEARCH("/",E220) + 1, SEARCH("/",E220, SEARCH("/",E220)+1) - SEARCH("/",E220) - 1))-(LEFT(E220,FIND("/",E220)-1))), "NA"))</f>
        <v/>
      </c>
      <c r="K220" s="79">
        <f>IF(A220&lt;&gt;"", IF(ISBLANK(L220), TODAY(), K220), "")</f>
        <v/>
      </c>
      <c r="L220" s="78" t="n"/>
      <c r="M220" s="78">
        <f>IF(ISBLANK(L220),"",IF(D220="Stock",IF(C220="Buy",L220*G220,IF(C220="Sell",(L220*G220)-I220, X)),IF(C220="Buy",(L220*G220*100)+I220,IF(C220="Sell",(L220*G220*100)-I220, X))))</f>
        <v/>
      </c>
      <c r="N220" s="78">
        <f>IF(ISBLANK(L220),"",IF(AND(C220="Sell",D220="Stock"),M220,IF(ISBLANK(L220),"",IF(C220="Buy",M220, IF(AND(C220="Sell",J220="NA"),(E220*G220*100*0.1)+I220, IF(C220="Sell",(J220-L220)*(100*G220)+I220))))))</f>
        <v/>
      </c>
      <c r="O220" s="75" t="n"/>
      <c r="P220" s="75" t="n"/>
      <c r="Q220" s="75">
        <f>IF(ISBLANK(P220),"",IF(D220="Stock",P220*G220,IF(P220=0,"0",G220*P220*100-(G220*$AF$14))))</f>
        <v/>
      </c>
      <c r="R220" s="79">
        <f>IF(P220&lt;&gt;"", TODAY(), "")</f>
        <v/>
      </c>
      <c r="S220" s="78">
        <f>IF(AND(K220&lt;&gt;"", R220&lt;&gt;""), R220-K220, "")</f>
        <v/>
      </c>
      <c r="T220" s="78" t="n"/>
      <c r="U220" s="92">
        <f>IF(ISBLANK(P220),"",IF(C220="Buy",Q220-M220+T220, IF(C220="Sell",M220-Q220-T220, X)))</f>
        <v/>
      </c>
      <c r="V220" s="81">
        <f>IF(ISBLANK(P220),"",U220/N220)</f>
        <v/>
      </c>
      <c r="W220" s="81">
        <f>IF(ISBLANK(P220),"",IF(S220=0,(365/0.5)*V220,(365/S220)*V220))</f>
        <v/>
      </c>
      <c r="X220" s="75" t="n"/>
      <c r="Y220" s="77" t="n"/>
      <c r="Z220" s="77" t="n"/>
      <c r="AA220" s="75" t="n"/>
      <c r="AB220" s="75" t="n"/>
      <c r="AC220" s="6" t="n"/>
      <c r="AD220" s="75" t="n"/>
      <c r="AE220" s="75" t="n"/>
      <c r="AF220" s="75" t="n"/>
    </row>
    <row r="221" ht="15.75" customHeight="1" s="133">
      <c r="A221" s="75" t="n"/>
      <c r="B221" s="75" t="n"/>
      <c r="C221" s="75" t="n"/>
      <c r="D221" s="75" t="n"/>
      <c r="E221" s="76" t="n"/>
      <c r="F221" s="77" t="n"/>
      <c r="G221" s="75" t="n"/>
      <c r="H221" s="75">
        <f>IF(ISBLANK(E221),"",IF(OR(D221="Butterfly",D221="Butterfly ",D221="Iron Fly", D221="Iron Fly "),LEN(E221)-LEN(SUBSTITUTE(E221,"/",""))+2,LEN(E221)-LEN(SUBSTITUTE(E221,"/",""))+1))</f>
        <v/>
      </c>
      <c r="I221" s="78">
        <f>IF(ISBLANK(G221),"",IF(D221="Stock","0",Key!$A$3*H221*G221))</f>
        <v/>
      </c>
      <c r="J221" s="78">
        <f>IF(ISBLANK(E221),"",IF(ISNUMBER(SEARCH("/",E221)), IF(LEN(E221)-LEN(SUBSTITUTE(E221,"/",""))=1,(RIGHT(E221,LEN(E221)-FIND("/",E221)))-(LEFT(E221,FIND("/",E221)-1)),(MID(E221, SEARCH("/",E221) + 1, SEARCH("/",E221, SEARCH("/",E221)+1) - SEARCH("/",E221) - 1))-(LEFT(E221,FIND("/",E221)-1))), "NA"))</f>
        <v/>
      </c>
      <c r="K221" s="79">
        <f>IF(A221&lt;&gt;"", IF(ISBLANK(L221), TODAY(), K221), "")</f>
        <v/>
      </c>
      <c r="L221" s="78" t="n"/>
      <c r="M221" s="78">
        <f>IF(ISBLANK(L221),"",IF(D221="Stock",IF(C221="Buy",L221*G221,IF(C221="Sell",(L221*G221)-I221, X)),IF(C221="Buy",(L221*G221*100)+I221,IF(C221="Sell",(L221*G221*100)-I221, X))))</f>
        <v/>
      </c>
      <c r="N221" s="78">
        <f>IF(ISBLANK(L221),"",IF(AND(C221="Sell",D221="Stock"),M221,IF(ISBLANK(L221),"",IF(C221="Buy",M221, IF(AND(C221="Sell",J221="NA"),(E221*G221*100*0.1)+I221, IF(C221="Sell",(J221-L221)*(100*G221)+I221))))))</f>
        <v/>
      </c>
      <c r="O221" s="75" t="n"/>
      <c r="P221" s="75" t="n"/>
      <c r="Q221" s="75">
        <f>IF(ISBLANK(P221),"",IF(D221="Stock",P221*G221,IF(P221=0,"0",G221*P221*100-(G221*$AF$14))))</f>
        <v/>
      </c>
      <c r="R221" s="79">
        <f>IF(P221&lt;&gt;"", TODAY(), "")</f>
        <v/>
      </c>
      <c r="S221" s="78">
        <f>IF(AND(K221&lt;&gt;"", R221&lt;&gt;""), R221-K221, "")</f>
        <v/>
      </c>
      <c r="T221" s="78" t="n"/>
      <c r="U221" s="92">
        <f>IF(ISBLANK(P221),"",IF(C221="Buy",Q221-M221+T221, IF(C221="Sell",M221-Q221-T221, X)))</f>
        <v/>
      </c>
      <c r="V221" s="81">
        <f>IF(ISBLANK(P221),"",U221/N221)</f>
        <v/>
      </c>
      <c r="W221" s="81">
        <f>IF(ISBLANK(P221),"",IF(S221=0,(365/0.5)*V221,(365/S221)*V221))</f>
        <v/>
      </c>
      <c r="X221" s="75" t="n"/>
      <c r="Y221" s="77" t="n"/>
      <c r="Z221" s="77" t="n"/>
      <c r="AA221" s="75" t="n"/>
      <c r="AB221" s="75" t="n"/>
      <c r="AC221" s="6" t="n"/>
      <c r="AD221" s="75" t="n"/>
      <c r="AE221" s="75" t="n"/>
      <c r="AF221" s="75" t="n"/>
    </row>
    <row r="222" ht="15.75" customHeight="1" s="133">
      <c r="A222" s="75" t="n"/>
      <c r="B222" s="75" t="n"/>
      <c r="C222" s="75" t="n"/>
      <c r="D222" s="75" t="n"/>
      <c r="E222" s="76" t="n"/>
      <c r="F222" s="77" t="n"/>
      <c r="G222" s="75" t="n"/>
      <c r="H222" s="75">
        <f>IF(ISBLANK(E222),"",IF(OR(D222="Butterfly",D222="Butterfly ",D222="Iron Fly", D222="Iron Fly "),LEN(E222)-LEN(SUBSTITUTE(E222,"/",""))+2,LEN(E222)-LEN(SUBSTITUTE(E222,"/",""))+1))</f>
        <v/>
      </c>
      <c r="I222" s="78">
        <f>IF(ISBLANK(G222),"",IF(D222="Stock","0",Key!$A$3*H222*G222))</f>
        <v/>
      </c>
      <c r="J222" s="78">
        <f>IF(ISBLANK(E222),"",IF(ISNUMBER(SEARCH("/",E222)), IF(LEN(E222)-LEN(SUBSTITUTE(E222,"/",""))=1,(RIGHT(E222,LEN(E222)-FIND("/",E222)))-(LEFT(E222,FIND("/",E222)-1)),(MID(E222, SEARCH("/",E222) + 1, SEARCH("/",E222, SEARCH("/",E222)+1) - SEARCH("/",E222) - 1))-(LEFT(E222,FIND("/",E222)-1))), "NA"))</f>
        <v/>
      </c>
      <c r="K222" s="79">
        <f>IF(A222&lt;&gt;"", IF(ISBLANK(L222), TODAY(), K222), "")</f>
        <v/>
      </c>
      <c r="L222" s="78" t="n"/>
      <c r="M222" s="78">
        <f>IF(ISBLANK(L222),"",IF(D222="Stock",IF(C222="Buy",L222*G222,IF(C222="Sell",(L222*G222)-I222, X)),IF(C222="Buy",(L222*G222*100)+I222,IF(C222="Sell",(L222*G222*100)-I222, X))))</f>
        <v/>
      </c>
      <c r="N222" s="78">
        <f>IF(ISBLANK(L222),"",IF(AND(C222="Sell",D222="Stock"),M222,IF(ISBLANK(L222),"",IF(C222="Buy",M222, IF(AND(C222="Sell",J222="NA"),(E222*G222*100*0.1)+I222, IF(C222="Sell",(J222-L222)*(100*G222)+I222))))))</f>
        <v/>
      </c>
      <c r="O222" s="75" t="n"/>
      <c r="P222" s="75" t="n"/>
      <c r="Q222" s="75">
        <f>IF(ISBLANK(P222),"",IF(D222="Stock",P222*G222,IF(P222=0,"0",G222*P222*100-(G222*$AF$14))))</f>
        <v/>
      </c>
      <c r="R222" s="79">
        <f>IF(P222&lt;&gt;"", TODAY(), "")</f>
        <v/>
      </c>
      <c r="S222" s="78">
        <f>IF(AND(K222&lt;&gt;"", R222&lt;&gt;""), R222-K222, "")</f>
        <v/>
      </c>
      <c r="T222" s="78" t="n"/>
      <c r="U222" s="92">
        <f>IF(ISBLANK(P222),"",IF(C222="Buy",Q222-M222+T222, IF(C222="Sell",M222-Q222-T222, X)))</f>
        <v/>
      </c>
      <c r="V222" s="81">
        <f>IF(ISBLANK(P222),"",U222/N222)</f>
        <v/>
      </c>
      <c r="W222" s="81">
        <f>IF(ISBLANK(P222),"",IF(S222=0,(365/0.5)*V222,(365/S222)*V222))</f>
        <v/>
      </c>
      <c r="X222" s="75" t="n"/>
      <c r="Y222" s="77" t="n"/>
      <c r="Z222" s="77" t="n"/>
      <c r="AA222" s="75" t="n"/>
      <c r="AB222" s="75" t="n"/>
      <c r="AC222" s="6" t="n"/>
      <c r="AD222" s="75" t="n"/>
      <c r="AE222" s="75" t="n"/>
      <c r="AF222" s="75" t="n"/>
    </row>
    <row r="223" ht="15.75" customHeight="1" s="133">
      <c r="A223" s="75" t="n"/>
      <c r="B223" s="75" t="n"/>
      <c r="C223" s="75" t="n"/>
      <c r="D223" s="75" t="n"/>
      <c r="E223" s="76" t="n"/>
      <c r="F223" s="77" t="n"/>
      <c r="G223" s="75" t="n"/>
      <c r="H223" s="75">
        <f>IF(ISBLANK(E223),"",IF(OR(D223="Butterfly",D223="Butterfly ",D223="Iron Fly", D223="Iron Fly "),LEN(E223)-LEN(SUBSTITUTE(E223,"/",""))+2,LEN(E223)-LEN(SUBSTITUTE(E223,"/",""))+1))</f>
        <v/>
      </c>
      <c r="I223" s="78">
        <f>IF(ISBLANK(G223),"",IF(D223="Stock","0",Key!$A$3*H223*G223))</f>
        <v/>
      </c>
      <c r="J223" s="78">
        <f>IF(ISBLANK(E223),"",IF(ISNUMBER(SEARCH("/",E223)), IF(LEN(E223)-LEN(SUBSTITUTE(E223,"/",""))=1,(RIGHT(E223,LEN(E223)-FIND("/",E223)))-(LEFT(E223,FIND("/",E223)-1)),(MID(E223, SEARCH("/",E223) + 1, SEARCH("/",E223, SEARCH("/",E223)+1) - SEARCH("/",E223) - 1))-(LEFT(E223,FIND("/",E223)-1))), "NA"))</f>
        <v/>
      </c>
      <c r="K223" s="79">
        <f>IF(A223&lt;&gt;"", IF(ISBLANK(L223), TODAY(), K223), "")</f>
        <v/>
      </c>
      <c r="L223" s="78" t="n"/>
      <c r="M223" s="78">
        <f>IF(ISBLANK(L223),"",IF(D223="Stock",IF(C223="Buy",L223*G223,IF(C223="Sell",(L223*G223)-I223, X)),IF(C223="Buy",(L223*G223*100)+I223,IF(C223="Sell",(L223*G223*100)-I223, X))))</f>
        <v/>
      </c>
      <c r="N223" s="78">
        <f>IF(ISBLANK(L223),"",IF(AND(C223="Sell",D223="Stock"),M223,IF(ISBLANK(L223),"",IF(C223="Buy",M223, IF(AND(C223="Sell",J223="NA"),(E223*G223*100*0.1)+I223, IF(C223="Sell",(J223-L223)*(100*G223)+I223))))))</f>
        <v/>
      </c>
      <c r="O223" s="75" t="n"/>
      <c r="P223" s="75" t="n"/>
      <c r="Q223" s="75">
        <f>IF(ISBLANK(P223),"",IF(D223="Stock",P223*G223,IF(P223=0,"0",G223*P223*100-(G223*$AF$14))))</f>
        <v/>
      </c>
      <c r="R223" s="79">
        <f>IF(P223&lt;&gt;"", TODAY(), "")</f>
        <v/>
      </c>
      <c r="S223" s="78">
        <f>IF(AND(K223&lt;&gt;"", R223&lt;&gt;""), R223-K223, "")</f>
        <v/>
      </c>
      <c r="T223" s="78" t="n"/>
      <c r="U223" s="92">
        <f>IF(ISBLANK(P223),"",IF(C223="Buy",Q223-M223+T223, IF(C223="Sell",M223-Q223-T223, X)))</f>
        <v/>
      </c>
      <c r="V223" s="81">
        <f>IF(ISBLANK(P223),"",U223/N223)</f>
        <v/>
      </c>
      <c r="W223" s="81">
        <f>IF(ISBLANK(P223),"",IF(S223=0,(365/0.5)*V223,(365/S223)*V223))</f>
        <v/>
      </c>
      <c r="X223" s="75" t="n"/>
      <c r="Y223" s="77" t="n"/>
      <c r="Z223" s="77" t="n"/>
      <c r="AA223" s="75" t="n"/>
      <c r="AB223" s="75" t="n"/>
      <c r="AC223" s="6" t="n"/>
      <c r="AD223" s="75" t="n"/>
      <c r="AE223" s="75" t="n"/>
      <c r="AF223" s="75" t="n"/>
    </row>
    <row r="224" ht="15.75" customHeight="1" s="133">
      <c r="A224" s="75" t="n"/>
      <c r="B224" s="75" t="n"/>
      <c r="C224" s="75" t="n"/>
      <c r="D224" s="75" t="n"/>
      <c r="E224" s="76" t="n"/>
      <c r="F224" s="77" t="n"/>
      <c r="G224" s="75" t="n"/>
      <c r="H224" s="75">
        <f>IF(ISBLANK(E224),"",IF(OR(D224="Butterfly",D224="Butterfly ",D224="Iron Fly", D224="Iron Fly "),LEN(E224)-LEN(SUBSTITUTE(E224,"/",""))+2,LEN(E224)-LEN(SUBSTITUTE(E224,"/",""))+1))</f>
        <v/>
      </c>
      <c r="I224" s="78">
        <f>IF(ISBLANK(G224),"",IF(D224="Stock","0",Key!$A$3*H224*G224))</f>
        <v/>
      </c>
      <c r="J224" s="78">
        <f>IF(ISBLANK(E224),"",IF(ISNUMBER(SEARCH("/",E224)), IF(LEN(E224)-LEN(SUBSTITUTE(E224,"/",""))=1,(RIGHT(E224,LEN(E224)-FIND("/",E224)))-(LEFT(E224,FIND("/",E224)-1)),(MID(E224, SEARCH("/",E224) + 1, SEARCH("/",E224, SEARCH("/",E224)+1) - SEARCH("/",E224) - 1))-(LEFT(E224,FIND("/",E224)-1))), "NA"))</f>
        <v/>
      </c>
      <c r="K224" s="79">
        <f>IF(A224&lt;&gt;"", IF(ISBLANK(L224), TODAY(), K224), "")</f>
        <v/>
      </c>
      <c r="L224" s="78" t="n"/>
      <c r="M224" s="78">
        <f>IF(ISBLANK(L224),"",IF(D224="Stock",IF(C224="Buy",L224*G224,IF(C224="Sell",(L224*G224)-I224, X)),IF(C224="Buy",(L224*G224*100)+I224,IF(C224="Sell",(L224*G224*100)-I224, X))))</f>
        <v/>
      </c>
      <c r="N224" s="78">
        <f>IF(ISBLANK(L224),"",IF(AND(C224="Sell",D224="Stock"),M224,IF(ISBLANK(L224),"",IF(C224="Buy",M224, IF(AND(C224="Sell",J224="NA"),(E224*G224*100*0.1)+I224, IF(C224="Sell",(J224-L224)*(100*G224)+I224))))))</f>
        <v/>
      </c>
      <c r="O224" s="75" t="n"/>
      <c r="P224" s="75" t="n"/>
      <c r="Q224" s="75">
        <f>IF(ISBLANK(P224),"",IF(D224="Stock",P224*G224,IF(P224=0,"0",G224*P224*100-(G224*$AF$14))))</f>
        <v/>
      </c>
      <c r="R224" s="79">
        <f>IF(P224&lt;&gt;"", TODAY(), "")</f>
        <v/>
      </c>
      <c r="S224" s="78">
        <f>IF(AND(K224&lt;&gt;"", R224&lt;&gt;""), R224-K224, "")</f>
        <v/>
      </c>
      <c r="T224" s="78" t="n"/>
      <c r="U224" s="92">
        <f>IF(ISBLANK(P224),"",IF(C224="Buy",Q224-M224+T224, IF(C224="Sell",M224-Q224-T224, X)))</f>
        <v/>
      </c>
      <c r="V224" s="81">
        <f>IF(ISBLANK(P224),"",U224/N224)</f>
        <v/>
      </c>
      <c r="W224" s="81">
        <f>IF(ISBLANK(P224),"",IF(S224=0,(365/0.5)*V224,(365/S224)*V224))</f>
        <v/>
      </c>
      <c r="X224" s="75" t="n"/>
      <c r="Y224" s="77" t="n"/>
      <c r="Z224" s="77" t="n"/>
      <c r="AA224" s="75" t="n"/>
      <c r="AB224" s="75" t="n"/>
      <c r="AC224" s="6" t="n"/>
      <c r="AD224" s="75" t="n"/>
      <c r="AE224" s="75" t="n"/>
      <c r="AF224" s="75" t="n"/>
    </row>
    <row r="225" ht="15.75" customHeight="1" s="133">
      <c r="A225" s="75" t="n"/>
      <c r="B225" s="75" t="n"/>
      <c r="C225" s="75" t="n"/>
      <c r="D225" s="75" t="n"/>
      <c r="E225" s="76" t="n"/>
      <c r="F225" s="77" t="n"/>
      <c r="G225" s="75" t="n"/>
      <c r="H225" s="75">
        <f>IF(ISBLANK(E225),"",IF(OR(D225="Butterfly",D225="Butterfly ",D225="Iron Fly", D225="Iron Fly "),LEN(E225)-LEN(SUBSTITUTE(E225,"/",""))+2,LEN(E225)-LEN(SUBSTITUTE(E225,"/",""))+1))</f>
        <v/>
      </c>
      <c r="I225" s="78">
        <f>IF(ISBLANK(G225),"",IF(D225="Stock","0",Key!$A$3*H225*G225))</f>
        <v/>
      </c>
      <c r="J225" s="78">
        <f>IF(ISBLANK(E225),"",IF(ISNUMBER(SEARCH("/",E225)), IF(LEN(E225)-LEN(SUBSTITUTE(E225,"/",""))=1,(RIGHT(E225,LEN(E225)-FIND("/",E225)))-(LEFT(E225,FIND("/",E225)-1)),(MID(E225, SEARCH("/",E225) + 1, SEARCH("/",E225, SEARCH("/",E225)+1) - SEARCH("/",E225) - 1))-(LEFT(E225,FIND("/",E225)-1))), "NA"))</f>
        <v/>
      </c>
      <c r="K225" s="79">
        <f>IF(A225&lt;&gt;"", IF(ISBLANK(L225), TODAY(), K225), "")</f>
        <v/>
      </c>
      <c r="L225" s="78" t="n"/>
      <c r="M225" s="78">
        <f>IF(ISBLANK(L225),"",IF(D225="Stock",IF(C225="Buy",L225*G225,IF(C225="Sell",(L225*G225)-I225, X)),IF(C225="Buy",(L225*G225*100)+I225,IF(C225="Sell",(L225*G225*100)-I225, X))))</f>
        <v/>
      </c>
      <c r="N225" s="78">
        <f>IF(ISBLANK(L225),"",IF(AND(C225="Sell",D225="Stock"),M225,IF(ISBLANK(L225),"",IF(C225="Buy",M225, IF(AND(C225="Sell",J225="NA"),(E225*G225*100*0.1)+I225, IF(C225="Sell",(J225-L225)*(100*G225)+I225))))))</f>
        <v/>
      </c>
      <c r="O225" s="75" t="n"/>
      <c r="P225" s="75" t="n"/>
      <c r="Q225" s="75">
        <f>IF(ISBLANK(P225),"",IF(D225="Stock",P225*G225,IF(P225=0,"0",G225*P225*100-(G225*$AF$14))))</f>
        <v/>
      </c>
      <c r="R225" s="79">
        <f>IF(P225&lt;&gt;"", TODAY(), "")</f>
        <v/>
      </c>
      <c r="S225" s="78">
        <f>IF(AND(K225&lt;&gt;"", R225&lt;&gt;""), R225-K225, "")</f>
        <v/>
      </c>
      <c r="T225" s="78" t="n"/>
      <c r="U225" s="92">
        <f>IF(ISBLANK(P225),"",IF(C225="Buy",Q225-M225+T225, IF(C225="Sell",M225-Q225-T225, X)))</f>
        <v/>
      </c>
      <c r="V225" s="81">
        <f>IF(ISBLANK(P225),"",U225/N225)</f>
        <v/>
      </c>
      <c r="W225" s="81">
        <f>IF(ISBLANK(P225),"",IF(S225=0,(365/0.5)*V225,(365/S225)*V225))</f>
        <v/>
      </c>
      <c r="X225" s="75" t="n"/>
      <c r="Y225" s="77" t="n"/>
      <c r="Z225" s="77" t="n"/>
      <c r="AA225" s="75" t="n"/>
      <c r="AB225" s="75" t="n"/>
      <c r="AC225" s="6" t="n"/>
      <c r="AD225" s="75" t="n"/>
      <c r="AE225" s="75" t="n"/>
      <c r="AF225" s="75" t="n"/>
    </row>
    <row r="226" ht="15.75" customHeight="1" s="133">
      <c r="A226" s="75" t="n"/>
      <c r="B226" s="75" t="n"/>
      <c r="C226" s="75" t="n"/>
      <c r="D226" s="75" t="n"/>
      <c r="E226" s="76" t="n"/>
      <c r="F226" s="77" t="n"/>
      <c r="G226" s="75" t="n"/>
      <c r="H226" s="75">
        <f>IF(ISBLANK(E226),"",IF(OR(D226="Butterfly",D226="Butterfly ",D226="Iron Fly", D226="Iron Fly "),LEN(E226)-LEN(SUBSTITUTE(E226,"/",""))+2,LEN(E226)-LEN(SUBSTITUTE(E226,"/",""))+1))</f>
        <v/>
      </c>
      <c r="I226" s="78">
        <f>IF(ISBLANK(G226),"",IF(D226="Stock","0",Key!$A$3*H226*G226))</f>
        <v/>
      </c>
      <c r="J226" s="78">
        <f>IF(ISBLANK(E226),"",IF(ISNUMBER(SEARCH("/",E226)), IF(LEN(E226)-LEN(SUBSTITUTE(E226,"/",""))=1,(RIGHT(E226,LEN(E226)-FIND("/",E226)))-(LEFT(E226,FIND("/",E226)-1)),(MID(E226, SEARCH("/",E226) + 1, SEARCH("/",E226, SEARCH("/",E226)+1) - SEARCH("/",E226) - 1))-(LEFT(E226,FIND("/",E226)-1))), "NA"))</f>
        <v/>
      </c>
      <c r="K226" s="79">
        <f>IF(A226&lt;&gt;"", IF(ISBLANK(L226), TODAY(), K226), "")</f>
        <v/>
      </c>
      <c r="L226" s="78" t="n"/>
      <c r="M226" s="78">
        <f>IF(ISBLANK(L226),"",IF(D226="Stock",IF(C226="Buy",L226*G226,IF(C226="Sell",(L226*G226)-I226, X)),IF(C226="Buy",(L226*G226*100)+I226,IF(C226="Sell",(L226*G226*100)-I226, X))))</f>
        <v/>
      </c>
      <c r="N226" s="78">
        <f>IF(ISBLANK(L226),"",IF(AND(C226="Sell",D226="Stock"),M226,IF(ISBLANK(L226),"",IF(C226="Buy",M226, IF(AND(C226="Sell",J226="NA"),(E226*G226*100*0.1)+I226, IF(C226="Sell",(J226-L226)*(100*G226)+I226))))))</f>
        <v/>
      </c>
      <c r="O226" s="75" t="n"/>
      <c r="P226" s="75" t="n"/>
      <c r="Q226" s="75">
        <f>IF(ISBLANK(P226),"",IF(D226="Stock",P226*G226,IF(P226=0,"0",G226*P226*100-(G226*$AF$14))))</f>
        <v/>
      </c>
      <c r="R226" s="79">
        <f>IF(P226&lt;&gt;"", TODAY(), "")</f>
        <v/>
      </c>
      <c r="S226" s="78">
        <f>IF(AND(K226&lt;&gt;"", R226&lt;&gt;""), R226-K226, "")</f>
        <v/>
      </c>
      <c r="T226" s="78" t="n"/>
      <c r="U226" s="92">
        <f>IF(ISBLANK(P226),"",IF(C226="Buy",Q226-M226+T226, IF(C226="Sell",M226-Q226-T226, X)))</f>
        <v/>
      </c>
      <c r="V226" s="81">
        <f>IF(ISBLANK(P226),"",U226/N226)</f>
        <v/>
      </c>
      <c r="W226" s="81">
        <f>IF(ISBLANK(P226),"",IF(S226=0,(365/0.5)*V226,(365/S226)*V226))</f>
        <v/>
      </c>
      <c r="X226" s="75" t="n"/>
      <c r="Y226" s="77" t="n"/>
      <c r="Z226" s="77" t="n"/>
      <c r="AA226" s="75" t="n"/>
      <c r="AB226" s="75" t="n"/>
      <c r="AC226" s="6" t="n"/>
      <c r="AD226" s="75" t="n"/>
      <c r="AE226" s="75" t="n"/>
      <c r="AF226" s="75" t="n"/>
    </row>
    <row r="227" ht="15.75" customHeight="1" s="133">
      <c r="A227" s="75" t="n"/>
      <c r="B227" s="75" t="n"/>
      <c r="C227" s="75" t="n"/>
      <c r="D227" s="75" t="n"/>
      <c r="E227" s="76" t="n"/>
      <c r="F227" s="77" t="n"/>
      <c r="G227" s="75" t="n"/>
      <c r="H227" s="75">
        <f>IF(ISBLANK(E227),"",IF(OR(D227="Butterfly",D227="Butterfly ",D227="Iron Fly", D227="Iron Fly "),LEN(E227)-LEN(SUBSTITUTE(E227,"/",""))+2,LEN(E227)-LEN(SUBSTITUTE(E227,"/",""))+1))</f>
        <v/>
      </c>
      <c r="I227" s="78">
        <f>IF(ISBLANK(G227),"",IF(D227="Stock","0",Key!$A$3*H227*G227))</f>
        <v/>
      </c>
      <c r="J227" s="78">
        <f>IF(ISBLANK(E227),"",IF(ISNUMBER(SEARCH("/",E227)), IF(LEN(E227)-LEN(SUBSTITUTE(E227,"/",""))=1,(RIGHT(E227,LEN(E227)-FIND("/",E227)))-(LEFT(E227,FIND("/",E227)-1)),(MID(E227, SEARCH("/",E227) + 1, SEARCH("/",E227, SEARCH("/",E227)+1) - SEARCH("/",E227) - 1))-(LEFT(E227,FIND("/",E227)-1))), "NA"))</f>
        <v/>
      </c>
      <c r="K227" s="79">
        <f>IF(A227&lt;&gt;"", IF(ISBLANK(L227), TODAY(), K227), "")</f>
        <v/>
      </c>
      <c r="L227" s="78" t="n"/>
      <c r="M227" s="78">
        <f>IF(ISBLANK(L227),"",IF(D227="Stock",IF(C227="Buy",L227*G227,IF(C227="Sell",(L227*G227)-I227, X)),IF(C227="Buy",(L227*G227*100)+I227,IF(C227="Sell",(L227*G227*100)-I227, X))))</f>
        <v/>
      </c>
      <c r="N227" s="78">
        <f>IF(ISBLANK(L227),"",IF(AND(C227="Sell",D227="Stock"),M227,IF(ISBLANK(L227),"",IF(C227="Buy",M227, IF(AND(C227="Sell",J227="NA"),(E227*G227*100*0.1)+I227, IF(C227="Sell",(J227-L227)*(100*G227)+I227))))))</f>
        <v/>
      </c>
      <c r="O227" s="75" t="n"/>
      <c r="P227" s="75" t="n"/>
      <c r="Q227" s="75">
        <f>IF(ISBLANK(P227),"",IF(D227="Stock",P227*G227,IF(P227=0,"0",G227*P227*100-(G227*$AF$14))))</f>
        <v/>
      </c>
      <c r="R227" s="79">
        <f>IF(P227&lt;&gt;"", TODAY(), "")</f>
        <v/>
      </c>
      <c r="S227" s="78">
        <f>IF(AND(K227&lt;&gt;"", R227&lt;&gt;""), R227-K227, "")</f>
        <v/>
      </c>
      <c r="T227" s="78" t="n"/>
      <c r="U227" s="92">
        <f>IF(ISBLANK(P227),"",IF(C227="Buy",Q227-M227+T227, IF(C227="Sell",M227-Q227-T227, X)))</f>
        <v/>
      </c>
      <c r="V227" s="81">
        <f>IF(ISBLANK(P227),"",U227/N227)</f>
        <v/>
      </c>
      <c r="W227" s="81">
        <f>IF(ISBLANK(P227),"",IF(S227=0,(365/0.5)*V227,(365/S227)*V227))</f>
        <v/>
      </c>
      <c r="X227" s="75" t="n"/>
      <c r="Y227" s="77" t="n"/>
      <c r="Z227" s="77" t="n"/>
      <c r="AA227" s="75" t="n"/>
      <c r="AB227" s="75" t="n"/>
      <c r="AC227" s="6" t="n"/>
      <c r="AD227" s="75" t="n"/>
      <c r="AE227" s="75" t="n"/>
      <c r="AF227" s="75" t="n"/>
    </row>
    <row r="228" ht="15.75" customHeight="1" s="133">
      <c r="A228" s="75" t="n"/>
      <c r="B228" s="75" t="n"/>
      <c r="C228" s="75" t="n"/>
      <c r="D228" s="75" t="n"/>
      <c r="E228" s="76" t="n"/>
      <c r="F228" s="77" t="n"/>
      <c r="G228" s="75" t="n"/>
      <c r="H228" s="75">
        <f>IF(ISBLANK(E228),"",IF(OR(D228="Butterfly",D228="Butterfly ",D228="Iron Fly", D228="Iron Fly "),LEN(E228)-LEN(SUBSTITUTE(E228,"/",""))+2,LEN(E228)-LEN(SUBSTITUTE(E228,"/",""))+1))</f>
        <v/>
      </c>
      <c r="I228" s="78">
        <f>IF(ISBLANK(G228),"",IF(D228="Stock","0",Key!$A$3*H228*G228))</f>
        <v/>
      </c>
      <c r="J228" s="78">
        <f>IF(ISBLANK(E228),"",IF(ISNUMBER(SEARCH("/",E228)), IF(LEN(E228)-LEN(SUBSTITUTE(E228,"/",""))=1,(RIGHT(E228,LEN(E228)-FIND("/",E228)))-(LEFT(E228,FIND("/",E228)-1)),(MID(E228, SEARCH("/",E228) + 1, SEARCH("/",E228, SEARCH("/",E228)+1) - SEARCH("/",E228) - 1))-(LEFT(E228,FIND("/",E228)-1))), "NA"))</f>
        <v/>
      </c>
      <c r="K228" s="79">
        <f>IF(A228&lt;&gt;"", IF(ISBLANK(L228), TODAY(), K228), "")</f>
        <v/>
      </c>
      <c r="L228" s="78" t="n"/>
      <c r="M228" s="78">
        <f>IF(ISBLANK(L228),"",IF(D228="Stock",IF(C228="Buy",L228*G228,IF(C228="Sell",(L228*G228)-I228, X)),IF(C228="Buy",(L228*G228*100)+I228,IF(C228="Sell",(L228*G228*100)-I228, X))))</f>
        <v/>
      </c>
      <c r="N228" s="78">
        <f>IF(ISBLANK(L228),"",IF(AND(C228="Sell",D228="Stock"),M228,IF(ISBLANK(L228),"",IF(C228="Buy",M228, IF(AND(C228="Sell",J228="NA"),(E228*G228*100*0.1)+I228, IF(C228="Sell",(J228-L228)*(100*G228)+I228))))))</f>
        <v/>
      </c>
      <c r="O228" s="75" t="n"/>
      <c r="P228" s="75" t="n"/>
      <c r="Q228" s="75">
        <f>IF(ISBLANK(P228),"",IF(D228="Stock",P228*G228,IF(P228=0,"0",G228*P228*100-(G228*$AF$14))))</f>
        <v/>
      </c>
      <c r="R228" s="79">
        <f>IF(P228&lt;&gt;"", TODAY(), "")</f>
        <v/>
      </c>
      <c r="S228" s="78">
        <f>IF(AND(K228&lt;&gt;"", R228&lt;&gt;""), R228-K228, "")</f>
        <v/>
      </c>
      <c r="T228" s="78" t="n"/>
      <c r="U228" s="92">
        <f>IF(ISBLANK(P228),"",IF(C228="Buy",Q228-M228+T228, IF(C228="Sell",M228-Q228-T228, X)))</f>
        <v/>
      </c>
      <c r="V228" s="81">
        <f>IF(ISBLANK(P228),"",U228/N228)</f>
        <v/>
      </c>
      <c r="W228" s="81">
        <f>IF(ISBLANK(P228),"",IF(S228=0,(365/0.5)*V228,(365/S228)*V228))</f>
        <v/>
      </c>
      <c r="X228" s="75" t="n"/>
      <c r="Y228" s="77" t="n"/>
      <c r="Z228" s="77" t="n"/>
      <c r="AA228" s="75" t="n"/>
      <c r="AB228" s="75" t="n"/>
      <c r="AC228" s="6" t="n"/>
      <c r="AD228" s="75" t="n"/>
      <c r="AE228" s="75" t="n"/>
      <c r="AF228" s="75" t="n"/>
    </row>
    <row r="229" ht="15.75" customHeight="1" s="133">
      <c r="A229" s="75" t="n"/>
      <c r="B229" s="75" t="n"/>
      <c r="C229" s="75" t="n"/>
      <c r="D229" s="75" t="n"/>
      <c r="E229" s="76" t="n"/>
      <c r="F229" s="77" t="n"/>
      <c r="G229" s="75" t="n"/>
      <c r="H229" s="75">
        <f>IF(ISBLANK(E229),"",IF(OR(D229="Butterfly",D229="Butterfly ",D229="Iron Fly", D229="Iron Fly "),LEN(E229)-LEN(SUBSTITUTE(E229,"/",""))+2,LEN(E229)-LEN(SUBSTITUTE(E229,"/",""))+1))</f>
        <v/>
      </c>
      <c r="I229" s="78">
        <f>IF(ISBLANK(G229),"",IF(D229="Stock","0",Key!$A$3*H229*G229))</f>
        <v/>
      </c>
      <c r="J229" s="78">
        <f>IF(ISBLANK(E229),"",IF(ISNUMBER(SEARCH("/",E229)), IF(LEN(E229)-LEN(SUBSTITUTE(E229,"/",""))=1,(RIGHT(E229,LEN(E229)-FIND("/",E229)))-(LEFT(E229,FIND("/",E229)-1)),(MID(E229, SEARCH("/",E229) + 1, SEARCH("/",E229, SEARCH("/",E229)+1) - SEARCH("/",E229) - 1))-(LEFT(E229,FIND("/",E229)-1))), "NA"))</f>
        <v/>
      </c>
      <c r="K229" s="79">
        <f>IF(A229&lt;&gt;"", IF(ISBLANK(L229), TODAY(), K229), "")</f>
        <v/>
      </c>
      <c r="L229" s="78" t="n"/>
      <c r="M229" s="78">
        <f>IF(ISBLANK(L229),"",IF(D229="Stock",IF(C229="Buy",L229*G229,IF(C229="Sell",(L229*G229)-I229, X)),IF(C229="Buy",(L229*G229*100)+I229,IF(C229="Sell",(L229*G229*100)-I229, X))))</f>
        <v/>
      </c>
      <c r="N229" s="78">
        <f>IF(ISBLANK(L229),"",IF(AND(C229="Sell",D229="Stock"),M229,IF(ISBLANK(L229),"",IF(C229="Buy",M229, IF(AND(C229="Sell",J229="NA"),(E229*G229*100*0.1)+I229, IF(C229="Sell",(J229-L229)*(100*G229)+I229))))))</f>
        <v/>
      </c>
      <c r="O229" s="75" t="n"/>
      <c r="P229" s="75" t="n"/>
      <c r="Q229" s="75">
        <f>IF(ISBLANK(P229),"",IF(D229="Stock",P229*G229,IF(P229=0,"0",G229*P229*100-(G229*$AF$14))))</f>
        <v/>
      </c>
      <c r="R229" s="79">
        <f>IF(P229&lt;&gt;"", TODAY(), "")</f>
        <v/>
      </c>
      <c r="S229" s="78">
        <f>IF(AND(K229&lt;&gt;"", R229&lt;&gt;""), R229-K229, "")</f>
        <v/>
      </c>
      <c r="T229" s="78" t="n"/>
      <c r="U229" s="92">
        <f>IF(ISBLANK(P229),"",IF(C229="Buy",Q229-M229+T229, IF(C229="Sell",M229-Q229-T229, X)))</f>
        <v/>
      </c>
      <c r="V229" s="81">
        <f>IF(ISBLANK(P229),"",U229/N229)</f>
        <v/>
      </c>
      <c r="W229" s="81">
        <f>IF(ISBLANK(P229),"",IF(S229=0,(365/0.5)*V229,(365/S229)*V229))</f>
        <v/>
      </c>
      <c r="X229" s="75" t="n"/>
      <c r="Y229" s="77" t="n"/>
      <c r="Z229" s="77" t="n"/>
      <c r="AA229" s="75" t="n"/>
      <c r="AB229" s="75" t="n"/>
      <c r="AC229" s="6" t="n"/>
      <c r="AD229" s="75" t="n"/>
      <c r="AE229" s="75" t="n"/>
      <c r="AF229" s="75" t="n"/>
    </row>
    <row r="230" ht="15.75" customHeight="1" s="133">
      <c r="A230" s="75" t="n"/>
      <c r="B230" s="75" t="n"/>
      <c r="C230" s="75" t="n"/>
      <c r="D230" s="75" t="n"/>
      <c r="E230" s="76" t="n"/>
      <c r="F230" s="77" t="n"/>
      <c r="G230" s="75" t="n"/>
      <c r="H230" s="75">
        <f>IF(ISBLANK(E230),"",IF(OR(D230="Butterfly",D230="Butterfly ",D230="Iron Fly", D230="Iron Fly "),LEN(E230)-LEN(SUBSTITUTE(E230,"/",""))+2,LEN(E230)-LEN(SUBSTITUTE(E230,"/",""))+1))</f>
        <v/>
      </c>
      <c r="I230" s="78">
        <f>IF(ISBLANK(G230),"",IF(D230="Stock","0",Key!$A$3*H230*G230))</f>
        <v/>
      </c>
      <c r="J230" s="78">
        <f>IF(ISBLANK(E230),"",IF(ISNUMBER(SEARCH("/",E230)), IF(LEN(E230)-LEN(SUBSTITUTE(E230,"/",""))=1,(RIGHT(E230,LEN(E230)-FIND("/",E230)))-(LEFT(E230,FIND("/",E230)-1)),(MID(E230, SEARCH("/",E230) + 1, SEARCH("/",E230, SEARCH("/",E230)+1) - SEARCH("/",E230) - 1))-(LEFT(E230,FIND("/",E230)-1))), "NA"))</f>
        <v/>
      </c>
      <c r="K230" s="79">
        <f>IF(A230&lt;&gt;"", IF(ISBLANK(L230), TODAY(), K230), "")</f>
        <v/>
      </c>
      <c r="L230" s="78" t="n"/>
      <c r="M230" s="78">
        <f>IF(ISBLANK(L230),"",IF(D230="Stock",IF(C230="Buy",L230*G230,IF(C230="Sell",(L230*G230)-I230, X)),IF(C230="Buy",(L230*G230*100)+I230,IF(C230="Sell",(L230*G230*100)-I230, X))))</f>
        <v/>
      </c>
      <c r="N230" s="78">
        <f>IF(ISBLANK(L230),"",IF(AND(C230="Sell",D230="Stock"),M230,IF(ISBLANK(L230),"",IF(C230="Buy",M230, IF(AND(C230="Sell",J230="NA"),(E230*G230*100*0.1)+I230, IF(C230="Sell",(J230-L230)*(100*G230)+I230))))))</f>
        <v/>
      </c>
      <c r="O230" s="75" t="n"/>
      <c r="P230" s="75" t="n"/>
      <c r="Q230" s="75">
        <f>IF(ISBLANK(P230),"",IF(D230="Stock",P230*G230,IF(P230=0,"0",G230*P230*100-(G230*$AF$14))))</f>
        <v/>
      </c>
      <c r="R230" s="79">
        <f>IF(P230&lt;&gt;"", TODAY(), "")</f>
        <v/>
      </c>
      <c r="S230" s="78">
        <f>IF(AND(K230&lt;&gt;"", R230&lt;&gt;""), R230-K230, "")</f>
        <v/>
      </c>
      <c r="T230" s="78" t="n"/>
      <c r="U230" s="92">
        <f>IF(ISBLANK(P230),"",IF(C230="Buy",Q230-M230+T230, IF(C230="Sell",M230-Q230-T230, X)))</f>
        <v/>
      </c>
      <c r="V230" s="81">
        <f>IF(ISBLANK(P230),"",U230/N230)</f>
        <v/>
      </c>
      <c r="W230" s="81">
        <f>IF(ISBLANK(P230),"",IF(S230=0,(365/0.5)*V230,(365/S230)*V230))</f>
        <v/>
      </c>
      <c r="X230" s="75" t="n"/>
      <c r="Y230" s="77" t="n"/>
      <c r="Z230" s="77" t="n"/>
      <c r="AA230" s="75" t="n"/>
      <c r="AB230" s="75" t="n"/>
      <c r="AC230" s="6" t="n"/>
      <c r="AD230" s="75" t="n"/>
      <c r="AE230" s="75" t="n"/>
      <c r="AF230" s="75" t="n"/>
    </row>
    <row r="231" ht="15.75" customHeight="1" s="133">
      <c r="A231" s="75" t="n"/>
      <c r="B231" s="75" t="n"/>
      <c r="C231" s="75" t="n"/>
      <c r="D231" s="75" t="n"/>
      <c r="E231" s="76" t="n"/>
      <c r="F231" s="77" t="n"/>
      <c r="G231" s="75" t="n"/>
      <c r="H231" s="75">
        <f>IF(ISBLANK(E231),"",IF(OR(D231="Butterfly",D231="Butterfly ",D231="Iron Fly", D231="Iron Fly "),LEN(E231)-LEN(SUBSTITUTE(E231,"/",""))+2,LEN(E231)-LEN(SUBSTITUTE(E231,"/",""))+1))</f>
        <v/>
      </c>
      <c r="I231" s="78">
        <f>IF(ISBLANK(G231),"",IF(D231="Stock","0",Key!$A$3*H231*G231))</f>
        <v/>
      </c>
      <c r="J231" s="78">
        <f>IF(ISBLANK(E231),"",IF(ISNUMBER(SEARCH("/",E231)), IF(LEN(E231)-LEN(SUBSTITUTE(E231,"/",""))=1,(RIGHT(E231,LEN(E231)-FIND("/",E231)))-(LEFT(E231,FIND("/",E231)-1)),(MID(E231, SEARCH("/",E231) + 1, SEARCH("/",E231, SEARCH("/",E231)+1) - SEARCH("/",E231) - 1))-(LEFT(E231,FIND("/",E231)-1))), "NA"))</f>
        <v/>
      </c>
      <c r="K231" s="79">
        <f>IF(A231&lt;&gt;"", IF(ISBLANK(L231), TODAY(), K231), "")</f>
        <v/>
      </c>
      <c r="L231" s="78" t="n"/>
      <c r="M231" s="78">
        <f>IF(ISBLANK(L231),"",IF(D231="Stock",IF(C231="Buy",L231*G231,IF(C231="Sell",(L231*G231)-I231, X)),IF(C231="Buy",(L231*G231*100)+I231,IF(C231="Sell",(L231*G231*100)-I231, X))))</f>
        <v/>
      </c>
      <c r="N231" s="78">
        <f>IF(ISBLANK(L231),"",IF(AND(C231="Sell",D231="Stock"),M231,IF(ISBLANK(L231),"",IF(C231="Buy",M231, IF(AND(C231="Sell",J231="NA"),(E231*G231*100*0.1)+I231, IF(C231="Sell",(J231-L231)*(100*G231)+I231))))))</f>
        <v/>
      </c>
      <c r="O231" s="75" t="n"/>
      <c r="P231" s="75" t="n"/>
      <c r="Q231" s="75">
        <f>IF(ISBLANK(P231),"",IF(D231="Stock",P231*G231,IF(P231=0,"0",G231*P231*100-(G231*$AF$14))))</f>
        <v/>
      </c>
      <c r="R231" s="79">
        <f>IF(P231&lt;&gt;"", TODAY(), "")</f>
        <v/>
      </c>
      <c r="S231" s="78">
        <f>IF(AND(K231&lt;&gt;"", R231&lt;&gt;""), R231-K231, "")</f>
        <v/>
      </c>
      <c r="T231" s="78" t="n"/>
      <c r="U231" s="92">
        <f>IF(ISBLANK(P231),"",IF(C231="Buy",Q231-M231+T231, IF(C231="Sell",M231-Q231-T231, X)))</f>
        <v/>
      </c>
      <c r="V231" s="81">
        <f>IF(ISBLANK(P231),"",U231/N231)</f>
        <v/>
      </c>
      <c r="W231" s="81">
        <f>IF(ISBLANK(P231),"",IF(S231=0,(365/0.5)*V231,(365/S231)*V231))</f>
        <v/>
      </c>
      <c r="X231" s="75" t="n"/>
      <c r="Y231" s="77" t="n"/>
      <c r="Z231" s="77" t="n"/>
      <c r="AA231" s="75" t="n"/>
      <c r="AB231" s="75" t="n"/>
      <c r="AC231" s="6" t="n"/>
      <c r="AD231" s="75" t="n"/>
      <c r="AE231" s="75" t="n"/>
      <c r="AF231" s="75" t="n"/>
    </row>
    <row r="232" ht="15.75" customHeight="1" s="133">
      <c r="A232" s="75" t="n"/>
      <c r="B232" s="75" t="n"/>
      <c r="C232" s="75" t="n"/>
      <c r="D232" s="75" t="n"/>
      <c r="E232" s="76" t="n"/>
      <c r="F232" s="77" t="n"/>
      <c r="G232" s="75" t="n"/>
      <c r="H232" s="75">
        <f>IF(ISBLANK(E232),"",IF(OR(D232="Butterfly",D232="Butterfly ",D232="Iron Fly", D232="Iron Fly "),LEN(E232)-LEN(SUBSTITUTE(E232,"/",""))+2,LEN(E232)-LEN(SUBSTITUTE(E232,"/",""))+1))</f>
        <v/>
      </c>
      <c r="I232" s="78">
        <f>IF(ISBLANK(G232),"",IF(D232="Stock","0",Key!$A$3*H232*G232))</f>
        <v/>
      </c>
      <c r="J232" s="78">
        <f>IF(ISBLANK(E232),"",IF(ISNUMBER(SEARCH("/",E232)), IF(LEN(E232)-LEN(SUBSTITUTE(E232,"/",""))=1,(RIGHT(E232,LEN(E232)-FIND("/",E232)))-(LEFT(E232,FIND("/",E232)-1)),(MID(E232, SEARCH("/",E232) + 1, SEARCH("/",E232, SEARCH("/",E232)+1) - SEARCH("/",E232) - 1))-(LEFT(E232,FIND("/",E232)-1))), "NA"))</f>
        <v/>
      </c>
      <c r="K232" s="79">
        <f>IF(A232&lt;&gt;"", IF(ISBLANK(L232), TODAY(), K232), "")</f>
        <v/>
      </c>
      <c r="L232" s="78" t="n"/>
      <c r="M232" s="78">
        <f>IF(ISBLANK(L232),"",IF(D232="Stock",IF(C232="Buy",L232*G232,IF(C232="Sell",(L232*G232)-I232, X)),IF(C232="Buy",(L232*G232*100)+I232,IF(C232="Sell",(L232*G232*100)-I232, X))))</f>
        <v/>
      </c>
      <c r="N232" s="78">
        <f>IF(ISBLANK(L232),"",IF(AND(C232="Sell",D232="Stock"),M232,IF(ISBLANK(L232),"",IF(C232="Buy",M232, IF(AND(C232="Sell",J232="NA"),(E232*G232*100*0.1)+I232, IF(C232="Sell",(J232-L232)*(100*G232)+I232))))))</f>
        <v/>
      </c>
      <c r="O232" s="75" t="n"/>
      <c r="P232" s="75" t="n"/>
      <c r="Q232" s="75">
        <f>IF(ISBLANK(P232),"",IF(D232="Stock",P232*G232,IF(P232=0,"0",G232*P232*100-(G232*$AF$14))))</f>
        <v/>
      </c>
      <c r="R232" s="79">
        <f>IF(P232&lt;&gt;"", TODAY(), "")</f>
        <v/>
      </c>
      <c r="S232" s="78">
        <f>IF(AND(K232&lt;&gt;"", R232&lt;&gt;""), R232-K232, "")</f>
        <v/>
      </c>
      <c r="T232" s="78" t="n"/>
      <c r="U232" s="92">
        <f>IF(ISBLANK(P232),"",IF(C232="Buy",Q232-M232+T232, IF(C232="Sell",M232-Q232-T232, X)))</f>
        <v/>
      </c>
      <c r="V232" s="81">
        <f>IF(ISBLANK(P232),"",U232/N232)</f>
        <v/>
      </c>
      <c r="W232" s="81">
        <f>IF(ISBLANK(P232),"",IF(S232=0,(365/0.5)*V232,(365/S232)*V232))</f>
        <v/>
      </c>
      <c r="X232" s="75" t="n"/>
      <c r="Y232" s="77" t="n"/>
      <c r="Z232" s="77" t="n"/>
      <c r="AA232" s="75" t="n"/>
      <c r="AB232" s="75" t="n"/>
      <c r="AC232" s="6" t="n"/>
      <c r="AD232" s="75" t="n"/>
      <c r="AE232" s="75" t="n"/>
      <c r="AF232" s="75" t="n"/>
    </row>
    <row r="233" ht="15.75" customHeight="1" s="133">
      <c r="A233" s="75" t="n"/>
      <c r="B233" s="75" t="n"/>
      <c r="C233" s="75" t="n"/>
      <c r="D233" s="75" t="n"/>
      <c r="E233" s="76" t="n"/>
      <c r="F233" s="77" t="n"/>
      <c r="G233" s="75" t="n"/>
      <c r="H233" s="75">
        <f>IF(ISBLANK(E233),"",IF(OR(D233="Butterfly",D233="Butterfly ",D233="Iron Fly", D233="Iron Fly "),LEN(E233)-LEN(SUBSTITUTE(E233,"/",""))+2,LEN(E233)-LEN(SUBSTITUTE(E233,"/",""))+1))</f>
        <v/>
      </c>
      <c r="I233" s="78">
        <f>IF(ISBLANK(G233),"",IF(D233="Stock","0",Key!$A$3*H233*G233))</f>
        <v/>
      </c>
      <c r="J233" s="78">
        <f>IF(ISBLANK(E233),"",IF(ISNUMBER(SEARCH("/",E233)), IF(LEN(E233)-LEN(SUBSTITUTE(E233,"/",""))=1,(RIGHT(E233,LEN(E233)-FIND("/",E233)))-(LEFT(E233,FIND("/",E233)-1)),(MID(E233, SEARCH("/",E233) + 1, SEARCH("/",E233, SEARCH("/",E233)+1) - SEARCH("/",E233) - 1))-(LEFT(E233,FIND("/",E233)-1))), "NA"))</f>
        <v/>
      </c>
      <c r="K233" s="79">
        <f>IF(A233&lt;&gt;"", IF(ISBLANK(L233), TODAY(), K233), "")</f>
        <v/>
      </c>
      <c r="L233" s="78" t="n"/>
      <c r="M233" s="78">
        <f>IF(ISBLANK(L233),"",IF(D233="Stock",IF(C233="Buy",L233*G233,IF(C233="Sell",(L233*G233)-I233, X)),IF(C233="Buy",(L233*G233*100)+I233,IF(C233="Sell",(L233*G233*100)-I233, X))))</f>
        <v/>
      </c>
      <c r="N233" s="78">
        <f>IF(ISBLANK(L233),"",IF(AND(C233="Sell",D233="Stock"),M233,IF(ISBLANK(L233),"",IF(C233="Buy",M233, IF(AND(C233="Sell",J233="NA"),(E233*G233*100*0.1)+I233, IF(C233="Sell",(J233-L233)*(100*G233)+I233))))))</f>
        <v/>
      </c>
      <c r="O233" s="75" t="n"/>
      <c r="P233" s="75" t="n"/>
      <c r="Q233" s="75">
        <f>IF(ISBLANK(P233),"",IF(D233="Stock",P233*G233,IF(P233=0,"0",G233*P233*100-(G233*$AF$14))))</f>
        <v/>
      </c>
      <c r="R233" s="79">
        <f>IF(P233&lt;&gt;"", TODAY(), "")</f>
        <v/>
      </c>
      <c r="S233" s="78">
        <f>IF(AND(K233&lt;&gt;"", R233&lt;&gt;""), R233-K233, "")</f>
        <v/>
      </c>
      <c r="T233" s="78" t="n"/>
      <c r="U233" s="92">
        <f>IF(ISBLANK(P233),"",IF(C233="Buy",Q233-M233+T233, IF(C233="Sell",M233-Q233-T233, X)))</f>
        <v/>
      </c>
      <c r="V233" s="81">
        <f>IF(ISBLANK(P233),"",U233/N233)</f>
        <v/>
      </c>
      <c r="W233" s="81">
        <f>IF(ISBLANK(P233),"",IF(S233=0,(365/0.5)*V233,(365/S233)*V233))</f>
        <v/>
      </c>
      <c r="X233" s="75" t="n"/>
      <c r="Y233" s="77" t="n"/>
      <c r="Z233" s="77" t="n"/>
      <c r="AA233" s="75" t="n"/>
      <c r="AB233" s="75" t="n"/>
      <c r="AC233" s="6" t="n"/>
      <c r="AD233" s="75" t="n"/>
      <c r="AE233" s="75" t="n"/>
      <c r="AF233" s="75" t="n"/>
    </row>
    <row r="234" ht="15.75" customHeight="1" s="133">
      <c r="A234" s="75" t="n"/>
      <c r="B234" s="75" t="n"/>
      <c r="C234" s="75" t="n"/>
      <c r="D234" s="75" t="n"/>
      <c r="E234" s="76" t="n"/>
      <c r="F234" s="77" t="n"/>
      <c r="G234" s="75" t="n"/>
      <c r="H234" s="75">
        <f>IF(ISBLANK(E234),"",IF(OR(D234="Butterfly",D234="Butterfly ",D234="Iron Fly", D234="Iron Fly "),LEN(E234)-LEN(SUBSTITUTE(E234,"/",""))+2,LEN(E234)-LEN(SUBSTITUTE(E234,"/",""))+1))</f>
        <v/>
      </c>
      <c r="I234" s="78">
        <f>IF(ISBLANK(G234),"",IF(D234="Stock","0",Key!$A$3*H234*G234))</f>
        <v/>
      </c>
      <c r="J234" s="78">
        <f>IF(ISBLANK(E234),"",IF(ISNUMBER(SEARCH("/",E234)), IF(LEN(E234)-LEN(SUBSTITUTE(E234,"/",""))=1,(RIGHT(E234,LEN(E234)-FIND("/",E234)))-(LEFT(E234,FIND("/",E234)-1)),(MID(E234, SEARCH("/",E234) + 1, SEARCH("/",E234, SEARCH("/",E234)+1) - SEARCH("/",E234) - 1))-(LEFT(E234,FIND("/",E234)-1))), "NA"))</f>
        <v/>
      </c>
      <c r="K234" s="79">
        <f>IF(A234&lt;&gt;"", IF(ISBLANK(L234), TODAY(), K234), "")</f>
        <v/>
      </c>
      <c r="L234" s="78" t="n"/>
      <c r="M234" s="78">
        <f>IF(ISBLANK(L234),"",IF(D234="Stock",IF(C234="Buy",L234*G234,IF(C234="Sell",(L234*G234)-I234, X)),IF(C234="Buy",(L234*G234*100)+I234,IF(C234="Sell",(L234*G234*100)-I234, X))))</f>
        <v/>
      </c>
      <c r="N234" s="78">
        <f>IF(ISBLANK(L234),"",IF(AND(C234="Sell",D234="Stock"),M234,IF(ISBLANK(L234),"",IF(C234="Buy",M234, IF(AND(C234="Sell",J234="NA"),(E234*G234*100*0.1)+I234, IF(C234="Sell",(J234-L234)*(100*G234)+I234))))))</f>
        <v/>
      </c>
      <c r="O234" s="75" t="n"/>
      <c r="P234" s="75" t="n"/>
      <c r="Q234" s="75">
        <f>IF(ISBLANK(P234),"",IF(D234="Stock",P234*G234,IF(P234=0,"0",G234*P234*100-(G234*$AF$14))))</f>
        <v/>
      </c>
      <c r="R234" s="79">
        <f>IF(P234&lt;&gt;"", TODAY(), "")</f>
        <v/>
      </c>
      <c r="S234" s="78">
        <f>IF(AND(K234&lt;&gt;"", R234&lt;&gt;""), R234-K234, "")</f>
        <v/>
      </c>
      <c r="T234" s="78" t="n"/>
      <c r="U234" s="92">
        <f>IF(ISBLANK(P234),"",IF(C234="Buy",Q234-M234+T234, IF(C234="Sell",M234-Q234-T234, X)))</f>
        <v/>
      </c>
      <c r="V234" s="81">
        <f>IF(ISBLANK(P234),"",U234/N234)</f>
        <v/>
      </c>
      <c r="W234" s="81">
        <f>IF(ISBLANK(P234),"",IF(S234=0,(365/0.5)*V234,(365/S234)*V234))</f>
        <v/>
      </c>
      <c r="X234" s="75" t="n"/>
      <c r="Y234" s="77" t="n"/>
      <c r="Z234" s="77" t="n"/>
      <c r="AA234" s="75" t="n"/>
      <c r="AB234" s="75" t="n"/>
      <c r="AC234" s="6" t="n"/>
      <c r="AD234" s="75" t="n"/>
      <c r="AE234" s="75" t="n"/>
      <c r="AF234" s="75" t="n"/>
    </row>
    <row r="235" ht="15.75" customHeight="1" s="133">
      <c r="A235" s="75" t="n"/>
      <c r="B235" s="75" t="n"/>
      <c r="C235" s="75" t="n"/>
      <c r="D235" s="75" t="n"/>
      <c r="E235" s="76" t="n"/>
      <c r="F235" s="77" t="n"/>
      <c r="G235" s="75" t="n"/>
      <c r="H235" s="75">
        <f>IF(ISBLANK(E235),"",IF(OR(D235="Butterfly",D235="Butterfly ",D235="Iron Fly", D235="Iron Fly "),LEN(E235)-LEN(SUBSTITUTE(E235,"/",""))+2,LEN(E235)-LEN(SUBSTITUTE(E235,"/",""))+1))</f>
        <v/>
      </c>
      <c r="I235" s="78">
        <f>IF(ISBLANK(G235),"",IF(D235="Stock","0",Key!$A$3*H235*G235))</f>
        <v/>
      </c>
      <c r="J235" s="78">
        <f>IF(ISBLANK(E235),"",IF(ISNUMBER(SEARCH("/",E235)), IF(LEN(E235)-LEN(SUBSTITUTE(E235,"/",""))=1,(RIGHT(E235,LEN(E235)-FIND("/",E235)))-(LEFT(E235,FIND("/",E235)-1)),(MID(E235, SEARCH("/",E235) + 1, SEARCH("/",E235, SEARCH("/",E235)+1) - SEARCH("/",E235) - 1))-(LEFT(E235,FIND("/",E235)-1))), "NA"))</f>
        <v/>
      </c>
      <c r="K235" s="79">
        <f>IF(A235&lt;&gt;"", IF(ISBLANK(L235), TODAY(), K235), "")</f>
        <v/>
      </c>
      <c r="L235" s="78" t="n"/>
      <c r="M235" s="78">
        <f>IF(ISBLANK(L235),"",IF(D235="Stock",IF(C235="Buy",L235*G235,IF(C235="Sell",(L235*G235)-I235, X)),IF(C235="Buy",(L235*G235*100)+I235,IF(C235="Sell",(L235*G235*100)-I235, X))))</f>
        <v/>
      </c>
      <c r="N235" s="78">
        <f>IF(ISBLANK(L235),"",IF(AND(C235="Sell",D235="Stock"),M235,IF(ISBLANK(L235),"",IF(C235="Buy",M235, IF(AND(C235="Sell",J235="NA"),(E235*G235*100*0.1)+I235, IF(C235="Sell",(J235-L235)*(100*G235)+I235))))))</f>
        <v/>
      </c>
      <c r="O235" s="75" t="n"/>
      <c r="P235" s="75" t="n"/>
      <c r="Q235" s="75">
        <f>IF(ISBLANK(P235),"",IF(D235="Stock",P235*G235,IF(P235=0,"0",G235*P235*100-(G235*$AF$14))))</f>
        <v/>
      </c>
      <c r="R235" s="79">
        <f>IF(P235&lt;&gt;"", TODAY(), "")</f>
        <v/>
      </c>
      <c r="S235" s="78">
        <f>IF(AND(K235&lt;&gt;"", R235&lt;&gt;""), R235-K235, "")</f>
        <v/>
      </c>
      <c r="T235" s="78" t="n"/>
      <c r="U235" s="92">
        <f>IF(ISBLANK(P235),"",IF(C235="Buy",Q235-M235+T235, IF(C235="Sell",M235-Q235-T235, X)))</f>
        <v/>
      </c>
      <c r="V235" s="81">
        <f>IF(ISBLANK(P235),"",U235/N235)</f>
        <v/>
      </c>
      <c r="W235" s="81">
        <f>IF(ISBLANK(P235),"",IF(S235=0,(365/0.5)*V235,(365/S235)*V235))</f>
        <v/>
      </c>
      <c r="X235" s="75" t="n"/>
      <c r="Y235" s="77" t="n"/>
      <c r="Z235" s="77" t="n"/>
      <c r="AA235" s="75" t="n"/>
      <c r="AB235" s="75" t="n"/>
      <c r="AC235" s="6" t="n"/>
      <c r="AD235" s="75" t="n"/>
      <c r="AE235" s="75" t="n"/>
      <c r="AF235" s="75" t="n"/>
    </row>
    <row r="236" ht="15.75" customHeight="1" s="133">
      <c r="A236" s="75" t="n"/>
      <c r="B236" s="75" t="n"/>
      <c r="C236" s="75" t="n"/>
      <c r="D236" s="75" t="n"/>
      <c r="E236" s="76" t="n"/>
      <c r="F236" s="77" t="n"/>
      <c r="G236" s="75" t="n"/>
      <c r="H236" s="75">
        <f>IF(ISBLANK(E236),"",IF(OR(D236="Butterfly",D236="Butterfly ",D236="Iron Fly", D236="Iron Fly "),LEN(E236)-LEN(SUBSTITUTE(E236,"/",""))+2,LEN(E236)-LEN(SUBSTITUTE(E236,"/",""))+1))</f>
        <v/>
      </c>
      <c r="I236" s="78">
        <f>IF(ISBLANK(G236),"",IF(D236="Stock","0",Key!$A$3*H236*G236))</f>
        <v/>
      </c>
      <c r="J236" s="78">
        <f>IF(ISBLANK(E236),"",IF(ISNUMBER(SEARCH("/",E236)), IF(LEN(E236)-LEN(SUBSTITUTE(E236,"/",""))=1,(RIGHT(E236,LEN(E236)-FIND("/",E236)))-(LEFT(E236,FIND("/",E236)-1)),(MID(E236, SEARCH("/",E236) + 1, SEARCH("/",E236, SEARCH("/",E236)+1) - SEARCH("/",E236) - 1))-(LEFT(E236,FIND("/",E236)-1))), "NA"))</f>
        <v/>
      </c>
      <c r="K236" s="79">
        <f>IF(A236&lt;&gt;"", IF(ISBLANK(L236), TODAY(), K236), "")</f>
        <v/>
      </c>
      <c r="L236" s="78" t="n"/>
      <c r="M236" s="78">
        <f>IF(ISBLANK(L236),"",IF(D236="Stock",IF(C236="Buy",L236*G236,IF(C236="Sell",(L236*G236)-I236, X)),IF(C236="Buy",(L236*G236*100)+I236,IF(C236="Sell",(L236*G236*100)-I236, X))))</f>
        <v/>
      </c>
      <c r="N236" s="78">
        <f>IF(ISBLANK(L236),"",IF(AND(C236="Sell",D236="Stock"),M236,IF(ISBLANK(L236),"",IF(C236="Buy",M236, IF(AND(C236="Sell",J236="NA"),(E236*G236*100*0.1)+I236, IF(C236="Sell",(J236-L236)*(100*G236)+I236))))))</f>
        <v/>
      </c>
      <c r="O236" s="75" t="n"/>
      <c r="P236" s="75" t="n"/>
      <c r="Q236" s="75">
        <f>IF(ISBLANK(P236),"",IF(D236="Stock",P236*G236,IF(P236=0,"0",G236*P236*100-(G236*$AF$14))))</f>
        <v/>
      </c>
      <c r="R236" s="79">
        <f>IF(P236&lt;&gt;"", TODAY(), "")</f>
        <v/>
      </c>
      <c r="S236" s="78">
        <f>IF(AND(K236&lt;&gt;"", R236&lt;&gt;""), R236-K236, "")</f>
        <v/>
      </c>
      <c r="T236" s="78" t="n"/>
      <c r="U236" s="92">
        <f>IF(ISBLANK(P236),"",IF(C236="Buy",Q236-M236+T236, IF(C236="Sell",M236-Q236-T236, X)))</f>
        <v/>
      </c>
      <c r="V236" s="81">
        <f>IF(ISBLANK(P236),"",U236/N236)</f>
        <v/>
      </c>
      <c r="W236" s="81">
        <f>IF(ISBLANK(P236),"",IF(S236=0,(365/0.5)*V236,(365/S236)*V236))</f>
        <v/>
      </c>
      <c r="X236" s="75" t="n"/>
      <c r="Y236" s="77" t="n"/>
      <c r="Z236" s="77" t="n"/>
      <c r="AA236" s="75" t="n"/>
      <c r="AB236" s="75" t="n"/>
      <c r="AC236" s="6" t="n"/>
      <c r="AD236" s="75" t="n"/>
      <c r="AE236" s="75" t="n"/>
      <c r="AF236" s="75" t="n"/>
    </row>
    <row r="237" ht="15.75" customHeight="1" s="133">
      <c r="A237" s="75" t="n"/>
      <c r="B237" s="75" t="n"/>
      <c r="C237" s="75" t="n"/>
      <c r="D237" s="75" t="n"/>
      <c r="E237" s="76" t="n"/>
      <c r="F237" s="77" t="n"/>
      <c r="G237" s="75" t="n"/>
      <c r="H237" s="75">
        <f>IF(ISBLANK(E237),"",IF(OR(D237="Butterfly",D237="Butterfly ",D237="Iron Fly", D237="Iron Fly "),LEN(E237)-LEN(SUBSTITUTE(E237,"/",""))+2,LEN(E237)-LEN(SUBSTITUTE(E237,"/",""))+1))</f>
        <v/>
      </c>
      <c r="I237" s="78">
        <f>IF(ISBLANK(G237),"",IF(D237="Stock","0",Key!$A$3*H237*G237))</f>
        <v/>
      </c>
      <c r="J237" s="78">
        <f>IF(ISBLANK(E237),"",IF(ISNUMBER(SEARCH("/",E237)), IF(LEN(E237)-LEN(SUBSTITUTE(E237,"/",""))=1,(RIGHT(E237,LEN(E237)-FIND("/",E237)))-(LEFT(E237,FIND("/",E237)-1)),(MID(E237, SEARCH("/",E237) + 1, SEARCH("/",E237, SEARCH("/",E237)+1) - SEARCH("/",E237) - 1))-(LEFT(E237,FIND("/",E237)-1))), "NA"))</f>
        <v/>
      </c>
      <c r="K237" s="79">
        <f>IF(A237&lt;&gt;"", IF(ISBLANK(L237), TODAY(), K237), "")</f>
        <v/>
      </c>
      <c r="L237" s="78" t="n"/>
      <c r="M237" s="78">
        <f>IF(ISBLANK(L237),"",IF(D237="Stock",IF(C237="Buy",L237*G237,IF(C237="Sell",(L237*G237)-I237, X)),IF(C237="Buy",(L237*G237*100)+I237,IF(C237="Sell",(L237*G237*100)-I237, X))))</f>
        <v/>
      </c>
      <c r="N237" s="78">
        <f>IF(ISBLANK(L237),"",IF(AND(C237="Sell",D237="Stock"),M237,IF(ISBLANK(L237),"",IF(C237="Buy",M237, IF(AND(C237="Sell",J237="NA"),(E237*G237*100*0.1)+I237, IF(C237="Sell",(J237-L237)*(100*G237)+I237))))))</f>
        <v/>
      </c>
      <c r="O237" s="75" t="n"/>
      <c r="P237" s="75" t="n"/>
      <c r="Q237" s="75">
        <f>IF(ISBLANK(P237),"",IF(D237="Stock",P237*G237,IF(P237=0,"0",G237*P237*100-(G237*$AF$14))))</f>
        <v/>
      </c>
      <c r="R237" s="79">
        <f>IF(P237&lt;&gt;"", TODAY(), "")</f>
        <v/>
      </c>
      <c r="S237" s="78">
        <f>IF(AND(K237&lt;&gt;"", R237&lt;&gt;""), R237-K237, "")</f>
        <v/>
      </c>
      <c r="T237" s="78" t="n"/>
      <c r="U237" s="92">
        <f>IF(ISBLANK(P237),"",IF(C237="Buy",Q237-M237+T237, IF(C237="Sell",M237-Q237-T237, X)))</f>
        <v/>
      </c>
      <c r="V237" s="81">
        <f>IF(ISBLANK(P237),"",U237/N237)</f>
        <v/>
      </c>
      <c r="W237" s="81">
        <f>IF(ISBLANK(P237),"",IF(S237=0,(365/0.5)*V237,(365/S237)*V237))</f>
        <v/>
      </c>
      <c r="X237" s="75" t="n"/>
      <c r="Y237" s="77" t="n"/>
      <c r="Z237" s="77" t="n"/>
      <c r="AA237" s="75" t="n"/>
      <c r="AB237" s="75" t="n"/>
      <c r="AC237" s="6" t="n"/>
      <c r="AD237" s="75" t="n"/>
      <c r="AE237" s="75" t="n"/>
      <c r="AF237" s="75" t="n"/>
    </row>
    <row r="238" ht="15.75" customHeight="1" s="133">
      <c r="A238" s="75" t="n"/>
      <c r="B238" s="75" t="n"/>
      <c r="C238" s="75" t="n"/>
      <c r="D238" s="75" t="n"/>
      <c r="E238" s="76" t="n"/>
      <c r="F238" s="77" t="n"/>
      <c r="G238" s="75" t="n"/>
      <c r="H238" s="75">
        <f>IF(ISBLANK(E238),"",IF(OR(D238="Butterfly",D238="Butterfly ",D238="Iron Fly", D238="Iron Fly "),LEN(E238)-LEN(SUBSTITUTE(E238,"/",""))+2,LEN(E238)-LEN(SUBSTITUTE(E238,"/",""))+1))</f>
        <v/>
      </c>
      <c r="I238" s="78">
        <f>IF(ISBLANK(G238),"",IF(D238="Stock","0",Key!$A$3*H238*G238))</f>
        <v/>
      </c>
      <c r="J238" s="78">
        <f>IF(ISBLANK(E238),"",IF(ISNUMBER(SEARCH("/",E238)), IF(LEN(E238)-LEN(SUBSTITUTE(E238,"/",""))=1,(RIGHT(E238,LEN(E238)-FIND("/",E238)))-(LEFT(E238,FIND("/",E238)-1)),(MID(E238, SEARCH("/",E238) + 1, SEARCH("/",E238, SEARCH("/",E238)+1) - SEARCH("/",E238) - 1))-(LEFT(E238,FIND("/",E238)-1))), "NA"))</f>
        <v/>
      </c>
      <c r="K238" s="79">
        <f>IF(A238&lt;&gt;"", IF(ISBLANK(L238), TODAY(), K238), "")</f>
        <v/>
      </c>
      <c r="L238" s="78" t="n"/>
      <c r="M238" s="78">
        <f>IF(ISBLANK(L238),"",IF(D238="Stock",IF(C238="Buy",L238*G238,IF(C238="Sell",(L238*G238)-I238, X)),IF(C238="Buy",(L238*G238*100)+I238,IF(C238="Sell",(L238*G238*100)-I238, X))))</f>
        <v/>
      </c>
      <c r="N238" s="78">
        <f>IF(ISBLANK(L238),"",IF(AND(C238="Sell",D238="Stock"),M238,IF(ISBLANK(L238),"",IF(C238="Buy",M238, IF(AND(C238="Sell",J238="NA"),(E238*G238*100*0.1)+I238, IF(C238="Sell",(J238-L238)*(100*G238)+I238))))))</f>
        <v/>
      </c>
      <c r="O238" s="75" t="n"/>
      <c r="P238" s="75" t="n"/>
      <c r="Q238" s="75">
        <f>IF(ISBLANK(P238),"",IF(D238="Stock",P238*G238,IF(P238=0,"0",G238*P238*100-(G238*$AF$14))))</f>
        <v/>
      </c>
      <c r="R238" s="79">
        <f>IF(P238&lt;&gt;"", TODAY(), "")</f>
        <v/>
      </c>
      <c r="S238" s="78">
        <f>IF(AND(K238&lt;&gt;"", R238&lt;&gt;""), R238-K238, "")</f>
        <v/>
      </c>
      <c r="T238" s="78" t="n"/>
      <c r="U238" s="92">
        <f>IF(ISBLANK(P238),"",IF(C238="Buy",Q238-M238+T238, IF(C238="Sell",M238-Q238-T238, X)))</f>
        <v/>
      </c>
      <c r="V238" s="81">
        <f>IF(ISBLANK(P238),"",U238/N238)</f>
        <v/>
      </c>
      <c r="W238" s="81">
        <f>IF(ISBLANK(P238),"",IF(S238=0,(365/0.5)*V238,(365/S238)*V238))</f>
        <v/>
      </c>
      <c r="X238" s="75" t="n"/>
      <c r="Y238" s="77" t="n"/>
      <c r="Z238" s="77" t="n"/>
      <c r="AA238" s="75" t="n"/>
      <c r="AB238" s="75" t="n"/>
      <c r="AC238" s="6" t="n"/>
      <c r="AD238" s="75" t="n"/>
      <c r="AE238" s="75" t="n"/>
      <c r="AF238" s="75" t="n"/>
    </row>
    <row r="239" ht="15.75" customHeight="1" s="133">
      <c r="A239" s="75" t="n"/>
      <c r="B239" s="75" t="n"/>
      <c r="C239" s="75" t="n"/>
      <c r="D239" s="75" t="n"/>
      <c r="E239" s="76" t="n"/>
      <c r="F239" s="77" t="n"/>
      <c r="G239" s="75" t="n"/>
      <c r="H239" s="75">
        <f>IF(ISBLANK(E239),"",IF(OR(D239="Butterfly",D239="Butterfly ",D239="Iron Fly", D239="Iron Fly "),LEN(E239)-LEN(SUBSTITUTE(E239,"/",""))+2,LEN(E239)-LEN(SUBSTITUTE(E239,"/",""))+1))</f>
        <v/>
      </c>
      <c r="I239" s="78">
        <f>IF(ISBLANK(G239),"",IF(D239="Stock","0",Key!$A$3*H239*G239))</f>
        <v/>
      </c>
      <c r="J239" s="78">
        <f>IF(ISBLANK(E239),"",IF(ISNUMBER(SEARCH("/",E239)), IF(LEN(E239)-LEN(SUBSTITUTE(E239,"/",""))=1,(RIGHT(E239,LEN(E239)-FIND("/",E239)))-(LEFT(E239,FIND("/",E239)-1)),(MID(E239, SEARCH("/",E239) + 1, SEARCH("/",E239, SEARCH("/",E239)+1) - SEARCH("/",E239) - 1))-(LEFT(E239,FIND("/",E239)-1))), "NA"))</f>
        <v/>
      </c>
      <c r="K239" s="79">
        <f>IF(A239&lt;&gt;"", IF(ISBLANK(L239), TODAY(), K239), "")</f>
        <v/>
      </c>
      <c r="L239" s="78" t="n"/>
      <c r="M239" s="78">
        <f>IF(ISBLANK(L239),"",IF(D239="Stock",IF(C239="Buy",L239*G239,IF(C239="Sell",(L239*G239)-I239, X)),IF(C239="Buy",(L239*G239*100)+I239,IF(C239="Sell",(L239*G239*100)-I239, X))))</f>
        <v/>
      </c>
      <c r="N239" s="78">
        <f>IF(ISBLANK(L239),"",IF(AND(C239="Sell",D239="Stock"),M239,IF(ISBLANK(L239),"",IF(C239="Buy",M239, IF(AND(C239="Sell",J239="NA"),(E239*G239*100*0.1)+I239, IF(C239="Sell",(J239-L239)*(100*G239)+I239))))))</f>
        <v/>
      </c>
      <c r="O239" s="75" t="n"/>
      <c r="P239" s="75" t="n"/>
      <c r="Q239" s="75">
        <f>IF(ISBLANK(P239),"",IF(D239="Stock",P239*G239,IF(P239=0,"0",G239*P239*100-(G239*$AF$14))))</f>
        <v/>
      </c>
      <c r="R239" s="79">
        <f>IF(P239&lt;&gt;"", TODAY(), "")</f>
        <v/>
      </c>
      <c r="S239" s="78">
        <f>IF(AND(K239&lt;&gt;"", R239&lt;&gt;""), R239-K239, "")</f>
        <v/>
      </c>
      <c r="T239" s="78" t="n"/>
      <c r="U239" s="92">
        <f>IF(ISBLANK(P239),"",IF(C239="Buy",Q239-M239+T239, IF(C239="Sell",M239-Q239-T239, X)))</f>
        <v/>
      </c>
      <c r="V239" s="81">
        <f>IF(ISBLANK(P239),"",U239/N239)</f>
        <v/>
      </c>
      <c r="W239" s="81">
        <f>IF(ISBLANK(P239),"",IF(S239=0,(365/0.5)*V239,(365/S239)*V239))</f>
        <v/>
      </c>
      <c r="X239" s="75" t="n"/>
      <c r="Y239" s="77" t="n"/>
      <c r="Z239" s="77" t="n"/>
      <c r="AA239" s="75" t="n"/>
      <c r="AB239" s="75" t="n"/>
      <c r="AC239" s="6" t="n"/>
      <c r="AD239" s="75" t="n"/>
      <c r="AE239" s="75" t="n"/>
      <c r="AF239" s="75" t="n"/>
    </row>
    <row r="240" ht="15.75" customHeight="1" s="133">
      <c r="A240" s="75" t="n"/>
      <c r="B240" s="75" t="n"/>
      <c r="C240" s="75" t="n"/>
      <c r="D240" s="75" t="n"/>
      <c r="E240" s="76" t="n"/>
      <c r="F240" s="77" t="n"/>
      <c r="G240" s="75" t="n"/>
      <c r="H240" s="75">
        <f>IF(ISBLANK(E240),"",IF(OR(D240="Butterfly",D240="Butterfly ",D240="Iron Fly", D240="Iron Fly "),LEN(E240)-LEN(SUBSTITUTE(E240,"/",""))+2,LEN(E240)-LEN(SUBSTITUTE(E240,"/",""))+1))</f>
        <v/>
      </c>
      <c r="I240" s="78">
        <f>IF(ISBLANK(G240),"",IF(D240="Stock","0",Key!$A$3*H240*G240))</f>
        <v/>
      </c>
      <c r="J240" s="78">
        <f>IF(ISBLANK(E240),"",IF(ISNUMBER(SEARCH("/",E240)), IF(LEN(E240)-LEN(SUBSTITUTE(E240,"/",""))=1,(RIGHT(E240,LEN(E240)-FIND("/",E240)))-(LEFT(E240,FIND("/",E240)-1)),(MID(E240, SEARCH("/",E240) + 1, SEARCH("/",E240, SEARCH("/",E240)+1) - SEARCH("/",E240) - 1))-(LEFT(E240,FIND("/",E240)-1))), "NA"))</f>
        <v/>
      </c>
      <c r="K240" s="79">
        <f>IF(A240&lt;&gt;"", IF(ISBLANK(L240), TODAY(), K240), "")</f>
        <v/>
      </c>
      <c r="L240" s="78" t="n"/>
      <c r="M240" s="78">
        <f>IF(ISBLANK(L240),"",IF(D240="Stock",IF(C240="Buy",L240*G240,IF(C240="Sell",(L240*G240)-I240, X)),IF(C240="Buy",(L240*G240*100)+I240,IF(C240="Sell",(L240*G240*100)-I240, X))))</f>
        <v/>
      </c>
      <c r="N240" s="78">
        <f>IF(ISBLANK(L240),"",IF(AND(C240="Sell",D240="Stock"),M240,IF(ISBLANK(L240),"",IF(C240="Buy",M240, IF(AND(C240="Sell",J240="NA"),(E240*G240*100*0.1)+I240, IF(C240="Sell",(J240-L240)*(100*G240)+I240))))))</f>
        <v/>
      </c>
      <c r="O240" s="75" t="n"/>
      <c r="P240" s="75" t="n"/>
      <c r="Q240" s="75">
        <f>IF(ISBLANK(P240),"",IF(D240="Stock",P240*G240,IF(P240=0,"0",G240*P240*100-(G240*$AF$14))))</f>
        <v/>
      </c>
      <c r="R240" s="79">
        <f>IF(P240&lt;&gt;"", TODAY(), "")</f>
        <v/>
      </c>
      <c r="S240" s="78">
        <f>IF(AND(K240&lt;&gt;"", R240&lt;&gt;""), R240-K240, "")</f>
        <v/>
      </c>
      <c r="T240" s="78" t="n"/>
      <c r="U240" s="92">
        <f>IF(ISBLANK(P240),"",IF(C240="Buy",Q240-M240+T240, IF(C240="Sell",M240-Q240-T240, X)))</f>
        <v/>
      </c>
      <c r="V240" s="81">
        <f>IF(ISBLANK(P240),"",U240/N240)</f>
        <v/>
      </c>
      <c r="W240" s="81">
        <f>IF(ISBLANK(P240),"",IF(S240=0,(365/0.5)*V240,(365/S240)*V240))</f>
        <v/>
      </c>
      <c r="X240" s="75" t="n"/>
      <c r="Y240" s="77" t="n"/>
      <c r="Z240" s="77" t="n"/>
      <c r="AA240" s="75" t="n"/>
      <c r="AB240" s="75" t="n"/>
      <c r="AC240" s="6" t="n"/>
      <c r="AD240" s="75" t="n"/>
      <c r="AE240" s="75" t="n"/>
      <c r="AF240" s="75" t="n"/>
    </row>
    <row r="241" ht="15.75" customHeight="1" s="133">
      <c r="A241" s="75" t="n"/>
      <c r="B241" s="75" t="n"/>
      <c r="C241" s="75" t="n"/>
      <c r="D241" s="75" t="n"/>
      <c r="E241" s="76" t="n"/>
      <c r="F241" s="77" t="n"/>
      <c r="G241" s="75" t="n"/>
      <c r="H241" s="75">
        <f>IF(ISBLANK(E241),"",IF(OR(D241="Butterfly",D241="Butterfly ",D241="Iron Fly", D241="Iron Fly "),LEN(E241)-LEN(SUBSTITUTE(E241,"/",""))+2,LEN(E241)-LEN(SUBSTITUTE(E241,"/",""))+1))</f>
        <v/>
      </c>
      <c r="I241" s="78">
        <f>IF(ISBLANK(G241),"",IF(D241="Stock","0",Key!$A$3*H241*G241))</f>
        <v/>
      </c>
      <c r="J241" s="78">
        <f>IF(ISBLANK(E241),"",IF(ISNUMBER(SEARCH("/",E241)), IF(LEN(E241)-LEN(SUBSTITUTE(E241,"/",""))=1,(RIGHT(E241,LEN(E241)-FIND("/",E241)))-(LEFT(E241,FIND("/",E241)-1)),(MID(E241, SEARCH("/",E241) + 1, SEARCH("/",E241, SEARCH("/",E241)+1) - SEARCH("/",E241) - 1))-(LEFT(E241,FIND("/",E241)-1))), "NA"))</f>
        <v/>
      </c>
      <c r="K241" s="79">
        <f>IF(A241&lt;&gt;"", IF(ISBLANK(L241), TODAY(), K241), "")</f>
        <v/>
      </c>
      <c r="L241" s="78" t="n"/>
      <c r="M241" s="78">
        <f>IF(ISBLANK(L241),"",IF(D241="Stock",IF(C241="Buy",L241*G241,IF(C241="Sell",(L241*G241)-I241, X)),IF(C241="Buy",(L241*G241*100)+I241,IF(C241="Sell",(L241*G241*100)-I241, X))))</f>
        <v/>
      </c>
      <c r="N241" s="78">
        <f>IF(ISBLANK(L241),"",IF(AND(C241="Sell",D241="Stock"),M241,IF(ISBLANK(L241),"",IF(C241="Buy",M241, IF(AND(C241="Sell",J241="NA"),(E241*G241*100*0.1)+I241, IF(C241="Sell",(J241-L241)*(100*G241)+I241))))))</f>
        <v/>
      </c>
      <c r="O241" s="75" t="n"/>
      <c r="P241" s="75" t="n"/>
      <c r="Q241" s="75">
        <f>IF(ISBLANK(P241),"",IF(D241="Stock",P241*G241,IF(P241=0,"0",G241*P241*100-(G241*$AF$14))))</f>
        <v/>
      </c>
      <c r="R241" s="79">
        <f>IF(P241&lt;&gt;"", TODAY(), "")</f>
        <v/>
      </c>
      <c r="S241" s="78">
        <f>IF(AND(K241&lt;&gt;"", R241&lt;&gt;""), R241-K241, "")</f>
        <v/>
      </c>
      <c r="T241" s="78" t="n"/>
      <c r="U241" s="92">
        <f>IF(ISBLANK(P241),"",IF(C241="Buy",Q241-M241+T241, IF(C241="Sell",M241-Q241-T241, X)))</f>
        <v/>
      </c>
      <c r="V241" s="81">
        <f>IF(ISBLANK(P241),"",U241/N241)</f>
        <v/>
      </c>
      <c r="W241" s="81">
        <f>IF(ISBLANK(P241),"",IF(S241=0,(365/0.5)*V241,(365/S241)*V241))</f>
        <v/>
      </c>
      <c r="X241" s="75" t="n"/>
      <c r="Y241" s="77" t="n"/>
      <c r="Z241" s="77" t="n"/>
      <c r="AA241" s="75" t="n"/>
      <c r="AB241" s="75" t="n"/>
      <c r="AC241" s="6" t="n"/>
      <c r="AD241" s="75" t="n"/>
      <c r="AE241" s="75" t="n"/>
      <c r="AF241" s="75" t="n"/>
    </row>
    <row r="242" ht="15.75" customHeight="1" s="133">
      <c r="A242" s="75" t="n"/>
      <c r="B242" s="75" t="n"/>
      <c r="C242" s="75" t="n"/>
      <c r="D242" s="75" t="n"/>
      <c r="E242" s="76" t="n"/>
      <c r="F242" s="77" t="n"/>
      <c r="G242" s="75" t="n"/>
      <c r="H242" s="75">
        <f>IF(ISBLANK(E242),"",IF(OR(D242="Butterfly",D242="Butterfly ",D242="Iron Fly", D242="Iron Fly "),LEN(E242)-LEN(SUBSTITUTE(E242,"/",""))+2,LEN(E242)-LEN(SUBSTITUTE(E242,"/",""))+1))</f>
        <v/>
      </c>
      <c r="I242" s="78">
        <f>IF(ISBLANK(G242),"",IF(D242="Stock","0",Key!$A$3*H242*G242))</f>
        <v/>
      </c>
      <c r="J242" s="78">
        <f>IF(ISBLANK(E242),"",IF(ISNUMBER(SEARCH("/",E242)), IF(LEN(E242)-LEN(SUBSTITUTE(E242,"/",""))=1,(RIGHT(E242,LEN(E242)-FIND("/",E242)))-(LEFT(E242,FIND("/",E242)-1)),(MID(E242, SEARCH("/",E242) + 1, SEARCH("/",E242, SEARCH("/",E242)+1) - SEARCH("/",E242) - 1))-(LEFT(E242,FIND("/",E242)-1))), "NA"))</f>
        <v/>
      </c>
      <c r="K242" s="79">
        <f>IF(A242&lt;&gt;"", IF(ISBLANK(L242), TODAY(), K242), "")</f>
        <v/>
      </c>
      <c r="L242" s="78" t="n"/>
      <c r="M242" s="78">
        <f>IF(ISBLANK(L242),"",IF(D242="Stock",IF(C242="Buy",L242*G242,IF(C242="Sell",(L242*G242)-I242, X)),IF(C242="Buy",(L242*G242*100)+I242,IF(C242="Sell",(L242*G242*100)-I242, X))))</f>
        <v/>
      </c>
      <c r="N242" s="78">
        <f>IF(ISBLANK(L242),"",IF(AND(C242="Sell",D242="Stock"),M242,IF(ISBLANK(L242),"",IF(C242="Buy",M242, IF(AND(C242="Sell",J242="NA"),(E242*G242*100*0.1)+I242, IF(C242="Sell",(J242-L242)*(100*G242)+I242))))))</f>
        <v/>
      </c>
      <c r="O242" s="75" t="n"/>
      <c r="P242" s="75" t="n"/>
      <c r="Q242" s="75">
        <f>IF(ISBLANK(P242),"",IF(D242="Stock",P242*G242,IF(P242=0,"0",G242*P242*100-(G242*$AF$14))))</f>
        <v/>
      </c>
      <c r="R242" s="79">
        <f>IF(P242&lt;&gt;"", TODAY(), "")</f>
        <v/>
      </c>
      <c r="S242" s="78">
        <f>IF(AND(K242&lt;&gt;"", R242&lt;&gt;""), R242-K242, "")</f>
        <v/>
      </c>
      <c r="T242" s="78" t="n"/>
      <c r="U242" s="92">
        <f>IF(ISBLANK(P242),"",IF(C242="Buy",Q242-M242+T242, IF(C242="Sell",M242-Q242-T242, X)))</f>
        <v/>
      </c>
      <c r="V242" s="81">
        <f>IF(ISBLANK(P242),"",U242/N242)</f>
        <v/>
      </c>
      <c r="W242" s="81">
        <f>IF(ISBLANK(P242),"",IF(S242=0,(365/0.5)*V242,(365/S242)*V242))</f>
        <v/>
      </c>
      <c r="X242" s="75" t="n"/>
      <c r="Y242" s="77" t="n"/>
      <c r="Z242" s="77" t="n"/>
      <c r="AA242" s="75" t="n"/>
      <c r="AB242" s="75" t="n"/>
      <c r="AC242" s="6" t="n"/>
      <c r="AD242" s="75" t="n"/>
      <c r="AE242" s="75" t="n"/>
      <c r="AF242" s="75" t="n"/>
    </row>
    <row r="243" ht="15.75" customHeight="1" s="133">
      <c r="A243" s="75" t="n"/>
      <c r="B243" s="75" t="n"/>
      <c r="C243" s="75" t="n"/>
      <c r="D243" s="75" t="n"/>
      <c r="E243" s="76" t="n"/>
      <c r="F243" s="77" t="n"/>
      <c r="G243" s="75" t="n"/>
      <c r="H243" s="75">
        <f>IF(ISBLANK(E243),"",IF(OR(D243="Butterfly",D243="Butterfly ",D243="Iron Fly", D243="Iron Fly "),LEN(E243)-LEN(SUBSTITUTE(E243,"/",""))+2,LEN(E243)-LEN(SUBSTITUTE(E243,"/",""))+1))</f>
        <v/>
      </c>
      <c r="I243" s="78">
        <f>IF(ISBLANK(G243),"",IF(D243="Stock","0",Key!$A$3*H243*G243))</f>
        <v/>
      </c>
      <c r="J243" s="78">
        <f>IF(ISBLANK(E243),"",IF(ISNUMBER(SEARCH("/",E243)), IF(LEN(E243)-LEN(SUBSTITUTE(E243,"/",""))=1,(RIGHT(E243,LEN(E243)-FIND("/",E243)))-(LEFT(E243,FIND("/",E243)-1)),(MID(E243, SEARCH("/",E243) + 1, SEARCH("/",E243, SEARCH("/",E243)+1) - SEARCH("/",E243) - 1))-(LEFT(E243,FIND("/",E243)-1))), "NA"))</f>
        <v/>
      </c>
      <c r="K243" s="79">
        <f>IF(A243&lt;&gt;"", IF(ISBLANK(L243), TODAY(), K243), "")</f>
        <v/>
      </c>
      <c r="L243" s="78" t="n"/>
      <c r="M243" s="78">
        <f>IF(ISBLANK(L243),"",IF(D243="Stock",IF(C243="Buy",L243*G243,IF(C243="Sell",(L243*G243)-I243, X)),IF(C243="Buy",(L243*G243*100)+I243,IF(C243="Sell",(L243*G243*100)-I243, X))))</f>
        <v/>
      </c>
      <c r="N243" s="78">
        <f>IF(ISBLANK(L243),"",IF(AND(C243="Sell",D243="Stock"),M243,IF(ISBLANK(L243),"",IF(C243="Buy",M243, IF(AND(C243="Sell",J243="NA"),(E243*G243*100*0.1)+I243, IF(C243="Sell",(J243-L243)*(100*G243)+I243))))))</f>
        <v/>
      </c>
      <c r="O243" s="75" t="n"/>
      <c r="P243" s="75" t="n"/>
      <c r="Q243" s="75">
        <f>IF(ISBLANK(P243),"",IF(D243="Stock",P243*G243,IF(P243=0,"0",G243*P243*100-(G243*$AF$14))))</f>
        <v/>
      </c>
      <c r="R243" s="79">
        <f>IF(P243&lt;&gt;"", TODAY(), "")</f>
        <v/>
      </c>
      <c r="S243" s="78">
        <f>IF(AND(K243&lt;&gt;"", R243&lt;&gt;""), R243-K243, "")</f>
        <v/>
      </c>
      <c r="T243" s="78" t="n"/>
      <c r="U243" s="92">
        <f>IF(ISBLANK(P243),"",IF(C243="Buy",Q243-M243+T243, IF(C243="Sell",M243-Q243-T243, X)))</f>
        <v/>
      </c>
      <c r="V243" s="81">
        <f>IF(ISBLANK(P243),"",U243/N243)</f>
        <v/>
      </c>
      <c r="W243" s="81">
        <f>IF(ISBLANK(P243),"",IF(S243=0,(365/0.5)*V243,(365/S243)*V243))</f>
        <v/>
      </c>
      <c r="X243" s="75" t="n"/>
      <c r="Y243" s="77" t="n"/>
      <c r="Z243" s="77" t="n"/>
      <c r="AA243" s="75" t="n"/>
      <c r="AB243" s="75" t="n"/>
      <c r="AC243" s="6" t="n"/>
      <c r="AD243" s="75" t="n"/>
      <c r="AE243" s="75" t="n"/>
      <c r="AF243" s="75" t="n"/>
    </row>
    <row r="244" ht="15.75" customHeight="1" s="133">
      <c r="A244" s="75" t="n"/>
      <c r="B244" s="75" t="n"/>
      <c r="C244" s="75" t="n"/>
      <c r="D244" s="75" t="n"/>
      <c r="E244" s="76" t="n"/>
      <c r="F244" s="77" t="n"/>
      <c r="G244" s="75" t="n"/>
      <c r="H244" s="75">
        <f>IF(ISBLANK(E244),"",IF(OR(D244="Butterfly",D244="Butterfly ",D244="Iron Fly", D244="Iron Fly "),LEN(E244)-LEN(SUBSTITUTE(E244,"/",""))+2,LEN(E244)-LEN(SUBSTITUTE(E244,"/",""))+1))</f>
        <v/>
      </c>
      <c r="I244" s="78">
        <f>IF(ISBLANK(G244),"",IF(D244="Stock","0",Key!$A$3*H244*G244))</f>
        <v/>
      </c>
      <c r="J244" s="78">
        <f>IF(ISBLANK(E244),"",IF(ISNUMBER(SEARCH("/",E244)), IF(LEN(E244)-LEN(SUBSTITUTE(E244,"/",""))=1,(RIGHT(E244,LEN(E244)-FIND("/",E244)))-(LEFT(E244,FIND("/",E244)-1)),(MID(E244, SEARCH("/",E244) + 1, SEARCH("/",E244, SEARCH("/",E244)+1) - SEARCH("/",E244) - 1))-(LEFT(E244,FIND("/",E244)-1))), "NA"))</f>
        <v/>
      </c>
      <c r="K244" s="79">
        <f>IF(A244&lt;&gt;"", IF(ISBLANK(L244), TODAY(), K244), "")</f>
        <v/>
      </c>
      <c r="L244" s="78" t="n"/>
      <c r="M244" s="78">
        <f>IF(ISBLANK(L244),"",IF(D244="Stock",IF(C244="Buy",L244*G244,IF(C244="Sell",(L244*G244)-I244, X)),IF(C244="Buy",(L244*G244*100)+I244,IF(C244="Sell",(L244*G244*100)-I244, X))))</f>
        <v/>
      </c>
      <c r="N244" s="78">
        <f>IF(ISBLANK(L244),"",IF(AND(C244="Sell",D244="Stock"),M244,IF(ISBLANK(L244),"",IF(C244="Buy",M244, IF(AND(C244="Sell",J244="NA"),(E244*G244*100*0.1)+I244, IF(C244="Sell",(J244-L244)*(100*G244)+I244))))))</f>
        <v/>
      </c>
      <c r="O244" s="75" t="n"/>
      <c r="P244" s="75" t="n"/>
      <c r="Q244" s="75">
        <f>IF(ISBLANK(P244),"",IF(D244="Stock",P244*G244,IF(P244=0,"0",G244*P244*100-(G244*$AF$14))))</f>
        <v/>
      </c>
      <c r="R244" s="79">
        <f>IF(P244&lt;&gt;"", TODAY(), "")</f>
        <v/>
      </c>
      <c r="S244" s="78">
        <f>IF(AND(K244&lt;&gt;"", R244&lt;&gt;""), R244-K244, "")</f>
        <v/>
      </c>
      <c r="T244" s="78" t="n"/>
      <c r="U244" s="92">
        <f>IF(ISBLANK(P244),"",IF(C244="Buy",Q244-M244+T244, IF(C244="Sell",M244-Q244-T244, X)))</f>
        <v/>
      </c>
      <c r="V244" s="81">
        <f>IF(ISBLANK(P244),"",U244/N244)</f>
        <v/>
      </c>
      <c r="W244" s="81">
        <f>IF(ISBLANK(P244),"",IF(S244=0,(365/0.5)*V244,(365/S244)*V244))</f>
        <v/>
      </c>
      <c r="X244" s="75" t="n"/>
      <c r="Y244" s="77" t="n"/>
      <c r="Z244" s="77" t="n"/>
      <c r="AA244" s="75" t="n"/>
      <c r="AB244" s="75" t="n"/>
      <c r="AC244" s="6" t="n"/>
      <c r="AD244" s="75" t="n"/>
      <c r="AE244" s="75" t="n"/>
      <c r="AF244" s="75" t="n"/>
    </row>
    <row r="245" ht="15.75" customHeight="1" s="133">
      <c r="A245" s="75" t="n"/>
      <c r="B245" s="75" t="n"/>
      <c r="C245" s="75" t="n"/>
      <c r="D245" s="75" t="n"/>
      <c r="E245" s="76" t="n"/>
      <c r="F245" s="77" t="n"/>
      <c r="G245" s="75" t="n"/>
      <c r="H245" s="75">
        <f>IF(ISBLANK(E245),"",IF(OR(D245="Butterfly",D245="Butterfly ",D245="Iron Fly", D245="Iron Fly "),LEN(E245)-LEN(SUBSTITUTE(E245,"/",""))+2,LEN(E245)-LEN(SUBSTITUTE(E245,"/",""))+1))</f>
        <v/>
      </c>
      <c r="I245" s="78">
        <f>IF(ISBLANK(G245),"",IF(D245="Stock","0",Key!$A$3*H245*G245))</f>
        <v/>
      </c>
      <c r="J245" s="78">
        <f>IF(ISBLANK(E245),"",IF(ISNUMBER(SEARCH("/",E245)), IF(LEN(E245)-LEN(SUBSTITUTE(E245,"/",""))=1,(RIGHT(E245,LEN(E245)-FIND("/",E245)))-(LEFT(E245,FIND("/",E245)-1)),(MID(E245, SEARCH("/",E245) + 1, SEARCH("/",E245, SEARCH("/",E245)+1) - SEARCH("/",E245) - 1))-(LEFT(E245,FIND("/",E245)-1))), "NA"))</f>
        <v/>
      </c>
      <c r="K245" s="79">
        <f>IF(A245&lt;&gt;"", IF(ISBLANK(L245), TODAY(), K245), "")</f>
        <v/>
      </c>
      <c r="L245" s="78" t="n"/>
      <c r="M245" s="78">
        <f>IF(ISBLANK(L245),"",IF(D245="Stock",IF(C245="Buy",L245*G245,IF(C245="Sell",(L245*G245)-I245, X)),IF(C245="Buy",(L245*G245*100)+I245,IF(C245="Sell",(L245*G245*100)-I245, X))))</f>
        <v/>
      </c>
      <c r="N245" s="78">
        <f>IF(ISBLANK(L245),"",IF(AND(C245="Sell",D245="Stock"),M245,IF(ISBLANK(L245),"",IF(C245="Buy",M245, IF(AND(C245="Sell",J245="NA"),(E245*G245*100*0.1)+I245, IF(C245="Sell",(J245-L245)*(100*G245)+I245))))))</f>
        <v/>
      </c>
      <c r="O245" s="75" t="n"/>
      <c r="P245" s="75" t="n"/>
      <c r="Q245" s="75">
        <f>IF(ISBLANK(P245),"",IF(D245="Stock",P245*G245,IF(P245=0,"0",G245*P245*100-(G245*$AF$14))))</f>
        <v/>
      </c>
      <c r="R245" s="79">
        <f>IF(P245&lt;&gt;"", TODAY(), "")</f>
        <v/>
      </c>
      <c r="S245" s="78">
        <f>IF(AND(K245&lt;&gt;"", R245&lt;&gt;""), R245-K245, "")</f>
        <v/>
      </c>
      <c r="T245" s="78" t="n"/>
      <c r="U245" s="92">
        <f>IF(ISBLANK(P245),"",IF(C245="Buy",Q245-M245+T245, IF(C245="Sell",M245-Q245-T245, X)))</f>
        <v/>
      </c>
      <c r="V245" s="81">
        <f>IF(ISBLANK(P245),"",U245/N245)</f>
        <v/>
      </c>
      <c r="W245" s="81">
        <f>IF(ISBLANK(P245),"",IF(S245=0,(365/0.5)*V245,(365/S245)*V245))</f>
        <v/>
      </c>
      <c r="X245" s="75" t="n"/>
      <c r="Y245" s="77" t="n"/>
      <c r="Z245" s="77" t="n"/>
      <c r="AA245" s="75" t="n"/>
      <c r="AB245" s="75" t="n"/>
      <c r="AC245" s="6" t="n"/>
      <c r="AD245" s="75" t="n"/>
      <c r="AE245" s="75" t="n"/>
      <c r="AF245" s="75" t="n"/>
    </row>
    <row r="246" ht="15.75" customHeight="1" s="133">
      <c r="A246" s="75" t="n"/>
      <c r="B246" s="75" t="n"/>
      <c r="C246" s="75" t="n"/>
      <c r="D246" s="75" t="n"/>
      <c r="E246" s="76" t="n"/>
      <c r="F246" s="77" t="n"/>
      <c r="G246" s="75" t="n"/>
      <c r="H246" s="75">
        <f>IF(ISBLANK(E246),"",IF(OR(D246="Butterfly",D246="Butterfly ",D246="Iron Fly", D246="Iron Fly "),LEN(E246)-LEN(SUBSTITUTE(E246,"/",""))+2,LEN(E246)-LEN(SUBSTITUTE(E246,"/",""))+1))</f>
        <v/>
      </c>
      <c r="I246" s="78">
        <f>IF(ISBLANK(G246),"",IF(D246="Stock","0",Key!$A$3*H246*G246))</f>
        <v/>
      </c>
      <c r="J246" s="78">
        <f>IF(ISBLANK(E246),"",IF(ISNUMBER(SEARCH("/",E246)), IF(LEN(E246)-LEN(SUBSTITUTE(E246,"/",""))=1,(RIGHT(E246,LEN(E246)-FIND("/",E246)))-(LEFT(E246,FIND("/",E246)-1)),(MID(E246, SEARCH("/",E246) + 1, SEARCH("/",E246, SEARCH("/",E246)+1) - SEARCH("/",E246) - 1))-(LEFT(E246,FIND("/",E246)-1))), "NA"))</f>
        <v/>
      </c>
      <c r="K246" s="79">
        <f>IF(A246&lt;&gt;"", IF(ISBLANK(L246), TODAY(), K246), "")</f>
        <v/>
      </c>
      <c r="L246" s="78" t="n"/>
      <c r="M246" s="78">
        <f>IF(ISBLANK(L246),"",IF(D246="Stock",IF(C246="Buy",L246*G246,IF(C246="Sell",(L246*G246)-I246, X)),IF(C246="Buy",(L246*G246*100)+I246,IF(C246="Sell",(L246*G246*100)-I246, X))))</f>
        <v/>
      </c>
      <c r="N246" s="78">
        <f>IF(ISBLANK(L246),"",IF(AND(C246="Sell",D246="Stock"),M246,IF(ISBLANK(L246),"",IF(C246="Buy",M246, IF(AND(C246="Sell",J246="NA"),(E246*G246*100*0.1)+I246, IF(C246="Sell",(J246-L246)*(100*G246)+I246))))))</f>
        <v/>
      </c>
      <c r="O246" s="75" t="n"/>
      <c r="P246" s="75" t="n"/>
      <c r="Q246" s="75">
        <f>IF(ISBLANK(P246),"",IF(D246="Stock",P246*G246,IF(P246=0,"0",G246*P246*100-(G246*$AF$14))))</f>
        <v/>
      </c>
      <c r="R246" s="79">
        <f>IF(P246&lt;&gt;"", TODAY(), "")</f>
        <v/>
      </c>
      <c r="S246" s="78">
        <f>IF(AND(K246&lt;&gt;"", R246&lt;&gt;""), R246-K246, "")</f>
        <v/>
      </c>
      <c r="T246" s="78" t="n"/>
      <c r="U246" s="92">
        <f>IF(ISBLANK(P246),"",IF(C246="Buy",Q246-M246+T246, IF(C246="Sell",M246-Q246-T246, X)))</f>
        <v/>
      </c>
      <c r="V246" s="81">
        <f>IF(ISBLANK(P246),"",U246/N246)</f>
        <v/>
      </c>
      <c r="W246" s="81">
        <f>IF(ISBLANK(P246),"",IF(S246=0,(365/0.5)*V246,(365/S246)*V246))</f>
        <v/>
      </c>
      <c r="X246" s="75" t="n"/>
      <c r="Y246" s="77" t="n"/>
      <c r="Z246" s="77" t="n"/>
      <c r="AA246" s="75" t="n"/>
      <c r="AB246" s="75" t="n"/>
      <c r="AC246" s="6" t="n"/>
      <c r="AD246" s="75" t="n"/>
      <c r="AE246" s="75" t="n"/>
      <c r="AF246" s="75" t="n"/>
    </row>
    <row r="247" ht="15.75" customHeight="1" s="133">
      <c r="A247" s="75" t="n"/>
      <c r="B247" s="75" t="n"/>
      <c r="C247" s="75" t="n"/>
      <c r="D247" s="75" t="n"/>
      <c r="E247" s="76" t="n"/>
      <c r="F247" s="77" t="n"/>
      <c r="G247" s="75" t="n"/>
      <c r="H247" s="75">
        <f>IF(ISBLANK(E247),"",IF(OR(D247="Butterfly",D247="Butterfly ",D247="Iron Fly", D247="Iron Fly "),LEN(E247)-LEN(SUBSTITUTE(E247,"/",""))+2,LEN(E247)-LEN(SUBSTITUTE(E247,"/",""))+1))</f>
        <v/>
      </c>
      <c r="I247" s="78">
        <f>IF(ISBLANK(G247),"",IF(D247="Stock","0",Key!$A$3*H247*G247))</f>
        <v/>
      </c>
      <c r="J247" s="78">
        <f>IF(ISBLANK(E247),"",IF(ISNUMBER(SEARCH("/",E247)), IF(LEN(E247)-LEN(SUBSTITUTE(E247,"/",""))=1,(RIGHT(E247,LEN(E247)-FIND("/",E247)))-(LEFT(E247,FIND("/",E247)-1)),(MID(E247, SEARCH("/",E247) + 1, SEARCH("/",E247, SEARCH("/",E247)+1) - SEARCH("/",E247) - 1))-(LEFT(E247,FIND("/",E247)-1))), "NA"))</f>
        <v/>
      </c>
      <c r="K247" s="79">
        <f>IF(A247&lt;&gt;"", IF(ISBLANK(L247), TODAY(), K247), "")</f>
        <v/>
      </c>
      <c r="L247" s="78" t="n"/>
      <c r="M247" s="78">
        <f>IF(ISBLANK(L247),"",IF(D247="Stock",IF(C247="Buy",L247*G247,IF(C247="Sell",(L247*G247)-I247, X)),IF(C247="Buy",(L247*G247*100)+I247,IF(C247="Sell",(L247*G247*100)-I247, X))))</f>
        <v/>
      </c>
      <c r="N247" s="78">
        <f>IF(ISBLANK(L247),"",IF(AND(C247="Sell",D247="Stock"),M247,IF(ISBLANK(L247),"",IF(C247="Buy",M247, IF(AND(C247="Sell",J247="NA"),(E247*G247*100*0.1)+I247, IF(C247="Sell",(J247-L247)*(100*G247)+I247))))))</f>
        <v/>
      </c>
      <c r="O247" s="75" t="n"/>
      <c r="P247" s="75" t="n"/>
      <c r="Q247" s="75">
        <f>IF(ISBLANK(P247),"",IF(D247="Stock",P247*G247,IF(P247=0,"0",G247*P247*100-(G247*$AF$14))))</f>
        <v/>
      </c>
      <c r="R247" s="79">
        <f>IF(P247&lt;&gt;"", TODAY(), "")</f>
        <v/>
      </c>
      <c r="S247" s="78">
        <f>IF(AND(K247&lt;&gt;"", R247&lt;&gt;""), R247-K247, "")</f>
        <v/>
      </c>
      <c r="T247" s="78" t="n"/>
      <c r="U247" s="92">
        <f>IF(ISBLANK(P247),"",IF(C247="Buy",Q247-M247+T247, IF(C247="Sell",M247-Q247-T247, X)))</f>
        <v/>
      </c>
      <c r="V247" s="81">
        <f>IF(ISBLANK(P247),"",U247/N247)</f>
        <v/>
      </c>
      <c r="W247" s="81">
        <f>IF(ISBLANK(P247),"",IF(S247=0,(365/0.5)*V247,(365/S247)*V247))</f>
        <v/>
      </c>
      <c r="X247" s="75" t="n"/>
      <c r="Y247" s="77" t="n"/>
      <c r="Z247" s="77" t="n"/>
      <c r="AA247" s="75" t="n"/>
      <c r="AB247" s="75" t="n"/>
      <c r="AC247" s="6" t="n"/>
      <c r="AD247" s="75" t="n"/>
      <c r="AE247" s="75" t="n"/>
      <c r="AF247" s="75" t="n"/>
    </row>
    <row r="248" ht="15.75" customHeight="1" s="133">
      <c r="A248" s="75" t="n"/>
      <c r="B248" s="75" t="n"/>
      <c r="C248" s="75" t="n"/>
      <c r="D248" s="75" t="n"/>
      <c r="E248" s="76" t="n"/>
      <c r="F248" s="77" t="n"/>
      <c r="G248" s="75" t="n"/>
      <c r="H248" s="75">
        <f>IF(ISBLANK(E248),"",IF(OR(D248="Butterfly",D248="Butterfly ",D248="Iron Fly", D248="Iron Fly "),LEN(E248)-LEN(SUBSTITUTE(E248,"/",""))+2,LEN(E248)-LEN(SUBSTITUTE(E248,"/",""))+1))</f>
        <v/>
      </c>
      <c r="I248" s="78">
        <f>IF(ISBLANK(G248),"",IF(D248="Stock","0",Key!$A$3*H248*G248))</f>
        <v/>
      </c>
      <c r="J248" s="78">
        <f>IF(ISBLANK(E248),"",IF(ISNUMBER(SEARCH("/",E248)), IF(LEN(E248)-LEN(SUBSTITUTE(E248,"/",""))=1,(RIGHT(E248,LEN(E248)-FIND("/",E248)))-(LEFT(E248,FIND("/",E248)-1)),(MID(E248, SEARCH("/",E248) + 1, SEARCH("/",E248, SEARCH("/",E248)+1) - SEARCH("/",E248) - 1))-(LEFT(E248,FIND("/",E248)-1))), "NA"))</f>
        <v/>
      </c>
      <c r="K248" s="79">
        <f>IF(A248&lt;&gt;"", IF(ISBLANK(L248), TODAY(), K248), "")</f>
        <v/>
      </c>
      <c r="L248" s="78" t="n"/>
      <c r="M248" s="78">
        <f>IF(ISBLANK(L248),"",IF(D248="Stock",IF(C248="Buy",L248*G248,IF(C248="Sell",(L248*G248)-I248, X)),IF(C248="Buy",(L248*G248*100)+I248,IF(C248="Sell",(L248*G248*100)-I248, X))))</f>
        <v/>
      </c>
      <c r="N248" s="78">
        <f>IF(ISBLANK(L248),"",IF(AND(C248="Sell",D248="Stock"),M248,IF(ISBLANK(L248),"",IF(C248="Buy",M248, IF(AND(C248="Sell",J248="NA"),(E248*G248*100*0.1)+I248, IF(C248="Sell",(J248-L248)*(100*G248)+I248))))))</f>
        <v/>
      </c>
      <c r="O248" s="75" t="n"/>
      <c r="P248" s="75" t="n"/>
      <c r="Q248" s="75">
        <f>IF(ISBLANK(P248),"",IF(D248="Stock",P248*G248,IF(P248=0,"0",G248*P248*100-(G248*$AF$14))))</f>
        <v/>
      </c>
      <c r="R248" s="79">
        <f>IF(P248&lt;&gt;"", TODAY(), "")</f>
        <v/>
      </c>
      <c r="S248" s="78">
        <f>IF(AND(K248&lt;&gt;"", R248&lt;&gt;""), R248-K248, "")</f>
        <v/>
      </c>
      <c r="T248" s="78" t="n"/>
      <c r="U248" s="92">
        <f>IF(ISBLANK(P248),"",IF(C248="Buy",Q248-M248+T248, IF(C248="Sell",M248-Q248-T248, X)))</f>
        <v/>
      </c>
      <c r="V248" s="81">
        <f>IF(ISBLANK(P248),"",U248/N248)</f>
        <v/>
      </c>
      <c r="W248" s="81">
        <f>IF(ISBLANK(P248),"",IF(S248=0,(365/0.5)*V248,(365/S248)*V248))</f>
        <v/>
      </c>
      <c r="X248" s="75" t="n"/>
      <c r="Y248" s="77" t="n"/>
      <c r="Z248" s="77" t="n"/>
      <c r="AA248" s="75" t="n"/>
      <c r="AB248" s="75" t="n"/>
      <c r="AC248" s="6" t="n"/>
      <c r="AD248" s="75" t="n"/>
      <c r="AE248" s="75" t="n"/>
      <c r="AF248" s="75" t="n"/>
    </row>
    <row r="249" ht="15.75" customHeight="1" s="133">
      <c r="A249" s="75" t="n"/>
      <c r="B249" s="75" t="n"/>
      <c r="C249" s="75" t="n"/>
      <c r="D249" s="75" t="n"/>
      <c r="E249" s="76" t="n"/>
      <c r="F249" s="77" t="n"/>
      <c r="G249" s="75" t="n"/>
      <c r="H249" s="75">
        <f>IF(ISBLANK(E249),"",IF(OR(D249="Butterfly",D249="Butterfly ",D249="Iron Fly", D249="Iron Fly "),LEN(E249)-LEN(SUBSTITUTE(E249,"/",""))+2,LEN(E249)-LEN(SUBSTITUTE(E249,"/",""))+1))</f>
        <v/>
      </c>
      <c r="I249" s="78">
        <f>IF(ISBLANK(G249),"",IF(D249="Stock","0",Key!$A$3*H249*G249))</f>
        <v/>
      </c>
      <c r="J249" s="78">
        <f>IF(ISBLANK(E249),"",IF(ISNUMBER(SEARCH("/",E249)), IF(LEN(E249)-LEN(SUBSTITUTE(E249,"/",""))=1,(RIGHT(E249,LEN(E249)-FIND("/",E249)))-(LEFT(E249,FIND("/",E249)-1)),(MID(E249, SEARCH("/",E249) + 1, SEARCH("/",E249, SEARCH("/",E249)+1) - SEARCH("/",E249) - 1))-(LEFT(E249,FIND("/",E249)-1))), "NA"))</f>
        <v/>
      </c>
      <c r="K249" s="79">
        <f>IF(A249&lt;&gt;"", IF(ISBLANK(L249), TODAY(), K249), "")</f>
        <v/>
      </c>
      <c r="L249" s="78" t="n"/>
      <c r="M249" s="78">
        <f>IF(ISBLANK(L249),"",IF(D249="Stock",IF(C249="Buy",L249*G249,IF(C249="Sell",(L249*G249)-I249, X)),IF(C249="Buy",(L249*G249*100)+I249,IF(C249="Sell",(L249*G249*100)-I249, X))))</f>
        <v/>
      </c>
      <c r="N249" s="78">
        <f>IF(ISBLANK(L249),"",IF(AND(C249="Sell",D249="Stock"),M249,IF(ISBLANK(L249),"",IF(C249="Buy",M249, IF(AND(C249="Sell",J249="NA"),(E249*G249*100*0.1)+I249, IF(C249="Sell",(J249-L249)*(100*G249)+I249))))))</f>
        <v/>
      </c>
      <c r="O249" s="75" t="n"/>
      <c r="P249" s="75" t="n"/>
      <c r="Q249" s="75">
        <f>IF(ISBLANK(P249),"",IF(D249="Stock",P249*G249,IF(P249=0,"0",G249*P249*100-(G249*$AF$14))))</f>
        <v/>
      </c>
      <c r="R249" s="79">
        <f>IF(P249&lt;&gt;"", TODAY(), "")</f>
        <v/>
      </c>
      <c r="S249" s="78">
        <f>IF(AND(K249&lt;&gt;"", R249&lt;&gt;""), R249-K249, "")</f>
        <v/>
      </c>
      <c r="T249" s="78" t="n"/>
      <c r="U249" s="92">
        <f>IF(ISBLANK(P249),"",IF(C249="Buy",Q249-M249+T249, IF(C249="Sell",M249-Q249-T249, X)))</f>
        <v/>
      </c>
      <c r="V249" s="81">
        <f>IF(ISBLANK(P249),"",U249/N249)</f>
        <v/>
      </c>
      <c r="W249" s="81">
        <f>IF(ISBLANK(P249),"",IF(S249=0,(365/0.5)*V249,(365/S249)*V249))</f>
        <v/>
      </c>
      <c r="X249" s="75" t="n"/>
      <c r="Y249" s="77" t="n"/>
      <c r="Z249" s="77" t="n"/>
      <c r="AA249" s="75" t="n"/>
      <c r="AB249" s="75" t="n"/>
      <c r="AC249" s="6" t="n"/>
      <c r="AD249" s="75" t="n"/>
      <c r="AE249" s="75" t="n"/>
      <c r="AF249" s="75" t="n"/>
    </row>
    <row r="250" ht="15.75" customHeight="1" s="133">
      <c r="A250" s="75" t="n"/>
      <c r="B250" s="75" t="n"/>
      <c r="C250" s="75" t="n"/>
      <c r="D250" s="75" t="n"/>
      <c r="E250" s="76" t="n"/>
      <c r="F250" s="77" t="n"/>
      <c r="G250" s="75" t="n"/>
      <c r="H250" s="75">
        <f>IF(ISBLANK(E250),"",IF(OR(D250="Butterfly",D250="Butterfly ",D250="Iron Fly", D250="Iron Fly "),LEN(E250)-LEN(SUBSTITUTE(E250,"/",""))+2,LEN(E250)-LEN(SUBSTITUTE(E250,"/",""))+1))</f>
        <v/>
      </c>
      <c r="I250" s="78">
        <f>IF(ISBLANK(G250),"",IF(D250="Stock","0",Key!$A$3*H250*G250))</f>
        <v/>
      </c>
      <c r="J250" s="78">
        <f>IF(ISBLANK(E250),"",IF(ISNUMBER(SEARCH("/",E250)), IF(LEN(E250)-LEN(SUBSTITUTE(E250,"/",""))=1,(RIGHT(E250,LEN(E250)-FIND("/",E250)))-(LEFT(E250,FIND("/",E250)-1)),(MID(E250, SEARCH("/",E250) + 1, SEARCH("/",E250, SEARCH("/",E250)+1) - SEARCH("/",E250) - 1))-(LEFT(E250,FIND("/",E250)-1))), "NA"))</f>
        <v/>
      </c>
      <c r="K250" s="79">
        <f>IF(A250&lt;&gt;"", IF(ISBLANK(L250), TODAY(), K250), "")</f>
        <v/>
      </c>
      <c r="L250" s="78" t="n"/>
      <c r="M250" s="78">
        <f>IF(ISBLANK(L250),"",IF(D250="Stock",IF(C250="Buy",L250*G250,IF(C250="Sell",(L250*G250)-I250, X)),IF(C250="Buy",(L250*G250*100)+I250,IF(C250="Sell",(L250*G250*100)-I250, X))))</f>
        <v/>
      </c>
      <c r="N250" s="78">
        <f>IF(ISBLANK(L250),"",IF(AND(C250="Sell",D250="Stock"),M250,IF(ISBLANK(L250),"",IF(C250="Buy",M250, IF(AND(C250="Sell",J250="NA"),(E250*G250*100*0.1)+I250, IF(C250="Sell",(J250-L250)*(100*G250)+I250))))))</f>
        <v/>
      </c>
      <c r="O250" s="75" t="n"/>
      <c r="P250" s="75" t="n"/>
      <c r="Q250" s="75">
        <f>IF(ISBLANK(P250),"",IF(D250="Stock",P250*G250,IF(P250=0,"0",G250*P250*100-(G250*$AF$14))))</f>
        <v/>
      </c>
      <c r="R250" s="79">
        <f>IF(P250&lt;&gt;"", TODAY(), "")</f>
        <v/>
      </c>
      <c r="S250" s="78">
        <f>IF(AND(K250&lt;&gt;"", R250&lt;&gt;""), R250-K250, "")</f>
        <v/>
      </c>
      <c r="T250" s="78" t="n"/>
      <c r="U250" s="92">
        <f>IF(ISBLANK(P250),"",IF(C250="Buy",Q250-M250+T250, IF(C250="Sell",M250-Q250-T250, X)))</f>
        <v/>
      </c>
      <c r="V250" s="81">
        <f>IF(ISBLANK(P250),"",U250/N250)</f>
        <v/>
      </c>
      <c r="W250" s="81">
        <f>IF(ISBLANK(P250),"",IF(S250=0,(365/0.5)*V250,(365/S250)*V250))</f>
        <v/>
      </c>
      <c r="X250" s="75" t="n"/>
      <c r="Y250" s="77" t="n"/>
      <c r="Z250" s="77" t="n"/>
      <c r="AA250" s="75" t="n"/>
      <c r="AB250" s="75" t="n"/>
      <c r="AC250" s="6" t="n"/>
      <c r="AD250" s="75" t="n"/>
      <c r="AE250" s="75" t="n"/>
      <c r="AF250" s="75" t="n"/>
    </row>
    <row r="251" ht="15.75" customHeight="1" s="133">
      <c r="A251" s="75" t="n"/>
      <c r="B251" s="75" t="n"/>
      <c r="C251" s="75" t="n"/>
      <c r="D251" s="75" t="n"/>
      <c r="E251" s="76" t="n"/>
      <c r="F251" s="77" t="n"/>
      <c r="G251" s="75" t="n"/>
      <c r="H251" s="75">
        <f>IF(ISBLANK(E251),"",IF(OR(D251="Butterfly",D251="Butterfly ",D251="Iron Fly", D251="Iron Fly "),LEN(E251)-LEN(SUBSTITUTE(E251,"/",""))+2,LEN(E251)-LEN(SUBSTITUTE(E251,"/",""))+1))</f>
        <v/>
      </c>
      <c r="I251" s="78">
        <f>IF(ISBLANK(G251),"",IF(D251="Stock","0",Key!$A$3*H251*G251))</f>
        <v/>
      </c>
      <c r="J251" s="78">
        <f>IF(ISBLANK(E251),"",IF(ISNUMBER(SEARCH("/",E251)), IF(LEN(E251)-LEN(SUBSTITUTE(E251,"/",""))=1,(RIGHT(E251,LEN(E251)-FIND("/",E251)))-(LEFT(E251,FIND("/",E251)-1)),(MID(E251, SEARCH("/",E251) + 1, SEARCH("/",E251, SEARCH("/",E251)+1) - SEARCH("/",E251) - 1))-(LEFT(E251,FIND("/",E251)-1))), "NA"))</f>
        <v/>
      </c>
      <c r="K251" s="79">
        <f>IF(A251&lt;&gt;"", IF(ISBLANK(L251), TODAY(), K251), "")</f>
        <v/>
      </c>
      <c r="L251" s="78" t="n"/>
      <c r="M251" s="78">
        <f>IF(ISBLANK(L251),"",IF(D251="Stock",IF(C251="Buy",L251*G251,IF(C251="Sell",(L251*G251)-I251, X)),IF(C251="Buy",(L251*G251*100)+I251,IF(C251="Sell",(L251*G251*100)-I251, X))))</f>
        <v/>
      </c>
      <c r="N251" s="78">
        <f>IF(ISBLANK(L251),"",IF(AND(C251="Sell",D251="Stock"),M251,IF(ISBLANK(L251),"",IF(C251="Buy",M251, IF(AND(C251="Sell",J251="NA"),(E251*G251*100*0.1)+I251, IF(C251="Sell",(J251-L251)*(100*G251)+I251))))))</f>
        <v/>
      </c>
      <c r="O251" s="75" t="n"/>
      <c r="P251" s="75" t="n"/>
      <c r="Q251" s="75">
        <f>IF(ISBLANK(P251),"",IF(D251="Stock",P251*G251,IF(P251=0,"0",G251*P251*100-(G251*$AF$14))))</f>
        <v/>
      </c>
      <c r="R251" s="79">
        <f>IF(P251&lt;&gt;"", TODAY(), "")</f>
        <v/>
      </c>
      <c r="S251" s="78">
        <f>IF(AND(K251&lt;&gt;"", R251&lt;&gt;""), R251-K251, "")</f>
        <v/>
      </c>
      <c r="T251" s="78" t="n"/>
      <c r="U251" s="92">
        <f>IF(ISBLANK(P251),"",IF(C251="Buy",Q251-M251+T251, IF(C251="Sell",M251-Q251-T251, X)))</f>
        <v/>
      </c>
      <c r="V251" s="81">
        <f>IF(ISBLANK(P251),"",U251/N251)</f>
        <v/>
      </c>
      <c r="W251" s="81">
        <f>IF(ISBLANK(P251),"",IF(S251=0,(365/0.5)*V251,(365/S251)*V251))</f>
        <v/>
      </c>
      <c r="X251" s="75" t="n"/>
      <c r="Y251" s="77" t="n"/>
      <c r="Z251" s="77" t="n"/>
      <c r="AA251" s="75" t="n"/>
      <c r="AB251" s="75" t="n"/>
      <c r="AC251" s="6" t="n"/>
      <c r="AD251" s="75" t="n"/>
      <c r="AE251" s="75" t="n"/>
      <c r="AF251" s="75" t="n"/>
    </row>
    <row r="252" ht="15.75" customHeight="1" s="133">
      <c r="A252" s="75" t="n"/>
      <c r="B252" s="75" t="n"/>
      <c r="C252" s="75" t="n"/>
      <c r="D252" s="75" t="n"/>
      <c r="E252" s="76" t="n"/>
      <c r="F252" s="77" t="n"/>
      <c r="G252" s="75" t="n"/>
      <c r="H252" s="75">
        <f>IF(ISBLANK(E252),"",IF(OR(D252="Butterfly",D252="Butterfly ",D252="Iron Fly", D252="Iron Fly "),LEN(E252)-LEN(SUBSTITUTE(E252,"/",""))+2,LEN(E252)-LEN(SUBSTITUTE(E252,"/",""))+1))</f>
        <v/>
      </c>
      <c r="I252" s="78">
        <f>IF(ISBLANK(G252),"",IF(D252="Stock","0",Key!$A$3*H252*G252))</f>
        <v/>
      </c>
      <c r="J252" s="78">
        <f>IF(ISBLANK(E252),"",IF(ISNUMBER(SEARCH("/",E252)), IF(LEN(E252)-LEN(SUBSTITUTE(E252,"/",""))=1,(RIGHT(E252,LEN(E252)-FIND("/",E252)))-(LEFT(E252,FIND("/",E252)-1)),(MID(E252, SEARCH("/",E252) + 1, SEARCH("/",E252, SEARCH("/",E252)+1) - SEARCH("/",E252) - 1))-(LEFT(E252,FIND("/",E252)-1))), "NA"))</f>
        <v/>
      </c>
      <c r="K252" s="79">
        <f>IF(A252&lt;&gt;"", IF(ISBLANK(L252), TODAY(), K252), "")</f>
        <v/>
      </c>
      <c r="L252" s="78" t="n"/>
      <c r="M252" s="78">
        <f>IF(ISBLANK(L252),"",IF(D252="Stock",IF(C252="Buy",L252*G252,IF(C252="Sell",(L252*G252)-I252, X)),IF(C252="Buy",(L252*G252*100)+I252,IF(C252="Sell",(L252*G252*100)-I252, X))))</f>
        <v/>
      </c>
      <c r="N252" s="78">
        <f>IF(ISBLANK(L252),"",IF(AND(C252="Sell",D252="Stock"),M252,IF(ISBLANK(L252),"",IF(C252="Buy",M252, IF(AND(C252="Sell",J252="NA"),(E252*G252*100*0.1)+I252, IF(C252="Sell",(J252-L252)*(100*G252)+I252))))))</f>
        <v/>
      </c>
      <c r="O252" s="75" t="n"/>
      <c r="P252" s="75" t="n"/>
      <c r="Q252" s="75">
        <f>IF(ISBLANK(P252),"",IF(D252="Stock",P252*G252,IF(P252=0,"0",G252*P252*100-(G252*$AF$14))))</f>
        <v/>
      </c>
      <c r="R252" s="79">
        <f>IF(P252&lt;&gt;"", TODAY(), "")</f>
        <v/>
      </c>
      <c r="S252" s="78">
        <f>IF(AND(K252&lt;&gt;"", R252&lt;&gt;""), R252-K252, "")</f>
        <v/>
      </c>
      <c r="T252" s="78" t="n"/>
      <c r="U252" s="92">
        <f>IF(ISBLANK(P252),"",IF(C252="Buy",Q252-M252+T252, IF(C252="Sell",M252-Q252-T252, X)))</f>
        <v/>
      </c>
      <c r="V252" s="81">
        <f>IF(ISBLANK(P252),"",U252/N252)</f>
        <v/>
      </c>
      <c r="W252" s="81">
        <f>IF(ISBLANK(P252),"",IF(S252=0,(365/0.5)*V252,(365/S252)*V252))</f>
        <v/>
      </c>
      <c r="X252" s="75" t="n"/>
      <c r="Y252" s="77" t="n"/>
      <c r="Z252" s="77" t="n"/>
      <c r="AA252" s="75" t="n"/>
      <c r="AB252" s="75" t="n"/>
      <c r="AC252" s="6" t="n"/>
      <c r="AD252" s="75" t="n"/>
      <c r="AE252" s="75" t="n"/>
      <c r="AF252" s="75" t="n"/>
    </row>
    <row r="253" ht="15.75" customHeight="1" s="133">
      <c r="A253" s="75" t="n"/>
      <c r="B253" s="75" t="n"/>
      <c r="C253" s="75" t="n"/>
      <c r="D253" s="75" t="n"/>
      <c r="E253" s="76" t="n"/>
      <c r="F253" s="77" t="n"/>
      <c r="G253" s="75" t="n"/>
      <c r="H253" s="75">
        <f>IF(ISBLANK(E253),"",IF(OR(D253="Butterfly",D253="Butterfly ",D253="Iron Fly", D253="Iron Fly "),LEN(E253)-LEN(SUBSTITUTE(E253,"/",""))+2,LEN(E253)-LEN(SUBSTITUTE(E253,"/",""))+1))</f>
        <v/>
      </c>
      <c r="I253" s="78">
        <f>IF(ISBLANK(G253),"",IF(D253="Stock","0",Key!$A$3*H253*G253))</f>
        <v/>
      </c>
      <c r="J253" s="78">
        <f>IF(ISBLANK(E253),"",IF(ISNUMBER(SEARCH("/",E253)), IF(LEN(E253)-LEN(SUBSTITUTE(E253,"/",""))=1,(RIGHT(E253,LEN(E253)-FIND("/",E253)))-(LEFT(E253,FIND("/",E253)-1)),(MID(E253, SEARCH("/",E253) + 1, SEARCH("/",E253, SEARCH("/",E253)+1) - SEARCH("/",E253) - 1))-(LEFT(E253,FIND("/",E253)-1))), "NA"))</f>
        <v/>
      </c>
      <c r="K253" s="79">
        <f>IF(A253&lt;&gt;"", IF(ISBLANK(L253), TODAY(), K253), "")</f>
        <v/>
      </c>
      <c r="L253" s="78" t="n"/>
      <c r="M253" s="78">
        <f>IF(ISBLANK(L253),"",IF(D253="Stock",IF(C253="Buy",L253*G253,IF(C253="Sell",(L253*G253)-I253, X)),IF(C253="Buy",(L253*G253*100)+I253,IF(C253="Sell",(L253*G253*100)-I253, X))))</f>
        <v/>
      </c>
      <c r="N253" s="78">
        <f>IF(ISBLANK(L253),"",IF(AND(C253="Sell",D253="Stock"),M253,IF(ISBLANK(L253),"",IF(C253="Buy",M253, IF(AND(C253="Sell",J253="NA"),(E253*G253*100*0.1)+I253, IF(C253="Sell",(J253-L253)*(100*G253)+I253))))))</f>
        <v/>
      </c>
      <c r="O253" s="75" t="n"/>
      <c r="P253" s="75" t="n"/>
      <c r="Q253" s="75">
        <f>IF(ISBLANK(P253),"",IF(D253="Stock",P253*G253,IF(P253=0,"0",G253*P253*100-(G253*$AF$14))))</f>
        <v/>
      </c>
      <c r="R253" s="79">
        <f>IF(P253&lt;&gt;"", TODAY(), "")</f>
        <v/>
      </c>
      <c r="S253" s="78">
        <f>IF(AND(K253&lt;&gt;"", R253&lt;&gt;""), R253-K253, "")</f>
        <v/>
      </c>
      <c r="T253" s="78" t="n"/>
      <c r="U253" s="92">
        <f>IF(ISBLANK(P253),"",IF(C253="Buy",Q253-M253+T253, IF(C253="Sell",M253-Q253-T253, X)))</f>
        <v/>
      </c>
      <c r="V253" s="81">
        <f>IF(ISBLANK(P253),"",U253/N253)</f>
        <v/>
      </c>
      <c r="W253" s="81">
        <f>IF(ISBLANK(P253),"",IF(S253=0,(365/0.5)*V253,(365/S253)*V253))</f>
        <v/>
      </c>
      <c r="X253" s="75" t="n"/>
      <c r="Y253" s="77" t="n"/>
      <c r="Z253" s="77" t="n"/>
      <c r="AA253" s="75" t="n"/>
      <c r="AB253" s="75" t="n"/>
      <c r="AC253" s="6" t="n"/>
      <c r="AD253" s="75" t="n"/>
      <c r="AE253" s="75" t="n"/>
      <c r="AF253" s="75" t="n"/>
    </row>
    <row r="254" ht="15.75" customHeight="1" s="133">
      <c r="A254" s="75" t="n"/>
      <c r="B254" s="75" t="n"/>
      <c r="C254" s="75" t="n"/>
      <c r="D254" s="75" t="n"/>
      <c r="E254" s="76" t="n"/>
      <c r="F254" s="77" t="n"/>
      <c r="G254" s="75" t="n"/>
      <c r="H254" s="75">
        <f>IF(ISBLANK(E254),"",IF(OR(D254="Butterfly",D254="Butterfly ",D254="Iron Fly", D254="Iron Fly "),LEN(E254)-LEN(SUBSTITUTE(E254,"/",""))+2,LEN(E254)-LEN(SUBSTITUTE(E254,"/",""))+1))</f>
        <v/>
      </c>
      <c r="I254" s="78">
        <f>IF(ISBLANK(G254),"",IF(D254="Stock","0",Key!$A$3*H254*G254))</f>
        <v/>
      </c>
      <c r="J254" s="78">
        <f>IF(ISBLANK(E254),"",IF(ISNUMBER(SEARCH("/",E254)), IF(LEN(E254)-LEN(SUBSTITUTE(E254,"/",""))=1,(RIGHT(E254,LEN(E254)-FIND("/",E254)))-(LEFT(E254,FIND("/",E254)-1)),(MID(E254, SEARCH("/",E254) + 1, SEARCH("/",E254, SEARCH("/",E254)+1) - SEARCH("/",E254) - 1))-(LEFT(E254,FIND("/",E254)-1))), "NA"))</f>
        <v/>
      </c>
      <c r="K254" s="79">
        <f>IF(A254&lt;&gt;"", IF(ISBLANK(L254), TODAY(), K254), "")</f>
        <v/>
      </c>
      <c r="L254" s="78" t="n"/>
      <c r="M254" s="78">
        <f>IF(ISBLANK(L254),"",IF(D254="Stock",IF(C254="Buy",L254*G254,IF(C254="Sell",(L254*G254)-I254, X)),IF(C254="Buy",(L254*G254*100)+I254,IF(C254="Sell",(L254*G254*100)-I254, X))))</f>
        <v/>
      </c>
      <c r="N254" s="78">
        <f>IF(ISBLANK(L254),"",IF(AND(C254="Sell",D254="Stock"),M254,IF(ISBLANK(L254),"",IF(C254="Buy",M254, IF(AND(C254="Sell",J254="NA"),(E254*G254*100*0.1)+I254, IF(C254="Sell",(J254-L254)*(100*G254)+I254))))))</f>
        <v/>
      </c>
      <c r="O254" s="75" t="n"/>
      <c r="P254" s="75" t="n"/>
      <c r="Q254" s="75">
        <f>IF(ISBLANK(P254),"",IF(D254="Stock",P254*G254,IF(P254=0,"0",G254*P254*100-(G254*$AF$14))))</f>
        <v/>
      </c>
      <c r="R254" s="79">
        <f>IF(P254&lt;&gt;"", TODAY(), "")</f>
        <v/>
      </c>
      <c r="S254" s="78">
        <f>IF(AND(K254&lt;&gt;"", R254&lt;&gt;""), R254-K254, "")</f>
        <v/>
      </c>
      <c r="T254" s="78" t="n"/>
      <c r="U254" s="92">
        <f>IF(ISBLANK(P254),"",IF(C254="Buy",Q254-M254+T254, IF(C254="Sell",M254-Q254-T254, X)))</f>
        <v/>
      </c>
      <c r="V254" s="81">
        <f>IF(ISBLANK(P254),"",U254/N254)</f>
        <v/>
      </c>
      <c r="W254" s="81">
        <f>IF(ISBLANK(P254),"",IF(S254=0,(365/0.5)*V254,(365/S254)*V254))</f>
        <v/>
      </c>
      <c r="X254" s="75" t="n"/>
      <c r="Y254" s="77" t="n"/>
      <c r="Z254" s="77" t="n"/>
      <c r="AA254" s="75" t="n"/>
      <c r="AB254" s="75" t="n"/>
      <c r="AC254" s="6" t="n"/>
      <c r="AD254" s="75" t="n"/>
      <c r="AE254" s="75" t="n"/>
      <c r="AF254" s="75" t="n"/>
    </row>
    <row r="255" ht="15.75" customHeight="1" s="133">
      <c r="A255" s="75" t="n"/>
      <c r="B255" s="75" t="n"/>
      <c r="C255" s="75" t="n"/>
      <c r="D255" s="75" t="n"/>
      <c r="E255" s="76" t="n"/>
      <c r="F255" s="77" t="n"/>
      <c r="G255" s="75" t="n"/>
      <c r="H255" s="75">
        <f>IF(ISBLANK(E255),"",IF(OR(D255="Butterfly",D255="Butterfly ",D255="Iron Fly", D255="Iron Fly "),LEN(E255)-LEN(SUBSTITUTE(E255,"/",""))+2,LEN(E255)-LEN(SUBSTITUTE(E255,"/",""))+1))</f>
        <v/>
      </c>
      <c r="I255" s="78">
        <f>IF(ISBLANK(G255),"",IF(D255="Stock","0",Key!$A$3*H255*G255))</f>
        <v/>
      </c>
      <c r="J255" s="78">
        <f>IF(ISBLANK(E255),"",IF(ISNUMBER(SEARCH("/",E255)), IF(LEN(E255)-LEN(SUBSTITUTE(E255,"/",""))=1,(RIGHT(E255,LEN(E255)-FIND("/",E255)))-(LEFT(E255,FIND("/",E255)-1)),(MID(E255, SEARCH("/",E255) + 1, SEARCH("/",E255, SEARCH("/",E255)+1) - SEARCH("/",E255) - 1))-(LEFT(E255,FIND("/",E255)-1))), "NA"))</f>
        <v/>
      </c>
      <c r="K255" s="79">
        <f>IF(A255&lt;&gt;"", IF(ISBLANK(L255), TODAY(), K255), "")</f>
        <v/>
      </c>
      <c r="L255" s="78" t="n"/>
      <c r="M255" s="78">
        <f>IF(ISBLANK(L255),"",IF(D255="Stock",IF(C255="Buy",L255*G255,IF(C255="Sell",(L255*G255)-I255, X)),IF(C255="Buy",(L255*G255*100)+I255,IF(C255="Sell",(L255*G255*100)-I255, X))))</f>
        <v/>
      </c>
      <c r="N255" s="78">
        <f>IF(ISBLANK(L255),"",IF(AND(C255="Sell",D255="Stock"),M255,IF(ISBLANK(L255),"",IF(C255="Buy",M255, IF(AND(C255="Sell",J255="NA"),(E255*G255*100*0.1)+I255, IF(C255="Sell",(J255-L255)*(100*G255)+I255))))))</f>
        <v/>
      </c>
      <c r="O255" s="75" t="n"/>
      <c r="P255" s="75" t="n"/>
      <c r="Q255" s="75">
        <f>IF(ISBLANK(P255),"",IF(D255="Stock",P255*G255,IF(P255=0,"0",G255*P255*100-(G255*$AF$14))))</f>
        <v/>
      </c>
      <c r="R255" s="79">
        <f>IF(P255&lt;&gt;"", TODAY(), "")</f>
        <v/>
      </c>
      <c r="S255" s="78">
        <f>IF(AND(K255&lt;&gt;"", R255&lt;&gt;""), R255-K255, "")</f>
        <v/>
      </c>
      <c r="T255" s="78" t="n"/>
      <c r="U255" s="92">
        <f>IF(ISBLANK(P255),"",IF(C255="Buy",Q255-M255+T255, IF(C255="Sell",M255-Q255-T255, X)))</f>
        <v/>
      </c>
      <c r="V255" s="81">
        <f>IF(ISBLANK(P255),"",U255/N255)</f>
        <v/>
      </c>
      <c r="W255" s="81">
        <f>IF(ISBLANK(P255),"",IF(S255=0,(365/0.5)*V255,(365/S255)*V255))</f>
        <v/>
      </c>
      <c r="X255" s="75" t="n"/>
      <c r="Y255" s="77" t="n"/>
      <c r="Z255" s="77" t="n"/>
      <c r="AA255" s="75" t="n"/>
      <c r="AB255" s="75" t="n"/>
      <c r="AC255" s="6" t="n"/>
      <c r="AD255" s="75" t="n"/>
      <c r="AE255" s="75" t="n"/>
      <c r="AF255" s="75" t="n"/>
    </row>
    <row r="256" ht="15.75" customHeight="1" s="133">
      <c r="A256" s="75" t="n"/>
      <c r="B256" s="75" t="n"/>
      <c r="C256" s="75" t="n"/>
      <c r="D256" s="75" t="n"/>
      <c r="E256" s="76" t="n"/>
      <c r="F256" s="77" t="n"/>
      <c r="G256" s="75" t="n"/>
      <c r="H256" s="75">
        <f>IF(ISBLANK(E256),"",IF(OR(D256="Butterfly",D256="Butterfly ",D256="Iron Fly", D256="Iron Fly "),LEN(E256)-LEN(SUBSTITUTE(E256,"/",""))+2,LEN(E256)-LEN(SUBSTITUTE(E256,"/",""))+1))</f>
        <v/>
      </c>
      <c r="I256" s="78">
        <f>IF(ISBLANK(G256),"",IF(D256="Stock","0",Key!$A$3*H256*G256))</f>
        <v/>
      </c>
      <c r="J256" s="78">
        <f>IF(ISBLANK(E256),"",IF(ISNUMBER(SEARCH("/",E256)), IF(LEN(E256)-LEN(SUBSTITUTE(E256,"/",""))=1,(RIGHT(E256,LEN(E256)-FIND("/",E256)))-(LEFT(E256,FIND("/",E256)-1)),(MID(E256, SEARCH("/",E256) + 1, SEARCH("/",E256, SEARCH("/",E256)+1) - SEARCH("/",E256) - 1))-(LEFT(E256,FIND("/",E256)-1))), "NA"))</f>
        <v/>
      </c>
      <c r="K256" s="79">
        <f>IF(A256&lt;&gt;"", IF(ISBLANK(L256), TODAY(), K256), "")</f>
        <v/>
      </c>
      <c r="L256" s="78" t="n"/>
      <c r="M256" s="78">
        <f>IF(ISBLANK(L256),"",IF(D256="Stock",IF(C256="Buy",L256*G256,IF(C256="Sell",(L256*G256)-I256, X)),IF(C256="Buy",(L256*G256*100)+I256,IF(C256="Sell",(L256*G256*100)-I256, X))))</f>
        <v/>
      </c>
      <c r="N256" s="78">
        <f>IF(ISBLANK(L256),"",IF(AND(C256="Sell",D256="Stock"),M256,IF(ISBLANK(L256),"",IF(C256="Buy",M256, IF(AND(C256="Sell",J256="NA"),(E256*G256*100*0.1)+I256, IF(C256="Sell",(J256-L256)*(100*G256)+I256))))))</f>
        <v/>
      </c>
      <c r="O256" s="75" t="n"/>
      <c r="P256" s="75" t="n"/>
      <c r="Q256" s="75">
        <f>IF(ISBLANK(P256),"",IF(D256="Stock",P256*G256,IF(P256=0,"0",G256*P256*100-(G256*$AF$14))))</f>
        <v/>
      </c>
      <c r="R256" s="79">
        <f>IF(P256&lt;&gt;"", TODAY(), "")</f>
        <v/>
      </c>
      <c r="S256" s="78">
        <f>IF(AND(K256&lt;&gt;"", R256&lt;&gt;""), R256-K256, "")</f>
        <v/>
      </c>
      <c r="T256" s="78" t="n"/>
      <c r="U256" s="92">
        <f>IF(ISBLANK(P256),"",IF(C256="Buy",Q256-M256+T256, IF(C256="Sell",M256-Q256-T256, X)))</f>
        <v/>
      </c>
      <c r="V256" s="81">
        <f>IF(ISBLANK(P256),"",U256/N256)</f>
        <v/>
      </c>
      <c r="W256" s="81">
        <f>IF(ISBLANK(P256),"",IF(S256=0,(365/0.5)*V256,(365/S256)*V256))</f>
        <v/>
      </c>
      <c r="X256" s="75" t="n"/>
      <c r="Y256" s="77" t="n"/>
      <c r="Z256" s="77" t="n"/>
      <c r="AA256" s="75" t="n"/>
      <c r="AB256" s="75" t="n"/>
      <c r="AC256" s="6" t="n"/>
      <c r="AD256" s="75" t="n"/>
      <c r="AE256" s="75" t="n"/>
      <c r="AF256" s="75" t="n"/>
    </row>
    <row r="257" ht="15.75" customHeight="1" s="133">
      <c r="A257" s="75" t="n"/>
      <c r="B257" s="75" t="n"/>
      <c r="C257" s="75" t="n"/>
      <c r="D257" s="75" t="n"/>
      <c r="E257" s="76" t="n"/>
      <c r="F257" s="77" t="n"/>
      <c r="G257" s="75" t="n"/>
      <c r="H257" s="75">
        <f>IF(ISBLANK(E257),"",IF(OR(D257="Butterfly",D257="Butterfly ",D257="Iron Fly", D257="Iron Fly "),LEN(E257)-LEN(SUBSTITUTE(E257,"/",""))+2,LEN(E257)-LEN(SUBSTITUTE(E257,"/",""))+1))</f>
        <v/>
      </c>
      <c r="I257" s="78">
        <f>IF(ISBLANK(G257),"",IF(D257="Stock","0",Key!$A$3*H257*G257))</f>
        <v/>
      </c>
      <c r="J257" s="78">
        <f>IF(ISBLANK(E257),"",IF(ISNUMBER(SEARCH("/",E257)), IF(LEN(E257)-LEN(SUBSTITUTE(E257,"/",""))=1,(RIGHT(E257,LEN(E257)-FIND("/",E257)))-(LEFT(E257,FIND("/",E257)-1)),(MID(E257, SEARCH("/",E257) + 1, SEARCH("/",E257, SEARCH("/",E257)+1) - SEARCH("/",E257) - 1))-(LEFT(E257,FIND("/",E257)-1))), "NA"))</f>
        <v/>
      </c>
      <c r="K257" s="79">
        <f>IF(A257&lt;&gt;"", IF(ISBLANK(L257), TODAY(), K257), "")</f>
        <v/>
      </c>
      <c r="L257" s="78" t="n"/>
      <c r="M257" s="78">
        <f>IF(ISBLANK(L257),"",IF(D257="Stock",IF(C257="Buy",L257*G257,IF(C257="Sell",(L257*G257)-I257, X)),IF(C257="Buy",(L257*G257*100)+I257,IF(C257="Sell",(L257*G257*100)-I257, X))))</f>
        <v/>
      </c>
      <c r="N257" s="78">
        <f>IF(ISBLANK(L257),"",IF(AND(C257="Sell",D257="Stock"),M257,IF(ISBLANK(L257),"",IF(C257="Buy",M257, IF(AND(C257="Sell",J257="NA"),(E257*G257*100*0.1)+I257, IF(C257="Sell",(J257-L257)*(100*G257)+I257))))))</f>
        <v/>
      </c>
      <c r="O257" s="75" t="n"/>
      <c r="P257" s="75" t="n"/>
      <c r="Q257" s="75">
        <f>IF(ISBLANK(P257),"",IF(D257="Stock",P257*G257,IF(P257=0,"0",G257*P257*100-(G257*$AF$14))))</f>
        <v/>
      </c>
      <c r="R257" s="79">
        <f>IF(P257&lt;&gt;"", TODAY(), "")</f>
        <v/>
      </c>
      <c r="S257" s="78">
        <f>IF(AND(K257&lt;&gt;"", R257&lt;&gt;""), R257-K257, "")</f>
        <v/>
      </c>
      <c r="T257" s="78" t="n"/>
      <c r="U257" s="92">
        <f>IF(ISBLANK(P257),"",IF(C257="Buy",Q257-M257+T257, IF(C257="Sell",M257-Q257-T257, X)))</f>
        <v/>
      </c>
      <c r="V257" s="81">
        <f>IF(ISBLANK(P257),"",U257/N257)</f>
        <v/>
      </c>
      <c r="W257" s="81">
        <f>IF(ISBLANK(P257),"",IF(S257=0,(365/0.5)*V257,(365/S257)*V257))</f>
        <v/>
      </c>
      <c r="X257" s="75" t="n"/>
      <c r="Y257" s="77" t="n"/>
      <c r="Z257" s="77" t="n"/>
      <c r="AA257" s="75" t="n"/>
      <c r="AB257" s="75" t="n"/>
      <c r="AC257" s="6" t="n"/>
      <c r="AD257" s="75" t="n"/>
      <c r="AE257" s="75" t="n"/>
      <c r="AF257" s="75" t="n"/>
    </row>
    <row r="258" ht="15.75" customHeight="1" s="133">
      <c r="A258" s="75" t="n"/>
      <c r="B258" s="75" t="n"/>
      <c r="C258" s="75" t="n"/>
      <c r="D258" s="75" t="n"/>
      <c r="E258" s="76" t="n"/>
      <c r="F258" s="77" t="n"/>
      <c r="G258" s="75" t="n"/>
      <c r="H258" s="75">
        <f>IF(ISBLANK(E258),"",IF(OR(D258="Butterfly",D258="Butterfly ",D258="Iron Fly", D258="Iron Fly "),LEN(E258)-LEN(SUBSTITUTE(E258,"/",""))+2,LEN(E258)-LEN(SUBSTITUTE(E258,"/",""))+1))</f>
        <v/>
      </c>
      <c r="I258" s="78">
        <f>IF(ISBLANK(G258),"",IF(D258="Stock","0",Key!$A$3*H258*G258))</f>
        <v/>
      </c>
      <c r="J258" s="78">
        <f>IF(ISBLANK(E258),"",IF(ISNUMBER(SEARCH("/",E258)), IF(LEN(E258)-LEN(SUBSTITUTE(E258,"/",""))=1,(RIGHT(E258,LEN(E258)-FIND("/",E258)))-(LEFT(E258,FIND("/",E258)-1)),(MID(E258, SEARCH("/",E258) + 1, SEARCH("/",E258, SEARCH("/",E258)+1) - SEARCH("/",E258) - 1))-(LEFT(E258,FIND("/",E258)-1))), "NA"))</f>
        <v/>
      </c>
      <c r="K258" s="79">
        <f>IF(A258&lt;&gt;"", IF(ISBLANK(L258), TODAY(), K258), "")</f>
        <v/>
      </c>
      <c r="L258" s="78" t="n"/>
      <c r="M258" s="78">
        <f>IF(ISBLANK(L258),"",IF(D258="Stock",IF(C258="Buy",L258*G258,IF(C258="Sell",(L258*G258)-I258, X)),IF(C258="Buy",(L258*G258*100)+I258,IF(C258="Sell",(L258*G258*100)-I258, X))))</f>
        <v/>
      </c>
      <c r="N258" s="78">
        <f>IF(ISBLANK(L258),"",IF(AND(C258="Sell",D258="Stock"),M258,IF(ISBLANK(L258),"",IF(C258="Buy",M258, IF(AND(C258="Sell",J258="NA"),(E258*G258*100*0.1)+I258, IF(C258="Sell",(J258-L258)*(100*G258)+I258))))))</f>
        <v/>
      </c>
      <c r="O258" s="75" t="n"/>
      <c r="P258" s="75" t="n"/>
      <c r="Q258" s="75">
        <f>IF(ISBLANK(P258),"",IF(D258="Stock",P258*G258,IF(P258=0,"0",G258*P258*100-(G258*$AF$14))))</f>
        <v/>
      </c>
      <c r="R258" s="79">
        <f>IF(P258&lt;&gt;"", TODAY(), "")</f>
        <v/>
      </c>
      <c r="S258" s="78">
        <f>IF(AND(K258&lt;&gt;"", R258&lt;&gt;""), R258-K258, "")</f>
        <v/>
      </c>
      <c r="T258" s="78" t="n"/>
      <c r="U258" s="92">
        <f>IF(ISBLANK(P258),"",IF(C258="Buy",Q258-M258+T258, IF(C258="Sell",M258-Q258-T258, X)))</f>
        <v/>
      </c>
      <c r="V258" s="81">
        <f>IF(ISBLANK(P258),"",U258/N258)</f>
        <v/>
      </c>
      <c r="W258" s="81">
        <f>IF(ISBLANK(P258),"",IF(S258=0,(365/0.5)*V258,(365/S258)*V258))</f>
        <v/>
      </c>
      <c r="X258" s="75" t="n"/>
      <c r="Y258" s="77" t="n"/>
      <c r="Z258" s="77" t="n"/>
      <c r="AA258" s="75" t="n"/>
      <c r="AB258" s="75" t="n"/>
      <c r="AC258" s="6" t="n"/>
      <c r="AD258" s="75" t="n"/>
      <c r="AE258" s="75" t="n"/>
      <c r="AF258" s="75" t="n"/>
    </row>
    <row r="259" ht="15.75" customHeight="1" s="133">
      <c r="A259" s="75" t="n"/>
      <c r="B259" s="75" t="n"/>
      <c r="C259" s="75" t="n"/>
      <c r="D259" s="75" t="n"/>
      <c r="E259" s="76" t="n"/>
      <c r="F259" s="77" t="n"/>
      <c r="G259" s="75" t="n"/>
      <c r="H259" s="75">
        <f>IF(ISBLANK(E259),"",IF(OR(D259="Butterfly",D259="Butterfly ",D259="Iron Fly", D259="Iron Fly "),LEN(E259)-LEN(SUBSTITUTE(E259,"/",""))+2,LEN(E259)-LEN(SUBSTITUTE(E259,"/",""))+1))</f>
        <v/>
      </c>
      <c r="I259" s="78">
        <f>IF(ISBLANK(G259),"",IF(D259="Stock","0",Key!$A$3*H259*G259))</f>
        <v/>
      </c>
      <c r="J259" s="78">
        <f>IF(ISBLANK(E259),"",IF(ISNUMBER(SEARCH("/",E259)), IF(LEN(E259)-LEN(SUBSTITUTE(E259,"/",""))=1,(RIGHT(E259,LEN(E259)-FIND("/",E259)))-(LEFT(E259,FIND("/",E259)-1)),(MID(E259, SEARCH("/",E259) + 1, SEARCH("/",E259, SEARCH("/",E259)+1) - SEARCH("/",E259) - 1))-(LEFT(E259,FIND("/",E259)-1))), "NA"))</f>
        <v/>
      </c>
      <c r="K259" s="79">
        <f>IF(A259&lt;&gt;"", IF(ISBLANK(L259), TODAY(), K259), "")</f>
        <v/>
      </c>
      <c r="L259" s="78" t="n"/>
      <c r="M259" s="78">
        <f>IF(ISBLANK(L259),"",IF(D259="Stock",IF(C259="Buy",L259*G259,IF(C259="Sell",(L259*G259)-I259, X)),IF(C259="Buy",(L259*G259*100)+I259,IF(C259="Sell",(L259*G259*100)-I259, X))))</f>
        <v/>
      </c>
      <c r="N259" s="78">
        <f>IF(ISBLANK(L259),"",IF(AND(C259="Sell",D259="Stock"),M259,IF(ISBLANK(L259),"",IF(C259="Buy",M259, IF(AND(C259="Sell",J259="NA"),(E259*G259*100*0.1)+I259, IF(C259="Sell",(J259-L259)*(100*G259)+I259))))))</f>
        <v/>
      </c>
      <c r="O259" s="75" t="n"/>
      <c r="P259" s="75" t="n"/>
      <c r="Q259" s="75">
        <f>IF(ISBLANK(P259),"",IF(D259="Stock",P259*G259,IF(P259=0,"0",G259*P259*100-(G259*$AF$14))))</f>
        <v/>
      </c>
      <c r="R259" s="79">
        <f>IF(P259&lt;&gt;"", TODAY(), "")</f>
        <v/>
      </c>
      <c r="S259" s="78">
        <f>IF(AND(K259&lt;&gt;"", R259&lt;&gt;""), R259-K259, "")</f>
        <v/>
      </c>
      <c r="T259" s="78" t="n"/>
      <c r="U259" s="92">
        <f>IF(ISBLANK(P259),"",IF(C259="Buy",Q259-M259+T259, IF(C259="Sell",M259-Q259-T259, X)))</f>
        <v/>
      </c>
      <c r="V259" s="81">
        <f>IF(ISBLANK(P259),"",U259/N259)</f>
        <v/>
      </c>
      <c r="W259" s="81">
        <f>IF(ISBLANK(P259),"",IF(S259=0,(365/0.5)*V259,(365/S259)*V259))</f>
        <v/>
      </c>
      <c r="X259" s="75" t="n"/>
      <c r="Y259" s="77" t="n"/>
      <c r="Z259" s="77" t="n"/>
      <c r="AA259" s="75" t="n"/>
      <c r="AB259" s="75" t="n"/>
      <c r="AC259" s="6" t="n"/>
      <c r="AD259" s="75" t="n"/>
      <c r="AE259" s="75" t="n"/>
      <c r="AF259" s="75" t="n"/>
    </row>
    <row r="260" ht="15.75" customHeight="1" s="133">
      <c r="A260" s="75" t="n"/>
      <c r="B260" s="75" t="n"/>
      <c r="C260" s="75" t="n"/>
      <c r="D260" s="75" t="n"/>
      <c r="E260" s="76" t="n"/>
      <c r="F260" s="77" t="n"/>
      <c r="G260" s="75" t="n"/>
      <c r="H260" s="75">
        <f>IF(ISBLANK(E260),"",IF(OR(D260="Butterfly",D260="Butterfly ",D260="Iron Fly", D260="Iron Fly "),LEN(E260)-LEN(SUBSTITUTE(E260,"/",""))+2,LEN(E260)-LEN(SUBSTITUTE(E260,"/",""))+1))</f>
        <v/>
      </c>
      <c r="I260" s="78">
        <f>IF(ISBLANK(G260),"",IF(D260="Stock","0",Key!$A$3*H260*G260))</f>
        <v/>
      </c>
      <c r="J260" s="78">
        <f>IF(ISBLANK(E260),"",IF(ISNUMBER(SEARCH("/",E260)), IF(LEN(E260)-LEN(SUBSTITUTE(E260,"/",""))=1,(RIGHT(E260,LEN(E260)-FIND("/",E260)))-(LEFT(E260,FIND("/",E260)-1)),(MID(E260, SEARCH("/",E260) + 1, SEARCH("/",E260, SEARCH("/",E260)+1) - SEARCH("/",E260) - 1))-(LEFT(E260,FIND("/",E260)-1))), "NA"))</f>
        <v/>
      </c>
      <c r="K260" s="79">
        <f>IF(A260&lt;&gt;"", IF(ISBLANK(L260), TODAY(), K260), "")</f>
        <v/>
      </c>
      <c r="L260" s="78" t="n"/>
      <c r="M260" s="78">
        <f>IF(ISBLANK(L260),"",IF(D260="Stock",IF(C260="Buy",L260*G260,IF(C260="Sell",(L260*G260)-I260, X)),IF(C260="Buy",(L260*G260*100)+I260,IF(C260="Sell",(L260*G260*100)-I260, X))))</f>
        <v/>
      </c>
      <c r="N260" s="78">
        <f>IF(ISBLANK(L260),"",IF(AND(C260="Sell",D260="Stock"),M260,IF(ISBLANK(L260),"",IF(C260="Buy",M260, IF(AND(C260="Sell",J260="NA"),(E260*G260*100*0.1)+I260, IF(C260="Sell",(J260-L260)*(100*G260)+I260))))))</f>
        <v/>
      </c>
      <c r="O260" s="75" t="n"/>
      <c r="P260" s="75" t="n"/>
      <c r="Q260" s="75">
        <f>IF(ISBLANK(P260),"",IF(D260="Stock",P260*G260,IF(P260=0,"0",G260*P260*100-(G260*$AF$14))))</f>
        <v/>
      </c>
      <c r="R260" s="79">
        <f>IF(P260&lt;&gt;"", TODAY(), "")</f>
        <v/>
      </c>
      <c r="S260" s="78">
        <f>IF(AND(K260&lt;&gt;"", R260&lt;&gt;""), R260-K260, "")</f>
        <v/>
      </c>
      <c r="T260" s="78" t="n"/>
      <c r="U260" s="92">
        <f>IF(ISBLANK(P260),"",IF(C260="Buy",Q260-M260+T260, IF(C260="Sell",M260-Q260-T260, X)))</f>
        <v/>
      </c>
      <c r="V260" s="81">
        <f>IF(ISBLANK(P260),"",U260/N260)</f>
        <v/>
      </c>
      <c r="W260" s="81">
        <f>IF(ISBLANK(P260),"",IF(S260=0,(365/0.5)*V260,(365/S260)*V260))</f>
        <v/>
      </c>
      <c r="X260" s="75" t="n"/>
      <c r="Y260" s="77" t="n"/>
      <c r="Z260" s="77" t="n"/>
      <c r="AA260" s="75" t="n"/>
      <c r="AB260" s="75" t="n"/>
      <c r="AC260" s="6" t="n"/>
      <c r="AD260" s="75" t="n"/>
      <c r="AE260" s="75" t="n"/>
      <c r="AF260" s="75" t="n"/>
    </row>
    <row r="261" ht="15.75" customHeight="1" s="133">
      <c r="A261" s="75" t="n"/>
      <c r="B261" s="75" t="n"/>
      <c r="C261" s="75" t="n"/>
      <c r="D261" s="75" t="n"/>
      <c r="E261" s="76" t="n"/>
      <c r="F261" s="77" t="n"/>
      <c r="G261" s="75" t="n"/>
      <c r="H261" s="75">
        <f>IF(ISBLANK(E261),"",IF(OR(D261="Butterfly",D261="Butterfly ",D261="Iron Fly", D261="Iron Fly "),LEN(E261)-LEN(SUBSTITUTE(E261,"/",""))+2,LEN(E261)-LEN(SUBSTITUTE(E261,"/",""))+1))</f>
        <v/>
      </c>
      <c r="I261" s="78">
        <f>IF(ISBLANK(G261),"",IF(D261="Stock","0",Key!$A$3*H261*G261))</f>
        <v/>
      </c>
      <c r="J261" s="78">
        <f>IF(ISBLANK(E261),"",IF(ISNUMBER(SEARCH("/",E261)), IF(LEN(E261)-LEN(SUBSTITUTE(E261,"/",""))=1,(RIGHT(E261,LEN(E261)-FIND("/",E261)))-(LEFT(E261,FIND("/",E261)-1)),(MID(E261, SEARCH("/",E261) + 1, SEARCH("/",E261, SEARCH("/",E261)+1) - SEARCH("/",E261) - 1))-(LEFT(E261,FIND("/",E261)-1))), "NA"))</f>
        <v/>
      </c>
      <c r="K261" s="79">
        <f>IF(A261&lt;&gt;"", IF(ISBLANK(L261), TODAY(), K261), "")</f>
        <v/>
      </c>
      <c r="L261" s="78" t="n"/>
      <c r="M261" s="78">
        <f>IF(ISBLANK(L261),"",IF(D261="Stock",IF(C261="Buy",L261*G261,IF(C261="Sell",(L261*G261)-I261, X)),IF(C261="Buy",(L261*G261*100)+I261,IF(C261="Sell",(L261*G261*100)-I261, X))))</f>
        <v/>
      </c>
      <c r="N261" s="78">
        <f>IF(ISBLANK(L261),"",IF(AND(C261="Sell",D261="Stock"),M261,IF(ISBLANK(L261),"",IF(C261="Buy",M261, IF(AND(C261="Sell",J261="NA"),(E261*G261*100*0.1)+I261, IF(C261="Sell",(J261-L261)*(100*G261)+I261))))))</f>
        <v/>
      </c>
      <c r="O261" s="75" t="n"/>
      <c r="P261" s="75" t="n"/>
      <c r="Q261" s="75">
        <f>IF(ISBLANK(P261),"",IF(D261="Stock",P261*G261,IF(P261=0,"0",G261*P261*100-(G261*$AF$14))))</f>
        <v/>
      </c>
      <c r="R261" s="79">
        <f>IF(P261&lt;&gt;"", TODAY(), "")</f>
        <v/>
      </c>
      <c r="S261" s="78">
        <f>IF(AND(K261&lt;&gt;"", R261&lt;&gt;""), R261-K261, "")</f>
        <v/>
      </c>
      <c r="T261" s="78" t="n"/>
      <c r="U261" s="92">
        <f>IF(ISBLANK(P261),"",IF(C261="Buy",Q261-M261+T261, IF(C261="Sell",M261-Q261-T261, X)))</f>
        <v/>
      </c>
      <c r="V261" s="81">
        <f>IF(ISBLANK(P261),"",U261/N261)</f>
        <v/>
      </c>
      <c r="W261" s="81">
        <f>IF(ISBLANK(P261),"",IF(S261=0,(365/0.5)*V261,(365/S261)*V261))</f>
        <v/>
      </c>
      <c r="X261" s="75" t="n"/>
      <c r="Y261" s="77" t="n"/>
      <c r="Z261" s="77" t="n"/>
      <c r="AA261" s="75" t="n"/>
      <c r="AB261" s="75" t="n"/>
      <c r="AC261" s="6" t="n"/>
      <c r="AD261" s="75" t="n"/>
      <c r="AE261" s="75" t="n"/>
      <c r="AF261" s="75" t="n"/>
    </row>
    <row r="262" ht="15.75" customHeight="1" s="133">
      <c r="A262" s="75" t="n"/>
      <c r="B262" s="75" t="n"/>
      <c r="C262" s="75" t="n"/>
      <c r="D262" s="75" t="n"/>
      <c r="E262" s="76" t="n"/>
      <c r="F262" s="77" t="n"/>
      <c r="G262" s="75" t="n"/>
      <c r="H262" s="75">
        <f>IF(ISBLANK(E262),"",IF(OR(D262="Butterfly",D262="Butterfly ",D262="Iron Fly", D262="Iron Fly "),LEN(E262)-LEN(SUBSTITUTE(E262,"/",""))+2,LEN(E262)-LEN(SUBSTITUTE(E262,"/",""))+1))</f>
        <v/>
      </c>
      <c r="I262" s="78">
        <f>IF(ISBLANK(G262),"",IF(D262="Stock","0",Key!$A$3*H262*G262))</f>
        <v/>
      </c>
      <c r="J262" s="78">
        <f>IF(ISBLANK(E262),"",IF(ISNUMBER(SEARCH("/",E262)), IF(LEN(E262)-LEN(SUBSTITUTE(E262,"/",""))=1,(RIGHT(E262,LEN(E262)-FIND("/",E262)))-(LEFT(E262,FIND("/",E262)-1)),(MID(E262, SEARCH("/",E262) + 1, SEARCH("/",E262, SEARCH("/",E262)+1) - SEARCH("/",E262) - 1))-(LEFT(E262,FIND("/",E262)-1))), "NA"))</f>
        <v/>
      </c>
      <c r="K262" s="79">
        <f>IF(A262&lt;&gt;"", IF(ISBLANK(L262), TODAY(), K262), "")</f>
        <v/>
      </c>
      <c r="L262" s="78" t="n"/>
      <c r="M262" s="78">
        <f>IF(ISBLANK(L262),"",IF(D262="Stock",IF(C262="Buy",L262*G262,IF(C262="Sell",(L262*G262)-I262, X)),IF(C262="Buy",(L262*G262*100)+I262,IF(C262="Sell",(L262*G262*100)-I262, X))))</f>
        <v/>
      </c>
      <c r="N262" s="78">
        <f>IF(ISBLANK(L262),"",IF(AND(C262="Sell",D262="Stock"),M262,IF(ISBLANK(L262),"",IF(C262="Buy",M262, IF(AND(C262="Sell",J262="NA"),(E262*G262*100*0.1)+I262, IF(C262="Sell",(J262-L262)*(100*G262)+I262))))))</f>
        <v/>
      </c>
      <c r="O262" s="75" t="n"/>
      <c r="P262" s="75" t="n"/>
      <c r="Q262" s="75">
        <f>IF(ISBLANK(P262),"",IF(D262="Stock",P262*G262,IF(P262=0,"0",G262*P262*100-(G262*$AF$14))))</f>
        <v/>
      </c>
      <c r="R262" s="79">
        <f>IF(P262&lt;&gt;"", TODAY(), "")</f>
        <v/>
      </c>
      <c r="S262" s="78">
        <f>IF(AND(K262&lt;&gt;"", R262&lt;&gt;""), R262-K262, "")</f>
        <v/>
      </c>
      <c r="T262" s="78" t="n"/>
      <c r="U262" s="92">
        <f>IF(ISBLANK(P262),"",IF(C262="Buy",Q262-M262+T262, IF(C262="Sell",M262-Q262-T262, X)))</f>
        <v/>
      </c>
      <c r="V262" s="81">
        <f>IF(ISBLANK(P262),"",U262/N262)</f>
        <v/>
      </c>
      <c r="W262" s="81">
        <f>IF(ISBLANK(P262),"",IF(S262=0,(365/0.5)*V262,(365/S262)*V262))</f>
        <v/>
      </c>
      <c r="X262" s="75" t="n"/>
      <c r="Y262" s="77" t="n"/>
      <c r="Z262" s="77" t="n"/>
      <c r="AA262" s="75" t="n"/>
      <c r="AB262" s="75" t="n"/>
      <c r="AC262" s="6" t="n"/>
      <c r="AD262" s="75" t="n"/>
      <c r="AE262" s="75" t="n"/>
      <c r="AF262" s="75" t="n"/>
    </row>
    <row r="263" ht="15.75" customHeight="1" s="133">
      <c r="A263" s="75" t="n"/>
      <c r="B263" s="75" t="n"/>
      <c r="C263" s="75" t="n"/>
      <c r="D263" s="75" t="n"/>
      <c r="E263" s="76" t="n"/>
      <c r="F263" s="77" t="n"/>
      <c r="G263" s="75" t="n"/>
      <c r="H263" s="75">
        <f>IF(ISBLANK(E263),"",IF(OR(D263="Butterfly",D263="Butterfly ",D263="Iron Fly", D263="Iron Fly "),LEN(E263)-LEN(SUBSTITUTE(E263,"/",""))+2,LEN(E263)-LEN(SUBSTITUTE(E263,"/",""))+1))</f>
        <v/>
      </c>
      <c r="I263" s="78">
        <f>IF(ISBLANK(G263),"",IF(D263="Stock","0",Key!$A$3*H263*G263))</f>
        <v/>
      </c>
      <c r="J263" s="78">
        <f>IF(ISBLANK(E263),"",IF(ISNUMBER(SEARCH("/",E263)), IF(LEN(E263)-LEN(SUBSTITUTE(E263,"/",""))=1,(RIGHT(E263,LEN(E263)-FIND("/",E263)))-(LEFT(E263,FIND("/",E263)-1)),(MID(E263, SEARCH("/",E263) + 1, SEARCH("/",E263, SEARCH("/",E263)+1) - SEARCH("/",E263) - 1))-(LEFT(E263,FIND("/",E263)-1))), "NA"))</f>
        <v/>
      </c>
      <c r="K263" s="79">
        <f>IF(A263&lt;&gt;"", IF(ISBLANK(L263), TODAY(), K263), "")</f>
        <v/>
      </c>
      <c r="L263" s="78" t="n"/>
      <c r="M263" s="78">
        <f>IF(ISBLANK(L263),"",IF(D263="Stock",IF(C263="Buy",L263*G263,IF(C263="Sell",(L263*G263)-I263, X)),IF(C263="Buy",(L263*G263*100)+I263,IF(C263="Sell",(L263*G263*100)-I263, X))))</f>
        <v/>
      </c>
      <c r="N263" s="78">
        <f>IF(ISBLANK(L263),"",IF(AND(C263="Sell",D263="Stock"),M263,IF(ISBLANK(L263),"",IF(C263="Buy",M263, IF(AND(C263="Sell",J263="NA"),(E263*G263*100*0.1)+I263, IF(C263="Sell",(J263-L263)*(100*G263)+I263))))))</f>
        <v/>
      </c>
      <c r="O263" s="75" t="n"/>
      <c r="P263" s="75" t="n"/>
      <c r="Q263" s="75">
        <f>IF(ISBLANK(P263),"",IF(D263="Stock",P263*G263,IF(P263=0,"0",G263*P263*100-(G263*$AF$14))))</f>
        <v/>
      </c>
      <c r="R263" s="79">
        <f>IF(P263&lt;&gt;"", TODAY(), "")</f>
        <v/>
      </c>
      <c r="S263" s="78">
        <f>IF(AND(K263&lt;&gt;"", R263&lt;&gt;""), R263-K263, "")</f>
        <v/>
      </c>
      <c r="T263" s="78" t="n"/>
      <c r="U263" s="92">
        <f>IF(ISBLANK(P263),"",IF(C263="Buy",Q263-M263+T263, IF(C263="Sell",M263-Q263-T263, X)))</f>
        <v/>
      </c>
      <c r="V263" s="81">
        <f>IF(ISBLANK(P263),"",U263/N263)</f>
        <v/>
      </c>
      <c r="W263" s="81">
        <f>IF(ISBLANK(P263),"",IF(S263=0,(365/0.5)*V263,(365/S263)*V263))</f>
        <v/>
      </c>
      <c r="X263" s="75" t="n"/>
      <c r="Y263" s="77" t="n"/>
      <c r="Z263" s="77" t="n"/>
      <c r="AA263" s="75" t="n"/>
      <c r="AB263" s="75" t="n"/>
      <c r="AC263" s="6" t="n"/>
      <c r="AD263" s="75" t="n"/>
      <c r="AE263" s="75" t="n"/>
      <c r="AF263" s="75" t="n"/>
    </row>
    <row r="264" ht="15.75" customHeight="1" s="133">
      <c r="A264" s="75" t="n"/>
      <c r="B264" s="75" t="n"/>
      <c r="C264" s="75" t="n"/>
      <c r="D264" s="75" t="n"/>
      <c r="E264" s="76" t="n"/>
      <c r="F264" s="77" t="n"/>
      <c r="G264" s="75" t="n"/>
      <c r="H264" s="75">
        <f>IF(ISBLANK(E264),"",IF(OR(D264="Butterfly",D264="Butterfly ",D264="Iron Fly", D264="Iron Fly "),LEN(E264)-LEN(SUBSTITUTE(E264,"/",""))+2,LEN(E264)-LEN(SUBSTITUTE(E264,"/",""))+1))</f>
        <v/>
      </c>
      <c r="I264" s="78">
        <f>IF(ISBLANK(G264),"",IF(D264="Stock","0",Key!$A$3*H264*G264))</f>
        <v/>
      </c>
      <c r="J264" s="78">
        <f>IF(ISBLANK(E264),"",IF(ISNUMBER(SEARCH("/",E264)), IF(LEN(E264)-LEN(SUBSTITUTE(E264,"/",""))=1,(RIGHT(E264,LEN(E264)-FIND("/",E264)))-(LEFT(E264,FIND("/",E264)-1)),(MID(E264, SEARCH("/",E264) + 1, SEARCH("/",E264, SEARCH("/",E264)+1) - SEARCH("/",E264) - 1))-(LEFT(E264,FIND("/",E264)-1))), "NA"))</f>
        <v/>
      </c>
      <c r="K264" s="79">
        <f>IF(A264&lt;&gt;"", IF(ISBLANK(L264), TODAY(), K264), "")</f>
        <v/>
      </c>
      <c r="L264" s="78" t="n"/>
      <c r="M264" s="78">
        <f>IF(ISBLANK(L264),"",IF(D264="Stock",IF(C264="Buy",L264*G264,IF(C264="Sell",(L264*G264)-I264, X)),IF(C264="Buy",(L264*G264*100)+I264,IF(C264="Sell",(L264*G264*100)-I264, X))))</f>
        <v/>
      </c>
      <c r="N264" s="78">
        <f>IF(ISBLANK(L264),"",IF(AND(C264="Sell",D264="Stock"),M264,IF(ISBLANK(L264),"",IF(C264="Buy",M264, IF(AND(C264="Sell",J264="NA"),(E264*G264*100*0.1)+I264, IF(C264="Sell",(J264-L264)*(100*G264)+I264))))))</f>
        <v/>
      </c>
      <c r="O264" s="75" t="n"/>
      <c r="P264" s="75" t="n"/>
      <c r="Q264" s="75">
        <f>IF(ISBLANK(P264),"",IF(D264="Stock",P264*G264,IF(P264=0,"0",G264*P264*100-(G264*$AF$14))))</f>
        <v/>
      </c>
      <c r="R264" s="79">
        <f>IF(P264&lt;&gt;"", TODAY(), "")</f>
        <v/>
      </c>
      <c r="S264" s="78">
        <f>IF(AND(K264&lt;&gt;"", R264&lt;&gt;""), R264-K264, "")</f>
        <v/>
      </c>
      <c r="T264" s="78" t="n"/>
      <c r="U264" s="92">
        <f>IF(ISBLANK(P264),"",IF(C264="Buy",Q264-M264+T264, IF(C264="Sell",M264-Q264-T264, X)))</f>
        <v/>
      </c>
      <c r="V264" s="81">
        <f>IF(ISBLANK(P264),"",U264/N264)</f>
        <v/>
      </c>
      <c r="W264" s="81">
        <f>IF(ISBLANK(P264),"",IF(S264=0,(365/0.5)*V264,(365/S264)*V264))</f>
        <v/>
      </c>
      <c r="X264" s="75" t="n"/>
      <c r="Y264" s="77" t="n"/>
      <c r="Z264" s="77" t="n"/>
      <c r="AA264" s="75" t="n"/>
      <c r="AB264" s="75" t="n"/>
      <c r="AC264" s="6" t="n"/>
      <c r="AD264" s="75" t="n"/>
      <c r="AE264" s="75" t="n"/>
      <c r="AF264" s="75" t="n"/>
    </row>
    <row r="265" ht="15.75" customHeight="1" s="133">
      <c r="A265" s="75" t="n"/>
      <c r="B265" s="75" t="n"/>
      <c r="C265" s="75" t="n"/>
      <c r="D265" s="75" t="n"/>
      <c r="E265" s="76" t="n"/>
      <c r="F265" s="77" t="n"/>
      <c r="G265" s="75" t="n"/>
      <c r="H265" s="75">
        <f>IF(ISBLANK(E265),"",IF(OR(D265="Butterfly",D265="Butterfly ",D265="Iron Fly", D265="Iron Fly "),LEN(E265)-LEN(SUBSTITUTE(E265,"/",""))+2,LEN(E265)-LEN(SUBSTITUTE(E265,"/",""))+1))</f>
        <v/>
      </c>
      <c r="I265" s="78">
        <f>IF(ISBLANK(G265),"",IF(D265="Stock","0",Key!$A$3*H265*G265))</f>
        <v/>
      </c>
      <c r="J265" s="78">
        <f>IF(ISBLANK(E265),"",IF(ISNUMBER(SEARCH("/",E265)), IF(LEN(E265)-LEN(SUBSTITUTE(E265,"/",""))=1,(RIGHT(E265,LEN(E265)-FIND("/",E265)))-(LEFT(E265,FIND("/",E265)-1)),(MID(E265, SEARCH("/",E265) + 1, SEARCH("/",E265, SEARCH("/",E265)+1) - SEARCH("/",E265) - 1))-(LEFT(E265,FIND("/",E265)-1))), "NA"))</f>
        <v/>
      </c>
      <c r="K265" s="79">
        <f>IF(A265&lt;&gt;"", IF(ISBLANK(L265), TODAY(), K265), "")</f>
        <v/>
      </c>
      <c r="L265" s="78" t="n"/>
      <c r="M265" s="78">
        <f>IF(ISBLANK(L265),"",IF(D265="Stock",IF(C265="Buy",L265*G265,IF(C265="Sell",(L265*G265)-I265, X)),IF(C265="Buy",(L265*G265*100)+I265,IF(C265="Sell",(L265*G265*100)-I265, X))))</f>
        <v/>
      </c>
      <c r="N265" s="78">
        <f>IF(ISBLANK(L265),"",IF(AND(C265="Sell",D265="Stock"),M265,IF(ISBLANK(L265),"",IF(C265="Buy",M265, IF(AND(C265="Sell",J265="NA"),(E265*G265*100*0.1)+I265, IF(C265="Sell",(J265-L265)*(100*G265)+I265))))))</f>
        <v/>
      </c>
      <c r="O265" s="75" t="n"/>
      <c r="P265" s="75" t="n"/>
      <c r="Q265" s="75">
        <f>IF(ISBLANK(P265),"",IF(D265="Stock",P265*G265,IF(P265=0,"0",G265*P265*100-(G265*$AF$14))))</f>
        <v/>
      </c>
      <c r="R265" s="79">
        <f>IF(P265&lt;&gt;"", TODAY(), "")</f>
        <v/>
      </c>
      <c r="S265" s="78">
        <f>IF(AND(K265&lt;&gt;"", R265&lt;&gt;""), R265-K265, "")</f>
        <v/>
      </c>
      <c r="T265" s="78" t="n"/>
      <c r="U265" s="92">
        <f>IF(ISBLANK(P265),"",IF(C265="Buy",Q265-M265+T265, IF(C265="Sell",M265-Q265-T265, X)))</f>
        <v/>
      </c>
      <c r="V265" s="81">
        <f>IF(ISBLANK(P265),"",U265/N265)</f>
        <v/>
      </c>
      <c r="W265" s="81">
        <f>IF(ISBLANK(P265),"",IF(S265=0,(365/0.5)*V265,(365/S265)*V265))</f>
        <v/>
      </c>
      <c r="X265" s="75" t="n"/>
      <c r="Y265" s="77" t="n"/>
      <c r="Z265" s="77" t="n"/>
      <c r="AA265" s="75" t="n"/>
      <c r="AB265" s="75" t="n"/>
      <c r="AC265" s="6" t="n"/>
      <c r="AD265" s="75" t="n"/>
      <c r="AE265" s="75" t="n"/>
      <c r="AF265" s="75" t="n"/>
    </row>
    <row r="266" ht="15.75" customHeight="1" s="133">
      <c r="A266" s="75" t="n"/>
      <c r="B266" s="75" t="n"/>
      <c r="C266" s="75" t="n"/>
      <c r="D266" s="75" t="n"/>
      <c r="E266" s="76" t="n"/>
      <c r="F266" s="77" t="n"/>
      <c r="G266" s="75" t="n"/>
      <c r="H266" s="75">
        <f>IF(ISBLANK(E266),"",IF(OR(D266="Butterfly",D266="Butterfly ",D266="Iron Fly", D266="Iron Fly "),LEN(E266)-LEN(SUBSTITUTE(E266,"/",""))+2,LEN(E266)-LEN(SUBSTITUTE(E266,"/",""))+1))</f>
        <v/>
      </c>
      <c r="I266" s="78">
        <f>IF(ISBLANK(G266),"",IF(D266="Stock","0",Key!$A$3*H266*G266))</f>
        <v/>
      </c>
      <c r="J266" s="78">
        <f>IF(ISBLANK(E266),"",IF(ISNUMBER(SEARCH("/",E266)), IF(LEN(E266)-LEN(SUBSTITUTE(E266,"/",""))=1,(RIGHT(E266,LEN(E266)-FIND("/",E266)))-(LEFT(E266,FIND("/",E266)-1)),(MID(E266, SEARCH("/",E266) + 1, SEARCH("/",E266, SEARCH("/",E266)+1) - SEARCH("/",E266) - 1))-(LEFT(E266,FIND("/",E266)-1))), "NA"))</f>
        <v/>
      </c>
      <c r="K266" s="79">
        <f>IF(A266&lt;&gt;"", IF(ISBLANK(L266), TODAY(), K266), "")</f>
        <v/>
      </c>
      <c r="L266" s="78" t="n"/>
      <c r="M266" s="78">
        <f>IF(ISBLANK(L266),"",IF(D266="Stock",IF(C266="Buy",L266*G266,IF(C266="Sell",(L266*G266)-I266, X)),IF(C266="Buy",(L266*G266*100)+I266,IF(C266="Sell",(L266*G266*100)-I266, X))))</f>
        <v/>
      </c>
      <c r="N266" s="78">
        <f>IF(ISBLANK(L266),"",IF(AND(C266="Sell",D266="Stock"),M266,IF(ISBLANK(L266),"",IF(C266="Buy",M266, IF(AND(C266="Sell",J266="NA"),(E266*G266*100*0.1)+I266, IF(C266="Sell",(J266-L266)*(100*G266)+I266))))))</f>
        <v/>
      </c>
      <c r="O266" s="75" t="n"/>
      <c r="P266" s="75" t="n"/>
      <c r="Q266" s="75">
        <f>IF(ISBLANK(P266),"",IF(D266="Stock",P266*G266,IF(P266=0,"0",G266*P266*100-(G266*$AF$14))))</f>
        <v/>
      </c>
      <c r="R266" s="79">
        <f>IF(P266&lt;&gt;"", TODAY(), "")</f>
        <v/>
      </c>
      <c r="S266" s="78">
        <f>IF(AND(K266&lt;&gt;"", R266&lt;&gt;""), R266-K266, "")</f>
        <v/>
      </c>
      <c r="T266" s="78" t="n"/>
      <c r="U266" s="92">
        <f>IF(ISBLANK(P266),"",IF(C266="Buy",Q266-M266+T266, IF(C266="Sell",M266-Q266-T266, X)))</f>
        <v/>
      </c>
      <c r="V266" s="81">
        <f>IF(ISBLANK(P266),"",U266/N266)</f>
        <v/>
      </c>
      <c r="W266" s="81">
        <f>IF(ISBLANK(P266),"",IF(S266=0,(365/0.5)*V266,(365/S266)*V266))</f>
        <v/>
      </c>
      <c r="X266" s="75" t="n"/>
      <c r="Y266" s="77" t="n"/>
      <c r="Z266" s="77" t="n"/>
      <c r="AA266" s="75" t="n"/>
      <c r="AB266" s="75" t="n"/>
      <c r="AC266" s="6" t="n"/>
      <c r="AD266" s="75" t="n"/>
      <c r="AE266" s="75" t="n"/>
      <c r="AF266" s="75" t="n"/>
    </row>
    <row r="267" ht="15.75" customHeight="1" s="133">
      <c r="A267" s="75" t="n"/>
      <c r="B267" s="75" t="n"/>
      <c r="C267" s="75" t="n"/>
      <c r="D267" s="75" t="n"/>
      <c r="E267" s="76" t="n"/>
      <c r="F267" s="77" t="n"/>
      <c r="G267" s="75" t="n"/>
      <c r="H267" s="75">
        <f>IF(ISBLANK(E267),"",IF(OR(D267="Butterfly",D267="Butterfly ",D267="Iron Fly", D267="Iron Fly "),LEN(E267)-LEN(SUBSTITUTE(E267,"/",""))+2,LEN(E267)-LEN(SUBSTITUTE(E267,"/",""))+1))</f>
        <v/>
      </c>
      <c r="I267" s="78">
        <f>IF(ISBLANK(G267),"",IF(D267="Stock","0",Key!$A$3*H267*G267))</f>
        <v/>
      </c>
      <c r="J267" s="78">
        <f>IF(ISBLANK(E267),"",IF(ISNUMBER(SEARCH("/",E267)), IF(LEN(E267)-LEN(SUBSTITUTE(E267,"/",""))=1,(RIGHT(E267,LEN(E267)-FIND("/",E267)))-(LEFT(E267,FIND("/",E267)-1)),(MID(E267, SEARCH("/",E267) + 1, SEARCH("/",E267, SEARCH("/",E267)+1) - SEARCH("/",E267) - 1))-(LEFT(E267,FIND("/",E267)-1))), "NA"))</f>
        <v/>
      </c>
      <c r="K267" s="79">
        <f>IF(A267&lt;&gt;"", IF(ISBLANK(L267), TODAY(), K267), "")</f>
        <v/>
      </c>
      <c r="L267" s="78" t="n"/>
      <c r="M267" s="78">
        <f>IF(ISBLANK(L267),"",IF(D267="Stock",IF(C267="Buy",L267*G267,IF(C267="Sell",(L267*G267)-I267, X)),IF(C267="Buy",(L267*G267*100)+I267,IF(C267="Sell",(L267*G267*100)-I267, X))))</f>
        <v/>
      </c>
      <c r="N267" s="78">
        <f>IF(ISBLANK(L267),"",IF(AND(C267="Sell",D267="Stock"),M267,IF(ISBLANK(L267),"",IF(C267="Buy",M267, IF(AND(C267="Sell",J267="NA"),(E267*G267*100*0.1)+I267, IF(C267="Sell",(J267-L267)*(100*G267)+I267))))))</f>
        <v/>
      </c>
      <c r="O267" s="75" t="n"/>
      <c r="P267" s="75" t="n"/>
      <c r="Q267" s="75">
        <f>IF(ISBLANK(P267),"",IF(D267="Stock",P267*G267,IF(P267=0,"0",G267*P267*100-(G267*$AF$14))))</f>
        <v/>
      </c>
      <c r="R267" s="79">
        <f>IF(P267&lt;&gt;"", TODAY(), "")</f>
        <v/>
      </c>
      <c r="S267" s="78">
        <f>IF(AND(K267&lt;&gt;"", R267&lt;&gt;""), R267-K267, "")</f>
        <v/>
      </c>
      <c r="T267" s="78" t="n"/>
      <c r="U267" s="92">
        <f>IF(ISBLANK(P267),"",IF(C267="Buy",Q267-M267+T267, IF(C267="Sell",M267-Q267-T267, X)))</f>
        <v/>
      </c>
      <c r="V267" s="81">
        <f>IF(ISBLANK(P267),"",U267/N267)</f>
        <v/>
      </c>
      <c r="W267" s="81">
        <f>IF(ISBLANK(P267),"",IF(S267=0,(365/0.5)*V267,(365/S267)*V267))</f>
        <v/>
      </c>
      <c r="X267" s="75" t="n"/>
      <c r="Y267" s="77" t="n"/>
      <c r="Z267" s="77" t="n"/>
      <c r="AA267" s="75" t="n"/>
      <c r="AB267" s="75" t="n"/>
      <c r="AC267" s="6" t="n"/>
      <c r="AD267" s="75" t="n"/>
      <c r="AE267" s="75" t="n"/>
      <c r="AF267" s="75" t="n"/>
    </row>
    <row r="268" ht="15.75" customHeight="1" s="133">
      <c r="A268" s="75" t="n"/>
      <c r="B268" s="75" t="n"/>
      <c r="C268" s="75" t="n"/>
      <c r="D268" s="75" t="n"/>
      <c r="E268" s="76" t="n"/>
      <c r="F268" s="77" t="n"/>
      <c r="G268" s="75" t="n"/>
      <c r="H268" s="75">
        <f>IF(ISBLANK(E268),"",IF(OR(D268="Butterfly",D268="Butterfly ",D268="Iron Fly", D268="Iron Fly "),LEN(E268)-LEN(SUBSTITUTE(E268,"/",""))+2,LEN(E268)-LEN(SUBSTITUTE(E268,"/",""))+1))</f>
        <v/>
      </c>
      <c r="I268" s="78">
        <f>IF(ISBLANK(G268),"",IF(D268="Stock","0",Key!$A$3*H268*G268))</f>
        <v/>
      </c>
      <c r="J268" s="78">
        <f>IF(ISBLANK(E268),"",IF(ISNUMBER(SEARCH("/",E268)), IF(LEN(E268)-LEN(SUBSTITUTE(E268,"/",""))=1,(RIGHT(E268,LEN(E268)-FIND("/",E268)))-(LEFT(E268,FIND("/",E268)-1)),(MID(E268, SEARCH("/",E268) + 1, SEARCH("/",E268, SEARCH("/",E268)+1) - SEARCH("/",E268) - 1))-(LEFT(E268,FIND("/",E268)-1))), "NA"))</f>
        <v/>
      </c>
      <c r="K268" s="79">
        <f>IF(A268&lt;&gt;"", IF(ISBLANK(L268), TODAY(), K268), "")</f>
        <v/>
      </c>
      <c r="L268" s="78" t="n"/>
      <c r="M268" s="78">
        <f>IF(ISBLANK(L268),"",IF(D268="Stock",IF(C268="Buy",L268*G268,IF(C268="Sell",(L268*G268)-I268, X)),IF(C268="Buy",(L268*G268*100)+I268,IF(C268="Sell",(L268*G268*100)-I268, X))))</f>
        <v/>
      </c>
      <c r="N268" s="78">
        <f>IF(ISBLANK(L268),"",IF(AND(C268="Sell",D268="Stock"),M268,IF(ISBLANK(L268),"",IF(C268="Buy",M268, IF(AND(C268="Sell",J268="NA"),(E268*G268*100*0.1)+I268, IF(C268="Sell",(J268-L268)*(100*G268)+I268))))))</f>
        <v/>
      </c>
      <c r="O268" s="75" t="n"/>
      <c r="P268" s="75" t="n"/>
      <c r="Q268" s="75">
        <f>IF(ISBLANK(P268),"",IF(D268="Stock",P268*G268,IF(P268=0,"0",G268*P268*100-(G268*$AF$14))))</f>
        <v/>
      </c>
      <c r="R268" s="79">
        <f>IF(P268&lt;&gt;"", TODAY(), "")</f>
        <v/>
      </c>
      <c r="S268" s="78">
        <f>IF(AND(K268&lt;&gt;"", R268&lt;&gt;""), R268-K268, "")</f>
        <v/>
      </c>
      <c r="T268" s="78" t="n"/>
      <c r="U268" s="92">
        <f>IF(ISBLANK(P268),"",IF(C268="Buy",Q268-M268+T268, IF(C268="Sell",M268-Q268-T268, X)))</f>
        <v/>
      </c>
      <c r="V268" s="81">
        <f>IF(ISBLANK(P268),"",U268/N268)</f>
        <v/>
      </c>
      <c r="W268" s="81">
        <f>IF(ISBLANK(P268),"",IF(S268=0,(365/0.5)*V268,(365/S268)*V268))</f>
        <v/>
      </c>
      <c r="X268" s="75" t="n"/>
      <c r="Y268" s="77" t="n"/>
      <c r="Z268" s="77" t="n"/>
      <c r="AA268" s="75" t="n"/>
      <c r="AB268" s="75" t="n"/>
      <c r="AC268" s="6" t="n"/>
      <c r="AD268" s="75" t="n"/>
      <c r="AE268" s="75" t="n"/>
      <c r="AF268" s="75" t="n"/>
    </row>
    <row r="269" ht="15.75" customHeight="1" s="133">
      <c r="A269" s="75" t="n"/>
      <c r="B269" s="75" t="n"/>
      <c r="C269" s="75" t="n"/>
      <c r="D269" s="75" t="n"/>
      <c r="E269" s="76" t="n"/>
      <c r="F269" s="77" t="n"/>
      <c r="G269" s="75" t="n"/>
      <c r="H269" s="75">
        <f>IF(ISBLANK(E269),"",IF(OR(D269="Butterfly",D269="Butterfly ",D269="Iron Fly", D269="Iron Fly "),LEN(E269)-LEN(SUBSTITUTE(E269,"/",""))+2,LEN(E269)-LEN(SUBSTITUTE(E269,"/",""))+1))</f>
        <v/>
      </c>
      <c r="I269" s="78">
        <f>IF(ISBLANK(G269),"",IF(D269="Stock","0",Key!$A$3*H269*G269))</f>
        <v/>
      </c>
      <c r="J269" s="78">
        <f>IF(ISBLANK(E269),"",IF(ISNUMBER(SEARCH("/",E269)), IF(LEN(E269)-LEN(SUBSTITUTE(E269,"/",""))=1,(RIGHT(E269,LEN(E269)-FIND("/",E269)))-(LEFT(E269,FIND("/",E269)-1)),(MID(E269, SEARCH("/",E269) + 1, SEARCH("/",E269, SEARCH("/",E269)+1) - SEARCH("/",E269) - 1))-(LEFT(E269,FIND("/",E269)-1))), "NA"))</f>
        <v/>
      </c>
      <c r="K269" s="79">
        <f>IF(A269&lt;&gt;"", IF(ISBLANK(L269), TODAY(), K269), "")</f>
        <v/>
      </c>
      <c r="L269" s="78" t="n"/>
      <c r="M269" s="78">
        <f>IF(ISBLANK(L269),"",IF(D269="Stock",IF(C269="Buy",L269*G269,IF(C269="Sell",(L269*G269)-I269, X)),IF(C269="Buy",(L269*G269*100)+I269,IF(C269="Sell",(L269*G269*100)-I269, X))))</f>
        <v/>
      </c>
      <c r="N269" s="78">
        <f>IF(ISBLANK(L269),"",IF(AND(C269="Sell",D269="Stock"),M269,IF(ISBLANK(L269),"",IF(C269="Buy",M269, IF(AND(C269="Sell",J269="NA"),(E269*G269*100*0.1)+I269, IF(C269="Sell",(J269-L269)*(100*G269)+I269))))))</f>
        <v/>
      </c>
      <c r="O269" s="75" t="n"/>
      <c r="P269" s="75" t="n"/>
      <c r="Q269" s="75">
        <f>IF(ISBLANK(P269),"",IF(D269="Stock",P269*G269,IF(P269=0,"0",G269*P269*100-(G269*$AF$14))))</f>
        <v/>
      </c>
      <c r="R269" s="79">
        <f>IF(P269&lt;&gt;"", TODAY(), "")</f>
        <v/>
      </c>
      <c r="S269" s="78">
        <f>IF(AND(K269&lt;&gt;"", R269&lt;&gt;""), R269-K269, "")</f>
        <v/>
      </c>
      <c r="T269" s="78" t="n"/>
      <c r="U269" s="92">
        <f>IF(ISBLANK(P269),"",IF(C269="Buy",Q269-M269+T269, IF(C269="Sell",M269-Q269-T269, X)))</f>
        <v/>
      </c>
      <c r="V269" s="81">
        <f>IF(ISBLANK(P269),"",U269/N269)</f>
        <v/>
      </c>
      <c r="W269" s="81">
        <f>IF(ISBLANK(P269),"",IF(S269=0,(365/0.5)*V269,(365/S269)*V269))</f>
        <v/>
      </c>
      <c r="X269" s="75" t="n"/>
      <c r="Y269" s="77" t="n"/>
      <c r="Z269" s="77" t="n"/>
      <c r="AA269" s="75" t="n"/>
      <c r="AB269" s="75" t="n"/>
      <c r="AC269" s="6" t="n"/>
      <c r="AD269" s="75" t="n"/>
      <c r="AE269" s="75" t="n"/>
      <c r="AF269" s="75" t="n"/>
    </row>
    <row r="270" ht="15.75" customHeight="1" s="133">
      <c r="A270" s="75" t="n"/>
      <c r="B270" s="75" t="n"/>
      <c r="C270" s="75" t="n"/>
      <c r="D270" s="75" t="n"/>
      <c r="E270" s="76" t="n"/>
      <c r="F270" s="77" t="n"/>
      <c r="G270" s="75" t="n"/>
      <c r="H270" s="75">
        <f>IF(ISBLANK(E270),"",IF(OR(D270="Butterfly",D270="Butterfly ",D270="Iron Fly", D270="Iron Fly "),LEN(E270)-LEN(SUBSTITUTE(E270,"/",""))+2,LEN(E270)-LEN(SUBSTITUTE(E270,"/",""))+1))</f>
        <v/>
      </c>
      <c r="I270" s="78">
        <f>IF(ISBLANK(G270),"",IF(D270="Stock","0",Key!$A$3*H270*G270))</f>
        <v/>
      </c>
      <c r="J270" s="78">
        <f>IF(ISBLANK(E270),"",IF(ISNUMBER(SEARCH("/",E270)), IF(LEN(E270)-LEN(SUBSTITUTE(E270,"/",""))=1,(RIGHT(E270,LEN(E270)-FIND("/",E270)))-(LEFT(E270,FIND("/",E270)-1)),(MID(E270, SEARCH("/",E270) + 1, SEARCH("/",E270, SEARCH("/",E270)+1) - SEARCH("/",E270) - 1))-(LEFT(E270,FIND("/",E270)-1))), "NA"))</f>
        <v/>
      </c>
      <c r="K270" s="79">
        <f>IF(A270&lt;&gt;"", IF(ISBLANK(L270), TODAY(), K270), "")</f>
        <v/>
      </c>
      <c r="L270" s="78" t="n"/>
      <c r="M270" s="78">
        <f>IF(ISBLANK(L270),"",IF(D270="Stock",IF(C270="Buy",L270*G270,IF(C270="Sell",(L270*G270)-I270, X)),IF(C270="Buy",(L270*G270*100)+I270,IF(C270="Sell",(L270*G270*100)-I270, X))))</f>
        <v/>
      </c>
      <c r="N270" s="78">
        <f>IF(ISBLANK(L270),"",IF(AND(C270="Sell",D270="Stock"),M270,IF(ISBLANK(L270),"",IF(C270="Buy",M270, IF(AND(C270="Sell",J270="NA"),(E270*G270*100*0.1)+I270, IF(C270="Sell",(J270-L270)*(100*G270)+I270))))))</f>
        <v/>
      </c>
      <c r="O270" s="75" t="n"/>
      <c r="P270" s="75" t="n"/>
      <c r="Q270" s="75">
        <f>IF(ISBLANK(P270),"",IF(D270="Stock",P270*G270,IF(P270=0,"0",G270*P270*100-(G270*$AF$14))))</f>
        <v/>
      </c>
      <c r="R270" s="79">
        <f>IF(P270&lt;&gt;"", TODAY(), "")</f>
        <v/>
      </c>
      <c r="S270" s="78">
        <f>IF(AND(K270&lt;&gt;"", R270&lt;&gt;""), R270-K270, "")</f>
        <v/>
      </c>
      <c r="T270" s="78" t="n"/>
      <c r="U270" s="92">
        <f>IF(ISBLANK(P270),"",IF(C270="Buy",Q270-M270+T270, IF(C270="Sell",M270-Q270-T270, X)))</f>
        <v/>
      </c>
      <c r="V270" s="81">
        <f>IF(ISBLANK(P270),"",U270/N270)</f>
        <v/>
      </c>
      <c r="W270" s="81">
        <f>IF(ISBLANK(P270),"",IF(S270=0,(365/0.5)*V270,(365/S270)*V270))</f>
        <v/>
      </c>
      <c r="X270" s="75" t="n"/>
      <c r="Y270" s="77" t="n"/>
      <c r="Z270" s="77" t="n"/>
      <c r="AA270" s="75" t="n"/>
      <c r="AB270" s="75" t="n"/>
      <c r="AC270" s="6" t="n"/>
      <c r="AD270" s="75" t="n"/>
      <c r="AE270" s="75" t="n"/>
      <c r="AF270" s="75" t="n"/>
    </row>
    <row r="271" ht="15.75" customHeight="1" s="133">
      <c r="A271" s="75" t="n"/>
      <c r="B271" s="75" t="n"/>
      <c r="C271" s="75" t="n"/>
      <c r="D271" s="75" t="n"/>
      <c r="E271" s="76" t="n"/>
      <c r="F271" s="77" t="n"/>
      <c r="G271" s="75" t="n"/>
      <c r="H271" s="75">
        <f>IF(ISBLANK(E271),"",IF(OR(D271="Butterfly",D271="Butterfly ",D271="Iron Fly", D271="Iron Fly "),LEN(E271)-LEN(SUBSTITUTE(E271,"/",""))+2,LEN(E271)-LEN(SUBSTITUTE(E271,"/",""))+1))</f>
        <v/>
      </c>
      <c r="I271" s="78">
        <f>IF(ISBLANK(G271),"",IF(D271="Stock","0",Key!$A$3*H271*G271))</f>
        <v/>
      </c>
      <c r="J271" s="78">
        <f>IF(ISBLANK(E271),"",IF(ISNUMBER(SEARCH("/",E271)), IF(LEN(E271)-LEN(SUBSTITUTE(E271,"/",""))=1,(RIGHT(E271,LEN(E271)-FIND("/",E271)))-(LEFT(E271,FIND("/",E271)-1)),(MID(E271, SEARCH("/",E271) + 1, SEARCH("/",E271, SEARCH("/",E271)+1) - SEARCH("/",E271) - 1))-(LEFT(E271,FIND("/",E271)-1))), "NA"))</f>
        <v/>
      </c>
      <c r="K271" s="79">
        <f>IF(A271&lt;&gt;"", IF(ISBLANK(L271), TODAY(), K271), "")</f>
        <v/>
      </c>
      <c r="L271" s="78" t="n"/>
      <c r="M271" s="78">
        <f>IF(ISBLANK(L271),"",IF(D271="Stock",IF(C271="Buy",L271*G271,IF(C271="Sell",(L271*G271)-I271, X)),IF(C271="Buy",(L271*G271*100)+I271,IF(C271="Sell",(L271*G271*100)-I271, X))))</f>
        <v/>
      </c>
      <c r="N271" s="78">
        <f>IF(ISBLANK(L271),"",IF(AND(C271="Sell",D271="Stock"),M271,IF(ISBLANK(L271),"",IF(C271="Buy",M271, IF(AND(C271="Sell",J271="NA"),(E271*G271*100*0.1)+I271, IF(C271="Sell",(J271-L271)*(100*G271)+I271))))))</f>
        <v/>
      </c>
      <c r="O271" s="75" t="n"/>
      <c r="P271" s="75" t="n"/>
      <c r="Q271" s="75">
        <f>IF(ISBLANK(P271),"",IF(D271="Stock",P271*G271,IF(P271=0,"0",G271*P271*100-(G271*$AF$14))))</f>
        <v/>
      </c>
      <c r="R271" s="79">
        <f>IF(P271&lt;&gt;"", TODAY(), "")</f>
        <v/>
      </c>
      <c r="S271" s="78">
        <f>IF(AND(K271&lt;&gt;"", R271&lt;&gt;""), R271-K271, "")</f>
        <v/>
      </c>
      <c r="T271" s="78" t="n"/>
      <c r="U271" s="92">
        <f>IF(ISBLANK(P271),"",IF(C271="Buy",Q271-M271+T271, IF(C271="Sell",M271-Q271-T271, X)))</f>
        <v/>
      </c>
      <c r="V271" s="81">
        <f>IF(ISBLANK(P271),"",U271/N271)</f>
        <v/>
      </c>
      <c r="W271" s="81">
        <f>IF(ISBLANK(P271),"",IF(S271=0,(365/0.5)*V271,(365/S271)*V271))</f>
        <v/>
      </c>
      <c r="X271" s="75" t="n"/>
      <c r="Y271" s="77" t="n"/>
      <c r="Z271" s="77" t="n"/>
      <c r="AA271" s="75" t="n"/>
      <c r="AB271" s="75" t="n"/>
      <c r="AC271" s="6" t="n"/>
      <c r="AD271" s="75" t="n"/>
      <c r="AE271" s="75" t="n"/>
      <c r="AF271" s="75" t="n"/>
    </row>
    <row r="272" ht="15.75" customHeight="1" s="133">
      <c r="A272" s="75" t="n"/>
      <c r="B272" s="75" t="n"/>
      <c r="C272" s="75" t="n"/>
      <c r="D272" s="75" t="n"/>
      <c r="E272" s="76" t="n"/>
      <c r="F272" s="77" t="n"/>
      <c r="G272" s="75" t="n"/>
      <c r="H272" s="75">
        <f>IF(ISBLANK(E272),"",IF(OR(D272="Butterfly",D272="Butterfly ",D272="Iron Fly", D272="Iron Fly "),LEN(E272)-LEN(SUBSTITUTE(E272,"/",""))+2,LEN(E272)-LEN(SUBSTITUTE(E272,"/",""))+1))</f>
        <v/>
      </c>
      <c r="I272" s="78">
        <f>IF(ISBLANK(G272),"",IF(D272="Stock","0",Key!$A$3*H272*G272))</f>
        <v/>
      </c>
      <c r="J272" s="78">
        <f>IF(ISBLANK(E272),"",IF(ISNUMBER(SEARCH("/",E272)), IF(LEN(E272)-LEN(SUBSTITUTE(E272,"/",""))=1,(RIGHT(E272,LEN(E272)-FIND("/",E272)))-(LEFT(E272,FIND("/",E272)-1)),(MID(E272, SEARCH("/",E272) + 1, SEARCH("/",E272, SEARCH("/",E272)+1) - SEARCH("/",E272) - 1))-(LEFT(E272,FIND("/",E272)-1))), "NA"))</f>
        <v/>
      </c>
      <c r="K272" s="79">
        <f>IF(A272&lt;&gt;"", IF(ISBLANK(L272), TODAY(), K272), "")</f>
        <v/>
      </c>
      <c r="L272" s="78" t="n"/>
      <c r="M272" s="78">
        <f>IF(ISBLANK(L272),"",IF(D272="Stock",IF(C272="Buy",L272*G272,IF(C272="Sell",(L272*G272)-I272, X)),IF(C272="Buy",(L272*G272*100)+I272,IF(C272="Sell",(L272*G272*100)-I272, X))))</f>
        <v/>
      </c>
      <c r="N272" s="78">
        <f>IF(ISBLANK(L272),"",IF(AND(C272="Sell",D272="Stock"),M272,IF(ISBLANK(L272),"",IF(C272="Buy",M272, IF(AND(C272="Sell",J272="NA"),(E272*G272*100*0.1)+I272, IF(C272="Sell",(J272-L272)*(100*G272)+I272))))))</f>
        <v/>
      </c>
      <c r="O272" s="75" t="n"/>
      <c r="P272" s="75" t="n"/>
      <c r="Q272" s="75">
        <f>IF(ISBLANK(P272),"",IF(D272="Stock",P272*G272,IF(P272=0,"0",G272*P272*100-(G272*$AF$14))))</f>
        <v/>
      </c>
      <c r="R272" s="79">
        <f>IF(P272&lt;&gt;"", TODAY(), "")</f>
        <v/>
      </c>
      <c r="S272" s="78">
        <f>IF(AND(K272&lt;&gt;"", R272&lt;&gt;""), R272-K272, "")</f>
        <v/>
      </c>
      <c r="T272" s="78" t="n"/>
      <c r="U272" s="92">
        <f>IF(ISBLANK(P272),"",IF(C272="Buy",Q272-M272+T272, IF(C272="Sell",M272-Q272-T272, X)))</f>
        <v/>
      </c>
      <c r="V272" s="81">
        <f>IF(ISBLANK(P272),"",U272/N272)</f>
        <v/>
      </c>
      <c r="W272" s="81">
        <f>IF(ISBLANK(P272),"",IF(S272=0,(365/0.5)*V272,(365/S272)*V272))</f>
        <v/>
      </c>
      <c r="X272" s="75" t="n"/>
      <c r="Y272" s="77" t="n"/>
      <c r="Z272" s="77" t="n"/>
      <c r="AA272" s="75" t="n"/>
      <c r="AB272" s="75" t="n"/>
      <c r="AC272" s="6" t="n"/>
      <c r="AD272" s="75" t="n"/>
      <c r="AE272" s="75" t="n"/>
      <c r="AF272" s="75" t="n"/>
    </row>
    <row r="273" ht="15.75" customHeight="1" s="133">
      <c r="A273" s="75" t="n"/>
      <c r="B273" s="75" t="n"/>
      <c r="C273" s="75" t="n"/>
      <c r="D273" s="75" t="n"/>
      <c r="E273" s="76" t="n"/>
      <c r="F273" s="77" t="n"/>
      <c r="G273" s="75" t="n"/>
      <c r="H273" s="75">
        <f>IF(ISBLANK(E273),"",IF(OR(D273="Butterfly",D273="Butterfly ",D273="Iron Fly", D273="Iron Fly "),LEN(E273)-LEN(SUBSTITUTE(E273,"/",""))+2,LEN(E273)-LEN(SUBSTITUTE(E273,"/",""))+1))</f>
        <v/>
      </c>
      <c r="I273" s="78">
        <f>IF(ISBLANK(G273),"",IF(D273="Stock","0",Key!$A$3*H273*G273))</f>
        <v/>
      </c>
      <c r="J273" s="78">
        <f>IF(ISBLANK(E273),"",IF(ISNUMBER(SEARCH("/",E273)), IF(LEN(E273)-LEN(SUBSTITUTE(E273,"/",""))=1,(RIGHT(E273,LEN(E273)-FIND("/",E273)))-(LEFT(E273,FIND("/",E273)-1)),(MID(E273, SEARCH("/",E273) + 1, SEARCH("/",E273, SEARCH("/",E273)+1) - SEARCH("/",E273) - 1))-(LEFT(E273,FIND("/",E273)-1))), "NA"))</f>
        <v/>
      </c>
      <c r="K273" s="79">
        <f>IF(A273&lt;&gt;"", IF(ISBLANK(L273), TODAY(), K273), "")</f>
        <v/>
      </c>
      <c r="L273" s="78" t="n"/>
      <c r="M273" s="78">
        <f>IF(ISBLANK(L273),"",IF(D273="Stock",IF(C273="Buy",L273*G273,IF(C273="Sell",(L273*G273)-I273, X)),IF(C273="Buy",(L273*G273*100)+I273,IF(C273="Sell",(L273*G273*100)-I273, X))))</f>
        <v/>
      </c>
      <c r="N273" s="78">
        <f>IF(ISBLANK(L273),"",IF(AND(C273="Sell",D273="Stock"),M273,IF(ISBLANK(L273),"",IF(C273="Buy",M273, IF(AND(C273="Sell",J273="NA"),(E273*G273*100*0.1)+I273, IF(C273="Sell",(J273-L273)*(100*G273)+I273))))))</f>
        <v/>
      </c>
      <c r="O273" s="75" t="n"/>
      <c r="P273" s="75" t="n"/>
      <c r="Q273" s="75">
        <f>IF(ISBLANK(P273),"",IF(D273="Stock",P273*G273,IF(P273=0,"0",G273*P273*100-(G273*$AF$14))))</f>
        <v/>
      </c>
      <c r="R273" s="79">
        <f>IF(P273&lt;&gt;"", TODAY(), "")</f>
        <v/>
      </c>
      <c r="S273" s="78">
        <f>IF(AND(K273&lt;&gt;"", R273&lt;&gt;""), R273-K273, "")</f>
        <v/>
      </c>
      <c r="T273" s="78" t="n"/>
      <c r="U273" s="92">
        <f>IF(ISBLANK(P273),"",IF(C273="Buy",Q273-M273+T273, IF(C273="Sell",M273-Q273-T273, X)))</f>
        <v/>
      </c>
      <c r="V273" s="81">
        <f>IF(ISBLANK(P273),"",U273/N273)</f>
        <v/>
      </c>
      <c r="W273" s="81">
        <f>IF(ISBLANK(P273),"",IF(S273=0,(365/0.5)*V273,(365/S273)*V273))</f>
        <v/>
      </c>
      <c r="X273" s="75" t="n"/>
      <c r="Y273" s="77" t="n"/>
      <c r="Z273" s="77" t="n"/>
      <c r="AA273" s="75" t="n"/>
      <c r="AB273" s="75" t="n"/>
      <c r="AC273" s="6" t="n"/>
      <c r="AD273" s="75" t="n"/>
      <c r="AE273" s="75" t="n"/>
      <c r="AF273" s="75" t="n"/>
    </row>
    <row r="274" ht="15.75" customHeight="1" s="133">
      <c r="A274" s="75" t="n"/>
      <c r="B274" s="75" t="n"/>
      <c r="C274" s="75" t="n"/>
      <c r="D274" s="75" t="n"/>
      <c r="E274" s="76" t="n"/>
      <c r="F274" s="77" t="n"/>
      <c r="G274" s="75" t="n"/>
      <c r="H274" s="75">
        <f>IF(ISBLANK(E274),"",IF(OR(D274="Butterfly",D274="Butterfly ",D274="Iron Fly", D274="Iron Fly "),LEN(E274)-LEN(SUBSTITUTE(E274,"/",""))+2,LEN(E274)-LEN(SUBSTITUTE(E274,"/",""))+1))</f>
        <v/>
      </c>
      <c r="I274" s="78">
        <f>IF(ISBLANK(G274),"",IF(D274="Stock","0",Key!$A$3*H274*G274))</f>
        <v/>
      </c>
      <c r="J274" s="78">
        <f>IF(ISBLANK(E274),"",IF(ISNUMBER(SEARCH("/",E274)), IF(LEN(E274)-LEN(SUBSTITUTE(E274,"/",""))=1,(RIGHT(E274,LEN(E274)-FIND("/",E274)))-(LEFT(E274,FIND("/",E274)-1)),(MID(E274, SEARCH("/",E274) + 1, SEARCH("/",E274, SEARCH("/",E274)+1) - SEARCH("/",E274) - 1))-(LEFT(E274,FIND("/",E274)-1))), "NA"))</f>
        <v/>
      </c>
      <c r="K274" s="79">
        <f>IF(A274&lt;&gt;"", IF(ISBLANK(L274), TODAY(), K274), "")</f>
        <v/>
      </c>
      <c r="L274" s="78" t="n"/>
      <c r="M274" s="78">
        <f>IF(ISBLANK(L274),"",IF(D274="Stock",IF(C274="Buy",L274*G274,IF(C274="Sell",(L274*G274)-I274, X)),IF(C274="Buy",(L274*G274*100)+I274,IF(C274="Sell",(L274*G274*100)-I274, X))))</f>
        <v/>
      </c>
      <c r="N274" s="78">
        <f>IF(ISBLANK(L274),"",IF(AND(C274="Sell",D274="Stock"),M274,IF(ISBLANK(L274),"",IF(C274="Buy",M274, IF(AND(C274="Sell",J274="NA"),(E274*G274*100*0.1)+I274, IF(C274="Sell",(J274-L274)*(100*G274)+I274))))))</f>
        <v/>
      </c>
      <c r="O274" s="75" t="n"/>
      <c r="P274" s="75" t="n"/>
      <c r="Q274" s="75">
        <f>IF(ISBLANK(P274),"",IF(D274="Stock",P274*G274,IF(P274=0,"0",G274*P274*100-(G274*$AF$14))))</f>
        <v/>
      </c>
      <c r="R274" s="79">
        <f>IF(P274&lt;&gt;"", TODAY(), "")</f>
        <v/>
      </c>
      <c r="S274" s="78">
        <f>IF(AND(K274&lt;&gt;"", R274&lt;&gt;""), R274-K274, "")</f>
        <v/>
      </c>
      <c r="T274" s="78" t="n"/>
      <c r="U274" s="92">
        <f>IF(ISBLANK(P274),"",IF(C274="Buy",Q274-M274+T274, IF(C274="Sell",M274-Q274-T274, X)))</f>
        <v/>
      </c>
      <c r="V274" s="81">
        <f>IF(ISBLANK(P274),"",U274/N274)</f>
        <v/>
      </c>
      <c r="W274" s="81">
        <f>IF(ISBLANK(P274),"",IF(S274=0,(365/0.5)*V274,(365/S274)*V274))</f>
        <v/>
      </c>
      <c r="X274" s="75" t="n"/>
      <c r="Y274" s="77" t="n"/>
      <c r="Z274" s="77" t="n"/>
      <c r="AA274" s="75" t="n"/>
      <c r="AB274" s="75" t="n"/>
      <c r="AC274" s="6" t="n"/>
      <c r="AD274" s="75" t="n"/>
      <c r="AE274" s="75" t="n"/>
      <c r="AF274" s="75" t="n"/>
    </row>
    <row r="275" ht="15.75" customHeight="1" s="133">
      <c r="A275" s="75" t="n"/>
      <c r="B275" s="75" t="n"/>
      <c r="C275" s="75" t="n"/>
      <c r="D275" s="75" t="n"/>
      <c r="E275" s="76" t="n"/>
      <c r="F275" s="77" t="n"/>
      <c r="G275" s="75" t="n"/>
      <c r="H275" s="75">
        <f>IF(ISBLANK(E275),"",IF(OR(D275="Butterfly",D275="Butterfly ",D275="Iron Fly", D275="Iron Fly "),LEN(E275)-LEN(SUBSTITUTE(E275,"/",""))+2,LEN(E275)-LEN(SUBSTITUTE(E275,"/",""))+1))</f>
        <v/>
      </c>
      <c r="I275" s="78">
        <f>IF(ISBLANK(G275),"",IF(D275="Stock","0",Key!$A$3*H275*G275))</f>
        <v/>
      </c>
      <c r="J275" s="78">
        <f>IF(ISBLANK(E275),"",IF(ISNUMBER(SEARCH("/",E275)), IF(LEN(E275)-LEN(SUBSTITUTE(E275,"/",""))=1,(RIGHT(E275,LEN(E275)-FIND("/",E275)))-(LEFT(E275,FIND("/",E275)-1)),(MID(E275, SEARCH("/",E275) + 1, SEARCH("/",E275, SEARCH("/",E275)+1) - SEARCH("/",E275) - 1))-(LEFT(E275,FIND("/",E275)-1))), "NA"))</f>
        <v/>
      </c>
      <c r="K275" s="79">
        <f>IF(A275&lt;&gt;"", IF(ISBLANK(L275), TODAY(), K275), "")</f>
        <v/>
      </c>
      <c r="L275" s="78" t="n"/>
      <c r="M275" s="78">
        <f>IF(ISBLANK(L275),"",IF(D275="Stock",IF(C275="Buy",L275*G275,IF(C275="Sell",(L275*G275)-I275, X)),IF(C275="Buy",(L275*G275*100)+I275,IF(C275="Sell",(L275*G275*100)-I275, X))))</f>
        <v/>
      </c>
      <c r="N275" s="78">
        <f>IF(ISBLANK(L275),"",IF(AND(C275="Sell",D275="Stock"),M275,IF(ISBLANK(L275),"",IF(C275="Buy",M275, IF(AND(C275="Sell",J275="NA"),(E275*G275*100*0.1)+I275, IF(C275="Sell",(J275-L275)*(100*G275)+I275))))))</f>
        <v/>
      </c>
      <c r="O275" s="75" t="n"/>
      <c r="P275" s="75" t="n"/>
      <c r="Q275" s="75">
        <f>IF(ISBLANK(P275),"",IF(D275="Stock",P275*G275,IF(P275=0,"0",G275*P275*100-(G275*$AF$14))))</f>
        <v/>
      </c>
      <c r="R275" s="79">
        <f>IF(P275&lt;&gt;"", TODAY(), "")</f>
        <v/>
      </c>
      <c r="S275" s="78">
        <f>IF(AND(K275&lt;&gt;"", R275&lt;&gt;""), R275-K275, "")</f>
        <v/>
      </c>
      <c r="T275" s="78" t="n"/>
      <c r="U275" s="92">
        <f>IF(ISBLANK(P275),"",IF(C275="Buy",Q275-M275+T275, IF(C275="Sell",M275-Q275-T275, X)))</f>
        <v/>
      </c>
      <c r="V275" s="81">
        <f>IF(ISBLANK(P275),"",U275/N275)</f>
        <v/>
      </c>
      <c r="W275" s="81">
        <f>IF(ISBLANK(P275),"",IF(S275=0,(365/0.5)*V275,(365/S275)*V275))</f>
        <v/>
      </c>
      <c r="X275" s="75" t="n"/>
      <c r="Y275" s="77" t="n"/>
      <c r="Z275" s="77" t="n"/>
      <c r="AA275" s="75" t="n"/>
      <c r="AB275" s="75" t="n"/>
      <c r="AC275" s="6" t="n"/>
      <c r="AD275" s="75" t="n"/>
      <c r="AE275" s="75" t="n"/>
      <c r="AF275" s="75" t="n"/>
    </row>
    <row r="276" ht="15.75" customHeight="1" s="133">
      <c r="A276" s="75" t="n"/>
      <c r="B276" s="75" t="n"/>
      <c r="C276" s="75" t="n"/>
      <c r="D276" s="75" t="n"/>
      <c r="E276" s="76" t="n"/>
      <c r="F276" s="77" t="n"/>
      <c r="G276" s="75" t="n"/>
      <c r="H276" s="75">
        <f>IF(ISBLANK(E276),"",IF(OR(D276="Butterfly",D276="Butterfly ",D276="Iron Fly", D276="Iron Fly "),LEN(E276)-LEN(SUBSTITUTE(E276,"/",""))+2,LEN(E276)-LEN(SUBSTITUTE(E276,"/",""))+1))</f>
        <v/>
      </c>
      <c r="I276" s="78">
        <f>IF(ISBLANK(G276),"",IF(D276="Stock","0",Key!$A$3*H276*G276))</f>
        <v/>
      </c>
      <c r="J276" s="78">
        <f>IF(ISBLANK(E276),"",IF(ISNUMBER(SEARCH("/",E276)), IF(LEN(E276)-LEN(SUBSTITUTE(E276,"/",""))=1,(RIGHT(E276,LEN(E276)-FIND("/",E276)))-(LEFT(E276,FIND("/",E276)-1)),(MID(E276, SEARCH("/",E276) + 1, SEARCH("/",E276, SEARCH("/",E276)+1) - SEARCH("/",E276) - 1))-(LEFT(E276,FIND("/",E276)-1))), "NA"))</f>
        <v/>
      </c>
      <c r="K276" s="79">
        <f>IF(A276&lt;&gt;"", IF(ISBLANK(L276), TODAY(), K276), "")</f>
        <v/>
      </c>
      <c r="L276" s="78" t="n"/>
      <c r="M276" s="78">
        <f>IF(ISBLANK(L276),"",IF(D276="Stock",IF(C276="Buy",L276*G276,IF(C276="Sell",(L276*G276)-I276, X)),IF(C276="Buy",(L276*G276*100)+I276,IF(C276="Sell",(L276*G276*100)-I276, X))))</f>
        <v/>
      </c>
      <c r="N276" s="78">
        <f>IF(ISBLANK(L276),"",IF(AND(C276="Sell",D276="Stock"),M276,IF(ISBLANK(L276),"",IF(C276="Buy",M276, IF(AND(C276="Sell",J276="NA"),(E276*G276*100*0.1)+I276, IF(C276="Sell",(J276-L276)*(100*G276)+I276))))))</f>
        <v/>
      </c>
      <c r="O276" s="75" t="n"/>
      <c r="P276" s="75" t="n"/>
      <c r="Q276" s="75">
        <f>IF(ISBLANK(P276),"",IF(D276="Stock",P276*G276,IF(P276=0,"0",G276*P276*100-(G276*$AF$14))))</f>
        <v/>
      </c>
      <c r="R276" s="79">
        <f>IF(P276&lt;&gt;"", TODAY(), "")</f>
        <v/>
      </c>
      <c r="S276" s="78">
        <f>IF(AND(K276&lt;&gt;"", R276&lt;&gt;""), R276-K276, "")</f>
        <v/>
      </c>
      <c r="T276" s="78" t="n"/>
      <c r="U276" s="92">
        <f>IF(ISBLANK(P276),"",IF(C276="Buy",Q276-M276+T276, IF(C276="Sell",M276-Q276-T276, X)))</f>
        <v/>
      </c>
      <c r="V276" s="81">
        <f>IF(ISBLANK(P276),"",U276/N276)</f>
        <v/>
      </c>
      <c r="W276" s="81">
        <f>IF(ISBLANK(P276),"",IF(S276=0,(365/0.5)*V276,(365/S276)*V276))</f>
        <v/>
      </c>
      <c r="X276" s="75" t="n"/>
      <c r="Y276" s="77" t="n"/>
      <c r="Z276" s="77" t="n"/>
      <c r="AA276" s="75" t="n"/>
      <c r="AB276" s="75" t="n"/>
      <c r="AC276" s="6" t="n"/>
      <c r="AD276" s="75" t="n"/>
      <c r="AE276" s="75" t="n"/>
      <c r="AF276" s="75" t="n"/>
    </row>
    <row r="277" ht="15.75" customHeight="1" s="133">
      <c r="A277" s="75" t="n"/>
      <c r="B277" s="75" t="n"/>
      <c r="C277" s="75" t="n"/>
      <c r="D277" s="75" t="n"/>
      <c r="E277" s="76" t="n"/>
      <c r="F277" s="77" t="n"/>
      <c r="G277" s="75" t="n"/>
      <c r="H277" s="75">
        <f>IF(ISBLANK(E277),"",IF(OR(D277="Butterfly",D277="Butterfly ",D277="Iron Fly", D277="Iron Fly "),LEN(E277)-LEN(SUBSTITUTE(E277,"/",""))+2,LEN(E277)-LEN(SUBSTITUTE(E277,"/",""))+1))</f>
        <v/>
      </c>
      <c r="I277" s="78">
        <f>IF(ISBLANK(G277),"",IF(D277="Stock","0",Key!$A$3*H277*G277))</f>
        <v/>
      </c>
      <c r="J277" s="78">
        <f>IF(ISBLANK(E277),"",IF(ISNUMBER(SEARCH("/",E277)), IF(LEN(E277)-LEN(SUBSTITUTE(E277,"/",""))=1,(RIGHT(E277,LEN(E277)-FIND("/",E277)))-(LEFT(E277,FIND("/",E277)-1)),(MID(E277, SEARCH("/",E277) + 1, SEARCH("/",E277, SEARCH("/",E277)+1) - SEARCH("/",E277) - 1))-(LEFT(E277,FIND("/",E277)-1))), "NA"))</f>
        <v/>
      </c>
      <c r="K277" s="79">
        <f>IF(A277&lt;&gt;"", IF(ISBLANK(L277), TODAY(), K277), "")</f>
        <v/>
      </c>
      <c r="L277" s="78" t="n"/>
      <c r="M277" s="78">
        <f>IF(ISBLANK(L277),"",IF(D277="Stock",IF(C277="Buy",L277*G277,IF(C277="Sell",(L277*G277)-I277, X)),IF(C277="Buy",(L277*G277*100)+I277,IF(C277="Sell",(L277*G277*100)-I277, X))))</f>
        <v/>
      </c>
      <c r="N277" s="78">
        <f>IF(ISBLANK(L277),"",IF(AND(C277="Sell",D277="Stock"),M277,IF(ISBLANK(L277),"",IF(C277="Buy",M277, IF(AND(C277="Sell",J277="NA"),(E277*G277*100*0.1)+I277, IF(C277="Sell",(J277-L277)*(100*G277)+I277))))))</f>
        <v/>
      </c>
      <c r="O277" s="75" t="n"/>
      <c r="P277" s="75" t="n"/>
      <c r="Q277" s="75">
        <f>IF(ISBLANK(P277),"",IF(D277="Stock",P277*G277,IF(P277=0,"0",G277*P277*100-(G277*$AF$14))))</f>
        <v/>
      </c>
      <c r="R277" s="79">
        <f>IF(P277&lt;&gt;"", TODAY(), "")</f>
        <v/>
      </c>
      <c r="S277" s="78">
        <f>IF(AND(K277&lt;&gt;"", R277&lt;&gt;""), R277-K277, "")</f>
        <v/>
      </c>
      <c r="T277" s="78" t="n"/>
      <c r="U277" s="92">
        <f>IF(ISBLANK(P277),"",IF(C277="Buy",Q277-M277+T277, IF(C277="Sell",M277-Q277-T277, X)))</f>
        <v/>
      </c>
      <c r="V277" s="81">
        <f>IF(ISBLANK(P277),"",U277/N277)</f>
        <v/>
      </c>
      <c r="W277" s="81">
        <f>IF(ISBLANK(P277),"",IF(S277=0,(365/0.5)*V277,(365/S277)*V277))</f>
        <v/>
      </c>
      <c r="X277" s="75" t="n"/>
      <c r="Y277" s="77" t="n"/>
      <c r="Z277" s="77" t="n"/>
      <c r="AA277" s="75" t="n"/>
      <c r="AB277" s="75" t="n"/>
      <c r="AC277" s="6" t="n"/>
      <c r="AD277" s="75" t="n"/>
      <c r="AE277" s="75" t="n"/>
      <c r="AF277" s="75" t="n"/>
    </row>
    <row r="278" ht="15.75" customHeight="1" s="133">
      <c r="A278" s="75" t="n"/>
      <c r="B278" s="75" t="n"/>
      <c r="C278" s="75" t="n"/>
      <c r="D278" s="75" t="n"/>
      <c r="E278" s="76" t="n"/>
      <c r="F278" s="77" t="n"/>
      <c r="G278" s="75" t="n"/>
      <c r="H278" s="75">
        <f>IF(ISBLANK(E278),"",IF(OR(D278="Butterfly",D278="Butterfly ",D278="Iron Fly", D278="Iron Fly "),LEN(E278)-LEN(SUBSTITUTE(E278,"/",""))+2,LEN(E278)-LEN(SUBSTITUTE(E278,"/",""))+1))</f>
        <v/>
      </c>
      <c r="I278" s="78">
        <f>IF(ISBLANK(G278),"",IF(D278="Stock","0",Key!$A$3*H278*G278))</f>
        <v/>
      </c>
      <c r="J278" s="78">
        <f>IF(ISBLANK(E278),"",IF(ISNUMBER(SEARCH("/",E278)), IF(LEN(E278)-LEN(SUBSTITUTE(E278,"/",""))=1,(RIGHT(E278,LEN(E278)-FIND("/",E278)))-(LEFT(E278,FIND("/",E278)-1)),(MID(E278, SEARCH("/",E278) + 1, SEARCH("/",E278, SEARCH("/",E278)+1) - SEARCH("/",E278) - 1))-(LEFT(E278,FIND("/",E278)-1))), "NA"))</f>
        <v/>
      </c>
      <c r="K278" s="79">
        <f>IF(A278&lt;&gt;"", IF(ISBLANK(L278), TODAY(), K278), "")</f>
        <v/>
      </c>
      <c r="L278" s="78" t="n"/>
      <c r="M278" s="78">
        <f>IF(ISBLANK(L278),"",IF(D278="Stock",IF(C278="Buy",L278*G278,IF(C278="Sell",(L278*G278)-I278, X)),IF(C278="Buy",(L278*G278*100)+I278,IF(C278="Sell",(L278*G278*100)-I278, X))))</f>
        <v/>
      </c>
      <c r="N278" s="78">
        <f>IF(ISBLANK(L278),"",IF(AND(C278="Sell",D278="Stock"),M278,IF(ISBLANK(L278),"",IF(C278="Buy",M278, IF(AND(C278="Sell",J278="NA"),(E278*G278*100*0.1)+I278, IF(C278="Sell",(J278-L278)*(100*G278)+I278))))))</f>
        <v/>
      </c>
      <c r="O278" s="75" t="n"/>
      <c r="P278" s="75" t="n"/>
      <c r="Q278" s="75">
        <f>IF(ISBLANK(P278),"",IF(D278="Stock",P278*G278,IF(P278=0,"0",G278*P278*100-(G278*$AF$14))))</f>
        <v/>
      </c>
      <c r="R278" s="79">
        <f>IF(P278&lt;&gt;"", TODAY(), "")</f>
        <v/>
      </c>
      <c r="S278" s="78">
        <f>IF(AND(K278&lt;&gt;"", R278&lt;&gt;""), R278-K278, "")</f>
        <v/>
      </c>
      <c r="T278" s="78" t="n"/>
      <c r="U278" s="92">
        <f>IF(ISBLANK(P278),"",IF(C278="Buy",Q278-M278+T278, IF(C278="Sell",M278-Q278-T278, X)))</f>
        <v/>
      </c>
      <c r="V278" s="81">
        <f>IF(ISBLANK(P278),"",U278/N278)</f>
        <v/>
      </c>
      <c r="W278" s="81">
        <f>IF(ISBLANK(P278),"",IF(S278=0,(365/0.5)*V278,(365/S278)*V278))</f>
        <v/>
      </c>
      <c r="X278" s="75" t="n"/>
      <c r="Y278" s="77" t="n"/>
      <c r="Z278" s="77" t="n"/>
      <c r="AA278" s="75" t="n"/>
      <c r="AB278" s="75" t="n"/>
      <c r="AC278" s="6" t="n"/>
      <c r="AD278" s="75" t="n"/>
      <c r="AE278" s="75" t="n"/>
      <c r="AF278" s="75" t="n"/>
    </row>
    <row r="279" ht="15.75" customHeight="1" s="133">
      <c r="A279" s="75" t="n"/>
      <c r="B279" s="75" t="n"/>
      <c r="C279" s="75" t="n"/>
      <c r="D279" s="75" t="n"/>
      <c r="E279" s="76" t="n"/>
      <c r="F279" s="77" t="n"/>
      <c r="G279" s="75" t="n"/>
      <c r="H279" s="75">
        <f>IF(ISBLANK(E279),"",IF(OR(D279="Butterfly",D279="Butterfly ",D279="Iron Fly", D279="Iron Fly "),LEN(E279)-LEN(SUBSTITUTE(E279,"/",""))+2,LEN(E279)-LEN(SUBSTITUTE(E279,"/",""))+1))</f>
        <v/>
      </c>
      <c r="I279" s="78">
        <f>IF(ISBLANK(G279),"",IF(D279="Stock","0",Key!$A$3*H279*G279))</f>
        <v/>
      </c>
      <c r="J279" s="78">
        <f>IF(ISBLANK(E279),"",IF(ISNUMBER(SEARCH("/",E279)), IF(LEN(E279)-LEN(SUBSTITUTE(E279,"/",""))=1,(RIGHT(E279,LEN(E279)-FIND("/",E279)))-(LEFT(E279,FIND("/",E279)-1)),(MID(E279, SEARCH("/",E279) + 1, SEARCH("/",E279, SEARCH("/",E279)+1) - SEARCH("/",E279) - 1))-(LEFT(E279,FIND("/",E279)-1))), "NA"))</f>
        <v/>
      </c>
      <c r="K279" s="79">
        <f>IF(A279&lt;&gt;"", IF(ISBLANK(L279), TODAY(), K279), "")</f>
        <v/>
      </c>
      <c r="L279" s="78" t="n"/>
      <c r="M279" s="78">
        <f>IF(ISBLANK(L279),"",IF(D279="Stock",IF(C279="Buy",L279*G279,IF(C279="Sell",(L279*G279)-I279, X)),IF(C279="Buy",(L279*G279*100)+I279,IF(C279="Sell",(L279*G279*100)-I279, X))))</f>
        <v/>
      </c>
      <c r="N279" s="78">
        <f>IF(ISBLANK(L279),"",IF(AND(C279="Sell",D279="Stock"),M279,IF(ISBLANK(L279),"",IF(C279="Buy",M279, IF(AND(C279="Sell",J279="NA"),(E279*G279*100*0.1)+I279, IF(C279="Sell",(J279-L279)*(100*G279)+I279))))))</f>
        <v/>
      </c>
      <c r="O279" s="75" t="n"/>
      <c r="P279" s="75" t="n"/>
      <c r="Q279" s="75">
        <f>IF(ISBLANK(P279),"",IF(D279="Stock",P279*G279,IF(P279=0,"0",G279*P279*100-(G279*$AF$14))))</f>
        <v/>
      </c>
      <c r="R279" s="79">
        <f>IF(P279&lt;&gt;"", TODAY(), "")</f>
        <v/>
      </c>
      <c r="S279" s="78">
        <f>IF(AND(K279&lt;&gt;"", R279&lt;&gt;""), R279-K279, "")</f>
        <v/>
      </c>
      <c r="T279" s="78" t="n"/>
      <c r="U279" s="92">
        <f>IF(ISBLANK(P279),"",IF(C279="Buy",Q279-M279+T279, IF(C279="Sell",M279-Q279-T279, X)))</f>
        <v/>
      </c>
      <c r="V279" s="81">
        <f>IF(ISBLANK(P279),"",U279/N279)</f>
        <v/>
      </c>
      <c r="W279" s="81">
        <f>IF(ISBLANK(P279),"",IF(S279=0,(365/0.5)*V279,(365/S279)*V279))</f>
        <v/>
      </c>
      <c r="X279" s="75" t="n"/>
      <c r="Y279" s="77" t="n"/>
      <c r="Z279" s="77" t="n"/>
      <c r="AA279" s="75" t="n"/>
      <c r="AB279" s="75" t="n"/>
      <c r="AC279" s="6" t="n"/>
      <c r="AD279" s="75" t="n"/>
      <c r="AE279" s="75" t="n"/>
      <c r="AF279" s="75" t="n"/>
    </row>
    <row r="280" ht="15.75" customHeight="1" s="133">
      <c r="A280" s="75" t="n"/>
      <c r="B280" s="75" t="n"/>
      <c r="C280" s="75" t="n"/>
      <c r="D280" s="75" t="n"/>
      <c r="E280" s="76" t="n"/>
      <c r="F280" s="77" t="n"/>
      <c r="G280" s="75" t="n"/>
      <c r="H280" s="75">
        <f>IF(ISBLANK(E280),"",IF(OR(D280="Butterfly",D280="Butterfly ",D280="Iron Fly", D280="Iron Fly "),LEN(E280)-LEN(SUBSTITUTE(E280,"/",""))+2,LEN(E280)-LEN(SUBSTITUTE(E280,"/",""))+1))</f>
        <v/>
      </c>
      <c r="I280" s="78">
        <f>IF(ISBLANK(G280),"",IF(D280="Stock","0",Key!$A$3*H280*G280))</f>
        <v/>
      </c>
      <c r="J280" s="78">
        <f>IF(ISBLANK(E280),"",IF(ISNUMBER(SEARCH("/",E280)), IF(LEN(E280)-LEN(SUBSTITUTE(E280,"/",""))=1,(RIGHT(E280,LEN(E280)-FIND("/",E280)))-(LEFT(E280,FIND("/",E280)-1)),(MID(E280, SEARCH("/",E280) + 1, SEARCH("/",E280, SEARCH("/",E280)+1) - SEARCH("/",E280) - 1))-(LEFT(E280,FIND("/",E280)-1))), "NA"))</f>
        <v/>
      </c>
      <c r="K280" s="79">
        <f>IF(A280&lt;&gt;"", IF(ISBLANK(L280), TODAY(), K280), "")</f>
        <v/>
      </c>
      <c r="L280" s="78" t="n"/>
      <c r="M280" s="78">
        <f>IF(ISBLANK(L280),"",IF(D280="Stock",IF(C280="Buy",L280*G280,IF(C280="Sell",(L280*G280)-I280, X)),IF(C280="Buy",(L280*G280*100)+I280,IF(C280="Sell",(L280*G280*100)-I280, X))))</f>
        <v/>
      </c>
      <c r="N280" s="78">
        <f>IF(ISBLANK(L280),"",IF(AND(C280="Sell",D280="Stock"),M280,IF(ISBLANK(L280),"",IF(C280="Buy",M280, IF(AND(C280="Sell",J280="NA"),(E280*G280*100*0.1)+I280, IF(C280="Sell",(J280-L280)*(100*G280)+I280))))))</f>
        <v/>
      </c>
      <c r="O280" s="75" t="n"/>
      <c r="P280" s="75" t="n"/>
      <c r="Q280" s="75">
        <f>IF(ISBLANK(P280),"",IF(D280="Stock",P280*G280,IF(P280=0,"0",G280*P280*100-(G280*$AF$14))))</f>
        <v/>
      </c>
      <c r="R280" s="79">
        <f>IF(P280&lt;&gt;"", TODAY(), "")</f>
        <v/>
      </c>
      <c r="S280" s="78">
        <f>IF(AND(K280&lt;&gt;"", R280&lt;&gt;""), R280-K280, "")</f>
        <v/>
      </c>
      <c r="T280" s="78" t="n"/>
      <c r="U280" s="92">
        <f>IF(ISBLANK(P280),"",IF(C280="Buy",Q280-M280+T280, IF(C280="Sell",M280-Q280-T280, X)))</f>
        <v/>
      </c>
      <c r="V280" s="81">
        <f>IF(ISBLANK(P280),"",U280/N280)</f>
        <v/>
      </c>
      <c r="W280" s="81">
        <f>IF(ISBLANK(P280),"",IF(S280=0,(365/0.5)*V280,(365/S280)*V280))</f>
        <v/>
      </c>
      <c r="X280" s="75" t="n"/>
      <c r="Y280" s="77" t="n"/>
      <c r="Z280" s="77" t="n"/>
      <c r="AA280" s="75" t="n"/>
      <c r="AB280" s="75" t="n"/>
      <c r="AC280" s="6" t="n"/>
      <c r="AD280" s="75" t="n"/>
      <c r="AE280" s="75" t="n"/>
      <c r="AF280" s="75" t="n"/>
    </row>
    <row r="281" ht="15.75" customHeight="1" s="133">
      <c r="A281" s="75" t="n"/>
      <c r="B281" s="75" t="n"/>
      <c r="C281" s="75" t="n"/>
      <c r="D281" s="75" t="n"/>
      <c r="E281" s="76" t="n"/>
      <c r="F281" s="77" t="n"/>
      <c r="G281" s="75" t="n"/>
      <c r="H281" s="75">
        <f>IF(ISBLANK(E281),"",IF(OR(D281="Butterfly",D281="Butterfly ",D281="Iron Fly", D281="Iron Fly "),LEN(E281)-LEN(SUBSTITUTE(E281,"/",""))+2,LEN(E281)-LEN(SUBSTITUTE(E281,"/",""))+1))</f>
        <v/>
      </c>
      <c r="I281" s="78">
        <f>IF(ISBLANK(G281),"",IF(D281="Stock","0",Key!$A$3*H281*G281))</f>
        <v/>
      </c>
      <c r="J281" s="78">
        <f>IF(ISBLANK(E281),"",IF(ISNUMBER(SEARCH("/",E281)), IF(LEN(E281)-LEN(SUBSTITUTE(E281,"/",""))=1,(RIGHT(E281,LEN(E281)-FIND("/",E281)))-(LEFT(E281,FIND("/",E281)-1)),(MID(E281, SEARCH("/",E281) + 1, SEARCH("/",E281, SEARCH("/",E281)+1) - SEARCH("/",E281) - 1))-(LEFT(E281,FIND("/",E281)-1))), "NA"))</f>
        <v/>
      </c>
      <c r="K281" s="79">
        <f>IF(A281&lt;&gt;"", IF(ISBLANK(L281), TODAY(), K281), "")</f>
        <v/>
      </c>
      <c r="L281" s="78" t="n"/>
      <c r="M281" s="78">
        <f>IF(ISBLANK(L281),"",IF(D281="Stock",IF(C281="Buy",L281*G281,IF(C281="Sell",(L281*G281)-I281, X)),IF(C281="Buy",(L281*G281*100)+I281,IF(C281="Sell",(L281*G281*100)-I281, X))))</f>
        <v/>
      </c>
      <c r="N281" s="78">
        <f>IF(ISBLANK(L281),"",IF(AND(C281="Sell",D281="Stock"),M281,IF(ISBLANK(L281),"",IF(C281="Buy",M281, IF(AND(C281="Sell",J281="NA"),(E281*G281*100*0.1)+I281, IF(C281="Sell",(J281-L281)*(100*G281)+I281))))))</f>
        <v/>
      </c>
      <c r="O281" s="75" t="n"/>
      <c r="P281" s="75" t="n"/>
      <c r="Q281" s="75">
        <f>IF(ISBLANK(P281),"",IF(D281="Stock",P281*G281,IF(P281=0,"0",G281*P281*100-(G281*$AF$14))))</f>
        <v/>
      </c>
      <c r="R281" s="79">
        <f>IF(P281&lt;&gt;"", TODAY(), "")</f>
        <v/>
      </c>
      <c r="S281" s="78">
        <f>IF(AND(K281&lt;&gt;"", R281&lt;&gt;""), R281-K281, "")</f>
        <v/>
      </c>
      <c r="T281" s="78" t="n"/>
      <c r="U281" s="92">
        <f>IF(ISBLANK(P281),"",IF(C281="Buy",Q281-M281+T281, IF(C281="Sell",M281-Q281-T281, X)))</f>
        <v/>
      </c>
      <c r="V281" s="81">
        <f>IF(ISBLANK(P281),"",U281/N281)</f>
        <v/>
      </c>
      <c r="W281" s="81">
        <f>IF(ISBLANK(P281),"",IF(S281=0,(365/0.5)*V281,(365/S281)*V281))</f>
        <v/>
      </c>
      <c r="X281" s="75" t="n"/>
      <c r="Y281" s="77" t="n"/>
      <c r="Z281" s="77" t="n"/>
      <c r="AA281" s="75" t="n"/>
      <c r="AB281" s="75" t="n"/>
      <c r="AC281" s="6" t="n"/>
      <c r="AD281" s="75" t="n"/>
      <c r="AE281" s="75" t="n"/>
      <c r="AF281" s="75" t="n"/>
    </row>
    <row r="282" ht="15.75" customHeight="1" s="133">
      <c r="A282" s="75" t="n"/>
      <c r="B282" s="75" t="n"/>
      <c r="C282" s="75" t="n"/>
      <c r="D282" s="75" t="n"/>
      <c r="E282" s="76" t="n"/>
      <c r="F282" s="77" t="n"/>
      <c r="G282" s="75" t="n"/>
      <c r="H282" s="75">
        <f>IF(ISBLANK(E282),"",IF(OR(D282="Butterfly",D282="Butterfly ",D282="Iron Fly", D282="Iron Fly "),LEN(E282)-LEN(SUBSTITUTE(E282,"/",""))+2,LEN(E282)-LEN(SUBSTITUTE(E282,"/",""))+1))</f>
        <v/>
      </c>
      <c r="I282" s="78">
        <f>IF(ISBLANK(G282),"",IF(D282="Stock","0",Key!$A$3*H282*G282))</f>
        <v/>
      </c>
      <c r="J282" s="78">
        <f>IF(ISBLANK(E282),"",IF(ISNUMBER(SEARCH("/",E282)), IF(LEN(E282)-LEN(SUBSTITUTE(E282,"/",""))=1,(RIGHT(E282,LEN(E282)-FIND("/",E282)))-(LEFT(E282,FIND("/",E282)-1)),(MID(E282, SEARCH("/",E282) + 1, SEARCH("/",E282, SEARCH("/",E282)+1) - SEARCH("/",E282) - 1))-(LEFT(E282,FIND("/",E282)-1))), "NA"))</f>
        <v/>
      </c>
      <c r="K282" s="79">
        <f>IF(A282&lt;&gt;"", IF(ISBLANK(L282), TODAY(), K282), "")</f>
        <v/>
      </c>
      <c r="L282" s="78" t="n"/>
      <c r="M282" s="78">
        <f>IF(ISBLANK(L282),"",IF(D282="Stock",IF(C282="Buy",L282*G282,IF(C282="Sell",(L282*G282)-I282, X)),IF(C282="Buy",(L282*G282*100)+I282,IF(C282="Sell",(L282*G282*100)-I282, X))))</f>
        <v/>
      </c>
      <c r="N282" s="78">
        <f>IF(ISBLANK(L282),"",IF(AND(C282="Sell",D282="Stock"),M282,IF(ISBLANK(L282),"",IF(C282="Buy",M282, IF(AND(C282="Sell",J282="NA"),(E282*G282*100*0.1)+I282, IF(C282="Sell",(J282-L282)*(100*G282)+I282))))))</f>
        <v/>
      </c>
      <c r="O282" s="75" t="n"/>
      <c r="P282" s="75" t="n"/>
      <c r="Q282" s="75">
        <f>IF(ISBLANK(P282),"",IF(D282="Stock",P282*G282,IF(P282=0,"0",G282*P282*100-(G282*$AF$14))))</f>
        <v/>
      </c>
      <c r="R282" s="79">
        <f>IF(P282&lt;&gt;"", TODAY(), "")</f>
        <v/>
      </c>
      <c r="S282" s="78">
        <f>IF(AND(K282&lt;&gt;"", R282&lt;&gt;""), R282-K282, "")</f>
        <v/>
      </c>
      <c r="T282" s="78" t="n"/>
      <c r="U282" s="92">
        <f>IF(ISBLANK(P282),"",IF(C282="Buy",Q282-M282+T282, IF(C282="Sell",M282-Q282-T282, X)))</f>
        <v/>
      </c>
      <c r="V282" s="81">
        <f>IF(ISBLANK(P282),"",U282/N282)</f>
        <v/>
      </c>
      <c r="W282" s="81">
        <f>IF(ISBLANK(P282),"",IF(S282=0,(365/0.5)*V282,(365/S282)*V282))</f>
        <v/>
      </c>
      <c r="X282" s="75" t="n"/>
      <c r="Y282" s="77" t="n"/>
      <c r="Z282" s="77" t="n"/>
      <c r="AA282" s="75" t="n"/>
      <c r="AB282" s="75" t="n"/>
      <c r="AC282" s="6" t="n"/>
      <c r="AD282" s="75" t="n"/>
      <c r="AE282" s="75" t="n"/>
      <c r="AF282" s="75" t="n"/>
    </row>
    <row r="283" ht="15.75" customHeight="1" s="133">
      <c r="A283" s="75" t="n"/>
      <c r="B283" s="75" t="n"/>
      <c r="C283" s="75" t="n"/>
      <c r="D283" s="75" t="n"/>
      <c r="E283" s="76" t="n"/>
      <c r="F283" s="77" t="n"/>
      <c r="G283" s="75" t="n"/>
      <c r="H283" s="75">
        <f>IF(ISBLANK(E283),"",IF(OR(D283="Butterfly",D283="Butterfly ",D283="Iron Fly", D283="Iron Fly "),LEN(E283)-LEN(SUBSTITUTE(E283,"/",""))+2,LEN(E283)-LEN(SUBSTITUTE(E283,"/",""))+1))</f>
        <v/>
      </c>
      <c r="I283" s="78">
        <f>IF(ISBLANK(G283),"",IF(D283="Stock","0",Key!$A$3*H283*G283))</f>
        <v/>
      </c>
      <c r="J283" s="78">
        <f>IF(ISBLANK(E283),"",IF(ISNUMBER(SEARCH("/",E283)), IF(LEN(E283)-LEN(SUBSTITUTE(E283,"/",""))=1,(RIGHT(E283,LEN(E283)-FIND("/",E283)))-(LEFT(E283,FIND("/",E283)-1)),(MID(E283, SEARCH("/",E283) + 1, SEARCH("/",E283, SEARCH("/",E283)+1) - SEARCH("/",E283) - 1))-(LEFT(E283,FIND("/",E283)-1))), "NA"))</f>
        <v/>
      </c>
      <c r="K283" s="79">
        <f>IF(A283&lt;&gt;"", IF(ISBLANK(L283), TODAY(), K283), "")</f>
        <v/>
      </c>
      <c r="L283" s="78" t="n"/>
      <c r="M283" s="78">
        <f>IF(ISBLANK(L283),"",IF(D283="Stock",IF(C283="Buy",L283*G283,IF(C283="Sell",(L283*G283)-I283, X)),IF(C283="Buy",(L283*G283*100)+I283,IF(C283="Sell",(L283*G283*100)-I283, X))))</f>
        <v/>
      </c>
      <c r="N283" s="78">
        <f>IF(ISBLANK(L283),"",IF(AND(C283="Sell",D283="Stock"),M283,IF(ISBLANK(L283),"",IF(C283="Buy",M283, IF(AND(C283="Sell",J283="NA"),(E283*G283*100*0.1)+I283, IF(C283="Sell",(J283-L283)*(100*G283)+I283))))))</f>
        <v/>
      </c>
      <c r="O283" s="75" t="n"/>
      <c r="P283" s="75" t="n"/>
      <c r="Q283" s="75">
        <f>IF(ISBLANK(P283),"",IF(D283="Stock",P283*G283,IF(P283=0,"0",G283*P283*100-(G283*$AF$14))))</f>
        <v/>
      </c>
      <c r="R283" s="79">
        <f>IF(P283&lt;&gt;"", TODAY(), "")</f>
        <v/>
      </c>
      <c r="S283" s="78">
        <f>IF(AND(K283&lt;&gt;"", R283&lt;&gt;""), R283-K283, "")</f>
        <v/>
      </c>
      <c r="T283" s="78" t="n"/>
      <c r="U283" s="92">
        <f>IF(ISBLANK(P283),"",IF(C283="Buy",Q283-M283+T283, IF(C283="Sell",M283-Q283-T283, X)))</f>
        <v/>
      </c>
      <c r="V283" s="81">
        <f>IF(ISBLANK(P283),"",U283/N283)</f>
        <v/>
      </c>
      <c r="W283" s="81">
        <f>IF(ISBLANK(P283),"",IF(S283=0,(365/0.5)*V283,(365/S283)*V283))</f>
        <v/>
      </c>
      <c r="X283" s="75" t="n"/>
      <c r="Y283" s="77" t="n"/>
      <c r="Z283" s="77" t="n"/>
      <c r="AA283" s="75" t="n"/>
      <c r="AB283" s="75" t="n"/>
      <c r="AC283" s="6" t="n"/>
      <c r="AD283" s="75" t="n"/>
      <c r="AE283" s="75" t="n"/>
      <c r="AF283" s="75" t="n"/>
    </row>
    <row r="284" ht="15.75" customHeight="1" s="133">
      <c r="A284" s="75" t="n"/>
      <c r="B284" s="75" t="n"/>
      <c r="C284" s="75" t="n"/>
      <c r="D284" s="75" t="n"/>
      <c r="E284" s="76" t="n"/>
      <c r="F284" s="77" t="n"/>
      <c r="G284" s="75" t="n"/>
      <c r="H284" s="75">
        <f>IF(ISBLANK(E284),"",IF(OR(D284="Butterfly",D284="Butterfly ",D284="Iron Fly", D284="Iron Fly "),LEN(E284)-LEN(SUBSTITUTE(E284,"/",""))+2,LEN(E284)-LEN(SUBSTITUTE(E284,"/",""))+1))</f>
        <v/>
      </c>
      <c r="I284" s="78">
        <f>IF(ISBLANK(G284),"",IF(D284="Stock","0",Key!$A$3*H284*G284))</f>
        <v/>
      </c>
      <c r="J284" s="78">
        <f>IF(ISBLANK(E284),"",IF(ISNUMBER(SEARCH("/",E284)), IF(LEN(E284)-LEN(SUBSTITUTE(E284,"/",""))=1,(RIGHT(E284,LEN(E284)-FIND("/",E284)))-(LEFT(E284,FIND("/",E284)-1)),(MID(E284, SEARCH("/",E284) + 1, SEARCH("/",E284, SEARCH("/",E284)+1) - SEARCH("/",E284) - 1))-(LEFT(E284,FIND("/",E284)-1))), "NA"))</f>
        <v/>
      </c>
      <c r="K284" s="79">
        <f>IF(A284&lt;&gt;"", IF(ISBLANK(L284), TODAY(), K284), "")</f>
        <v/>
      </c>
      <c r="L284" s="78" t="n"/>
      <c r="M284" s="78">
        <f>IF(ISBLANK(L284),"",IF(D284="Stock",IF(C284="Buy",L284*G284,IF(C284="Sell",(L284*G284)-I284, X)),IF(C284="Buy",(L284*G284*100)+I284,IF(C284="Sell",(L284*G284*100)-I284, X))))</f>
        <v/>
      </c>
      <c r="N284" s="78">
        <f>IF(ISBLANK(L284),"",IF(AND(C284="Sell",D284="Stock"),M284,IF(ISBLANK(L284),"",IF(C284="Buy",M284, IF(AND(C284="Sell",J284="NA"),(E284*G284*100*0.1)+I284, IF(C284="Sell",(J284-L284)*(100*G284)+I284))))))</f>
        <v/>
      </c>
      <c r="O284" s="75" t="n"/>
      <c r="P284" s="75" t="n"/>
      <c r="Q284" s="75">
        <f>IF(ISBLANK(P284),"",IF(D284="Stock",P284*G284,IF(P284=0,"0",G284*P284*100-(G284*$AF$14))))</f>
        <v/>
      </c>
      <c r="R284" s="79">
        <f>IF(P284&lt;&gt;"", TODAY(), "")</f>
        <v/>
      </c>
      <c r="S284" s="78">
        <f>IF(AND(K284&lt;&gt;"", R284&lt;&gt;""), R284-K284, "")</f>
        <v/>
      </c>
      <c r="T284" s="78" t="n"/>
      <c r="U284" s="92">
        <f>IF(ISBLANK(P284),"",IF(C284="Buy",Q284-M284+T284, IF(C284="Sell",M284-Q284-T284, X)))</f>
        <v/>
      </c>
      <c r="V284" s="81">
        <f>IF(ISBLANK(P284),"",U284/N284)</f>
        <v/>
      </c>
      <c r="W284" s="81">
        <f>IF(ISBLANK(P284),"",IF(S284=0,(365/0.5)*V284,(365/S284)*V284))</f>
        <v/>
      </c>
      <c r="X284" s="75" t="n"/>
      <c r="Y284" s="77" t="n"/>
      <c r="Z284" s="77" t="n"/>
      <c r="AA284" s="75" t="n"/>
      <c r="AB284" s="75" t="n"/>
      <c r="AC284" s="6" t="n"/>
      <c r="AD284" s="75" t="n"/>
      <c r="AE284" s="75" t="n"/>
      <c r="AF284" s="75" t="n"/>
    </row>
    <row r="285" ht="15.75" customHeight="1" s="133">
      <c r="A285" s="75" t="n"/>
      <c r="B285" s="75" t="n"/>
      <c r="C285" s="75" t="n"/>
      <c r="D285" s="75" t="n"/>
      <c r="E285" s="76" t="n"/>
      <c r="F285" s="77" t="n"/>
      <c r="G285" s="75" t="n"/>
      <c r="H285" s="75">
        <f>IF(ISBLANK(E285),"",IF(OR(D285="Butterfly",D285="Butterfly ",D285="Iron Fly", D285="Iron Fly "),LEN(E285)-LEN(SUBSTITUTE(E285,"/",""))+2,LEN(E285)-LEN(SUBSTITUTE(E285,"/",""))+1))</f>
        <v/>
      </c>
      <c r="I285" s="78">
        <f>IF(ISBLANK(G285),"",IF(D285="Stock","0",Key!$A$3*H285*G285))</f>
        <v/>
      </c>
      <c r="J285" s="78">
        <f>IF(ISBLANK(E285),"",IF(ISNUMBER(SEARCH("/",E285)), IF(LEN(E285)-LEN(SUBSTITUTE(E285,"/",""))=1,(RIGHT(E285,LEN(E285)-FIND("/",E285)))-(LEFT(E285,FIND("/",E285)-1)),(MID(E285, SEARCH("/",E285) + 1, SEARCH("/",E285, SEARCH("/",E285)+1) - SEARCH("/",E285) - 1))-(LEFT(E285,FIND("/",E285)-1))), "NA"))</f>
        <v/>
      </c>
      <c r="K285" s="79">
        <f>IF(A285&lt;&gt;"", IF(ISBLANK(L285), TODAY(), K285), "")</f>
        <v/>
      </c>
      <c r="L285" s="78" t="n"/>
      <c r="M285" s="78">
        <f>IF(ISBLANK(L285),"",IF(D285="Stock",IF(C285="Buy",L285*G285,IF(C285="Sell",(L285*G285)-I285, X)),IF(C285="Buy",(L285*G285*100)+I285,IF(C285="Sell",(L285*G285*100)-I285, X))))</f>
        <v/>
      </c>
      <c r="N285" s="78">
        <f>IF(ISBLANK(L285),"",IF(AND(C285="Sell",D285="Stock"),M285,IF(ISBLANK(L285),"",IF(C285="Buy",M285, IF(AND(C285="Sell",J285="NA"),(E285*G285*100*0.1)+I285, IF(C285="Sell",(J285-L285)*(100*G285)+I285))))))</f>
        <v/>
      </c>
      <c r="O285" s="75" t="n"/>
      <c r="P285" s="75" t="n"/>
      <c r="Q285" s="75">
        <f>IF(ISBLANK(P285),"",IF(D285="Stock",P285*G285,IF(P285=0,"0",G285*P285*100-(G285*$AF$14))))</f>
        <v/>
      </c>
      <c r="R285" s="79">
        <f>IF(P285&lt;&gt;"", TODAY(), "")</f>
        <v/>
      </c>
      <c r="S285" s="78">
        <f>IF(AND(K285&lt;&gt;"", R285&lt;&gt;""), R285-K285, "")</f>
        <v/>
      </c>
      <c r="T285" s="78" t="n"/>
      <c r="U285" s="92">
        <f>IF(ISBLANK(P285),"",IF(C285="Buy",Q285-M285+T285, IF(C285="Sell",M285-Q285-T285, X)))</f>
        <v/>
      </c>
      <c r="V285" s="81">
        <f>IF(ISBLANK(P285),"",U285/N285)</f>
        <v/>
      </c>
      <c r="W285" s="81">
        <f>IF(ISBLANK(P285),"",IF(S285=0,(365/0.5)*V285,(365/S285)*V285))</f>
        <v/>
      </c>
      <c r="X285" s="75" t="n"/>
      <c r="Y285" s="77" t="n"/>
      <c r="Z285" s="77" t="n"/>
      <c r="AA285" s="75" t="n"/>
      <c r="AB285" s="75" t="n"/>
      <c r="AC285" s="6" t="n"/>
      <c r="AD285" s="75" t="n"/>
      <c r="AE285" s="75" t="n"/>
      <c r="AF285" s="75" t="n"/>
    </row>
    <row r="286" ht="15.75" customHeight="1" s="133">
      <c r="A286" s="75" t="n"/>
      <c r="B286" s="75" t="n"/>
      <c r="C286" s="75" t="n"/>
      <c r="D286" s="75" t="n"/>
      <c r="E286" s="76" t="n"/>
      <c r="F286" s="77" t="n"/>
      <c r="G286" s="75" t="n"/>
      <c r="H286" s="75">
        <f>IF(ISBLANK(E286),"",IF(OR(D286="Butterfly",D286="Butterfly ",D286="Iron Fly", D286="Iron Fly "),LEN(E286)-LEN(SUBSTITUTE(E286,"/",""))+2,LEN(E286)-LEN(SUBSTITUTE(E286,"/",""))+1))</f>
        <v/>
      </c>
      <c r="I286" s="78">
        <f>IF(ISBLANK(G286),"",IF(D286="Stock","0",Key!$A$3*H286*G286))</f>
        <v/>
      </c>
      <c r="J286" s="78">
        <f>IF(ISBLANK(E286),"",IF(ISNUMBER(SEARCH("/",E286)), IF(LEN(E286)-LEN(SUBSTITUTE(E286,"/",""))=1,(RIGHT(E286,LEN(E286)-FIND("/",E286)))-(LEFT(E286,FIND("/",E286)-1)),(MID(E286, SEARCH("/",E286) + 1, SEARCH("/",E286, SEARCH("/",E286)+1) - SEARCH("/",E286) - 1))-(LEFT(E286,FIND("/",E286)-1))), "NA"))</f>
        <v/>
      </c>
      <c r="K286" s="79">
        <f>IF(A286&lt;&gt;"", IF(ISBLANK(L286), TODAY(), K286), "")</f>
        <v/>
      </c>
      <c r="L286" s="78" t="n"/>
      <c r="M286" s="78">
        <f>IF(ISBLANK(L286),"",IF(D286="Stock",IF(C286="Buy",L286*G286,IF(C286="Sell",(L286*G286)-I286, X)),IF(C286="Buy",(L286*G286*100)+I286,IF(C286="Sell",(L286*G286*100)-I286, X))))</f>
        <v/>
      </c>
      <c r="N286" s="78">
        <f>IF(ISBLANK(L286),"",IF(AND(C286="Sell",D286="Stock"),M286,IF(ISBLANK(L286),"",IF(C286="Buy",M286, IF(AND(C286="Sell",J286="NA"),(E286*G286*100*0.1)+I286, IF(C286="Sell",(J286-L286)*(100*G286)+I286))))))</f>
        <v/>
      </c>
      <c r="O286" s="75" t="n"/>
      <c r="P286" s="75" t="n"/>
      <c r="Q286" s="75">
        <f>IF(ISBLANK(P286),"",IF(D286="Stock",P286*G286,IF(P286=0,"0",G286*P286*100-(G286*$AF$14))))</f>
        <v/>
      </c>
      <c r="R286" s="79">
        <f>IF(P286&lt;&gt;"", TODAY(), "")</f>
        <v/>
      </c>
      <c r="S286" s="78">
        <f>IF(AND(K286&lt;&gt;"", R286&lt;&gt;""), R286-K286, "")</f>
        <v/>
      </c>
      <c r="T286" s="78" t="n"/>
      <c r="U286" s="92">
        <f>IF(ISBLANK(P286),"",IF(C286="Buy",Q286-M286+T286, IF(C286="Sell",M286-Q286-T286, X)))</f>
        <v/>
      </c>
      <c r="V286" s="81">
        <f>IF(ISBLANK(P286),"",U286/N286)</f>
        <v/>
      </c>
      <c r="W286" s="81">
        <f>IF(ISBLANK(P286),"",IF(S286=0,(365/0.5)*V286,(365/S286)*V286))</f>
        <v/>
      </c>
      <c r="X286" s="75" t="n"/>
      <c r="Y286" s="77" t="n"/>
      <c r="Z286" s="77" t="n"/>
      <c r="AA286" s="75" t="n"/>
      <c r="AB286" s="75" t="n"/>
      <c r="AC286" s="6" t="n"/>
      <c r="AD286" s="75" t="n"/>
      <c r="AE286" s="75" t="n"/>
      <c r="AF286" s="75" t="n"/>
    </row>
    <row r="287" ht="15.75" customHeight="1" s="133">
      <c r="A287" s="75" t="n"/>
      <c r="B287" s="75" t="n"/>
      <c r="C287" s="75" t="n"/>
      <c r="D287" s="75" t="n"/>
      <c r="E287" s="76" t="n"/>
      <c r="F287" s="77" t="n"/>
      <c r="G287" s="75" t="n"/>
      <c r="H287" s="75">
        <f>IF(ISBLANK(E287),"",IF(OR(D287="Butterfly",D287="Butterfly ",D287="Iron Fly", D287="Iron Fly "),LEN(E287)-LEN(SUBSTITUTE(E287,"/",""))+2,LEN(E287)-LEN(SUBSTITUTE(E287,"/",""))+1))</f>
        <v/>
      </c>
      <c r="I287" s="78">
        <f>IF(ISBLANK(G287),"",IF(D287="Stock","0",Key!$A$3*H287*G287))</f>
        <v/>
      </c>
      <c r="J287" s="78">
        <f>IF(ISBLANK(E287),"",IF(ISNUMBER(SEARCH("/",E287)), IF(LEN(E287)-LEN(SUBSTITUTE(E287,"/",""))=1,(RIGHT(E287,LEN(E287)-FIND("/",E287)))-(LEFT(E287,FIND("/",E287)-1)),(MID(E287, SEARCH("/",E287) + 1, SEARCH("/",E287, SEARCH("/",E287)+1) - SEARCH("/",E287) - 1))-(LEFT(E287,FIND("/",E287)-1))), "NA"))</f>
        <v/>
      </c>
      <c r="K287" s="79">
        <f>IF(A287&lt;&gt;"", IF(ISBLANK(L287), TODAY(), K287), "")</f>
        <v/>
      </c>
      <c r="L287" s="78" t="n"/>
      <c r="M287" s="78">
        <f>IF(ISBLANK(L287),"",IF(D287="Stock",IF(C287="Buy",L287*G287,IF(C287="Sell",(L287*G287)-I287, X)),IF(C287="Buy",(L287*G287*100)+I287,IF(C287="Sell",(L287*G287*100)-I287, X))))</f>
        <v/>
      </c>
      <c r="N287" s="78">
        <f>IF(ISBLANK(L287),"",IF(AND(C287="Sell",D287="Stock"),M287,IF(ISBLANK(L287),"",IF(C287="Buy",M287, IF(AND(C287="Sell",J287="NA"),(E287*G287*100*0.1)+I287, IF(C287="Sell",(J287-L287)*(100*G287)+I287))))))</f>
        <v/>
      </c>
      <c r="O287" s="75" t="n"/>
      <c r="P287" s="75" t="n"/>
      <c r="Q287" s="75">
        <f>IF(ISBLANK(P287),"",IF(D287="Stock",P287*G287,IF(P287=0,"0",G287*P287*100-(G287*$AF$14))))</f>
        <v/>
      </c>
      <c r="R287" s="79">
        <f>IF(P287&lt;&gt;"", TODAY(), "")</f>
        <v/>
      </c>
      <c r="S287" s="78">
        <f>IF(AND(K287&lt;&gt;"", R287&lt;&gt;""), R287-K287, "")</f>
        <v/>
      </c>
      <c r="T287" s="78" t="n"/>
      <c r="U287" s="92">
        <f>IF(ISBLANK(P287),"",IF(C287="Buy",Q287-M287+T287, IF(C287="Sell",M287-Q287-T287, X)))</f>
        <v/>
      </c>
      <c r="V287" s="81">
        <f>IF(ISBLANK(P287),"",U287/N287)</f>
        <v/>
      </c>
      <c r="W287" s="81">
        <f>IF(ISBLANK(P287),"",IF(S287=0,(365/0.5)*V287,(365/S287)*V287))</f>
        <v/>
      </c>
      <c r="X287" s="75" t="n"/>
      <c r="Y287" s="77" t="n"/>
      <c r="Z287" s="77" t="n"/>
      <c r="AA287" s="75" t="n"/>
      <c r="AB287" s="75" t="n"/>
      <c r="AC287" s="6" t="n"/>
      <c r="AD287" s="75" t="n"/>
      <c r="AE287" s="75" t="n"/>
      <c r="AF287" s="75" t="n"/>
    </row>
    <row r="288" ht="15.75" customHeight="1" s="133">
      <c r="A288" s="75" t="n"/>
      <c r="B288" s="75" t="n"/>
      <c r="C288" s="75" t="n"/>
      <c r="D288" s="75" t="n"/>
      <c r="E288" s="76" t="n"/>
      <c r="F288" s="77" t="n"/>
      <c r="G288" s="75" t="n"/>
      <c r="H288" s="75">
        <f>IF(ISBLANK(E288),"",IF(OR(D288="Butterfly",D288="Butterfly ",D288="Iron Fly", D288="Iron Fly "),LEN(E288)-LEN(SUBSTITUTE(E288,"/",""))+2,LEN(E288)-LEN(SUBSTITUTE(E288,"/",""))+1))</f>
        <v/>
      </c>
      <c r="I288" s="78">
        <f>IF(ISBLANK(G288),"",IF(D288="Stock","0",Key!$A$3*H288*G288))</f>
        <v/>
      </c>
      <c r="J288" s="78">
        <f>IF(ISBLANK(E288),"",IF(ISNUMBER(SEARCH("/",E288)), IF(LEN(E288)-LEN(SUBSTITUTE(E288,"/",""))=1,(RIGHT(E288,LEN(E288)-FIND("/",E288)))-(LEFT(E288,FIND("/",E288)-1)),(MID(E288, SEARCH("/",E288) + 1, SEARCH("/",E288, SEARCH("/",E288)+1) - SEARCH("/",E288) - 1))-(LEFT(E288,FIND("/",E288)-1))), "NA"))</f>
        <v/>
      </c>
      <c r="K288" s="79">
        <f>IF(A288&lt;&gt;"", IF(ISBLANK(L288), TODAY(), K288), "")</f>
        <v/>
      </c>
      <c r="L288" s="78" t="n"/>
      <c r="M288" s="78">
        <f>IF(ISBLANK(L288),"",IF(D288="Stock",IF(C288="Buy",L288*G288,IF(C288="Sell",(L288*G288)-I288, X)),IF(C288="Buy",(L288*G288*100)+I288,IF(C288="Sell",(L288*G288*100)-I288, X))))</f>
        <v/>
      </c>
      <c r="N288" s="78">
        <f>IF(ISBLANK(L288),"",IF(AND(C288="Sell",D288="Stock"),M288,IF(ISBLANK(L288),"",IF(C288="Buy",M288, IF(AND(C288="Sell",J288="NA"),(E288*G288*100*0.1)+I288, IF(C288="Sell",(J288-L288)*(100*G288)+I288))))))</f>
        <v/>
      </c>
      <c r="O288" s="75" t="n"/>
      <c r="P288" s="75" t="n"/>
      <c r="Q288" s="75">
        <f>IF(ISBLANK(P288),"",IF(D288="Stock",P288*G288,IF(P288=0,"0",G288*P288*100-(G288*$AF$14))))</f>
        <v/>
      </c>
      <c r="R288" s="79">
        <f>IF(P288&lt;&gt;"", TODAY(), "")</f>
        <v/>
      </c>
      <c r="S288" s="78">
        <f>IF(AND(K288&lt;&gt;"", R288&lt;&gt;""), R288-K288, "")</f>
        <v/>
      </c>
      <c r="T288" s="78" t="n"/>
      <c r="U288" s="92">
        <f>IF(ISBLANK(P288),"",IF(C288="Buy",Q288-M288+T288, IF(C288="Sell",M288-Q288-T288, X)))</f>
        <v/>
      </c>
      <c r="V288" s="81">
        <f>IF(ISBLANK(P288),"",U288/N288)</f>
        <v/>
      </c>
      <c r="W288" s="81">
        <f>IF(ISBLANK(P288),"",IF(S288=0,(365/0.5)*V288,(365/S288)*V288))</f>
        <v/>
      </c>
      <c r="X288" s="75" t="n"/>
      <c r="Y288" s="77" t="n"/>
      <c r="Z288" s="77" t="n"/>
      <c r="AA288" s="75" t="n"/>
      <c r="AB288" s="75" t="n"/>
      <c r="AC288" s="6" t="n"/>
      <c r="AD288" s="75" t="n"/>
      <c r="AE288" s="75" t="n"/>
      <c r="AF288" s="75" t="n"/>
    </row>
    <row r="289" ht="15.75" customHeight="1" s="133">
      <c r="A289" s="75" t="n"/>
      <c r="B289" s="75" t="n"/>
      <c r="C289" s="75" t="n"/>
      <c r="D289" s="75" t="n"/>
      <c r="E289" s="76" t="n"/>
      <c r="F289" s="77" t="n"/>
      <c r="G289" s="75" t="n"/>
      <c r="H289" s="75">
        <f>IF(ISBLANK(E289),"",IF(OR(D289="Butterfly",D289="Butterfly ",D289="Iron Fly", D289="Iron Fly "),LEN(E289)-LEN(SUBSTITUTE(E289,"/",""))+2,LEN(E289)-LEN(SUBSTITUTE(E289,"/",""))+1))</f>
        <v/>
      </c>
      <c r="I289" s="78">
        <f>IF(ISBLANK(G289),"",IF(D289="Stock","0",Key!$A$3*H289*G289))</f>
        <v/>
      </c>
      <c r="J289" s="78">
        <f>IF(ISBLANK(E289),"",IF(ISNUMBER(SEARCH("/",E289)), IF(LEN(E289)-LEN(SUBSTITUTE(E289,"/",""))=1,(RIGHT(E289,LEN(E289)-FIND("/",E289)))-(LEFT(E289,FIND("/",E289)-1)),(MID(E289, SEARCH("/",E289) + 1, SEARCH("/",E289, SEARCH("/",E289)+1) - SEARCH("/",E289) - 1))-(LEFT(E289,FIND("/",E289)-1))), "NA"))</f>
        <v/>
      </c>
      <c r="K289" s="79">
        <f>IF(A289&lt;&gt;"", IF(ISBLANK(L289), TODAY(), K289), "")</f>
        <v/>
      </c>
      <c r="L289" s="78" t="n"/>
      <c r="M289" s="78">
        <f>IF(ISBLANK(L289),"",IF(D289="Stock",IF(C289="Buy",L289*G289,IF(C289="Sell",(L289*G289)-I289, X)),IF(C289="Buy",(L289*G289*100)+I289,IF(C289="Sell",(L289*G289*100)-I289, X))))</f>
        <v/>
      </c>
      <c r="N289" s="78">
        <f>IF(ISBLANK(L289),"",IF(AND(C289="Sell",D289="Stock"),M289,IF(ISBLANK(L289),"",IF(C289="Buy",M289, IF(AND(C289="Sell",J289="NA"),(E289*G289*100*0.1)+I289, IF(C289="Sell",(J289-L289)*(100*G289)+I289))))))</f>
        <v/>
      </c>
      <c r="O289" s="75" t="n"/>
      <c r="P289" s="75" t="n"/>
      <c r="Q289" s="75">
        <f>IF(ISBLANK(P289),"",IF(D289="Stock",P289*G289,IF(P289=0,"0",G289*P289*100-(G289*$AF$14))))</f>
        <v/>
      </c>
      <c r="R289" s="79">
        <f>IF(P289&lt;&gt;"", TODAY(), "")</f>
        <v/>
      </c>
      <c r="S289" s="78">
        <f>IF(AND(K289&lt;&gt;"", R289&lt;&gt;""), R289-K289, "")</f>
        <v/>
      </c>
      <c r="T289" s="78" t="n"/>
      <c r="U289" s="92">
        <f>IF(ISBLANK(P289),"",IF(C289="Buy",Q289-M289+T289, IF(C289="Sell",M289-Q289-T289, X)))</f>
        <v/>
      </c>
      <c r="V289" s="81">
        <f>IF(ISBLANK(P289),"",U289/N289)</f>
        <v/>
      </c>
      <c r="W289" s="81">
        <f>IF(ISBLANK(P289),"",IF(S289=0,(365/0.5)*V289,(365/S289)*V289))</f>
        <v/>
      </c>
      <c r="X289" s="75" t="n"/>
      <c r="Y289" s="77" t="n"/>
      <c r="Z289" s="77" t="n"/>
      <c r="AA289" s="75" t="n"/>
      <c r="AB289" s="75" t="n"/>
      <c r="AC289" s="6" t="n"/>
      <c r="AD289" s="75" t="n"/>
      <c r="AE289" s="75" t="n"/>
      <c r="AF289" s="75" t="n"/>
    </row>
    <row r="290" ht="15.75" customHeight="1" s="133">
      <c r="A290" s="75" t="n"/>
      <c r="B290" s="75" t="n"/>
      <c r="C290" s="75" t="n"/>
      <c r="D290" s="75" t="n"/>
      <c r="E290" s="76" t="n"/>
      <c r="F290" s="77" t="n"/>
      <c r="G290" s="75" t="n"/>
      <c r="H290" s="75">
        <f>IF(ISBLANK(E290),"",IF(OR(D290="Butterfly",D290="Butterfly ",D290="Iron Fly", D290="Iron Fly "),LEN(E290)-LEN(SUBSTITUTE(E290,"/",""))+2,LEN(E290)-LEN(SUBSTITUTE(E290,"/",""))+1))</f>
        <v/>
      </c>
      <c r="I290" s="78">
        <f>IF(ISBLANK(G290),"",IF(D290="Stock","0",Key!$A$3*H290*G290))</f>
        <v/>
      </c>
      <c r="J290" s="78">
        <f>IF(ISBLANK(E290),"",IF(ISNUMBER(SEARCH("/",E290)), IF(LEN(E290)-LEN(SUBSTITUTE(E290,"/",""))=1,(RIGHT(E290,LEN(E290)-FIND("/",E290)))-(LEFT(E290,FIND("/",E290)-1)),(MID(E290, SEARCH("/",E290) + 1, SEARCH("/",E290, SEARCH("/",E290)+1) - SEARCH("/",E290) - 1))-(LEFT(E290,FIND("/",E290)-1))), "NA"))</f>
        <v/>
      </c>
      <c r="K290" s="79">
        <f>IF(A290&lt;&gt;"", IF(ISBLANK(L290), TODAY(), K290), "")</f>
        <v/>
      </c>
      <c r="L290" s="78" t="n"/>
      <c r="M290" s="78">
        <f>IF(ISBLANK(L290),"",IF(D290="Stock",IF(C290="Buy",L290*G290,IF(C290="Sell",(L290*G290)-I290, X)),IF(C290="Buy",(L290*G290*100)+I290,IF(C290="Sell",(L290*G290*100)-I290, X))))</f>
        <v/>
      </c>
      <c r="N290" s="78">
        <f>IF(ISBLANK(L290),"",IF(AND(C290="Sell",D290="Stock"),M290,IF(ISBLANK(L290),"",IF(C290="Buy",M290, IF(AND(C290="Sell",J290="NA"),(E290*G290*100*0.1)+I290, IF(C290="Sell",(J290-L290)*(100*G290)+I290))))))</f>
        <v/>
      </c>
      <c r="O290" s="75" t="n"/>
      <c r="P290" s="75" t="n"/>
      <c r="Q290" s="75">
        <f>IF(ISBLANK(P290),"",IF(D290="Stock",P290*G290,IF(P290=0,"0",G290*P290*100-(G290*$AF$14))))</f>
        <v/>
      </c>
      <c r="R290" s="79">
        <f>IF(P290&lt;&gt;"", TODAY(), "")</f>
        <v/>
      </c>
      <c r="S290" s="78">
        <f>IF(AND(K290&lt;&gt;"", R290&lt;&gt;""), R290-K290, "")</f>
        <v/>
      </c>
      <c r="T290" s="78" t="n"/>
      <c r="U290" s="92">
        <f>IF(ISBLANK(P290),"",IF(C290="Buy",Q290-M290+T290, IF(C290="Sell",M290-Q290-T290, X)))</f>
        <v/>
      </c>
      <c r="V290" s="81">
        <f>IF(ISBLANK(P290),"",U290/N290)</f>
        <v/>
      </c>
      <c r="W290" s="81">
        <f>IF(ISBLANK(P290),"",IF(S290=0,(365/0.5)*V290,(365/S290)*V290))</f>
        <v/>
      </c>
      <c r="X290" s="75" t="n"/>
      <c r="Y290" s="77" t="n"/>
      <c r="Z290" s="77" t="n"/>
      <c r="AA290" s="75" t="n"/>
      <c r="AB290" s="75" t="n"/>
      <c r="AC290" s="6" t="n"/>
      <c r="AD290" s="75" t="n"/>
      <c r="AE290" s="75" t="n"/>
      <c r="AF290" s="75" t="n"/>
    </row>
    <row r="291" ht="15.75" customHeight="1" s="133">
      <c r="A291" s="75" t="n"/>
      <c r="B291" s="75" t="n"/>
      <c r="C291" s="75" t="n"/>
      <c r="D291" s="75" t="n"/>
      <c r="E291" s="76" t="n"/>
      <c r="F291" s="77" t="n"/>
      <c r="G291" s="75" t="n"/>
      <c r="H291" s="75">
        <f>IF(ISBLANK(E291),"",IF(OR(D291="Butterfly",D291="Butterfly ",D291="Iron Fly", D291="Iron Fly "),LEN(E291)-LEN(SUBSTITUTE(E291,"/",""))+2,LEN(E291)-LEN(SUBSTITUTE(E291,"/",""))+1))</f>
        <v/>
      </c>
      <c r="I291" s="78">
        <f>IF(ISBLANK(G291),"",IF(D291="Stock","0",Key!$A$3*H291*G291))</f>
        <v/>
      </c>
      <c r="J291" s="78">
        <f>IF(ISBLANK(E291),"",IF(ISNUMBER(SEARCH("/",E291)), IF(LEN(E291)-LEN(SUBSTITUTE(E291,"/",""))=1,(RIGHT(E291,LEN(E291)-FIND("/",E291)))-(LEFT(E291,FIND("/",E291)-1)),(MID(E291, SEARCH("/",E291) + 1, SEARCH("/",E291, SEARCH("/",E291)+1) - SEARCH("/",E291) - 1))-(LEFT(E291,FIND("/",E291)-1))), "NA"))</f>
        <v/>
      </c>
      <c r="K291" s="79">
        <f>IF(A291&lt;&gt;"", IF(ISBLANK(L291), TODAY(), K291), "")</f>
        <v/>
      </c>
      <c r="L291" s="78" t="n"/>
      <c r="M291" s="78">
        <f>IF(ISBLANK(L291),"",IF(D291="Stock",IF(C291="Buy",L291*G291,IF(C291="Sell",(L291*G291)-I291, X)),IF(C291="Buy",(L291*G291*100)+I291,IF(C291="Sell",(L291*G291*100)-I291, X))))</f>
        <v/>
      </c>
      <c r="N291" s="78">
        <f>IF(ISBLANK(L291),"",IF(AND(C291="Sell",D291="Stock"),M291,IF(ISBLANK(L291),"",IF(C291="Buy",M291, IF(AND(C291="Sell",J291="NA"),(E291*G291*100*0.1)+I291, IF(C291="Sell",(J291-L291)*(100*G291)+I291))))))</f>
        <v/>
      </c>
      <c r="O291" s="75" t="n"/>
      <c r="P291" s="75" t="n"/>
      <c r="Q291" s="75">
        <f>IF(ISBLANK(P291),"",IF(D291="Stock",P291*G291,IF(P291=0,"0",G291*P291*100-(G291*$AF$14))))</f>
        <v/>
      </c>
      <c r="R291" s="79">
        <f>IF(P291&lt;&gt;"", TODAY(), "")</f>
        <v/>
      </c>
      <c r="S291" s="78">
        <f>IF(AND(K291&lt;&gt;"", R291&lt;&gt;""), R291-K291, "")</f>
        <v/>
      </c>
      <c r="T291" s="78" t="n"/>
      <c r="U291" s="92">
        <f>IF(ISBLANK(P291),"",IF(C291="Buy",Q291-M291+T291, IF(C291="Sell",M291-Q291-T291, X)))</f>
        <v/>
      </c>
      <c r="V291" s="81">
        <f>IF(ISBLANK(P291),"",U291/N291)</f>
        <v/>
      </c>
      <c r="W291" s="81">
        <f>IF(ISBLANK(P291),"",IF(S291=0,(365/0.5)*V291,(365/S291)*V291))</f>
        <v/>
      </c>
      <c r="X291" s="75" t="n"/>
      <c r="Y291" s="77" t="n"/>
      <c r="Z291" s="77" t="n"/>
      <c r="AA291" s="75" t="n"/>
      <c r="AB291" s="75" t="n"/>
      <c r="AC291" s="6" t="n"/>
      <c r="AD291" s="75" t="n"/>
      <c r="AE291" s="75" t="n"/>
      <c r="AF291" s="75" t="n"/>
    </row>
    <row r="292" ht="15.75" customHeight="1" s="133">
      <c r="A292" s="75" t="n"/>
      <c r="B292" s="75" t="n"/>
      <c r="C292" s="75" t="n"/>
      <c r="D292" s="75" t="n"/>
      <c r="E292" s="76" t="n"/>
      <c r="F292" s="77" t="n"/>
      <c r="G292" s="75" t="n"/>
      <c r="H292" s="75">
        <f>IF(ISBLANK(E292),"",IF(OR(D292="Butterfly",D292="Butterfly ",D292="Iron Fly", D292="Iron Fly "),LEN(E292)-LEN(SUBSTITUTE(E292,"/",""))+2,LEN(E292)-LEN(SUBSTITUTE(E292,"/",""))+1))</f>
        <v/>
      </c>
      <c r="I292" s="78">
        <f>IF(ISBLANK(G292),"",IF(D292="Stock","0",Key!$A$3*H292*G292))</f>
        <v/>
      </c>
      <c r="J292" s="78">
        <f>IF(ISBLANK(E292),"",IF(ISNUMBER(SEARCH("/",E292)), IF(LEN(E292)-LEN(SUBSTITUTE(E292,"/",""))=1,(RIGHT(E292,LEN(E292)-FIND("/",E292)))-(LEFT(E292,FIND("/",E292)-1)),(MID(E292, SEARCH("/",E292) + 1, SEARCH("/",E292, SEARCH("/",E292)+1) - SEARCH("/",E292) - 1))-(LEFT(E292,FIND("/",E292)-1))), "NA"))</f>
        <v/>
      </c>
      <c r="K292" s="79">
        <f>IF(A292&lt;&gt;"", IF(ISBLANK(L292), TODAY(), K292), "")</f>
        <v/>
      </c>
      <c r="L292" s="78" t="n"/>
      <c r="M292" s="78">
        <f>IF(ISBLANK(L292),"",IF(D292="Stock",IF(C292="Buy",L292*G292,IF(C292="Sell",(L292*G292)-I292, X)),IF(C292="Buy",(L292*G292*100)+I292,IF(C292="Sell",(L292*G292*100)-I292, X))))</f>
        <v/>
      </c>
      <c r="N292" s="78">
        <f>IF(ISBLANK(L292),"",IF(AND(C292="Sell",D292="Stock"),M292,IF(ISBLANK(L292),"",IF(C292="Buy",M292, IF(AND(C292="Sell",J292="NA"),(E292*G292*100*0.1)+I292, IF(C292="Sell",(J292-L292)*(100*G292)+I292))))))</f>
        <v/>
      </c>
      <c r="O292" s="75" t="n"/>
      <c r="P292" s="75" t="n"/>
      <c r="Q292" s="75">
        <f>IF(ISBLANK(P292),"",IF(D292="Stock",P292*G292,IF(P292=0,"0",G292*P292*100-(G292*$AF$14))))</f>
        <v/>
      </c>
      <c r="R292" s="79">
        <f>IF(P292&lt;&gt;"", TODAY(), "")</f>
        <v/>
      </c>
      <c r="S292" s="78">
        <f>IF(AND(K292&lt;&gt;"", R292&lt;&gt;""), R292-K292, "")</f>
        <v/>
      </c>
      <c r="T292" s="78" t="n"/>
      <c r="U292" s="92">
        <f>IF(ISBLANK(P292),"",IF(C292="Buy",Q292-M292+T292, IF(C292="Sell",M292-Q292-T292, X)))</f>
        <v/>
      </c>
      <c r="V292" s="81">
        <f>IF(ISBLANK(P292),"",U292/N292)</f>
        <v/>
      </c>
      <c r="W292" s="81">
        <f>IF(ISBLANK(P292),"",IF(S292=0,(365/0.5)*V292,(365/S292)*V292))</f>
        <v/>
      </c>
      <c r="X292" s="75" t="n"/>
      <c r="Y292" s="77" t="n"/>
      <c r="Z292" s="77" t="n"/>
      <c r="AA292" s="75" t="n"/>
      <c r="AB292" s="75" t="n"/>
      <c r="AC292" s="6" t="n"/>
      <c r="AD292" s="75" t="n"/>
      <c r="AE292" s="75" t="n"/>
      <c r="AF292" s="75" t="n"/>
    </row>
    <row r="293" ht="15.75" customHeight="1" s="133">
      <c r="A293" s="75" t="n"/>
      <c r="B293" s="75" t="n"/>
      <c r="C293" s="75" t="n"/>
      <c r="D293" s="75" t="n"/>
      <c r="E293" s="76" t="n"/>
      <c r="F293" s="77" t="n"/>
      <c r="G293" s="75" t="n"/>
      <c r="H293" s="75">
        <f>IF(ISBLANK(E293),"",IF(OR(D293="Butterfly",D293="Butterfly ",D293="Iron Fly", D293="Iron Fly "),LEN(E293)-LEN(SUBSTITUTE(E293,"/",""))+2,LEN(E293)-LEN(SUBSTITUTE(E293,"/",""))+1))</f>
        <v/>
      </c>
      <c r="I293" s="78">
        <f>IF(ISBLANK(G293),"",IF(D293="Stock","0",Key!$A$3*H293*G293))</f>
        <v/>
      </c>
      <c r="J293" s="78">
        <f>IF(ISBLANK(E293),"",IF(ISNUMBER(SEARCH("/",E293)), IF(LEN(E293)-LEN(SUBSTITUTE(E293,"/",""))=1,(RIGHT(E293,LEN(E293)-FIND("/",E293)))-(LEFT(E293,FIND("/",E293)-1)),(MID(E293, SEARCH("/",E293) + 1, SEARCH("/",E293, SEARCH("/",E293)+1) - SEARCH("/",E293) - 1))-(LEFT(E293,FIND("/",E293)-1))), "NA"))</f>
        <v/>
      </c>
      <c r="K293" s="79">
        <f>IF(A293&lt;&gt;"", IF(ISBLANK(L293), TODAY(), K293), "")</f>
        <v/>
      </c>
      <c r="L293" s="78" t="n"/>
      <c r="M293" s="78">
        <f>IF(ISBLANK(L293),"",IF(D293="Stock",IF(C293="Buy",L293*G293,IF(C293="Sell",(L293*G293)-I293, X)),IF(C293="Buy",(L293*G293*100)+I293,IF(C293="Sell",(L293*G293*100)-I293, X))))</f>
        <v/>
      </c>
      <c r="N293" s="78">
        <f>IF(ISBLANK(L293),"",IF(AND(C293="Sell",D293="Stock"),M293,IF(ISBLANK(L293),"",IF(C293="Buy",M293, IF(AND(C293="Sell",J293="NA"),(E293*G293*100*0.1)+I293, IF(C293="Sell",(J293-L293)*(100*G293)+I293))))))</f>
        <v/>
      </c>
      <c r="O293" s="75" t="n"/>
      <c r="P293" s="75" t="n"/>
      <c r="Q293" s="75">
        <f>IF(ISBLANK(P293),"",IF(D293="Stock",P293*G293,IF(P293=0,"0",G293*P293*100-(G293*$AF$14))))</f>
        <v/>
      </c>
      <c r="R293" s="79">
        <f>IF(P293&lt;&gt;"", TODAY(), "")</f>
        <v/>
      </c>
      <c r="S293" s="78">
        <f>IF(AND(K293&lt;&gt;"", R293&lt;&gt;""), R293-K293, "")</f>
        <v/>
      </c>
      <c r="T293" s="78" t="n"/>
      <c r="U293" s="92">
        <f>IF(ISBLANK(P293),"",IF(C293="Buy",Q293-M293+T293, IF(C293="Sell",M293-Q293-T293, X)))</f>
        <v/>
      </c>
      <c r="V293" s="81">
        <f>IF(ISBLANK(P293),"",U293/N293)</f>
        <v/>
      </c>
      <c r="W293" s="81">
        <f>IF(ISBLANK(P293),"",IF(S293=0,(365/0.5)*V293,(365/S293)*V293))</f>
        <v/>
      </c>
      <c r="X293" s="75" t="n"/>
      <c r="Y293" s="77" t="n"/>
      <c r="Z293" s="77" t="n"/>
      <c r="AA293" s="75" t="n"/>
      <c r="AB293" s="75" t="n"/>
      <c r="AC293" s="6" t="n"/>
      <c r="AD293" s="75" t="n"/>
      <c r="AE293" s="75" t="n"/>
      <c r="AF293" s="75" t="n"/>
    </row>
    <row r="294" ht="15.75" customHeight="1" s="133">
      <c r="A294" s="75" t="n"/>
      <c r="B294" s="75" t="n"/>
      <c r="C294" s="75" t="n"/>
      <c r="D294" s="75" t="n"/>
      <c r="E294" s="76" t="n"/>
      <c r="F294" s="77" t="n"/>
      <c r="G294" s="75" t="n"/>
      <c r="H294" s="75">
        <f>IF(ISBLANK(E294),"",IF(OR(D294="Butterfly",D294="Butterfly ",D294="Iron Fly", D294="Iron Fly "),LEN(E294)-LEN(SUBSTITUTE(E294,"/",""))+2,LEN(E294)-LEN(SUBSTITUTE(E294,"/",""))+1))</f>
        <v/>
      </c>
      <c r="I294" s="78">
        <f>IF(ISBLANK(G294),"",IF(D294="Stock","0",Key!$A$3*H294*G294))</f>
        <v/>
      </c>
      <c r="J294" s="78">
        <f>IF(ISBLANK(E294),"",IF(ISNUMBER(SEARCH("/",E294)), IF(LEN(E294)-LEN(SUBSTITUTE(E294,"/",""))=1,(RIGHT(E294,LEN(E294)-FIND("/",E294)))-(LEFT(E294,FIND("/",E294)-1)),(MID(E294, SEARCH("/",E294) + 1, SEARCH("/",E294, SEARCH("/",E294)+1) - SEARCH("/",E294) - 1))-(LEFT(E294,FIND("/",E294)-1))), "NA"))</f>
        <v/>
      </c>
      <c r="K294" s="79">
        <f>IF(A294&lt;&gt;"", IF(ISBLANK(L294), TODAY(), K294), "")</f>
        <v/>
      </c>
      <c r="L294" s="78" t="n"/>
      <c r="M294" s="78">
        <f>IF(ISBLANK(L294),"",IF(D294="Stock",IF(C294="Buy",L294*G294,IF(C294="Sell",(L294*G294)-I294, X)),IF(C294="Buy",(L294*G294*100)+I294,IF(C294="Sell",(L294*G294*100)-I294, X))))</f>
        <v/>
      </c>
      <c r="N294" s="78">
        <f>IF(ISBLANK(L294),"",IF(AND(C294="Sell",D294="Stock"),M294,IF(ISBLANK(L294),"",IF(C294="Buy",M294, IF(AND(C294="Sell",J294="NA"),(E294*G294*100*0.1)+I294, IF(C294="Sell",(J294-L294)*(100*G294)+I294))))))</f>
        <v/>
      </c>
      <c r="O294" s="75" t="n"/>
      <c r="P294" s="75" t="n"/>
      <c r="Q294" s="75">
        <f>IF(ISBLANK(P294),"",IF(D294="Stock",P294*G294,IF(P294=0,"0",G294*P294*100-(G294*$AF$14))))</f>
        <v/>
      </c>
      <c r="R294" s="79">
        <f>IF(P294&lt;&gt;"", TODAY(), "")</f>
        <v/>
      </c>
      <c r="S294" s="78">
        <f>IF(AND(K294&lt;&gt;"", R294&lt;&gt;""), R294-K294, "")</f>
        <v/>
      </c>
      <c r="T294" s="78" t="n"/>
      <c r="U294" s="92">
        <f>IF(ISBLANK(P294),"",IF(C294="Buy",Q294-M294+T294, IF(C294="Sell",M294-Q294-T294, X)))</f>
        <v/>
      </c>
      <c r="V294" s="81">
        <f>IF(ISBLANK(P294),"",U294/N294)</f>
        <v/>
      </c>
      <c r="W294" s="81">
        <f>IF(ISBLANK(P294),"",IF(S294=0,(365/0.5)*V294,(365/S294)*V294))</f>
        <v/>
      </c>
      <c r="X294" s="75" t="n"/>
      <c r="Y294" s="77" t="n"/>
      <c r="Z294" s="77" t="n"/>
      <c r="AA294" s="75" t="n"/>
      <c r="AB294" s="75" t="n"/>
      <c r="AC294" s="6" t="n"/>
      <c r="AD294" s="75" t="n"/>
      <c r="AE294" s="75" t="n"/>
      <c r="AF294" s="75" t="n"/>
    </row>
    <row r="295" ht="15.75" customHeight="1" s="133">
      <c r="A295" s="75" t="n"/>
      <c r="B295" s="75" t="n"/>
      <c r="C295" s="75" t="n"/>
      <c r="D295" s="75" t="n"/>
      <c r="E295" s="76" t="n"/>
      <c r="F295" s="77" t="n"/>
      <c r="G295" s="75" t="n"/>
      <c r="H295" s="75">
        <f>IF(ISBLANK(E295),"",IF(OR(D295="Butterfly",D295="Butterfly ",D295="Iron Fly", D295="Iron Fly "),LEN(E295)-LEN(SUBSTITUTE(E295,"/",""))+2,LEN(E295)-LEN(SUBSTITUTE(E295,"/",""))+1))</f>
        <v/>
      </c>
      <c r="I295" s="78">
        <f>IF(ISBLANK(G295),"",IF(D295="Stock","0",Key!$A$3*H295*G295))</f>
        <v/>
      </c>
      <c r="J295" s="78">
        <f>IF(ISBLANK(E295),"",IF(ISNUMBER(SEARCH("/",E295)), IF(LEN(E295)-LEN(SUBSTITUTE(E295,"/",""))=1,(RIGHT(E295,LEN(E295)-FIND("/",E295)))-(LEFT(E295,FIND("/",E295)-1)),(MID(E295, SEARCH("/",E295) + 1, SEARCH("/",E295, SEARCH("/",E295)+1) - SEARCH("/",E295) - 1))-(LEFT(E295,FIND("/",E295)-1))), "NA"))</f>
        <v/>
      </c>
      <c r="K295" s="79">
        <f>IF(A295&lt;&gt;"", IF(ISBLANK(L295), TODAY(), K295), "")</f>
        <v/>
      </c>
      <c r="L295" s="78" t="n"/>
      <c r="M295" s="78">
        <f>IF(ISBLANK(L295),"",IF(D295="Stock",IF(C295="Buy",L295*G295,IF(C295="Sell",(L295*G295)-I295, X)),IF(C295="Buy",(L295*G295*100)+I295,IF(C295="Sell",(L295*G295*100)-I295, X))))</f>
        <v/>
      </c>
      <c r="N295" s="78">
        <f>IF(ISBLANK(L295),"",IF(AND(C295="Sell",D295="Stock"),M295,IF(ISBLANK(L295),"",IF(C295="Buy",M295, IF(AND(C295="Sell",J295="NA"),(E295*G295*100*0.1)+I295, IF(C295="Sell",(J295-L295)*(100*G295)+I295))))))</f>
        <v/>
      </c>
      <c r="O295" s="75" t="n"/>
      <c r="P295" s="75" t="n"/>
      <c r="Q295" s="75">
        <f>IF(ISBLANK(P295),"",IF(D295="Stock",P295*G295,IF(P295=0,"0",G295*P295*100-(G295*$AF$14))))</f>
        <v/>
      </c>
      <c r="R295" s="79">
        <f>IF(P295&lt;&gt;"", TODAY(), "")</f>
        <v/>
      </c>
      <c r="S295" s="78">
        <f>IF(AND(K295&lt;&gt;"", R295&lt;&gt;""), R295-K295, "")</f>
        <v/>
      </c>
      <c r="T295" s="78" t="n"/>
      <c r="U295" s="92">
        <f>IF(ISBLANK(P295),"",IF(C295="Buy",Q295-M295+T295, IF(C295="Sell",M295-Q295-T295, X)))</f>
        <v/>
      </c>
      <c r="V295" s="81">
        <f>IF(ISBLANK(P295),"",U295/N295)</f>
        <v/>
      </c>
      <c r="W295" s="81">
        <f>IF(ISBLANK(P295),"",IF(S295=0,(365/0.5)*V295,(365/S295)*V295))</f>
        <v/>
      </c>
      <c r="X295" s="75" t="n"/>
      <c r="Y295" s="77" t="n"/>
      <c r="Z295" s="77" t="n"/>
      <c r="AA295" s="75" t="n"/>
      <c r="AB295" s="75" t="n"/>
      <c r="AC295" s="6" t="n"/>
      <c r="AD295" s="75" t="n"/>
      <c r="AE295" s="75" t="n"/>
      <c r="AF295" s="75" t="n"/>
    </row>
    <row r="296" ht="15.75" customHeight="1" s="133">
      <c r="A296" s="75" t="n"/>
      <c r="B296" s="75" t="n"/>
      <c r="C296" s="75" t="n"/>
      <c r="D296" s="75" t="n"/>
      <c r="E296" s="76" t="n"/>
      <c r="F296" s="77" t="n"/>
      <c r="G296" s="75" t="n"/>
      <c r="H296" s="75">
        <f>IF(ISBLANK(E296),"",IF(OR(D296="Butterfly",D296="Butterfly ",D296="Iron Fly", D296="Iron Fly "),LEN(E296)-LEN(SUBSTITUTE(E296,"/",""))+2,LEN(E296)-LEN(SUBSTITUTE(E296,"/",""))+1))</f>
        <v/>
      </c>
      <c r="I296" s="78">
        <f>IF(ISBLANK(G296),"",IF(D296="Stock","0",Key!$A$3*H296*G296))</f>
        <v/>
      </c>
      <c r="J296" s="78">
        <f>IF(ISBLANK(E296),"",IF(ISNUMBER(SEARCH("/",E296)), IF(LEN(E296)-LEN(SUBSTITUTE(E296,"/",""))=1,(RIGHT(E296,LEN(E296)-FIND("/",E296)))-(LEFT(E296,FIND("/",E296)-1)),(MID(E296, SEARCH("/",E296) + 1, SEARCH("/",E296, SEARCH("/",E296)+1) - SEARCH("/",E296) - 1))-(LEFT(E296,FIND("/",E296)-1))), "NA"))</f>
        <v/>
      </c>
      <c r="K296" s="79">
        <f>IF(A296&lt;&gt;"", IF(ISBLANK(L296), TODAY(), K296), "")</f>
        <v/>
      </c>
      <c r="L296" s="78" t="n"/>
      <c r="M296" s="78">
        <f>IF(ISBLANK(L296),"",IF(D296="Stock",IF(C296="Buy",L296*G296,IF(C296="Sell",(L296*G296)-I296, X)),IF(C296="Buy",(L296*G296*100)+I296,IF(C296="Sell",(L296*G296*100)-I296, X))))</f>
        <v/>
      </c>
      <c r="N296" s="78">
        <f>IF(ISBLANK(L296),"",IF(AND(C296="Sell",D296="Stock"),M296,IF(ISBLANK(L296),"",IF(C296="Buy",M296, IF(AND(C296="Sell",J296="NA"),(E296*G296*100*0.1)+I296, IF(C296="Sell",(J296-L296)*(100*G296)+I296))))))</f>
        <v/>
      </c>
      <c r="O296" s="75" t="n"/>
      <c r="P296" s="75" t="n"/>
      <c r="Q296" s="75">
        <f>IF(ISBLANK(P296),"",IF(D296="Stock",P296*G296,IF(P296=0,"0",G296*P296*100-(G296*$AF$14))))</f>
        <v/>
      </c>
      <c r="R296" s="79">
        <f>IF(P296&lt;&gt;"", TODAY(), "")</f>
        <v/>
      </c>
      <c r="S296" s="78">
        <f>IF(AND(K296&lt;&gt;"", R296&lt;&gt;""), R296-K296, "")</f>
        <v/>
      </c>
      <c r="T296" s="78" t="n"/>
      <c r="U296" s="92">
        <f>IF(ISBLANK(P296),"",IF(C296="Buy",Q296-M296+T296, IF(C296="Sell",M296-Q296-T296, X)))</f>
        <v/>
      </c>
      <c r="V296" s="81">
        <f>IF(ISBLANK(P296),"",U296/N296)</f>
        <v/>
      </c>
      <c r="W296" s="81">
        <f>IF(ISBLANK(P296),"",IF(S296=0,(365/0.5)*V296,(365/S296)*V296))</f>
        <v/>
      </c>
      <c r="X296" s="75" t="n"/>
      <c r="Y296" s="77" t="n"/>
      <c r="Z296" s="77" t="n"/>
      <c r="AA296" s="75" t="n"/>
      <c r="AB296" s="75" t="n"/>
      <c r="AC296" s="6" t="n"/>
      <c r="AD296" s="75" t="n"/>
      <c r="AE296" s="75" t="n"/>
      <c r="AF296" s="75" t="n"/>
    </row>
    <row r="297" ht="15.75" customHeight="1" s="133">
      <c r="A297" s="75" t="n"/>
      <c r="B297" s="75" t="n"/>
      <c r="C297" s="75" t="n"/>
      <c r="D297" s="75" t="n"/>
      <c r="E297" s="76" t="n"/>
      <c r="F297" s="77" t="n"/>
      <c r="G297" s="75" t="n"/>
      <c r="H297" s="75">
        <f>IF(ISBLANK(E297),"",IF(OR(D297="Butterfly",D297="Butterfly ",D297="Iron Fly", D297="Iron Fly "),LEN(E297)-LEN(SUBSTITUTE(E297,"/",""))+2,LEN(E297)-LEN(SUBSTITUTE(E297,"/",""))+1))</f>
        <v/>
      </c>
      <c r="I297" s="78">
        <f>IF(ISBLANK(G297),"",IF(D297="Stock","0",Key!$A$3*H297*G297))</f>
        <v/>
      </c>
      <c r="J297" s="78">
        <f>IF(ISBLANK(E297),"",IF(ISNUMBER(SEARCH("/",E297)), IF(LEN(E297)-LEN(SUBSTITUTE(E297,"/",""))=1,(RIGHT(E297,LEN(E297)-FIND("/",E297)))-(LEFT(E297,FIND("/",E297)-1)),(MID(E297, SEARCH("/",E297) + 1, SEARCH("/",E297, SEARCH("/",E297)+1) - SEARCH("/",E297) - 1))-(LEFT(E297,FIND("/",E297)-1))), "NA"))</f>
        <v/>
      </c>
      <c r="K297" s="79">
        <f>IF(A297&lt;&gt;"", IF(ISBLANK(L297), TODAY(), K297), "")</f>
        <v/>
      </c>
      <c r="L297" s="78" t="n"/>
      <c r="M297" s="78">
        <f>IF(ISBLANK(L297),"",IF(D297="Stock",IF(C297="Buy",L297*G297,IF(C297="Sell",(L297*G297)-I297, X)),IF(C297="Buy",(L297*G297*100)+I297,IF(C297="Sell",(L297*G297*100)-I297, X))))</f>
        <v/>
      </c>
      <c r="N297" s="78">
        <f>IF(ISBLANK(L297),"",IF(AND(C297="Sell",D297="Stock"),M297,IF(ISBLANK(L297),"",IF(C297="Buy",M297, IF(AND(C297="Sell",J297="NA"),(E297*G297*100*0.1)+I297, IF(C297="Sell",(J297-L297)*(100*G297)+I297))))))</f>
        <v/>
      </c>
      <c r="O297" s="75" t="n"/>
      <c r="P297" s="75" t="n"/>
      <c r="Q297" s="75">
        <f>IF(ISBLANK(P297),"",IF(D297="Stock",P297*G297,IF(P297=0,"0",G297*P297*100-(G297*$AF$14))))</f>
        <v/>
      </c>
      <c r="R297" s="79">
        <f>IF(P297&lt;&gt;"", TODAY(), "")</f>
        <v/>
      </c>
      <c r="S297" s="78">
        <f>IF(AND(K297&lt;&gt;"", R297&lt;&gt;""), R297-K297, "")</f>
        <v/>
      </c>
      <c r="T297" s="78" t="n"/>
      <c r="U297" s="92">
        <f>IF(ISBLANK(P297),"",IF(C297="Buy",Q297-M297+T297, IF(C297="Sell",M297-Q297-T297, X)))</f>
        <v/>
      </c>
      <c r="V297" s="81">
        <f>IF(ISBLANK(P297),"",U297/N297)</f>
        <v/>
      </c>
      <c r="W297" s="81">
        <f>IF(ISBLANK(P297),"",IF(S297=0,(365/0.5)*V297,(365/S297)*V297))</f>
        <v/>
      </c>
      <c r="X297" s="75" t="n"/>
      <c r="Y297" s="77" t="n"/>
      <c r="Z297" s="77" t="n"/>
      <c r="AA297" s="75" t="n"/>
      <c r="AB297" s="75" t="n"/>
      <c r="AC297" s="6" t="n"/>
      <c r="AD297" s="75" t="n"/>
      <c r="AE297" s="75" t="n"/>
      <c r="AF297" s="75" t="n"/>
    </row>
    <row r="298" ht="15.75" customHeight="1" s="133">
      <c r="A298" s="75" t="n"/>
      <c r="B298" s="75" t="n"/>
      <c r="C298" s="75" t="n"/>
      <c r="D298" s="75" t="n"/>
      <c r="E298" s="76" t="n"/>
      <c r="F298" s="77" t="n"/>
      <c r="G298" s="75" t="n"/>
      <c r="H298" s="75">
        <f>IF(ISBLANK(E298),"",IF(OR(D298="Butterfly",D298="Butterfly ",D298="Iron Fly", D298="Iron Fly "),LEN(E298)-LEN(SUBSTITUTE(E298,"/",""))+2,LEN(E298)-LEN(SUBSTITUTE(E298,"/",""))+1))</f>
        <v/>
      </c>
      <c r="I298" s="78">
        <f>IF(ISBLANK(G298),"",IF(D298="Stock","0",Key!$A$3*H298*G298))</f>
        <v/>
      </c>
      <c r="J298" s="78">
        <f>IF(ISBLANK(E298),"",IF(ISNUMBER(SEARCH("/",E298)), IF(LEN(E298)-LEN(SUBSTITUTE(E298,"/",""))=1,(RIGHT(E298,LEN(E298)-FIND("/",E298)))-(LEFT(E298,FIND("/",E298)-1)),(MID(E298, SEARCH("/",E298) + 1, SEARCH("/",E298, SEARCH("/",E298)+1) - SEARCH("/",E298) - 1))-(LEFT(E298,FIND("/",E298)-1))), "NA"))</f>
        <v/>
      </c>
      <c r="K298" s="79">
        <f>IF(A298&lt;&gt;"", IF(ISBLANK(L298), TODAY(), K298), "")</f>
        <v/>
      </c>
      <c r="L298" s="78" t="n"/>
      <c r="M298" s="78">
        <f>IF(ISBLANK(L298),"",IF(D298="Stock",IF(C298="Buy",L298*G298,IF(C298="Sell",(L298*G298)-I298, X)),IF(C298="Buy",(L298*G298*100)+I298,IF(C298="Sell",(L298*G298*100)-I298, X))))</f>
        <v/>
      </c>
      <c r="N298" s="78">
        <f>IF(ISBLANK(L298),"",IF(AND(C298="Sell",D298="Stock"),M298,IF(ISBLANK(L298),"",IF(C298="Buy",M298, IF(AND(C298="Sell",J298="NA"),(E298*G298*100*0.1)+I298, IF(C298="Sell",(J298-L298)*(100*G298)+I298))))))</f>
        <v/>
      </c>
      <c r="O298" s="75" t="n"/>
      <c r="P298" s="75" t="n"/>
      <c r="Q298" s="75">
        <f>IF(ISBLANK(P298),"",IF(D298="Stock",P298*G298,IF(P298=0,"0",G298*P298*100-(G298*$AF$14))))</f>
        <v/>
      </c>
      <c r="R298" s="79">
        <f>IF(P298&lt;&gt;"", TODAY(), "")</f>
        <v/>
      </c>
      <c r="S298" s="78">
        <f>IF(AND(K298&lt;&gt;"", R298&lt;&gt;""), R298-K298, "")</f>
        <v/>
      </c>
      <c r="T298" s="78" t="n"/>
      <c r="U298" s="92">
        <f>IF(ISBLANK(P298),"",IF(C298="Buy",Q298-M298+T298, IF(C298="Sell",M298-Q298-T298, X)))</f>
        <v/>
      </c>
      <c r="V298" s="81">
        <f>IF(ISBLANK(P298),"",U298/N298)</f>
        <v/>
      </c>
      <c r="W298" s="81">
        <f>IF(ISBLANK(P298),"",IF(S298=0,(365/0.5)*V298,(365/S298)*V298))</f>
        <v/>
      </c>
      <c r="X298" s="75" t="n"/>
      <c r="Y298" s="77" t="n"/>
      <c r="Z298" s="77" t="n"/>
      <c r="AA298" s="75" t="n"/>
      <c r="AB298" s="75" t="n"/>
      <c r="AC298" s="6" t="n"/>
      <c r="AD298" s="75" t="n"/>
      <c r="AE298" s="75" t="n"/>
      <c r="AF298" s="75" t="n"/>
    </row>
    <row r="299" ht="15.75" customHeight="1" s="133">
      <c r="A299" s="75" t="n"/>
      <c r="B299" s="75" t="n"/>
      <c r="C299" s="75" t="n"/>
      <c r="D299" s="75" t="n"/>
      <c r="E299" s="76" t="n"/>
      <c r="F299" s="77" t="n"/>
      <c r="G299" s="75" t="n"/>
      <c r="H299" s="75">
        <f>IF(ISBLANK(E299),"",IF(OR(D299="Butterfly",D299="Butterfly ",D299="Iron Fly", D299="Iron Fly "),LEN(E299)-LEN(SUBSTITUTE(E299,"/",""))+2,LEN(E299)-LEN(SUBSTITUTE(E299,"/",""))+1))</f>
        <v/>
      </c>
      <c r="I299" s="78">
        <f>IF(ISBLANK(G299),"",IF(D299="Stock","0",Key!$A$3*H299*G299))</f>
        <v/>
      </c>
      <c r="J299" s="78">
        <f>IF(ISBLANK(E299),"",IF(ISNUMBER(SEARCH("/",E299)), IF(LEN(E299)-LEN(SUBSTITUTE(E299,"/",""))=1,(RIGHT(E299,LEN(E299)-FIND("/",E299)))-(LEFT(E299,FIND("/",E299)-1)),(MID(E299, SEARCH("/",E299) + 1, SEARCH("/",E299, SEARCH("/",E299)+1) - SEARCH("/",E299) - 1))-(LEFT(E299,FIND("/",E299)-1))), "NA"))</f>
        <v/>
      </c>
      <c r="K299" s="79">
        <f>IF(A299&lt;&gt;"", IF(ISBLANK(L299), TODAY(), K299), "")</f>
        <v/>
      </c>
      <c r="L299" s="78" t="n"/>
      <c r="M299" s="78">
        <f>IF(ISBLANK(L299),"",IF(D299="Stock",IF(C299="Buy",L299*G299,IF(C299="Sell",(L299*G299)-I299, X)),IF(C299="Buy",(L299*G299*100)+I299,IF(C299="Sell",(L299*G299*100)-I299, X))))</f>
        <v/>
      </c>
      <c r="N299" s="78">
        <f>IF(ISBLANK(L299),"",IF(AND(C299="Sell",D299="Stock"),M299,IF(ISBLANK(L299),"",IF(C299="Buy",M299, IF(AND(C299="Sell",J299="NA"),(E299*G299*100*0.1)+I299, IF(C299="Sell",(J299-L299)*(100*G299)+I299))))))</f>
        <v/>
      </c>
      <c r="O299" s="75" t="n"/>
      <c r="P299" s="75" t="n"/>
      <c r="Q299" s="75">
        <f>IF(ISBLANK(P299),"",IF(D299="Stock",P299*G299,IF(P299=0,"0",G299*P299*100-(G299*$AF$14))))</f>
        <v/>
      </c>
      <c r="R299" s="79">
        <f>IF(P299&lt;&gt;"", TODAY(), "")</f>
        <v/>
      </c>
      <c r="S299" s="78">
        <f>IF(AND(K299&lt;&gt;"", R299&lt;&gt;""), R299-K299, "")</f>
        <v/>
      </c>
      <c r="T299" s="78" t="n"/>
      <c r="U299" s="92">
        <f>IF(ISBLANK(P299),"",IF(C299="Buy",Q299-M299+T299, IF(C299="Sell",M299-Q299-T299, X)))</f>
        <v/>
      </c>
      <c r="V299" s="81">
        <f>IF(ISBLANK(P299),"",U299/N299)</f>
        <v/>
      </c>
      <c r="W299" s="81">
        <f>IF(ISBLANK(P299),"",IF(S299=0,(365/0.5)*V299,(365/S299)*V299))</f>
        <v/>
      </c>
      <c r="X299" s="75" t="n"/>
      <c r="Y299" s="77" t="n"/>
      <c r="Z299" s="77" t="n"/>
      <c r="AA299" s="75" t="n"/>
      <c r="AB299" s="75" t="n"/>
      <c r="AC299" s="6" t="n"/>
      <c r="AD299" s="75" t="n"/>
      <c r="AE299" s="75" t="n"/>
      <c r="AF299" s="75" t="n"/>
    </row>
    <row r="300" ht="15.75" customHeight="1" s="133">
      <c r="A300" s="75" t="n"/>
      <c r="B300" s="75" t="n"/>
      <c r="C300" s="75" t="n"/>
      <c r="D300" s="75" t="n"/>
      <c r="E300" s="76" t="n"/>
      <c r="F300" s="77" t="n"/>
      <c r="G300" s="75" t="n"/>
      <c r="H300" s="75">
        <f>IF(ISBLANK(E300),"",IF(OR(D300="Butterfly",D300="Butterfly ",D300="Iron Fly", D300="Iron Fly "),LEN(E300)-LEN(SUBSTITUTE(E300,"/",""))+2,LEN(E300)-LEN(SUBSTITUTE(E300,"/",""))+1))</f>
        <v/>
      </c>
      <c r="I300" s="78">
        <f>IF(ISBLANK(G300),"",IF(D300="Stock","0",Key!$A$3*H300*G300))</f>
        <v/>
      </c>
      <c r="J300" s="78">
        <f>IF(ISBLANK(E300),"",IF(ISNUMBER(SEARCH("/",E300)), IF(LEN(E300)-LEN(SUBSTITUTE(E300,"/",""))=1,(RIGHT(E300,LEN(E300)-FIND("/",E300)))-(LEFT(E300,FIND("/",E300)-1)),(MID(E300, SEARCH("/",E300) + 1, SEARCH("/",E300, SEARCH("/",E300)+1) - SEARCH("/",E300) - 1))-(LEFT(E300,FIND("/",E300)-1))), "NA"))</f>
        <v/>
      </c>
      <c r="K300" s="79">
        <f>IF(A300&lt;&gt;"", IF(ISBLANK(L300), TODAY(), K300), "")</f>
        <v/>
      </c>
      <c r="L300" s="78" t="n"/>
      <c r="M300" s="78">
        <f>IF(ISBLANK(L300),"",IF(D300="Stock",IF(C300="Buy",L300*G300,IF(C300="Sell",(L300*G300)-I300, X)),IF(C300="Buy",(L300*G300*100)+I300,IF(C300="Sell",(L300*G300*100)-I300, X))))</f>
        <v/>
      </c>
      <c r="N300" s="78">
        <f>IF(ISBLANK(L300),"",IF(AND(C300="Sell",D300="Stock"),M300,IF(ISBLANK(L300),"",IF(C300="Buy",M300, IF(AND(C300="Sell",J300="NA"),(E300*G300*100*0.1)+I300, IF(C300="Sell",(J300-L300)*(100*G300)+I300))))))</f>
        <v/>
      </c>
      <c r="O300" s="75" t="n"/>
      <c r="P300" s="75" t="n"/>
      <c r="Q300" s="75">
        <f>IF(ISBLANK(P300),"",IF(D300="Stock",P300*G300,IF(P300=0,"0",G300*P300*100-(G300*$AF$14))))</f>
        <v/>
      </c>
      <c r="R300" s="79">
        <f>IF(P300&lt;&gt;"", TODAY(), "")</f>
        <v/>
      </c>
      <c r="S300" s="78">
        <f>IF(AND(K300&lt;&gt;"", R300&lt;&gt;""), R300-K300, "")</f>
        <v/>
      </c>
      <c r="T300" s="78" t="n"/>
      <c r="U300" s="92">
        <f>IF(ISBLANK(P300),"",IF(C300="Buy",Q300-M300+T300, IF(C300="Sell",M300-Q300-T300, X)))</f>
        <v/>
      </c>
      <c r="V300" s="81">
        <f>IF(ISBLANK(P300),"",U300/N300)</f>
        <v/>
      </c>
      <c r="W300" s="81">
        <f>IF(ISBLANK(P300),"",IF(S300=0,(365/0.5)*V300,(365/S300)*V300))</f>
        <v/>
      </c>
      <c r="X300" s="75" t="n"/>
      <c r="Y300" s="77" t="n"/>
      <c r="Z300" s="77" t="n"/>
      <c r="AA300" s="75" t="n"/>
      <c r="AB300" s="75" t="n"/>
      <c r="AC300" s="6" t="n"/>
      <c r="AD300" s="75" t="n"/>
      <c r="AE300" s="75" t="n"/>
      <c r="AF300" s="75" t="n"/>
    </row>
    <row r="301" ht="15.75" customHeight="1" s="133">
      <c r="A301" s="75" t="n"/>
      <c r="B301" s="75" t="n"/>
      <c r="C301" s="75" t="n"/>
      <c r="D301" s="75" t="n"/>
      <c r="E301" s="76" t="n"/>
      <c r="F301" s="77" t="n"/>
      <c r="G301" s="75" t="n"/>
      <c r="H301" s="75">
        <f>IF(ISBLANK(E301),"",IF(OR(D301="Butterfly",D301="Butterfly ",D301="Iron Fly", D301="Iron Fly "),LEN(E301)-LEN(SUBSTITUTE(E301,"/",""))+2,LEN(E301)-LEN(SUBSTITUTE(E301,"/",""))+1))</f>
        <v/>
      </c>
      <c r="I301" s="78">
        <f>IF(ISBLANK(G301),"",IF(D301="Stock","0",Key!$A$3*H301*G301))</f>
        <v/>
      </c>
      <c r="J301" s="78">
        <f>IF(ISBLANK(E301),"",IF(ISNUMBER(SEARCH("/",E301)), IF(LEN(E301)-LEN(SUBSTITUTE(E301,"/",""))=1,(RIGHT(E301,LEN(E301)-FIND("/",E301)))-(LEFT(E301,FIND("/",E301)-1)),(MID(E301, SEARCH("/",E301) + 1, SEARCH("/",E301, SEARCH("/",E301)+1) - SEARCH("/",E301) - 1))-(LEFT(E301,FIND("/",E301)-1))), "NA"))</f>
        <v/>
      </c>
      <c r="K301" s="79">
        <f>IF(A301&lt;&gt;"", IF(ISBLANK(L301), TODAY(), K301), "")</f>
        <v/>
      </c>
      <c r="L301" s="78" t="n"/>
      <c r="M301" s="78">
        <f>IF(ISBLANK(L301),"",IF(D301="Stock",IF(C301="Buy",L301*G301,IF(C301="Sell",(L301*G301)-I301, X)),IF(C301="Buy",(L301*G301*100)+I301,IF(C301="Sell",(L301*G301*100)-I301, X))))</f>
        <v/>
      </c>
      <c r="N301" s="78">
        <f>IF(ISBLANK(L301),"",IF(AND(C301="Sell",D301="Stock"),M301,IF(ISBLANK(L301),"",IF(C301="Buy",M301, IF(AND(C301="Sell",J301="NA"),(E301*G301*100*0.1)+I301, IF(C301="Sell",(J301-L301)*(100*G301)+I301))))))</f>
        <v/>
      </c>
      <c r="O301" s="75" t="n"/>
      <c r="P301" s="75" t="n"/>
      <c r="Q301" s="75">
        <f>IF(ISBLANK(P301),"",IF(D301="Stock",P301*G301,IF(P301=0,"0",G301*P301*100-(G301*$AF$14))))</f>
        <v/>
      </c>
      <c r="R301" s="79">
        <f>IF(P301&lt;&gt;"", TODAY(), "")</f>
        <v/>
      </c>
      <c r="S301" s="78">
        <f>IF(AND(K301&lt;&gt;"", R301&lt;&gt;""), R301-K301, "")</f>
        <v/>
      </c>
      <c r="T301" s="78" t="n"/>
      <c r="U301" s="92">
        <f>IF(ISBLANK(P301),"",IF(C301="Buy",Q301-M301+T301, IF(C301="Sell",M301-Q301-T301, X)))</f>
        <v/>
      </c>
      <c r="V301" s="81">
        <f>IF(ISBLANK(P301),"",U301/N301)</f>
        <v/>
      </c>
      <c r="W301" s="81">
        <f>IF(ISBLANK(P301),"",IF(S301=0,(365/0.5)*V301,(365/S301)*V301))</f>
        <v/>
      </c>
      <c r="X301" s="75" t="n"/>
      <c r="Y301" s="77" t="n"/>
      <c r="Z301" s="77" t="n"/>
      <c r="AA301" s="75" t="n"/>
      <c r="AB301" s="75" t="n"/>
      <c r="AC301" s="6" t="n"/>
      <c r="AD301" s="75" t="n"/>
      <c r="AE301" s="75" t="n"/>
      <c r="AF301" s="75" t="n"/>
    </row>
    <row r="302" ht="15.75" customHeight="1" s="133">
      <c r="A302" s="75" t="n"/>
      <c r="B302" s="75" t="n"/>
      <c r="C302" s="75" t="n"/>
      <c r="D302" s="75" t="n"/>
      <c r="E302" s="76" t="n"/>
      <c r="F302" s="77" t="n"/>
      <c r="G302" s="75" t="n"/>
      <c r="H302" s="75">
        <f>IF(ISBLANK(E302),"",IF(OR(D302="Butterfly",D302="Butterfly ",D302="Iron Fly", D302="Iron Fly "),LEN(E302)-LEN(SUBSTITUTE(E302,"/",""))+2,LEN(E302)-LEN(SUBSTITUTE(E302,"/",""))+1))</f>
        <v/>
      </c>
      <c r="I302" s="78">
        <f>IF(ISBLANK(G302),"",IF(D302="Stock","0",Key!$A$3*H302*G302))</f>
        <v/>
      </c>
      <c r="J302" s="78">
        <f>IF(ISBLANK(E302),"",IF(ISNUMBER(SEARCH("/",E302)), IF(LEN(E302)-LEN(SUBSTITUTE(E302,"/",""))=1,(RIGHT(E302,LEN(E302)-FIND("/",E302)))-(LEFT(E302,FIND("/",E302)-1)),(MID(E302, SEARCH("/",E302) + 1, SEARCH("/",E302, SEARCH("/",E302)+1) - SEARCH("/",E302) - 1))-(LEFT(E302,FIND("/",E302)-1))), "NA"))</f>
        <v/>
      </c>
      <c r="K302" s="79">
        <f>IF(A302&lt;&gt;"", IF(ISBLANK(L302), TODAY(), K302), "")</f>
        <v/>
      </c>
      <c r="L302" s="78" t="n"/>
      <c r="M302" s="78">
        <f>IF(ISBLANK(L302),"",IF(D302="Stock",IF(C302="Buy",L302*G302,IF(C302="Sell",(L302*G302)-I302, X)),IF(C302="Buy",(L302*G302*100)+I302,IF(C302="Sell",(L302*G302*100)-I302, X))))</f>
        <v/>
      </c>
      <c r="N302" s="78">
        <f>IF(ISBLANK(L302),"",IF(AND(C302="Sell",D302="Stock"),M302,IF(ISBLANK(L302),"",IF(C302="Buy",M302, IF(AND(C302="Sell",J302="NA"),(E302*G302*100*0.1)+I302, IF(C302="Sell",(J302-L302)*(100*G302)+I302))))))</f>
        <v/>
      </c>
      <c r="O302" s="75" t="n"/>
      <c r="P302" s="75" t="n"/>
      <c r="Q302" s="75">
        <f>IF(ISBLANK(P302),"",IF(D302="Stock",P302*G302,IF(P302=0,"0",G302*P302*100-(G302*$AF$14))))</f>
        <v/>
      </c>
      <c r="R302" s="79">
        <f>IF(P302&lt;&gt;"", TODAY(), "")</f>
        <v/>
      </c>
      <c r="S302" s="78">
        <f>IF(AND(K302&lt;&gt;"", R302&lt;&gt;""), R302-K302, "")</f>
        <v/>
      </c>
      <c r="T302" s="78" t="n"/>
      <c r="U302" s="92">
        <f>IF(ISBLANK(P302),"",IF(C302="Buy",Q302-M302+T302, IF(C302="Sell",M302-Q302-T302, X)))</f>
        <v/>
      </c>
      <c r="V302" s="81">
        <f>IF(ISBLANK(P302),"",U302/N302)</f>
        <v/>
      </c>
      <c r="W302" s="81">
        <f>IF(ISBLANK(P302),"",IF(S302=0,(365/0.5)*V302,(365/S302)*V302))</f>
        <v/>
      </c>
      <c r="X302" s="75" t="n"/>
      <c r="Y302" s="77" t="n"/>
      <c r="Z302" s="77" t="n"/>
      <c r="AA302" s="75" t="n"/>
      <c r="AB302" s="75" t="n"/>
      <c r="AC302" s="6" t="n"/>
      <c r="AD302" s="75" t="n"/>
      <c r="AE302" s="75" t="n"/>
      <c r="AF302" s="75" t="n"/>
    </row>
    <row r="303" ht="15.75" customHeight="1" s="133">
      <c r="A303" s="75" t="n"/>
      <c r="B303" s="75" t="n"/>
      <c r="C303" s="75" t="n"/>
      <c r="D303" s="75" t="n"/>
      <c r="E303" s="76" t="n"/>
      <c r="F303" s="77" t="n"/>
      <c r="G303" s="75" t="n"/>
      <c r="H303" s="75">
        <f>IF(ISBLANK(E303),"",IF(OR(D303="Butterfly",D303="Butterfly ",D303="Iron Fly", D303="Iron Fly "),LEN(E303)-LEN(SUBSTITUTE(E303,"/",""))+2,LEN(E303)-LEN(SUBSTITUTE(E303,"/",""))+1))</f>
        <v/>
      </c>
      <c r="I303" s="78">
        <f>IF(ISBLANK(G303),"",IF(D303="Stock","0",Key!$A$3*H303*G303))</f>
        <v/>
      </c>
      <c r="J303" s="78">
        <f>IF(ISBLANK(E303),"",IF(ISNUMBER(SEARCH("/",E303)), IF(LEN(E303)-LEN(SUBSTITUTE(E303,"/",""))=1,(RIGHT(E303,LEN(E303)-FIND("/",E303)))-(LEFT(E303,FIND("/",E303)-1)),(MID(E303, SEARCH("/",E303) + 1, SEARCH("/",E303, SEARCH("/",E303)+1) - SEARCH("/",E303) - 1))-(LEFT(E303,FIND("/",E303)-1))), "NA"))</f>
        <v/>
      </c>
      <c r="K303" s="79">
        <f>IF(A303&lt;&gt;"", IF(ISBLANK(L303), TODAY(), K303), "")</f>
        <v/>
      </c>
      <c r="L303" s="78" t="n"/>
      <c r="M303" s="78">
        <f>IF(ISBLANK(L303),"",IF(D303="Stock",IF(C303="Buy",L303*G303,IF(C303="Sell",(L303*G303)-I303, X)),IF(C303="Buy",(L303*G303*100)+I303,IF(C303="Sell",(L303*G303*100)-I303, X))))</f>
        <v/>
      </c>
      <c r="N303" s="78">
        <f>IF(ISBLANK(L303),"",IF(AND(C303="Sell",D303="Stock"),M303,IF(ISBLANK(L303),"",IF(C303="Buy",M303, IF(AND(C303="Sell",J303="NA"),(E303*G303*100*0.1)+I303, IF(C303="Sell",(J303-L303)*(100*G303)+I303))))))</f>
        <v/>
      </c>
      <c r="O303" s="75" t="n"/>
      <c r="P303" s="75" t="n"/>
      <c r="Q303" s="75">
        <f>IF(ISBLANK(P303),"",IF(D303="Stock",P303*G303,IF(P303=0,"0",G303*P303*100-(G303*$AF$14))))</f>
        <v/>
      </c>
      <c r="R303" s="79">
        <f>IF(P303&lt;&gt;"", TODAY(), "")</f>
        <v/>
      </c>
      <c r="S303" s="78">
        <f>IF(AND(K303&lt;&gt;"", R303&lt;&gt;""), R303-K303, "")</f>
        <v/>
      </c>
      <c r="T303" s="78" t="n"/>
      <c r="U303" s="92">
        <f>IF(ISBLANK(P303),"",IF(C303="Buy",Q303-M303+T303, IF(C303="Sell",M303-Q303-T303, X)))</f>
        <v/>
      </c>
      <c r="V303" s="81">
        <f>IF(ISBLANK(P303),"",U303/N303)</f>
        <v/>
      </c>
      <c r="W303" s="81">
        <f>IF(ISBLANK(P303),"",IF(S303=0,(365/0.5)*V303,(365/S303)*V303))</f>
        <v/>
      </c>
      <c r="X303" s="75" t="n"/>
      <c r="Y303" s="77" t="n"/>
      <c r="Z303" s="77" t="n"/>
      <c r="AA303" s="75" t="n"/>
      <c r="AB303" s="75" t="n"/>
      <c r="AC303" s="6" t="n"/>
      <c r="AD303" s="75" t="n"/>
      <c r="AE303" s="75" t="n"/>
      <c r="AF303" s="75" t="n"/>
    </row>
    <row r="304" ht="15.75" customHeight="1" s="133">
      <c r="A304" s="75" t="n"/>
      <c r="B304" s="75" t="n"/>
      <c r="C304" s="75" t="n"/>
      <c r="D304" s="75" t="n"/>
      <c r="E304" s="76" t="n"/>
      <c r="F304" s="77" t="n"/>
      <c r="G304" s="75" t="n"/>
      <c r="H304" s="75">
        <f>IF(ISBLANK(E304),"",IF(OR(D304="Butterfly",D304="Butterfly ",D304="Iron Fly", D304="Iron Fly "),LEN(E304)-LEN(SUBSTITUTE(E304,"/",""))+2,LEN(E304)-LEN(SUBSTITUTE(E304,"/",""))+1))</f>
        <v/>
      </c>
      <c r="I304" s="78">
        <f>IF(ISBLANK(G304),"",IF(D304="Stock","0",Key!$A$3*H304*G304))</f>
        <v/>
      </c>
      <c r="J304" s="78">
        <f>IF(ISBLANK(E304),"",IF(ISNUMBER(SEARCH("/",E304)), IF(LEN(E304)-LEN(SUBSTITUTE(E304,"/",""))=1,(RIGHT(E304,LEN(E304)-FIND("/",E304)))-(LEFT(E304,FIND("/",E304)-1)),(MID(E304, SEARCH("/",E304) + 1, SEARCH("/",E304, SEARCH("/",E304)+1) - SEARCH("/",E304) - 1))-(LEFT(E304,FIND("/",E304)-1))), "NA"))</f>
        <v/>
      </c>
      <c r="K304" s="79">
        <f>IF(A304&lt;&gt;"", IF(ISBLANK(L304), TODAY(), K304), "")</f>
        <v/>
      </c>
      <c r="L304" s="78" t="n"/>
      <c r="M304" s="78">
        <f>IF(ISBLANK(L304),"",IF(D304="Stock",IF(C304="Buy",L304*G304,IF(C304="Sell",(L304*G304)-I304, X)),IF(C304="Buy",(L304*G304*100)+I304,IF(C304="Sell",(L304*G304*100)-I304, X))))</f>
        <v/>
      </c>
      <c r="N304" s="78">
        <f>IF(ISBLANK(L304),"",IF(AND(C304="Sell",D304="Stock"),M304,IF(ISBLANK(L304),"",IF(C304="Buy",M304, IF(AND(C304="Sell",J304="NA"),(E304*G304*100*0.1)+I304, IF(C304="Sell",(J304-L304)*(100*G304)+I304))))))</f>
        <v/>
      </c>
      <c r="O304" s="75" t="n"/>
      <c r="P304" s="75" t="n"/>
      <c r="Q304" s="75">
        <f>IF(ISBLANK(P304),"",IF(D304="Stock",P304*G304,IF(P304=0,"0",G304*P304*100-(G304*$AF$14))))</f>
        <v/>
      </c>
      <c r="R304" s="79">
        <f>IF(P304&lt;&gt;"", TODAY(), "")</f>
        <v/>
      </c>
      <c r="S304" s="78">
        <f>IF(AND(K304&lt;&gt;"", R304&lt;&gt;""), R304-K304, "")</f>
        <v/>
      </c>
      <c r="T304" s="78" t="n"/>
      <c r="U304" s="92">
        <f>IF(ISBLANK(P304),"",IF(C304="Buy",Q304-M304+T304, IF(C304="Sell",M304-Q304-T304, X)))</f>
        <v/>
      </c>
      <c r="V304" s="81">
        <f>IF(ISBLANK(P304),"",U304/N304)</f>
        <v/>
      </c>
      <c r="W304" s="81">
        <f>IF(ISBLANK(P304),"",IF(S304=0,(365/0.5)*V304,(365/S304)*V304))</f>
        <v/>
      </c>
      <c r="X304" s="75" t="n"/>
      <c r="Y304" s="77" t="n"/>
      <c r="Z304" s="77" t="n"/>
      <c r="AA304" s="75" t="n"/>
      <c r="AB304" s="75" t="n"/>
      <c r="AC304" s="6" t="n"/>
      <c r="AD304" s="75" t="n"/>
      <c r="AE304" s="75" t="n"/>
      <c r="AF304" s="75" t="n"/>
    </row>
    <row r="305" ht="15.75" customHeight="1" s="133">
      <c r="A305" s="75" t="n"/>
      <c r="B305" s="75" t="n"/>
      <c r="C305" s="75" t="n"/>
      <c r="D305" s="75" t="n"/>
      <c r="E305" s="76" t="n"/>
      <c r="F305" s="77" t="n"/>
      <c r="G305" s="75" t="n"/>
      <c r="H305" s="75">
        <f>IF(ISBLANK(E305),"",IF(OR(D305="Butterfly",D305="Butterfly ",D305="Iron Fly", D305="Iron Fly "),LEN(E305)-LEN(SUBSTITUTE(E305,"/",""))+2,LEN(E305)-LEN(SUBSTITUTE(E305,"/",""))+1))</f>
        <v/>
      </c>
      <c r="I305" s="78">
        <f>IF(ISBLANK(G305),"",IF(D305="Stock","0",Key!$A$3*H305*G305))</f>
        <v/>
      </c>
      <c r="J305" s="78">
        <f>IF(ISBLANK(E305),"",IF(ISNUMBER(SEARCH("/",E305)), IF(LEN(E305)-LEN(SUBSTITUTE(E305,"/",""))=1,(RIGHT(E305,LEN(E305)-FIND("/",E305)))-(LEFT(E305,FIND("/",E305)-1)),(MID(E305, SEARCH("/",E305) + 1, SEARCH("/",E305, SEARCH("/",E305)+1) - SEARCH("/",E305) - 1))-(LEFT(E305,FIND("/",E305)-1))), "NA"))</f>
        <v/>
      </c>
      <c r="K305" s="79">
        <f>IF(A305&lt;&gt;"", IF(ISBLANK(L305), TODAY(), K305), "")</f>
        <v/>
      </c>
      <c r="L305" s="78" t="n"/>
      <c r="M305" s="78">
        <f>IF(ISBLANK(L305),"",IF(D305="Stock",IF(C305="Buy",L305*G305,IF(C305="Sell",(L305*G305)-I305, X)),IF(C305="Buy",(L305*G305*100)+I305,IF(C305="Sell",(L305*G305*100)-I305, X))))</f>
        <v/>
      </c>
      <c r="N305" s="78">
        <f>IF(ISBLANK(L305),"",IF(AND(C305="Sell",D305="Stock"),M305,IF(ISBLANK(L305),"",IF(C305="Buy",M305, IF(AND(C305="Sell",J305="NA"),(E305*G305*100*0.1)+I305, IF(C305="Sell",(J305-L305)*(100*G305)+I305))))))</f>
        <v/>
      </c>
      <c r="O305" s="75" t="n"/>
      <c r="P305" s="75" t="n"/>
      <c r="Q305" s="75">
        <f>IF(ISBLANK(P305),"",IF(D305="Stock",P305*G305,IF(P305=0,"0",G305*P305*100-(G305*$AF$14))))</f>
        <v/>
      </c>
      <c r="R305" s="79">
        <f>IF(P305&lt;&gt;"", TODAY(), "")</f>
        <v/>
      </c>
      <c r="S305" s="78">
        <f>IF(AND(K305&lt;&gt;"", R305&lt;&gt;""), R305-K305, "")</f>
        <v/>
      </c>
      <c r="T305" s="78" t="n"/>
      <c r="U305" s="92">
        <f>IF(ISBLANK(P305),"",IF(C305="Buy",Q305-M305+T305, IF(C305="Sell",M305-Q305-T305, X)))</f>
        <v/>
      </c>
      <c r="V305" s="81">
        <f>IF(ISBLANK(P305),"",U305/N305)</f>
        <v/>
      </c>
      <c r="W305" s="81">
        <f>IF(ISBLANK(P305),"",IF(S305=0,(365/0.5)*V305,(365/S305)*V305))</f>
        <v/>
      </c>
      <c r="X305" s="75" t="n"/>
      <c r="Y305" s="77" t="n"/>
      <c r="Z305" s="77" t="n"/>
      <c r="AA305" s="75" t="n"/>
      <c r="AB305" s="75" t="n"/>
      <c r="AC305" s="6" t="n"/>
      <c r="AD305" s="75" t="n"/>
      <c r="AE305" s="75" t="n"/>
      <c r="AF305" s="75" t="n"/>
    </row>
    <row r="306" ht="15.75" customHeight="1" s="133">
      <c r="A306" s="75" t="n"/>
      <c r="B306" s="75" t="n"/>
      <c r="C306" s="75" t="n"/>
      <c r="D306" s="75" t="n"/>
      <c r="E306" s="76" t="n"/>
      <c r="F306" s="77" t="n"/>
      <c r="G306" s="75" t="n"/>
      <c r="H306" s="75">
        <f>IF(ISBLANK(E306),"",IF(OR(D306="Butterfly",D306="Butterfly ",D306="Iron Fly", D306="Iron Fly "),LEN(E306)-LEN(SUBSTITUTE(E306,"/",""))+2,LEN(E306)-LEN(SUBSTITUTE(E306,"/",""))+1))</f>
        <v/>
      </c>
      <c r="I306" s="78">
        <f>IF(ISBLANK(G306),"",IF(D306="Stock","0",Key!$A$3*H306*G306))</f>
        <v/>
      </c>
      <c r="J306" s="78">
        <f>IF(ISBLANK(E306),"",IF(ISNUMBER(SEARCH("/",E306)), IF(LEN(E306)-LEN(SUBSTITUTE(E306,"/",""))=1,(RIGHT(E306,LEN(E306)-FIND("/",E306)))-(LEFT(E306,FIND("/",E306)-1)),(MID(E306, SEARCH("/",E306) + 1, SEARCH("/",E306, SEARCH("/",E306)+1) - SEARCH("/",E306) - 1))-(LEFT(E306,FIND("/",E306)-1))), "NA"))</f>
        <v/>
      </c>
      <c r="K306" s="79">
        <f>IF(A306&lt;&gt;"", IF(ISBLANK(L306), TODAY(), K306), "")</f>
        <v/>
      </c>
      <c r="L306" s="78" t="n"/>
      <c r="M306" s="78">
        <f>IF(ISBLANK(L306),"",IF(D306="Stock",IF(C306="Buy",L306*G306,IF(C306="Sell",(L306*G306)-I306, X)),IF(C306="Buy",(L306*G306*100)+I306,IF(C306="Sell",(L306*G306*100)-I306, X))))</f>
        <v/>
      </c>
      <c r="N306" s="78">
        <f>IF(ISBLANK(L306),"",IF(AND(C306="Sell",D306="Stock"),M306,IF(ISBLANK(L306),"",IF(C306="Buy",M306, IF(AND(C306="Sell",J306="NA"),(E306*G306*100*0.1)+I306, IF(C306="Sell",(J306-L306)*(100*G306)+I306))))))</f>
        <v/>
      </c>
      <c r="O306" s="75" t="n"/>
      <c r="P306" s="75" t="n"/>
      <c r="Q306" s="75">
        <f>IF(ISBLANK(P306),"",IF(D306="Stock",P306*G306,IF(P306=0,"0",G306*P306*100-(G306*$AF$14))))</f>
        <v/>
      </c>
      <c r="R306" s="79">
        <f>IF(P306&lt;&gt;"", TODAY(), "")</f>
        <v/>
      </c>
      <c r="S306" s="78">
        <f>IF(AND(K306&lt;&gt;"", R306&lt;&gt;""), R306-K306, "")</f>
        <v/>
      </c>
      <c r="T306" s="78" t="n"/>
      <c r="U306" s="92">
        <f>IF(ISBLANK(P306),"",IF(C306="Buy",Q306-M306+T306, IF(C306="Sell",M306-Q306-T306, X)))</f>
        <v/>
      </c>
      <c r="V306" s="81">
        <f>IF(ISBLANK(P306),"",U306/N306)</f>
        <v/>
      </c>
      <c r="W306" s="81">
        <f>IF(ISBLANK(P306),"",IF(S306=0,(365/0.5)*V306,(365/S306)*V306))</f>
        <v/>
      </c>
      <c r="X306" s="75" t="n"/>
      <c r="Y306" s="77" t="n"/>
      <c r="Z306" s="77" t="n"/>
      <c r="AA306" s="75" t="n"/>
      <c r="AB306" s="75" t="n"/>
      <c r="AC306" s="6" t="n"/>
      <c r="AD306" s="75" t="n"/>
      <c r="AE306" s="75" t="n"/>
      <c r="AF306" s="75" t="n"/>
    </row>
    <row r="307" ht="15.75" customHeight="1" s="133">
      <c r="A307" s="75" t="n"/>
      <c r="B307" s="75" t="n"/>
      <c r="C307" s="75" t="n"/>
      <c r="D307" s="75" t="n"/>
      <c r="E307" s="76" t="n"/>
      <c r="F307" s="77" t="n"/>
      <c r="G307" s="75" t="n"/>
      <c r="H307" s="75">
        <f>IF(ISBLANK(E307),"",IF(OR(D307="Butterfly",D307="Butterfly ",D307="Iron Fly", D307="Iron Fly "),LEN(E307)-LEN(SUBSTITUTE(E307,"/",""))+2,LEN(E307)-LEN(SUBSTITUTE(E307,"/",""))+1))</f>
        <v/>
      </c>
      <c r="I307" s="78">
        <f>IF(ISBLANK(G307),"",IF(D307="Stock","0",Key!$A$3*H307*G307))</f>
        <v/>
      </c>
      <c r="J307" s="78">
        <f>IF(ISBLANK(E307),"",IF(ISNUMBER(SEARCH("/",E307)), IF(LEN(E307)-LEN(SUBSTITUTE(E307,"/",""))=1,(RIGHT(E307,LEN(E307)-FIND("/",E307)))-(LEFT(E307,FIND("/",E307)-1)),(MID(E307, SEARCH("/",E307) + 1, SEARCH("/",E307, SEARCH("/",E307)+1) - SEARCH("/",E307) - 1))-(LEFT(E307,FIND("/",E307)-1))), "NA"))</f>
        <v/>
      </c>
      <c r="K307" s="79">
        <f>IF(A307&lt;&gt;"", IF(ISBLANK(L307), TODAY(), K307), "")</f>
        <v/>
      </c>
      <c r="L307" s="78" t="n"/>
      <c r="M307" s="78">
        <f>IF(ISBLANK(L307),"",IF(D307="Stock",IF(C307="Buy",L307*G307,IF(C307="Sell",(L307*G307)-I307, X)),IF(C307="Buy",(L307*G307*100)+I307,IF(C307="Sell",(L307*G307*100)-I307, X))))</f>
        <v/>
      </c>
      <c r="N307" s="78">
        <f>IF(ISBLANK(L307),"",IF(AND(C307="Sell",D307="Stock"),M307,IF(ISBLANK(L307),"",IF(C307="Buy",M307, IF(AND(C307="Sell",J307="NA"),(E307*G307*100*0.1)+I307, IF(C307="Sell",(J307-L307)*(100*G307)+I307))))))</f>
        <v/>
      </c>
      <c r="O307" s="75" t="n"/>
      <c r="P307" s="75" t="n"/>
      <c r="Q307" s="75">
        <f>IF(ISBLANK(P307),"",IF(D307="Stock",P307*G307,IF(P307=0,"0",G307*P307*100-(G307*$AF$14))))</f>
        <v/>
      </c>
      <c r="R307" s="79">
        <f>IF(P307&lt;&gt;"", TODAY(), "")</f>
        <v/>
      </c>
      <c r="S307" s="78">
        <f>IF(AND(K307&lt;&gt;"", R307&lt;&gt;""), R307-K307, "")</f>
        <v/>
      </c>
      <c r="T307" s="78" t="n"/>
      <c r="U307" s="92">
        <f>IF(ISBLANK(P307),"",IF(C307="Buy",Q307-M307+T307, IF(C307="Sell",M307-Q307-T307, X)))</f>
        <v/>
      </c>
      <c r="V307" s="81">
        <f>IF(ISBLANK(P307),"",U307/N307)</f>
        <v/>
      </c>
      <c r="W307" s="81">
        <f>IF(ISBLANK(P307),"",IF(S307=0,(365/0.5)*V307,(365/S307)*V307))</f>
        <v/>
      </c>
      <c r="X307" s="75" t="n"/>
      <c r="Y307" s="77" t="n"/>
      <c r="Z307" s="77" t="n"/>
      <c r="AA307" s="75" t="n"/>
      <c r="AB307" s="75" t="n"/>
      <c r="AC307" s="6" t="n"/>
      <c r="AD307" s="75" t="n"/>
      <c r="AE307" s="75" t="n"/>
      <c r="AF307" s="75" t="n"/>
    </row>
    <row r="308" ht="15.75" customHeight="1" s="133">
      <c r="A308" s="75" t="n"/>
      <c r="B308" s="75" t="n"/>
      <c r="C308" s="75" t="n"/>
      <c r="D308" s="75" t="n"/>
      <c r="E308" s="76" t="n"/>
      <c r="F308" s="77" t="n"/>
      <c r="G308" s="75" t="n"/>
      <c r="H308" s="75">
        <f>IF(ISBLANK(E308),"",IF(OR(D308="Butterfly",D308="Butterfly ",D308="Iron Fly", D308="Iron Fly "),LEN(E308)-LEN(SUBSTITUTE(E308,"/",""))+2,LEN(E308)-LEN(SUBSTITUTE(E308,"/",""))+1))</f>
        <v/>
      </c>
      <c r="I308" s="78">
        <f>IF(ISBLANK(G308),"",IF(D308="Stock","0",Key!$A$3*H308*G308))</f>
        <v/>
      </c>
      <c r="J308" s="78">
        <f>IF(ISBLANK(E308),"",IF(ISNUMBER(SEARCH("/",E308)), IF(LEN(E308)-LEN(SUBSTITUTE(E308,"/",""))=1,(RIGHT(E308,LEN(E308)-FIND("/",E308)))-(LEFT(E308,FIND("/",E308)-1)),(MID(E308, SEARCH("/",E308) + 1, SEARCH("/",E308, SEARCH("/",E308)+1) - SEARCH("/",E308) - 1))-(LEFT(E308,FIND("/",E308)-1))), "NA"))</f>
        <v/>
      </c>
      <c r="K308" s="79">
        <f>IF(A308&lt;&gt;"", IF(ISBLANK(L308), TODAY(), K308), "")</f>
        <v/>
      </c>
      <c r="L308" s="78" t="n"/>
      <c r="M308" s="78">
        <f>IF(ISBLANK(L308),"",IF(D308="Stock",IF(C308="Buy",L308*G308,IF(C308="Sell",(L308*G308)-I308, X)),IF(C308="Buy",(L308*G308*100)+I308,IF(C308="Sell",(L308*G308*100)-I308, X))))</f>
        <v/>
      </c>
      <c r="N308" s="78">
        <f>IF(ISBLANK(L308),"",IF(AND(C308="Sell",D308="Stock"),M308,IF(ISBLANK(L308),"",IF(C308="Buy",M308, IF(AND(C308="Sell",J308="NA"),(E308*G308*100*0.1)+I308, IF(C308="Sell",(J308-L308)*(100*G308)+I308))))))</f>
        <v/>
      </c>
      <c r="O308" s="75" t="n"/>
      <c r="P308" s="75" t="n"/>
      <c r="Q308" s="75">
        <f>IF(ISBLANK(P308),"",IF(D308="Stock",P308*G308,IF(P308=0,"0",G308*P308*100-(G308*$AF$14))))</f>
        <v/>
      </c>
      <c r="R308" s="79">
        <f>IF(P308&lt;&gt;"", TODAY(), "")</f>
        <v/>
      </c>
      <c r="S308" s="78">
        <f>IF(AND(K308&lt;&gt;"", R308&lt;&gt;""), R308-K308, "")</f>
        <v/>
      </c>
      <c r="T308" s="78" t="n"/>
      <c r="U308" s="92">
        <f>IF(ISBLANK(P308),"",IF(C308="Buy",Q308-M308+T308, IF(C308="Sell",M308-Q308-T308, X)))</f>
        <v/>
      </c>
      <c r="V308" s="81">
        <f>IF(ISBLANK(P308),"",U308/N308)</f>
        <v/>
      </c>
      <c r="W308" s="81">
        <f>IF(ISBLANK(P308),"",IF(S308=0,(365/0.5)*V308,(365/S308)*V308))</f>
        <v/>
      </c>
      <c r="X308" s="75" t="n"/>
      <c r="Y308" s="77" t="n"/>
      <c r="Z308" s="77" t="n"/>
      <c r="AA308" s="75" t="n"/>
      <c r="AB308" s="75" t="n"/>
      <c r="AC308" s="6" t="n"/>
      <c r="AD308" s="75" t="n"/>
      <c r="AE308" s="75" t="n"/>
      <c r="AF308" s="75" t="n"/>
    </row>
    <row r="309" ht="15.75" customHeight="1" s="133">
      <c r="A309" s="75" t="n"/>
      <c r="B309" s="75" t="n"/>
      <c r="C309" s="75" t="n"/>
      <c r="D309" s="75" t="n"/>
      <c r="E309" s="76" t="n"/>
      <c r="F309" s="77" t="n"/>
      <c r="G309" s="75" t="n"/>
      <c r="H309" s="75">
        <f>IF(ISBLANK(E309),"",IF(OR(D309="Butterfly",D309="Butterfly ",D309="Iron Fly", D309="Iron Fly "),LEN(E309)-LEN(SUBSTITUTE(E309,"/",""))+2,LEN(E309)-LEN(SUBSTITUTE(E309,"/",""))+1))</f>
        <v/>
      </c>
      <c r="I309" s="78">
        <f>IF(ISBLANK(G309),"",IF(D309="Stock","0",Key!$A$3*H309*G309))</f>
        <v/>
      </c>
      <c r="J309" s="78">
        <f>IF(ISBLANK(E309),"",IF(ISNUMBER(SEARCH("/",E309)), IF(LEN(E309)-LEN(SUBSTITUTE(E309,"/",""))=1,(RIGHT(E309,LEN(E309)-FIND("/",E309)))-(LEFT(E309,FIND("/",E309)-1)),(MID(E309, SEARCH("/",E309) + 1, SEARCH("/",E309, SEARCH("/",E309)+1) - SEARCH("/",E309) - 1))-(LEFT(E309,FIND("/",E309)-1))), "NA"))</f>
        <v/>
      </c>
      <c r="K309" s="79">
        <f>IF(A309&lt;&gt;"", IF(ISBLANK(L309), TODAY(), K309), "")</f>
        <v/>
      </c>
      <c r="L309" s="78" t="n"/>
      <c r="M309" s="78">
        <f>IF(ISBLANK(L309),"",IF(D309="Stock",IF(C309="Buy",L309*G309,IF(C309="Sell",(L309*G309)-I309, X)),IF(C309="Buy",(L309*G309*100)+I309,IF(C309="Sell",(L309*G309*100)-I309, X))))</f>
        <v/>
      </c>
      <c r="N309" s="78">
        <f>IF(ISBLANK(L309),"",IF(AND(C309="Sell",D309="Stock"),M309,IF(ISBLANK(L309),"",IF(C309="Buy",M309, IF(AND(C309="Sell",J309="NA"),(E309*G309*100*0.1)+I309, IF(C309="Sell",(J309-L309)*(100*G309)+I309))))))</f>
        <v/>
      </c>
      <c r="O309" s="75" t="n"/>
      <c r="P309" s="75" t="n"/>
      <c r="Q309" s="75">
        <f>IF(ISBLANK(P309),"",IF(D309="Stock",P309*G309,IF(P309=0,"0",G309*P309*100-(G309*$AF$14))))</f>
        <v/>
      </c>
      <c r="R309" s="79">
        <f>IF(P309&lt;&gt;"", TODAY(), "")</f>
        <v/>
      </c>
      <c r="S309" s="78">
        <f>IF(AND(K309&lt;&gt;"", R309&lt;&gt;""), R309-K309, "")</f>
        <v/>
      </c>
      <c r="T309" s="78" t="n"/>
      <c r="U309" s="92">
        <f>IF(ISBLANK(P309),"",IF(C309="Buy",Q309-M309+T309, IF(C309="Sell",M309-Q309-T309, X)))</f>
        <v/>
      </c>
      <c r="V309" s="81">
        <f>IF(ISBLANK(P309),"",U309/N309)</f>
        <v/>
      </c>
      <c r="W309" s="81">
        <f>IF(ISBLANK(P309),"",IF(S309=0,(365/0.5)*V309,(365/S309)*V309))</f>
        <v/>
      </c>
      <c r="X309" s="75" t="n"/>
      <c r="Y309" s="77" t="n"/>
      <c r="Z309" s="77" t="n"/>
      <c r="AA309" s="75" t="n"/>
      <c r="AB309" s="75" t="n"/>
      <c r="AC309" s="6" t="n"/>
      <c r="AD309" s="75" t="n"/>
      <c r="AE309" s="75" t="n"/>
      <c r="AF309" s="75" t="n"/>
    </row>
    <row r="310" ht="15.75" customHeight="1" s="133">
      <c r="A310" s="75" t="n"/>
      <c r="B310" s="75" t="n"/>
      <c r="C310" s="75" t="n"/>
      <c r="D310" s="75" t="n"/>
      <c r="E310" s="76" t="n"/>
      <c r="F310" s="77" t="n"/>
      <c r="G310" s="75" t="n"/>
      <c r="H310" s="75">
        <f>IF(ISBLANK(E310),"",IF(OR(D310="Butterfly",D310="Butterfly ",D310="Iron Fly", D310="Iron Fly "),LEN(E310)-LEN(SUBSTITUTE(E310,"/",""))+2,LEN(E310)-LEN(SUBSTITUTE(E310,"/",""))+1))</f>
        <v/>
      </c>
      <c r="I310" s="78">
        <f>IF(ISBLANK(G310),"",IF(D310="Stock","0",Key!$A$3*H310*G310))</f>
        <v/>
      </c>
      <c r="J310" s="78">
        <f>IF(ISBLANK(E310),"",IF(ISNUMBER(SEARCH("/",E310)), IF(LEN(E310)-LEN(SUBSTITUTE(E310,"/",""))=1,(RIGHT(E310,LEN(E310)-FIND("/",E310)))-(LEFT(E310,FIND("/",E310)-1)),(MID(E310, SEARCH("/",E310) + 1, SEARCH("/",E310, SEARCH("/",E310)+1) - SEARCH("/",E310) - 1))-(LEFT(E310,FIND("/",E310)-1))), "NA"))</f>
        <v/>
      </c>
      <c r="K310" s="79">
        <f>IF(A310&lt;&gt;"", IF(ISBLANK(L310), TODAY(), K310), "")</f>
        <v/>
      </c>
      <c r="L310" s="78" t="n"/>
      <c r="M310" s="78">
        <f>IF(ISBLANK(L310),"",IF(D310="Stock",IF(C310="Buy",L310*G310,IF(C310="Sell",(L310*G310)-I310, X)),IF(C310="Buy",(L310*G310*100)+I310,IF(C310="Sell",(L310*G310*100)-I310, X))))</f>
        <v/>
      </c>
      <c r="N310" s="78">
        <f>IF(ISBLANK(L310),"",IF(AND(C310="Sell",D310="Stock"),M310,IF(ISBLANK(L310),"",IF(C310="Buy",M310, IF(AND(C310="Sell",J310="NA"),(E310*G310*100*0.1)+I310, IF(C310="Sell",(J310-L310)*(100*G310)+I310))))))</f>
        <v/>
      </c>
      <c r="O310" s="75" t="n"/>
      <c r="P310" s="75" t="n"/>
      <c r="Q310" s="75">
        <f>IF(ISBLANK(P310),"",IF(D310="Stock",P310*G310,IF(P310=0,"0",G310*P310*100-(G310*$AF$14))))</f>
        <v/>
      </c>
      <c r="R310" s="79">
        <f>IF(P310&lt;&gt;"", TODAY(), "")</f>
        <v/>
      </c>
      <c r="S310" s="78">
        <f>IF(AND(K310&lt;&gt;"", R310&lt;&gt;""), R310-K310, "")</f>
        <v/>
      </c>
      <c r="T310" s="78" t="n"/>
      <c r="U310" s="92">
        <f>IF(ISBLANK(P310),"",IF(C310="Buy",Q310-M310+T310, IF(C310="Sell",M310-Q310-T310, X)))</f>
        <v/>
      </c>
      <c r="V310" s="81">
        <f>IF(ISBLANK(P310),"",U310/N310)</f>
        <v/>
      </c>
      <c r="W310" s="81">
        <f>IF(ISBLANK(P310),"",IF(S310=0,(365/0.5)*V310,(365/S310)*V310))</f>
        <v/>
      </c>
      <c r="X310" s="75" t="n"/>
      <c r="Y310" s="77" t="n"/>
      <c r="Z310" s="77" t="n"/>
      <c r="AA310" s="75" t="n"/>
      <c r="AB310" s="75" t="n"/>
      <c r="AC310" s="6" t="n"/>
      <c r="AD310" s="75" t="n"/>
      <c r="AE310" s="75" t="n"/>
      <c r="AF310" s="75" t="n"/>
    </row>
    <row r="311" ht="15.75" customHeight="1" s="133">
      <c r="A311" s="75" t="n"/>
      <c r="B311" s="75" t="n"/>
      <c r="C311" s="75" t="n"/>
      <c r="D311" s="75" t="n"/>
      <c r="E311" s="76" t="n"/>
      <c r="F311" s="77" t="n"/>
      <c r="G311" s="75" t="n"/>
      <c r="H311" s="75">
        <f>IF(ISBLANK(E311),"",IF(OR(D311="Butterfly",D311="Butterfly ",D311="Iron Fly", D311="Iron Fly "),LEN(E311)-LEN(SUBSTITUTE(E311,"/",""))+2,LEN(E311)-LEN(SUBSTITUTE(E311,"/",""))+1))</f>
        <v/>
      </c>
      <c r="I311" s="78">
        <f>IF(ISBLANK(G311),"",IF(D311="Stock","0",Key!$A$3*H311*G311))</f>
        <v/>
      </c>
      <c r="J311" s="78">
        <f>IF(ISBLANK(E311),"",IF(ISNUMBER(SEARCH("/",E311)), IF(LEN(E311)-LEN(SUBSTITUTE(E311,"/",""))=1,(RIGHT(E311,LEN(E311)-FIND("/",E311)))-(LEFT(E311,FIND("/",E311)-1)),(MID(E311, SEARCH("/",E311) + 1, SEARCH("/",E311, SEARCH("/",E311)+1) - SEARCH("/",E311) - 1))-(LEFT(E311,FIND("/",E311)-1))), "NA"))</f>
        <v/>
      </c>
      <c r="K311" s="79">
        <f>IF(A311&lt;&gt;"", IF(ISBLANK(L311), TODAY(), K311), "")</f>
        <v/>
      </c>
      <c r="L311" s="78" t="n"/>
      <c r="M311" s="78">
        <f>IF(ISBLANK(L311),"",IF(D311="Stock",IF(C311="Buy",L311*G311,IF(C311="Sell",(L311*G311)-I311, X)),IF(C311="Buy",(L311*G311*100)+I311,IF(C311="Sell",(L311*G311*100)-I311, X))))</f>
        <v/>
      </c>
      <c r="N311" s="78">
        <f>IF(ISBLANK(L311),"",IF(AND(C311="Sell",D311="Stock"),M311,IF(ISBLANK(L311),"",IF(C311="Buy",M311, IF(AND(C311="Sell",J311="NA"),(E311*G311*100*0.1)+I311, IF(C311="Sell",(J311-L311)*(100*G311)+I311))))))</f>
        <v/>
      </c>
      <c r="O311" s="75" t="n"/>
      <c r="P311" s="75" t="n"/>
      <c r="Q311" s="75">
        <f>IF(ISBLANK(P311),"",IF(D311="Stock",P311*G311,IF(P311=0,"0",G311*P311*100-(G311*$AF$14))))</f>
        <v/>
      </c>
      <c r="R311" s="79">
        <f>IF(P311&lt;&gt;"", TODAY(), "")</f>
        <v/>
      </c>
      <c r="S311" s="78">
        <f>IF(AND(K311&lt;&gt;"", R311&lt;&gt;""), R311-K311, "")</f>
        <v/>
      </c>
      <c r="T311" s="78" t="n"/>
      <c r="U311" s="92">
        <f>IF(ISBLANK(P311),"",IF(C311="Buy",Q311-M311+T311, IF(C311="Sell",M311-Q311-T311, X)))</f>
        <v/>
      </c>
      <c r="V311" s="81">
        <f>IF(ISBLANK(P311),"",U311/N311)</f>
        <v/>
      </c>
      <c r="W311" s="81">
        <f>IF(ISBLANK(P311),"",IF(S311=0,(365/0.5)*V311,(365/S311)*V311))</f>
        <v/>
      </c>
      <c r="X311" s="75" t="n"/>
      <c r="Y311" s="77" t="n"/>
      <c r="Z311" s="77" t="n"/>
      <c r="AA311" s="75" t="n"/>
      <c r="AB311" s="75" t="n"/>
      <c r="AC311" s="6" t="n"/>
      <c r="AD311" s="75" t="n"/>
      <c r="AE311" s="75" t="n"/>
      <c r="AF311" s="75" t="n"/>
    </row>
    <row r="312" ht="15.75" customHeight="1" s="133">
      <c r="A312" s="75" t="n"/>
      <c r="B312" s="75" t="n"/>
      <c r="C312" s="75" t="n"/>
      <c r="D312" s="75" t="n"/>
      <c r="E312" s="76" t="n"/>
      <c r="F312" s="77" t="n"/>
      <c r="G312" s="75" t="n"/>
      <c r="H312" s="75">
        <f>IF(ISBLANK(E312),"",IF(OR(D312="Butterfly",D312="Butterfly ",D312="Iron Fly", D312="Iron Fly "),LEN(E312)-LEN(SUBSTITUTE(E312,"/",""))+2,LEN(E312)-LEN(SUBSTITUTE(E312,"/",""))+1))</f>
        <v/>
      </c>
      <c r="I312" s="78">
        <f>IF(ISBLANK(G312),"",IF(D312="Stock","0",Key!$A$3*H312*G312))</f>
        <v/>
      </c>
      <c r="J312" s="78">
        <f>IF(ISBLANK(E312),"",IF(ISNUMBER(SEARCH("/",E312)), IF(LEN(E312)-LEN(SUBSTITUTE(E312,"/",""))=1,(RIGHT(E312,LEN(E312)-FIND("/",E312)))-(LEFT(E312,FIND("/",E312)-1)),(MID(E312, SEARCH("/",E312) + 1, SEARCH("/",E312, SEARCH("/",E312)+1) - SEARCH("/",E312) - 1))-(LEFT(E312,FIND("/",E312)-1))), "NA"))</f>
        <v/>
      </c>
      <c r="K312" s="79">
        <f>IF(A312&lt;&gt;"", IF(ISBLANK(L312), TODAY(), K312), "")</f>
        <v/>
      </c>
      <c r="L312" s="78" t="n"/>
      <c r="M312" s="78">
        <f>IF(ISBLANK(L312),"",IF(D312="Stock",IF(C312="Buy",L312*G312,IF(C312="Sell",(L312*G312)-I312, X)),IF(C312="Buy",(L312*G312*100)+I312,IF(C312="Sell",(L312*G312*100)-I312, X))))</f>
        <v/>
      </c>
      <c r="N312" s="78">
        <f>IF(ISBLANK(L312),"",IF(AND(C312="Sell",D312="Stock"),M312,IF(ISBLANK(L312),"",IF(C312="Buy",M312, IF(AND(C312="Sell",J312="NA"),(E312*G312*100*0.1)+I312, IF(C312="Sell",(J312-L312)*(100*G312)+I312))))))</f>
        <v/>
      </c>
      <c r="O312" s="75" t="n"/>
      <c r="P312" s="75" t="n"/>
      <c r="Q312" s="75">
        <f>IF(ISBLANK(P312),"",IF(D312="Stock",P312*G312,IF(P312=0,"0",G312*P312*100-(G312*$AF$14))))</f>
        <v/>
      </c>
      <c r="R312" s="79">
        <f>IF(P312&lt;&gt;"", TODAY(), "")</f>
        <v/>
      </c>
      <c r="S312" s="78">
        <f>IF(AND(K312&lt;&gt;"", R312&lt;&gt;""), R312-K312, "")</f>
        <v/>
      </c>
      <c r="T312" s="78" t="n"/>
      <c r="U312" s="92">
        <f>IF(ISBLANK(P312),"",IF(C312="Buy",Q312-M312+T312, IF(C312="Sell",M312-Q312-T312, X)))</f>
        <v/>
      </c>
      <c r="V312" s="81">
        <f>IF(ISBLANK(P312),"",U312/N312)</f>
        <v/>
      </c>
      <c r="W312" s="81">
        <f>IF(ISBLANK(P312),"",IF(S312=0,(365/0.5)*V312,(365/S312)*V312))</f>
        <v/>
      </c>
      <c r="X312" s="75" t="n"/>
      <c r="Y312" s="77" t="n"/>
      <c r="Z312" s="77" t="n"/>
      <c r="AA312" s="75" t="n"/>
      <c r="AB312" s="75" t="n"/>
      <c r="AC312" s="6" t="n"/>
      <c r="AD312" s="75" t="n"/>
      <c r="AE312" s="75" t="n"/>
      <c r="AF312" s="75" t="n"/>
    </row>
    <row r="313" ht="15.75" customHeight="1" s="133">
      <c r="A313" s="75" t="n"/>
      <c r="B313" s="75" t="n"/>
      <c r="C313" s="75" t="n"/>
      <c r="D313" s="75" t="n"/>
      <c r="E313" s="76" t="n"/>
      <c r="F313" s="77" t="n"/>
      <c r="G313" s="75" t="n"/>
      <c r="H313" s="75">
        <f>IF(ISBLANK(E313),"",IF(OR(D313="Butterfly",D313="Butterfly ",D313="Iron Fly", D313="Iron Fly "),LEN(E313)-LEN(SUBSTITUTE(E313,"/",""))+2,LEN(E313)-LEN(SUBSTITUTE(E313,"/",""))+1))</f>
        <v/>
      </c>
      <c r="I313" s="78">
        <f>IF(ISBLANK(G313),"",IF(D313="Stock","0",Key!$A$3*H313*G313))</f>
        <v/>
      </c>
      <c r="J313" s="78">
        <f>IF(ISBLANK(E313),"",IF(ISNUMBER(SEARCH("/",E313)), IF(LEN(E313)-LEN(SUBSTITUTE(E313,"/",""))=1,(RIGHT(E313,LEN(E313)-FIND("/",E313)))-(LEFT(E313,FIND("/",E313)-1)),(MID(E313, SEARCH("/",E313) + 1, SEARCH("/",E313, SEARCH("/",E313)+1) - SEARCH("/",E313) - 1))-(LEFT(E313,FIND("/",E313)-1))), "NA"))</f>
        <v/>
      </c>
      <c r="K313" s="79">
        <f>IF(A313&lt;&gt;"", IF(ISBLANK(L313), TODAY(), K313), "")</f>
        <v/>
      </c>
      <c r="L313" s="78" t="n"/>
      <c r="M313" s="78">
        <f>IF(ISBLANK(L313),"",IF(D313="Stock",IF(C313="Buy",L313*G313,IF(C313="Sell",(L313*G313)-I313, X)),IF(C313="Buy",(L313*G313*100)+I313,IF(C313="Sell",(L313*G313*100)-I313, X))))</f>
        <v/>
      </c>
      <c r="N313" s="78">
        <f>IF(ISBLANK(L313),"",IF(AND(C313="Sell",D313="Stock"),M313,IF(ISBLANK(L313),"",IF(C313="Buy",M313, IF(AND(C313="Sell",J313="NA"),(E313*G313*100*0.1)+I313, IF(C313="Sell",(J313-L313)*(100*G313)+I313))))))</f>
        <v/>
      </c>
      <c r="O313" s="75" t="n"/>
      <c r="P313" s="75" t="n"/>
      <c r="Q313" s="75">
        <f>IF(ISBLANK(P313),"",IF(D313="Stock",P313*G313,IF(P313=0,"0",G313*P313*100-(G313*$AF$14))))</f>
        <v/>
      </c>
      <c r="R313" s="79">
        <f>IF(P313&lt;&gt;"", TODAY(), "")</f>
        <v/>
      </c>
      <c r="S313" s="78">
        <f>IF(AND(K313&lt;&gt;"", R313&lt;&gt;""), R313-K313, "")</f>
        <v/>
      </c>
      <c r="T313" s="78" t="n"/>
      <c r="U313" s="92">
        <f>IF(ISBLANK(P313),"",IF(C313="Buy",Q313-M313+T313, IF(C313="Sell",M313-Q313-T313, X)))</f>
        <v/>
      </c>
      <c r="V313" s="81">
        <f>IF(ISBLANK(P313),"",U313/N313)</f>
        <v/>
      </c>
      <c r="W313" s="81">
        <f>IF(ISBLANK(P313),"",IF(S313=0,(365/0.5)*V313,(365/S313)*V313))</f>
        <v/>
      </c>
      <c r="X313" s="75" t="n"/>
      <c r="Y313" s="77" t="n"/>
      <c r="Z313" s="77" t="n"/>
      <c r="AA313" s="75" t="n"/>
      <c r="AB313" s="75" t="n"/>
      <c r="AC313" s="6" t="n"/>
      <c r="AD313" s="75" t="n"/>
      <c r="AE313" s="75" t="n"/>
      <c r="AF313" s="75" t="n"/>
    </row>
    <row r="314" ht="15.75" customHeight="1" s="133">
      <c r="A314" s="75" t="n"/>
      <c r="B314" s="75" t="n"/>
      <c r="C314" s="75" t="n"/>
      <c r="D314" s="75" t="n"/>
      <c r="E314" s="76" t="n"/>
      <c r="F314" s="77" t="n"/>
      <c r="G314" s="75" t="n"/>
      <c r="H314" s="75">
        <f>IF(ISBLANK(E314),"",IF(OR(D314="Butterfly",D314="Butterfly ",D314="Iron Fly", D314="Iron Fly "),LEN(E314)-LEN(SUBSTITUTE(E314,"/",""))+2,LEN(E314)-LEN(SUBSTITUTE(E314,"/",""))+1))</f>
        <v/>
      </c>
      <c r="I314" s="78">
        <f>IF(ISBLANK(G314),"",IF(D314="Stock","0",Key!$A$3*H314*G314))</f>
        <v/>
      </c>
      <c r="J314" s="78">
        <f>IF(ISBLANK(E314),"",IF(ISNUMBER(SEARCH("/",E314)), IF(LEN(E314)-LEN(SUBSTITUTE(E314,"/",""))=1,(RIGHT(E314,LEN(E314)-FIND("/",E314)))-(LEFT(E314,FIND("/",E314)-1)),(MID(E314, SEARCH("/",E314) + 1, SEARCH("/",E314, SEARCH("/",E314)+1) - SEARCH("/",E314) - 1))-(LEFT(E314,FIND("/",E314)-1))), "NA"))</f>
        <v/>
      </c>
      <c r="K314" s="79">
        <f>IF(A314&lt;&gt;"", IF(ISBLANK(L314), TODAY(), K314), "")</f>
        <v/>
      </c>
      <c r="L314" s="78" t="n"/>
      <c r="M314" s="78">
        <f>IF(ISBLANK(L314),"",IF(D314="Stock",IF(C314="Buy",L314*G314,IF(C314="Sell",(L314*G314)-I314, X)),IF(C314="Buy",(L314*G314*100)+I314,IF(C314="Sell",(L314*G314*100)-I314, X))))</f>
        <v/>
      </c>
      <c r="N314" s="78">
        <f>IF(ISBLANK(L314),"",IF(AND(C314="Sell",D314="Stock"),M314,IF(ISBLANK(L314),"",IF(C314="Buy",M314, IF(AND(C314="Sell",J314="NA"),(E314*G314*100*0.1)+I314, IF(C314="Sell",(J314-L314)*(100*G314)+I314))))))</f>
        <v/>
      </c>
      <c r="O314" s="75" t="n"/>
      <c r="P314" s="75" t="n"/>
      <c r="Q314" s="75">
        <f>IF(ISBLANK(P314),"",IF(D314="Stock",P314*G314,IF(P314=0,"0",G314*P314*100-(G314*$AF$14))))</f>
        <v/>
      </c>
      <c r="R314" s="79">
        <f>IF(P314&lt;&gt;"", TODAY(), "")</f>
        <v/>
      </c>
      <c r="S314" s="78">
        <f>IF(AND(K314&lt;&gt;"", R314&lt;&gt;""), R314-K314, "")</f>
        <v/>
      </c>
      <c r="T314" s="78" t="n"/>
      <c r="U314" s="92">
        <f>IF(ISBLANK(P314),"",IF(C314="Buy",Q314-M314+T314, IF(C314="Sell",M314-Q314-T314, X)))</f>
        <v/>
      </c>
      <c r="V314" s="81">
        <f>IF(ISBLANK(P314),"",U314/N314)</f>
        <v/>
      </c>
      <c r="W314" s="81">
        <f>IF(ISBLANK(P314),"",IF(S314=0,(365/0.5)*V314,(365/S314)*V314))</f>
        <v/>
      </c>
      <c r="X314" s="75" t="n"/>
      <c r="Y314" s="77" t="n"/>
      <c r="Z314" s="77" t="n"/>
      <c r="AA314" s="75" t="n"/>
      <c r="AB314" s="75" t="n"/>
      <c r="AC314" s="6" t="n"/>
      <c r="AD314" s="75" t="n"/>
      <c r="AE314" s="75" t="n"/>
      <c r="AF314" s="75" t="n"/>
    </row>
    <row r="315" ht="15.75" customHeight="1" s="133">
      <c r="A315" s="75" t="n"/>
      <c r="B315" s="75" t="n"/>
      <c r="C315" s="75" t="n"/>
      <c r="D315" s="75" t="n"/>
      <c r="E315" s="76" t="n"/>
      <c r="F315" s="77" t="n"/>
      <c r="G315" s="75" t="n"/>
      <c r="H315" s="75">
        <f>IF(ISBLANK(E315),"",IF(OR(D315="Butterfly",D315="Butterfly ",D315="Iron Fly", D315="Iron Fly "),LEN(E315)-LEN(SUBSTITUTE(E315,"/",""))+2,LEN(E315)-LEN(SUBSTITUTE(E315,"/",""))+1))</f>
        <v/>
      </c>
      <c r="I315" s="78">
        <f>IF(ISBLANK(G315),"",IF(D315="Stock","0",Key!$A$3*H315*G315))</f>
        <v/>
      </c>
      <c r="J315" s="78">
        <f>IF(ISBLANK(E315),"",IF(ISNUMBER(SEARCH("/",E315)), IF(LEN(E315)-LEN(SUBSTITUTE(E315,"/",""))=1,(RIGHT(E315,LEN(E315)-FIND("/",E315)))-(LEFT(E315,FIND("/",E315)-1)),(MID(E315, SEARCH("/",E315) + 1, SEARCH("/",E315, SEARCH("/",E315)+1) - SEARCH("/",E315) - 1))-(LEFT(E315,FIND("/",E315)-1))), "NA"))</f>
        <v/>
      </c>
      <c r="K315" s="79">
        <f>IF(A315&lt;&gt;"", IF(ISBLANK(L315), TODAY(), K315), "")</f>
        <v/>
      </c>
      <c r="L315" s="78" t="n"/>
      <c r="M315" s="78">
        <f>IF(ISBLANK(L315),"",IF(D315="Stock",IF(C315="Buy",L315*G315,IF(C315="Sell",(L315*G315)-I315, X)),IF(C315="Buy",(L315*G315*100)+I315,IF(C315="Sell",(L315*G315*100)-I315, X))))</f>
        <v/>
      </c>
      <c r="N315" s="78">
        <f>IF(ISBLANK(L315),"",IF(AND(C315="Sell",D315="Stock"),M315,IF(ISBLANK(L315),"",IF(C315="Buy",M315, IF(AND(C315="Sell",J315="NA"),(E315*G315*100*0.1)+I315, IF(C315="Sell",(J315-L315)*(100*G315)+I315))))))</f>
        <v/>
      </c>
      <c r="O315" s="75" t="n"/>
      <c r="P315" s="75" t="n"/>
      <c r="Q315" s="75">
        <f>IF(ISBLANK(P315),"",IF(D315="Stock",P315*G315,IF(P315=0,"0",G315*P315*100-(G315*$AF$14))))</f>
        <v/>
      </c>
      <c r="R315" s="79">
        <f>IF(P315&lt;&gt;"", TODAY(), "")</f>
        <v/>
      </c>
      <c r="S315" s="78">
        <f>IF(AND(K315&lt;&gt;"", R315&lt;&gt;""), R315-K315, "")</f>
        <v/>
      </c>
      <c r="T315" s="78" t="n"/>
      <c r="U315" s="92">
        <f>IF(ISBLANK(P315),"",IF(C315="Buy",Q315-M315+T315, IF(C315="Sell",M315-Q315-T315, X)))</f>
        <v/>
      </c>
      <c r="V315" s="81">
        <f>IF(ISBLANK(P315),"",U315/N315)</f>
        <v/>
      </c>
      <c r="W315" s="81">
        <f>IF(ISBLANK(P315),"",IF(S315=0,(365/0.5)*V315,(365/S315)*V315))</f>
        <v/>
      </c>
      <c r="X315" s="75" t="n"/>
      <c r="Y315" s="77" t="n"/>
      <c r="Z315" s="77" t="n"/>
      <c r="AA315" s="75" t="n"/>
      <c r="AB315" s="75" t="n"/>
      <c r="AC315" s="6" t="n"/>
      <c r="AD315" s="75" t="n"/>
      <c r="AE315" s="75" t="n"/>
      <c r="AF315" s="75" t="n"/>
    </row>
    <row r="316" ht="15.75" customHeight="1" s="133">
      <c r="A316" s="75" t="n"/>
      <c r="B316" s="75" t="n"/>
      <c r="C316" s="75" t="n"/>
      <c r="D316" s="75" t="n"/>
      <c r="E316" s="76" t="n"/>
      <c r="F316" s="77" t="n"/>
      <c r="G316" s="75" t="n"/>
      <c r="H316" s="75">
        <f>IF(ISBLANK(E316),"",IF(OR(D316="Butterfly",D316="Butterfly ",D316="Iron Fly", D316="Iron Fly "),LEN(E316)-LEN(SUBSTITUTE(E316,"/",""))+2,LEN(E316)-LEN(SUBSTITUTE(E316,"/",""))+1))</f>
        <v/>
      </c>
      <c r="I316" s="78">
        <f>IF(ISBLANK(G316),"",IF(D316="Stock","0",Key!$A$3*H316*G316))</f>
        <v/>
      </c>
      <c r="J316" s="78">
        <f>IF(ISBLANK(E316),"",IF(ISNUMBER(SEARCH("/",E316)), IF(LEN(E316)-LEN(SUBSTITUTE(E316,"/",""))=1,(RIGHT(E316,LEN(E316)-FIND("/",E316)))-(LEFT(E316,FIND("/",E316)-1)),(MID(E316, SEARCH("/",E316) + 1, SEARCH("/",E316, SEARCH("/",E316)+1) - SEARCH("/",E316) - 1))-(LEFT(E316,FIND("/",E316)-1))), "NA"))</f>
        <v/>
      </c>
      <c r="K316" s="79">
        <f>IF(A316&lt;&gt;"", IF(ISBLANK(L316), TODAY(), K316), "")</f>
        <v/>
      </c>
      <c r="L316" s="78" t="n"/>
      <c r="M316" s="78">
        <f>IF(ISBLANK(L316),"",IF(D316="Stock",IF(C316="Buy",L316*G316,IF(C316="Sell",(L316*G316)-I316, X)),IF(C316="Buy",(L316*G316*100)+I316,IF(C316="Sell",(L316*G316*100)-I316, X))))</f>
        <v/>
      </c>
      <c r="N316" s="78">
        <f>IF(ISBLANK(L316),"",IF(AND(C316="Sell",D316="Stock"),M316,IF(ISBLANK(L316),"",IF(C316="Buy",M316, IF(AND(C316="Sell",J316="NA"),(E316*G316*100*0.1)+I316, IF(C316="Sell",(J316-L316)*(100*G316)+I316))))))</f>
        <v/>
      </c>
      <c r="O316" s="75" t="n"/>
      <c r="P316" s="75" t="n"/>
      <c r="Q316" s="75">
        <f>IF(ISBLANK(P316),"",IF(D316="Stock",P316*G316,IF(P316=0,"0",G316*P316*100-(G316*$AF$14))))</f>
        <v/>
      </c>
      <c r="R316" s="79">
        <f>IF(P316&lt;&gt;"", TODAY(), "")</f>
        <v/>
      </c>
      <c r="S316" s="78">
        <f>IF(AND(K316&lt;&gt;"", R316&lt;&gt;""), R316-K316, "")</f>
        <v/>
      </c>
      <c r="T316" s="78" t="n"/>
      <c r="U316" s="92">
        <f>IF(ISBLANK(P316),"",IF(C316="Buy",Q316-M316+T316, IF(C316="Sell",M316-Q316-T316, X)))</f>
        <v/>
      </c>
      <c r="V316" s="81">
        <f>IF(ISBLANK(P316),"",U316/N316)</f>
        <v/>
      </c>
      <c r="W316" s="81">
        <f>IF(ISBLANK(P316),"",IF(S316=0,(365/0.5)*V316,(365/S316)*V316))</f>
        <v/>
      </c>
      <c r="X316" s="75" t="n"/>
      <c r="Y316" s="77" t="n"/>
      <c r="Z316" s="77" t="n"/>
      <c r="AA316" s="75" t="n"/>
      <c r="AB316" s="75" t="n"/>
      <c r="AC316" s="6" t="n"/>
      <c r="AD316" s="75" t="n"/>
      <c r="AE316" s="75" t="n"/>
      <c r="AF316" s="75" t="n"/>
    </row>
    <row r="317" ht="15.75" customHeight="1" s="133">
      <c r="A317" s="75" t="n"/>
      <c r="B317" s="75" t="n"/>
      <c r="C317" s="75" t="n"/>
      <c r="D317" s="75" t="n"/>
      <c r="E317" s="76" t="n"/>
      <c r="F317" s="77" t="n"/>
      <c r="G317" s="75" t="n"/>
      <c r="H317" s="75">
        <f>IF(ISBLANK(E317),"",IF(OR(D317="Butterfly",D317="Butterfly ",D317="Iron Fly", D317="Iron Fly "),LEN(E317)-LEN(SUBSTITUTE(E317,"/",""))+2,LEN(E317)-LEN(SUBSTITUTE(E317,"/",""))+1))</f>
        <v/>
      </c>
      <c r="I317" s="78">
        <f>IF(ISBLANK(G317),"",IF(D317="Stock","0",Key!$A$3*H317*G317))</f>
        <v/>
      </c>
      <c r="J317" s="78">
        <f>IF(ISBLANK(E317),"",IF(ISNUMBER(SEARCH("/",E317)), IF(LEN(E317)-LEN(SUBSTITUTE(E317,"/",""))=1,(RIGHT(E317,LEN(E317)-FIND("/",E317)))-(LEFT(E317,FIND("/",E317)-1)),(MID(E317, SEARCH("/",E317) + 1, SEARCH("/",E317, SEARCH("/",E317)+1) - SEARCH("/",E317) - 1))-(LEFT(E317,FIND("/",E317)-1))), "NA"))</f>
        <v/>
      </c>
      <c r="K317" s="79">
        <f>IF(A317&lt;&gt;"", IF(ISBLANK(L317), TODAY(), K317), "")</f>
        <v/>
      </c>
      <c r="L317" s="78" t="n"/>
      <c r="M317" s="78">
        <f>IF(ISBLANK(L317),"",IF(D317="Stock",IF(C317="Buy",L317*G317,IF(C317="Sell",(L317*G317)-I317, X)),IF(C317="Buy",(L317*G317*100)+I317,IF(C317="Sell",(L317*G317*100)-I317, X))))</f>
        <v/>
      </c>
      <c r="N317" s="78">
        <f>IF(ISBLANK(L317),"",IF(AND(C317="Sell",D317="Stock"),M317,IF(ISBLANK(L317),"",IF(C317="Buy",M317, IF(AND(C317="Sell",J317="NA"),(E317*G317*100*0.1)+I317, IF(C317="Sell",(J317-L317)*(100*G317)+I317))))))</f>
        <v/>
      </c>
      <c r="O317" s="75" t="n"/>
      <c r="P317" s="75" t="n"/>
      <c r="Q317" s="75">
        <f>IF(ISBLANK(P317),"",IF(D317="Stock",P317*G317,IF(P317=0,"0",G317*P317*100-(G317*$AF$14))))</f>
        <v/>
      </c>
      <c r="R317" s="79">
        <f>IF(P317&lt;&gt;"", TODAY(), "")</f>
        <v/>
      </c>
      <c r="S317" s="78">
        <f>IF(AND(K317&lt;&gt;"", R317&lt;&gt;""), R317-K317, "")</f>
        <v/>
      </c>
      <c r="T317" s="78" t="n"/>
      <c r="U317" s="92">
        <f>IF(ISBLANK(P317),"",IF(C317="Buy",Q317-M317+T317, IF(C317="Sell",M317-Q317-T317, X)))</f>
        <v/>
      </c>
      <c r="V317" s="81">
        <f>IF(ISBLANK(P317),"",U317/N317)</f>
        <v/>
      </c>
      <c r="W317" s="81">
        <f>IF(ISBLANK(P317),"",IF(S317=0,(365/0.5)*V317,(365/S317)*V317))</f>
        <v/>
      </c>
      <c r="X317" s="75" t="n"/>
      <c r="Y317" s="77" t="n"/>
      <c r="Z317" s="77" t="n"/>
      <c r="AA317" s="75" t="n"/>
      <c r="AB317" s="75" t="n"/>
      <c r="AC317" s="6" t="n"/>
      <c r="AD317" s="75" t="n"/>
      <c r="AE317" s="75" t="n"/>
      <c r="AF317" s="75" t="n"/>
    </row>
    <row r="318" ht="15.75" customHeight="1" s="133">
      <c r="A318" s="75" t="n"/>
      <c r="B318" s="75" t="n"/>
      <c r="C318" s="75" t="n"/>
      <c r="D318" s="75" t="n"/>
      <c r="E318" s="76" t="n"/>
      <c r="F318" s="77" t="n"/>
      <c r="G318" s="75" t="n"/>
      <c r="H318" s="75">
        <f>IF(ISBLANK(E318),"",IF(OR(D318="Butterfly",D318="Butterfly ",D318="Iron Fly", D318="Iron Fly "),LEN(E318)-LEN(SUBSTITUTE(E318,"/",""))+2,LEN(E318)-LEN(SUBSTITUTE(E318,"/",""))+1))</f>
        <v/>
      </c>
      <c r="I318" s="78">
        <f>IF(ISBLANK(G318),"",IF(D318="Stock","0",Key!$A$3*H318*G318))</f>
        <v/>
      </c>
      <c r="J318" s="78">
        <f>IF(ISBLANK(E318),"",IF(ISNUMBER(SEARCH("/",E318)), IF(LEN(E318)-LEN(SUBSTITUTE(E318,"/",""))=1,(RIGHT(E318,LEN(E318)-FIND("/",E318)))-(LEFT(E318,FIND("/",E318)-1)),(MID(E318, SEARCH("/",E318) + 1, SEARCH("/",E318, SEARCH("/",E318)+1) - SEARCH("/",E318) - 1))-(LEFT(E318,FIND("/",E318)-1))), "NA"))</f>
        <v/>
      </c>
      <c r="K318" s="79">
        <f>IF(A318&lt;&gt;"", IF(ISBLANK(L318), TODAY(), K318), "")</f>
        <v/>
      </c>
      <c r="L318" s="78" t="n"/>
      <c r="M318" s="78">
        <f>IF(ISBLANK(L318),"",IF(D318="Stock",IF(C318="Buy",L318*G318,IF(C318="Sell",(L318*G318)-I318, X)),IF(C318="Buy",(L318*G318*100)+I318,IF(C318="Sell",(L318*G318*100)-I318, X))))</f>
        <v/>
      </c>
      <c r="N318" s="78">
        <f>IF(ISBLANK(L318),"",IF(AND(C318="Sell",D318="Stock"),M318,IF(ISBLANK(L318),"",IF(C318="Buy",M318, IF(AND(C318="Sell",J318="NA"),(E318*G318*100*0.1)+I318, IF(C318="Sell",(J318-L318)*(100*G318)+I318))))))</f>
        <v/>
      </c>
      <c r="O318" s="75" t="n"/>
      <c r="P318" s="75" t="n"/>
      <c r="Q318" s="75">
        <f>IF(ISBLANK(P318),"",IF(D318="Stock",P318*G318,IF(P318=0,"0",G318*P318*100-(G318*$AF$14))))</f>
        <v/>
      </c>
      <c r="R318" s="79">
        <f>IF(P318&lt;&gt;"", TODAY(), "")</f>
        <v/>
      </c>
      <c r="S318" s="78">
        <f>IF(AND(K318&lt;&gt;"", R318&lt;&gt;""), R318-K318, "")</f>
        <v/>
      </c>
      <c r="T318" s="78" t="n"/>
      <c r="U318" s="92">
        <f>IF(ISBLANK(P318),"",IF(C318="Buy",Q318-M318+T318, IF(C318="Sell",M318-Q318-T318, X)))</f>
        <v/>
      </c>
      <c r="V318" s="81">
        <f>IF(ISBLANK(P318),"",U318/N318)</f>
        <v/>
      </c>
      <c r="W318" s="81">
        <f>IF(ISBLANK(P318),"",IF(S318=0,(365/0.5)*V318,(365/S318)*V318))</f>
        <v/>
      </c>
      <c r="X318" s="75" t="n"/>
      <c r="Y318" s="77" t="n"/>
      <c r="Z318" s="77" t="n"/>
      <c r="AA318" s="75" t="n"/>
      <c r="AB318" s="75" t="n"/>
      <c r="AC318" s="6" t="n"/>
      <c r="AD318" s="75" t="n"/>
      <c r="AE318" s="75" t="n"/>
      <c r="AF318" s="75" t="n"/>
    </row>
    <row r="319" ht="15.75" customHeight="1" s="133">
      <c r="A319" s="75" t="n"/>
      <c r="B319" s="75" t="n"/>
      <c r="C319" s="75" t="n"/>
      <c r="D319" s="75" t="n"/>
      <c r="E319" s="76" t="n"/>
      <c r="F319" s="77" t="n"/>
      <c r="G319" s="75" t="n"/>
      <c r="H319" s="75">
        <f>IF(ISBLANK(E319),"",IF(OR(D319="Butterfly",D319="Butterfly ",D319="Iron Fly", D319="Iron Fly "),LEN(E319)-LEN(SUBSTITUTE(E319,"/",""))+2,LEN(E319)-LEN(SUBSTITUTE(E319,"/",""))+1))</f>
        <v/>
      </c>
      <c r="I319" s="78">
        <f>IF(ISBLANK(G319),"",IF(D319="Stock","0",Key!$A$3*H319*G319))</f>
        <v/>
      </c>
      <c r="J319" s="78">
        <f>IF(ISBLANK(E319),"",IF(ISNUMBER(SEARCH("/",E319)), IF(LEN(E319)-LEN(SUBSTITUTE(E319,"/",""))=1,(RIGHT(E319,LEN(E319)-FIND("/",E319)))-(LEFT(E319,FIND("/",E319)-1)),(MID(E319, SEARCH("/",E319) + 1, SEARCH("/",E319, SEARCH("/",E319)+1) - SEARCH("/",E319) - 1))-(LEFT(E319,FIND("/",E319)-1))), "NA"))</f>
        <v/>
      </c>
      <c r="K319" s="79">
        <f>IF(A319&lt;&gt;"", IF(ISBLANK(L319), TODAY(), K319), "")</f>
        <v/>
      </c>
      <c r="L319" s="78" t="n"/>
      <c r="M319" s="78">
        <f>IF(ISBLANK(L319),"",IF(D319="Stock",IF(C319="Buy",L319*G319,IF(C319="Sell",(L319*G319)-I319, X)),IF(C319="Buy",(L319*G319*100)+I319,IF(C319="Sell",(L319*G319*100)-I319, X))))</f>
        <v/>
      </c>
      <c r="N319" s="78">
        <f>IF(ISBLANK(L319),"",IF(AND(C319="Sell",D319="Stock"),M319,IF(ISBLANK(L319),"",IF(C319="Buy",M319, IF(AND(C319="Sell",J319="NA"),(E319*G319*100*0.1)+I319, IF(C319="Sell",(J319-L319)*(100*G319)+I319))))))</f>
        <v/>
      </c>
      <c r="O319" s="75" t="n"/>
      <c r="P319" s="75" t="n"/>
      <c r="Q319" s="75">
        <f>IF(ISBLANK(P319),"",IF(D319="Stock",P319*G319,IF(P319=0,"0",G319*P319*100-(G319*$AF$14))))</f>
        <v/>
      </c>
      <c r="R319" s="79">
        <f>IF(P319&lt;&gt;"", TODAY(), "")</f>
        <v/>
      </c>
      <c r="S319" s="78">
        <f>IF(AND(K319&lt;&gt;"", R319&lt;&gt;""), R319-K319, "")</f>
        <v/>
      </c>
      <c r="T319" s="78" t="n"/>
      <c r="U319" s="92">
        <f>IF(ISBLANK(P319),"",IF(C319="Buy",Q319-M319+T319, IF(C319="Sell",M319-Q319-T319, X)))</f>
        <v/>
      </c>
      <c r="V319" s="81">
        <f>IF(ISBLANK(P319),"",U319/N319)</f>
        <v/>
      </c>
      <c r="W319" s="81">
        <f>IF(ISBLANK(P319),"",IF(S319=0,(365/0.5)*V319,(365/S319)*V319))</f>
        <v/>
      </c>
      <c r="X319" s="75" t="n"/>
      <c r="Y319" s="77" t="n"/>
      <c r="Z319" s="77" t="n"/>
      <c r="AA319" s="75" t="n"/>
      <c r="AB319" s="75" t="n"/>
      <c r="AC319" s="6" t="n"/>
      <c r="AD319" s="75" t="n"/>
      <c r="AE319" s="75" t="n"/>
      <c r="AF319" s="75" t="n"/>
    </row>
    <row r="320" ht="15.75" customHeight="1" s="133">
      <c r="A320" s="75" t="n"/>
      <c r="B320" s="75" t="n"/>
      <c r="C320" s="75" t="n"/>
      <c r="D320" s="75" t="n"/>
      <c r="E320" s="76" t="n"/>
      <c r="F320" s="77" t="n"/>
      <c r="G320" s="75" t="n"/>
      <c r="H320" s="75">
        <f>IF(ISBLANK(E320),"",IF(OR(D320="Butterfly",D320="Butterfly ",D320="Iron Fly", D320="Iron Fly "),LEN(E320)-LEN(SUBSTITUTE(E320,"/",""))+2,LEN(E320)-LEN(SUBSTITUTE(E320,"/",""))+1))</f>
        <v/>
      </c>
      <c r="I320" s="78">
        <f>IF(ISBLANK(G320),"",IF(D320="Stock","0",Key!$A$3*H320*G320))</f>
        <v/>
      </c>
      <c r="J320" s="78">
        <f>IF(ISBLANK(E320),"",IF(ISNUMBER(SEARCH("/",E320)), IF(LEN(E320)-LEN(SUBSTITUTE(E320,"/",""))=1,(RIGHT(E320,LEN(E320)-FIND("/",E320)))-(LEFT(E320,FIND("/",E320)-1)),(MID(E320, SEARCH("/",E320) + 1, SEARCH("/",E320, SEARCH("/",E320)+1) - SEARCH("/",E320) - 1))-(LEFT(E320,FIND("/",E320)-1))), "NA"))</f>
        <v/>
      </c>
      <c r="K320" s="79">
        <f>IF(A320&lt;&gt;"", IF(ISBLANK(L320), TODAY(), K320), "")</f>
        <v/>
      </c>
      <c r="L320" s="78" t="n"/>
      <c r="M320" s="78">
        <f>IF(ISBLANK(L320),"",IF(D320="Stock",IF(C320="Buy",L320*G320,IF(C320="Sell",(L320*G320)-I320, X)),IF(C320="Buy",(L320*G320*100)+I320,IF(C320="Sell",(L320*G320*100)-I320, X))))</f>
        <v/>
      </c>
      <c r="N320" s="78">
        <f>IF(ISBLANK(L320),"",IF(AND(C320="Sell",D320="Stock"),M320,IF(ISBLANK(L320),"",IF(C320="Buy",M320, IF(AND(C320="Sell",J320="NA"),(E320*G320*100*0.1)+I320, IF(C320="Sell",(J320-L320)*(100*G320)+I320))))))</f>
        <v/>
      </c>
      <c r="O320" s="75" t="n"/>
      <c r="P320" s="75" t="n"/>
      <c r="Q320" s="75">
        <f>IF(ISBLANK(P320),"",IF(D320="Stock",P320*G320,IF(P320=0,"0",G320*P320*100-(G320*$AF$14))))</f>
        <v/>
      </c>
      <c r="R320" s="79">
        <f>IF(P320&lt;&gt;"", TODAY(), "")</f>
        <v/>
      </c>
      <c r="S320" s="78">
        <f>IF(AND(K320&lt;&gt;"", R320&lt;&gt;""), R320-K320, "")</f>
        <v/>
      </c>
      <c r="T320" s="78" t="n"/>
      <c r="U320" s="92">
        <f>IF(ISBLANK(P320),"",IF(C320="Buy",Q320-M320+T320, IF(C320="Sell",M320-Q320-T320, X)))</f>
        <v/>
      </c>
      <c r="V320" s="81">
        <f>IF(ISBLANK(P320),"",U320/N320)</f>
        <v/>
      </c>
      <c r="W320" s="81">
        <f>IF(ISBLANK(P320),"",IF(S320=0,(365/0.5)*V320,(365/S320)*V320))</f>
        <v/>
      </c>
      <c r="X320" s="75" t="n"/>
      <c r="Y320" s="77" t="n"/>
      <c r="Z320" s="77" t="n"/>
      <c r="AA320" s="75" t="n"/>
      <c r="AB320" s="75" t="n"/>
      <c r="AC320" s="6" t="n"/>
      <c r="AD320" s="75" t="n"/>
      <c r="AE320" s="75" t="n"/>
      <c r="AF320" s="75" t="n"/>
    </row>
    <row r="321" ht="15.75" customHeight="1" s="133">
      <c r="A321" s="75" t="n"/>
      <c r="B321" s="75" t="n"/>
      <c r="C321" s="75" t="n"/>
      <c r="D321" s="75" t="n"/>
      <c r="E321" s="76" t="n"/>
      <c r="F321" s="77" t="n"/>
      <c r="G321" s="75" t="n"/>
      <c r="H321" s="75">
        <f>IF(ISBLANK(E321),"",IF(OR(D321="Butterfly",D321="Butterfly ",D321="Iron Fly", D321="Iron Fly "),LEN(E321)-LEN(SUBSTITUTE(E321,"/",""))+2,LEN(E321)-LEN(SUBSTITUTE(E321,"/",""))+1))</f>
        <v/>
      </c>
      <c r="I321" s="78">
        <f>IF(ISBLANK(G321),"",IF(D321="Stock","0",Key!$A$3*H321*G321))</f>
        <v/>
      </c>
      <c r="J321" s="78">
        <f>IF(ISBLANK(E321),"",IF(ISNUMBER(SEARCH("/",E321)), IF(LEN(E321)-LEN(SUBSTITUTE(E321,"/",""))=1,(RIGHT(E321,LEN(E321)-FIND("/",E321)))-(LEFT(E321,FIND("/",E321)-1)),(MID(E321, SEARCH("/",E321) + 1, SEARCH("/",E321, SEARCH("/",E321)+1) - SEARCH("/",E321) - 1))-(LEFT(E321,FIND("/",E321)-1))), "NA"))</f>
        <v/>
      </c>
      <c r="K321" s="79">
        <f>IF(A321&lt;&gt;"", IF(ISBLANK(L321), TODAY(), K321), "")</f>
        <v/>
      </c>
      <c r="L321" s="78" t="n"/>
      <c r="M321" s="78">
        <f>IF(ISBLANK(L321),"",IF(D321="Stock",IF(C321="Buy",L321*G321,IF(C321="Sell",(L321*G321)-I321, X)),IF(C321="Buy",(L321*G321*100)+I321,IF(C321="Sell",(L321*G321*100)-I321, X))))</f>
        <v/>
      </c>
      <c r="N321" s="78">
        <f>IF(ISBLANK(L321),"",IF(AND(C321="Sell",D321="Stock"),M321,IF(ISBLANK(L321),"",IF(C321="Buy",M321, IF(AND(C321="Sell",J321="NA"),(E321*G321*100*0.1)+I321, IF(C321="Sell",(J321-L321)*(100*G321)+I321))))))</f>
        <v/>
      </c>
      <c r="O321" s="75" t="n"/>
      <c r="P321" s="75" t="n"/>
      <c r="Q321" s="75">
        <f>IF(ISBLANK(P321),"",IF(D321="Stock",P321*G321,IF(P321=0,"0",G321*P321*100-(G321*$AF$14))))</f>
        <v/>
      </c>
      <c r="R321" s="79">
        <f>IF(P321&lt;&gt;"", TODAY(), "")</f>
        <v/>
      </c>
      <c r="S321" s="78">
        <f>IF(AND(K321&lt;&gt;"", R321&lt;&gt;""), R321-K321, "")</f>
        <v/>
      </c>
      <c r="T321" s="78" t="n"/>
      <c r="U321" s="92">
        <f>IF(ISBLANK(P321),"",IF(C321="Buy",Q321-M321+T321, IF(C321="Sell",M321-Q321-T321, X)))</f>
        <v/>
      </c>
      <c r="V321" s="81">
        <f>IF(ISBLANK(P321),"",U321/N321)</f>
        <v/>
      </c>
      <c r="W321" s="81">
        <f>IF(ISBLANK(P321),"",IF(S321=0,(365/0.5)*V321,(365/S321)*V321))</f>
        <v/>
      </c>
      <c r="X321" s="75" t="n"/>
      <c r="Y321" s="77" t="n"/>
      <c r="Z321" s="77" t="n"/>
      <c r="AA321" s="75" t="n"/>
      <c r="AB321" s="75" t="n"/>
      <c r="AC321" s="6" t="n"/>
      <c r="AD321" s="75" t="n"/>
      <c r="AE321" s="75" t="n"/>
      <c r="AF321" s="75" t="n"/>
    </row>
    <row r="322" ht="15.75" customHeight="1" s="133">
      <c r="A322" s="75" t="n"/>
      <c r="B322" s="75" t="n"/>
      <c r="C322" s="75" t="n"/>
      <c r="D322" s="75" t="n"/>
      <c r="E322" s="76" t="n"/>
      <c r="F322" s="77" t="n"/>
      <c r="G322" s="75" t="n"/>
      <c r="H322" s="75">
        <f>IF(ISBLANK(E322),"",IF(OR(D322="Butterfly",D322="Butterfly ",D322="Iron Fly", D322="Iron Fly "),LEN(E322)-LEN(SUBSTITUTE(E322,"/",""))+2,LEN(E322)-LEN(SUBSTITUTE(E322,"/",""))+1))</f>
        <v/>
      </c>
      <c r="I322" s="78">
        <f>IF(ISBLANK(G322),"",IF(D322="Stock","0",Key!$A$3*H322*G322))</f>
        <v/>
      </c>
      <c r="J322" s="78">
        <f>IF(ISBLANK(E322),"",IF(ISNUMBER(SEARCH("/",E322)), IF(LEN(E322)-LEN(SUBSTITUTE(E322,"/",""))=1,(RIGHT(E322,LEN(E322)-FIND("/",E322)))-(LEFT(E322,FIND("/",E322)-1)),(MID(E322, SEARCH("/",E322) + 1, SEARCH("/",E322, SEARCH("/",E322)+1) - SEARCH("/",E322) - 1))-(LEFT(E322,FIND("/",E322)-1))), "NA"))</f>
        <v/>
      </c>
      <c r="K322" s="79">
        <f>IF(A322&lt;&gt;"", IF(ISBLANK(L322), TODAY(), K322), "")</f>
        <v/>
      </c>
      <c r="L322" s="78" t="n"/>
      <c r="M322" s="78">
        <f>IF(ISBLANK(L322),"",IF(D322="Stock",IF(C322="Buy",L322*G322,IF(C322="Sell",(L322*G322)-I322, X)),IF(C322="Buy",(L322*G322*100)+I322,IF(C322="Sell",(L322*G322*100)-I322, X))))</f>
        <v/>
      </c>
      <c r="N322" s="78">
        <f>IF(ISBLANK(L322),"",IF(AND(C322="Sell",D322="Stock"),M322,IF(ISBLANK(L322),"",IF(C322="Buy",M322, IF(AND(C322="Sell",J322="NA"),(E322*G322*100*0.1)+I322, IF(C322="Sell",(J322-L322)*(100*G322)+I322))))))</f>
        <v/>
      </c>
      <c r="O322" s="75" t="n"/>
      <c r="P322" s="75" t="n"/>
      <c r="Q322" s="75">
        <f>IF(ISBLANK(P322),"",IF(D322="Stock",P322*G322,IF(P322=0,"0",G322*P322*100-(G322*$AF$14))))</f>
        <v/>
      </c>
      <c r="R322" s="79">
        <f>IF(P322&lt;&gt;"", TODAY(), "")</f>
        <v/>
      </c>
      <c r="S322" s="78">
        <f>IF(AND(K322&lt;&gt;"", R322&lt;&gt;""), R322-K322, "")</f>
        <v/>
      </c>
      <c r="T322" s="78" t="n"/>
      <c r="U322" s="92">
        <f>IF(ISBLANK(P322),"",IF(C322="Buy",Q322-M322+T322, IF(C322="Sell",M322-Q322-T322, X)))</f>
        <v/>
      </c>
      <c r="V322" s="81">
        <f>IF(ISBLANK(P322),"",U322/N322)</f>
        <v/>
      </c>
      <c r="W322" s="81">
        <f>IF(ISBLANK(P322),"",IF(S322=0,(365/0.5)*V322,(365/S322)*V322))</f>
        <v/>
      </c>
      <c r="X322" s="75" t="n"/>
      <c r="Y322" s="77" t="n"/>
      <c r="Z322" s="77" t="n"/>
      <c r="AA322" s="75" t="n"/>
      <c r="AB322" s="75" t="n"/>
      <c r="AC322" s="6" t="n"/>
      <c r="AD322" s="75" t="n"/>
      <c r="AE322" s="75" t="n"/>
      <c r="AF322" s="75" t="n"/>
    </row>
    <row r="323" ht="15.75" customHeight="1" s="133">
      <c r="A323" s="75" t="n"/>
      <c r="B323" s="75" t="n"/>
      <c r="C323" s="75" t="n"/>
      <c r="D323" s="75" t="n"/>
      <c r="E323" s="76" t="n"/>
      <c r="F323" s="77" t="n"/>
      <c r="G323" s="75" t="n"/>
      <c r="H323" s="75">
        <f>IF(ISBLANK(E323),"",IF(OR(D323="Butterfly",D323="Butterfly ",D323="Iron Fly", D323="Iron Fly "),LEN(E323)-LEN(SUBSTITUTE(E323,"/",""))+2,LEN(E323)-LEN(SUBSTITUTE(E323,"/",""))+1))</f>
        <v/>
      </c>
      <c r="I323" s="78">
        <f>IF(ISBLANK(G323),"",IF(D323="Stock","0",Key!$A$3*H323*G323))</f>
        <v/>
      </c>
      <c r="J323" s="78">
        <f>IF(ISBLANK(E323),"",IF(ISNUMBER(SEARCH("/",E323)), IF(LEN(E323)-LEN(SUBSTITUTE(E323,"/",""))=1,(RIGHT(E323,LEN(E323)-FIND("/",E323)))-(LEFT(E323,FIND("/",E323)-1)),(MID(E323, SEARCH("/",E323) + 1, SEARCH("/",E323, SEARCH("/",E323)+1) - SEARCH("/",E323) - 1))-(LEFT(E323,FIND("/",E323)-1))), "NA"))</f>
        <v/>
      </c>
      <c r="K323" s="79">
        <f>IF(A323&lt;&gt;"", IF(ISBLANK(L323), TODAY(), K323), "")</f>
        <v/>
      </c>
      <c r="L323" s="78" t="n"/>
      <c r="M323" s="78">
        <f>IF(ISBLANK(L323),"",IF(D323="Stock",IF(C323="Buy",L323*G323,IF(C323="Sell",(L323*G323)-I323, X)),IF(C323="Buy",(L323*G323*100)+I323,IF(C323="Sell",(L323*G323*100)-I323, X))))</f>
        <v/>
      </c>
      <c r="N323" s="78">
        <f>IF(ISBLANK(L323),"",IF(AND(C323="Sell",D323="Stock"),M323,IF(ISBLANK(L323),"",IF(C323="Buy",M323, IF(AND(C323="Sell",J323="NA"),(E323*G323*100*0.1)+I323, IF(C323="Sell",(J323-L323)*(100*G323)+I323))))))</f>
        <v/>
      </c>
      <c r="O323" s="75" t="n"/>
      <c r="P323" s="75" t="n"/>
      <c r="Q323" s="75">
        <f>IF(ISBLANK(P323),"",IF(D323="Stock",P323*G323,IF(P323=0,"0",G323*P323*100-(G323*$AF$14))))</f>
        <v/>
      </c>
      <c r="R323" s="79">
        <f>IF(P323&lt;&gt;"", TODAY(), "")</f>
        <v/>
      </c>
      <c r="S323" s="78">
        <f>IF(AND(K323&lt;&gt;"", R323&lt;&gt;""), R323-K323, "")</f>
        <v/>
      </c>
      <c r="T323" s="78" t="n"/>
      <c r="U323" s="92">
        <f>IF(ISBLANK(P323),"",IF(C323="Buy",Q323-M323+T323, IF(C323="Sell",M323-Q323-T323, X)))</f>
        <v/>
      </c>
      <c r="V323" s="81">
        <f>IF(ISBLANK(P323),"",U323/N323)</f>
        <v/>
      </c>
      <c r="W323" s="81">
        <f>IF(ISBLANK(P323),"",IF(S323=0,(365/0.5)*V323,(365/S323)*V323))</f>
        <v/>
      </c>
      <c r="X323" s="75" t="n"/>
      <c r="Y323" s="77" t="n"/>
      <c r="Z323" s="77" t="n"/>
      <c r="AA323" s="75" t="n"/>
      <c r="AB323" s="75" t="n"/>
      <c r="AC323" s="6" t="n"/>
      <c r="AD323" s="75" t="n"/>
      <c r="AE323" s="75" t="n"/>
      <c r="AF323" s="75" t="n"/>
    </row>
    <row r="324" ht="15.75" customHeight="1" s="133">
      <c r="A324" s="75" t="n"/>
      <c r="B324" s="75" t="n"/>
      <c r="C324" s="75" t="n"/>
      <c r="D324" s="75" t="n"/>
      <c r="E324" s="76" t="n"/>
      <c r="F324" s="77" t="n"/>
      <c r="G324" s="75" t="n"/>
      <c r="H324" s="75">
        <f>IF(ISBLANK(E324),"",IF(OR(D324="Butterfly",D324="Butterfly ",D324="Iron Fly", D324="Iron Fly "),LEN(E324)-LEN(SUBSTITUTE(E324,"/",""))+2,LEN(E324)-LEN(SUBSTITUTE(E324,"/",""))+1))</f>
        <v/>
      </c>
      <c r="I324" s="78">
        <f>IF(ISBLANK(G324),"",IF(D324="Stock","0",Key!$A$3*H324*G324))</f>
        <v/>
      </c>
      <c r="J324" s="78">
        <f>IF(ISBLANK(E324),"",IF(ISNUMBER(SEARCH("/",E324)), IF(LEN(E324)-LEN(SUBSTITUTE(E324,"/",""))=1,(RIGHT(E324,LEN(E324)-FIND("/",E324)))-(LEFT(E324,FIND("/",E324)-1)),(MID(E324, SEARCH("/",E324) + 1, SEARCH("/",E324, SEARCH("/",E324)+1) - SEARCH("/",E324) - 1))-(LEFT(E324,FIND("/",E324)-1))), "NA"))</f>
        <v/>
      </c>
      <c r="K324" s="79">
        <f>IF(A324&lt;&gt;"", IF(ISBLANK(L324), TODAY(), K324), "")</f>
        <v/>
      </c>
      <c r="L324" s="78" t="n"/>
      <c r="M324" s="78">
        <f>IF(ISBLANK(L324),"",IF(D324="Stock",IF(C324="Buy",L324*G324,IF(C324="Sell",(L324*G324)-I324, X)),IF(C324="Buy",(L324*G324*100)+I324,IF(C324="Sell",(L324*G324*100)-I324, X))))</f>
        <v/>
      </c>
      <c r="N324" s="78">
        <f>IF(ISBLANK(L324),"",IF(AND(C324="Sell",D324="Stock"),M324,IF(ISBLANK(L324),"",IF(C324="Buy",M324, IF(AND(C324="Sell",J324="NA"),(E324*G324*100*0.1)+I324, IF(C324="Sell",(J324-L324)*(100*G324)+I324))))))</f>
        <v/>
      </c>
      <c r="O324" s="75" t="n"/>
      <c r="P324" s="75" t="n"/>
      <c r="Q324" s="75">
        <f>IF(ISBLANK(P324),"",IF(D324="Stock",P324*G324,IF(P324=0,"0",G324*P324*100-(G324*$AF$14))))</f>
        <v/>
      </c>
      <c r="R324" s="79">
        <f>IF(P324&lt;&gt;"", TODAY(), "")</f>
        <v/>
      </c>
      <c r="S324" s="78">
        <f>IF(AND(K324&lt;&gt;"", R324&lt;&gt;""), R324-K324, "")</f>
        <v/>
      </c>
      <c r="T324" s="78" t="n"/>
      <c r="U324" s="92">
        <f>IF(ISBLANK(P324),"",IF(C324="Buy",Q324-M324+T324, IF(C324="Sell",M324-Q324-T324, X)))</f>
        <v/>
      </c>
      <c r="V324" s="81">
        <f>IF(ISBLANK(P324),"",U324/N324)</f>
        <v/>
      </c>
      <c r="W324" s="81">
        <f>IF(ISBLANK(P324),"",IF(S324=0,(365/0.5)*V324,(365/S324)*V324))</f>
        <v/>
      </c>
      <c r="X324" s="75" t="n"/>
      <c r="Y324" s="77" t="n"/>
      <c r="Z324" s="77" t="n"/>
      <c r="AA324" s="75" t="n"/>
      <c r="AB324" s="75" t="n"/>
      <c r="AC324" s="6" t="n"/>
      <c r="AD324" s="75" t="n"/>
      <c r="AE324" s="75" t="n"/>
      <c r="AF324" s="75" t="n"/>
    </row>
    <row r="325" ht="15.75" customHeight="1" s="133">
      <c r="A325" s="75" t="n"/>
      <c r="B325" s="75" t="n"/>
      <c r="C325" s="75" t="n"/>
      <c r="D325" s="75" t="n"/>
      <c r="E325" s="76" t="n"/>
      <c r="F325" s="77" t="n"/>
      <c r="G325" s="75" t="n"/>
      <c r="H325" s="75">
        <f>IF(ISBLANK(E325),"",IF(OR(D325="Butterfly",D325="Butterfly ",D325="Iron Fly", D325="Iron Fly "),LEN(E325)-LEN(SUBSTITUTE(E325,"/",""))+2,LEN(E325)-LEN(SUBSTITUTE(E325,"/",""))+1))</f>
        <v/>
      </c>
      <c r="I325" s="78">
        <f>IF(ISBLANK(G325),"",IF(D325="Stock","0",Key!$A$3*H325*G325))</f>
        <v/>
      </c>
      <c r="J325" s="78">
        <f>IF(ISBLANK(E325),"",IF(ISNUMBER(SEARCH("/",E325)), IF(LEN(E325)-LEN(SUBSTITUTE(E325,"/",""))=1,(RIGHT(E325,LEN(E325)-FIND("/",E325)))-(LEFT(E325,FIND("/",E325)-1)),(MID(E325, SEARCH("/",E325) + 1, SEARCH("/",E325, SEARCH("/",E325)+1) - SEARCH("/",E325) - 1))-(LEFT(E325,FIND("/",E325)-1))), "NA"))</f>
        <v/>
      </c>
      <c r="K325" s="79">
        <f>IF(A325&lt;&gt;"", IF(ISBLANK(L325), TODAY(), K325), "")</f>
        <v/>
      </c>
      <c r="L325" s="78" t="n"/>
      <c r="M325" s="78">
        <f>IF(ISBLANK(L325),"",IF(D325="Stock",IF(C325="Buy",L325*G325,IF(C325="Sell",(L325*G325)-I325, X)),IF(C325="Buy",(L325*G325*100)+I325,IF(C325="Sell",(L325*G325*100)-I325, X))))</f>
        <v/>
      </c>
      <c r="N325" s="78">
        <f>IF(ISBLANK(L325),"",IF(AND(C325="Sell",D325="Stock"),M325,IF(ISBLANK(L325),"",IF(C325="Buy",M325, IF(AND(C325="Sell",J325="NA"),(E325*G325*100*0.1)+I325, IF(C325="Sell",(J325-L325)*(100*G325)+I325))))))</f>
        <v/>
      </c>
      <c r="O325" s="75" t="n"/>
      <c r="P325" s="75" t="n"/>
      <c r="Q325" s="75">
        <f>IF(ISBLANK(P325),"",IF(D325="Stock",P325*G325,IF(P325=0,"0",G325*P325*100-(G325*$AF$14))))</f>
        <v/>
      </c>
      <c r="R325" s="79">
        <f>IF(P325&lt;&gt;"", TODAY(), "")</f>
        <v/>
      </c>
      <c r="S325" s="78">
        <f>IF(AND(K325&lt;&gt;"", R325&lt;&gt;""), R325-K325, "")</f>
        <v/>
      </c>
      <c r="T325" s="78" t="n"/>
      <c r="U325" s="92">
        <f>IF(ISBLANK(P325),"",IF(C325="Buy",Q325-M325+T325, IF(C325="Sell",M325-Q325-T325, X)))</f>
        <v/>
      </c>
      <c r="V325" s="81">
        <f>IF(ISBLANK(P325),"",U325/N325)</f>
        <v/>
      </c>
      <c r="W325" s="81">
        <f>IF(ISBLANK(P325),"",IF(S325=0,(365/0.5)*V325,(365/S325)*V325))</f>
        <v/>
      </c>
      <c r="X325" s="75" t="n"/>
      <c r="Y325" s="77" t="n"/>
      <c r="Z325" s="77" t="n"/>
      <c r="AA325" s="75" t="n"/>
      <c r="AB325" s="75" t="n"/>
      <c r="AC325" s="6" t="n"/>
      <c r="AD325" s="75" t="n"/>
      <c r="AE325" s="75" t="n"/>
      <c r="AF325" s="75" t="n"/>
    </row>
    <row r="326" ht="15.75" customHeight="1" s="133">
      <c r="A326" s="75" t="n"/>
      <c r="B326" s="75" t="n"/>
      <c r="C326" s="75" t="n"/>
      <c r="D326" s="75" t="n"/>
      <c r="E326" s="76" t="n"/>
      <c r="F326" s="77" t="n"/>
      <c r="G326" s="75" t="n"/>
      <c r="H326" s="75">
        <f>IF(ISBLANK(E326),"",IF(OR(D326="Butterfly",D326="Butterfly ",D326="Iron Fly", D326="Iron Fly "),LEN(E326)-LEN(SUBSTITUTE(E326,"/",""))+2,LEN(E326)-LEN(SUBSTITUTE(E326,"/",""))+1))</f>
        <v/>
      </c>
      <c r="I326" s="78">
        <f>IF(ISBLANK(G326),"",IF(D326="Stock","0",Key!$A$3*H326*G326))</f>
        <v/>
      </c>
      <c r="J326" s="78">
        <f>IF(ISBLANK(E326),"",IF(ISNUMBER(SEARCH("/",E326)), IF(LEN(E326)-LEN(SUBSTITUTE(E326,"/",""))=1,(RIGHT(E326,LEN(E326)-FIND("/",E326)))-(LEFT(E326,FIND("/",E326)-1)),(MID(E326, SEARCH("/",E326) + 1, SEARCH("/",E326, SEARCH("/",E326)+1) - SEARCH("/",E326) - 1))-(LEFT(E326,FIND("/",E326)-1))), "NA"))</f>
        <v/>
      </c>
      <c r="K326" s="79">
        <f>IF(A326&lt;&gt;"", IF(ISBLANK(L326), TODAY(), K326), "")</f>
        <v/>
      </c>
      <c r="L326" s="78" t="n"/>
      <c r="M326" s="78">
        <f>IF(ISBLANK(L326),"",IF(D326="Stock",IF(C326="Buy",L326*G326,IF(C326="Sell",(L326*G326)-I326, X)),IF(C326="Buy",(L326*G326*100)+I326,IF(C326="Sell",(L326*G326*100)-I326, X))))</f>
        <v/>
      </c>
      <c r="N326" s="78">
        <f>IF(ISBLANK(L326),"",IF(AND(C326="Sell",D326="Stock"),M326,IF(ISBLANK(L326),"",IF(C326="Buy",M326, IF(AND(C326="Sell",J326="NA"),(E326*G326*100*0.1)+I326, IF(C326="Sell",(J326-L326)*(100*G326)+I326))))))</f>
        <v/>
      </c>
      <c r="O326" s="75" t="n"/>
      <c r="P326" s="75" t="n"/>
      <c r="Q326" s="75">
        <f>IF(ISBLANK(P326),"",IF(D326="Stock",P326*G326,IF(P326=0,"0",G326*P326*100-(G326*$AF$14))))</f>
        <v/>
      </c>
      <c r="R326" s="79">
        <f>IF(P326&lt;&gt;"", TODAY(), "")</f>
        <v/>
      </c>
      <c r="S326" s="78">
        <f>IF(AND(K326&lt;&gt;"", R326&lt;&gt;""), R326-K326, "")</f>
        <v/>
      </c>
      <c r="T326" s="78" t="n"/>
      <c r="U326" s="92">
        <f>IF(ISBLANK(P326),"",IF(C326="Buy",Q326-M326+T326, IF(C326="Sell",M326-Q326-T326, X)))</f>
        <v/>
      </c>
      <c r="V326" s="81">
        <f>IF(ISBLANK(P326),"",U326/N326)</f>
        <v/>
      </c>
      <c r="W326" s="81">
        <f>IF(ISBLANK(P326),"",IF(S326=0,(365/0.5)*V326,(365/S326)*V326))</f>
        <v/>
      </c>
      <c r="X326" s="75" t="n"/>
      <c r="Y326" s="77" t="n"/>
      <c r="Z326" s="77" t="n"/>
      <c r="AA326" s="75" t="n"/>
      <c r="AB326" s="75" t="n"/>
      <c r="AC326" s="6" t="n"/>
      <c r="AD326" s="75" t="n"/>
      <c r="AE326" s="75" t="n"/>
      <c r="AF326" s="75" t="n"/>
    </row>
    <row r="327" ht="15.75" customHeight="1" s="133">
      <c r="A327" s="75" t="n"/>
      <c r="B327" s="75" t="n"/>
      <c r="C327" s="75" t="n"/>
      <c r="D327" s="75" t="n"/>
      <c r="E327" s="76" t="n"/>
      <c r="F327" s="77" t="n"/>
      <c r="G327" s="75" t="n"/>
      <c r="H327" s="75">
        <f>IF(ISBLANK(E327),"",IF(OR(D327="Butterfly",D327="Butterfly ",D327="Iron Fly", D327="Iron Fly "),LEN(E327)-LEN(SUBSTITUTE(E327,"/",""))+2,LEN(E327)-LEN(SUBSTITUTE(E327,"/",""))+1))</f>
        <v/>
      </c>
      <c r="I327" s="78">
        <f>IF(ISBLANK(G327),"",IF(D327="Stock","0",Key!$A$3*H327*G327))</f>
        <v/>
      </c>
      <c r="J327" s="78">
        <f>IF(ISBLANK(E327),"",IF(ISNUMBER(SEARCH("/",E327)), IF(LEN(E327)-LEN(SUBSTITUTE(E327,"/",""))=1,(RIGHT(E327,LEN(E327)-FIND("/",E327)))-(LEFT(E327,FIND("/",E327)-1)),(MID(E327, SEARCH("/",E327) + 1, SEARCH("/",E327, SEARCH("/",E327)+1) - SEARCH("/",E327) - 1))-(LEFT(E327,FIND("/",E327)-1))), "NA"))</f>
        <v/>
      </c>
      <c r="K327" s="79">
        <f>IF(A327&lt;&gt;"", IF(ISBLANK(L327), TODAY(), K327), "")</f>
        <v/>
      </c>
      <c r="L327" s="78" t="n"/>
      <c r="M327" s="78">
        <f>IF(ISBLANK(L327),"",IF(D327="Stock",IF(C327="Buy",L327*G327,IF(C327="Sell",(L327*G327)-I327, X)),IF(C327="Buy",(L327*G327*100)+I327,IF(C327="Sell",(L327*G327*100)-I327, X))))</f>
        <v/>
      </c>
      <c r="N327" s="78">
        <f>IF(ISBLANK(L327),"",IF(AND(C327="Sell",D327="Stock"),M327,IF(ISBLANK(L327),"",IF(C327="Buy",M327, IF(AND(C327="Sell",J327="NA"),(E327*G327*100*0.1)+I327, IF(C327="Sell",(J327-L327)*(100*G327)+I327))))))</f>
        <v/>
      </c>
      <c r="O327" s="75" t="n"/>
      <c r="P327" s="75" t="n"/>
      <c r="Q327" s="75">
        <f>IF(ISBLANK(P327),"",IF(D327="Stock",P327*G327,IF(P327=0,"0",G327*P327*100-(G327*$AF$14))))</f>
        <v/>
      </c>
      <c r="R327" s="79">
        <f>IF(P327&lt;&gt;"", TODAY(), "")</f>
        <v/>
      </c>
      <c r="S327" s="78">
        <f>IF(AND(K327&lt;&gt;"", R327&lt;&gt;""), R327-K327, "")</f>
        <v/>
      </c>
      <c r="T327" s="78" t="n"/>
      <c r="U327" s="92">
        <f>IF(ISBLANK(P327),"",IF(C327="Buy",Q327-M327+T327, IF(C327="Sell",M327-Q327-T327, X)))</f>
        <v/>
      </c>
      <c r="V327" s="81">
        <f>IF(ISBLANK(P327),"",U327/N327)</f>
        <v/>
      </c>
      <c r="W327" s="81">
        <f>IF(ISBLANK(P327),"",IF(S327=0,(365/0.5)*V327,(365/S327)*V327))</f>
        <v/>
      </c>
      <c r="X327" s="75" t="n"/>
      <c r="Y327" s="77" t="n"/>
      <c r="Z327" s="77" t="n"/>
      <c r="AA327" s="75" t="n"/>
      <c r="AB327" s="75" t="n"/>
      <c r="AC327" s="6" t="n"/>
      <c r="AD327" s="75" t="n"/>
      <c r="AE327" s="75" t="n"/>
      <c r="AF327" s="75" t="n"/>
    </row>
    <row r="328" ht="15.75" customHeight="1" s="133">
      <c r="A328" s="75" t="n"/>
      <c r="B328" s="75" t="n"/>
      <c r="C328" s="75" t="n"/>
      <c r="D328" s="75" t="n"/>
      <c r="E328" s="76" t="n"/>
      <c r="F328" s="77" t="n"/>
      <c r="G328" s="75" t="n"/>
      <c r="H328" s="75">
        <f>IF(ISBLANK(E328),"",IF(OR(D328="Butterfly",D328="Butterfly ",D328="Iron Fly", D328="Iron Fly "),LEN(E328)-LEN(SUBSTITUTE(E328,"/",""))+2,LEN(E328)-LEN(SUBSTITUTE(E328,"/",""))+1))</f>
        <v/>
      </c>
      <c r="I328" s="78">
        <f>IF(ISBLANK(G328),"",IF(D328="Stock","0",Key!$A$3*H328*G328))</f>
        <v/>
      </c>
      <c r="J328" s="78">
        <f>IF(ISBLANK(E328),"",IF(ISNUMBER(SEARCH("/",E328)), IF(LEN(E328)-LEN(SUBSTITUTE(E328,"/",""))=1,(RIGHT(E328,LEN(E328)-FIND("/",E328)))-(LEFT(E328,FIND("/",E328)-1)),(MID(E328, SEARCH("/",E328) + 1, SEARCH("/",E328, SEARCH("/",E328)+1) - SEARCH("/",E328) - 1))-(LEFT(E328,FIND("/",E328)-1))), "NA"))</f>
        <v/>
      </c>
      <c r="K328" s="79">
        <f>IF(A328&lt;&gt;"", IF(ISBLANK(L328), TODAY(), K328), "")</f>
        <v/>
      </c>
      <c r="L328" s="78" t="n"/>
      <c r="M328" s="78">
        <f>IF(ISBLANK(L328),"",IF(D328="Stock",IF(C328="Buy",L328*G328,IF(C328="Sell",(L328*G328)-I328, X)),IF(C328="Buy",(L328*G328*100)+I328,IF(C328="Sell",(L328*G328*100)-I328, X))))</f>
        <v/>
      </c>
      <c r="N328" s="78">
        <f>IF(ISBLANK(L328),"",IF(AND(C328="Sell",D328="Stock"),M328,IF(ISBLANK(L328),"",IF(C328="Buy",M328, IF(AND(C328="Sell",J328="NA"),(E328*G328*100*0.1)+I328, IF(C328="Sell",(J328-L328)*(100*G328)+I328))))))</f>
        <v/>
      </c>
      <c r="O328" s="75" t="n"/>
      <c r="P328" s="75" t="n"/>
      <c r="Q328" s="75">
        <f>IF(ISBLANK(P328),"",IF(D328="Stock",P328*G328,IF(P328=0,"0",G328*P328*100-(G328*$AF$14))))</f>
        <v/>
      </c>
      <c r="R328" s="79">
        <f>IF(P328&lt;&gt;"", TODAY(), "")</f>
        <v/>
      </c>
      <c r="S328" s="78">
        <f>IF(AND(K328&lt;&gt;"", R328&lt;&gt;""), R328-K328, "")</f>
        <v/>
      </c>
      <c r="T328" s="78" t="n"/>
      <c r="U328" s="92">
        <f>IF(ISBLANK(P328),"",IF(C328="Buy",Q328-M328+T328, IF(C328="Sell",M328-Q328-T328, X)))</f>
        <v/>
      </c>
      <c r="V328" s="81">
        <f>IF(ISBLANK(P328),"",U328/N328)</f>
        <v/>
      </c>
      <c r="W328" s="81">
        <f>IF(ISBLANK(P328),"",IF(S328=0,(365/0.5)*V328,(365/S328)*V328))</f>
        <v/>
      </c>
      <c r="X328" s="75" t="n"/>
      <c r="Y328" s="77" t="n"/>
      <c r="Z328" s="77" t="n"/>
      <c r="AA328" s="75" t="n"/>
      <c r="AB328" s="75" t="n"/>
      <c r="AC328" s="6" t="n"/>
      <c r="AD328" s="75" t="n"/>
      <c r="AE328" s="75" t="n"/>
      <c r="AF328" s="75" t="n"/>
    </row>
    <row r="329" ht="15.75" customHeight="1" s="133">
      <c r="A329" s="75" t="n"/>
      <c r="B329" s="75" t="n"/>
      <c r="C329" s="75" t="n"/>
      <c r="D329" s="75" t="n"/>
      <c r="E329" s="76" t="n"/>
      <c r="F329" s="77" t="n"/>
      <c r="G329" s="75" t="n"/>
      <c r="H329" s="75">
        <f>IF(ISBLANK(E329),"",IF(OR(D329="Butterfly",D329="Butterfly ",D329="Iron Fly", D329="Iron Fly "),LEN(E329)-LEN(SUBSTITUTE(E329,"/",""))+2,LEN(E329)-LEN(SUBSTITUTE(E329,"/",""))+1))</f>
        <v/>
      </c>
      <c r="I329" s="78">
        <f>IF(ISBLANK(G329),"",IF(D329="Stock","0",Key!$A$3*H329*G329))</f>
        <v/>
      </c>
      <c r="J329" s="78">
        <f>IF(ISBLANK(E329),"",IF(ISNUMBER(SEARCH("/",E329)), IF(LEN(E329)-LEN(SUBSTITUTE(E329,"/",""))=1,(RIGHT(E329,LEN(E329)-FIND("/",E329)))-(LEFT(E329,FIND("/",E329)-1)),(MID(E329, SEARCH("/",E329) + 1, SEARCH("/",E329, SEARCH("/",E329)+1) - SEARCH("/",E329) - 1))-(LEFT(E329,FIND("/",E329)-1))), "NA"))</f>
        <v/>
      </c>
      <c r="K329" s="79">
        <f>IF(A329&lt;&gt;"", IF(ISBLANK(L329), TODAY(), K329), "")</f>
        <v/>
      </c>
      <c r="L329" s="78" t="n"/>
      <c r="M329" s="78">
        <f>IF(ISBLANK(L329),"",IF(D329="Stock",IF(C329="Buy",L329*G329,IF(C329="Sell",(L329*G329)-I329, X)),IF(C329="Buy",(L329*G329*100)+I329,IF(C329="Sell",(L329*G329*100)-I329, X))))</f>
        <v/>
      </c>
      <c r="N329" s="78">
        <f>IF(ISBLANK(L329),"",IF(AND(C329="Sell",D329="Stock"),M329,IF(ISBLANK(L329),"",IF(C329="Buy",M329, IF(AND(C329="Sell",J329="NA"),(E329*G329*100*0.1)+I329, IF(C329="Sell",(J329-L329)*(100*G329)+I329))))))</f>
        <v/>
      </c>
      <c r="O329" s="75" t="n"/>
      <c r="P329" s="75" t="n"/>
      <c r="Q329" s="75">
        <f>IF(ISBLANK(P329),"",IF(D329="Stock",P329*G329,IF(P329=0,"0",G329*P329*100-(G329*$AF$14))))</f>
        <v/>
      </c>
      <c r="R329" s="79">
        <f>IF(P329&lt;&gt;"", TODAY(), "")</f>
        <v/>
      </c>
      <c r="S329" s="78">
        <f>IF(AND(K329&lt;&gt;"", R329&lt;&gt;""), R329-K329, "")</f>
        <v/>
      </c>
      <c r="T329" s="78" t="n"/>
      <c r="U329" s="92">
        <f>IF(ISBLANK(P329),"",IF(C329="Buy",Q329-M329+T329, IF(C329="Sell",M329-Q329-T329, X)))</f>
        <v/>
      </c>
      <c r="V329" s="81">
        <f>IF(ISBLANK(P329),"",U329/N329)</f>
        <v/>
      </c>
      <c r="W329" s="81">
        <f>IF(ISBLANK(P329),"",IF(S329=0,(365/0.5)*V329,(365/S329)*V329))</f>
        <v/>
      </c>
      <c r="X329" s="75" t="n"/>
      <c r="Y329" s="77" t="n"/>
      <c r="Z329" s="77" t="n"/>
      <c r="AA329" s="75" t="n"/>
      <c r="AB329" s="75" t="n"/>
      <c r="AC329" s="6" t="n"/>
      <c r="AD329" s="75" t="n"/>
      <c r="AE329" s="75" t="n"/>
      <c r="AF329" s="75" t="n"/>
    </row>
    <row r="330" ht="15.75" customHeight="1" s="133">
      <c r="A330" s="75" t="n"/>
      <c r="B330" s="75" t="n"/>
      <c r="C330" s="75" t="n"/>
      <c r="D330" s="75" t="n"/>
      <c r="E330" s="76" t="n"/>
      <c r="F330" s="77" t="n"/>
      <c r="G330" s="75" t="n"/>
      <c r="H330" s="75">
        <f>IF(ISBLANK(E330),"",IF(OR(D330="Butterfly",D330="Butterfly ",D330="Iron Fly", D330="Iron Fly "),LEN(E330)-LEN(SUBSTITUTE(E330,"/",""))+2,LEN(E330)-LEN(SUBSTITUTE(E330,"/",""))+1))</f>
        <v/>
      </c>
      <c r="I330" s="78">
        <f>IF(ISBLANK(G330),"",IF(D330="Stock","0",Key!$A$3*H330*G330))</f>
        <v/>
      </c>
      <c r="J330" s="78">
        <f>IF(ISBLANK(E330),"",IF(ISNUMBER(SEARCH("/",E330)), IF(LEN(E330)-LEN(SUBSTITUTE(E330,"/",""))=1,(RIGHT(E330,LEN(E330)-FIND("/",E330)))-(LEFT(E330,FIND("/",E330)-1)),(MID(E330, SEARCH("/",E330) + 1, SEARCH("/",E330, SEARCH("/",E330)+1) - SEARCH("/",E330) - 1))-(LEFT(E330,FIND("/",E330)-1))), "NA"))</f>
        <v/>
      </c>
      <c r="K330" s="79">
        <f>IF(A330&lt;&gt;"", IF(ISBLANK(L330), TODAY(), K330), "")</f>
        <v/>
      </c>
      <c r="L330" s="78" t="n"/>
      <c r="M330" s="78">
        <f>IF(ISBLANK(L330),"",IF(D330="Stock",IF(C330="Buy",L330*G330,IF(C330="Sell",(L330*G330)-I330, X)),IF(C330="Buy",(L330*G330*100)+I330,IF(C330="Sell",(L330*G330*100)-I330, X))))</f>
        <v/>
      </c>
      <c r="N330" s="78">
        <f>IF(ISBLANK(L330),"",IF(AND(C330="Sell",D330="Stock"),M330,IF(ISBLANK(L330),"",IF(C330="Buy",M330, IF(AND(C330="Sell",J330="NA"),(E330*G330*100*0.1)+I330, IF(C330="Sell",(J330-L330)*(100*G330)+I330))))))</f>
        <v/>
      </c>
      <c r="O330" s="75" t="n"/>
      <c r="P330" s="75" t="n"/>
      <c r="Q330" s="75">
        <f>IF(ISBLANK(P330),"",IF(D330="Stock",P330*G330,IF(P330=0,"0",G330*P330*100-(G330*$AF$14))))</f>
        <v/>
      </c>
      <c r="R330" s="79">
        <f>IF(P330&lt;&gt;"", TODAY(), "")</f>
        <v/>
      </c>
      <c r="S330" s="78">
        <f>IF(AND(K330&lt;&gt;"", R330&lt;&gt;""), R330-K330, "")</f>
        <v/>
      </c>
      <c r="T330" s="78" t="n"/>
      <c r="U330" s="92">
        <f>IF(ISBLANK(P330),"",IF(C330="Buy",Q330-M330+T330, IF(C330="Sell",M330-Q330-T330, X)))</f>
        <v/>
      </c>
      <c r="V330" s="81">
        <f>IF(ISBLANK(P330),"",U330/N330)</f>
        <v/>
      </c>
      <c r="W330" s="81">
        <f>IF(ISBLANK(P330),"",IF(S330=0,(365/0.5)*V330,(365/S330)*V330))</f>
        <v/>
      </c>
      <c r="X330" s="75" t="n"/>
      <c r="Y330" s="77" t="n"/>
      <c r="Z330" s="77" t="n"/>
      <c r="AA330" s="75" t="n"/>
      <c r="AB330" s="75" t="n"/>
      <c r="AC330" s="6" t="n"/>
      <c r="AD330" s="75" t="n"/>
      <c r="AE330" s="75" t="n"/>
      <c r="AF330" s="75" t="n"/>
    </row>
    <row r="331" ht="15.75" customHeight="1" s="133">
      <c r="A331" s="75" t="n"/>
      <c r="B331" s="75" t="n"/>
      <c r="C331" s="75" t="n"/>
      <c r="D331" s="75" t="n"/>
      <c r="E331" s="76" t="n"/>
      <c r="F331" s="77" t="n"/>
      <c r="G331" s="75" t="n"/>
      <c r="H331" s="75">
        <f>IF(ISBLANK(E331),"",IF(OR(D331="Butterfly",D331="Butterfly ",D331="Iron Fly", D331="Iron Fly "),LEN(E331)-LEN(SUBSTITUTE(E331,"/",""))+2,LEN(E331)-LEN(SUBSTITUTE(E331,"/",""))+1))</f>
        <v/>
      </c>
      <c r="I331" s="78">
        <f>IF(ISBLANK(G331),"",IF(D331="Stock","0",Key!$A$3*H331*G331))</f>
        <v/>
      </c>
      <c r="J331" s="78">
        <f>IF(ISBLANK(E331),"",IF(ISNUMBER(SEARCH("/",E331)), IF(LEN(E331)-LEN(SUBSTITUTE(E331,"/",""))=1,(RIGHT(E331,LEN(E331)-FIND("/",E331)))-(LEFT(E331,FIND("/",E331)-1)),(MID(E331, SEARCH("/",E331) + 1, SEARCH("/",E331, SEARCH("/",E331)+1) - SEARCH("/",E331) - 1))-(LEFT(E331,FIND("/",E331)-1))), "NA"))</f>
        <v/>
      </c>
      <c r="K331" s="79">
        <f>IF(A331&lt;&gt;"", IF(ISBLANK(L331), TODAY(), K331), "")</f>
        <v/>
      </c>
      <c r="L331" s="78" t="n"/>
      <c r="M331" s="78">
        <f>IF(ISBLANK(L331),"",IF(D331="Stock",IF(C331="Buy",L331*G331,IF(C331="Sell",(L331*G331)-I331, X)),IF(C331="Buy",(L331*G331*100)+I331,IF(C331="Sell",(L331*G331*100)-I331, X))))</f>
        <v/>
      </c>
      <c r="N331" s="78">
        <f>IF(ISBLANK(L331),"",IF(AND(C331="Sell",D331="Stock"),M331,IF(ISBLANK(L331),"",IF(C331="Buy",M331, IF(AND(C331="Sell",J331="NA"),(E331*G331*100*0.1)+I331, IF(C331="Sell",(J331-L331)*(100*G331)+I331))))))</f>
        <v/>
      </c>
      <c r="O331" s="75" t="n"/>
      <c r="P331" s="75" t="n"/>
      <c r="Q331" s="75">
        <f>IF(ISBLANK(P331),"",IF(D331="Stock",P331*G331,IF(P331=0,"0",G331*P331*100-(G331*$AF$14))))</f>
        <v/>
      </c>
      <c r="R331" s="79">
        <f>IF(P331&lt;&gt;"", TODAY(), "")</f>
        <v/>
      </c>
      <c r="S331" s="78">
        <f>IF(AND(K331&lt;&gt;"", R331&lt;&gt;""), R331-K331, "")</f>
        <v/>
      </c>
      <c r="T331" s="78" t="n"/>
      <c r="U331" s="92">
        <f>IF(ISBLANK(P331),"",IF(C331="Buy",Q331-M331+T331, IF(C331="Sell",M331-Q331-T331, X)))</f>
        <v/>
      </c>
      <c r="V331" s="81">
        <f>IF(ISBLANK(P331),"",U331/N331)</f>
        <v/>
      </c>
      <c r="W331" s="81">
        <f>IF(ISBLANK(P331),"",IF(S331=0,(365/0.5)*V331,(365/S331)*V331))</f>
        <v/>
      </c>
      <c r="X331" s="75" t="n"/>
      <c r="Y331" s="77" t="n"/>
      <c r="Z331" s="77" t="n"/>
      <c r="AA331" s="75" t="n"/>
      <c r="AB331" s="75" t="n"/>
      <c r="AC331" s="6" t="n"/>
      <c r="AD331" s="75" t="n"/>
      <c r="AE331" s="75" t="n"/>
      <c r="AF331" s="75" t="n"/>
    </row>
    <row r="332" ht="15.75" customHeight="1" s="133">
      <c r="A332" s="75" t="n"/>
      <c r="B332" s="75" t="n"/>
      <c r="C332" s="75" t="n"/>
      <c r="D332" s="75" t="n"/>
      <c r="E332" s="76" t="n"/>
      <c r="F332" s="77" t="n"/>
      <c r="G332" s="75" t="n"/>
      <c r="H332" s="75">
        <f>IF(ISBLANK(E332),"",IF(OR(D332="Butterfly",D332="Butterfly ",D332="Iron Fly", D332="Iron Fly "),LEN(E332)-LEN(SUBSTITUTE(E332,"/",""))+2,LEN(E332)-LEN(SUBSTITUTE(E332,"/",""))+1))</f>
        <v/>
      </c>
      <c r="I332" s="78">
        <f>IF(ISBLANK(G332),"",IF(D332="Stock","0",Key!$A$3*H332*G332))</f>
        <v/>
      </c>
      <c r="J332" s="78">
        <f>IF(ISBLANK(E332),"",IF(ISNUMBER(SEARCH("/",E332)), IF(LEN(E332)-LEN(SUBSTITUTE(E332,"/",""))=1,(RIGHT(E332,LEN(E332)-FIND("/",E332)))-(LEFT(E332,FIND("/",E332)-1)),(MID(E332, SEARCH("/",E332) + 1, SEARCH("/",E332, SEARCH("/",E332)+1) - SEARCH("/",E332) - 1))-(LEFT(E332,FIND("/",E332)-1))), "NA"))</f>
        <v/>
      </c>
      <c r="K332" s="79">
        <f>IF(A332&lt;&gt;"", IF(ISBLANK(L332), TODAY(), K332), "")</f>
        <v/>
      </c>
      <c r="L332" s="78" t="n"/>
      <c r="M332" s="78">
        <f>IF(ISBLANK(L332),"",IF(D332="Stock",IF(C332="Buy",L332*G332,IF(C332="Sell",(L332*G332)-I332, X)),IF(C332="Buy",(L332*G332*100)+I332,IF(C332="Sell",(L332*G332*100)-I332, X))))</f>
        <v/>
      </c>
      <c r="N332" s="78">
        <f>IF(ISBLANK(L332),"",IF(AND(C332="Sell",D332="Stock"),M332,IF(ISBLANK(L332),"",IF(C332="Buy",M332, IF(AND(C332="Sell",J332="NA"),(E332*G332*100*0.1)+I332, IF(C332="Sell",(J332-L332)*(100*G332)+I332))))))</f>
        <v/>
      </c>
      <c r="O332" s="75" t="n"/>
      <c r="P332" s="75" t="n"/>
      <c r="Q332" s="75">
        <f>IF(ISBLANK(P332),"",IF(D332="Stock",P332*G332,IF(P332=0,"0",G332*P332*100-(G332*$AF$14))))</f>
        <v/>
      </c>
      <c r="R332" s="79">
        <f>IF(P332&lt;&gt;"", TODAY(), "")</f>
        <v/>
      </c>
      <c r="S332" s="78">
        <f>IF(AND(K332&lt;&gt;"", R332&lt;&gt;""), R332-K332, "")</f>
        <v/>
      </c>
      <c r="T332" s="78" t="n"/>
      <c r="U332" s="92">
        <f>IF(ISBLANK(P332),"",IF(C332="Buy",Q332-M332+T332, IF(C332="Sell",M332-Q332-T332, X)))</f>
        <v/>
      </c>
      <c r="V332" s="81">
        <f>IF(ISBLANK(P332),"",U332/N332)</f>
        <v/>
      </c>
      <c r="W332" s="81">
        <f>IF(ISBLANK(P332),"",IF(S332=0,(365/0.5)*V332,(365/S332)*V332))</f>
        <v/>
      </c>
      <c r="X332" s="75" t="n"/>
      <c r="Y332" s="77" t="n"/>
      <c r="Z332" s="77" t="n"/>
      <c r="AA332" s="75" t="n"/>
      <c r="AB332" s="75" t="n"/>
      <c r="AC332" s="6" t="n"/>
      <c r="AD332" s="75" t="n"/>
      <c r="AE332" s="75" t="n"/>
      <c r="AF332" s="75" t="n"/>
    </row>
    <row r="333" ht="15.75" customHeight="1" s="133">
      <c r="A333" s="75" t="n"/>
      <c r="B333" s="75" t="n"/>
      <c r="C333" s="75" t="n"/>
      <c r="D333" s="75" t="n"/>
      <c r="E333" s="76" t="n"/>
      <c r="F333" s="77" t="n"/>
      <c r="G333" s="75" t="n"/>
      <c r="H333" s="75">
        <f>IF(ISBLANK(E333),"",IF(OR(D333="Butterfly",D333="Butterfly ",D333="Iron Fly", D333="Iron Fly "),LEN(E333)-LEN(SUBSTITUTE(E333,"/",""))+2,LEN(E333)-LEN(SUBSTITUTE(E333,"/",""))+1))</f>
        <v/>
      </c>
      <c r="I333" s="78">
        <f>IF(ISBLANK(G333),"",IF(D333="Stock","0",Key!$A$3*H333*G333))</f>
        <v/>
      </c>
      <c r="J333" s="78">
        <f>IF(ISBLANK(E333),"",IF(ISNUMBER(SEARCH("/",E333)), IF(LEN(E333)-LEN(SUBSTITUTE(E333,"/",""))=1,(RIGHT(E333,LEN(E333)-FIND("/",E333)))-(LEFT(E333,FIND("/",E333)-1)),(MID(E333, SEARCH("/",E333) + 1, SEARCH("/",E333, SEARCH("/",E333)+1) - SEARCH("/",E333) - 1))-(LEFT(E333,FIND("/",E333)-1))), "NA"))</f>
        <v/>
      </c>
      <c r="K333" s="79">
        <f>IF(A333&lt;&gt;"", IF(ISBLANK(L333), TODAY(), K333), "")</f>
        <v/>
      </c>
      <c r="L333" s="78" t="n"/>
      <c r="M333" s="78">
        <f>IF(ISBLANK(L333),"",IF(D333="Stock",IF(C333="Buy",L333*G333,IF(C333="Sell",(L333*G333)-I333, X)),IF(C333="Buy",(L333*G333*100)+I333,IF(C333="Sell",(L333*G333*100)-I333, X))))</f>
        <v/>
      </c>
      <c r="N333" s="78">
        <f>IF(ISBLANK(L333),"",IF(AND(C333="Sell",D333="Stock"),M333,IF(ISBLANK(L333),"",IF(C333="Buy",M333, IF(AND(C333="Sell",J333="NA"),(E333*G333*100*0.1)+I333, IF(C333="Sell",(J333-L333)*(100*G333)+I333))))))</f>
        <v/>
      </c>
      <c r="O333" s="75" t="n"/>
      <c r="P333" s="75" t="n"/>
      <c r="Q333" s="75">
        <f>IF(ISBLANK(P333),"",IF(D333="Stock",P333*G333,IF(P333=0,"0",G333*P333*100-(G333*$AF$14))))</f>
        <v/>
      </c>
      <c r="R333" s="79">
        <f>IF(P333&lt;&gt;"", TODAY(), "")</f>
        <v/>
      </c>
      <c r="S333" s="78">
        <f>IF(AND(K333&lt;&gt;"", R333&lt;&gt;""), R333-K333, "")</f>
        <v/>
      </c>
      <c r="T333" s="78" t="n"/>
      <c r="U333" s="92">
        <f>IF(ISBLANK(P333),"",IF(C333="Buy",Q333-M333+T333, IF(C333="Sell",M333-Q333-T333, X)))</f>
        <v/>
      </c>
      <c r="V333" s="81">
        <f>IF(ISBLANK(P333),"",U333/N333)</f>
        <v/>
      </c>
      <c r="W333" s="81">
        <f>IF(ISBLANK(P333),"",IF(S333=0,(365/0.5)*V333,(365/S333)*V333))</f>
        <v/>
      </c>
      <c r="X333" s="75" t="n"/>
      <c r="Y333" s="77" t="n"/>
      <c r="Z333" s="77" t="n"/>
      <c r="AA333" s="75" t="n"/>
      <c r="AB333" s="75" t="n"/>
      <c r="AC333" s="6" t="n"/>
      <c r="AD333" s="75" t="n"/>
      <c r="AE333" s="75" t="n"/>
      <c r="AF333" s="75" t="n"/>
    </row>
    <row r="334" ht="15.75" customHeight="1" s="133">
      <c r="A334" s="75" t="n"/>
      <c r="B334" s="75" t="n"/>
      <c r="C334" s="75" t="n"/>
      <c r="D334" s="75" t="n"/>
      <c r="E334" s="76" t="n"/>
      <c r="F334" s="77" t="n"/>
      <c r="G334" s="75" t="n"/>
      <c r="H334" s="75">
        <f>IF(ISBLANK(E334),"",IF(OR(D334="Butterfly",D334="Butterfly ",D334="Iron Fly", D334="Iron Fly "),LEN(E334)-LEN(SUBSTITUTE(E334,"/",""))+2,LEN(E334)-LEN(SUBSTITUTE(E334,"/",""))+1))</f>
        <v/>
      </c>
      <c r="I334" s="78">
        <f>IF(ISBLANK(G334),"",IF(D334="Stock","0",Key!$A$3*H334*G334))</f>
        <v/>
      </c>
      <c r="J334" s="78">
        <f>IF(ISBLANK(E334),"",IF(ISNUMBER(SEARCH("/",E334)), IF(LEN(E334)-LEN(SUBSTITUTE(E334,"/",""))=1,(RIGHT(E334,LEN(E334)-FIND("/",E334)))-(LEFT(E334,FIND("/",E334)-1)),(MID(E334, SEARCH("/",E334) + 1, SEARCH("/",E334, SEARCH("/",E334)+1) - SEARCH("/",E334) - 1))-(LEFT(E334,FIND("/",E334)-1))), "NA"))</f>
        <v/>
      </c>
      <c r="K334" s="79">
        <f>IF(A334&lt;&gt;"", IF(ISBLANK(L334), TODAY(), K334), "")</f>
        <v/>
      </c>
      <c r="L334" s="78" t="n"/>
      <c r="M334" s="78">
        <f>IF(ISBLANK(L334),"",IF(D334="Stock",IF(C334="Buy",L334*G334,IF(C334="Sell",(L334*G334)-I334, X)),IF(C334="Buy",(L334*G334*100)+I334,IF(C334="Sell",(L334*G334*100)-I334, X))))</f>
        <v/>
      </c>
      <c r="N334" s="78">
        <f>IF(ISBLANK(L334),"",IF(AND(C334="Sell",D334="Stock"),M334,IF(ISBLANK(L334),"",IF(C334="Buy",M334, IF(AND(C334="Sell",J334="NA"),(E334*G334*100*0.1)+I334, IF(C334="Sell",(J334-L334)*(100*G334)+I334))))))</f>
        <v/>
      </c>
      <c r="O334" s="75" t="n"/>
      <c r="P334" s="75" t="n"/>
      <c r="Q334" s="75">
        <f>IF(ISBLANK(P334),"",IF(D334="Stock",P334*G334,IF(P334=0,"0",G334*P334*100-(G334*$AF$14))))</f>
        <v/>
      </c>
      <c r="R334" s="79">
        <f>IF(P334&lt;&gt;"", TODAY(), "")</f>
        <v/>
      </c>
      <c r="S334" s="78">
        <f>IF(AND(K334&lt;&gt;"", R334&lt;&gt;""), R334-K334, "")</f>
        <v/>
      </c>
      <c r="T334" s="78" t="n"/>
      <c r="U334" s="92">
        <f>IF(ISBLANK(P334),"",IF(C334="Buy",Q334-M334+T334, IF(C334="Sell",M334-Q334-T334, X)))</f>
        <v/>
      </c>
      <c r="V334" s="81">
        <f>IF(ISBLANK(P334),"",U334/N334)</f>
        <v/>
      </c>
      <c r="W334" s="81">
        <f>IF(ISBLANK(P334),"",IF(S334=0,(365/0.5)*V334,(365/S334)*V334))</f>
        <v/>
      </c>
      <c r="X334" s="75" t="n"/>
      <c r="Y334" s="77" t="n"/>
      <c r="Z334" s="77" t="n"/>
      <c r="AA334" s="75" t="n"/>
      <c r="AB334" s="75" t="n"/>
      <c r="AC334" s="6" t="n"/>
      <c r="AD334" s="75" t="n"/>
      <c r="AE334" s="75" t="n"/>
      <c r="AF334" s="75" t="n"/>
    </row>
    <row r="335" ht="15.75" customHeight="1" s="133">
      <c r="A335" s="75" t="n"/>
      <c r="B335" s="75" t="n"/>
      <c r="C335" s="75" t="n"/>
      <c r="D335" s="75" t="n"/>
      <c r="E335" s="76" t="n"/>
      <c r="F335" s="77" t="n"/>
      <c r="G335" s="75" t="n"/>
      <c r="H335" s="75">
        <f>IF(ISBLANK(E335),"",IF(OR(D335="Butterfly",D335="Butterfly ",D335="Iron Fly", D335="Iron Fly "),LEN(E335)-LEN(SUBSTITUTE(E335,"/",""))+2,LEN(E335)-LEN(SUBSTITUTE(E335,"/",""))+1))</f>
        <v/>
      </c>
      <c r="I335" s="78">
        <f>IF(ISBLANK(G335),"",IF(D335="Stock","0",Key!$A$3*H335*G335))</f>
        <v/>
      </c>
      <c r="J335" s="78">
        <f>IF(ISBLANK(E335),"",IF(ISNUMBER(SEARCH("/",E335)), IF(LEN(E335)-LEN(SUBSTITUTE(E335,"/",""))=1,(RIGHT(E335,LEN(E335)-FIND("/",E335)))-(LEFT(E335,FIND("/",E335)-1)),(MID(E335, SEARCH("/",E335) + 1, SEARCH("/",E335, SEARCH("/",E335)+1) - SEARCH("/",E335) - 1))-(LEFT(E335,FIND("/",E335)-1))), "NA"))</f>
        <v/>
      </c>
      <c r="K335" s="79">
        <f>IF(A335&lt;&gt;"", IF(ISBLANK(L335), TODAY(), K335), "")</f>
        <v/>
      </c>
      <c r="L335" s="78" t="n"/>
      <c r="M335" s="78">
        <f>IF(ISBLANK(L335),"",IF(D335="Stock",IF(C335="Buy",L335*G335,IF(C335="Sell",(L335*G335)-I335, X)),IF(C335="Buy",(L335*G335*100)+I335,IF(C335="Sell",(L335*G335*100)-I335, X))))</f>
        <v/>
      </c>
      <c r="N335" s="78">
        <f>IF(ISBLANK(L335),"",IF(AND(C335="Sell",D335="Stock"),M335,IF(ISBLANK(L335),"",IF(C335="Buy",M335, IF(AND(C335="Sell",J335="NA"),(E335*G335*100*0.1)+I335, IF(C335="Sell",(J335-L335)*(100*G335)+I335))))))</f>
        <v/>
      </c>
      <c r="O335" s="75" t="n"/>
      <c r="P335" s="75" t="n"/>
      <c r="Q335" s="75">
        <f>IF(ISBLANK(P335),"",IF(D335="Stock",P335*G335,IF(P335=0,"0",G335*P335*100-(G335*$AF$14))))</f>
        <v/>
      </c>
      <c r="R335" s="79">
        <f>IF(P335&lt;&gt;"", TODAY(), "")</f>
        <v/>
      </c>
      <c r="S335" s="78">
        <f>IF(AND(K335&lt;&gt;"", R335&lt;&gt;""), R335-K335, "")</f>
        <v/>
      </c>
      <c r="T335" s="78" t="n"/>
      <c r="U335" s="92">
        <f>IF(ISBLANK(P335),"",IF(C335="Buy",Q335-M335+T335, IF(C335="Sell",M335-Q335-T335, X)))</f>
        <v/>
      </c>
      <c r="V335" s="81">
        <f>IF(ISBLANK(P335),"",U335/N335)</f>
        <v/>
      </c>
      <c r="W335" s="81">
        <f>IF(ISBLANK(P335),"",IF(S335=0,(365/0.5)*V335,(365/S335)*V335))</f>
        <v/>
      </c>
      <c r="X335" s="75" t="n"/>
      <c r="Y335" s="77" t="n"/>
      <c r="Z335" s="77" t="n"/>
      <c r="AA335" s="75" t="n"/>
      <c r="AB335" s="75" t="n"/>
      <c r="AC335" s="6" t="n"/>
      <c r="AD335" s="75" t="n"/>
      <c r="AE335" s="75" t="n"/>
      <c r="AF335" s="75" t="n"/>
    </row>
    <row r="336" ht="15.75" customHeight="1" s="133">
      <c r="A336" s="75" t="n"/>
      <c r="B336" s="75" t="n"/>
      <c r="C336" s="75" t="n"/>
      <c r="D336" s="75" t="n"/>
      <c r="E336" s="76" t="n"/>
      <c r="F336" s="77" t="n"/>
      <c r="G336" s="75" t="n"/>
      <c r="H336" s="75">
        <f>IF(ISBLANK(E336),"",IF(OR(D336="Butterfly",D336="Butterfly ",D336="Iron Fly", D336="Iron Fly "),LEN(E336)-LEN(SUBSTITUTE(E336,"/",""))+2,LEN(E336)-LEN(SUBSTITUTE(E336,"/",""))+1))</f>
        <v/>
      </c>
      <c r="I336" s="78">
        <f>IF(ISBLANK(G336),"",IF(D336="Stock","0",Key!$A$3*H336*G336))</f>
        <v/>
      </c>
      <c r="J336" s="78">
        <f>IF(ISBLANK(E336),"",IF(ISNUMBER(SEARCH("/",E336)), IF(LEN(E336)-LEN(SUBSTITUTE(E336,"/",""))=1,(RIGHT(E336,LEN(E336)-FIND("/",E336)))-(LEFT(E336,FIND("/",E336)-1)),(MID(E336, SEARCH("/",E336) + 1, SEARCH("/",E336, SEARCH("/",E336)+1) - SEARCH("/",E336) - 1))-(LEFT(E336,FIND("/",E336)-1))), "NA"))</f>
        <v/>
      </c>
      <c r="K336" s="79">
        <f>IF(A336&lt;&gt;"", IF(ISBLANK(L336), TODAY(), K336), "")</f>
        <v/>
      </c>
      <c r="L336" s="78" t="n"/>
      <c r="M336" s="78">
        <f>IF(ISBLANK(L336),"",IF(D336="Stock",IF(C336="Buy",L336*G336,IF(C336="Sell",(L336*G336)-I336, X)),IF(C336="Buy",(L336*G336*100)+I336,IF(C336="Sell",(L336*G336*100)-I336, X))))</f>
        <v/>
      </c>
      <c r="N336" s="78">
        <f>IF(ISBLANK(L336),"",IF(AND(C336="Sell",D336="Stock"),M336,IF(ISBLANK(L336),"",IF(C336="Buy",M336, IF(AND(C336="Sell",J336="NA"),(E336*G336*100*0.1)+I336, IF(C336="Sell",(J336-L336)*(100*G336)+I336))))))</f>
        <v/>
      </c>
      <c r="O336" s="75" t="n"/>
      <c r="P336" s="75" t="n"/>
      <c r="Q336" s="75">
        <f>IF(ISBLANK(P336),"",IF(D336="Stock",P336*G336,IF(P336=0,"0",G336*P336*100-(G336*$AF$14))))</f>
        <v/>
      </c>
      <c r="R336" s="79">
        <f>IF(P336&lt;&gt;"", TODAY(), "")</f>
        <v/>
      </c>
      <c r="S336" s="78">
        <f>IF(AND(K336&lt;&gt;"", R336&lt;&gt;""), R336-K336, "")</f>
        <v/>
      </c>
      <c r="T336" s="78" t="n"/>
      <c r="U336" s="92">
        <f>IF(ISBLANK(P336),"",IF(C336="Buy",Q336-M336+T336, IF(C336="Sell",M336-Q336-T336, X)))</f>
        <v/>
      </c>
      <c r="V336" s="81">
        <f>IF(ISBLANK(P336),"",U336/N336)</f>
        <v/>
      </c>
      <c r="W336" s="81">
        <f>IF(ISBLANK(P336),"",IF(S336=0,(365/0.5)*V336,(365/S336)*V336))</f>
        <v/>
      </c>
      <c r="X336" s="75" t="n"/>
      <c r="Y336" s="77" t="n"/>
      <c r="Z336" s="77" t="n"/>
      <c r="AA336" s="75" t="n"/>
      <c r="AB336" s="75" t="n"/>
      <c r="AC336" s="6" t="n"/>
      <c r="AD336" s="75" t="n"/>
      <c r="AE336" s="75" t="n"/>
      <c r="AF336" s="75" t="n"/>
    </row>
    <row r="337" ht="15.75" customHeight="1" s="133">
      <c r="A337" s="75" t="n"/>
      <c r="B337" s="75" t="n"/>
      <c r="C337" s="75" t="n"/>
      <c r="D337" s="75" t="n"/>
      <c r="E337" s="76" t="n"/>
      <c r="F337" s="77" t="n"/>
      <c r="G337" s="75" t="n"/>
      <c r="H337" s="75">
        <f>IF(ISBLANK(E337),"",IF(OR(D337="Butterfly",D337="Butterfly ",D337="Iron Fly", D337="Iron Fly "),LEN(E337)-LEN(SUBSTITUTE(E337,"/",""))+2,LEN(E337)-LEN(SUBSTITUTE(E337,"/",""))+1))</f>
        <v/>
      </c>
      <c r="I337" s="78">
        <f>IF(ISBLANK(G337),"",IF(D337="Stock","0",Key!$A$3*H337*G337))</f>
        <v/>
      </c>
      <c r="J337" s="78">
        <f>IF(ISBLANK(E337),"",IF(ISNUMBER(SEARCH("/",E337)), IF(LEN(E337)-LEN(SUBSTITUTE(E337,"/",""))=1,(RIGHT(E337,LEN(E337)-FIND("/",E337)))-(LEFT(E337,FIND("/",E337)-1)),(MID(E337, SEARCH("/",E337) + 1, SEARCH("/",E337, SEARCH("/",E337)+1) - SEARCH("/",E337) - 1))-(LEFT(E337,FIND("/",E337)-1))), "NA"))</f>
        <v/>
      </c>
      <c r="K337" s="79">
        <f>IF(A337&lt;&gt;"", IF(ISBLANK(L337), TODAY(), K337), "")</f>
        <v/>
      </c>
      <c r="L337" s="78" t="n"/>
      <c r="M337" s="78">
        <f>IF(ISBLANK(L337),"",IF(D337="Stock",IF(C337="Buy",L337*G337,IF(C337="Sell",(L337*G337)-I337, X)),IF(C337="Buy",(L337*G337*100)+I337,IF(C337="Sell",(L337*G337*100)-I337, X))))</f>
        <v/>
      </c>
      <c r="N337" s="78">
        <f>IF(ISBLANK(L337),"",IF(AND(C337="Sell",D337="Stock"),M337,IF(ISBLANK(L337),"",IF(C337="Buy",M337, IF(AND(C337="Sell",J337="NA"),(E337*G337*100*0.1)+I337, IF(C337="Sell",(J337-L337)*(100*G337)+I337))))))</f>
        <v/>
      </c>
      <c r="O337" s="75" t="n"/>
      <c r="P337" s="75" t="n"/>
      <c r="Q337" s="75">
        <f>IF(ISBLANK(P337),"",IF(D337="Stock",P337*G337,IF(P337=0,"0",G337*P337*100-(G337*$AF$14))))</f>
        <v/>
      </c>
      <c r="R337" s="79">
        <f>IF(P337&lt;&gt;"", TODAY(), "")</f>
        <v/>
      </c>
      <c r="S337" s="78">
        <f>IF(AND(K337&lt;&gt;"", R337&lt;&gt;""), R337-K337, "")</f>
        <v/>
      </c>
      <c r="T337" s="78" t="n"/>
      <c r="U337" s="92">
        <f>IF(ISBLANK(P337),"",IF(C337="Buy",Q337-M337+T337, IF(C337="Sell",M337-Q337-T337, X)))</f>
        <v/>
      </c>
      <c r="V337" s="81">
        <f>IF(ISBLANK(P337),"",U337/N337)</f>
        <v/>
      </c>
      <c r="W337" s="81">
        <f>IF(ISBLANK(P337),"",IF(S337=0,(365/0.5)*V337,(365/S337)*V337))</f>
        <v/>
      </c>
      <c r="X337" s="75" t="n"/>
      <c r="Y337" s="77" t="n"/>
      <c r="Z337" s="77" t="n"/>
      <c r="AA337" s="75" t="n"/>
      <c r="AB337" s="75" t="n"/>
      <c r="AC337" s="6" t="n"/>
      <c r="AD337" s="75" t="n"/>
      <c r="AE337" s="75" t="n"/>
      <c r="AF337" s="75" t="n"/>
    </row>
    <row r="338" ht="15.75" customHeight="1" s="133">
      <c r="A338" s="75" t="n"/>
      <c r="B338" s="75" t="n"/>
      <c r="C338" s="75" t="n"/>
      <c r="D338" s="75" t="n"/>
      <c r="E338" s="76" t="n"/>
      <c r="F338" s="77" t="n"/>
      <c r="G338" s="75" t="n"/>
      <c r="H338" s="75">
        <f>IF(ISBLANK(E338),"",IF(OR(D338="Butterfly",D338="Butterfly ",D338="Iron Fly", D338="Iron Fly "),LEN(E338)-LEN(SUBSTITUTE(E338,"/",""))+2,LEN(E338)-LEN(SUBSTITUTE(E338,"/",""))+1))</f>
        <v/>
      </c>
      <c r="I338" s="78">
        <f>IF(ISBLANK(G338),"",IF(D338="Stock","0",Key!$A$3*H338*G338))</f>
        <v/>
      </c>
      <c r="J338" s="78">
        <f>IF(ISBLANK(E338),"",IF(ISNUMBER(SEARCH("/",E338)), IF(LEN(E338)-LEN(SUBSTITUTE(E338,"/",""))=1,(RIGHT(E338,LEN(E338)-FIND("/",E338)))-(LEFT(E338,FIND("/",E338)-1)),(MID(E338, SEARCH("/",E338) + 1, SEARCH("/",E338, SEARCH("/",E338)+1) - SEARCH("/",E338) - 1))-(LEFT(E338,FIND("/",E338)-1))), "NA"))</f>
        <v/>
      </c>
      <c r="K338" s="79">
        <f>IF(A338&lt;&gt;"", IF(ISBLANK(L338), TODAY(), K338), "")</f>
        <v/>
      </c>
      <c r="L338" s="78" t="n"/>
      <c r="M338" s="78">
        <f>IF(ISBLANK(L338),"",IF(D338="Stock",IF(C338="Buy",L338*G338,IF(C338="Sell",(L338*G338)-I338, X)),IF(C338="Buy",(L338*G338*100)+I338,IF(C338="Sell",(L338*G338*100)-I338, X))))</f>
        <v/>
      </c>
      <c r="N338" s="78">
        <f>IF(ISBLANK(L338),"",IF(AND(C338="Sell",D338="Stock"),M338,IF(ISBLANK(L338),"",IF(C338="Buy",M338, IF(AND(C338="Sell",J338="NA"),(E338*G338*100*0.1)+I338, IF(C338="Sell",(J338-L338)*(100*G338)+I338))))))</f>
        <v/>
      </c>
      <c r="O338" s="75" t="n"/>
      <c r="P338" s="75" t="n"/>
      <c r="Q338" s="75">
        <f>IF(ISBLANK(P338),"",IF(D338="Stock",P338*G338,IF(P338=0,"0",G338*P338*100-(G338*$AF$14))))</f>
        <v/>
      </c>
      <c r="R338" s="79">
        <f>IF(P338&lt;&gt;"", TODAY(), "")</f>
        <v/>
      </c>
      <c r="S338" s="78">
        <f>IF(AND(K338&lt;&gt;"", R338&lt;&gt;""), R338-K338, "")</f>
        <v/>
      </c>
      <c r="T338" s="78" t="n"/>
      <c r="U338" s="92">
        <f>IF(ISBLANK(P338),"",IF(C338="Buy",Q338-M338+T338, IF(C338="Sell",M338-Q338-T338, X)))</f>
        <v/>
      </c>
      <c r="V338" s="81">
        <f>IF(ISBLANK(P338),"",U338/N338)</f>
        <v/>
      </c>
      <c r="W338" s="81">
        <f>IF(ISBLANK(P338),"",IF(S338=0,(365/0.5)*V338,(365/S338)*V338))</f>
        <v/>
      </c>
      <c r="X338" s="75" t="n"/>
      <c r="Y338" s="77" t="n"/>
      <c r="Z338" s="77" t="n"/>
      <c r="AA338" s="75" t="n"/>
      <c r="AB338" s="75" t="n"/>
      <c r="AC338" s="6" t="n"/>
      <c r="AD338" s="75" t="n"/>
      <c r="AE338" s="75" t="n"/>
      <c r="AF338" s="75" t="n"/>
    </row>
    <row r="339" ht="15.75" customHeight="1" s="133">
      <c r="A339" s="75" t="n"/>
      <c r="B339" s="75" t="n"/>
      <c r="C339" s="75" t="n"/>
      <c r="D339" s="75" t="n"/>
      <c r="E339" s="76" t="n"/>
      <c r="F339" s="77" t="n"/>
      <c r="G339" s="75" t="n"/>
      <c r="H339" s="75">
        <f>IF(ISBLANK(E339),"",IF(OR(D339="Butterfly",D339="Butterfly ",D339="Iron Fly", D339="Iron Fly "),LEN(E339)-LEN(SUBSTITUTE(E339,"/",""))+2,LEN(E339)-LEN(SUBSTITUTE(E339,"/",""))+1))</f>
        <v/>
      </c>
      <c r="I339" s="78">
        <f>IF(ISBLANK(G339),"",IF(D339="Stock","0",Key!$A$3*H339*G339))</f>
        <v/>
      </c>
      <c r="J339" s="78">
        <f>IF(ISBLANK(E339),"",IF(ISNUMBER(SEARCH("/",E339)), IF(LEN(E339)-LEN(SUBSTITUTE(E339,"/",""))=1,(RIGHT(E339,LEN(E339)-FIND("/",E339)))-(LEFT(E339,FIND("/",E339)-1)),(MID(E339, SEARCH("/",E339) + 1, SEARCH("/",E339, SEARCH("/",E339)+1) - SEARCH("/",E339) - 1))-(LEFT(E339,FIND("/",E339)-1))), "NA"))</f>
        <v/>
      </c>
      <c r="K339" s="79">
        <f>IF(A339&lt;&gt;"", IF(ISBLANK(L339), TODAY(), K339), "")</f>
        <v/>
      </c>
      <c r="L339" s="78" t="n"/>
      <c r="M339" s="78">
        <f>IF(ISBLANK(L339),"",IF(D339="Stock",IF(C339="Buy",L339*G339,IF(C339="Sell",(L339*G339)-I339, X)),IF(C339="Buy",(L339*G339*100)+I339,IF(C339="Sell",(L339*G339*100)-I339, X))))</f>
        <v/>
      </c>
      <c r="N339" s="78">
        <f>IF(ISBLANK(L339),"",IF(AND(C339="Sell",D339="Stock"),M339,IF(ISBLANK(L339),"",IF(C339="Buy",M339, IF(AND(C339="Sell",J339="NA"),(E339*G339*100*0.1)+I339, IF(C339="Sell",(J339-L339)*(100*G339)+I339))))))</f>
        <v/>
      </c>
      <c r="O339" s="75" t="n"/>
      <c r="P339" s="75" t="n"/>
      <c r="Q339" s="75">
        <f>IF(ISBLANK(P339),"",IF(D339="Stock",P339*G339,IF(P339=0,"0",G339*P339*100-(G339*$AF$14))))</f>
        <v/>
      </c>
      <c r="R339" s="79">
        <f>IF(P339&lt;&gt;"", TODAY(), "")</f>
        <v/>
      </c>
      <c r="S339" s="78">
        <f>IF(AND(K339&lt;&gt;"", R339&lt;&gt;""), R339-K339, "")</f>
        <v/>
      </c>
      <c r="T339" s="78" t="n"/>
      <c r="U339" s="92">
        <f>IF(ISBLANK(P339),"",IF(C339="Buy",Q339-M339+T339, IF(C339="Sell",M339-Q339-T339, X)))</f>
        <v/>
      </c>
      <c r="V339" s="81">
        <f>IF(ISBLANK(P339),"",U339/N339)</f>
        <v/>
      </c>
      <c r="W339" s="81">
        <f>IF(ISBLANK(P339),"",IF(S339=0,(365/0.5)*V339,(365/S339)*V339))</f>
        <v/>
      </c>
      <c r="X339" s="75" t="n"/>
      <c r="Y339" s="77" t="n"/>
      <c r="Z339" s="77" t="n"/>
      <c r="AA339" s="75" t="n"/>
      <c r="AB339" s="75" t="n"/>
      <c r="AC339" s="6" t="n"/>
      <c r="AD339" s="75" t="n"/>
      <c r="AE339" s="75" t="n"/>
      <c r="AF339" s="75" t="n"/>
    </row>
    <row r="340" ht="15.75" customHeight="1" s="133">
      <c r="A340" s="75" t="n"/>
      <c r="B340" s="75" t="n"/>
      <c r="C340" s="75" t="n"/>
      <c r="D340" s="75" t="n"/>
      <c r="E340" s="76" t="n"/>
      <c r="F340" s="77" t="n"/>
      <c r="G340" s="75" t="n"/>
      <c r="H340" s="75">
        <f>IF(ISBLANK(E340),"",IF(OR(D340="Butterfly",D340="Butterfly ",D340="Iron Fly", D340="Iron Fly "),LEN(E340)-LEN(SUBSTITUTE(E340,"/",""))+2,LEN(E340)-LEN(SUBSTITUTE(E340,"/",""))+1))</f>
        <v/>
      </c>
      <c r="I340" s="78">
        <f>IF(ISBLANK(G340),"",IF(D340="Stock","0",Key!$A$3*H340*G340))</f>
        <v/>
      </c>
      <c r="J340" s="78">
        <f>IF(ISBLANK(E340),"",IF(ISNUMBER(SEARCH("/",E340)), IF(LEN(E340)-LEN(SUBSTITUTE(E340,"/",""))=1,(RIGHT(E340,LEN(E340)-FIND("/",E340)))-(LEFT(E340,FIND("/",E340)-1)),(MID(E340, SEARCH("/",E340) + 1, SEARCH("/",E340, SEARCH("/",E340)+1) - SEARCH("/",E340) - 1))-(LEFT(E340,FIND("/",E340)-1))), "NA"))</f>
        <v/>
      </c>
      <c r="K340" s="79">
        <f>IF(A340&lt;&gt;"", IF(ISBLANK(L340), TODAY(), K340), "")</f>
        <v/>
      </c>
      <c r="L340" s="78" t="n"/>
      <c r="M340" s="78">
        <f>IF(ISBLANK(L340),"",IF(D340="Stock",IF(C340="Buy",L340*G340,IF(C340="Sell",(L340*G340)-I340, X)),IF(C340="Buy",(L340*G340*100)+I340,IF(C340="Sell",(L340*G340*100)-I340, X))))</f>
        <v/>
      </c>
      <c r="N340" s="78">
        <f>IF(ISBLANK(L340),"",IF(AND(C340="Sell",D340="Stock"),M340,IF(ISBLANK(L340),"",IF(C340="Buy",M340, IF(AND(C340="Sell",J340="NA"),(E340*G340*100*0.1)+I340, IF(C340="Sell",(J340-L340)*(100*G340)+I340))))))</f>
        <v/>
      </c>
      <c r="O340" s="75" t="n"/>
      <c r="P340" s="75" t="n"/>
      <c r="Q340" s="75">
        <f>IF(ISBLANK(P340),"",IF(D340="Stock",P340*G340,IF(P340=0,"0",G340*P340*100-(G340*$AF$14))))</f>
        <v/>
      </c>
      <c r="R340" s="79">
        <f>IF(P340&lt;&gt;"", TODAY(), "")</f>
        <v/>
      </c>
      <c r="S340" s="78">
        <f>IF(AND(K340&lt;&gt;"", R340&lt;&gt;""), R340-K340, "")</f>
        <v/>
      </c>
      <c r="T340" s="78" t="n"/>
      <c r="U340" s="92">
        <f>IF(ISBLANK(P340),"",IF(C340="Buy",Q340-M340+T340, IF(C340="Sell",M340-Q340-T340, X)))</f>
        <v/>
      </c>
      <c r="V340" s="81">
        <f>IF(ISBLANK(P340),"",U340/N340)</f>
        <v/>
      </c>
      <c r="W340" s="81">
        <f>IF(ISBLANK(P340),"",IF(S340=0,(365/0.5)*V340,(365/S340)*V340))</f>
        <v/>
      </c>
      <c r="X340" s="75" t="n"/>
      <c r="Y340" s="77" t="n"/>
      <c r="Z340" s="77" t="n"/>
      <c r="AA340" s="75" t="n"/>
      <c r="AB340" s="75" t="n"/>
      <c r="AC340" s="6" t="n"/>
      <c r="AD340" s="75" t="n"/>
      <c r="AE340" s="75" t="n"/>
      <c r="AF340" s="75" t="n"/>
    </row>
    <row r="341" ht="15.75" customHeight="1" s="133">
      <c r="A341" s="75" t="n"/>
      <c r="B341" s="75" t="n"/>
      <c r="C341" s="75" t="n"/>
      <c r="D341" s="75" t="n"/>
      <c r="E341" s="76" t="n"/>
      <c r="F341" s="77" t="n"/>
      <c r="G341" s="75" t="n"/>
      <c r="H341" s="75">
        <f>IF(ISBLANK(E341),"",IF(OR(D341="Butterfly",D341="Butterfly ",D341="Iron Fly", D341="Iron Fly "),LEN(E341)-LEN(SUBSTITUTE(E341,"/",""))+2,LEN(E341)-LEN(SUBSTITUTE(E341,"/",""))+1))</f>
        <v/>
      </c>
      <c r="I341" s="78">
        <f>IF(ISBLANK(G341),"",IF(D341="Stock","0",Key!$A$3*H341*G341))</f>
        <v/>
      </c>
      <c r="J341" s="78">
        <f>IF(ISBLANK(E341),"",IF(ISNUMBER(SEARCH("/",E341)), IF(LEN(E341)-LEN(SUBSTITUTE(E341,"/",""))=1,(RIGHT(E341,LEN(E341)-FIND("/",E341)))-(LEFT(E341,FIND("/",E341)-1)),(MID(E341, SEARCH("/",E341) + 1, SEARCH("/",E341, SEARCH("/",E341)+1) - SEARCH("/",E341) - 1))-(LEFT(E341,FIND("/",E341)-1))), "NA"))</f>
        <v/>
      </c>
      <c r="K341" s="79">
        <f>IF(A341&lt;&gt;"", IF(ISBLANK(L341), TODAY(), K341), "")</f>
        <v/>
      </c>
      <c r="L341" s="78" t="n"/>
      <c r="M341" s="78">
        <f>IF(ISBLANK(L341),"",IF(D341="Stock",IF(C341="Buy",L341*G341,IF(C341="Sell",(L341*G341)-I341, X)),IF(C341="Buy",(L341*G341*100)+I341,IF(C341="Sell",(L341*G341*100)-I341, X))))</f>
        <v/>
      </c>
      <c r="N341" s="78">
        <f>IF(ISBLANK(L341),"",IF(AND(C341="Sell",D341="Stock"),M341,IF(ISBLANK(L341),"",IF(C341="Buy",M341, IF(AND(C341="Sell",J341="NA"),(E341*G341*100*0.1)+I341, IF(C341="Sell",(J341-L341)*(100*G341)+I341))))))</f>
        <v/>
      </c>
      <c r="O341" s="75" t="n"/>
      <c r="P341" s="75" t="n"/>
      <c r="Q341" s="75">
        <f>IF(ISBLANK(P341),"",IF(D341="Stock",P341*G341,IF(P341=0,"0",G341*P341*100-(G341*$AF$14))))</f>
        <v/>
      </c>
      <c r="R341" s="79">
        <f>IF(P341&lt;&gt;"", TODAY(), "")</f>
        <v/>
      </c>
      <c r="S341" s="78">
        <f>IF(AND(K341&lt;&gt;"", R341&lt;&gt;""), R341-K341, "")</f>
        <v/>
      </c>
      <c r="T341" s="78" t="n"/>
      <c r="U341" s="92">
        <f>IF(ISBLANK(P341),"",IF(C341="Buy",Q341-M341+T341, IF(C341="Sell",M341-Q341-T341, X)))</f>
        <v/>
      </c>
      <c r="V341" s="81">
        <f>IF(ISBLANK(P341),"",U341/N341)</f>
        <v/>
      </c>
      <c r="W341" s="81">
        <f>IF(ISBLANK(P341),"",IF(S341=0,(365/0.5)*V341,(365/S341)*V341))</f>
        <v/>
      </c>
      <c r="X341" s="75" t="n"/>
      <c r="Y341" s="77" t="n"/>
      <c r="Z341" s="77" t="n"/>
      <c r="AA341" s="75" t="n"/>
      <c r="AB341" s="75" t="n"/>
      <c r="AC341" s="6" t="n"/>
      <c r="AD341" s="75" t="n"/>
      <c r="AE341" s="75" t="n"/>
      <c r="AF341" s="75" t="n"/>
    </row>
    <row r="342" ht="15.75" customHeight="1" s="133">
      <c r="A342" s="75" t="n"/>
      <c r="B342" s="75" t="n"/>
      <c r="C342" s="75" t="n"/>
      <c r="D342" s="75" t="n"/>
      <c r="E342" s="76" t="n"/>
      <c r="F342" s="77" t="n"/>
      <c r="G342" s="75" t="n"/>
      <c r="H342" s="75">
        <f>IF(ISBLANK(E342),"",IF(OR(D342="Butterfly",D342="Butterfly ",D342="Iron Fly", D342="Iron Fly "),LEN(E342)-LEN(SUBSTITUTE(E342,"/",""))+2,LEN(E342)-LEN(SUBSTITUTE(E342,"/",""))+1))</f>
        <v/>
      </c>
      <c r="I342" s="78">
        <f>IF(ISBLANK(G342),"",IF(D342="Stock","0",Key!$A$3*H342*G342))</f>
        <v/>
      </c>
      <c r="J342" s="78">
        <f>IF(ISBLANK(E342),"",IF(ISNUMBER(SEARCH("/",E342)), IF(LEN(E342)-LEN(SUBSTITUTE(E342,"/",""))=1,(RIGHT(E342,LEN(E342)-FIND("/",E342)))-(LEFT(E342,FIND("/",E342)-1)),(MID(E342, SEARCH("/",E342) + 1, SEARCH("/",E342, SEARCH("/",E342)+1) - SEARCH("/",E342) - 1))-(LEFT(E342,FIND("/",E342)-1))), "NA"))</f>
        <v/>
      </c>
      <c r="K342" s="79">
        <f>IF(A342&lt;&gt;"", IF(ISBLANK(L342), TODAY(), K342), "")</f>
        <v/>
      </c>
      <c r="L342" s="78" t="n"/>
      <c r="M342" s="78">
        <f>IF(ISBLANK(L342),"",IF(D342="Stock",IF(C342="Buy",L342*G342,IF(C342="Sell",(L342*G342)-I342, X)),IF(C342="Buy",(L342*G342*100)+I342,IF(C342="Sell",(L342*G342*100)-I342, X))))</f>
        <v/>
      </c>
      <c r="N342" s="78">
        <f>IF(ISBLANK(L342),"",IF(AND(C342="Sell",D342="Stock"),M342,IF(ISBLANK(L342),"",IF(C342="Buy",M342, IF(AND(C342="Sell",J342="NA"),(E342*G342*100*0.1)+I342, IF(C342="Sell",(J342-L342)*(100*G342)+I342))))))</f>
        <v/>
      </c>
      <c r="O342" s="75" t="n"/>
      <c r="P342" s="75" t="n"/>
      <c r="Q342" s="75">
        <f>IF(ISBLANK(P342),"",IF(D342="Stock",P342*G342,IF(P342=0,"0",G342*P342*100-(G342*$AF$14))))</f>
        <v/>
      </c>
      <c r="R342" s="79">
        <f>IF(P342&lt;&gt;"", TODAY(), "")</f>
        <v/>
      </c>
      <c r="S342" s="78">
        <f>IF(AND(K342&lt;&gt;"", R342&lt;&gt;""), R342-K342, "")</f>
        <v/>
      </c>
      <c r="T342" s="78" t="n"/>
      <c r="U342" s="92">
        <f>IF(ISBLANK(P342),"",IF(C342="Buy",Q342-M342+T342, IF(C342="Sell",M342-Q342-T342, X)))</f>
        <v/>
      </c>
      <c r="V342" s="81">
        <f>IF(ISBLANK(P342),"",U342/N342)</f>
        <v/>
      </c>
      <c r="W342" s="81">
        <f>IF(ISBLANK(P342),"",IF(S342=0,(365/0.5)*V342,(365/S342)*V342))</f>
        <v/>
      </c>
      <c r="X342" s="75" t="n"/>
      <c r="Y342" s="77" t="n"/>
      <c r="Z342" s="77" t="n"/>
      <c r="AA342" s="75" t="n"/>
      <c r="AB342" s="75" t="n"/>
      <c r="AC342" s="6" t="n"/>
      <c r="AD342" s="75" t="n"/>
      <c r="AE342" s="75" t="n"/>
      <c r="AF342" s="75" t="n"/>
    </row>
    <row r="343" ht="15.75" customHeight="1" s="133">
      <c r="A343" s="75" t="n"/>
      <c r="B343" s="75" t="n"/>
      <c r="C343" s="75" t="n"/>
      <c r="D343" s="75" t="n"/>
      <c r="E343" s="76" t="n"/>
      <c r="F343" s="77" t="n"/>
      <c r="G343" s="75" t="n"/>
      <c r="H343" s="75">
        <f>IF(ISBLANK(E343),"",IF(OR(D343="Butterfly",D343="Butterfly ",D343="Iron Fly", D343="Iron Fly "),LEN(E343)-LEN(SUBSTITUTE(E343,"/",""))+2,LEN(E343)-LEN(SUBSTITUTE(E343,"/",""))+1))</f>
        <v/>
      </c>
      <c r="I343" s="78">
        <f>IF(ISBLANK(G343),"",IF(D343="Stock","0",Key!$A$3*H343*G343))</f>
        <v/>
      </c>
      <c r="J343" s="78">
        <f>IF(ISBLANK(E343),"",IF(ISNUMBER(SEARCH("/",E343)), IF(LEN(E343)-LEN(SUBSTITUTE(E343,"/",""))=1,(RIGHT(E343,LEN(E343)-FIND("/",E343)))-(LEFT(E343,FIND("/",E343)-1)),(MID(E343, SEARCH("/",E343) + 1, SEARCH("/",E343, SEARCH("/",E343)+1) - SEARCH("/",E343) - 1))-(LEFT(E343,FIND("/",E343)-1))), "NA"))</f>
        <v/>
      </c>
      <c r="K343" s="79">
        <f>IF(A343&lt;&gt;"", IF(ISBLANK(L343), TODAY(), K343), "")</f>
        <v/>
      </c>
      <c r="L343" s="78" t="n"/>
      <c r="M343" s="78">
        <f>IF(ISBLANK(L343),"",IF(D343="Stock",IF(C343="Buy",L343*G343,IF(C343="Sell",(L343*G343)-I343, X)),IF(C343="Buy",(L343*G343*100)+I343,IF(C343="Sell",(L343*G343*100)-I343, X))))</f>
        <v/>
      </c>
      <c r="N343" s="78">
        <f>IF(ISBLANK(L343),"",IF(AND(C343="Sell",D343="Stock"),M343,IF(ISBLANK(L343),"",IF(C343="Buy",M343, IF(AND(C343="Sell",J343="NA"),(E343*G343*100*0.1)+I343, IF(C343="Sell",(J343-L343)*(100*G343)+I343))))))</f>
        <v/>
      </c>
      <c r="O343" s="75" t="n"/>
      <c r="P343" s="75" t="n"/>
      <c r="Q343" s="75">
        <f>IF(ISBLANK(P343),"",IF(D343="Stock",P343*G343,IF(P343=0,"0",G343*P343*100-(G343*$AF$14))))</f>
        <v/>
      </c>
      <c r="R343" s="79">
        <f>IF(P343&lt;&gt;"", TODAY(), "")</f>
        <v/>
      </c>
      <c r="S343" s="78">
        <f>IF(AND(K343&lt;&gt;"", R343&lt;&gt;""), R343-K343, "")</f>
        <v/>
      </c>
      <c r="T343" s="78" t="n"/>
      <c r="U343" s="92">
        <f>IF(ISBLANK(P343),"",IF(C343="Buy",Q343-M343+T343, IF(C343="Sell",M343-Q343-T343, X)))</f>
        <v/>
      </c>
      <c r="V343" s="81">
        <f>IF(ISBLANK(P343),"",U343/N343)</f>
        <v/>
      </c>
      <c r="W343" s="81">
        <f>IF(ISBLANK(P343),"",IF(S343=0,(365/0.5)*V343,(365/S343)*V343))</f>
        <v/>
      </c>
      <c r="X343" s="75" t="n"/>
      <c r="Y343" s="77" t="n"/>
      <c r="Z343" s="77" t="n"/>
      <c r="AA343" s="75" t="n"/>
      <c r="AB343" s="75" t="n"/>
      <c r="AC343" s="6" t="n"/>
      <c r="AD343" s="75" t="n"/>
      <c r="AE343" s="75" t="n"/>
      <c r="AF343" s="75" t="n"/>
    </row>
    <row r="344" ht="15.75" customHeight="1" s="133">
      <c r="A344" s="75" t="n"/>
      <c r="B344" s="75" t="n"/>
      <c r="C344" s="75" t="n"/>
      <c r="D344" s="75" t="n"/>
      <c r="E344" s="76" t="n"/>
      <c r="F344" s="77" t="n"/>
      <c r="G344" s="75" t="n"/>
      <c r="H344" s="75">
        <f>IF(ISBLANK(E344),"",IF(OR(D344="Butterfly",D344="Butterfly ",D344="Iron Fly", D344="Iron Fly "),LEN(E344)-LEN(SUBSTITUTE(E344,"/",""))+2,LEN(E344)-LEN(SUBSTITUTE(E344,"/",""))+1))</f>
        <v/>
      </c>
      <c r="I344" s="78">
        <f>IF(ISBLANK(G344),"",IF(D344="Stock","0",Key!$A$3*H344*G344))</f>
        <v/>
      </c>
      <c r="J344" s="78">
        <f>IF(ISBLANK(E344),"",IF(ISNUMBER(SEARCH("/",E344)), IF(LEN(E344)-LEN(SUBSTITUTE(E344,"/",""))=1,(RIGHT(E344,LEN(E344)-FIND("/",E344)))-(LEFT(E344,FIND("/",E344)-1)),(MID(E344, SEARCH("/",E344) + 1, SEARCH("/",E344, SEARCH("/",E344)+1) - SEARCH("/",E344) - 1))-(LEFT(E344,FIND("/",E344)-1))), "NA"))</f>
        <v/>
      </c>
      <c r="K344" s="79">
        <f>IF(A344&lt;&gt;"", IF(ISBLANK(L344), TODAY(), K344), "")</f>
        <v/>
      </c>
      <c r="L344" s="78" t="n"/>
      <c r="M344" s="78">
        <f>IF(ISBLANK(L344),"",IF(D344="Stock",IF(C344="Buy",L344*G344,IF(C344="Sell",(L344*G344)-I344, X)),IF(C344="Buy",(L344*G344*100)+I344,IF(C344="Sell",(L344*G344*100)-I344, X))))</f>
        <v/>
      </c>
      <c r="N344" s="78">
        <f>IF(ISBLANK(L344),"",IF(AND(C344="Sell",D344="Stock"),M344,IF(ISBLANK(L344),"",IF(C344="Buy",M344, IF(AND(C344="Sell",J344="NA"),(E344*G344*100*0.1)+I344, IF(C344="Sell",(J344-L344)*(100*G344)+I344))))))</f>
        <v/>
      </c>
      <c r="O344" s="75" t="n"/>
      <c r="P344" s="75" t="n"/>
      <c r="Q344" s="75">
        <f>IF(ISBLANK(P344),"",IF(D344="Stock",P344*G344,IF(P344=0,"0",G344*P344*100-(G344*$AF$14))))</f>
        <v/>
      </c>
      <c r="R344" s="79">
        <f>IF(P344&lt;&gt;"", TODAY(), "")</f>
        <v/>
      </c>
      <c r="S344" s="78">
        <f>IF(AND(K344&lt;&gt;"", R344&lt;&gt;""), R344-K344, "")</f>
        <v/>
      </c>
      <c r="T344" s="78" t="n"/>
      <c r="U344" s="92">
        <f>IF(ISBLANK(P344),"",IF(C344="Buy",Q344-M344+T344, IF(C344="Sell",M344-Q344-T344, X)))</f>
        <v/>
      </c>
      <c r="V344" s="81">
        <f>IF(ISBLANK(P344),"",U344/N344)</f>
        <v/>
      </c>
      <c r="W344" s="81">
        <f>IF(ISBLANK(P344),"",IF(S344=0,(365/0.5)*V344,(365/S344)*V344))</f>
        <v/>
      </c>
      <c r="X344" s="75" t="n"/>
      <c r="Y344" s="77" t="n"/>
      <c r="Z344" s="77" t="n"/>
      <c r="AA344" s="75" t="n"/>
      <c r="AB344" s="75" t="n"/>
      <c r="AC344" s="6" t="n"/>
      <c r="AD344" s="75" t="n"/>
      <c r="AE344" s="75" t="n"/>
      <c r="AF344" s="75" t="n"/>
    </row>
    <row r="345" ht="15.75" customHeight="1" s="133">
      <c r="A345" s="75" t="n"/>
      <c r="B345" s="75" t="n"/>
      <c r="C345" s="75" t="n"/>
      <c r="D345" s="75" t="n"/>
      <c r="E345" s="76" t="n"/>
      <c r="F345" s="77" t="n"/>
      <c r="G345" s="75" t="n"/>
      <c r="H345" s="75">
        <f>IF(ISBLANK(E345),"",IF(OR(D345="Butterfly",D345="Butterfly ",D345="Iron Fly", D345="Iron Fly "),LEN(E345)-LEN(SUBSTITUTE(E345,"/",""))+2,LEN(E345)-LEN(SUBSTITUTE(E345,"/",""))+1))</f>
        <v/>
      </c>
      <c r="I345" s="78">
        <f>IF(ISBLANK(G345),"",IF(D345="Stock","0",Key!$A$3*H345*G345))</f>
        <v/>
      </c>
      <c r="J345" s="78">
        <f>IF(ISBLANK(E345),"",IF(ISNUMBER(SEARCH("/",E345)), IF(LEN(E345)-LEN(SUBSTITUTE(E345,"/",""))=1,(RIGHT(E345,LEN(E345)-FIND("/",E345)))-(LEFT(E345,FIND("/",E345)-1)),(MID(E345, SEARCH("/",E345) + 1, SEARCH("/",E345, SEARCH("/",E345)+1) - SEARCH("/",E345) - 1))-(LEFT(E345,FIND("/",E345)-1))), "NA"))</f>
        <v/>
      </c>
      <c r="K345" s="79">
        <f>IF(A345&lt;&gt;"", IF(ISBLANK(L345), TODAY(), K345), "")</f>
        <v/>
      </c>
      <c r="L345" s="78" t="n"/>
      <c r="M345" s="78">
        <f>IF(ISBLANK(L345),"",IF(D345="Stock",IF(C345="Buy",L345*G345,IF(C345="Sell",(L345*G345)-I345, X)),IF(C345="Buy",(L345*G345*100)+I345,IF(C345="Sell",(L345*G345*100)-I345, X))))</f>
        <v/>
      </c>
      <c r="N345" s="78">
        <f>IF(ISBLANK(L345),"",IF(AND(C345="Sell",D345="Stock"),M345,IF(ISBLANK(L345),"",IF(C345="Buy",M345, IF(AND(C345="Sell",J345="NA"),(E345*G345*100*0.1)+I345, IF(C345="Sell",(J345-L345)*(100*G345)+I345))))))</f>
        <v/>
      </c>
      <c r="O345" s="75" t="n"/>
      <c r="P345" s="75" t="n"/>
      <c r="Q345" s="75">
        <f>IF(ISBLANK(P345),"",IF(D345="Stock",P345*G345,IF(P345=0,"0",G345*P345*100-(G345*$AF$14))))</f>
        <v/>
      </c>
      <c r="R345" s="79">
        <f>IF(P345&lt;&gt;"", TODAY(), "")</f>
        <v/>
      </c>
      <c r="S345" s="78">
        <f>IF(AND(K345&lt;&gt;"", R345&lt;&gt;""), R345-K345, "")</f>
        <v/>
      </c>
      <c r="T345" s="78" t="n"/>
      <c r="U345" s="92">
        <f>IF(ISBLANK(P345),"",IF(C345="Buy",Q345-M345+T345, IF(C345="Sell",M345-Q345-T345, X)))</f>
        <v/>
      </c>
      <c r="V345" s="81">
        <f>IF(ISBLANK(P345),"",U345/N345)</f>
        <v/>
      </c>
      <c r="W345" s="81">
        <f>IF(ISBLANK(P345),"",IF(S345=0,(365/0.5)*V345,(365/S345)*V345))</f>
        <v/>
      </c>
      <c r="X345" s="75" t="n"/>
      <c r="Y345" s="77" t="n"/>
      <c r="Z345" s="77" t="n"/>
      <c r="AA345" s="75" t="n"/>
      <c r="AB345" s="75" t="n"/>
      <c r="AC345" s="6" t="n"/>
      <c r="AD345" s="75" t="n"/>
      <c r="AE345" s="75" t="n"/>
      <c r="AF345" s="75" t="n"/>
    </row>
    <row r="346" ht="15.75" customHeight="1" s="133">
      <c r="A346" s="75" t="n"/>
      <c r="B346" s="75" t="n"/>
      <c r="C346" s="75" t="n"/>
      <c r="D346" s="75" t="n"/>
      <c r="E346" s="76" t="n"/>
      <c r="F346" s="77" t="n"/>
      <c r="G346" s="75" t="n"/>
      <c r="H346" s="75">
        <f>IF(ISBLANK(E346),"",IF(OR(D346="Butterfly",D346="Butterfly ",D346="Iron Fly", D346="Iron Fly "),LEN(E346)-LEN(SUBSTITUTE(E346,"/",""))+2,LEN(E346)-LEN(SUBSTITUTE(E346,"/",""))+1))</f>
        <v/>
      </c>
      <c r="I346" s="78">
        <f>IF(ISBLANK(G346),"",IF(D346="Stock","0",Key!$A$3*H346*G346))</f>
        <v/>
      </c>
      <c r="J346" s="78">
        <f>IF(ISBLANK(E346),"",IF(ISNUMBER(SEARCH("/",E346)), IF(LEN(E346)-LEN(SUBSTITUTE(E346,"/",""))=1,(RIGHT(E346,LEN(E346)-FIND("/",E346)))-(LEFT(E346,FIND("/",E346)-1)),(MID(E346, SEARCH("/",E346) + 1, SEARCH("/",E346, SEARCH("/",E346)+1) - SEARCH("/",E346) - 1))-(LEFT(E346,FIND("/",E346)-1))), "NA"))</f>
        <v/>
      </c>
      <c r="K346" s="79">
        <f>IF(A346&lt;&gt;"", IF(ISBLANK(L346), TODAY(), K346), "")</f>
        <v/>
      </c>
      <c r="L346" s="78" t="n"/>
      <c r="M346" s="78">
        <f>IF(ISBLANK(L346),"",IF(D346="Stock",IF(C346="Buy",L346*G346,IF(C346="Sell",(L346*G346)-I346, X)),IF(C346="Buy",(L346*G346*100)+I346,IF(C346="Sell",(L346*G346*100)-I346, X))))</f>
        <v/>
      </c>
      <c r="N346" s="78">
        <f>IF(ISBLANK(L346),"",IF(AND(C346="Sell",D346="Stock"),M346,IF(ISBLANK(L346),"",IF(C346="Buy",M346, IF(AND(C346="Sell",J346="NA"),(E346*G346*100*0.1)+I346, IF(C346="Sell",(J346-L346)*(100*G346)+I346))))))</f>
        <v/>
      </c>
      <c r="O346" s="75" t="n"/>
      <c r="P346" s="75" t="n"/>
      <c r="Q346" s="75">
        <f>IF(ISBLANK(P346),"",IF(D346="Stock",P346*G346,IF(P346=0,"0",G346*P346*100-(G346*$AF$14))))</f>
        <v/>
      </c>
      <c r="R346" s="79">
        <f>IF(P346&lt;&gt;"", TODAY(), "")</f>
        <v/>
      </c>
      <c r="S346" s="78">
        <f>IF(AND(K346&lt;&gt;"", R346&lt;&gt;""), R346-K346, "")</f>
        <v/>
      </c>
      <c r="T346" s="78" t="n"/>
      <c r="U346" s="92">
        <f>IF(ISBLANK(P346),"",IF(C346="Buy",Q346-M346+T346, IF(C346="Sell",M346-Q346-T346, X)))</f>
        <v/>
      </c>
      <c r="V346" s="81">
        <f>IF(ISBLANK(P346),"",U346/N346)</f>
        <v/>
      </c>
      <c r="W346" s="81">
        <f>IF(ISBLANK(P346),"",IF(S346=0,(365/0.5)*V346,(365/S346)*V346))</f>
        <v/>
      </c>
      <c r="X346" s="75" t="n"/>
      <c r="Y346" s="77" t="n"/>
      <c r="Z346" s="77" t="n"/>
      <c r="AA346" s="75" t="n"/>
      <c r="AB346" s="75" t="n"/>
      <c r="AC346" s="6" t="n"/>
      <c r="AD346" s="75" t="n"/>
      <c r="AE346" s="75" t="n"/>
      <c r="AF346" s="75" t="n"/>
    </row>
    <row r="347" ht="15.75" customHeight="1" s="133">
      <c r="A347" s="75" t="n"/>
      <c r="B347" s="75" t="n"/>
      <c r="C347" s="75" t="n"/>
      <c r="D347" s="75" t="n"/>
      <c r="E347" s="76" t="n"/>
      <c r="F347" s="77" t="n"/>
      <c r="G347" s="75" t="n"/>
      <c r="H347" s="75">
        <f>IF(ISBLANK(E347),"",IF(OR(D347="Butterfly",D347="Butterfly ",D347="Iron Fly", D347="Iron Fly "),LEN(E347)-LEN(SUBSTITUTE(E347,"/",""))+2,LEN(E347)-LEN(SUBSTITUTE(E347,"/",""))+1))</f>
        <v/>
      </c>
      <c r="I347" s="78">
        <f>IF(ISBLANK(G347),"",IF(D347="Stock","0",Key!$A$3*H347*G347))</f>
        <v/>
      </c>
      <c r="J347" s="78">
        <f>IF(ISBLANK(E347),"",IF(ISNUMBER(SEARCH("/",E347)), IF(LEN(E347)-LEN(SUBSTITUTE(E347,"/",""))=1,(RIGHT(E347,LEN(E347)-FIND("/",E347)))-(LEFT(E347,FIND("/",E347)-1)),(MID(E347, SEARCH("/",E347) + 1, SEARCH("/",E347, SEARCH("/",E347)+1) - SEARCH("/",E347) - 1))-(LEFT(E347,FIND("/",E347)-1))), "NA"))</f>
        <v/>
      </c>
      <c r="K347" s="79">
        <f>IF(A347&lt;&gt;"", IF(ISBLANK(L347), TODAY(), K347), "")</f>
        <v/>
      </c>
      <c r="L347" s="78" t="n"/>
      <c r="M347" s="78">
        <f>IF(ISBLANK(L347),"",IF(D347="Stock",IF(C347="Buy",L347*G347,IF(C347="Sell",(L347*G347)-I347, X)),IF(C347="Buy",(L347*G347*100)+I347,IF(C347="Sell",(L347*G347*100)-I347, X))))</f>
        <v/>
      </c>
      <c r="N347" s="78">
        <f>IF(ISBLANK(L347),"",IF(AND(C347="Sell",D347="Stock"),M347,IF(ISBLANK(L347),"",IF(C347="Buy",M347, IF(AND(C347="Sell",J347="NA"),(E347*G347*100*0.1)+I347, IF(C347="Sell",(J347-L347)*(100*G347)+I347))))))</f>
        <v/>
      </c>
      <c r="O347" s="75" t="n"/>
      <c r="P347" s="75" t="n"/>
      <c r="Q347" s="75">
        <f>IF(ISBLANK(P347),"",IF(D347="Stock",P347*G347,IF(P347=0,"0",G347*P347*100-(G347*$AF$14))))</f>
        <v/>
      </c>
      <c r="R347" s="79">
        <f>IF(P347&lt;&gt;"", TODAY(), "")</f>
        <v/>
      </c>
      <c r="S347" s="78">
        <f>IF(AND(K347&lt;&gt;"", R347&lt;&gt;""), R347-K347, "")</f>
        <v/>
      </c>
      <c r="T347" s="78" t="n"/>
      <c r="U347" s="92">
        <f>IF(ISBLANK(P347),"",IF(C347="Buy",Q347-M347+T347, IF(C347="Sell",M347-Q347-T347, X)))</f>
        <v/>
      </c>
      <c r="V347" s="81">
        <f>IF(ISBLANK(P347),"",U347/N347)</f>
        <v/>
      </c>
      <c r="W347" s="81">
        <f>IF(ISBLANK(P347),"",IF(S347=0,(365/0.5)*V347,(365/S347)*V347))</f>
        <v/>
      </c>
      <c r="X347" s="75" t="n"/>
      <c r="Y347" s="77" t="n"/>
      <c r="Z347" s="77" t="n"/>
      <c r="AA347" s="75" t="n"/>
      <c r="AB347" s="75" t="n"/>
      <c r="AC347" s="6" t="n"/>
      <c r="AD347" s="75" t="n"/>
      <c r="AE347" s="75" t="n"/>
      <c r="AF347" s="75" t="n"/>
    </row>
    <row r="348" ht="15.75" customHeight="1" s="133">
      <c r="A348" s="75" t="n"/>
      <c r="B348" s="75" t="n"/>
      <c r="C348" s="75" t="n"/>
      <c r="D348" s="75" t="n"/>
      <c r="E348" s="76" t="n"/>
      <c r="F348" s="77" t="n"/>
      <c r="G348" s="75" t="n"/>
      <c r="H348" s="75">
        <f>IF(ISBLANK(E348),"",IF(OR(D348="Butterfly",D348="Butterfly ",D348="Iron Fly", D348="Iron Fly "),LEN(E348)-LEN(SUBSTITUTE(E348,"/",""))+2,LEN(E348)-LEN(SUBSTITUTE(E348,"/",""))+1))</f>
        <v/>
      </c>
      <c r="I348" s="78">
        <f>IF(ISBLANK(G348),"",IF(D348="Stock","0",Key!$A$3*H348*G348))</f>
        <v/>
      </c>
      <c r="J348" s="78">
        <f>IF(ISBLANK(E348),"",IF(ISNUMBER(SEARCH("/",E348)), IF(LEN(E348)-LEN(SUBSTITUTE(E348,"/",""))=1,(RIGHT(E348,LEN(E348)-FIND("/",E348)))-(LEFT(E348,FIND("/",E348)-1)),(MID(E348, SEARCH("/",E348) + 1, SEARCH("/",E348, SEARCH("/",E348)+1) - SEARCH("/",E348) - 1))-(LEFT(E348,FIND("/",E348)-1))), "NA"))</f>
        <v/>
      </c>
      <c r="K348" s="79">
        <f>IF(A348&lt;&gt;"", IF(ISBLANK(L348), TODAY(), K348), "")</f>
        <v/>
      </c>
      <c r="L348" s="78" t="n"/>
      <c r="M348" s="78">
        <f>IF(ISBLANK(L348),"",IF(D348="Stock",IF(C348="Buy",L348*G348,IF(C348="Sell",(L348*G348)-I348, X)),IF(C348="Buy",(L348*G348*100)+I348,IF(C348="Sell",(L348*G348*100)-I348, X))))</f>
        <v/>
      </c>
      <c r="N348" s="78">
        <f>IF(ISBLANK(L348),"",IF(AND(C348="Sell",D348="Stock"),M348,IF(ISBLANK(L348),"",IF(C348="Buy",M348, IF(AND(C348="Sell",J348="NA"),(E348*G348*100*0.1)+I348, IF(C348="Sell",(J348-L348)*(100*G348)+I348))))))</f>
        <v/>
      </c>
      <c r="O348" s="75" t="n"/>
      <c r="P348" s="75" t="n"/>
      <c r="Q348" s="75">
        <f>IF(ISBLANK(P348),"",IF(D348="Stock",P348*G348,IF(P348=0,"0",G348*P348*100-(G348*$AF$14))))</f>
        <v/>
      </c>
      <c r="R348" s="79">
        <f>IF(P348&lt;&gt;"", TODAY(), "")</f>
        <v/>
      </c>
      <c r="S348" s="78">
        <f>IF(AND(K348&lt;&gt;"", R348&lt;&gt;""), R348-K348, "")</f>
        <v/>
      </c>
      <c r="T348" s="78" t="n"/>
      <c r="U348" s="92">
        <f>IF(ISBLANK(P348),"",IF(C348="Buy",Q348-M348+T348, IF(C348="Sell",M348-Q348-T348, X)))</f>
        <v/>
      </c>
      <c r="V348" s="81">
        <f>IF(ISBLANK(P348),"",U348/N348)</f>
        <v/>
      </c>
      <c r="W348" s="81">
        <f>IF(ISBLANK(P348),"",IF(S348=0,(365/0.5)*V348,(365/S348)*V348))</f>
        <v/>
      </c>
      <c r="X348" s="75" t="n"/>
      <c r="Y348" s="77" t="n"/>
      <c r="Z348" s="77" t="n"/>
      <c r="AA348" s="75" t="n"/>
      <c r="AB348" s="75" t="n"/>
      <c r="AC348" s="6" t="n"/>
      <c r="AD348" s="75" t="n"/>
      <c r="AE348" s="75" t="n"/>
      <c r="AF348" s="75" t="n"/>
    </row>
    <row r="349" ht="15.75" customHeight="1" s="133">
      <c r="A349" s="75" t="n"/>
      <c r="B349" s="75" t="n"/>
      <c r="C349" s="75" t="n"/>
      <c r="D349" s="75" t="n"/>
      <c r="E349" s="76" t="n"/>
      <c r="F349" s="77" t="n"/>
      <c r="G349" s="75" t="n"/>
      <c r="H349" s="75">
        <f>IF(ISBLANK(E349),"",IF(OR(D349="Butterfly",D349="Butterfly ",D349="Iron Fly", D349="Iron Fly "),LEN(E349)-LEN(SUBSTITUTE(E349,"/",""))+2,LEN(E349)-LEN(SUBSTITUTE(E349,"/",""))+1))</f>
        <v/>
      </c>
      <c r="I349" s="78">
        <f>IF(ISBLANK(G349),"",IF(D349="Stock","0",Key!$A$3*H349*G349))</f>
        <v/>
      </c>
      <c r="J349" s="78">
        <f>IF(ISBLANK(E349),"",IF(ISNUMBER(SEARCH("/",E349)), IF(LEN(E349)-LEN(SUBSTITUTE(E349,"/",""))=1,(RIGHT(E349,LEN(E349)-FIND("/",E349)))-(LEFT(E349,FIND("/",E349)-1)),(MID(E349, SEARCH("/",E349) + 1, SEARCH("/",E349, SEARCH("/",E349)+1) - SEARCH("/",E349) - 1))-(LEFT(E349,FIND("/",E349)-1))), "NA"))</f>
        <v/>
      </c>
      <c r="K349" s="79">
        <f>IF(A349&lt;&gt;"", IF(ISBLANK(L349), TODAY(), K349), "")</f>
        <v/>
      </c>
      <c r="L349" s="78" t="n"/>
      <c r="M349" s="78">
        <f>IF(ISBLANK(L349),"",IF(D349="Stock",IF(C349="Buy",L349*G349,IF(C349="Sell",(L349*G349)-I349, X)),IF(C349="Buy",(L349*G349*100)+I349,IF(C349="Sell",(L349*G349*100)-I349, X))))</f>
        <v/>
      </c>
      <c r="N349" s="78">
        <f>IF(ISBLANK(L349),"",IF(AND(C349="Sell",D349="Stock"),M349,IF(ISBLANK(L349),"",IF(C349="Buy",M349, IF(AND(C349="Sell",J349="NA"),(E349*G349*100*0.1)+I349, IF(C349="Sell",(J349-L349)*(100*G349)+I349))))))</f>
        <v/>
      </c>
      <c r="O349" s="75" t="n"/>
      <c r="P349" s="75" t="n"/>
      <c r="Q349" s="75">
        <f>IF(ISBLANK(P349),"",IF(D349="Stock",P349*G349,IF(P349=0,"0",G349*P349*100-(G349*$AF$14))))</f>
        <v/>
      </c>
      <c r="R349" s="79">
        <f>IF(P349&lt;&gt;"", TODAY(), "")</f>
        <v/>
      </c>
      <c r="S349" s="78">
        <f>IF(AND(K349&lt;&gt;"", R349&lt;&gt;""), R349-K349, "")</f>
        <v/>
      </c>
      <c r="T349" s="78" t="n"/>
      <c r="U349" s="92">
        <f>IF(ISBLANK(P349),"",IF(C349="Buy",Q349-M349+T349, IF(C349="Sell",M349-Q349-T349, X)))</f>
        <v/>
      </c>
      <c r="V349" s="81">
        <f>IF(ISBLANK(P349),"",U349/N349)</f>
        <v/>
      </c>
      <c r="W349" s="81">
        <f>IF(ISBLANK(P349),"",IF(S349=0,(365/0.5)*V349,(365/S349)*V349))</f>
        <v/>
      </c>
      <c r="X349" s="75" t="n"/>
      <c r="Y349" s="77" t="n"/>
      <c r="Z349" s="77" t="n"/>
      <c r="AA349" s="75" t="n"/>
      <c r="AB349" s="75" t="n"/>
      <c r="AC349" s="6" t="n"/>
      <c r="AD349" s="75" t="n"/>
      <c r="AE349" s="75" t="n"/>
      <c r="AF349" s="75" t="n"/>
    </row>
    <row r="350" ht="15.75" customHeight="1" s="133">
      <c r="A350" s="75" t="n"/>
      <c r="B350" s="75" t="n"/>
      <c r="C350" s="75" t="n"/>
      <c r="D350" s="75" t="n"/>
      <c r="E350" s="76" t="n"/>
      <c r="F350" s="77" t="n"/>
      <c r="G350" s="75" t="n"/>
      <c r="H350" s="75">
        <f>IF(ISBLANK(E350),"",IF(OR(D350="Butterfly",D350="Butterfly ",D350="Iron Fly", D350="Iron Fly "),LEN(E350)-LEN(SUBSTITUTE(E350,"/",""))+2,LEN(E350)-LEN(SUBSTITUTE(E350,"/",""))+1))</f>
        <v/>
      </c>
      <c r="I350" s="78">
        <f>IF(ISBLANK(G350),"",IF(D350="Stock","0",Key!$A$3*H350*G350))</f>
        <v/>
      </c>
      <c r="J350" s="78">
        <f>IF(ISBLANK(E350),"",IF(ISNUMBER(SEARCH("/",E350)), IF(LEN(E350)-LEN(SUBSTITUTE(E350,"/",""))=1,(RIGHT(E350,LEN(E350)-FIND("/",E350)))-(LEFT(E350,FIND("/",E350)-1)),(MID(E350, SEARCH("/",E350) + 1, SEARCH("/",E350, SEARCH("/",E350)+1) - SEARCH("/",E350) - 1))-(LEFT(E350,FIND("/",E350)-1))), "NA"))</f>
        <v/>
      </c>
      <c r="K350" s="79">
        <f>IF(A350&lt;&gt;"", IF(ISBLANK(L350), TODAY(), K350), "")</f>
        <v/>
      </c>
      <c r="L350" s="78" t="n"/>
      <c r="M350" s="78">
        <f>IF(ISBLANK(L350),"",IF(D350="Stock",IF(C350="Buy",L350*G350,IF(C350="Sell",(L350*G350)-I350, X)),IF(C350="Buy",(L350*G350*100)+I350,IF(C350="Sell",(L350*G350*100)-I350, X))))</f>
        <v/>
      </c>
      <c r="N350" s="78">
        <f>IF(ISBLANK(L350),"",IF(AND(C350="Sell",D350="Stock"),M350,IF(ISBLANK(L350),"",IF(C350="Buy",M350, IF(AND(C350="Sell",J350="NA"),(E350*G350*100*0.1)+I350, IF(C350="Sell",(J350-L350)*(100*G350)+I350))))))</f>
        <v/>
      </c>
      <c r="O350" s="75" t="n"/>
      <c r="P350" s="75" t="n"/>
      <c r="Q350" s="75">
        <f>IF(ISBLANK(P350),"",IF(D350="Stock",P350*G350,IF(P350=0,"0",G350*P350*100-(G350*$AF$14))))</f>
        <v/>
      </c>
      <c r="R350" s="79">
        <f>IF(P350&lt;&gt;"", TODAY(), "")</f>
        <v/>
      </c>
      <c r="S350" s="78">
        <f>IF(AND(K350&lt;&gt;"", R350&lt;&gt;""), R350-K350, "")</f>
        <v/>
      </c>
      <c r="T350" s="78" t="n"/>
      <c r="U350" s="92">
        <f>IF(ISBLANK(P350),"",IF(C350="Buy",Q350-M350+T350, IF(C350="Sell",M350-Q350-T350, X)))</f>
        <v/>
      </c>
      <c r="V350" s="81">
        <f>IF(ISBLANK(P350),"",U350/N350)</f>
        <v/>
      </c>
      <c r="W350" s="81">
        <f>IF(ISBLANK(P350),"",IF(S350=0,(365/0.5)*V350,(365/S350)*V350))</f>
        <v/>
      </c>
      <c r="X350" s="75" t="n"/>
      <c r="Y350" s="77" t="n"/>
      <c r="Z350" s="77" t="n"/>
      <c r="AA350" s="75" t="n"/>
      <c r="AB350" s="75" t="n"/>
      <c r="AC350" s="6" t="n"/>
      <c r="AD350" s="75" t="n"/>
      <c r="AE350" s="75" t="n"/>
      <c r="AF350" s="75" t="n"/>
    </row>
    <row r="351" ht="15.75" customHeight="1" s="133">
      <c r="A351" s="75" t="n"/>
      <c r="B351" s="75" t="n"/>
      <c r="C351" s="75" t="n"/>
      <c r="D351" s="75" t="n"/>
      <c r="E351" s="76" t="n"/>
      <c r="F351" s="77" t="n"/>
      <c r="G351" s="75" t="n"/>
      <c r="H351" s="75">
        <f>IF(ISBLANK(E351),"",IF(OR(D351="Butterfly",D351="Butterfly ",D351="Iron Fly", D351="Iron Fly "),LEN(E351)-LEN(SUBSTITUTE(E351,"/",""))+2,LEN(E351)-LEN(SUBSTITUTE(E351,"/",""))+1))</f>
        <v/>
      </c>
      <c r="I351" s="78">
        <f>IF(ISBLANK(G351),"",IF(D351="Stock","0",Key!$A$3*H351*G351))</f>
        <v/>
      </c>
      <c r="J351" s="78">
        <f>IF(ISBLANK(E351),"",IF(ISNUMBER(SEARCH("/",E351)), IF(LEN(E351)-LEN(SUBSTITUTE(E351,"/",""))=1,(RIGHT(E351,LEN(E351)-FIND("/",E351)))-(LEFT(E351,FIND("/",E351)-1)),(MID(E351, SEARCH("/",E351) + 1, SEARCH("/",E351, SEARCH("/",E351)+1) - SEARCH("/",E351) - 1))-(LEFT(E351,FIND("/",E351)-1))), "NA"))</f>
        <v/>
      </c>
      <c r="K351" s="79">
        <f>IF(A351&lt;&gt;"", IF(ISBLANK(L351), TODAY(), K351), "")</f>
        <v/>
      </c>
      <c r="L351" s="78" t="n"/>
      <c r="M351" s="78">
        <f>IF(ISBLANK(L351),"",IF(D351="Stock",IF(C351="Buy",L351*G351,IF(C351="Sell",(L351*G351)-I351, X)),IF(C351="Buy",(L351*G351*100)+I351,IF(C351="Sell",(L351*G351*100)-I351, X))))</f>
        <v/>
      </c>
      <c r="N351" s="78">
        <f>IF(ISBLANK(L351),"",IF(AND(C351="Sell",D351="Stock"),M351,IF(ISBLANK(L351),"",IF(C351="Buy",M351, IF(AND(C351="Sell",J351="NA"),(E351*G351*100*0.1)+I351, IF(C351="Sell",(J351-L351)*(100*G351)+I351))))))</f>
        <v/>
      </c>
      <c r="O351" s="75" t="n"/>
      <c r="P351" s="75" t="n"/>
      <c r="Q351" s="75">
        <f>IF(ISBLANK(P351),"",IF(D351="Stock",P351*G351,IF(P351=0,"0",G351*P351*100-(G351*$AF$14))))</f>
        <v/>
      </c>
      <c r="R351" s="79">
        <f>IF(P351&lt;&gt;"", TODAY(), "")</f>
        <v/>
      </c>
      <c r="S351" s="78">
        <f>IF(AND(K351&lt;&gt;"", R351&lt;&gt;""), R351-K351, "")</f>
        <v/>
      </c>
      <c r="T351" s="78" t="n"/>
      <c r="U351" s="92">
        <f>IF(ISBLANK(P351),"",IF(C351="Buy",Q351-M351+T351, IF(C351="Sell",M351-Q351-T351, X)))</f>
        <v/>
      </c>
      <c r="V351" s="81">
        <f>IF(ISBLANK(P351),"",U351/N351)</f>
        <v/>
      </c>
      <c r="W351" s="81">
        <f>IF(ISBLANK(P351),"",IF(S351=0,(365/0.5)*V351,(365/S351)*V351))</f>
        <v/>
      </c>
      <c r="X351" s="75" t="n"/>
      <c r="Y351" s="77" t="n"/>
      <c r="Z351" s="77" t="n"/>
      <c r="AA351" s="75" t="n"/>
      <c r="AB351" s="75" t="n"/>
      <c r="AC351" s="6" t="n"/>
      <c r="AD351" s="75" t="n"/>
      <c r="AE351" s="75" t="n"/>
      <c r="AF351" s="75" t="n"/>
    </row>
    <row r="352" ht="15.75" customHeight="1" s="133">
      <c r="A352" s="75" t="n"/>
      <c r="B352" s="75" t="n"/>
      <c r="C352" s="75" t="n"/>
      <c r="D352" s="75" t="n"/>
      <c r="E352" s="76" t="n"/>
      <c r="F352" s="77" t="n"/>
      <c r="G352" s="75" t="n"/>
      <c r="H352" s="75">
        <f>IF(ISBLANK(E352),"",IF(OR(D352="Butterfly",D352="Butterfly ",D352="Iron Fly", D352="Iron Fly "),LEN(E352)-LEN(SUBSTITUTE(E352,"/",""))+2,LEN(E352)-LEN(SUBSTITUTE(E352,"/",""))+1))</f>
        <v/>
      </c>
      <c r="I352" s="78">
        <f>IF(ISBLANK(G352),"",IF(D352="Stock","0",Key!$A$3*H352*G352))</f>
        <v/>
      </c>
      <c r="J352" s="78">
        <f>IF(ISBLANK(E352),"",IF(ISNUMBER(SEARCH("/",E352)), IF(LEN(E352)-LEN(SUBSTITUTE(E352,"/",""))=1,(RIGHT(E352,LEN(E352)-FIND("/",E352)))-(LEFT(E352,FIND("/",E352)-1)),(MID(E352, SEARCH("/",E352) + 1, SEARCH("/",E352, SEARCH("/",E352)+1) - SEARCH("/",E352) - 1))-(LEFT(E352,FIND("/",E352)-1))), "NA"))</f>
        <v/>
      </c>
      <c r="K352" s="79">
        <f>IF(A352&lt;&gt;"", IF(ISBLANK(L352), TODAY(), K352), "")</f>
        <v/>
      </c>
      <c r="L352" s="78" t="n"/>
      <c r="M352" s="78">
        <f>IF(ISBLANK(L352),"",IF(D352="Stock",IF(C352="Buy",L352*G352,IF(C352="Sell",(L352*G352)-I352, X)),IF(C352="Buy",(L352*G352*100)+I352,IF(C352="Sell",(L352*G352*100)-I352, X))))</f>
        <v/>
      </c>
      <c r="N352" s="78">
        <f>IF(ISBLANK(L352),"",IF(AND(C352="Sell",D352="Stock"),M352,IF(ISBLANK(L352),"",IF(C352="Buy",M352, IF(AND(C352="Sell",J352="NA"),(E352*G352*100*0.1)+I352, IF(C352="Sell",(J352-L352)*(100*G352)+I352))))))</f>
        <v/>
      </c>
      <c r="O352" s="75" t="n"/>
      <c r="P352" s="75" t="n"/>
      <c r="Q352" s="75">
        <f>IF(ISBLANK(P352),"",IF(D352="Stock",P352*G352,IF(P352=0,"0",G352*P352*100-(G352*$AF$14))))</f>
        <v/>
      </c>
      <c r="R352" s="79">
        <f>IF(P352&lt;&gt;"", TODAY(), "")</f>
        <v/>
      </c>
      <c r="S352" s="78">
        <f>IF(AND(K352&lt;&gt;"", R352&lt;&gt;""), R352-K352, "")</f>
        <v/>
      </c>
      <c r="T352" s="78" t="n"/>
      <c r="U352" s="92">
        <f>IF(ISBLANK(P352),"",IF(C352="Buy",Q352-M352+T352, IF(C352="Sell",M352-Q352-T352, X)))</f>
        <v/>
      </c>
      <c r="V352" s="81">
        <f>IF(ISBLANK(P352),"",U352/N352)</f>
        <v/>
      </c>
      <c r="W352" s="81">
        <f>IF(ISBLANK(P352),"",IF(S352=0,(365/0.5)*V352,(365/S352)*V352))</f>
        <v/>
      </c>
      <c r="X352" s="75" t="n"/>
      <c r="Y352" s="77" t="n"/>
      <c r="Z352" s="77" t="n"/>
      <c r="AA352" s="75" t="n"/>
      <c r="AB352" s="75" t="n"/>
      <c r="AC352" s="6" t="n"/>
      <c r="AD352" s="75" t="n"/>
      <c r="AE352" s="75" t="n"/>
      <c r="AF352" s="75" t="n"/>
    </row>
    <row r="353" ht="15.75" customHeight="1" s="133">
      <c r="A353" s="75" t="n"/>
      <c r="B353" s="75" t="n"/>
      <c r="C353" s="75" t="n"/>
      <c r="D353" s="75" t="n"/>
      <c r="E353" s="76" t="n"/>
      <c r="F353" s="77" t="n"/>
      <c r="G353" s="75" t="n"/>
      <c r="H353" s="75">
        <f>IF(ISBLANK(E353),"",IF(OR(D353="Butterfly",D353="Butterfly ",D353="Iron Fly", D353="Iron Fly "),LEN(E353)-LEN(SUBSTITUTE(E353,"/",""))+2,LEN(E353)-LEN(SUBSTITUTE(E353,"/",""))+1))</f>
        <v/>
      </c>
      <c r="I353" s="78">
        <f>IF(ISBLANK(G353),"",IF(D353="Stock","0",Key!$A$3*H353*G353))</f>
        <v/>
      </c>
      <c r="J353" s="78">
        <f>IF(ISBLANK(E353),"",IF(ISNUMBER(SEARCH("/",E353)), IF(LEN(E353)-LEN(SUBSTITUTE(E353,"/",""))=1,(RIGHT(E353,LEN(E353)-FIND("/",E353)))-(LEFT(E353,FIND("/",E353)-1)),(MID(E353, SEARCH("/",E353) + 1, SEARCH("/",E353, SEARCH("/",E353)+1) - SEARCH("/",E353) - 1))-(LEFT(E353,FIND("/",E353)-1))), "NA"))</f>
        <v/>
      </c>
      <c r="K353" s="79">
        <f>IF(A353&lt;&gt;"", IF(ISBLANK(L353), TODAY(), K353), "")</f>
        <v/>
      </c>
      <c r="L353" s="78" t="n"/>
      <c r="M353" s="78">
        <f>IF(ISBLANK(L353),"",IF(D353="Stock",IF(C353="Buy",L353*G353,IF(C353="Sell",(L353*G353)-I353, X)),IF(C353="Buy",(L353*G353*100)+I353,IF(C353="Sell",(L353*G353*100)-I353, X))))</f>
        <v/>
      </c>
      <c r="N353" s="78">
        <f>IF(ISBLANK(L353),"",IF(AND(C353="Sell",D353="Stock"),M353,IF(ISBLANK(L353),"",IF(C353="Buy",M353, IF(AND(C353="Sell",J353="NA"),(E353*G353*100*0.1)+I353, IF(C353="Sell",(J353-L353)*(100*G353)+I353))))))</f>
        <v/>
      </c>
      <c r="O353" s="75" t="n"/>
      <c r="P353" s="75" t="n"/>
      <c r="Q353" s="75">
        <f>IF(ISBLANK(P353),"",IF(D353="Stock",P353*G353,IF(P353=0,"0",G353*P353*100-(G353*$AF$14))))</f>
        <v/>
      </c>
      <c r="R353" s="79">
        <f>IF(P353&lt;&gt;"", TODAY(), "")</f>
        <v/>
      </c>
      <c r="S353" s="78">
        <f>IF(AND(K353&lt;&gt;"", R353&lt;&gt;""), R353-K353, "")</f>
        <v/>
      </c>
      <c r="T353" s="78" t="n"/>
      <c r="U353" s="92">
        <f>IF(ISBLANK(P353),"",IF(C353="Buy",Q353-M353+T353, IF(C353="Sell",M353-Q353-T353, X)))</f>
        <v/>
      </c>
      <c r="V353" s="81">
        <f>IF(ISBLANK(P353),"",U353/N353)</f>
        <v/>
      </c>
      <c r="W353" s="81">
        <f>IF(ISBLANK(P353),"",IF(S353=0,(365/0.5)*V353,(365/S353)*V353))</f>
        <v/>
      </c>
      <c r="X353" s="75" t="n"/>
      <c r="Y353" s="77" t="n"/>
      <c r="Z353" s="77" t="n"/>
      <c r="AA353" s="75" t="n"/>
      <c r="AB353" s="75" t="n"/>
      <c r="AC353" s="6" t="n"/>
      <c r="AD353" s="75" t="n"/>
      <c r="AE353" s="75" t="n"/>
      <c r="AF353" s="75" t="n"/>
    </row>
    <row r="354" ht="15.75" customHeight="1" s="133">
      <c r="A354" s="75" t="n"/>
      <c r="B354" s="75" t="n"/>
      <c r="C354" s="75" t="n"/>
      <c r="D354" s="75" t="n"/>
      <c r="E354" s="76" t="n"/>
      <c r="F354" s="77" t="n"/>
      <c r="G354" s="75" t="n"/>
      <c r="H354" s="75">
        <f>IF(ISBLANK(E354),"",IF(OR(D354="Butterfly",D354="Butterfly ",D354="Iron Fly", D354="Iron Fly "),LEN(E354)-LEN(SUBSTITUTE(E354,"/",""))+2,LEN(E354)-LEN(SUBSTITUTE(E354,"/",""))+1))</f>
        <v/>
      </c>
      <c r="I354" s="78">
        <f>IF(ISBLANK(G354),"",IF(D354="Stock","0",Key!$A$3*H354*G354))</f>
        <v/>
      </c>
      <c r="J354" s="78">
        <f>IF(ISBLANK(E354),"",IF(ISNUMBER(SEARCH("/",E354)), IF(LEN(E354)-LEN(SUBSTITUTE(E354,"/",""))=1,(RIGHT(E354,LEN(E354)-FIND("/",E354)))-(LEFT(E354,FIND("/",E354)-1)),(MID(E354, SEARCH("/",E354) + 1, SEARCH("/",E354, SEARCH("/",E354)+1) - SEARCH("/",E354) - 1))-(LEFT(E354,FIND("/",E354)-1))), "NA"))</f>
        <v/>
      </c>
      <c r="K354" s="79">
        <f>IF(A354&lt;&gt;"", IF(ISBLANK(L354), TODAY(), K354), "")</f>
        <v/>
      </c>
      <c r="L354" s="78" t="n"/>
      <c r="M354" s="78">
        <f>IF(ISBLANK(L354),"",IF(D354="Stock",IF(C354="Buy",L354*G354,IF(C354="Sell",(L354*G354)-I354, X)),IF(C354="Buy",(L354*G354*100)+I354,IF(C354="Sell",(L354*G354*100)-I354, X))))</f>
        <v/>
      </c>
      <c r="N354" s="78">
        <f>IF(ISBLANK(L354),"",IF(AND(C354="Sell",D354="Stock"),M354,IF(ISBLANK(L354),"",IF(C354="Buy",M354, IF(AND(C354="Sell",J354="NA"),(E354*G354*100*0.1)+I354, IF(C354="Sell",(J354-L354)*(100*G354)+I354))))))</f>
        <v/>
      </c>
      <c r="O354" s="75" t="n"/>
      <c r="P354" s="75" t="n"/>
      <c r="Q354" s="75">
        <f>IF(ISBLANK(P354),"",IF(D354="Stock",P354*G354,IF(P354=0,"0",G354*P354*100-(G354*$AF$14))))</f>
        <v/>
      </c>
      <c r="R354" s="79">
        <f>IF(P354&lt;&gt;"", TODAY(), "")</f>
        <v/>
      </c>
      <c r="S354" s="78">
        <f>IF(AND(K354&lt;&gt;"", R354&lt;&gt;""), R354-K354, "")</f>
        <v/>
      </c>
      <c r="T354" s="78" t="n"/>
      <c r="U354" s="92">
        <f>IF(ISBLANK(P354),"",IF(C354="Buy",Q354-M354+T354, IF(C354="Sell",M354-Q354-T354, X)))</f>
        <v/>
      </c>
      <c r="V354" s="81">
        <f>IF(ISBLANK(P354),"",U354/N354)</f>
        <v/>
      </c>
      <c r="W354" s="81">
        <f>IF(ISBLANK(P354),"",IF(S354=0,(365/0.5)*V354,(365/S354)*V354))</f>
        <v/>
      </c>
      <c r="X354" s="75" t="n"/>
      <c r="Y354" s="77" t="n"/>
      <c r="Z354" s="77" t="n"/>
      <c r="AA354" s="75" t="n"/>
      <c r="AB354" s="75" t="n"/>
      <c r="AC354" s="6" t="n"/>
      <c r="AD354" s="75" t="n"/>
      <c r="AE354" s="75" t="n"/>
      <c r="AF354" s="75" t="n"/>
    </row>
    <row r="355" ht="15.75" customHeight="1" s="133">
      <c r="A355" s="75" t="n"/>
      <c r="B355" s="75" t="n"/>
      <c r="C355" s="75" t="n"/>
      <c r="D355" s="75" t="n"/>
      <c r="E355" s="76" t="n"/>
      <c r="F355" s="77" t="n"/>
      <c r="G355" s="75" t="n"/>
      <c r="H355" s="75">
        <f>IF(ISBLANK(E355),"",IF(OR(D355="Butterfly",D355="Butterfly ",D355="Iron Fly", D355="Iron Fly "),LEN(E355)-LEN(SUBSTITUTE(E355,"/",""))+2,LEN(E355)-LEN(SUBSTITUTE(E355,"/",""))+1))</f>
        <v/>
      </c>
      <c r="I355" s="78">
        <f>IF(ISBLANK(G355),"",IF(D355="Stock","0",Key!$A$3*H355*G355))</f>
        <v/>
      </c>
      <c r="J355" s="78">
        <f>IF(ISBLANK(E355),"",IF(ISNUMBER(SEARCH("/",E355)), IF(LEN(E355)-LEN(SUBSTITUTE(E355,"/",""))=1,(RIGHT(E355,LEN(E355)-FIND("/",E355)))-(LEFT(E355,FIND("/",E355)-1)),(MID(E355, SEARCH("/",E355) + 1, SEARCH("/",E355, SEARCH("/",E355)+1) - SEARCH("/",E355) - 1))-(LEFT(E355,FIND("/",E355)-1))), "NA"))</f>
        <v/>
      </c>
      <c r="K355" s="79">
        <f>IF(A355&lt;&gt;"", IF(ISBLANK(L355), TODAY(), K355), "")</f>
        <v/>
      </c>
      <c r="L355" s="78" t="n"/>
      <c r="M355" s="78">
        <f>IF(ISBLANK(L355),"",IF(D355="Stock",IF(C355="Buy",L355*G355,IF(C355="Sell",(L355*G355)-I355, X)),IF(C355="Buy",(L355*G355*100)+I355,IF(C355="Sell",(L355*G355*100)-I355, X))))</f>
        <v/>
      </c>
      <c r="N355" s="78">
        <f>IF(ISBLANK(L355),"",IF(AND(C355="Sell",D355="Stock"),M355,IF(ISBLANK(L355),"",IF(C355="Buy",M355, IF(AND(C355="Sell",J355="NA"),(E355*G355*100*0.1)+I355, IF(C355="Sell",(J355-L355)*(100*G355)+I355))))))</f>
        <v/>
      </c>
      <c r="O355" s="75" t="n"/>
      <c r="P355" s="75" t="n"/>
      <c r="Q355" s="75">
        <f>IF(ISBLANK(P355),"",IF(D355="Stock",P355*G355,IF(P355=0,"0",G355*P355*100-(G355*$AF$14))))</f>
        <v/>
      </c>
      <c r="R355" s="79">
        <f>IF(P355&lt;&gt;"", TODAY(), "")</f>
        <v/>
      </c>
      <c r="S355" s="78">
        <f>IF(AND(K355&lt;&gt;"", R355&lt;&gt;""), R355-K355, "")</f>
        <v/>
      </c>
      <c r="T355" s="78" t="n"/>
      <c r="U355" s="92">
        <f>IF(ISBLANK(P355),"",IF(C355="Buy",Q355-M355+T355, IF(C355="Sell",M355-Q355-T355, X)))</f>
        <v/>
      </c>
      <c r="V355" s="81">
        <f>IF(ISBLANK(P355),"",U355/N355)</f>
        <v/>
      </c>
      <c r="W355" s="81">
        <f>IF(ISBLANK(P355),"",IF(S355=0,(365/0.5)*V355,(365/S355)*V355))</f>
        <v/>
      </c>
      <c r="X355" s="75" t="n"/>
      <c r="Y355" s="77" t="n"/>
      <c r="Z355" s="77" t="n"/>
      <c r="AA355" s="75" t="n"/>
      <c r="AB355" s="75" t="n"/>
      <c r="AC355" s="6" t="n"/>
      <c r="AD355" s="75" t="n"/>
      <c r="AE355" s="75" t="n"/>
      <c r="AF355" s="75" t="n"/>
    </row>
    <row r="356" ht="15.75" customHeight="1" s="133">
      <c r="A356" s="75" t="n"/>
      <c r="B356" s="75" t="n"/>
      <c r="C356" s="75" t="n"/>
      <c r="D356" s="75" t="n"/>
      <c r="E356" s="76" t="n"/>
      <c r="F356" s="77" t="n"/>
      <c r="G356" s="75" t="n"/>
      <c r="H356" s="75">
        <f>IF(ISBLANK(E356),"",IF(OR(D356="Butterfly",D356="Butterfly ",D356="Iron Fly", D356="Iron Fly "),LEN(E356)-LEN(SUBSTITUTE(E356,"/",""))+2,LEN(E356)-LEN(SUBSTITUTE(E356,"/",""))+1))</f>
        <v/>
      </c>
      <c r="I356" s="78">
        <f>IF(ISBLANK(G356),"",IF(D356="Stock","0",Key!$A$3*H356*G356))</f>
        <v/>
      </c>
      <c r="J356" s="78">
        <f>IF(ISBLANK(E356),"",IF(ISNUMBER(SEARCH("/",E356)), IF(LEN(E356)-LEN(SUBSTITUTE(E356,"/",""))=1,(RIGHT(E356,LEN(E356)-FIND("/",E356)))-(LEFT(E356,FIND("/",E356)-1)),(MID(E356, SEARCH("/",E356) + 1, SEARCH("/",E356, SEARCH("/",E356)+1) - SEARCH("/",E356) - 1))-(LEFT(E356,FIND("/",E356)-1))), "NA"))</f>
        <v/>
      </c>
      <c r="K356" s="79">
        <f>IF(A356&lt;&gt;"", IF(ISBLANK(L356), TODAY(), K356), "")</f>
        <v/>
      </c>
      <c r="L356" s="78" t="n"/>
      <c r="M356" s="78">
        <f>IF(ISBLANK(L356),"",IF(D356="Stock",IF(C356="Buy",L356*G356,IF(C356="Sell",(L356*G356)-I356, X)),IF(C356="Buy",(L356*G356*100)+I356,IF(C356="Sell",(L356*G356*100)-I356, X))))</f>
        <v/>
      </c>
      <c r="N356" s="78">
        <f>IF(ISBLANK(L356),"",IF(AND(C356="Sell",D356="Stock"),M356,IF(ISBLANK(L356),"",IF(C356="Buy",M356, IF(AND(C356="Sell",J356="NA"),(E356*G356*100*0.1)+I356, IF(C356="Sell",(J356-L356)*(100*G356)+I356))))))</f>
        <v/>
      </c>
      <c r="O356" s="75" t="n"/>
      <c r="P356" s="75" t="n"/>
      <c r="Q356" s="75">
        <f>IF(ISBLANK(P356),"",IF(D356="Stock",P356*G356,IF(P356=0,"0",G356*P356*100-(G356*$AF$14))))</f>
        <v/>
      </c>
      <c r="R356" s="79">
        <f>IF(P356&lt;&gt;"", TODAY(), "")</f>
        <v/>
      </c>
      <c r="S356" s="78">
        <f>IF(AND(K356&lt;&gt;"", R356&lt;&gt;""), R356-K356, "")</f>
        <v/>
      </c>
      <c r="T356" s="78" t="n"/>
      <c r="U356" s="92">
        <f>IF(ISBLANK(P356),"",IF(C356="Buy",Q356-M356+T356, IF(C356="Sell",M356-Q356-T356, X)))</f>
        <v/>
      </c>
      <c r="V356" s="81">
        <f>IF(ISBLANK(P356),"",U356/N356)</f>
        <v/>
      </c>
      <c r="W356" s="81">
        <f>IF(ISBLANK(P356),"",IF(S356=0,(365/0.5)*V356,(365/S356)*V356))</f>
        <v/>
      </c>
      <c r="X356" s="75" t="n"/>
      <c r="Y356" s="77" t="n"/>
      <c r="Z356" s="77" t="n"/>
      <c r="AA356" s="75" t="n"/>
      <c r="AB356" s="75" t="n"/>
      <c r="AC356" s="6" t="n"/>
      <c r="AD356" s="75" t="n"/>
      <c r="AE356" s="75" t="n"/>
      <c r="AF356" s="75" t="n"/>
    </row>
    <row r="357" ht="15.75" customHeight="1" s="133">
      <c r="A357" s="75" t="n"/>
      <c r="B357" s="75" t="n"/>
      <c r="C357" s="75" t="n"/>
      <c r="D357" s="75" t="n"/>
      <c r="E357" s="76" t="n"/>
      <c r="F357" s="77" t="n"/>
      <c r="G357" s="75" t="n"/>
      <c r="H357" s="75">
        <f>IF(ISBLANK(E357),"",IF(OR(D357="Butterfly",D357="Butterfly ",D357="Iron Fly", D357="Iron Fly "),LEN(E357)-LEN(SUBSTITUTE(E357,"/",""))+2,LEN(E357)-LEN(SUBSTITUTE(E357,"/",""))+1))</f>
        <v/>
      </c>
      <c r="I357" s="78">
        <f>IF(ISBLANK(G357),"",IF(D357="Stock","0",Key!$A$3*H357*G357))</f>
        <v/>
      </c>
      <c r="J357" s="78">
        <f>IF(ISBLANK(E357),"",IF(ISNUMBER(SEARCH("/",E357)), IF(LEN(E357)-LEN(SUBSTITUTE(E357,"/",""))=1,(RIGHT(E357,LEN(E357)-FIND("/",E357)))-(LEFT(E357,FIND("/",E357)-1)),(MID(E357, SEARCH("/",E357) + 1, SEARCH("/",E357, SEARCH("/",E357)+1) - SEARCH("/",E357) - 1))-(LEFT(E357,FIND("/",E357)-1))), "NA"))</f>
        <v/>
      </c>
      <c r="K357" s="79">
        <f>IF(A357&lt;&gt;"", IF(ISBLANK(L357), TODAY(), K357), "")</f>
        <v/>
      </c>
      <c r="L357" s="78" t="n"/>
      <c r="M357" s="78">
        <f>IF(ISBLANK(L357),"",IF(D357="Stock",IF(C357="Buy",L357*G357,IF(C357="Sell",(L357*G357)-I357, X)),IF(C357="Buy",(L357*G357*100)+I357,IF(C357="Sell",(L357*G357*100)-I357, X))))</f>
        <v/>
      </c>
      <c r="N357" s="78">
        <f>IF(ISBLANK(L357),"",IF(AND(C357="Sell",D357="Stock"),M357,IF(ISBLANK(L357),"",IF(C357="Buy",M357, IF(AND(C357="Sell",J357="NA"),(E357*G357*100*0.1)+I357, IF(C357="Sell",(J357-L357)*(100*G357)+I357))))))</f>
        <v/>
      </c>
      <c r="O357" s="75" t="n"/>
      <c r="P357" s="75" t="n"/>
      <c r="Q357" s="75">
        <f>IF(ISBLANK(P357),"",IF(D357="Stock",P357*G357,IF(P357=0,"0",G357*P357*100-(G357*$AF$14))))</f>
        <v/>
      </c>
      <c r="R357" s="79">
        <f>IF(P357&lt;&gt;"", TODAY(), "")</f>
        <v/>
      </c>
      <c r="S357" s="78">
        <f>IF(AND(K357&lt;&gt;"", R357&lt;&gt;""), R357-K357, "")</f>
        <v/>
      </c>
      <c r="T357" s="78" t="n"/>
      <c r="U357" s="92">
        <f>IF(ISBLANK(P357),"",IF(C357="Buy",Q357-M357+T357, IF(C357="Sell",M357-Q357-T357, X)))</f>
        <v/>
      </c>
      <c r="V357" s="81">
        <f>IF(ISBLANK(P357),"",U357/N357)</f>
        <v/>
      </c>
      <c r="W357" s="81">
        <f>IF(ISBLANK(P357),"",IF(S357=0,(365/0.5)*V357,(365/S357)*V357))</f>
        <v/>
      </c>
      <c r="X357" s="75" t="n"/>
      <c r="Y357" s="77" t="n"/>
      <c r="Z357" s="77" t="n"/>
      <c r="AA357" s="75" t="n"/>
      <c r="AB357" s="75" t="n"/>
      <c r="AC357" s="6" t="n"/>
      <c r="AD357" s="75" t="n"/>
      <c r="AE357" s="75" t="n"/>
      <c r="AF357" s="75" t="n"/>
    </row>
    <row r="358" ht="15.75" customHeight="1" s="133">
      <c r="A358" s="75" t="n"/>
      <c r="B358" s="75" t="n"/>
      <c r="C358" s="75" t="n"/>
      <c r="D358" s="75" t="n"/>
      <c r="E358" s="76" t="n"/>
      <c r="F358" s="77" t="n"/>
      <c r="G358" s="75" t="n"/>
      <c r="H358" s="75">
        <f>IF(ISBLANK(E358),"",IF(OR(D358="Butterfly",D358="Butterfly ",D358="Iron Fly", D358="Iron Fly "),LEN(E358)-LEN(SUBSTITUTE(E358,"/",""))+2,LEN(E358)-LEN(SUBSTITUTE(E358,"/",""))+1))</f>
        <v/>
      </c>
      <c r="I358" s="78">
        <f>IF(ISBLANK(G358),"",IF(D358="Stock","0",Key!$A$3*H358*G358))</f>
        <v/>
      </c>
      <c r="J358" s="78">
        <f>IF(ISBLANK(E358),"",IF(ISNUMBER(SEARCH("/",E358)), IF(LEN(E358)-LEN(SUBSTITUTE(E358,"/",""))=1,(RIGHT(E358,LEN(E358)-FIND("/",E358)))-(LEFT(E358,FIND("/",E358)-1)),(MID(E358, SEARCH("/",E358) + 1, SEARCH("/",E358, SEARCH("/",E358)+1) - SEARCH("/",E358) - 1))-(LEFT(E358,FIND("/",E358)-1))), "NA"))</f>
        <v/>
      </c>
      <c r="K358" s="79">
        <f>IF(A358&lt;&gt;"", IF(ISBLANK(L358), TODAY(), K358), "")</f>
        <v/>
      </c>
      <c r="L358" s="78" t="n"/>
      <c r="M358" s="78">
        <f>IF(ISBLANK(L358),"",IF(D358="Stock",IF(C358="Buy",L358*G358,IF(C358="Sell",(L358*G358)-I358, X)),IF(C358="Buy",(L358*G358*100)+I358,IF(C358="Sell",(L358*G358*100)-I358, X))))</f>
        <v/>
      </c>
      <c r="N358" s="78">
        <f>IF(ISBLANK(L358),"",IF(AND(C358="Sell",D358="Stock"),M358,IF(ISBLANK(L358),"",IF(C358="Buy",M358, IF(AND(C358="Sell",J358="NA"),(E358*G358*100*0.1)+I358, IF(C358="Sell",(J358-L358)*(100*G358)+I358))))))</f>
        <v/>
      </c>
      <c r="O358" s="75" t="n"/>
      <c r="P358" s="75" t="n"/>
      <c r="Q358" s="75">
        <f>IF(ISBLANK(P358),"",IF(D358="Stock",P358*G358,IF(P358=0,"0",G358*P358*100-(G358*$AF$14))))</f>
        <v/>
      </c>
      <c r="R358" s="79">
        <f>IF(P358&lt;&gt;"", TODAY(), "")</f>
        <v/>
      </c>
      <c r="S358" s="78">
        <f>IF(AND(K358&lt;&gt;"", R358&lt;&gt;""), R358-K358, "")</f>
        <v/>
      </c>
      <c r="T358" s="78" t="n"/>
      <c r="U358" s="92">
        <f>IF(ISBLANK(P358),"",IF(C358="Buy",Q358-M358+T358, IF(C358="Sell",M358-Q358-T358, X)))</f>
        <v/>
      </c>
      <c r="V358" s="81">
        <f>IF(ISBLANK(P358),"",U358/N358)</f>
        <v/>
      </c>
      <c r="W358" s="81">
        <f>IF(ISBLANK(P358),"",IF(S358=0,(365/0.5)*V358,(365/S358)*V358))</f>
        <v/>
      </c>
      <c r="X358" s="75" t="n"/>
      <c r="Y358" s="77" t="n"/>
      <c r="Z358" s="77" t="n"/>
      <c r="AA358" s="75" t="n"/>
      <c r="AB358" s="75" t="n"/>
      <c r="AC358" s="6" t="n"/>
      <c r="AD358" s="75" t="n"/>
      <c r="AE358" s="75" t="n"/>
      <c r="AF358" s="75" t="n"/>
    </row>
    <row r="359" ht="15.75" customHeight="1" s="133">
      <c r="A359" s="75" t="n"/>
      <c r="B359" s="75" t="n"/>
      <c r="C359" s="75" t="n"/>
      <c r="D359" s="75" t="n"/>
      <c r="E359" s="76" t="n"/>
      <c r="F359" s="77" t="n"/>
      <c r="G359" s="75" t="n"/>
      <c r="H359" s="75">
        <f>IF(ISBLANK(E359),"",IF(OR(D359="Butterfly",D359="Butterfly ",D359="Iron Fly", D359="Iron Fly "),LEN(E359)-LEN(SUBSTITUTE(E359,"/",""))+2,LEN(E359)-LEN(SUBSTITUTE(E359,"/",""))+1))</f>
        <v/>
      </c>
      <c r="I359" s="78">
        <f>IF(ISBLANK(G359),"",IF(D359="Stock","0",Key!$A$3*H359*G359))</f>
        <v/>
      </c>
      <c r="J359" s="78">
        <f>IF(ISBLANK(E359),"",IF(ISNUMBER(SEARCH("/",E359)), IF(LEN(E359)-LEN(SUBSTITUTE(E359,"/",""))=1,(RIGHT(E359,LEN(E359)-FIND("/",E359)))-(LEFT(E359,FIND("/",E359)-1)),(MID(E359, SEARCH("/",E359) + 1, SEARCH("/",E359, SEARCH("/",E359)+1) - SEARCH("/",E359) - 1))-(LEFT(E359,FIND("/",E359)-1))), "NA"))</f>
        <v/>
      </c>
      <c r="K359" s="79">
        <f>IF(A359&lt;&gt;"", IF(ISBLANK(L359), TODAY(), K359), "")</f>
        <v/>
      </c>
      <c r="L359" s="78" t="n"/>
      <c r="M359" s="78">
        <f>IF(ISBLANK(L359),"",IF(D359="Stock",IF(C359="Buy",L359*G359,IF(C359="Sell",(L359*G359)-I359, X)),IF(C359="Buy",(L359*G359*100)+I359,IF(C359="Sell",(L359*G359*100)-I359, X))))</f>
        <v/>
      </c>
      <c r="N359" s="78">
        <f>IF(ISBLANK(L359),"",IF(AND(C359="Sell",D359="Stock"),M359,IF(ISBLANK(L359),"",IF(C359="Buy",M359, IF(AND(C359="Sell",J359="NA"),(E359*G359*100*0.1)+I359, IF(C359="Sell",(J359-L359)*(100*G359)+I359))))))</f>
        <v/>
      </c>
      <c r="O359" s="75" t="n"/>
      <c r="P359" s="75" t="n"/>
      <c r="Q359" s="75">
        <f>IF(ISBLANK(P359),"",IF(D359="Stock",P359*G359,IF(P359=0,"0",G359*P359*100-(G359*$AF$14))))</f>
        <v/>
      </c>
      <c r="R359" s="79">
        <f>IF(P359&lt;&gt;"", TODAY(), "")</f>
        <v/>
      </c>
      <c r="S359" s="78">
        <f>IF(AND(K359&lt;&gt;"", R359&lt;&gt;""), R359-K359, "")</f>
        <v/>
      </c>
      <c r="T359" s="78" t="n"/>
      <c r="U359" s="92">
        <f>IF(ISBLANK(P359),"",IF(C359="Buy",Q359-M359+T359, IF(C359="Sell",M359-Q359-T359, X)))</f>
        <v/>
      </c>
      <c r="V359" s="81">
        <f>IF(ISBLANK(P359),"",U359/N359)</f>
        <v/>
      </c>
      <c r="W359" s="81">
        <f>IF(ISBLANK(P359),"",IF(S359=0,(365/0.5)*V359,(365/S359)*V359))</f>
        <v/>
      </c>
      <c r="X359" s="75" t="n"/>
      <c r="Y359" s="77" t="n"/>
      <c r="Z359" s="77" t="n"/>
      <c r="AA359" s="75" t="n"/>
      <c r="AB359" s="75" t="n"/>
      <c r="AC359" s="6" t="n"/>
      <c r="AD359" s="75" t="n"/>
      <c r="AE359" s="75" t="n"/>
      <c r="AF359" s="75" t="n"/>
    </row>
    <row r="360" ht="15.75" customHeight="1" s="133">
      <c r="A360" s="75" t="n"/>
      <c r="B360" s="75" t="n"/>
      <c r="C360" s="75" t="n"/>
      <c r="D360" s="75" t="n"/>
      <c r="E360" s="76" t="n"/>
      <c r="F360" s="77" t="n"/>
      <c r="G360" s="75" t="n"/>
      <c r="H360" s="75">
        <f>IF(ISBLANK(E360),"",IF(OR(D360="Butterfly",D360="Butterfly ",D360="Iron Fly", D360="Iron Fly "),LEN(E360)-LEN(SUBSTITUTE(E360,"/",""))+2,LEN(E360)-LEN(SUBSTITUTE(E360,"/",""))+1))</f>
        <v/>
      </c>
      <c r="I360" s="78">
        <f>IF(ISBLANK(G360),"",IF(D360="Stock","0",Key!$A$3*H360*G360))</f>
        <v/>
      </c>
      <c r="J360" s="78">
        <f>IF(ISBLANK(E360),"",IF(ISNUMBER(SEARCH("/",E360)), IF(LEN(E360)-LEN(SUBSTITUTE(E360,"/",""))=1,(RIGHT(E360,LEN(E360)-FIND("/",E360)))-(LEFT(E360,FIND("/",E360)-1)),(MID(E360, SEARCH("/",E360) + 1, SEARCH("/",E360, SEARCH("/",E360)+1) - SEARCH("/",E360) - 1))-(LEFT(E360,FIND("/",E360)-1))), "NA"))</f>
        <v/>
      </c>
      <c r="K360" s="79">
        <f>IF(A360&lt;&gt;"", IF(ISBLANK(L360), TODAY(), K360), "")</f>
        <v/>
      </c>
      <c r="L360" s="78" t="n"/>
      <c r="M360" s="78">
        <f>IF(ISBLANK(L360),"",IF(D360="Stock",IF(C360="Buy",L360*G360,IF(C360="Sell",(L360*G360)-I360, X)),IF(C360="Buy",(L360*G360*100)+I360,IF(C360="Sell",(L360*G360*100)-I360, X))))</f>
        <v/>
      </c>
      <c r="N360" s="78">
        <f>IF(ISBLANK(L360),"",IF(AND(C360="Sell",D360="Stock"),M360,IF(ISBLANK(L360),"",IF(C360="Buy",M360, IF(AND(C360="Sell",J360="NA"),(E360*G360*100*0.1)+I360, IF(C360="Sell",(J360-L360)*(100*G360)+I360))))))</f>
        <v/>
      </c>
      <c r="O360" s="75" t="n"/>
      <c r="P360" s="75" t="n"/>
      <c r="Q360" s="75">
        <f>IF(ISBLANK(P360),"",IF(D360="Stock",P360*G360,IF(P360=0,"0",G360*P360*100-(G360*$AF$14))))</f>
        <v/>
      </c>
      <c r="R360" s="79">
        <f>IF(P360&lt;&gt;"", TODAY(), "")</f>
        <v/>
      </c>
      <c r="S360" s="78">
        <f>IF(AND(K360&lt;&gt;"", R360&lt;&gt;""), R360-K360, "")</f>
        <v/>
      </c>
      <c r="T360" s="78" t="n"/>
      <c r="U360" s="92">
        <f>IF(ISBLANK(P360),"",IF(C360="Buy",Q360-M360+T360, IF(C360="Sell",M360-Q360-T360, X)))</f>
        <v/>
      </c>
      <c r="V360" s="81">
        <f>IF(ISBLANK(P360),"",U360/N360)</f>
        <v/>
      </c>
      <c r="W360" s="81">
        <f>IF(ISBLANK(P360),"",IF(S360=0,(365/0.5)*V360,(365/S360)*V360))</f>
        <v/>
      </c>
      <c r="X360" s="75" t="n"/>
      <c r="Y360" s="77" t="n"/>
      <c r="Z360" s="77" t="n"/>
      <c r="AA360" s="75" t="n"/>
      <c r="AB360" s="75" t="n"/>
      <c r="AC360" s="6" t="n"/>
      <c r="AD360" s="75" t="n"/>
      <c r="AE360" s="75" t="n"/>
      <c r="AF360" s="75" t="n"/>
    </row>
    <row r="361" ht="15.75" customHeight="1" s="133">
      <c r="A361" s="75" t="n"/>
      <c r="B361" s="75" t="n"/>
      <c r="C361" s="75" t="n"/>
      <c r="D361" s="75" t="n"/>
      <c r="E361" s="76" t="n"/>
      <c r="F361" s="77" t="n"/>
      <c r="G361" s="75" t="n"/>
      <c r="H361" s="75">
        <f>IF(ISBLANK(E361),"",IF(OR(D361="Butterfly",D361="Butterfly ",D361="Iron Fly", D361="Iron Fly "),LEN(E361)-LEN(SUBSTITUTE(E361,"/",""))+2,LEN(E361)-LEN(SUBSTITUTE(E361,"/",""))+1))</f>
        <v/>
      </c>
      <c r="I361" s="78">
        <f>IF(ISBLANK(G361),"",IF(D361="Stock","0",Key!$A$3*H361*G361))</f>
        <v/>
      </c>
      <c r="J361" s="78">
        <f>IF(ISBLANK(E361),"",IF(ISNUMBER(SEARCH("/",E361)), IF(LEN(E361)-LEN(SUBSTITUTE(E361,"/",""))=1,(RIGHT(E361,LEN(E361)-FIND("/",E361)))-(LEFT(E361,FIND("/",E361)-1)),(MID(E361, SEARCH("/",E361) + 1, SEARCH("/",E361, SEARCH("/",E361)+1) - SEARCH("/",E361) - 1))-(LEFT(E361,FIND("/",E361)-1))), "NA"))</f>
        <v/>
      </c>
      <c r="K361" s="79">
        <f>IF(A361&lt;&gt;"", IF(ISBLANK(L361), TODAY(), K361), "")</f>
        <v/>
      </c>
      <c r="L361" s="78" t="n"/>
      <c r="M361" s="78">
        <f>IF(ISBLANK(L361),"",IF(D361="Stock",IF(C361="Buy",L361*G361,IF(C361="Sell",(L361*G361)-I361, X)),IF(C361="Buy",(L361*G361*100)+I361,IF(C361="Sell",(L361*G361*100)-I361, X))))</f>
        <v/>
      </c>
      <c r="N361" s="78">
        <f>IF(ISBLANK(L361),"",IF(AND(C361="Sell",D361="Stock"),M361,IF(ISBLANK(L361),"",IF(C361="Buy",M361, IF(AND(C361="Sell",J361="NA"),(E361*G361*100*0.1)+I361, IF(C361="Sell",(J361-L361)*(100*G361)+I361))))))</f>
        <v/>
      </c>
      <c r="O361" s="75" t="n"/>
      <c r="P361" s="75" t="n"/>
      <c r="Q361" s="75">
        <f>IF(ISBLANK(P361),"",IF(D361="Stock",P361*G361,IF(P361=0,"0",G361*P361*100-(G361*$AF$14))))</f>
        <v/>
      </c>
      <c r="R361" s="79">
        <f>IF(P361&lt;&gt;"", TODAY(), "")</f>
        <v/>
      </c>
      <c r="S361" s="78">
        <f>IF(AND(K361&lt;&gt;"", R361&lt;&gt;""), R361-K361, "")</f>
        <v/>
      </c>
      <c r="T361" s="78" t="n"/>
      <c r="U361" s="92">
        <f>IF(ISBLANK(P361),"",IF(C361="Buy",Q361-M361+T361, IF(C361="Sell",M361-Q361-T361, X)))</f>
        <v/>
      </c>
      <c r="V361" s="81">
        <f>IF(ISBLANK(P361),"",U361/N361)</f>
        <v/>
      </c>
      <c r="W361" s="81">
        <f>IF(ISBLANK(P361),"",IF(S361=0,(365/0.5)*V361,(365/S361)*V361))</f>
        <v/>
      </c>
      <c r="X361" s="75" t="n"/>
      <c r="Y361" s="77" t="n"/>
      <c r="Z361" s="77" t="n"/>
      <c r="AA361" s="75" t="n"/>
      <c r="AB361" s="75" t="n"/>
      <c r="AC361" s="6" t="n"/>
      <c r="AD361" s="75" t="n"/>
      <c r="AE361" s="75" t="n"/>
      <c r="AF361" s="75" t="n"/>
    </row>
    <row r="362" ht="15.75" customHeight="1" s="133">
      <c r="A362" s="75" t="n"/>
      <c r="B362" s="75" t="n"/>
      <c r="C362" s="75" t="n"/>
      <c r="D362" s="75" t="n"/>
      <c r="E362" s="76" t="n"/>
      <c r="F362" s="77" t="n"/>
      <c r="G362" s="75" t="n"/>
      <c r="H362" s="75">
        <f>IF(ISBLANK(E362),"",IF(OR(D362="Butterfly",D362="Butterfly ",D362="Iron Fly", D362="Iron Fly "),LEN(E362)-LEN(SUBSTITUTE(E362,"/",""))+2,LEN(E362)-LEN(SUBSTITUTE(E362,"/",""))+1))</f>
        <v/>
      </c>
      <c r="I362" s="78">
        <f>IF(ISBLANK(G362),"",IF(D362="Stock","0",Key!$A$3*H362*G362))</f>
        <v/>
      </c>
      <c r="J362" s="78">
        <f>IF(ISBLANK(E362),"",IF(ISNUMBER(SEARCH("/",E362)), IF(LEN(E362)-LEN(SUBSTITUTE(E362,"/",""))=1,(RIGHT(E362,LEN(E362)-FIND("/",E362)))-(LEFT(E362,FIND("/",E362)-1)),(MID(E362, SEARCH("/",E362) + 1, SEARCH("/",E362, SEARCH("/",E362)+1) - SEARCH("/",E362) - 1))-(LEFT(E362,FIND("/",E362)-1))), "NA"))</f>
        <v/>
      </c>
      <c r="K362" s="79">
        <f>IF(A362&lt;&gt;"", IF(ISBLANK(L362), TODAY(), K362), "")</f>
        <v/>
      </c>
      <c r="L362" s="78" t="n"/>
      <c r="M362" s="78">
        <f>IF(ISBLANK(L362),"",IF(D362="Stock",IF(C362="Buy",L362*G362,IF(C362="Sell",(L362*G362)-I362, X)),IF(C362="Buy",(L362*G362*100)+I362,IF(C362="Sell",(L362*G362*100)-I362, X))))</f>
        <v/>
      </c>
      <c r="N362" s="78">
        <f>IF(ISBLANK(L362),"",IF(AND(C362="Sell",D362="Stock"),M362,IF(ISBLANK(L362),"",IF(C362="Buy",M362, IF(AND(C362="Sell",J362="NA"),(E362*G362*100*0.1)+I362, IF(C362="Sell",(J362-L362)*(100*G362)+I362))))))</f>
        <v/>
      </c>
      <c r="O362" s="75" t="n"/>
      <c r="P362" s="75" t="n"/>
      <c r="Q362" s="75">
        <f>IF(ISBLANK(P362),"",IF(D362="Stock",P362*G362,IF(P362=0,"0",G362*P362*100-(G362*$AF$14))))</f>
        <v/>
      </c>
      <c r="R362" s="79">
        <f>IF(P362&lt;&gt;"", TODAY(), "")</f>
        <v/>
      </c>
      <c r="S362" s="78">
        <f>IF(AND(K362&lt;&gt;"", R362&lt;&gt;""), R362-K362, "")</f>
        <v/>
      </c>
      <c r="T362" s="78" t="n"/>
      <c r="U362" s="92">
        <f>IF(ISBLANK(P362),"",IF(C362="Buy",Q362-M362+T362, IF(C362="Sell",M362-Q362-T362, X)))</f>
        <v/>
      </c>
      <c r="V362" s="81">
        <f>IF(ISBLANK(P362),"",U362/N362)</f>
        <v/>
      </c>
      <c r="W362" s="81">
        <f>IF(ISBLANK(P362),"",IF(S362=0,(365/0.5)*V362,(365/S362)*V362))</f>
        <v/>
      </c>
      <c r="X362" s="75" t="n"/>
      <c r="Y362" s="77" t="n"/>
      <c r="Z362" s="77" t="n"/>
      <c r="AA362" s="75" t="n"/>
      <c r="AB362" s="75" t="n"/>
      <c r="AC362" s="6" t="n"/>
      <c r="AD362" s="75" t="n"/>
      <c r="AE362" s="75" t="n"/>
      <c r="AF362" s="75" t="n"/>
    </row>
    <row r="363" ht="15.75" customHeight="1" s="133">
      <c r="A363" s="75" t="n"/>
      <c r="B363" s="75" t="n"/>
      <c r="C363" s="75" t="n"/>
      <c r="D363" s="75" t="n"/>
      <c r="E363" s="76" t="n"/>
      <c r="F363" s="77" t="n"/>
      <c r="G363" s="75" t="n"/>
      <c r="H363" s="75">
        <f>IF(ISBLANK(E363),"",IF(OR(D363="Butterfly",D363="Butterfly ",D363="Iron Fly", D363="Iron Fly "),LEN(E363)-LEN(SUBSTITUTE(E363,"/",""))+2,LEN(E363)-LEN(SUBSTITUTE(E363,"/",""))+1))</f>
        <v/>
      </c>
      <c r="I363" s="78">
        <f>IF(ISBLANK(G363),"",IF(D363="Stock","0",Key!$A$3*H363*G363))</f>
        <v/>
      </c>
      <c r="J363" s="78">
        <f>IF(ISBLANK(E363),"",IF(ISNUMBER(SEARCH("/",E363)), IF(LEN(E363)-LEN(SUBSTITUTE(E363,"/",""))=1,(RIGHT(E363,LEN(E363)-FIND("/",E363)))-(LEFT(E363,FIND("/",E363)-1)),(MID(E363, SEARCH("/",E363) + 1, SEARCH("/",E363, SEARCH("/",E363)+1) - SEARCH("/",E363) - 1))-(LEFT(E363,FIND("/",E363)-1))), "NA"))</f>
        <v/>
      </c>
      <c r="K363" s="79">
        <f>IF(A363&lt;&gt;"", IF(ISBLANK(L363), TODAY(), K363), "")</f>
        <v/>
      </c>
      <c r="L363" s="78" t="n"/>
      <c r="M363" s="78">
        <f>IF(ISBLANK(L363),"",IF(D363="Stock",IF(C363="Buy",L363*G363,IF(C363="Sell",(L363*G363)-I363, X)),IF(C363="Buy",(L363*G363*100)+I363,IF(C363="Sell",(L363*G363*100)-I363, X))))</f>
        <v/>
      </c>
      <c r="N363" s="78">
        <f>IF(ISBLANK(L363),"",IF(AND(C363="Sell",D363="Stock"),M363,IF(ISBLANK(L363),"",IF(C363="Buy",M363, IF(AND(C363="Sell",J363="NA"),(E363*G363*100*0.1)+I363, IF(C363="Sell",(J363-L363)*(100*G363)+I363))))))</f>
        <v/>
      </c>
      <c r="O363" s="75" t="n"/>
      <c r="P363" s="75" t="n"/>
      <c r="Q363" s="75">
        <f>IF(ISBLANK(P363),"",IF(D363="Stock",P363*G363,IF(P363=0,"0",G363*P363*100-(G363*$AF$14))))</f>
        <v/>
      </c>
      <c r="R363" s="79">
        <f>IF(P363&lt;&gt;"", TODAY(), "")</f>
        <v/>
      </c>
      <c r="S363" s="78">
        <f>IF(AND(K363&lt;&gt;"", R363&lt;&gt;""), R363-K363, "")</f>
        <v/>
      </c>
      <c r="T363" s="78" t="n"/>
      <c r="U363" s="92">
        <f>IF(ISBLANK(P363),"",IF(C363="Buy",Q363-M363+T363, IF(C363="Sell",M363-Q363-T363, X)))</f>
        <v/>
      </c>
      <c r="V363" s="81">
        <f>IF(ISBLANK(P363),"",U363/N363)</f>
        <v/>
      </c>
      <c r="W363" s="81">
        <f>IF(ISBLANK(P363),"",IF(S363=0,(365/0.5)*V363,(365/S363)*V363))</f>
        <v/>
      </c>
      <c r="X363" s="75" t="n"/>
      <c r="Y363" s="77" t="n"/>
      <c r="Z363" s="77" t="n"/>
      <c r="AA363" s="75" t="n"/>
      <c r="AB363" s="75" t="n"/>
      <c r="AC363" s="6" t="n"/>
      <c r="AD363" s="75" t="n"/>
      <c r="AE363" s="75" t="n"/>
      <c r="AF363" s="75" t="n"/>
    </row>
    <row r="364" ht="15.75" customHeight="1" s="133">
      <c r="A364" s="75" t="n"/>
      <c r="B364" s="75" t="n"/>
      <c r="C364" s="75" t="n"/>
      <c r="D364" s="75" t="n"/>
      <c r="E364" s="76" t="n"/>
      <c r="F364" s="77" t="n"/>
      <c r="G364" s="75" t="n"/>
      <c r="H364" s="75">
        <f>IF(ISBLANK(E364),"",IF(OR(D364="Butterfly",D364="Butterfly ",D364="Iron Fly", D364="Iron Fly "),LEN(E364)-LEN(SUBSTITUTE(E364,"/",""))+2,LEN(E364)-LEN(SUBSTITUTE(E364,"/",""))+1))</f>
        <v/>
      </c>
      <c r="I364" s="78">
        <f>IF(ISBLANK(G364),"",IF(D364="Stock","0",Key!$A$3*H364*G364))</f>
        <v/>
      </c>
      <c r="J364" s="78">
        <f>IF(ISBLANK(E364),"",IF(ISNUMBER(SEARCH("/",E364)), IF(LEN(E364)-LEN(SUBSTITUTE(E364,"/",""))=1,(RIGHT(E364,LEN(E364)-FIND("/",E364)))-(LEFT(E364,FIND("/",E364)-1)),(MID(E364, SEARCH("/",E364) + 1, SEARCH("/",E364, SEARCH("/",E364)+1) - SEARCH("/",E364) - 1))-(LEFT(E364,FIND("/",E364)-1))), "NA"))</f>
        <v/>
      </c>
      <c r="K364" s="79">
        <f>IF(A364&lt;&gt;"", IF(ISBLANK(L364), TODAY(), K364), "")</f>
        <v/>
      </c>
      <c r="L364" s="78" t="n"/>
      <c r="M364" s="78">
        <f>IF(ISBLANK(L364),"",IF(D364="Stock",IF(C364="Buy",L364*G364,IF(C364="Sell",(L364*G364)-I364, X)),IF(C364="Buy",(L364*G364*100)+I364,IF(C364="Sell",(L364*G364*100)-I364, X))))</f>
        <v/>
      </c>
      <c r="N364" s="78">
        <f>IF(ISBLANK(L364),"",IF(AND(C364="Sell",D364="Stock"),M364,IF(ISBLANK(L364),"",IF(C364="Buy",M364, IF(AND(C364="Sell",J364="NA"),(E364*G364*100*0.1)+I364, IF(C364="Sell",(J364-L364)*(100*G364)+I364))))))</f>
        <v/>
      </c>
      <c r="O364" s="75" t="n"/>
      <c r="P364" s="75" t="n"/>
      <c r="Q364" s="75">
        <f>IF(ISBLANK(P364),"",IF(D364="Stock",P364*G364,IF(P364=0,"0",G364*P364*100-(G364*$AF$14))))</f>
        <v/>
      </c>
      <c r="R364" s="79">
        <f>IF(P364&lt;&gt;"", TODAY(), "")</f>
        <v/>
      </c>
      <c r="S364" s="78">
        <f>IF(AND(K364&lt;&gt;"", R364&lt;&gt;""), R364-K364, "")</f>
        <v/>
      </c>
      <c r="T364" s="78" t="n"/>
      <c r="U364" s="92">
        <f>IF(ISBLANK(P364),"",IF(C364="Buy",Q364-M364+T364, IF(C364="Sell",M364-Q364-T364, X)))</f>
        <v/>
      </c>
      <c r="V364" s="81">
        <f>IF(ISBLANK(P364),"",U364/N364)</f>
        <v/>
      </c>
      <c r="W364" s="81">
        <f>IF(ISBLANK(P364),"",IF(S364=0,(365/0.5)*V364,(365/S364)*V364))</f>
        <v/>
      </c>
      <c r="X364" s="75" t="n"/>
      <c r="Y364" s="77" t="n"/>
      <c r="Z364" s="77" t="n"/>
      <c r="AA364" s="75" t="n"/>
      <c r="AB364" s="75" t="n"/>
      <c r="AC364" s="6" t="n"/>
      <c r="AD364" s="75" t="n"/>
      <c r="AE364" s="75" t="n"/>
      <c r="AF364" s="75" t="n"/>
    </row>
    <row r="365" ht="15.75" customHeight="1" s="133">
      <c r="A365" s="75" t="n"/>
      <c r="B365" s="75" t="n"/>
      <c r="C365" s="75" t="n"/>
      <c r="D365" s="75" t="n"/>
      <c r="E365" s="76" t="n"/>
      <c r="F365" s="77" t="n"/>
      <c r="G365" s="75" t="n"/>
      <c r="H365" s="75">
        <f>IF(ISBLANK(E365),"",IF(OR(D365="Butterfly",D365="Butterfly ",D365="Iron Fly", D365="Iron Fly "),LEN(E365)-LEN(SUBSTITUTE(E365,"/",""))+2,LEN(E365)-LEN(SUBSTITUTE(E365,"/",""))+1))</f>
        <v/>
      </c>
      <c r="I365" s="78">
        <f>IF(ISBLANK(G365),"",IF(D365="Stock","0",Key!$A$3*H365*G365))</f>
        <v/>
      </c>
      <c r="J365" s="78">
        <f>IF(ISBLANK(E365),"",IF(ISNUMBER(SEARCH("/",E365)), IF(LEN(E365)-LEN(SUBSTITUTE(E365,"/",""))=1,(RIGHT(E365,LEN(E365)-FIND("/",E365)))-(LEFT(E365,FIND("/",E365)-1)),(MID(E365, SEARCH("/",E365) + 1, SEARCH("/",E365, SEARCH("/",E365)+1) - SEARCH("/",E365) - 1))-(LEFT(E365,FIND("/",E365)-1))), "NA"))</f>
        <v/>
      </c>
      <c r="K365" s="79">
        <f>IF(A365&lt;&gt;"", IF(ISBLANK(L365), TODAY(), K365), "")</f>
        <v/>
      </c>
      <c r="L365" s="78" t="n"/>
      <c r="M365" s="78">
        <f>IF(ISBLANK(L365),"",IF(D365="Stock",IF(C365="Buy",L365*G365,IF(C365="Sell",(L365*G365)-I365, X)),IF(C365="Buy",(L365*G365*100)+I365,IF(C365="Sell",(L365*G365*100)-I365, X))))</f>
        <v/>
      </c>
      <c r="N365" s="78">
        <f>IF(ISBLANK(L365),"",IF(AND(C365="Sell",D365="Stock"),M365,IF(ISBLANK(L365),"",IF(C365="Buy",M365, IF(AND(C365="Sell",J365="NA"),(E365*G365*100*0.1)+I365, IF(C365="Sell",(J365-L365)*(100*G365)+I365))))))</f>
        <v/>
      </c>
      <c r="O365" s="75" t="n"/>
      <c r="P365" s="75" t="n"/>
      <c r="Q365" s="75">
        <f>IF(ISBLANK(P365),"",IF(D365="Stock",P365*G365,IF(P365=0,"0",G365*P365*100-(G365*$AF$14))))</f>
        <v/>
      </c>
      <c r="R365" s="79">
        <f>IF(P365&lt;&gt;"", TODAY(), "")</f>
        <v/>
      </c>
      <c r="S365" s="78">
        <f>IF(AND(K365&lt;&gt;"", R365&lt;&gt;""), R365-K365, "")</f>
        <v/>
      </c>
      <c r="T365" s="78" t="n"/>
      <c r="U365" s="92">
        <f>IF(ISBLANK(P365),"",IF(C365="Buy",Q365-M365+T365, IF(C365="Sell",M365-Q365-T365, X)))</f>
        <v/>
      </c>
      <c r="V365" s="81">
        <f>IF(ISBLANK(P365),"",U365/N365)</f>
        <v/>
      </c>
      <c r="W365" s="81">
        <f>IF(ISBLANK(P365),"",IF(S365=0,(365/0.5)*V365,(365/S365)*V365))</f>
        <v/>
      </c>
      <c r="X365" s="75" t="n"/>
      <c r="Y365" s="77" t="n"/>
      <c r="Z365" s="77" t="n"/>
      <c r="AA365" s="75" t="n"/>
      <c r="AB365" s="75" t="n"/>
      <c r="AC365" s="6" t="n"/>
      <c r="AD365" s="75" t="n"/>
      <c r="AE365" s="75" t="n"/>
      <c r="AF365" s="75" t="n"/>
    </row>
    <row r="366" ht="15.75" customHeight="1" s="133">
      <c r="A366" s="75" t="n"/>
      <c r="B366" s="75" t="n"/>
      <c r="C366" s="75" t="n"/>
      <c r="D366" s="75" t="n"/>
      <c r="E366" s="76" t="n"/>
      <c r="F366" s="77" t="n"/>
      <c r="G366" s="75" t="n"/>
      <c r="H366" s="75">
        <f>IF(ISBLANK(E366),"",IF(OR(D366="Butterfly",D366="Butterfly ",D366="Iron Fly", D366="Iron Fly "),LEN(E366)-LEN(SUBSTITUTE(E366,"/",""))+2,LEN(E366)-LEN(SUBSTITUTE(E366,"/",""))+1))</f>
        <v/>
      </c>
      <c r="I366" s="78">
        <f>IF(ISBLANK(G366),"",IF(D366="Stock","0",Key!$A$3*H366*G366))</f>
        <v/>
      </c>
      <c r="J366" s="78">
        <f>IF(ISBLANK(E366),"",IF(ISNUMBER(SEARCH("/",E366)), IF(LEN(E366)-LEN(SUBSTITUTE(E366,"/",""))=1,(RIGHT(E366,LEN(E366)-FIND("/",E366)))-(LEFT(E366,FIND("/",E366)-1)),(MID(E366, SEARCH("/",E366) + 1, SEARCH("/",E366, SEARCH("/",E366)+1) - SEARCH("/",E366) - 1))-(LEFT(E366,FIND("/",E366)-1))), "NA"))</f>
        <v/>
      </c>
      <c r="K366" s="79">
        <f>IF(A366&lt;&gt;"", IF(ISBLANK(L366), TODAY(), K366), "")</f>
        <v/>
      </c>
      <c r="L366" s="78" t="n"/>
      <c r="M366" s="78">
        <f>IF(ISBLANK(L366),"",IF(D366="Stock",IF(C366="Buy",L366*G366,IF(C366="Sell",(L366*G366)-I366, X)),IF(C366="Buy",(L366*G366*100)+I366,IF(C366="Sell",(L366*G366*100)-I366, X))))</f>
        <v/>
      </c>
      <c r="N366" s="78">
        <f>IF(ISBLANK(L366),"",IF(AND(C366="Sell",D366="Stock"),M366,IF(ISBLANK(L366),"",IF(C366="Buy",M366, IF(AND(C366="Sell",J366="NA"),(E366*G366*100*0.1)+I366, IF(C366="Sell",(J366-L366)*(100*G366)+I366))))))</f>
        <v/>
      </c>
      <c r="O366" s="75" t="n"/>
      <c r="P366" s="75" t="n"/>
      <c r="Q366" s="75">
        <f>IF(ISBLANK(P366),"",IF(D366="Stock",P366*G366,IF(P366=0,"0",G366*P366*100-(G366*$AF$14))))</f>
        <v/>
      </c>
      <c r="R366" s="79">
        <f>IF(P366&lt;&gt;"", TODAY(), "")</f>
        <v/>
      </c>
      <c r="S366" s="78">
        <f>IF(AND(K366&lt;&gt;"", R366&lt;&gt;""), R366-K366, "")</f>
        <v/>
      </c>
      <c r="T366" s="78" t="n"/>
      <c r="U366" s="92">
        <f>IF(ISBLANK(P366),"",IF(C366="Buy",Q366-M366+T366, IF(C366="Sell",M366-Q366-T366, X)))</f>
        <v/>
      </c>
      <c r="V366" s="81">
        <f>IF(ISBLANK(P366),"",U366/N366)</f>
        <v/>
      </c>
      <c r="W366" s="81">
        <f>IF(ISBLANK(P366),"",IF(S366=0,(365/0.5)*V366,(365/S366)*V366))</f>
        <v/>
      </c>
      <c r="X366" s="75" t="n"/>
      <c r="Y366" s="77" t="n"/>
      <c r="Z366" s="77" t="n"/>
      <c r="AA366" s="75" t="n"/>
      <c r="AB366" s="75" t="n"/>
      <c r="AC366" s="6" t="n"/>
      <c r="AD366" s="75" t="n"/>
      <c r="AE366" s="75" t="n"/>
      <c r="AF366" s="75" t="n"/>
    </row>
    <row r="367" ht="15.75" customHeight="1" s="133">
      <c r="A367" s="75" t="n"/>
      <c r="B367" s="75" t="n"/>
      <c r="C367" s="75" t="n"/>
      <c r="D367" s="75" t="n"/>
      <c r="E367" s="76" t="n"/>
      <c r="F367" s="77" t="n"/>
      <c r="G367" s="75" t="n"/>
      <c r="H367" s="75">
        <f>IF(ISBLANK(E367),"",IF(OR(D367="Butterfly",D367="Butterfly ",D367="Iron Fly", D367="Iron Fly "),LEN(E367)-LEN(SUBSTITUTE(E367,"/",""))+2,LEN(E367)-LEN(SUBSTITUTE(E367,"/",""))+1))</f>
        <v/>
      </c>
      <c r="I367" s="78">
        <f>IF(ISBLANK(G367),"",IF(D367="Stock","0",Key!$A$3*H367*G367))</f>
        <v/>
      </c>
      <c r="J367" s="78">
        <f>IF(ISBLANK(E367),"",IF(ISNUMBER(SEARCH("/",E367)), IF(LEN(E367)-LEN(SUBSTITUTE(E367,"/",""))=1,(RIGHT(E367,LEN(E367)-FIND("/",E367)))-(LEFT(E367,FIND("/",E367)-1)),(MID(E367, SEARCH("/",E367) + 1, SEARCH("/",E367, SEARCH("/",E367)+1) - SEARCH("/",E367) - 1))-(LEFT(E367,FIND("/",E367)-1))), "NA"))</f>
        <v/>
      </c>
      <c r="K367" s="79">
        <f>IF(A367&lt;&gt;"", IF(ISBLANK(L367), TODAY(), K367), "")</f>
        <v/>
      </c>
      <c r="L367" s="78" t="n"/>
      <c r="M367" s="78">
        <f>IF(ISBLANK(L367),"",IF(D367="Stock",IF(C367="Buy",L367*G367,IF(C367="Sell",(L367*G367)-I367, X)),IF(C367="Buy",(L367*G367*100)+I367,IF(C367="Sell",(L367*G367*100)-I367, X))))</f>
        <v/>
      </c>
      <c r="N367" s="78">
        <f>IF(ISBLANK(L367),"",IF(AND(C367="Sell",D367="Stock"),M367,IF(ISBLANK(L367),"",IF(C367="Buy",M367, IF(AND(C367="Sell",J367="NA"),(E367*G367*100*0.1)+I367, IF(C367="Sell",(J367-L367)*(100*G367)+I367))))))</f>
        <v/>
      </c>
      <c r="O367" s="75" t="n"/>
      <c r="P367" s="75" t="n"/>
      <c r="Q367" s="75">
        <f>IF(ISBLANK(P367),"",IF(D367="Stock",P367*G367,IF(P367=0,"0",G367*P367*100-(G367*$AF$14))))</f>
        <v/>
      </c>
      <c r="R367" s="79">
        <f>IF(P367&lt;&gt;"", TODAY(), "")</f>
        <v/>
      </c>
      <c r="S367" s="78">
        <f>IF(AND(K367&lt;&gt;"", R367&lt;&gt;""), R367-K367, "")</f>
        <v/>
      </c>
      <c r="T367" s="78" t="n"/>
      <c r="U367" s="92">
        <f>IF(ISBLANK(P367),"",IF(C367="Buy",Q367-M367+T367, IF(C367="Sell",M367-Q367-T367, X)))</f>
        <v/>
      </c>
      <c r="V367" s="81">
        <f>IF(ISBLANK(P367),"",U367/N367)</f>
        <v/>
      </c>
      <c r="W367" s="81">
        <f>IF(ISBLANK(P367),"",IF(S367=0,(365/0.5)*V367,(365/S367)*V367))</f>
        <v/>
      </c>
      <c r="X367" s="75" t="n"/>
      <c r="Y367" s="77" t="n"/>
      <c r="Z367" s="77" t="n"/>
      <c r="AA367" s="75" t="n"/>
      <c r="AB367" s="75" t="n"/>
      <c r="AC367" s="6" t="n"/>
      <c r="AD367" s="75" t="n"/>
      <c r="AE367" s="75" t="n"/>
      <c r="AF367" s="75" t="n"/>
    </row>
    <row r="368" ht="15.75" customHeight="1" s="133">
      <c r="A368" s="75" t="n"/>
      <c r="B368" s="75" t="n"/>
      <c r="C368" s="75" t="n"/>
      <c r="D368" s="75" t="n"/>
      <c r="E368" s="76" t="n"/>
      <c r="F368" s="77" t="n"/>
      <c r="G368" s="75" t="n"/>
      <c r="H368" s="75">
        <f>IF(ISBLANK(E368),"",IF(OR(D368="Butterfly",D368="Butterfly ",D368="Iron Fly", D368="Iron Fly "),LEN(E368)-LEN(SUBSTITUTE(E368,"/",""))+2,LEN(E368)-LEN(SUBSTITUTE(E368,"/",""))+1))</f>
        <v/>
      </c>
      <c r="I368" s="78">
        <f>IF(ISBLANK(G368),"",IF(D368="Stock","0",Key!$A$3*H368*G368))</f>
        <v/>
      </c>
      <c r="J368" s="78">
        <f>IF(ISBLANK(E368),"",IF(ISNUMBER(SEARCH("/",E368)), IF(LEN(E368)-LEN(SUBSTITUTE(E368,"/",""))=1,(RIGHT(E368,LEN(E368)-FIND("/",E368)))-(LEFT(E368,FIND("/",E368)-1)),(MID(E368, SEARCH("/",E368) + 1, SEARCH("/",E368, SEARCH("/",E368)+1) - SEARCH("/",E368) - 1))-(LEFT(E368,FIND("/",E368)-1))), "NA"))</f>
        <v/>
      </c>
      <c r="K368" s="79">
        <f>IF(A368&lt;&gt;"", IF(ISBLANK(L368), TODAY(), K368), "")</f>
        <v/>
      </c>
      <c r="L368" s="78" t="n"/>
      <c r="M368" s="78">
        <f>IF(ISBLANK(L368),"",IF(D368="Stock",IF(C368="Buy",L368*G368,IF(C368="Sell",(L368*G368)-I368, X)),IF(C368="Buy",(L368*G368*100)+I368,IF(C368="Sell",(L368*G368*100)-I368, X))))</f>
        <v/>
      </c>
      <c r="N368" s="78">
        <f>IF(ISBLANK(L368),"",IF(AND(C368="Sell",D368="Stock"),M368,IF(ISBLANK(L368),"",IF(C368="Buy",M368, IF(AND(C368="Sell",J368="NA"),(E368*G368*100*0.1)+I368, IF(C368="Sell",(J368-L368)*(100*G368)+I368))))))</f>
        <v/>
      </c>
      <c r="O368" s="75" t="n"/>
      <c r="P368" s="75" t="n"/>
      <c r="Q368" s="75">
        <f>IF(ISBLANK(P368),"",IF(D368="Stock",P368*G368,IF(P368=0,"0",G368*P368*100-(G368*$AF$14))))</f>
        <v/>
      </c>
      <c r="R368" s="79">
        <f>IF(P368&lt;&gt;"", TODAY(), "")</f>
        <v/>
      </c>
      <c r="S368" s="78">
        <f>IF(AND(K368&lt;&gt;"", R368&lt;&gt;""), R368-K368, "")</f>
        <v/>
      </c>
      <c r="T368" s="78" t="n"/>
      <c r="U368" s="92">
        <f>IF(ISBLANK(P368),"",IF(C368="Buy",Q368-M368+T368, IF(C368="Sell",M368-Q368-T368, X)))</f>
        <v/>
      </c>
      <c r="V368" s="81">
        <f>IF(ISBLANK(P368),"",U368/N368)</f>
        <v/>
      </c>
      <c r="W368" s="81">
        <f>IF(ISBLANK(P368),"",IF(S368=0,(365/0.5)*V368,(365/S368)*V368))</f>
        <v/>
      </c>
      <c r="X368" s="75" t="n"/>
      <c r="Y368" s="77" t="n"/>
      <c r="Z368" s="77" t="n"/>
      <c r="AA368" s="75" t="n"/>
      <c r="AB368" s="75" t="n"/>
      <c r="AC368" s="6" t="n"/>
      <c r="AD368" s="75" t="n"/>
      <c r="AE368" s="75" t="n"/>
      <c r="AF368" s="75" t="n"/>
    </row>
    <row r="369" ht="15.75" customHeight="1" s="133">
      <c r="A369" s="75" t="n"/>
      <c r="B369" s="75" t="n"/>
      <c r="C369" s="75" t="n"/>
      <c r="D369" s="75" t="n"/>
      <c r="E369" s="76" t="n"/>
      <c r="F369" s="77" t="n"/>
      <c r="G369" s="75" t="n"/>
      <c r="H369" s="75">
        <f>IF(ISBLANK(E369),"",IF(OR(D369="Butterfly",D369="Butterfly ",D369="Iron Fly", D369="Iron Fly "),LEN(E369)-LEN(SUBSTITUTE(E369,"/",""))+2,LEN(E369)-LEN(SUBSTITUTE(E369,"/",""))+1))</f>
        <v/>
      </c>
      <c r="I369" s="78">
        <f>IF(ISBLANK(G369),"",IF(D369="Stock","0",Key!$A$3*H369*G369))</f>
        <v/>
      </c>
      <c r="J369" s="78">
        <f>IF(ISBLANK(E369),"",IF(ISNUMBER(SEARCH("/",E369)), IF(LEN(E369)-LEN(SUBSTITUTE(E369,"/",""))=1,(RIGHT(E369,LEN(E369)-FIND("/",E369)))-(LEFT(E369,FIND("/",E369)-1)),(MID(E369, SEARCH("/",E369) + 1, SEARCH("/",E369, SEARCH("/",E369)+1) - SEARCH("/",E369) - 1))-(LEFT(E369,FIND("/",E369)-1))), "NA"))</f>
        <v/>
      </c>
      <c r="K369" s="79">
        <f>IF(A369&lt;&gt;"", IF(ISBLANK(L369), TODAY(), K369), "")</f>
        <v/>
      </c>
      <c r="L369" s="78" t="n"/>
      <c r="M369" s="78">
        <f>IF(ISBLANK(L369),"",IF(D369="Stock",IF(C369="Buy",L369*G369,IF(C369="Sell",(L369*G369)-I369, X)),IF(C369="Buy",(L369*G369*100)+I369,IF(C369="Sell",(L369*G369*100)-I369, X))))</f>
        <v/>
      </c>
      <c r="N369" s="78">
        <f>IF(ISBLANK(L369),"",IF(AND(C369="Sell",D369="Stock"),M369,IF(ISBLANK(L369),"",IF(C369="Buy",M369, IF(AND(C369="Sell",J369="NA"),(E369*G369*100*0.1)+I369, IF(C369="Sell",(J369-L369)*(100*G369)+I369))))))</f>
        <v/>
      </c>
      <c r="O369" s="75" t="n"/>
      <c r="P369" s="75" t="n"/>
      <c r="Q369" s="75">
        <f>IF(ISBLANK(P369),"",IF(D369="Stock",P369*G369,IF(P369=0,"0",G369*P369*100-(G369*$AF$14))))</f>
        <v/>
      </c>
      <c r="R369" s="79">
        <f>IF(P369&lt;&gt;"", TODAY(), "")</f>
        <v/>
      </c>
      <c r="S369" s="78">
        <f>IF(AND(K369&lt;&gt;"", R369&lt;&gt;""), R369-K369, "")</f>
        <v/>
      </c>
      <c r="T369" s="78" t="n"/>
      <c r="U369" s="92">
        <f>IF(ISBLANK(P369),"",IF(C369="Buy",Q369-M369+T369, IF(C369="Sell",M369-Q369-T369, X)))</f>
        <v/>
      </c>
      <c r="V369" s="81">
        <f>IF(ISBLANK(P369),"",U369/N369)</f>
        <v/>
      </c>
      <c r="W369" s="81">
        <f>IF(ISBLANK(P369),"",IF(S369=0,(365/0.5)*V369,(365/S369)*V369))</f>
        <v/>
      </c>
      <c r="X369" s="75" t="n"/>
      <c r="Y369" s="77" t="n"/>
      <c r="Z369" s="77" t="n"/>
      <c r="AA369" s="75" t="n"/>
      <c r="AB369" s="75" t="n"/>
      <c r="AC369" s="6" t="n"/>
      <c r="AD369" s="75" t="n"/>
      <c r="AE369" s="75" t="n"/>
      <c r="AF369" s="75" t="n"/>
    </row>
    <row r="370" ht="15.75" customHeight="1" s="133">
      <c r="A370" s="75" t="n"/>
      <c r="B370" s="75" t="n"/>
      <c r="C370" s="75" t="n"/>
      <c r="D370" s="75" t="n"/>
      <c r="E370" s="76" t="n"/>
      <c r="F370" s="77" t="n"/>
      <c r="G370" s="75" t="n"/>
      <c r="H370" s="75">
        <f>IF(ISBLANK(E370),"",IF(OR(D370="Butterfly",D370="Butterfly ",D370="Iron Fly", D370="Iron Fly "),LEN(E370)-LEN(SUBSTITUTE(E370,"/",""))+2,LEN(E370)-LEN(SUBSTITUTE(E370,"/",""))+1))</f>
        <v/>
      </c>
      <c r="I370" s="78">
        <f>IF(ISBLANK(G370),"",IF(D370="Stock","0",Key!$A$3*H370*G370))</f>
        <v/>
      </c>
      <c r="J370" s="78">
        <f>IF(ISBLANK(E370),"",IF(ISNUMBER(SEARCH("/",E370)), IF(LEN(E370)-LEN(SUBSTITUTE(E370,"/",""))=1,(RIGHT(E370,LEN(E370)-FIND("/",E370)))-(LEFT(E370,FIND("/",E370)-1)),(MID(E370, SEARCH("/",E370) + 1, SEARCH("/",E370, SEARCH("/",E370)+1) - SEARCH("/",E370) - 1))-(LEFT(E370,FIND("/",E370)-1))), "NA"))</f>
        <v/>
      </c>
      <c r="K370" s="79">
        <f>IF(A370&lt;&gt;"", IF(ISBLANK(L370), TODAY(), K370), "")</f>
        <v/>
      </c>
      <c r="L370" s="78" t="n"/>
      <c r="M370" s="78">
        <f>IF(ISBLANK(L370),"",IF(D370="Stock",IF(C370="Buy",L370*G370,IF(C370="Sell",(L370*G370)-I370, X)),IF(C370="Buy",(L370*G370*100)+I370,IF(C370="Sell",(L370*G370*100)-I370, X))))</f>
        <v/>
      </c>
      <c r="N370" s="78">
        <f>IF(ISBLANK(L370),"",IF(AND(C370="Sell",D370="Stock"),M370,IF(ISBLANK(L370),"",IF(C370="Buy",M370, IF(AND(C370="Sell",J370="NA"),(E370*G370*100*0.1)+I370, IF(C370="Sell",(J370-L370)*(100*G370)+I370))))))</f>
        <v/>
      </c>
      <c r="O370" s="75" t="n"/>
      <c r="P370" s="75" t="n"/>
      <c r="Q370" s="75">
        <f>IF(ISBLANK(P370),"",IF(D370="Stock",P370*G370,IF(P370=0,"0",G370*P370*100-(G370*$AF$14))))</f>
        <v/>
      </c>
      <c r="R370" s="79">
        <f>IF(P370&lt;&gt;"", TODAY(), "")</f>
        <v/>
      </c>
      <c r="S370" s="78">
        <f>IF(AND(K370&lt;&gt;"", R370&lt;&gt;""), R370-K370, "")</f>
        <v/>
      </c>
      <c r="T370" s="78" t="n"/>
      <c r="U370" s="92">
        <f>IF(ISBLANK(P370),"",IF(C370="Buy",Q370-M370+T370, IF(C370="Sell",M370-Q370-T370, X)))</f>
        <v/>
      </c>
      <c r="V370" s="81">
        <f>IF(ISBLANK(P370),"",U370/N370)</f>
        <v/>
      </c>
      <c r="W370" s="81">
        <f>IF(ISBLANK(P370),"",IF(S370=0,(365/0.5)*V370,(365/S370)*V370))</f>
        <v/>
      </c>
      <c r="X370" s="75" t="n"/>
      <c r="Y370" s="77" t="n"/>
      <c r="Z370" s="77" t="n"/>
      <c r="AA370" s="75" t="n"/>
      <c r="AB370" s="75" t="n"/>
      <c r="AC370" s="6" t="n"/>
      <c r="AD370" s="75" t="n"/>
      <c r="AE370" s="75" t="n"/>
      <c r="AF370" s="75" t="n"/>
    </row>
    <row r="371" ht="15.75" customHeight="1" s="133">
      <c r="A371" s="75" t="n"/>
      <c r="B371" s="75" t="n"/>
      <c r="C371" s="75" t="n"/>
      <c r="D371" s="75" t="n"/>
      <c r="E371" s="76" t="n"/>
      <c r="F371" s="77" t="n"/>
      <c r="G371" s="75" t="n"/>
      <c r="H371" s="75">
        <f>IF(ISBLANK(E371),"",IF(OR(D371="Butterfly",D371="Butterfly ",D371="Iron Fly", D371="Iron Fly "),LEN(E371)-LEN(SUBSTITUTE(E371,"/",""))+2,LEN(E371)-LEN(SUBSTITUTE(E371,"/",""))+1))</f>
        <v/>
      </c>
      <c r="I371" s="78">
        <f>IF(ISBLANK(G371),"",IF(D371="Stock","0",Key!$A$3*H371*G371))</f>
        <v/>
      </c>
      <c r="J371" s="78">
        <f>IF(ISBLANK(E371),"",IF(ISNUMBER(SEARCH("/",E371)), IF(LEN(E371)-LEN(SUBSTITUTE(E371,"/",""))=1,(RIGHT(E371,LEN(E371)-FIND("/",E371)))-(LEFT(E371,FIND("/",E371)-1)),(MID(E371, SEARCH("/",E371) + 1, SEARCH("/",E371, SEARCH("/",E371)+1) - SEARCH("/",E371) - 1))-(LEFT(E371,FIND("/",E371)-1))), "NA"))</f>
        <v/>
      </c>
      <c r="K371" s="79">
        <f>IF(A371&lt;&gt;"", IF(ISBLANK(L371), TODAY(), K371), "")</f>
        <v/>
      </c>
      <c r="L371" s="78" t="n"/>
      <c r="M371" s="78">
        <f>IF(ISBLANK(L371),"",IF(D371="Stock",IF(C371="Buy",L371*G371,IF(C371="Sell",(L371*G371)-I371, X)),IF(C371="Buy",(L371*G371*100)+I371,IF(C371="Sell",(L371*G371*100)-I371, X))))</f>
        <v/>
      </c>
      <c r="N371" s="78">
        <f>IF(ISBLANK(L371),"",IF(AND(C371="Sell",D371="Stock"),M371,IF(ISBLANK(L371),"",IF(C371="Buy",M371, IF(AND(C371="Sell",J371="NA"),(E371*G371*100*0.1)+I371, IF(C371="Sell",(J371-L371)*(100*G371)+I371))))))</f>
        <v/>
      </c>
      <c r="O371" s="75" t="n"/>
      <c r="P371" s="75" t="n"/>
      <c r="Q371" s="75">
        <f>IF(ISBLANK(P371),"",IF(D371="Stock",P371*G371,IF(P371=0,"0",G371*P371*100-(G371*$AF$14))))</f>
        <v/>
      </c>
      <c r="R371" s="79">
        <f>IF(P371&lt;&gt;"", TODAY(), "")</f>
        <v/>
      </c>
      <c r="S371" s="78">
        <f>IF(AND(K371&lt;&gt;"", R371&lt;&gt;""), R371-K371, "")</f>
        <v/>
      </c>
      <c r="T371" s="78" t="n"/>
      <c r="U371" s="92">
        <f>IF(ISBLANK(P371),"",IF(C371="Buy",Q371-M371+T371, IF(C371="Sell",M371-Q371-T371, X)))</f>
        <v/>
      </c>
      <c r="V371" s="81">
        <f>IF(ISBLANK(P371),"",U371/N371)</f>
        <v/>
      </c>
      <c r="W371" s="81">
        <f>IF(ISBLANK(P371),"",IF(S371=0,(365/0.5)*V371,(365/S371)*V371))</f>
        <v/>
      </c>
      <c r="X371" s="75" t="n"/>
      <c r="Y371" s="77" t="n"/>
      <c r="Z371" s="77" t="n"/>
      <c r="AA371" s="75" t="n"/>
      <c r="AB371" s="75" t="n"/>
      <c r="AC371" s="6" t="n"/>
      <c r="AD371" s="75" t="n"/>
      <c r="AE371" s="75" t="n"/>
      <c r="AF371" s="75" t="n"/>
    </row>
    <row r="372" ht="15.75" customHeight="1" s="133">
      <c r="A372" s="75" t="n"/>
      <c r="B372" s="75" t="n"/>
      <c r="C372" s="75" t="n"/>
      <c r="D372" s="75" t="n"/>
      <c r="E372" s="76" t="n"/>
      <c r="F372" s="77" t="n"/>
      <c r="G372" s="75" t="n"/>
      <c r="H372" s="75">
        <f>IF(ISBLANK(E372),"",IF(OR(D372="Butterfly",D372="Butterfly ",D372="Iron Fly", D372="Iron Fly "),LEN(E372)-LEN(SUBSTITUTE(E372,"/",""))+2,LEN(E372)-LEN(SUBSTITUTE(E372,"/",""))+1))</f>
        <v/>
      </c>
      <c r="I372" s="78">
        <f>IF(ISBLANK(G372),"",IF(D372="Stock","0",Key!$A$3*H372*G372))</f>
        <v/>
      </c>
      <c r="J372" s="78">
        <f>IF(ISBLANK(E372),"",IF(ISNUMBER(SEARCH("/",E372)), IF(LEN(E372)-LEN(SUBSTITUTE(E372,"/",""))=1,(RIGHT(E372,LEN(E372)-FIND("/",E372)))-(LEFT(E372,FIND("/",E372)-1)),(MID(E372, SEARCH("/",E372) + 1, SEARCH("/",E372, SEARCH("/",E372)+1) - SEARCH("/",E372) - 1))-(LEFT(E372,FIND("/",E372)-1))), "NA"))</f>
        <v/>
      </c>
      <c r="K372" s="79">
        <f>IF(A372&lt;&gt;"", IF(ISBLANK(L372), TODAY(), K372), "")</f>
        <v/>
      </c>
      <c r="L372" s="78" t="n"/>
      <c r="M372" s="78">
        <f>IF(ISBLANK(L372),"",IF(D372="Stock",IF(C372="Buy",L372*G372,IF(C372="Sell",(L372*G372)-I372, X)),IF(C372="Buy",(L372*G372*100)+I372,IF(C372="Sell",(L372*G372*100)-I372, X))))</f>
        <v/>
      </c>
      <c r="N372" s="78">
        <f>IF(ISBLANK(L372),"",IF(AND(C372="Sell",D372="Stock"),M372,IF(ISBLANK(L372),"",IF(C372="Buy",M372, IF(AND(C372="Sell",J372="NA"),(E372*G372*100*0.1)+I372, IF(C372="Sell",(J372-L372)*(100*G372)+I372))))))</f>
        <v/>
      </c>
      <c r="O372" s="75" t="n"/>
      <c r="P372" s="75" t="n"/>
      <c r="Q372" s="75">
        <f>IF(ISBLANK(P372),"",IF(D372="Stock",P372*G372,IF(P372=0,"0",G372*P372*100-(G372*$AF$14))))</f>
        <v/>
      </c>
      <c r="R372" s="79">
        <f>IF(P372&lt;&gt;"", TODAY(), "")</f>
        <v/>
      </c>
      <c r="S372" s="78">
        <f>IF(AND(K372&lt;&gt;"", R372&lt;&gt;""), R372-K372, "")</f>
        <v/>
      </c>
      <c r="T372" s="78" t="n"/>
      <c r="U372" s="92">
        <f>IF(ISBLANK(P372),"",IF(C372="Buy",Q372-M372+T372, IF(C372="Sell",M372-Q372-T372, X)))</f>
        <v/>
      </c>
      <c r="V372" s="81">
        <f>IF(ISBLANK(P372),"",U372/N372)</f>
        <v/>
      </c>
      <c r="W372" s="81">
        <f>IF(ISBLANK(P372),"",IF(S372=0,(365/0.5)*V372,(365/S372)*V372))</f>
        <v/>
      </c>
      <c r="X372" s="75" t="n"/>
      <c r="Y372" s="77" t="n"/>
      <c r="Z372" s="77" t="n"/>
      <c r="AA372" s="75" t="n"/>
      <c r="AB372" s="75" t="n"/>
      <c r="AC372" s="6" t="n"/>
      <c r="AD372" s="75" t="n"/>
      <c r="AE372" s="75" t="n"/>
      <c r="AF372" s="75" t="n"/>
    </row>
    <row r="373" ht="15.75" customHeight="1" s="133">
      <c r="A373" s="75" t="n"/>
      <c r="B373" s="75" t="n"/>
      <c r="C373" s="75" t="n"/>
      <c r="D373" s="75" t="n"/>
      <c r="E373" s="76" t="n"/>
      <c r="F373" s="77" t="n"/>
      <c r="G373" s="75" t="n"/>
      <c r="H373" s="75">
        <f>IF(ISBLANK(E373),"",IF(OR(D373="Butterfly",D373="Butterfly ",D373="Iron Fly", D373="Iron Fly "),LEN(E373)-LEN(SUBSTITUTE(E373,"/",""))+2,LEN(E373)-LEN(SUBSTITUTE(E373,"/",""))+1))</f>
        <v/>
      </c>
      <c r="I373" s="78">
        <f>IF(ISBLANK(G373),"",IF(D373="Stock","0",Key!$A$3*H373*G373))</f>
        <v/>
      </c>
      <c r="J373" s="78">
        <f>IF(ISBLANK(E373),"",IF(ISNUMBER(SEARCH("/",E373)), IF(LEN(E373)-LEN(SUBSTITUTE(E373,"/",""))=1,(RIGHT(E373,LEN(E373)-FIND("/",E373)))-(LEFT(E373,FIND("/",E373)-1)),(MID(E373, SEARCH("/",E373) + 1, SEARCH("/",E373, SEARCH("/",E373)+1) - SEARCH("/",E373) - 1))-(LEFT(E373,FIND("/",E373)-1))), "NA"))</f>
        <v/>
      </c>
      <c r="K373" s="79">
        <f>IF(A373&lt;&gt;"", IF(ISBLANK(L373), TODAY(), K373), "")</f>
        <v/>
      </c>
      <c r="L373" s="78" t="n"/>
      <c r="M373" s="78">
        <f>IF(ISBLANK(L373),"",IF(D373="Stock",IF(C373="Buy",L373*G373,IF(C373="Sell",(L373*G373)-I373, X)),IF(C373="Buy",(L373*G373*100)+I373,IF(C373="Sell",(L373*G373*100)-I373, X))))</f>
        <v/>
      </c>
      <c r="N373" s="78">
        <f>IF(ISBLANK(L373),"",IF(AND(C373="Sell",D373="Stock"),M373,IF(ISBLANK(L373),"",IF(C373="Buy",M373, IF(AND(C373="Sell",J373="NA"),(E373*G373*100*0.1)+I373, IF(C373="Sell",(J373-L373)*(100*G373)+I373))))))</f>
        <v/>
      </c>
      <c r="O373" s="75" t="n"/>
      <c r="P373" s="75" t="n"/>
      <c r="Q373" s="75">
        <f>IF(ISBLANK(P373),"",IF(D373="Stock",P373*G373,IF(P373=0,"0",G373*P373*100-(G373*$AF$14))))</f>
        <v/>
      </c>
      <c r="R373" s="79">
        <f>IF(P373&lt;&gt;"", TODAY(), "")</f>
        <v/>
      </c>
      <c r="S373" s="78">
        <f>IF(AND(K373&lt;&gt;"", R373&lt;&gt;""), R373-K373, "")</f>
        <v/>
      </c>
      <c r="T373" s="78" t="n"/>
      <c r="U373" s="92">
        <f>IF(ISBLANK(P373),"",IF(C373="Buy",Q373-M373+T373, IF(C373="Sell",M373-Q373-T373, X)))</f>
        <v/>
      </c>
      <c r="V373" s="81">
        <f>IF(ISBLANK(P373),"",U373/N373)</f>
        <v/>
      </c>
      <c r="W373" s="81">
        <f>IF(ISBLANK(P373),"",IF(S373=0,(365/0.5)*V373,(365/S373)*V373))</f>
        <v/>
      </c>
      <c r="X373" s="75" t="n"/>
      <c r="Y373" s="77" t="n"/>
      <c r="Z373" s="77" t="n"/>
      <c r="AA373" s="75" t="n"/>
      <c r="AB373" s="75" t="n"/>
      <c r="AC373" s="6" t="n"/>
      <c r="AD373" s="75" t="n"/>
      <c r="AE373" s="75" t="n"/>
      <c r="AF373" s="75" t="n"/>
    </row>
    <row r="374" ht="15.75" customHeight="1" s="133">
      <c r="A374" s="75" t="n"/>
      <c r="B374" s="75" t="n"/>
      <c r="C374" s="75" t="n"/>
      <c r="D374" s="75" t="n"/>
      <c r="E374" s="76" t="n"/>
      <c r="F374" s="77" t="n"/>
      <c r="G374" s="75" t="n"/>
      <c r="H374" s="75">
        <f>IF(ISBLANK(E374),"",IF(OR(D374="Butterfly",D374="Butterfly ",D374="Iron Fly", D374="Iron Fly "),LEN(E374)-LEN(SUBSTITUTE(E374,"/",""))+2,LEN(E374)-LEN(SUBSTITUTE(E374,"/",""))+1))</f>
        <v/>
      </c>
      <c r="I374" s="78">
        <f>IF(ISBLANK(G374),"",IF(D374="Stock","0",Key!$A$3*H374*G374))</f>
        <v/>
      </c>
      <c r="J374" s="78">
        <f>IF(ISBLANK(E374),"",IF(ISNUMBER(SEARCH("/",E374)), IF(LEN(E374)-LEN(SUBSTITUTE(E374,"/",""))=1,(RIGHT(E374,LEN(E374)-FIND("/",E374)))-(LEFT(E374,FIND("/",E374)-1)),(MID(E374, SEARCH("/",E374) + 1, SEARCH("/",E374, SEARCH("/",E374)+1) - SEARCH("/",E374) - 1))-(LEFT(E374,FIND("/",E374)-1))), "NA"))</f>
        <v/>
      </c>
      <c r="K374" s="79">
        <f>IF(A374&lt;&gt;"", IF(ISBLANK(L374), TODAY(), K374), "")</f>
        <v/>
      </c>
      <c r="L374" s="78" t="n"/>
      <c r="M374" s="78">
        <f>IF(ISBLANK(L374),"",IF(D374="Stock",IF(C374="Buy",L374*G374,IF(C374="Sell",(L374*G374)-I374, X)),IF(C374="Buy",(L374*G374*100)+I374,IF(C374="Sell",(L374*G374*100)-I374, X))))</f>
        <v/>
      </c>
      <c r="N374" s="78">
        <f>IF(ISBLANK(L374),"",IF(AND(C374="Sell",D374="Stock"),M374,IF(ISBLANK(L374),"",IF(C374="Buy",M374, IF(AND(C374="Sell",J374="NA"),(E374*G374*100*0.1)+I374, IF(C374="Sell",(J374-L374)*(100*G374)+I374))))))</f>
        <v/>
      </c>
      <c r="O374" s="75" t="n"/>
      <c r="P374" s="75" t="n"/>
      <c r="Q374" s="75">
        <f>IF(ISBLANK(P374),"",IF(D374="Stock",P374*G374,IF(P374=0,"0",G374*P374*100-(G374*$AF$14))))</f>
        <v/>
      </c>
      <c r="R374" s="79">
        <f>IF(P374&lt;&gt;"", TODAY(), "")</f>
        <v/>
      </c>
      <c r="S374" s="78">
        <f>IF(AND(K374&lt;&gt;"", R374&lt;&gt;""), R374-K374, "")</f>
        <v/>
      </c>
      <c r="T374" s="78" t="n"/>
      <c r="U374" s="92">
        <f>IF(ISBLANK(P374),"",IF(C374="Buy",Q374-M374+T374, IF(C374="Sell",M374-Q374-T374, X)))</f>
        <v/>
      </c>
      <c r="V374" s="81">
        <f>IF(ISBLANK(P374),"",U374/N374)</f>
        <v/>
      </c>
      <c r="W374" s="81">
        <f>IF(ISBLANK(P374),"",IF(S374=0,(365/0.5)*V374,(365/S374)*V374))</f>
        <v/>
      </c>
      <c r="X374" s="75" t="n"/>
      <c r="Y374" s="77" t="n"/>
      <c r="Z374" s="77" t="n"/>
      <c r="AA374" s="75" t="n"/>
      <c r="AB374" s="75" t="n"/>
      <c r="AC374" s="6" t="n"/>
      <c r="AD374" s="75" t="n"/>
      <c r="AE374" s="75" t="n"/>
      <c r="AF374" s="75" t="n"/>
    </row>
    <row r="375" ht="15.75" customHeight="1" s="133">
      <c r="A375" s="75" t="n"/>
      <c r="B375" s="75" t="n"/>
      <c r="C375" s="75" t="n"/>
      <c r="D375" s="75" t="n"/>
      <c r="E375" s="76" t="n"/>
      <c r="F375" s="77" t="n"/>
      <c r="G375" s="75" t="n"/>
      <c r="H375" s="75">
        <f>IF(ISBLANK(E375),"",IF(OR(D375="Butterfly",D375="Butterfly ",D375="Iron Fly", D375="Iron Fly "),LEN(E375)-LEN(SUBSTITUTE(E375,"/",""))+2,LEN(E375)-LEN(SUBSTITUTE(E375,"/",""))+1))</f>
        <v/>
      </c>
      <c r="I375" s="78">
        <f>IF(ISBLANK(G375),"",IF(D375="Stock","0",Key!$A$3*H375*G375))</f>
        <v/>
      </c>
      <c r="J375" s="78">
        <f>IF(ISBLANK(E375),"",IF(ISNUMBER(SEARCH("/",E375)), IF(LEN(E375)-LEN(SUBSTITUTE(E375,"/",""))=1,(RIGHT(E375,LEN(E375)-FIND("/",E375)))-(LEFT(E375,FIND("/",E375)-1)),(MID(E375, SEARCH("/",E375) + 1, SEARCH("/",E375, SEARCH("/",E375)+1) - SEARCH("/",E375) - 1))-(LEFT(E375,FIND("/",E375)-1))), "NA"))</f>
        <v/>
      </c>
      <c r="K375" s="79">
        <f>IF(A375&lt;&gt;"", IF(ISBLANK(L375), TODAY(), K375), "")</f>
        <v/>
      </c>
      <c r="L375" s="78" t="n"/>
      <c r="M375" s="78">
        <f>IF(ISBLANK(L375),"",IF(D375="Stock",IF(C375="Buy",L375*G375,IF(C375="Sell",(L375*G375)-I375, X)),IF(C375="Buy",(L375*G375*100)+I375,IF(C375="Sell",(L375*G375*100)-I375, X))))</f>
        <v/>
      </c>
      <c r="N375" s="78">
        <f>IF(ISBLANK(L375),"",IF(AND(C375="Sell",D375="Stock"),M375,IF(ISBLANK(L375),"",IF(C375="Buy",M375, IF(AND(C375="Sell",J375="NA"),(E375*G375*100*0.1)+I375, IF(C375="Sell",(J375-L375)*(100*G375)+I375))))))</f>
        <v/>
      </c>
      <c r="O375" s="75" t="n"/>
      <c r="P375" s="75" t="n"/>
      <c r="Q375" s="75">
        <f>IF(ISBLANK(P375),"",IF(D375="Stock",P375*G375,IF(P375=0,"0",G375*P375*100-(G375*$AF$14))))</f>
        <v/>
      </c>
      <c r="R375" s="79">
        <f>IF(P375&lt;&gt;"", TODAY(), "")</f>
        <v/>
      </c>
      <c r="S375" s="78">
        <f>IF(AND(K375&lt;&gt;"", R375&lt;&gt;""), R375-K375, "")</f>
        <v/>
      </c>
      <c r="T375" s="78" t="n"/>
      <c r="U375" s="92">
        <f>IF(ISBLANK(P375),"",IF(C375="Buy",Q375-M375+T375, IF(C375="Sell",M375-Q375-T375, X)))</f>
        <v/>
      </c>
      <c r="V375" s="81">
        <f>IF(ISBLANK(P375),"",U375/N375)</f>
        <v/>
      </c>
      <c r="W375" s="81">
        <f>IF(ISBLANK(P375),"",IF(S375=0,(365/0.5)*V375,(365/S375)*V375))</f>
        <v/>
      </c>
      <c r="X375" s="75" t="n"/>
      <c r="Y375" s="77" t="n"/>
      <c r="Z375" s="77" t="n"/>
      <c r="AA375" s="75" t="n"/>
      <c r="AB375" s="75" t="n"/>
      <c r="AC375" s="6" t="n"/>
      <c r="AD375" s="75" t="n"/>
      <c r="AE375" s="75" t="n"/>
      <c r="AF375" s="75" t="n"/>
    </row>
    <row r="376" ht="15.75" customHeight="1" s="133">
      <c r="A376" s="75" t="n"/>
      <c r="B376" s="75" t="n"/>
      <c r="C376" s="75" t="n"/>
      <c r="D376" s="75" t="n"/>
      <c r="E376" s="76" t="n"/>
      <c r="F376" s="77" t="n"/>
      <c r="G376" s="75" t="n"/>
      <c r="H376" s="75">
        <f>IF(ISBLANK(E376),"",IF(OR(D376="Butterfly",D376="Butterfly ",D376="Iron Fly", D376="Iron Fly "),LEN(E376)-LEN(SUBSTITUTE(E376,"/",""))+2,LEN(E376)-LEN(SUBSTITUTE(E376,"/",""))+1))</f>
        <v/>
      </c>
      <c r="I376" s="78">
        <f>IF(ISBLANK(G376),"",IF(D376="Stock","0",Key!$A$3*H376*G376))</f>
        <v/>
      </c>
      <c r="J376" s="78">
        <f>IF(ISBLANK(E376),"",IF(ISNUMBER(SEARCH("/",E376)), IF(LEN(E376)-LEN(SUBSTITUTE(E376,"/",""))=1,(RIGHT(E376,LEN(E376)-FIND("/",E376)))-(LEFT(E376,FIND("/",E376)-1)),(MID(E376, SEARCH("/",E376) + 1, SEARCH("/",E376, SEARCH("/",E376)+1) - SEARCH("/",E376) - 1))-(LEFT(E376,FIND("/",E376)-1))), "NA"))</f>
        <v/>
      </c>
      <c r="K376" s="79">
        <f>IF(A376&lt;&gt;"", IF(ISBLANK(L376), TODAY(), K376), "")</f>
        <v/>
      </c>
      <c r="L376" s="78" t="n"/>
      <c r="M376" s="78">
        <f>IF(ISBLANK(L376),"",IF(D376="Stock",IF(C376="Buy",L376*G376,IF(C376="Sell",(L376*G376)-I376, X)),IF(C376="Buy",(L376*G376*100)+I376,IF(C376="Sell",(L376*G376*100)-I376, X))))</f>
        <v/>
      </c>
      <c r="N376" s="78">
        <f>IF(ISBLANK(L376),"",IF(AND(C376="Sell",D376="Stock"),M376,IF(ISBLANK(L376),"",IF(C376="Buy",M376, IF(AND(C376="Sell",J376="NA"),(E376*G376*100*0.1)+I376, IF(C376="Sell",(J376-L376)*(100*G376)+I376))))))</f>
        <v/>
      </c>
      <c r="O376" s="75" t="n"/>
      <c r="P376" s="75" t="n"/>
      <c r="Q376" s="75">
        <f>IF(ISBLANK(P376),"",IF(D376="Stock",P376*G376,IF(P376=0,"0",G376*P376*100-(G376*$AF$14))))</f>
        <v/>
      </c>
      <c r="R376" s="79">
        <f>IF(P376&lt;&gt;"", TODAY(), "")</f>
        <v/>
      </c>
      <c r="S376" s="78">
        <f>IF(AND(K376&lt;&gt;"", R376&lt;&gt;""), R376-K376, "")</f>
        <v/>
      </c>
      <c r="T376" s="78" t="n"/>
      <c r="U376" s="92">
        <f>IF(ISBLANK(P376),"",IF(C376="Buy",Q376-M376+T376, IF(C376="Sell",M376-Q376-T376, X)))</f>
        <v/>
      </c>
      <c r="V376" s="81">
        <f>IF(ISBLANK(P376),"",U376/N376)</f>
        <v/>
      </c>
      <c r="W376" s="81">
        <f>IF(ISBLANK(P376),"",IF(S376=0,(365/0.5)*V376,(365/S376)*V376))</f>
        <v/>
      </c>
      <c r="X376" s="75" t="n"/>
      <c r="Y376" s="77" t="n"/>
      <c r="Z376" s="77" t="n"/>
      <c r="AA376" s="75" t="n"/>
      <c r="AB376" s="75" t="n"/>
      <c r="AC376" s="6" t="n"/>
      <c r="AD376" s="75" t="n"/>
      <c r="AE376" s="75" t="n"/>
      <c r="AF376" s="75" t="n"/>
    </row>
    <row r="377" ht="15.75" customHeight="1" s="133">
      <c r="A377" s="75" t="n"/>
      <c r="B377" s="75" t="n"/>
      <c r="C377" s="75" t="n"/>
      <c r="D377" s="75" t="n"/>
      <c r="E377" s="76" t="n"/>
      <c r="F377" s="77" t="n"/>
      <c r="G377" s="75" t="n"/>
      <c r="H377" s="75">
        <f>IF(ISBLANK(E377),"",IF(OR(D377="Butterfly",D377="Butterfly ",D377="Iron Fly", D377="Iron Fly "),LEN(E377)-LEN(SUBSTITUTE(E377,"/",""))+2,LEN(E377)-LEN(SUBSTITUTE(E377,"/",""))+1))</f>
        <v/>
      </c>
      <c r="I377" s="78">
        <f>IF(ISBLANK(G377),"",IF(D377="Stock","0",Key!$A$3*H377*G377))</f>
        <v/>
      </c>
      <c r="J377" s="78">
        <f>IF(ISBLANK(E377),"",IF(ISNUMBER(SEARCH("/",E377)), IF(LEN(E377)-LEN(SUBSTITUTE(E377,"/",""))=1,(RIGHT(E377,LEN(E377)-FIND("/",E377)))-(LEFT(E377,FIND("/",E377)-1)),(MID(E377, SEARCH("/",E377) + 1, SEARCH("/",E377, SEARCH("/",E377)+1) - SEARCH("/",E377) - 1))-(LEFT(E377,FIND("/",E377)-1))), "NA"))</f>
        <v/>
      </c>
      <c r="K377" s="79">
        <f>IF(A377&lt;&gt;"", IF(ISBLANK(L377), TODAY(), K377), "")</f>
        <v/>
      </c>
      <c r="L377" s="78" t="n"/>
      <c r="M377" s="78">
        <f>IF(ISBLANK(L377),"",IF(D377="Stock",IF(C377="Buy",L377*G377,IF(C377="Sell",(L377*G377)-I377, X)),IF(C377="Buy",(L377*G377*100)+I377,IF(C377="Sell",(L377*G377*100)-I377, X))))</f>
        <v/>
      </c>
      <c r="N377" s="78">
        <f>IF(ISBLANK(L377),"",IF(AND(C377="Sell",D377="Stock"),M377,IF(ISBLANK(L377),"",IF(C377="Buy",M377, IF(AND(C377="Sell",J377="NA"),(E377*G377*100*0.1)+I377, IF(C377="Sell",(J377-L377)*(100*G377)+I377))))))</f>
        <v/>
      </c>
      <c r="O377" s="75" t="n"/>
      <c r="P377" s="75" t="n"/>
      <c r="Q377" s="75">
        <f>IF(ISBLANK(P377),"",IF(D377="Stock",P377*G377,IF(P377=0,"0",G377*P377*100-(G377*$AF$14))))</f>
        <v/>
      </c>
      <c r="R377" s="79">
        <f>IF(P377&lt;&gt;"", TODAY(), "")</f>
        <v/>
      </c>
      <c r="S377" s="78">
        <f>IF(AND(K377&lt;&gt;"", R377&lt;&gt;""), R377-K377, "")</f>
        <v/>
      </c>
      <c r="T377" s="78" t="n"/>
      <c r="U377" s="92">
        <f>IF(ISBLANK(P377),"",IF(C377="Buy",Q377-M377+T377, IF(C377="Sell",M377-Q377-T377, X)))</f>
        <v/>
      </c>
      <c r="V377" s="81">
        <f>IF(ISBLANK(P377),"",U377/N377)</f>
        <v/>
      </c>
      <c r="W377" s="81">
        <f>IF(ISBLANK(P377),"",IF(S377=0,(365/0.5)*V377,(365/S377)*V377))</f>
        <v/>
      </c>
      <c r="X377" s="75" t="n"/>
      <c r="Y377" s="77" t="n"/>
      <c r="Z377" s="77" t="n"/>
      <c r="AA377" s="75" t="n"/>
      <c r="AB377" s="75" t="n"/>
      <c r="AC377" s="6" t="n"/>
      <c r="AD377" s="75" t="n"/>
      <c r="AE377" s="75" t="n"/>
      <c r="AF377" s="75" t="n"/>
    </row>
    <row r="378" ht="15.75" customHeight="1" s="133">
      <c r="A378" s="75" t="n"/>
      <c r="B378" s="75" t="n"/>
      <c r="C378" s="75" t="n"/>
      <c r="D378" s="75" t="n"/>
      <c r="E378" s="76" t="n"/>
      <c r="F378" s="77" t="n"/>
      <c r="G378" s="75" t="n"/>
      <c r="H378" s="75">
        <f>IF(ISBLANK(E378),"",IF(OR(D378="Butterfly",D378="Butterfly ",D378="Iron Fly", D378="Iron Fly "),LEN(E378)-LEN(SUBSTITUTE(E378,"/",""))+2,LEN(E378)-LEN(SUBSTITUTE(E378,"/",""))+1))</f>
        <v/>
      </c>
      <c r="I378" s="78">
        <f>IF(ISBLANK(G378),"",IF(D378="Stock","0",Key!$A$3*H378*G378))</f>
        <v/>
      </c>
      <c r="J378" s="78">
        <f>IF(ISBLANK(E378),"",IF(ISNUMBER(SEARCH("/",E378)), IF(LEN(E378)-LEN(SUBSTITUTE(E378,"/",""))=1,(RIGHT(E378,LEN(E378)-FIND("/",E378)))-(LEFT(E378,FIND("/",E378)-1)),(MID(E378, SEARCH("/",E378) + 1, SEARCH("/",E378, SEARCH("/",E378)+1) - SEARCH("/",E378) - 1))-(LEFT(E378,FIND("/",E378)-1))), "NA"))</f>
        <v/>
      </c>
      <c r="K378" s="79">
        <f>IF(A378&lt;&gt;"", IF(ISBLANK(L378), TODAY(), K378), "")</f>
        <v/>
      </c>
      <c r="L378" s="78" t="n"/>
      <c r="M378" s="78">
        <f>IF(ISBLANK(L378),"",IF(D378="Stock",IF(C378="Buy",L378*G378,IF(C378="Sell",(L378*G378)-I378, X)),IF(C378="Buy",(L378*G378*100)+I378,IF(C378="Sell",(L378*G378*100)-I378, X))))</f>
        <v/>
      </c>
      <c r="N378" s="78">
        <f>IF(ISBLANK(L378),"",IF(AND(C378="Sell",D378="Stock"),M378,IF(ISBLANK(L378),"",IF(C378="Buy",M378, IF(AND(C378="Sell",J378="NA"),(E378*G378*100*0.1)+I378, IF(C378="Sell",(J378-L378)*(100*G378)+I378))))))</f>
        <v/>
      </c>
      <c r="O378" s="75" t="n"/>
      <c r="P378" s="75" t="n"/>
      <c r="Q378" s="75">
        <f>IF(ISBLANK(P378),"",IF(D378="Stock",P378*G378,IF(P378=0,"0",G378*P378*100-(G378*$AF$14))))</f>
        <v/>
      </c>
      <c r="R378" s="79">
        <f>IF(P378&lt;&gt;"", TODAY(), "")</f>
        <v/>
      </c>
      <c r="S378" s="78">
        <f>IF(AND(K378&lt;&gt;"", R378&lt;&gt;""), R378-K378, "")</f>
        <v/>
      </c>
      <c r="T378" s="78" t="n"/>
      <c r="U378" s="92">
        <f>IF(ISBLANK(P378),"",IF(C378="Buy",Q378-M378+T378, IF(C378="Sell",M378-Q378-T378, X)))</f>
        <v/>
      </c>
      <c r="V378" s="81">
        <f>IF(ISBLANK(P378),"",U378/N378)</f>
        <v/>
      </c>
      <c r="W378" s="81">
        <f>IF(ISBLANK(P378),"",IF(S378=0,(365/0.5)*V378,(365/S378)*V378))</f>
        <v/>
      </c>
      <c r="X378" s="75" t="n"/>
      <c r="Y378" s="77" t="n"/>
      <c r="Z378" s="77" t="n"/>
      <c r="AA378" s="75" t="n"/>
      <c r="AB378" s="75" t="n"/>
      <c r="AC378" s="6" t="n"/>
      <c r="AD378" s="75" t="n"/>
      <c r="AE378" s="75" t="n"/>
      <c r="AF378" s="75" t="n"/>
    </row>
    <row r="379" ht="15.75" customHeight="1" s="133">
      <c r="A379" s="75" t="n"/>
      <c r="B379" s="75" t="n"/>
      <c r="C379" s="75" t="n"/>
      <c r="D379" s="75" t="n"/>
      <c r="E379" s="76" t="n"/>
      <c r="F379" s="77" t="n"/>
      <c r="G379" s="75" t="n"/>
      <c r="H379" s="75">
        <f>IF(ISBLANK(E379),"",IF(OR(D379="Butterfly",D379="Butterfly ",D379="Iron Fly", D379="Iron Fly "),LEN(E379)-LEN(SUBSTITUTE(E379,"/",""))+2,LEN(E379)-LEN(SUBSTITUTE(E379,"/",""))+1))</f>
        <v/>
      </c>
      <c r="I379" s="78">
        <f>IF(ISBLANK(G379),"",IF(D379="Stock","0",Key!$A$3*H379*G379))</f>
        <v/>
      </c>
      <c r="J379" s="78">
        <f>IF(ISBLANK(E379),"",IF(ISNUMBER(SEARCH("/",E379)), IF(LEN(E379)-LEN(SUBSTITUTE(E379,"/",""))=1,(RIGHT(E379,LEN(E379)-FIND("/",E379)))-(LEFT(E379,FIND("/",E379)-1)),(MID(E379, SEARCH("/",E379) + 1, SEARCH("/",E379, SEARCH("/",E379)+1) - SEARCH("/",E379) - 1))-(LEFT(E379,FIND("/",E379)-1))), "NA"))</f>
        <v/>
      </c>
      <c r="K379" s="79">
        <f>IF(A379&lt;&gt;"", IF(ISBLANK(L379), TODAY(), K379), "")</f>
        <v/>
      </c>
      <c r="L379" s="78" t="n"/>
      <c r="M379" s="78">
        <f>IF(ISBLANK(L379),"",IF(D379="Stock",IF(C379="Buy",L379*G379,IF(C379="Sell",(L379*G379)-I379, X)),IF(C379="Buy",(L379*G379*100)+I379,IF(C379="Sell",(L379*G379*100)-I379, X))))</f>
        <v/>
      </c>
      <c r="N379" s="78">
        <f>IF(ISBLANK(L379),"",IF(AND(C379="Sell",D379="Stock"),M379,IF(ISBLANK(L379),"",IF(C379="Buy",M379, IF(AND(C379="Sell",J379="NA"),(E379*G379*100*0.1)+I379, IF(C379="Sell",(J379-L379)*(100*G379)+I379))))))</f>
        <v/>
      </c>
      <c r="O379" s="75" t="n"/>
      <c r="P379" s="75" t="n"/>
      <c r="Q379" s="75">
        <f>IF(ISBLANK(P379),"",IF(D379="Stock",P379*G379,IF(P379=0,"0",G379*P379*100-(G379*$AF$14))))</f>
        <v/>
      </c>
      <c r="R379" s="79">
        <f>IF(P379&lt;&gt;"", TODAY(), "")</f>
        <v/>
      </c>
      <c r="S379" s="78">
        <f>IF(AND(K379&lt;&gt;"", R379&lt;&gt;""), R379-K379, "")</f>
        <v/>
      </c>
      <c r="T379" s="78" t="n"/>
      <c r="U379" s="92">
        <f>IF(ISBLANK(P379),"",IF(C379="Buy",Q379-M379+T379, IF(C379="Sell",M379-Q379-T379, X)))</f>
        <v/>
      </c>
      <c r="V379" s="81">
        <f>IF(ISBLANK(P379),"",U379/N379)</f>
        <v/>
      </c>
      <c r="W379" s="81">
        <f>IF(ISBLANK(P379),"",IF(S379=0,(365/0.5)*V379,(365/S379)*V379))</f>
        <v/>
      </c>
      <c r="X379" s="75" t="n"/>
      <c r="Y379" s="77" t="n"/>
      <c r="Z379" s="77" t="n"/>
      <c r="AA379" s="75" t="n"/>
      <c r="AB379" s="75" t="n"/>
      <c r="AC379" s="6" t="n"/>
      <c r="AD379" s="75" t="n"/>
      <c r="AE379" s="75" t="n"/>
      <c r="AF379" s="75" t="n"/>
    </row>
    <row r="380" ht="15.75" customHeight="1" s="133">
      <c r="A380" s="75" t="n"/>
      <c r="B380" s="75" t="n"/>
      <c r="C380" s="75" t="n"/>
      <c r="D380" s="75" t="n"/>
      <c r="E380" s="76" t="n"/>
      <c r="F380" s="77" t="n"/>
      <c r="G380" s="75" t="n"/>
      <c r="H380" s="75">
        <f>IF(ISBLANK(E380),"",IF(OR(D380="Butterfly",D380="Butterfly ",D380="Iron Fly", D380="Iron Fly "),LEN(E380)-LEN(SUBSTITUTE(E380,"/",""))+2,LEN(E380)-LEN(SUBSTITUTE(E380,"/",""))+1))</f>
        <v/>
      </c>
      <c r="I380" s="78">
        <f>IF(ISBLANK(G380),"",IF(D380="Stock","0",Key!$A$3*H380*G380))</f>
        <v/>
      </c>
      <c r="J380" s="78">
        <f>IF(ISBLANK(E380),"",IF(ISNUMBER(SEARCH("/",E380)), IF(LEN(E380)-LEN(SUBSTITUTE(E380,"/",""))=1,(RIGHT(E380,LEN(E380)-FIND("/",E380)))-(LEFT(E380,FIND("/",E380)-1)),(MID(E380, SEARCH("/",E380) + 1, SEARCH("/",E380, SEARCH("/",E380)+1) - SEARCH("/",E380) - 1))-(LEFT(E380,FIND("/",E380)-1))), "NA"))</f>
        <v/>
      </c>
      <c r="K380" s="79">
        <f>IF(A380&lt;&gt;"", IF(ISBLANK(L380), TODAY(), K380), "")</f>
        <v/>
      </c>
      <c r="L380" s="78" t="n"/>
      <c r="M380" s="78">
        <f>IF(ISBLANK(L380),"",IF(D380="Stock",IF(C380="Buy",L380*G380,IF(C380="Sell",(L380*G380)-I380, X)),IF(C380="Buy",(L380*G380*100)+I380,IF(C380="Sell",(L380*G380*100)-I380, X))))</f>
        <v/>
      </c>
      <c r="N380" s="78">
        <f>IF(ISBLANK(L380),"",IF(AND(C380="Sell",D380="Stock"),M380,IF(ISBLANK(L380),"",IF(C380="Buy",M380, IF(AND(C380="Sell",J380="NA"),(E380*G380*100*0.1)+I380, IF(C380="Sell",(J380-L380)*(100*G380)+I380))))))</f>
        <v/>
      </c>
      <c r="O380" s="75" t="n"/>
      <c r="P380" s="75" t="n"/>
      <c r="Q380" s="75">
        <f>IF(ISBLANK(P380),"",IF(D380="Stock",P380*G380,IF(P380=0,"0",G380*P380*100-(G380*$AF$14))))</f>
        <v/>
      </c>
      <c r="R380" s="79">
        <f>IF(P380&lt;&gt;"", TODAY(), "")</f>
        <v/>
      </c>
      <c r="S380" s="78">
        <f>IF(AND(K380&lt;&gt;"", R380&lt;&gt;""), R380-K380, "")</f>
        <v/>
      </c>
      <c r="T380" s="78" t="n"/>
      <c r="U380" s="92">
        <f>IF(ISBLANK(P380),"",IF(C380="Buy",Q380-M380+T380, IF(C380="Sell",M380-Q380-T380, X)))</f>
        <v/>
      </c>
      <c r="V380" s="81">
        <f>IF(ISBLANK(P380),"",U380/N380)</f>
        <v/>
      </c>
      <c r="W380" s="81">
        <f>IF(ISBLANK(P380),"",IF(S380=0,(365/0.5)*V380,(365/S380)*V380))</f>
        <v/>
      </c>
      <c r="X380" s="75" t="n"/>
      <c r="Y380" s="77" t="n"/>
      <c r="Z380" s="77" t="n"/>
      <c r="AA380" s="75" t="n"/>
      <c r="AB380" s="75" t="n"/>
      <c r="AC380" s="6" t="n"/>
      <c r="AD380" s="75" t="n"/>
      <c r="AE380" s="75" t="n"/>
      <c r="AF380" s="75" t="n"/>
    </row>
    <row r="381" ht="15.75" customHeight="1" s="133">
      <c r="A381" s="75" t="n"/>
      <c r="B381" s="75" t="n"/>
      <c r="C381" s="75" t="n"/>
      <c r="D381" s="75" t="n"/>
      <c r="E381" s="76" t="n"/>
      <c r="F381" s="77" t="n"/>
      <c r="G381" s="75" t="n"/>
      <c r="H381" s="75">
        <f>IF(ISBLANK(E381),"",IF(OR(D381="Butterfly",D381="Butterfly ",D381="Iron Fly", D381="Iron Fly "),LEN(E381)-LEN(SUBSTITUTE(E381,"/",""))+2,LEN(E381)-LEN(SUBSTITUTE(E381,"/",""))+1))</f>
        <v/>
      </c>
      <c r="I381" s="78">
        <f>IF(ISBLANK(G381),"",IF(D381="Stock","0",Key!$A$3*H381*G381))</f>
        <v/>
      </c>
      <c r="J381" s="78">
        <f>IF(ISBLANK(E381),"",IF(ISNUMBER(SEARCH("/",E381)), IF(LEN(E381)-LEN(SUBSTITUTE(E381,"/",""))=1,(RIGHT(E381,LEN(E381)-FIND("/",E381)))-(LEFT(E381,FIND("/",E381)-1)),(MID(E381, SEARCH("/",E381) + 1, SEARCH("/",E381, SEARCH("/",E381)+1) - SEARCH("/",E381) - 1))-(LEFT(E381,FIND("/",E381)-1))), "NA"))</f>
        <v/>
      </c>
      <c r="K381" s="79">
        <f>IF(A381&lt;&gt;"", IF(ISBLANK(L381), TODAY(), K381), "")</f>
        <v/>
      </c>
      <c r="L381" s="78" t="n"/>
      <c r="M381" s="78">
        <f>IF(ISBLANK(L381),"",IF(D381="Stock",IF(C381="Buy",L381*G381,IF(C381="Sell",(L381*G381)-I381, X)),IF(C381="Buy",(L381*G381*100)+I381,IF(C381="Sell",(L381*G381*100)-I381, X))))</f>
        <v/>
      </c>
      <c r="N381" s="78">
        <f>IF(ISBLANK(L381),"",IF(AND(C381="Sell",D381="Stock"),M381,IF(ISBLANK(L381),"",IF(C381="Buy",M381, IF(AND(C381="Sell",J381="NA"),(E381*G381*100*0.1)+I381, IF(C381="Sell",(J381-L381)*(100*G381)+I381))))))</f>
        <v/>
      </c>
      <c r="O381" s="75" t="n"/>
      <c r="P381" s="75" t="n"/>
      <c r="Q381" s="75">
        <f>IF(ISBLANK(P381),"",IF(D381="Stock",P381*G381,IF(P381=0,"0",G381*P381*100-(G381*$AF$14))))</f>
        <v/>
      </c>
      <c r="R381" s="79">
        <f>IF(P381&lt;&gt;"", TODAY(), "")</f>
        <v/>
      </c>
      <c r="S381" s="78">
        <f>IF(AND(K381&lt;&gt;"", R381&lt;&gt;""), R381-K381, "")</f>
        <v/>
      </c>
      <c r="T381" s="78" t="n"/>
      <c r="U381" s="92">
        <f>IF(ISBLANK(P381),"",IF(C381="Buy",Q381-M381+T381, IF(C381="Sell",M381-Q381-T381, X)))</f>
        <v/>
      </c>
      <c r="V381" s="81">
        <f>IF(ISBLANK(P381),"",U381/N381)</f>
        <v/>
      </c>
      <c r="W381" s="81">
        <f>IF(ISBLANK(P381),"",IF(S381=0,(365/0.5)*V381,(365/S381)*V381))</f>
        <v/>
      </c>
      <c r="X381" s="75" t="n"/>
      <c r="Y381" s="77" t="n"/>
      <c r="Z381" s="77" t="n"/>
      <c r="AA381" s="75" t="n"/>
      <c r="AB381" s="75" t="n"/>
      <c r="AC381" s="6" t="n"/>
      <c r="AD381" s="75" t="n"/>
      <c r="AE381" s="75" t="n"/>
      <c r="AF381" s="75" t="n"/>
    </row>
    <row r="382" ht="15.75" customHeight="1" s="133">
      <c r="A382" s="75" t="n"/>
      <c r="B382" s="75" t="n"/>
      <c r="C382" s="75" t="n"/>
      <c r="D382" s="75" t="n"/>
      <c r="E382" s="76" t="n"/>
      <c r="F382" s="77" t="n"/>
      <c r="G382" s="75" t="n"/>
      <c r="H382" s="75">
        <f>IF(ISBLANK(E382),"",IF(OR(D382="Butterfly",D382="Butterfly ",D382="Iron Fly", D382="Iron Fly "),LEN(E382)-LEN(SUBSTITUTE(E382,"/",""))+2,LEN(E382)-LEN(SUBSTITUTE(E382,"/",""))+1))</f>
        <v/>
      </c>
      <c r="I382" s="78">
        <f>IF(ISBLANK(G382),"",IF(D382="Stock","0",Key!$A$3*H382*G382))</f>
        <v/>
      </c>
      <c r="J382" s="78">
        <f>IF(ISBLANK(E382),"",IF(ISNUMBER(SEARCH("/",E382)), IF(LEN(E382)-LEN(SUBSTITUTE(E382,"/",""))=1,(RIGHT(E382,LEN(E382)-FIND("/",E382)))-(LEFT(E382,FIND("/",E382)-1)),(MID(E382, SEARCH("/",E382) + 1, SEARCH("/",E382, SEARCH("/",E382)+1) - SEARCH("/",E382) - 1))-(LEFT(E382,FIND("/",E382)-1))), "NA"))</f>
        <v/>
      </c>
      <c r="K382" s="79">
        <f>IF(A382&lt;&gt;"", IF(ISBLANK(L382), TODAY(), K382), "")</f>
        <v/>
      </c>
      <c r="L382" s="78" t="n"/>
      <c r="M382" s="78">
        <f>IF(ISBLANK(L382),"",IF(D382="Stock",IF(C382="Buy",L382*G382,IF(C382="Sell",(L382*G382)-I382, X)),IF(C382="Buy",(L382*G382*100)+I382,IF(C382="Sell",(L382*G382*100)-I382, X))))</f>
        <v/>
      </c>
      <c r="N382" s="78">
        <f>IF(ISBLANK(L382),"",IF(AND(C382="Sell",D382="Stock"),M382,IF(ISBLANK(L382),"",IF(C382="Buy",M382, IF(AND(C382="Sell",J382="NA"),(E382*G382*100*0.1)+I382, IF(C382="Sell",(J382-L382)*(100*G382)+I382))))))</f>
        <v/>
      </c>
      <c r="O382" s="75" t="n"/>
      <c r="P382" s="75" t="n"/>
      <c r="Q382" s="75">
        <f>IF(ISBLANK(P382),"",IF(D382="Stock",P382*G382,IF(P382=0,"0",G382*P382*100-(G382*$AF$14))))</f>
        <v/>
      </c>
      <c r="R382" s="79">
        <f>IF(P382&lt;&gt;"", TODAY(), "")</f>
        <v/>
      </c>
      <c r="S382" s="78">
        <f>IF(AND(K382&lt;&gt;"", R382&lt;&gt;""), R382-K382, "")</f>
        <v/>
      </c>
      <c r="T382" s="78" t="n"/>
      <c r="U382" s="92">
        <f>IF(ISBLANK(P382),"",IF(C382="Buy",Q382-M382+T382, IF(C382="Sell",M382-Q382-T382, X)))</f>
        <v/>
      </c>
      <c r="V382" s="81">
        <f>IF(ISBLANK(P382),"",U382/N382)</f>
        <v/>
      </c>
      <c r="W382" s="81">
        <f>IF(ISBLANK(P382),"",IF(S382=0,(365/0.5)*V382,(365/S382)*V382))</f>
        <v/>
      </c>
      <c r="X382" s="75" t="n"/>
      <c r="Y382" s="77" t="n"/>
      <c r="Z382" s="77" t="n"/>
      <c r="AA382" s="75" t="n"/>
      <c r="AB382" s="75" t="n"/>
      <c r="AC382" s="6" t="n"/>
      <c r="AD382" s="75" t="n"/>
      <c r="AE382" s="75" t="n"/>
      <c r="AF382" s="75" t="n"/>
    </row>
    <row r="383" ht="15.75" customHeight="1" s="133">
      <c r="A383" s="75" t="n"/>
      <c r="B383" s="75" t="n"/>
      <c r="C383" s="75" t="n"/>
      <c r="D383" s="75" t="n"/>
      <c r="E383" s="76" t="n"/>
      <c r="F383" s="77" t="n"/>
      <c r="G383" s="75" t="n"/>
      <c r="H383" s="75">
        <f>IF(ISBLANK(E383),"",IF(OR(D383="Butterfly",D383="Butterfly ",D383="Iron Fly", D383="Iron Fly "),LEN(E383)-LEN(SUBSTITUTE(E383,"/",""))+2,LEN(E383)-LEN(SUBSTITUTE(E383,"/",""))+1))</f>
        <v/>
      </c>
      <c r="I383" s="78">
        <f>IF(ISBLANK(G383),"",IF(D383="Stock","0",Key!$A$3*H383*G383))</f>
        <v/>
      </c>
      <c r="J383" s="78">
        <f>IF(ISBLANK(E383),"",IF(ISNUMBER(SEARCH("/",E383)), IF(LEN(E383)-LEN(SUBSTITUTE(E383,"/",""))=1,(RIGHT(E383,LEN(E383)-FIND("/",E383)))-(LEFT(E383,FIND("/",E383)-1)),(MID(E383, SEARCH("/",E383) + 1, SEARCH("/",E383, SEARCH("/",E383)+1) - SEARCH("/",E383) - 1))-(LEFT(E383,FIND("/",E383)-1))), "NA"))</f>
        <v/>
      </c>
      <c r="K383" s="79">
        <f>IF(A383&lt;&gt;"", IF(ISBLANK(L383), TODAY(), K383), "")</f>
        <v/>
      </c>
      <c r="L383" s="78" t="n"/>
      <c r="M383" s="78">
        <f>IF(ISBLANK(L383),"",IF(D383="Stock",IF(C383="Buy",L383*G383,IF(C383="Sell",(L383*G383)-I383, X)),IF(C383="Buy",(L383*G383*100)+I383,IF(C383="Sell",(L383*G383*100)-I383, X))))</f>
        <v/>
      </c>
      <c r="N383" s="78">
        <f>IF(ISBLANK(L383),"",IF(AND(C383="Sell",D383="Stock"),M383,IF(ISBLANK(L383),"",IF(C383="Buy",M383, IF(AND(C383="Sell",J383="NA"),(E383*G383*100*0.1)+I383, IF(C383="Sell",(J383-L383)*(100*G383)+I383))))))</f>
        <v/>
      </c>
      <c r="O383" s="75" t="n"/>
      <c r="P383" s="75" t="n"/>
      <c r="Q383" s="75">
        <f>IF(ISBLANK(P383),"",IF(D383="Stock",P383*G383,IF(P383=0,"0",G383*P383*100-(G383*$AF$14))))</f>
        <v/>
      </c>
      <c r="R383" s="79">
        <f>IF(P383&lt;&gt;"", TODAY(), "")</f>
        <v/>
      </c>
      <c r="S383" s="78">
        <f>IF(AND(K383&lt;&gt;"", R383&lt;&gt;""), R383-K383, "")</f>
        <v/>
      </c>
      <c r="T383" s="78" t="n"/>
      <c r="U383" s="92">
        <f>IF(ISBLANK(P383),"",IF(C383="Buy",Q383-M383+T383, IF(C383="Sell",M383-Q383-T383, X)))</f>
        <v/>
      </c>
      <c r="V383" s="81">
        <f>IF(ISBLANK(P383),"",U383/N383)</f>
        <v/>
      </c>
      <c r="W383" s="81">
        <f>IF(ISBLANK(P383),"",IF(S383=0,(365/0.5)*V383,(365/S383)*V383))</f>
        <v/>
      </c>
      <c r="X383" s="75" t="n"/>
      <c r="Y383" s="77" t="n"/>
      <c r="Z383" s="77" t="n"/>
      <c r="AA383" s="75" t="n"/>
      <c r="AB383" s="75" t="n"/>
      <c r="AC383" s="6" t="n"/>
      <c r="AD383" s="75" t="n"/>
      <c r="AE383" s="75" t="n"/>
      <c r="AF383" s="75" t="n"/>
    </row>
    <row r="384" ht="15.75" customHeight="1" s="133">
      <c r="A384" s="75" t="n"/>
      <c r="B384" s="75" t="n"/>
      <c r="C384" s="75" t="n"/>
      <c r="D384" s="75" t="n"/>
      <c r="E384" s="76" t="n"/>
      <c r="F384" s="77" t="n"/>
      <c r="G384" s="75" t="n"/>
      <c r="H384" s="75">
        <f>IF(ISBLANK(E384),"",IF(OR(D384="Butterfly",D384="Butterfly ",D384="Iron Fly", D384="Iron Fly "),LEN(E384)-LEN(SUBSTITUTE(E384,"/",""))+2,LEN(E384)-LEN(SUBSTITUTE(E384,"/",""))+1))</f>
        <v/>
      </c>
      <c r="I384" s="78">
        <f>IF(ISBLANK(G384),"",IF(D384="Stock","0",Key!$A$3*H384*G384))</f>
        <v/>
      </c>
      <c r="J384" s="78">
        <f>IF(ISBLANK(E384),"",IF(ISNUMBER(SEARCH("/",E384)), IF(LEN(E384)-LEN(SUBSTITUTE(E384,"/",""))=1,(RIGHT(E384,LEN(E384)-FIND("/",E384)))-(LEFT(E384,FIND("/",E384)-1)),(MID(E384, SEARCH("/",E384) + 1, SEARCH("/",E384, SEARCH("/",E384)+1) - SEARCH("/",E384) - 1))-(LEFT(E384,FIND("/",E384)-1))), "NA"))</f>
        <v/>
      </c>
      <c r="K384" s="79">
        <f>IF(A384&lt;&gt;"", IF(ISBLANK(L384), TODAY(), K384), "")</f>
        <v/>
      </c>
      <c r="L384" s="78" t="n"/>
      <c r="M384" s="78">
        <f>IF(ISBLANK(L384),"",IF(D384="Stock",IF(C384="Buy",L384*G384,IF(C384="Sell",(L384*G384)-I384, X)),IF(C384="Buy",(L384*G384*100)+I384,IF(C384="Sell",(L384*G384*100)-I384, X))))</f>
        <v/>
      </c>
      <c r="N384" s="78">
        <f>IF(ISBLANK(L384),"",IF(AND(C384="Sell",D384="Stock"),M384,IF(ISBLANK(L384),"",IF(C384="Buy",M384, IF(AND(C384="Sell",J384="NA"),(E384*G384*100*0.1)+I384, IF(C384="Sell",(J384-L384)*(100*G384)+I384))))))</f>
        <v/>
      </c>
      <c r="O384" s="75" t="n"/>
      <c r="P384" s="75" t="n"/>
      <c r="Q384" s="75">
        <f>IF(ISBLANK(P384),"",IF(D384="Stock",P384*G384,IF(P384=0,"0",G384*P384*100-(G384*$AF$14))))</f>
        <v/>
      </c>
      <c r="R384" s="79">
        <f>IF(P384&lt;&gt;"", TODAY(), "")</f>
        <v/>
      </c>
      <c r="S384" s="78">
        <f>IF(AND(K384&lt;&gt;"", R384&lt;&gt;""), R384-K384, "")</f>
        <v/>
      </c>
      <c r="T384" s="78" t="n"/>
      <c r="U384" s="92">
        <f>IF(ISBLANK(P384),"",IF(C384="Buy",Q384-M384+T384, IF(C384="Sell",M384-Q384-T384, X)))</f>
        <v/>
      </c>
      <c r="V384" s="81">
        <f>IF(ISBLANK(P384),"",U384/N384)</f>
        <v/>
      </c>
      <c r="W384" s="81">
        <f>IF(ISBLANK(P384),"",IF(S384=0,(365/0.5)*V384,(365/S384)*V384))</f>
        <v/>
      </c>
      <c r="X384" s="75" t="n"/>
      <c r="Y384" s="77" t="n"/>
      <c r="Z384" s="77" t="n"/>
      <c r="AA384" s="75" t="n"/>
      <c r="AB384" s="75" t="n"/>
      <c r="AC384" s="6" t="n"/>
      <c r="AD384" s="75" t="n"/>
      <c r="AE384" s="75" t="n"/>
      <c r="AF384" s="75" t="n"/>
    </row>
    <row r="385" ht="15.75" customHeight="1" s="133">
      <c r="A385" s="75" t="n"/>
      <c r="B385" s="75" t="n"/>
      <c r="C385" s="75" t="n"/>
      <c r="D385" s="75" t="n"/>
      <c r="E385" s="76" t="n"/>
      <c r="F385" s="77" t="n"/>
      <c r="G385" s="75" t="n"/>
      <c r="H385" s="75">
        <f>IF(ISBLANK(E385),"",IF(OR(D385="Butterfly",D385="Butterfly ",D385="Iron Fly", D385="Iron Fly "),LEN(E385)-LEN(SUBSTITUTE(E385,"/",""))+2,LEN(E385)-LEN(SUBSTITUTE(E385,"/",""))+1))</f>
        <v/>
      </c>
      <c r="I385" s="78">
        <f>IF(ISBLANK(G385),"",IF(D385="Stock","0",Key!$A$3*H385*G385))</f>
        <v/>
      </c>
      <c r="J385" s="78">
        <f>IF(ISBLANK(E385),"",IF(ISNUMBER(SEARCH("/",E385)), IF(LEN(E385)-LEN(SUBSTITUTE(E385,"/",""))=1,(RIGHT(E385,LEN(E385)-FIND("/",E385)))-(LEFT(E385,FIND("/",E385)-1)),(MID(E385, SEARCH("/",E385) + 1, SEARCH("/",E385, SEARCH("/",E385)+1) - SEARCH("/",E385) - 1))-(LEFT(E385,FIND("/",E385)-1))), "NA"))</f>
        <v/>
      </c>
      <c r="K385" s="79">
        <f>IF(A385&lt;&gt;"", IF(ISBLANK(L385), TODAY(), K385), "")</f>
        <v/>
      </c>
      <c r="L385" s="78" t="n"/>
      <c r="M385" s="78">
        <f>IF(ISBLANK(L385),"",IF(D385="Stock",IF(C385="Buy",L385*G385,IF(C385="Sell",(L385*G385)-I385, X)),IF(C385="Buy",(L385*G385*100)+I385,IF(C385="Sell",(L385*G385*100)-I385, X))))</f>
        <v/>
      </c>
      <c r="N385" s="78">
        <f>IF(ISBLANK(L385),"",IF(AND(C385="Sell",D385="Stock"),M385,IF(ISBLANK(L385),"",IF(C385="Buy",M385, IF(AND(C385="Sell",J385="NA"),(E385*G385*100*0.1)+I385, IF(C385="Sell",(J385-L385)*(100*G385)+I385))))))</f>
        <v/>
      </c>
      <c r="O385" s="75" t="n"/>
      <c r="P385" s="75" t="n"/>
      <c r="Q385" s="75">
        <f>IF(ISBLANK(P385),"",IF(D385="Stock",P385*G385,IF(P385=0,"0",G385*P385*100-(G385*$AF$14))))</f>
        <v/>
      </c>
      <c r="R385" s="79">
        <f>IF(P385&lt;&gt;"", TODAY(), "")</f>
        <v/>
      </c>
      <c r="S385" s="78">
        <f>IF(AND(K385&lt;&gt;"", R385&lt;&gt;""), R385-K385, "")</f>
        <v/>
      </c>
      <c r="T385" s="78" t="n"/>
      <c r="U385" s="92">
        <f>IF(ISBLANK(P385),"",IF(C385="Buy",Q385-M385+T385, IF(C385="Sell",M385-Q385-T385, X)))</f>
        <v/>
      </c>
      <c r="V385" s="81">
        <f>IF(ISBLANK(P385),"",U385/N385)</f>
        <v/>
      </c>
      <c r="W385" s="81">
        <f>IF(ISBLANK(P385),"",IF(S385=0,(365/0.5)*V385,(365/S385)*V385))</f>
        <v/>
      </c>
      <c r="X385" s="75" t="n"/>
      <c r="Y385" s="77" t="n"/>
      <c r="Z385" s="77" t="n"/>
      <c r="AA385" s="75" t="n"/>
      <c r="AB385" s="75" t="n"/>
      <c r="AC385" s="6" t="n"/>
      <c r="AD385" s="75" t="n"/>
      <c r="AE385" s="75" t="n"/>
      <c r="AF385" s="75" t="n"/>
    </row>
    <row r="386" ht="15.75" customHeight="1" s="133">
      <c r="A386" s="75" t="n"/>
      <c r="B386" s="75" t="n"/>
      <c r="C386" s="75" t="n"/>
      <c r="D386" s="75" t="n"/>
      <c r="E386" s="76" t="n"/>
      <c r="F386" s="77" t="n"/>
      <c r="G386" s="75" t="n"/>
      <c r="H386" s="75">
        <f>IF(ISBLANK(E386),"",IF(OR(D386="Butterfly",D386="Butterfly ",D386="Iron Fly", D386="Iron Fly "),LEN(E386)-LEN(SUBSTITUTE(E386,"/",""))+2,LEN(E386)-LEN(SUBSTITUTE(E386,"/",""))+1))</f>
        <v/>
      </c>
      <c r="I386" s="78">
        <f>IF(ISBLANK(G386),"",IF(D386="Stock","0",Key!$A$3*H386*G386))</f>
        <v/>
      </c>
      <c r="J386" s="78">
        <f>IF(ISBLANK(E386),"",IF(ISNUMBER(SEARCH("/",E386)), IF(LEN(E386)-LEN(SUBSTITUTE(E386,"/",""))=1,(RIGHT(E386,LEN(E386)-FIND("/",E386)))-(LEFT(E386,FIND("/",E386)-1)),(MID(E386, SEARCH("/",E386) + 1, SEARCH("/",E386, SEARCH("/",E386)+1) - SEARCH("/",E386) - 1))-(LEFT(E386,FIND("/",E386)-1))), "NA"))</f>
        <v/>
      </c>
      <c r="K386" s="79">
        <f>IF(A386&lt;&gt;"", IF(ISBLANK(L386), TODAY(), K386), "")</f>
        <v/>
      </c>
      <c r="L386" s="78" t="n"/>
      <c r="M386" s="78">
        <f>IF(ISBLANK(L386),"",IF(D386="Stock",IF(C386="Buy",L386*G386,IF(C386="Sell",(L386*G386)-I386, X)),IF(C386="Buy",(L386*G386*100)+I386,IF(C386="Sell",(L386*G386*100)-I386, X))))</f>
        <v/>
      </c>
      <c r="N386" s="78">
        <f>IF(ISBLANK(L386),"",IF(AND(C386="Sell",D386="Stock"),M386,IF(ISBLANK(L386),"",IF(C386="Buy",M386, IF(AND(C386="Sell",J386="NA"),(E386*G386*100*0.1)+I386, IF(C386="Sell",(J386-L386)*(100*G386)+I386))))))</f>
        <v/>
      </c>
      <c r="O386" s="75" t="n"/>
      <c r="P386" s="75" t="n"/>
      <c r="Q386" s="75">
        <f>IF(ISBLANK(P386),"",IF(D386="Stock",P386*G386,IF(P386=0,"0",G386*P386*100-(G386*$AF$14))))</f>
        <v/>
      </c>
      <c r="R386" s="79">
        <f>IF(P386&lt;&gt;"", TODAY(), "")</f>
        <v/>
      </c>
      <c r="S386" s="78">
        <f>IF(AND(K386&lt;&gt;"", R386&lt;&gt;""), R386-K386, "")</f>
        <v/>
      </c>
      <c r="T386" s="78" t="n"/>
      <c r="U386" s="92">
        <f>IF(ISBLANK(P386),"",IF(C386="Buy",Q386-M386+T386, IF(C386="Sell",M386-Q386-T386, X)))</f>
        <v/>
      </c>
      <c r="V386" s="81">
        <f>IF(ISBLANK(P386),"",U386/N386)</f>
        <v/>
      </c>
      <c r="W386" s="81">
        <f>IF(ISBLANK(P386),"",IF(S386=0,(365/0.5)*V386,(365/S386)*V386))</f>
        <v/>
      </c>
      <c r="X386" s="75" t="n"/>
      <c r="Y386" s="77" t="n"/>
      <c r="Z386" s="77" t="n"/>
      <c r="AA386" s="75" t="n"/>
      <c r="AB386" s="75" t="n"/>
      <c r="AC386" s="6" t="n"/>
      <c r="AD386" s="75" t="n"/>
      <c r="AE386" s="75" t="n"/>
      <c r="AF386" s="75" t="n"/>
    </row>
    <row r="387" ht="15.75" customHeight="1" s="133">
      <c r="A387" s="75" t="n"/>
      <c r="B387" s="75" t="n"/>
      <c r="C387" s="75" t="n"/>
      <c r="D387" s="75" t="n"/>
      <c r="E387" s="76" t="n"/>
      <c r="F387" s="77" t="n"/>
      <c r="G387" s="75" t="n"/>
      <c r="H387" s="75">
        <f>IF(ISBLANK(E387),"",IF(OR(D387="Butterfly",D387="Butterfly ",D387="Iron Fly", D387="Iron Fly "),LEN(E387)-LEN(SUBSTITUTE(E387,"/",""))+2,LEN(E387)-LEN(SUBSTITUTE(E387,"/",""))+1))</f>
        <v/>
      </c>
      <c r="I387" s="78">
        <f>IF(ISBLANK(G387),"",IF(D387="Stock","0",Key!$A$3*H387*G387))</f>
        <v/>
      </c>
      <c r="J387" s="78">
        <f>IF(ISBLANK(E387),"",IF(ISNUMBER(SEARCH("/",E387)), IF(LEN(E387)-LEN(SUBSTITUTE(E387,"/",""))=1,(RIGHT(E387,LEN(E387)-FIND("/",E387)))-(LEFT(E387,FIND("/",E387)-1)),(MID(E387, SEARCH("/",E387) + 1, SEARCH("/",E387, SEARCH("/",E387)+1) - SEARCH("/",E387) - 1))-(LEFT(E387,FIND("/",E387)-1))), "NA"))</f>
        <v/>
      </c>
      <c r="K387" s="79">
        <f>IF(A387&lt;&gt;"", IF(ISBLANK(L387), TODAY(), K387), "")</f>
        <v/>
      </c>
      <c r="L387" s="78" t="n"/>
      <c r="M387" s="78">
        <f>IF(ISBLANK(L387),"",IF(D387="Stock",IF(C387="Buy",L387*G387,IF(C387="Sell",(L387*G387)-I387, X)),IF(C387="Buy",(L387*G387*100)+I387,IF(C387="Sell",(L387*G387*100)-I387, X))))</f>
        <v/>
      </c>
      <c r="N387" s="78">
        <f>IF(ISBLANK(L387),"",IF(AND(C387="Sell",D387="Stock"),M387,IF(ISBLANK(L387),"",IF(C387="Buy",M387, IF(AND(C387="Sell",J387="NA"),(E387*G387*100*0.1)+I387, IF(C387="Sell",(J387-L387)*(100*G387)+I387))))))</f>
        <v/>
      </c>
      <c r="O387" s="75" t="n"/>
      <c r="P387" s="75" t="n"/>
      <c r="Q387" s="75">
        <f>IF(ISBLANK(P387),"",IF(D387="Stock",P387*G387,IF(P387=0,"0",G387*P387*100-(G387*$AF$14))))</f>
        <v/>
      </c>
      <c r="R387" s="79">
        <f>IF(P387&lt;&gt;"", TODAY(), "")</f>
        <v/>
      </c>
      <c r="S387" s="78">
        <f>IF(AND(K387&lt;&gt;"", R387&lt;&gt;""), R387-K387, "")</f>
        <v/>
      </c>
      <c r="T387" s="78" t="n"/>
      <c r="U387" s="92">
        <f>IF(ISBLANK(P387),"",IF(C387="Buy",Q387-M387+T387, IF(C387="Sell",M387-Q387-T387, X)))</f>
        <v/>
      </c>
      <c r="V387" s="81">
        <f>IF(ISBLANK(P387),"",U387/N387)</f>
        <v/>
      </c>
      <c r="W387" s="81">
        <f>IF(ISBLANK(P387),"",IF(S387=0,(365/0.5)*V387,(365/S387)*V387))</f>
        <v/>
      </c>
      <c r="X387" s="75" t="n"/>
      <c r="Y387" s="77" t="n"/>
      <c r="Z387" s="77" t="n"/>
      <c r="AA387" s="75" t="n"/>
      <c r="AB387" s="75" t="n"/>
      <c r="AC387" s="6" t="n"/>
      <c r="AD387" s="75" t="n"/>
      <c r="AE387" s="75" t="n"/>
      <c r="AF387" s="75" t="n"/>
    </row>
    <row r="388" ht="15.75" customHeight="1" s="133">
      <c r="A388" s="75" t="n"/>
      <c r="B388" s="75" t="n"/>
      <c r="C388" s="75" t="n"/>
      <c r="D388" s="75" t="n"/>
      <c r="E388" s="76" t="n"/>
      <c r="F388" s="77" t="n"/>
      <c r="G388" s="75" t="n"/>
      <c r="H388" s="75">
        <f>IF(ISBLANK(E388),"",IF(OR(D388="Butterfly",D388="Butterfly ",D388="Iron Fly", D388="Iron Fly "),LEN(E388)-LEN(SUBSTITUTE(E388,"/",""))+2,LEN(E388)-LEN(SUBSTITUTE(E388,"/",""))+1))</f>
        <v/>
      </c>
      <c r="I388" s="78">
        <f>IF(ISBLANK(G388),"",IF(D388="Stock","0",Key!$A$3*H388*G388))</f>
        <v/>
      </c>
      <c r="J388" s="78">
        <f>IF(ISBLANK(E388),"",IF(ISNUMBER(SEARCH("/",E388)), IF(LEN(E388)-LEN(SUBSTITUTE(E388,"/",""))=1,(RIGHT(E388,LEN(E388)-FIND("/",E388)))-(LEFT(E388,FIND("/",E388)-1)),(MID(E388, SEARCH("/",E388) + 1, SEARCH("/",E388, SEARCH("/",E388)+1) - SEARCH("/",E388) - 1))-(LEFT(E388,FIND("/",E388)-1))), "NA"))</f>
        <v/>
      </c>
      <c r="K388" s="79">
        <f>IF(A388&lt;&gt;"", IF(ISBLANK(L388), TODAY(), K388), "")</f>
        <v/>
      </c>
      <c r="L388" s="78" t="n"/>
      <c r="M388" s="78">
        <f>IF(ISBLANK(L388),"",IF(D388="Stock",IF(C388="Buy",L388*G388,IF(C388="Sell",(L388*G388)-I388, X)),IF(C388="Buy",(L388*G388*100)+I388,IF(C388="Sell",(L388*G388*100)-I388, X))))</f>
        <v/>
      </c>
      <c r="N388" s="78">
        <f>IF(ISBLANK(L388),"",IF(AND(C388="Sell",D388="Stock"),M388,IF(ISBLANK(L388),"",IF(C388="Buy",M388, IF(AND(C388="Sell",J388="NA"),(E388*G388*100*0.1)+I388, IF(C388="Sell",(J388-L388)*(100*G388)+I388))))))</f>
        <v/>
      </c>
      <c r="O388" s="75" t="n"/>
      <c r="P388" s="75" t="n"/>
      <c r="Q388" s="75">
        <f>IF(ISBLANK(P388),"",IF(D388="Stock",P388*G388,IF(P388=0,"0",G388*P388*100-(G388*$AF$14))))</f>
        <v/>
      </c>
      <c r="R388" s="79">
        <f>IF(P388&lt;&gt;"", TODAY(), "")</f>
        <v/>
      </c>
      <c r="S388" s="78">
        <f>IF(AND(K388&lt;&gt;"", R388&lt;&gt;""), R388-K388, "")</f>
        <v/>
      </c>
      <c r="T388" s="78" t="n"/>
      <c r="U388" s="92">
        <f>IF(ISBLANK(P388),"",IF(C388="Buy",Q388-M388+T388, IF(C388="Sell",M388-Q388-T388, X)))</f>
        <v/>
      </c>
      <c r="V388" s="81">
        <f>IF(ISBLANK(P388),"",U388/N388)</f>
        <v/>
      </c>
      <c r="W388" s="81">
        <f>IF(ISBLANK(P388),"",IF(S388=0,(365/0.5)*V388,(365/S388)*V388))</f>
        <v/>
      </c>
      <c r="X388" s="75" t="n"/>
      <c r="Y388" s="77" t="n"/>
      <c r="Z388" s="77" t="n"/>
      <c r="AA388" s="75" t="n"/>
      <c r="AB388" s="75" t="n"/>
      <c r="AC388" s="6" t="n"/>
      <c r="AD388" s="75" t="n"/>
      <c r="AE388" s="75" t="n"/>
      <c r="AF388" s="75" t="n"/>
    </row>
    <row r="389" ht="15.75" customHeight="1" s="133">
      <c r="A389" s="75" t="n"/>
      <c r="B389" s="75" t="n"/>
      <c r="C389" s="75" t="n"/>
      <c r="D389" s="75" t="n"/>
      <c r="E389" s="76" t="n"/>
      <c r="F389" s="77" t="n"/>
      <c r="G389" s="75" t="n"/>
      <c r="H389" s="75">
        <f>IF(ISBLANK(E389),"",IF(OR(D389="Butterfly",D389="Butterfly ",D389="Iron Fly", D389="Iron Fly "),LEN(E389)-LEN(SUBSTITUTE(E389,"/",""))+2,LEN(E389)-LEN(SUBSTITUTE(E389,"/",""))+1))</f>
        <v/>
      </c>
      <c r="I389" s="78">
        <f>IF(ISBLANK(G389),"",IF(D389="Stock","0",Key!$A$3*H389*G389))</f>
        <v/>
      </c>
      <c r="J389" s="78">
        <f>IF(ISBLANK(E389),"",IF(ISNUMBER(SEARCH("/",E389)), IF(LEN(E389)-LEN(SUBSTITUTE(E389,"/",""))=1,(RIGHT(E389,LEN(E389)-FIND("/",E389)))-(LEFT(E389,FIND("/",E389)-1)),(MID(E389, SEARCH("/",E389) + 1, SEARCH("/",E389, SEARCH("/",E389)+1) - SEARCH("/",E389) - 1))-(LEFT(E389,FIND("/",E389)-1))), "NA"))</f>
        <v/>
      </c>
      <c r="K389" s="79">
        <f>IF(A389&lt;&gt;"", IF(ISBLANK(L389), TODAY(), K389), "")</f>
        <v/>
      </c>
      <c r="L389" s="78" t="n"/>
      <c r="M389" s="78">
        <f>IF(ISBLANK(L389),"",IF(D389="Stock",IF(C389="Buy",L389*G389,IF(C389="Sell",(L389*G389)-I389, X)),IF(C389="Buy",(L389*G389*100)+I389,IF(C389="Sell",(L389*G389*100)-I389, X))))</f>
        <v/>
      </c>
      <c r="N389" s="78">
        <f>IF(ISBLANK(L389),"",IF(AND(C389="Sell",D389="Stock"),M389,IF(ISBLANK(L389),"",IF(C389="Buy",M389, IF(AND(C389="Sell",J389="NA"),(E389*G389*100*0.1)+I389, IF(C389="Sell",(J389-L389)*(100*G389)+I389))))))</f>
        <v/>
      </c>
      <c r="O389" s="75" t="n"/>
      <c r="P389" s="75" t="n"/>
      <c r="Q389" s="75">
        <f>IF(ISBLANK(P389),"",IF(D389="Stock",P389*G389,IF(P389=0,"0",G389*P389*100-(G389*$AF$14))))</f>
        <v/>
      </c>
      <c r="R389" s="79">
        <f>IF(P389&lt;&gt;"", TODAY(), "")</f>
        <v/>
      </c>
      <c r="S389" s="78">
        <f>IF(AND(K389&lt;&gt;"", R389&lt;&gt;""), R389-K389, "")</f>
        <v/>
      </c>
      <c r="T389" s="78" t="n"/>
      <c r="U389" s="92">
        <f>IF(ISBLANK(P389),"",IF(C389="Buy",Q389-M389+T389, IF(C389="Sell",M389-Q389-T389, X)))</f>
        <v/>
      </c>
      <c r="V389" s="81">
        <f>IF(ISBLANK(P389),"",U389/N389)</f>
        <v/>
      </c>
      <c r="W389" s="81">
        <f>IF(ISBLANK(P389),"",IF(S389=0,(365/0.5)*V389,(365/S389)*V389))</f>
        <v/>
      </c>
      <c r="X389" s="75" t="n"/>
      <c r="Y389" s="77" t="n"/>
      <c r="Z389" s="77" t="n"/>
      <c r="AA389" s="75" t="n"/>
      <c r="AB389" s="75" t="n"/>
      <c r="AC389" s="6" t="n"/>
      <c r="AD389" s="75" t="n"/>
      <c r="AE389" s="75" t="n"/>
      <c r="AF389" s="75" t="n"/>
    </row>
    <row r="390" ht="15.75" customHeight="1" s="133">
      <c r="A390" s="75" t="n"/>
      <c r="B390" s="75" t="n"/>
      <c r="C390" s="75" t="n"/>
      <c r="D390" s="75" t="n"/>
      <c r="E390" s="76" t="n"/>
      <c r="F390" s="77" t="n"/>
      <c r="G390" s="75" t="n"/>
      <c r="H390" s="75">
        <f>IF(ISBLANK(E390),"",IF(OR(D390="Butterfly",D390="Butterfly ",D390="Iron Fly", D390="Iron Fly "),LEN(E390)-LEN(SUBSTITUTE(E390,"/",""))+2,LEN(E390)-LEN(SUBSTITUTE(E390,"/",""))+1))</f>
        <v/>
      </c>
      <c r="I390" s="78">
        <f>IF(ISBLANK(G390),"",IF(D390="Stock","0",Key!$A$3*H390*G390))</f>
        <v/>
      </c>
      <c r="J390" s="78">
        <f>IF(ISBLANK(E390),"",IF(ISNUMBER(SEARCH("/",E390)), IF(LEN(E390)-LEN(SUBSTITUTE(E390,"/",""))=1,(RIGHT(E390,LEN(E390)-FIND("/",E390)))-(LEFT(E390,FIND("/",E390)-1)),(MID(E390, SEARCH("/",E390) + 1, SEARCH("/",E390, SEARCH("/",E390)+1) - SEARCH("/",E390) - 1))-(LEFT(E390,FIND("/",E390)-1))), "NA"))</f>
        <v/>
      </c>
      <c r="K390" s="79">
        <f>IF(A390&lt;&gt;"", IF(ISBLANK(L390), TODAY(), K390), "")</f>
        <v/>
      </c>
      <c r="L390" s="78" t="n"/>
      <c r="M390" s="78">
        <f>IF(ISBLANK(L390),"",IF(D390="Stock",IF(C390="Buy",L390*G390,IF(C390="Sell",(L390*G390)-I390, X)),IF(C390="Buy",(L390*G390*100)+I390,IF(C390="Sell",(L390*G390*100)-I390, X))))</f>
        <v/>
      </c>
      <c r="N390" s="78">
        <f>IF(ISBLANK(L390),"",IF(AND(C390="Sell",D390="Stock"),M390,IF(ISBLANK(L390),"",IF(C390="Buy",M390, IF(AND(C390="Sell",J390="NA"),(E390*G390*100*0.1)+I390, IF(C390="Sell",(J390-L390)*(100*G390)+I390))))))</f>
        <v/>
      </c>
      <c r="O390" s="75" t="n"/>
      <c r="P390" s="75" t="n"/>
      <c r="Q390" s="75">
        <f>IF(ISBLANK(P390),"",IF(D390="Stock",P390*G390,IF(P390=0,"0",G390*P390*100-(G390*$AF$14))))</f>
        <v/>
      </c>
      <c r="R390" s="79">
        <f>IF(P390&lt;&gt;"", TODAY(), "")</f>
        <v/>
      </c>
      <c r="S390" s="78">
        <f>IF(AND(K390&lt;&gt;"", R390&lt;&gt;""), R390-K390, "")</f>
        <v/>
      </c>
      <c r="T390" s="78" t="n"/>
      <c r="U390" s="92">
        <f>IF(ISBLANK(P390),"",IF(C390="Buy",Q390-M390+T390, IF(C390="Sell",M390-Q390-T390, X)))</f>
        <v/>
      </c>
      <c r="V390" s="81">
        <f>IF(ISBLANK(P390),"",U390/N390)</f>
        <v/>
      </c>
      <c r="W390" s="81">
        <f>IF(ISBLANK(P390),"",IF(S390=0,(365/0.5)*V390,(365/S390)*V390))</f>
        <v/>
      </c>
      <c r="X390" s="75" t="n"/>
      <c r="Y390" s="77" t="n"/>
      <c r="Z390" s="77" t="n"/>
      <c r="AA390" s="75" t="n"/>
      <c r="AB390" s="75" t="n"/>
      <c r="AC390" s="6" t="n"/>
      <c r="AD390" s="75" t="n"/>
      <c r="AE390" s="75" t="n"/>
      <c r="AF390" s="75" t="n"/>
    </row>
    <row r="391" ht="15.75" customHeight="1" s="133">
      <c r="A391" s="75" t="n"/>
      <c r="B391" s="75" t="n"/>
      <c r="C391" s="75" t="n"/>
      <c r="D391" s="75" t="n"/>
      <c r="E391" s="76" t="n"/>
      <c r="F391" s="77" t="n"/>
      <c r="G391" s="75" t="n"/>
      <c r="H391" s="75">
        <f>IF(ISBLANK(E391),"",IF(OR(D391="Butterfly",D391="Butterfly ",D391="Iron Fly", D391="Iron Fly "),LEN(E391)-LEN(SUBSTITUTE(E391,"/",""))+2,LEN(E391)-LEN(SUBSTITUTE(E391,"/",""))+1))</f>
        <v/>
      </c>
      <c r="I391" s="78">
        <f>IF(ISBLANK(G391),"",IF(D391="Stock","0",Key!$A$3*H391*G391))</f>
        <v/>
      </c>
      <c r="J391" s="78">
        <f>IF(ISBLANK(E391),"",IF(ISNUMBER(SEARCH("/",E391)), IF(LEN(E391)-LEN(SUBSTITUTE(E391,"/",""))=1,(RIGHT(E391,LEN(E391)-FIND("/",E391)))-(LEFT(E391,FIND("/",E391)-1)),(MID(E391, SEARCH("/",E391) + 1, SEARCH("/",E391, SEARCH("/",E391)+1) - SEARCH("/",E391) - 1))-(LEFT(E391,FIND("/",E391)-1))), "NA"))</f>
        <v/>
      </c>
      <c r="K391" s="79">
        <f>IF(A391&lt;&gt;"", IF(ISBLANK(L391), TODAY(), K391), "")</f>
        <v/>
      </c>
      <c r="L391" s="78" t="n"/>
      <c r="M391" s="78">
        <f>IF(ISBLANK(L391),"",IF(D391="Stock",IF(C391="Buy",L391*G391,IF(C391="Sell",(L391*G391)-I391, X)),IF(C391="Buy",(L391*G391*100)+I391,IF(C391="Sell",(L391*G391*100)-I391, X))))</f>
        <v/>
      </c>
      <c r="N391" s="78">
        <f>IF(ISBLANK(L391),"",IF(AND(C391="Sell",D391="Stock"),M391,IF(ISBLANK(L391),"",IF(C391="Buy",M391, IF(AND(C391="Sell",J391="NA"),(E391*G391*100*0.1)+I391, IF(C391="Sell",(J391-L391)*(100*G391)+I391))))))</f>
        <v/>
      </c>
      <c r="O391" s="75" t="n"/>
      <c r="P391" s="75" t="n"/>
      <c r="Q391" s="75">
        <f>IF(ISBLANK(P391),"",IF(D391="Stock",P391*G391,IF(P391=0,"0",G391*P391*100-(G391*$AF$14))))</f>
        <v/>
      </c>
      <c r="R391" s="79">
        <f>IF(P391&lt;&gt;"", TODAY(), "")</f>
        <v/>
      </c>
      <c r="S391" s="78">
        <f>IF(AND(K391&lt;&gt;"", R391&lt;&gt;""), R391-K391, "")</f>
        <v/>
      </c>
      <c r="T391" s="78" t="n"/>
      <c r="U391" s="92">
        <f>IF(ISBLANK(P391),"",IF(C391="Buy",Q391-M391+T391, IF(C391="Sell",M391-Q391-T391, X)))</f>
        <v/>
      </c>
      <c r="V391" s="81">
        <f>IF(ISBLANK(P391),"",U391/N391)</f>
        <v/>
      </c>
      <c r="W391" s="81">
        <f>IF(ISBLANK(P391),"",IF(S391=0,(365/0.5)*V391,(365/S391)*V391))</f>
        <v/>
      </c>
      <c r="X391" s="75" t="n"/>
      <c r="Y391" s="77" t="n"/>
      <c r="Z391" s="77" t="n"/>
      <c r="AA391" s="75" t="n"/>
      <c r="AB391" s="75" t="n"/>
      <c r="AC391" s="6" t="n"/>
      <c r="AD391" s="75" t="n"/>
      <c r="AE391" s="75" t="n"/>
      <c r="AF391" s="75" t="n"/>
    </row>
    <row r="392" ht="15.75" customHeight="1" s="133">
      <c r="A392" s="75" t="n"/>
      <c r="B392" s="75" t="n"/>
      <c r="C392" s="75" t="n"/>
      <c r="D392" s="75" t="n"/>
      <c r="E392" s="76" t="n"/>
      <c r="F392" s="77" t="n"/>
      <c r="G392" s="75" t="n"/>
      <c r="H392" s="75">
        <f>IF(ISBLANK(E392),"",IF(OR(D392="Butterfly",D392="Butterfly ",D392="Iron Fly", D392="Iron Fly "),LEN(E392)-LEN(SUBSTITUTE(E392,"/",""))+2,LEN(E392)-LEN(SUBSTITUTE(E392,"/",""))+1))</f>
        <v/>
      </c>
      <c r="I392" s="78">
        <f>IF(ISBLANK(G392),"",IF(D392="Stock","0",Key!$A$3*H392*G392))</f>
        <v/>
      </c>
      <c r="J392" s="78">
        <f>IF(ISBLANK(E392),"",IF(ISNUMBER(SEARCH("/",E392)), IF(LEN(E392)-LEN(SUBSTITUTE(E392,"/",""))=1,(RIGHT(E392,LEN(E392)-FIND("/",E392)))-(LEFT(E392,FIND("/",E392)-1)),(MID(E392, SEARCH("/",E392) + 1, SEARCH("/",E392, SEARCH("/",E392)+1) - SEARCH("/",E392) - 1))-(LEFT(E392,FIND("/",E392)-1))), "NA"))</f>
        <v/>
      </c>
      <c r="K392" s="79">
        <f>IF(A392&lt;&gt;"", IF(ISBLANK(L392), TODAY(), K392), "")</f>
        <v/>
      </c>
      <c r="L392" s="78" t="n"/>
      <c r="M392" s="78">
        <f>IF(ISBLANK(L392),"",IF(D392="Stock",IF(C392="Buy",L392*G392,IF(C392="Sell",(L392*G392)-I392, X)),IF(C392="Buy",(L392*G392*100)+I392,IF(C392="Sell",(L392*G392*100)-I392, X))))</f>
        <v/>
      </c>
      <c r="N392" s="78">
        <f>IF(ISBLANK(L392),"",IF(AND(C392="Sell",D392="Stock"),M392,IF(ISBLANK(L392),"",IF(C392="Buy",M392, IF(AND(C392="Sell",J392="NA"),(E392*G392*100*0.1)+I392, IF(C392="Sell",(J392-L392)*(100*G392)+I392))))))</f>
        <v/>
      </c>
      <c r="O392" s="75" t="n"/>
      <c r="P392" s="75" t="n"/>
      <c r="Q392" s="75">
        <f>IF(ISBLANK(P392),"",IF(D392="Stock",P392*G392,IF(P392=0,"0",G392*P392*100-(G392*$AF$14))))</f>
        <v/>
      </c>
      <c r="R392" s="79">
        <f>IF(P392&lt;&gt;"", TODAY(), "")</f>
        <v/>
      </c>
      <c r="S392" s="78">
        <f>IF(AND(K392&lt;&gt;"", R392&lt;&gt;""), R392-K392, "")</f>
        <v/>
      </c>
      <c r="T392" s="78" t="n"/>
      <c r="U392" s="92">
        <f>IF(ISBLANK(P392),"",IF(C392="Buy",Q392-M392+T392, IF(C392="Sell",M392-Q392-T392, X)))</f>
        <v/>
      </c>
      <c r="V392" s="81">
        <f>IF(ISBLANK(P392),"",U392/N392)</f>
        <v/>
      </c>
      <c r="W392" s="81">
        <f>IF(ISBLANK(P392),"",IF(S392=0,(365/0.5)*V392,(365/S392)*V392))</f>
        <v/>
      </c>
      <c r="X392" s="75" t="n"/>
      <c r="Y392" s="77" t="n"/>
      <c r="Z392" s="77" t="n"/>
      <c r="AA392" s="75" t="n"/>
      <c r="AB392" s="75" t="n"/>
      <c r="AC392" s="6" t="n"/>
      <c r="AD392" s="75" t="n"/>
      <c r="AE392" s="75" t="n"/>
      <c r="AF392" s="75" t="n"/>
    </row>
    <row r="393" ht="15.75" customHeight="1" s="133">
      <c r="A393" s="75" t="n"/>
      <c r="B393" s="75" t="n"/>
      <c r="C393" s="75" t="n"/>
      <c r="D393" s="75" t="n"/>
      <c r="E393" s="76" t="n"/>
      <c r="F393" s="77" t="n"/>
      <c r="G393" s="75" t="n"/>
      <c r="H393" s="75">
        <f>IF(ISBLANK(E393),"",IF(OR(D393="Butterfly",D393="Butterfly ",D393="Iron Fly", D393="Iron Fly "),LEN(E393)-LEN(SUBSTITUTE(E393,"/",""))+2,LEN(E393)-LEN(SUBSTITUTE(E393,"/",""))+1))</f>
        <v/>
      </c>
      <c r="I393" s="78">
        <f>IF(ISBLANK(G393),"",IF(D393="Stock","0",Key!$A$3*H393*G393))</f>
        <v/>
      </c>
      <c r="J393" s="78">
        <f>IF(ISBLANK(E393),"",IF(ISNUMBER(SEARCH("/",E393)), IF(LEN(E393)-LEN(SUBSTITUTE(E393,"/",""))=1,(RIGHT(E393,LEN(E393)-FIND("/",E393)))-(LEFT(E393,FIND("/",E393)-1)),(MID(E393, SEARCH("/",E393) + 1, SEARCH("/",E393, SEARCH("/",E393)+1) - SEARCH("/",E393) - 1))-(LEFT(E393,FIND("/",E393)-1))), "NA"))</f>
        <v/>
      </c>
      <c r="K393" s="79">
        <f>IF(A393&lt;&gt;"", IF(ISBLANK(L393), TODAY(), K393), "")</f>
        <v/>
      </c>
      <c r="L393" s="78" t="n"/>
      <c r="M393" s="78">
        <f>IF(ISBLANK(L393),"",IF(D393="Stock",IF(C393="Buy",L393*G393,IF(C393="Sell",(L393*G393)-I393, X)),IF(C393="Buy",(L393*G393*100)+I393,IF(C393="Sell",(L393*G393*100)-I393, X))))</f>
        <v/>
      </c>
      <c r="N393" s="78">
        <f>IF(ISBLANK(L393),"",IF(AND(C393="Sell",D393="Stock"),M393,IF(ISBLANK(L393),"",IF(C393="Buy",M393, IF(AND(C393="Sell",J393="NA"),(E393*G393*100*0.1)+I393, IF(C393="Sell",(J393-L393)*(100*G393)+I393))))))</f>
        <v/>
      </c>
      <c r="O393" s="75" t="n"/>
      <c r="P393" s="75" t="n"/>
      <c r="Q393" s="75">
        <f>IF(ISBLANK(P393),"",IF(D393="Stock",P393*G393,IF(P393=0,"0",G393*P393*100-(G393*$AF$14))))</f>
        <v/>
      </c>
      <c r="R393" s="79">
        <f>IF(P393&lt;&gt;"", TODAY(), "")</f>
        <v/>
      </c>
      <c r="S393" s="78">
        <f>IF(AND(K393&lt;&gt;"", R393&lt;&gt;""), R393-K393, "")</f>
        <v/>
      </c>
      <c r="T393" s="78" t="n"/>
      <c r="U393" s="92">
        <f>IF(ISBLANK(P393),"",IF(C393="Buy",Q393-M393+T393, IF(C393="Sell",M393-Q393-T393, X)))</f>
        <v/>
      </c>
      <c r="V393" s="81">
        <f>IF(ISBLANK(P393),"",U393/N393)</f>
        <v/>
      </c>
      <c r="W393" s="81">
        <f>IF(ISBLANK(P393),"",IF(S393=0,(365/0.5)*V393,(365/S393)*V393))</f>
        <v/>
      </c>
      <c r="X393" s="75" t="n"/>
      <c r="Y393" s="77" t="n"/>
      <c r="Z393" s="77" t="n"/>
      <c r="AA393" s="75" t="n"/>
      <c r="AB393" s="75" t="n"/>
      <c r="AC393" s="6" t="n"/>
      <c r="AD393" s="75" t="n"/>
      <c r="AE393" s="75" t="n"/>
      <c r="AF393" s="75" t="n"/>
    </row>
    <row r="394" ht="15.75" customHeight="1" s="133">
      <c r="A394" s="75" t="n"/>
      <c r="B394" s="75" t="n"/>
      <c r="C394" s="75" t="n"/>
      <c r="D394" s="75" t="n"/>
      <c r="E394" s="76" t="n"/>
      <c r="F394" s="77" t="n"/>
      <c r="G394" s="75" t="n"/>
      <c r="H394" s="75">
        <f>IF(ISBLANK(E394),"",IF(OR(D394="Butterfly",D394="Butterfly ",D394="Iron Fly", D394="Iron Fly "),LEN(E394)-LEN(SUBSTITUTE(E394,"/",""))+2,LEN(E394)-LEN(SUBSTITUTE(E394,"/",""))+1))</f>
        <v/>
      </c>
      <c r="I394" s="78">
        <f>IF(ISBLANK(G394),"",IF(D394="Stock","0",Key!$A$3*H394*G394))</f>
        <v/>
      </c>
      <c r="J394" s="78">
        <f>IF(ISBLANK(E394),"",IF(ISNUMBER(SEARCH("/",E394)), IF(LEN(E394)-LEN(SUBSTITUTE(E394,"/",""))=1,(RIGHT(E394,LEN(E394)-FIND("/",E394)))-(LEFT(E394,FIND("/",E394)-1)),(MID(E394, SEARCH("/",E394) + 1, SEARCH("/",E394, SEARCH("/",E394)+1) - SEARCH("/",E394) - 1))-(LEFT(E394,FIND("/",E394)-1))), "NA"))</f>
        <v/>
      </c>
      <c r="K394" s="79">
        <f>IF(A394&lt;&gt;"", IF(ISBLANK(L394), TODAY(), K394), "")</f>
        <v/>
      </c>
      <c r="L394" s="78" t="n"/>
      <c r="M394" s="78">
        <f>IF(ISBLANK(L394),"",IF(D394="Stock",IF(C394="Buy",L394*G394,IF(C394="Sell",(L394*G394)-I394, X)),IF(C394="Buy",(L394*G394*100)+I394,IF(C394="Sell",(L394*G394*100)-I394, X))))</f>
        <v/>
      </c>
      <c r="N394" s="78">
        <f>IF(ISBLANK(L394),"",IF(AND(C394="Sell",D394="Stock"),M394,IF(ISBLANK(L394),"",IF(C394="Buy",M394, IF(AND(C394="Sell",J394="NA"),(E394*G394*100*0.1)+I394, IF(C394="Sell",(J394-L394)*(100*G394)+I394))))))</f>
        <v/>
      </c>
      <c r="O394" s="75" t="n"/>
      <c r="P394" s="75" t="n"/>
      <c r="Q394" s="75">
        <f>IF(ISBLANK(P394),"",IF(D394="Stock",P394*G394,IF(P394=0,"0",G394*P394*100-(G394*$AF$14))))</f>
        <v/>
      </c>
      <c r="R394" s="79">
        <f>IF(P394&lt;&gt;"", TODAY(), "")</f>
        <v/>
      </c>
      <c r="S394" s="78">
        <f>IF(AND(K394&lt;&gt;"", R394&lt;&gt;""), R394-K394, "")</f>
        <v/>
      </c>
      <c r="T394" s="78" t="n"/>
      <c r="U394" s="92">
        <f>IF(ISBLANK(P394),"",IF(C394="Buy",Q394-M394+T394, IF(C394="Sell",M394-Q394-T394, X)))</f>
        <v/>
      </c>
      <c r="V394" s="81">
        <f>IF(ISBLANK(P394),"",U394/N394)</f>
        <v/>
      </c>
      <c r="W394" s="81">
        <f>IF(ISBLANK(P394),"",IF(S394=0,(365/0.5)*V394,(365/S394)*V394))</f>
        <v/>
      </c>
      <c r="X394" s="75" t="n"/>
      <c r="Y394" s="77" t="n"/>
      <c r="Z394" s="77" t="n"/>
      <c r="AA394" s="75" t="n"/>
      <c r="AB394" s="75" t="n"/>
      <c r="AC394" s="6" t="n"/>
      <c r="AD394" s="75" t="n"/>
      <c r="AE394" s="75" t="n"/>
      <c r="AF394" s="75" t="n"/>
    </row>
    <row r="395" ht="15.75" customHeight="1" s="133">
      <c r="A395" s="75" t="n"/>
      <c r="B395" s="75" t="n"/>
      <c r="C395" s="75" t="n"/>
      <c r="D395" s="75" t="n"/>
      <c r="E395" s="76" t="n"/>
      <c r="F395" s="77" t="n"/>
      <c r="G395" s="75" t="n"/>
      <c r="H395" s="75">
        <f>IF(ISBLANK(E395),"",IF(OR(D395="Butterfly",D395="Butterfly ",D395="Iron Fly", D395="Iron Fly "),LEN(E395)-LEN(SUBSTITUTE(E395,"/",""))+2,LEN(E395)-LEN(SUBSTITUTE(E395,"/",""))+1))</f>
        <v/>
      </c>
      <c r="I395" s="78">
        <f>IF(ISBLANK(G395),"",IF(D395="Stock","0",Key!$A$3*H395*G395))</f>
        <v/>
      </c>
      <c r="J395" s="78">
        <f>IF(ISBLANK(E395),"",IF(ISNUMBER(SEARCH("/",E395)), IF(LEN(E395)-LEN(SUBSTITUTE(E395,"/",""))=1,(RIGHT(E395,LEN(E395)-FIND("/",E395)))-(LEFT(E395,FIND("/",E395)-1)),(MID(E395, SEARCH("/",E395) + 1, SEARCH("/",E395, SEARCH("/",E395)+1) - SEARCH("/",E395) - 1))-(LEFT(E395,FIND("/",E395)-1))), "NA"))</f>
        <v/>
      </c>
      <c r="K395" s="79">
        <f>IF(A395&lt;&gt;"", IF(ISBLANK(L395), TODAY(), K395), "")</f>
        <v/>
      </c>
      <c r="L395" s="78" t="n"/>
      <c r="M395" s="78">
        <f>IF(ISBLANK(L395),"",IF(D395="Stock",IF(C395="Buy",L395*G395,IF(C395="Sell",(L395*G395)-I395, X)),IF(C395="Buy",(L395*G395*100)+I395,IF(C395="Sell",(L395*G395*100)-I395, X))))</f>
        <v/>
      </c>
      <c r="N395" s="78">
        <f>IF(ISBLANK(L395),"",IF(AND(C395="Sell",D395="Stock"),M395,IF(ISBLANK(L395),"",IF(C395="Buy",M395, IF(AND(C395="Sell",J395="NA"),(E395*G395*100*0.1)+I395, IF(C395="Sell",(J395-L395)*(100*G395)+I395))))))</f>
        <v/>
      </c>
      <c r="O395" s="75" t="n"/>
      <c r="P395" s="75" t="n"/>
      <c r="Q395" s="75">
        <f>IF(ISBLANK(P395),"",IF(D395="Stock",P395*G395,IF(P395=0,"0",G395*P395*100-(G395*$AF$14))))</f>
        <v/>
      </c>
      <c r="R395" s="79">
        <f>IF(P395&lt;&gt;"", TODAY(), "")</f>
        <v/>
      </c>
      <c r="S395" s="78">
        <f>IF(AND(K395&lt;&gt;"", R395&lt;&gt;""), R395-K395, "")</f>
        <v/>
      </c>
      <c r="T395" s="78" t="n"/>
      <c r="U395" s="92">
        <f>IF(ISBLANK(P395),"",IF(C395="Buy",Q395-M395+T395, IF(C395="Sell",M395-Q395-T395, X)))</f>
        <v/>
      </c>
      <c r="V395" s="81">
        <f>IF(ISBLANK(P395),"",U395/N395)</f>
        <v/>
      </c>
      <c r="W395" s="81">
        <f>IF(ISBLANK(P395),"",IF(S395=0,(365/0.5)*V395,(365/S395)*V395))</f>
        <v/>
      </c>
      <c r="X395" s="75" t="n"/>
      <c r="Y395" s="77" t="n"/>
      <c r="Z395" s="77" t="n"/>
      <c r="AA395" s="75" t="n"/>
      <c r="AB395" s="75" t="n"/>
      <c r="AC395" s="6" t="n"/>
      <c r="AD395" s="75" t="n"/>
      <c r="AE395" s="75" t="n"/>
      <c r="AF395" s="75" t="n"/>
    </row>
    <row r="396" ht="15.75" customHeight="1" s="133">
      <c r="A396" s="75" t="n"/>
      <c r="B396" s="75" t="n"/>
      <c r="C396" s="75" t="n"/>
      <c r="D396" s="75" t="n"/>
      <c r="E396" s="76" t="n"/>
      <c r="F396" s="77" t="n"/>
      <c r="G396" s="75" t="n"/>
      <c r="H396" s="75">
        <f>IF(ISBLANK(E396),"",IF(OR(D396="Butterfly",D396="Butterfly ",D396="Iron Fly", D396="Iron Fly "),LEN(E396)-LEN(SUBSTITUTE(E396,"/",""))+2,LEN(E396)-LEN(SUBSTITUTE(E396,"/",""))+1))</f>
        <v/>
      </c>
      <c r="I396" s="78">
        <f>IF(ISBLANK(G396),"",IF(D396="Stock","0",Key!$A$3*H396*G396))</f>
        <v/>
      </c>
      <c r="J396" s="78">
        <f>IF(ISBLANK(E396),"",IF(ISNUMBER(SEARCH("/",E396)), IF(LEN(E396)-LEN(SUBSTITUTE(E396,"/",""))=1,(RIGHT(E396,LEN(E396)-FIND("/",E396)))-(LEFT(E396,FIND("/",E396)-1)),(MID(E396, SEARCH("/",E396) + 1, SEARCH("/",E396, SEARCH("/",E396)+1) - SEARCH("/",E396) - 1))-(LEFT(E396,FIND("/",E396)-1))), "NA"))</f>
        <v/>
      </c>
      <c r="K396" s="79">
        <f>IF(A396&lt;&gt;"", IF(ISBLANK(L396), TODAY(), K396), "")</f>
        <v/>
      </c>
      <c r="L396" s="78" t="n"/>
      <c r="M396" s="78">
        <f>IF(ISBLANK(L396),"",IF(D396="Stock",IF(C396="Buy",L396*G396,IF(C396="Sell",(L396*G396)-I396, X)),IF(C396="Buy",(L396*G396*100)+I396,IF(C396="Sell",(L396*G396*100)-I396, X))))</f>
        <v/>
      </c>
      <c r="N396" s="78">
        <f>IF(ISBLANK(L396),"",IF(AND(C396="Sell",D396="Stock"),M396,IF(ISBLANK(L396),"",IF(C396="Buy",M396, IF(AND(C396="Sell",J396="NA"),(E396*G396*100*0.1)+I396, IF(C396="Sell",(J396-L396)*(100*G396)+I396))))))</f>
        <v/>
      </c>
      <c r="O396" s="75" t="n"/>
      <c r="P396" s="75" t="n"/>
      <c r="Q396" s="75">
        <f>IF(ISBLANK(P396),"",IF(D396="Stock",P396*G396,IF(P396=0,"0",G396*P396*100-(G396*$AF$14))))</f>
        <v/>
      </c>
      <c r="R396" s="79">
        <f>IF(P396&lt;&gt;"", TODAY(), "")</f>
        <v/>
      </c>
      <c r="S396" s="78">
        <f>IF(AND(K396&lt;&gt;"", R396&lt;&gt;""), R396-K396, "")</f>
        <v/>
      </c>
      <c r="T396" s="78" t="n"/>
      <c r="U396" s="92">
        <f>IF(ISBLANK(P396),"",IF(C396="Buy",Q396-M396+T396, IF(C396="Sell",M396-Q396-T396, X)))</f>
        <v/>
      </c>
      <c r="V396" s="81">
        <f>IF(ISBLANK(P396),"",U396/N396)</f>
        <v/>
      </c>
      <c r="W396" s="81">
        <f>IF(ISBLANK(P396),"",IF(S396=0,(365/0.5)*V396,(365/S396)*V396))</f>
        <v/>
      </c>
      <c r="X396" s="75" t="n"/>
      <c r="Y396" s="77" t="n"/>
      <c r="Z396" s="77" t="n"/>
      <c r="AA396" s="75" t="n"/>
      <c r="AB396" s="75" t="n"/>
      <c r="AC396" s="6" t="n"/>
      <c r="AD396" s="75" t="n"/>
      <c r="AE396" s="75" t="n"/>
      <c r="AF396" s="75" t="n"/>
    </row>
    <row r="397" ht="15.75" customHeight="1" s="133">
      <c r="A397" s="75" t="n"/>
      <c r="B397" s="75" t="n"/>
      <c r="C397" s="75" t="n"/>
      <c r="D397" s="75" t="n"/>
      <c r="E397" s="76" t="n"/>
      <c r="F397" s="77" t="n"/>
      <c r="G397" s="75" t="n"/>
      <c r="H397" s="75">
        <f>IF(ISBLANK(E397),"",IF(OR(D397="Butterfly",D397="Butterfly ",D397="Iron Fly", D397="Iron Fly "),LEN(E397)-LEN(SUBSTITUTE(E397,"/",""))+2,LEN(E397)-LEN(SUBSTITUTE(E397,"/",""))+1))</f>
        <v/>
      </c>
      <c r="I397" s="78">
        <f>IF(ISBLANK(G397),"",IF(D397="Stock","0",Key!$A$3*H397*G397))</f>
        <v/>
      </c>
      <c r="J397" s="78">
        <f>IF(ISBLANK(E397),"",IF(ISNUMBER(SEARCH("/",E397)), IF(LEN(E397)-LEN(SUBSTITUTE(E397,"/",""))=1,(RIGHT(E397,LEN(E397)-FIND("/",E397)))-(LEFT(E397,FIND("/",E397)-1)),(MID(E397, SEARCH("/",E397) + 1, SEARCH("/",E397, SEARCH("/",E397)+1) - SEARCH("/",E397) - 1))-(LEFT(E397,FIND("/",E397)-1))), "NA"))</f>
        <v/>
      </c>
      <c r="K397" s="79">
        <f>IF(A397&lt;&gt;"", IF(ISBLANK(L397), TODAY(), K397), "")</f>
        <v/>
      </c>
      <c r="L397" s="78" t="n"/>
      <c r="M397" s="78">
        <f>IF(ISBLANK(L397),"",IF(D397="Stock",IF(C397="Buy",L397*G397,IF(C397="Sell",(L397*G397)-I397, X)),IF(C397="Buy",(L397*G397*100)+I397,IF(C397="Sell",(L397*G397*100)-I397, X))))</f>
        <v/>
      </c>
      <c r="N397" s="78">
        <f>IF(ISBLANK(L397),"",IF(AND(C397="Sell",D397="Stock"),M397,IF(ISBLANK(L397),"",IF(C397="Buy",M397, IF(AND(C397="Sell",J397="NA"),(E397*G397*100*0.1)+I397, IF(C397="Sell",(J397-L397)*(100*G397)+I397))))))</f>
        <v/>
      </c>
      <c r="O397" s="75" t="n"/>
      <c r="P397" s="75" t="n"/>
      <c r="Q397" s="75">
        <f>IF(ISBLANK(P397),"",IF(D397="Stock",P397*G397,IF(P397=0,"0",G397*P397*100-(G397*$AF$14))))</f>
        <v/>
      </c>
      <c r="R397" s="79">
        <f>IF(P397&lt;&gt;"", TODAY(), "")</f>
        <v/>
      </c>
      <c r="S397" s="78">
        <f>IF(AND(K397&lt;&gt;"", R397&lt;&gt;""), R397-K397, "")</f>
        <v/>
      </c>
      <c r="T397" s="78" t="n"/>
      <c r="U397" s="92">
        <f>IF(ISBLANK(P397),"",IF(C397="Buy",Q397-M397+T397, IF(C397="Sell",M397-Q397-T397, X)))</f>
        <v/>
      </c>
      <c r="V397" s="81">
        <f>IF(ISBLANK(P397),"",U397/N397)</f>
        <v/>
      </c>
      <c r="W397" s="81">
        <f>IF(ISBLANK(P397),"",IF(S397=0,(365/0.5)*V397,(365/S397)*V397))</f>
        <v/>
      </c>
      <c r="X397" s="75" t="n"/>
      <c r="Y397" s="77" t="n"/>
      <c r="Z397" s="77" t="n"/>
      <c r="AA397" s="75" t="n"/>
      <c r="AB397" s="75" t="n"/>
      <c r="AC397" s="6" t="n"/>
      <c r="AD397" s="75" t="n"/>
      <c r="AE397" s="75" t="n"/>
      <c r="AF397" s="75" t="n"/>
    </row>
    <row r="398" ht="15.75" customHeight="1" s="133">
      <c r="A398" s="75" t="n"/>
      <c r="B398" s="75" t="n"/>
      <c r="C398" s="75" t="n"/>
      <c r="D398" s="75" t="n"/>
      <c r="E398" s="76" t="n"/>
      <c r="F398" s="77" t="n"/>
      <c r="G398" s="75" t="n"/>
      <c r="H398" s="75">
        <f>IF(ISBLANK(E398),"",IF(OR(D398="Butterfly",D398="Butterfly ",D398="Iron Fly", D398="Iron Fly "),LEN(E398)-LEN(SUBSTITUTE(E398,"/",""))+2,LEN(E398)-LEN(SUBSTITUTE(E398,"/",""))+1))</f>
        <v/>
      </c>
      <c r="I398" s="78">
        <f>IF(ISBLANK(G398),"",IF(D398="Stock","0",Key!$A$3*H398*G398))</f>
        <v/>
      </c>
      <c r="J398" s="78">
        <f>IF(ISBLANK(E398),"",IF(ISNUMBER(SEARCH("/",E398)), IF(LEN(E398)-LEN(SUBSTITUTE(E398,"/",""))=1,(RIGHT(E398,LEN(E398)-FIND("/",E398)))-(LEFT(E398,FIND("/",E398)-1)),(MID(E398, SEARCH("/",E398) + 1, SEARCH("/",E398, SEARCH("/",E398)+1) - SEARCH("/",E398) - 1))-(LEFT(E398,FIND("/",E398)-1))), "NA"))</f>
        <v/>
      </c>
      <c r="K398" s="79">
        <f>IF(A398&lt;&gt;"", IF(ISBLANK(L398), TODAY(), K398), "")</f>
        <v/>
      </c>
      <c r="L398" s="78" t="n"/>
      <c r="M398" s="78">
        <f>IF(ISBLANK(L398),"",IF(D398="Stock",IF(C398="Buy",L398*G398,IF(C398="Sell",(L398*G398)-I398, X)),IF(C398="Buy",(L398*G398*100)+I398,IF(C398="Sell",(L398*G398*100)-I398, X))))</f>
        <v/>
      </c>
      <c r="N398" s="78">
        <f>IF(ISBLANK(L398),"",IF(AND(C398="Sell",D398="Stock"),M398,IF(ISBLANK(L398),"",IF(C398="Buy",M398, IF(AND(C398="Sell",J398="NA"),(E398*G398*100*0.1)+I398, IF(C398="Sell",(J398-L398)*(100*G398)+I398))))))</f>
        <v/>
      </c>
      <c r="O398" s="75" t="n"/>
      <c r="P398" s="75" t="n"/>
      <c r="Q398" s="75">
        <f>IF(ISBLANK(P398),"",IF(D398="Stock",P398*G398,IF(P398=0,"0",G398*P398*100-(G398*$AF$14))))</f>
        <v/>
      </c>
      <c r="R398" s="79">
        <f>IF(P398&lt;&gt;"", TODAY(), "")</f>
        <v/>
      </c>
      <c r="S398" s="78">
        <f>IF(AND(K398&lt;&gt;"", R398&lt;&gt;""), R398-K398, "")</f>
        <v/>
      </c>
      <c r="T398" s="78" t="n"/>
      <c r="U398" s="92">
        <f>IF(ISBLANK(P398),"",IF(C398="Buy",Q398-M398+T398, IF(C398="Sell",M398-Q398-T398, X)))</f>
        <v/>
      </c>
      <c r="V398" s="81">
        <f>IF(ISBLANK(P398),"",U398/N398)</f>
        <v/>
      </c>
      <c r="W398" s="81">
        <f>IF(ISBLANK(P398),"",IF(S398=0,(365/0.5)*V398,(365/S398)*V398))</f>
        <v/>
      </c>
      <c r="X398" s="75" t="n"/>
      <c r="Y398" s="77" t="n"/>
      <c r="Z398" s="77" t="n"/>
      <c r="AA398" s="75" t="n"/>
      <c r="AB398" s="75" t="n"/>
      <c r="AC398" s="6" t="n"/>
      <c r="AD398" s="75" t="n"/>
      <c r="AE398" s="75" t="n"/>
      <c r="AF398" s="75" t="n"/>
    </row>
    <row r="399" ht="15.75" customHeight="1" s="133">
      <c r="A399" s="75" t="n"/>
      <c r="B399" s="75" t="n"/>
      <c r="C399" s="75" t="n"/>
      <c r="D399" s="75" t="n"/>
      <c r="E399" s="76" t="n"/>
      <c r="F399" s="77" t="n"/>
      <c r="G399" s="75" t="n"/>
      <c r="H399" s="75">
        <f>IF(ISBLANK(E399),"",IF(OR(D399="Butterfly",D399="Butterfly ",D399="Iron Fly", D399="Iron Fly "),LEN(E399)-LEN(SUBSTITUTE(E399,"/",""))+2,LEN(E399)-LEN(SUBSTITUTE(E399,"/",""))+1))</f>
        <v/>
      </c>
      <c r="I399" s="78">
        <f>IF(ISBLANK(G399),"",IF(D399="Stock","0",Key!$A$3*H399*G399))</f>
        <v/>
      </c>
      <c r="J399" s="78">
        <f>IF(ISBLANK(E399),"",IF(ISNUMBER(SEARCH("/",E399)), IF(LEN(E399)-LEN(SUBSTITUTE(E399,"/",""))=1,(RIGHT(E399,LEN(E399)-FIND("/",E399)))-(LEFT(E399,FIND("/",E399)-1)),(MID(E399, SEARCH("/",E399) + 1, SEARCH("/",E399, SEARCH("/",E399)+1) - SEARCH("/",E399) - 1))-(LEFT(E399,FIND("/",E399)-1))), "NA"))</f>
        <v/>
      </c>
      <c r="K399" s="79">
        <f>IF(A399&lt;&gt;"", IF(ISBLANK(L399), TODAY(), K399), "")</f>
        <v/>
      </c>
      <c r="L399" s="78" t="n"/>
      <c r="M399" s="78">
        <f>IF(ISBLANK(L399),"",IF(D399="Stock",IF(C399="Buy",L399*G399,IF(C399="Sell",(L399*G399)-I399, X)),IF(C399="Buy",(L399*G399*100)+I399,IF(C399="Sell",(L399*G399*100)-I399, X))))</f>
        <v/>
      </c>
      <c r="N399" s="78">
        <f>IF(ISBLANK(L399),"",IF(AND(C399="Sell",D399="Stock"),M399,IF(ISBLANK(L399),"",IF(C399="Buy",M399, IF(AND(C399="Sell",J399="NA"),(E399*G399*100*0.1)+I399, IF(C399="Sell",(J399-L399)*(100*G399)+I399))))))</f>
        <v/>
      </c>
      <c r="O399" s="75" t="n"/>
      <c r="P399" s="75" t="n"/>
      <c r="Q399" s="75">
        <f>IF(ISBLANK(P399),"",IF(D399="Stock",P399*G399,IF(P399=0,"0",G399*P399*100-(G399*$AF$14))))</f>
        <v/>
      </c>
      <c r="R399" s="79">
        <f>IF(P399&lt;&gt;"", TODAY(), "")</f>
        <v/>
      </c>
      <c r="S399" s="78">
        <f>IF(AND(K399&lt;&gt;"", R399&lt;&gt;""), R399-K399, "")</f>
        <v/>
      </c>
      <c r="T399" s="78" t="n"/>
      <c r="U399" s="92">
        <f>IF(ISBLANK(P399),"",IF(C399="Buy",Q399-M399+T399, IF(C399="Sell",M399-Q399-T399, X)))</f>
        <v/>
      </c>
      <c r="V399" s="81">
        <f>IF(ISBLANK(P399),"",U399/N399)</f>
        <v/>
      </c>
      <c r="W399" s="81">
        <f>IF(ISBLANK(P399),"",IF(S399=0,(365/0.5)*V399,(365/S399)*V399))</f>
        <v/>
      </c>
      <c r="X399" s="75" t="n"/>
      <c r="Y399" s="77" t="n"/>
      <c r="Z399" s="77" t="n"/>
      <c r="AA399" s="75" t="n"/>
      <c r="AB399" s="75" t="n"/>
      <c r="AC399" s="6" t="n"/>
      <c r="AD399" s="75" t="n"/>
      <c r="AE399" s="75" t="n"/>
      <c r="AF399" s="75" t="n"/>
    </row>
    <row r="400" ht="15.75" customHeight="1" s="133">
      <c r="A400" s="75" t="n"/>
      <c r="B400" s="75" t="n"/>
      <c r="C400" s="75" t="n"/>
      <c r="D400" s="75" t="n"/>
      <c r="E400" s="76" t="n"/>
      <c r="F400" s="77" t="n"/>
      <c r="G400" s="75" t="n"/>
      <c r="H400" s="75">
        <f>IF(ISBLANK(E400),"",IF(OR(D400="Butterfly",D400="Butterfly ",D400="Iron Fly", D400="Iron Fly "),LEN(E400)-LEN(SUBSTITUTE(E400,"/",""))+2,LEN(E400)-LEN(SUBSTITUTE(E400,"/",""))+1))</f>
        <v/>
      </c>
      <c r="I400" s="78">
        <f>IF(ISBLANK(G400),"",IF(D400="Stock","0",Key!$A$3*H400*G400))</f>
        <v/>
      </c>
      <c r="J400" s="78">
        <f>IF(ISBLANK(E400),"",IF(ISNUMBER(SEARCH("/",E400)), IF(LEN(E400)-LEN(SUBSTITUTE(E400,"/",""))=1,(RIGHT(E400,LEN(E400)-FIND("/",E400)))-(LEFT(E400,FIND("/",E400)-1)),(MID(E400, SEARCH("/",E400) + 1, SEARCH("/",E400, SEARCH("/",E400)+1) - SEARCH("/",E400) - 1))-(LEFT(E400,FIND("/",E400)-1))), "NA"))</f>
        <v/>
      </c>
      <c r="K400" s="79">
        <f>IF(A400&lt;&gt;"", IF(ISBLANK(L400), TODAY(), K400), "")</f>
        <v/>
      </c>
      <c r="L400" s="78" t="n"/>
      <c r="M400" s="78">
        <f>IF(ISBLANK(L400),"",IF(D400="Stock",IF(C400="Buy",L400*G400,IF(C400="Sell",(L400*G400)-I400, X)),IF(C400="Buy",(L400*G400*100)+I400,IF(C400="Sell",(L400*G400*100)-I400, X))))</f>
        <v/>
      </c>
      <c r="N400" s="78">
        <f>IF(ISBLANK(L400),"",IF(AND(C400="Sell",D400="Stock"),M400,IF(ISBLANK(L400),"",IF(C400="Buy",M400, IF(AND(C400="Sell",J400="NA"),(E400*G400*100*0.1)+I400, IF(C400="Sell",(J400-L400)*(100*G400)+I400))))))</f>
        <v/>
      </c>
      <c r="O400" s="75" t="n"/>
      <c r="P400" s="75" t="n"/>
      <c r="Q400" s="75">
        <f>IF(ISBLANK(P400),"",IF(D400="Stock",P400*G400,IF(P400=0,"0",G400*P400*100-(G400*$AF$14))))</f>
        <v/>
      </c>
      <c r="R400" s="79">
        <f>IF(P400&lt;&gt;"", TODAY(), "")</f>
        <v/>
      </c>
      <c r="S400" s="78">
        <f>IF(AND(K400&lt;&gt;"", R400&lt;&gt;""), R400-K400, "")</f>
        <v/>
      </c>
      <c r="T400" s="78" t="n"/>
      <c r="U400" s="92">
        <f>IF(ISBLANK(P400),"",IF(C400="Buy",Q400-M400+T400, IF(C400="Sell",M400-Q400-T400, X)))</f>
        <v/>
      </c>
      <c r="V400" s="81">
        <f>IF(ISBLANK(P400),"",U400/N400)</f>
        <v/>
      </c>
      <c r="W400" s="81">
        <f>IF(ISBLANK(P400),"",IF(S400=0,(365/0.5)*V400,(365/S400)*V400))</f>
        <v/>
      </c>
      <c r="X400" s="75" t="n"/>
      <c r="Y400" s="77" t="n"/>
      <c r="Z400" s="77" t="n"/>
      <c r="AA400" s="75" t="n"/>
      <c r="AB400" s="75" t="n"/>
      <c r="AC400" s="6" t="n"/>
      <c r="AD400" s="75" t="n"/>
      <c r="AE400" s="75" t="n"/>
      <c r="AF400" s="75" t="n"/>
    </row>
    <row r="401" ht="15.75" customHeight="1" s="133">
      <c r="A401" s="75" t="n"/>
      <c r="B401" s="75" t="n"/>
      <c r="C401" s="75" t="n"/>
      <c r="D401" s="75" t="n"/>
      <c r="E401" s="76" t="n"/>
      <c r="F401" s="77" t="n"/>
      <c r="G401" s="75" t="n"/>
      <c r="H401" s="75">
        <f>IF(ISBLANK(E401),"",IF(OR(D401="Butterfly",D401="Butterfly ",D401="Iron Fly", D401="Iron Fly "),LEN(E401)-LEN(SUBSTITUTE(E401,"/",""))+2,LEN(E401)-LEN(SUBSTITUTE(E401,"/",""))+1))</f>
        <v/>
      </c>
      <c r="I401" s="78">
        <f>IF(ISBLANK(G401),"",IF(D401="Stock","0",Key!$A$3*H401*G401))</f>
        <v/>
      </c>
      <c r="J401" s="78">
        <f>IF(ISBLANK(E401),"",IF(ISNUMBER(SEARCH("/",E401)), IF(LEN(E401)-LEN(SUBSTITUTE(E401,"/",""))=1,(RIGHT(E401,LEN(E401)-FIND("/",E401)))-(LEFT(E401,FIND("/",E401)-1)),(MID(E401, SEARCH("/",E401) + 1, SEARCH("/",E401, SEARCH("/",E401)+1) - SEARCH("/",E401) - 1))-(LEFT(E401,FIND("/",E401)-1))), "NA"))</f>
        <v/>
      </c>
      <c r="K401" s="79">
        <f>IF(A401&lt;&gt;"", IF(ISBLANK(L401), TODAY(), K401), "")</f>
        <v/>
      </c>
      <c r="L401" s="78" t="n"/>
      <c r="M401" s="78">
        <f>IF(ISBLANK(L401),"",IF(D401="Stock",IF(C401="Buy",L401*G401,IF(C401="Sell",(L401*G401)-I401, X)),IF(C401="Buy",(L401*G401*100)+I401,IF(C401="Sell",(L401*G401*100)-I401, X))))</f>
        <v/>
      </c>
      <c r="N401" s="78">
        <f>IF(ISBLANK(L401),"",IF(AND(C401="Sell",D401="Stock"),M401,IF(ISBLANK(L401),"",IF(C401="Buy",M401, IF(AND(C401="Sell",J401="NA"),(E401*G401*100*0.1)+I401, IF(C401="Sell",(J401-L401)*(100*G401)+I401))))))</f>
        <v/>
      </c>
      <c r="O401" s="75" t="n"/>
      <c r="P401" s="75" t="n"/>
      <c r="Q401" s="75">
        <f>IF(ISBLANK(P401),"",IF(D401="Stock",P401*G401,IF(P401=0,"0",G401*P401*100-(G401*$AF$14))))</f>
        <v/>
      </c>
      <c r="R401" s="79">
        <f>IF(P401&lt;&gt;"", TODAY(), "")</f>
        <v/>
      </c>
      <c r="S401" s="78">
        <f>IF(AND(K401&lt;&gt;"", R401&lt;&gt;""), R401-K401, "")</f>
        <v/>
      </c>
      <c r="T401" s="78" t="n"/>
      <c r="U401" s="92">
        <f>IF(ISBLANK(P401),"",IF(C401="Buy",Q401-M401+T401, IF(C401="Sell",M401-Q401-T401, X)))</f>
        <v/>
      </c>
      <c r="V401" s="81">
        <f>IF(ISBLANK(P401),"",U401/N401)</f>
        <v/>
      </c>
      <c r="W401" s="81">
        <f>IF(ISBLANK(P401),"",IF(S401=0,(365/0.5)*V401,(365/S401)*V401))</f>
        <v/>
      </c>
      <c r="X401" s="75" t="n"/>
      <c r="Y401" s="77" t="n"/>
      <c r="Z401" s="77" t="n"/>
      <c r="AA401" s="75" t="n"/>
      <c r="AB401" s="75" t="n"/>
      <c r="AC401" s="6" t="n"/>
      <c r="AD401" s="75" t="n"/>
      <c r="AE401" s="75" t="n"/>
      <c r="AF401" s="75" t="n"/>
    </row>
    <row r="402" ht="15.75" customHeight="1" s="133">
      <c r="A402" s="75" t="n"/>
      <c r="B402" s="75" t="n"/>
      <c r="C402" s="75" t="n"/>
      <c r="D402" s="75" t="n"/>
      <c r="E402" s="76" t="n"/>
      <c r="F402" s="77" t="n"/>
      <c r="G402" s="75" t="n"/>
      <c r="H402" s="75">
        <f>IF(ISBLANK(E402),"",IF(OR(D402="Butterfly",D402="Butterfly ",D402="Iron Fly", D402="Iron Fly "),LEN(E402)-LEN(SUBSTITUTE(E402,"/",""))+2,LEN(E402)-LEN(SUBSTITUTE(E402,"/",""))+1))</f>
        <v/>
      </c>
      <c r="I402" s="78">
        <f>IF(ISBLANK(G402),"",IF(D402="Stock","0",Key!$A$3*H402*G402))</f>
        <v/>
      </c>
      <c r="J402" s="78">
        <f>IF(ISBLANK(E402),"",IF(ISNUMBER(SEARCH("/",E402)), IF(LEN(E402)-LEN(SUBSTITUTE(E402,"/",""))=1,(RIGHT(E402,LEN(E402)-FIND("/",E402)))-(LEFT(E402,FIND("/",E402)-1)),(MID(E402, SEARCH("/",E402) + 1, SEARCH("/",E402, SEARCH("/",E402)+1) - SEARCH("/",E402) - 1))-(LEFT(E402,FIND("/",E402)-1))), "NA"))</f>
        <v/>
      </c>
      <c r="K402" s="79">
        <f>IF(A402&lt;&gt;"", IF(ISBLANK(L402), TODAY(), K402), "")</f>
        <v/>
      </c>
      <c r="L402" s="78" t="n"/>
      <c r="M402" s="78">
        <f>IF(ISBLANK(L402),"",IF(D402="Stock",IF(C402="Buy",L402*G402,IF(C402="Sell",(L402*G402)-I402, X)),IF(C402="Buy",(L402*G402*100)+I402,IF(C402="Sell",(L402*G402*100)-I402, X))))</f>
        <v/>
      </c>
      <c r="N402" s="78">
        <f>IF(ISBLANK(L402),"",IF(AND(C402="Sell",D402="Stock"),M402,IF(ISBLANK(L402),"",IF(C402="Buy",M402, IF(AND(C402="Sell",J402="NA"),(E402*G402*100*0.1)+I402, IF(C402="Sell",(J402-L402)*(100*G402)+I402))))))</f>
        <v/>
      </c>
      <c r="O402" s="75" t="n"/>
      <c r="P402" s="75" t="n"/>
      <c r="Q402" s="75">
        <f>IF(ISBLANK(P402),"",IF(D402="Stock",P402*G402,IF(P402=0,"0",G402*P402*100-(G402*$AF$14))))</f>
        <v/>
      </c>
      <c r="R402" s="79">
        <f>IF(P402&lt;&gt;"", TODAY(), "")</f>
        <v/>
      </c>
      <c r="S402" s="78">
        <f>IF(AND(K402&lt;&gt;"", R402&lt;&gt;""), R402-K402, "")</f>
        <v/>
      </c>
      <c r="T402" s="78" t="n"/>
      <c r="U402" s="92">
        <f>IF(ISBLANK(P402),"",IF(C402="Buy",Q402-M402+T402, IF(C402="Sell",M402-Q402-T402, X)))</f>
        <v/>
      </c>
      <c r="V402" s="81">
        <f>IF(ISBLANK(P402),"",U402/N402)</f>
        <v/>
      </c>
      <c r="W402" s="81">
        <f>IF(ISBLANK(P402),"",IF(S402=0,(365/0.5)*V402,(365/S402)*V402))</f>
        <v/>
      </c>
      <c r="X402" s="75" t="n"/>
      <c r="Y402" s="77" t="n"/>
      <c r="Z402" s="77" t="n"/>
      <c r="AA402" s="75" t="n"/>
      <c r="AB402" s="75" t="n"/>
      <c r="AC402" s="6" t="n"/>
      <c r="AD402" s="75" t="n"/>
      <c r="AE402" s="75" t="n"/>
      <c r="AF402" s="75" t="n"/>
    </row>
    <row r="403" ht="15.75" customHeight="1" s="133">
      <c r="A403" s="75" t="n"/>
      <c r="B403" s="75" t="n"/>
      <c r="C403" s="75" t="n"/>
      <c r="D403" s="75" t="n"/>
      <c r="E403" s="76" t="n"/>
      <c r="F403" s="77" t="n"/>
      <c r="G403" s="75" t="n"/>
      <c r="H403" s="75">
        <f>IF(ISBLANK(E403),"",IF(OR(D403="Butterfly",D403="Butterfly ",D403="Iron Fly", D403="Iron Fly "),LEN(E403)-LEN(SUBSTITUTE(E403,"/",""))+2,LEN(E403)-LEN(SUBSTITUTE(E403,"/",""))+1))</f>
        <v/>
      </c>
      <c r="I403" s="78">
        <f>IF(ISBLANK(G403),"",IF(D403="Stock","0",Key!$A$3*H403*G403))</f>
        <v/>
      </c>
      <c r="J403" s="78">
        <f>IF(ISBLANK(E403),"",IF(ISNUMBER(SEARCH("/",E403)), IF(LEN(E403)-LEN(SUBSTITUTE(E403,"/",""))=1,(RIGHT(E403,LEN(E403)-FIND("/",E403)))-(LEFT(E403,FIND("/",E403)-1)),(MID(E403, SEARCH("/",E403) + 1, SEARCH("/",E403, SEARCH("/",E403)+1) - SEARCH("/",E403) - 1))-(LEFT(E403,FIND("/",E403)-1))), "NA"))</f>
        <v/>
      </c>
      <c r="K403" s="79">
        <f>IF(A403&lt;&gt;"", IF(ISBLANK(L403), TODAY(), K403), "")</f>
        <v/>
      </c>
      <c r="L403" s="78" t="n"/>
      <c r="M403" s="78">
        <f>IF(ISBLANK(L403),"",IF(D403="Stock",IF(C403="Buy",L403*G403,IF(C403="Sell",(L403*G403)-I403, X)),IF(C403="Buy",(L403*G403*100)+I403,IF(C403="Sell",(L403*G403*100)-I403, X))))</f>
        <v/>
      </c>
      <c r="N403" s="78">
        <f>IF(ISBLANK(L403),"",IF(AND(C403="Sell",D403="Stock"),M403,IF(ISBLANK(L403),"",IF(C403="Buy",M403, IF(AND(C403="Sell",J403="NA"),(E403*G403*100*0.1)+I403, IF(C403="Sell",(J403-L403)*(100*G403)+I403))))))</f>
        <v/>
      </c>
      <c r="O403" s="75" t="n"/>
      <c r="P403" s="75" t="n"/>
      <c r="Q403" s="75">
        <f>IF(ISBLANK(P403),"",IF(D403="Stock",P403*G403,IF(P403=0,"0",G403*P403*100-(G403*$AF$14))))</f>
        <v/>
      </c>
      <c r="R403" s="79">
        <f>IF(P403&lt;&gt;"", TODAY(), "")</f>
        <v/>
      </c>
      <c r="S403" s="78">
        <f>IF(AND(K403&lt;&gt;"", R403&lt;&gt;""), R403-K403, "")</f>
        <v/>
      </c>
      <c r="T403" s="78" t="n"/>
      <c r="U403" s="92">
        <f>IF(ISBLANK(P403),"",IF(C403="Buy",Q403-M403+T403, IF(C403="Sell",M403-Q403-T403, X)))</f>
        <v/>
      </c>
      <c r="V403" s="81">
        <f>IF(ISBLANK(P403),"",U403/N403)</f>
        <v/>
      </c>
      <c r="W403" s="81">
        <f>IF(ISBLANK(P403),"",IF(S403=0,(365/0.5)*V403,(365/S403)*V403))</f>
        <v/>
      </c>
      <c r="X403" s="75" t="n"/>
      <c r="Y403" s="77" t="n"/>
      <c r="Z403" s="77" t="n"/>
      <c r="AA403" s="75" t="n"/>
      <c r="AB403" s="75" t="n"/>
      <c r="AC403" s="6" t="n"/>
      <c r="AD403" s="75" t="n"/>
      <c r="AE403" s="75" t="n"/>
      <c r="AF403" s="75" t="n"/>
    </row>
    <row r="404" ht="15.75" customHeight="1" s="133">
      <c r="A404" s="75" t="n"/>
      <c r="B404" s="75" t="n"/>
      <c r="C404" s="75" t="n"/>
      <c r="D404" s="75" t="n"/>
      <c r="E404" s="76" t="n"/>
      <c r="F404" s="77" t="n"/>
      <c r="G404" s="75" t="n"/>
      <c r="H404" s="75">
        <f>IF(ISBLANK(E404),"",IF(OR(D404="Butterfly",D404="Butterfly ",D404="Iron Fly", D404="Iron Fly "),LEN(E404)-LEN(SUBSTITUTE(E404,"/",""))+2,LEN(E404)-LEN(SUBSTITUTE(E404,"/",""))+1))</f>
        <v/>
      </c>
      <c r="I404" s="78">
        <f>IF(ISBLANK(G404),"",IF(D404="Stock","0",Key!$A$3*H404*G404))</f>
        <v/>
      </c>
      <c r="J404" s="78">
        <f>IF(ISBLANK(E404),"",IF(ISNUMBER(SEARCH("/",E404)), IF(LEN(E404)-LEN(SUBSTITUTE(E404,"/",""))=1,(RIGHT(E404,LEN(E404)-FIND("/",E404)))-(LEFT(E404,FIND("/",E404)-1)),(MID(E404, SEARCH("/",E404) + 1, SEARCH("/",E404, SEARCH("/",E404)+1) - SEARCH("/",E404) - 1))-(LEFT(E404,FIND("/",E404)-1))), "NA"))</f>
        <v/>
      </c>
      <c r="K404" s="79">
        <f>IF(A404&lt;&gt;"", IF(ISBLANK(L404), TODAY(), K404), "")</f>
        <v/>
      </c>
      <c r="L404" s="78" t="n"/>
      <c r="M404" s="78">
        <f>IF(ISBLANK(L404),"",IF(D404="Stock",IF(C404="Buy",L404*G404,IF(C404="Sell",(L404*G404)-I404, X)),IF(C404="Buy",(L404*G404*100)+I404,IF(C404="Sell",(L404*G404*100)-I404, X))))</f>
        <v/>
      </c>
      <c r="N404" s="78">
        <f>IF(ISBLANK(L404),"",IF(AND(C404="Sell",D404="Stock"),M404,IF(ISBLANK(L404),"",IF(C404="Buy",M404, IF(AND(C404="Sell",J404="NA"),(E404*G404*100*0.1)+I404, IF(C404="Sell",(J404-L404)*(100*G404)+I404))))))</f>
        <v/>
      </c>
      <c r="O404" s="75" t="n"/>
      <c r="P404" s="75" t="n"/>
      <c r="Q404" s="75">
        <f>IF(ISBLANK(P404),"",IF(D404="Stock",P404*G404,IF(P404=0,"0",G404*P404*100-(G404*$AF$14))))</f>
        <v/>
      </c>
      <c r="R404" s="79">
        <f>IF(P404&lt;&gt;"", TODAY(), "")</f>
        <v/>
      </c>
      <c r="S404" s="78">
        <f>IF(AND(K404&lt;&gt;"", R404&lt;&gt;""), R404-K404, "")</f>
        <v/>
      </c>
      <c r="T404" s="78" t="n"/>
      <c r="U404" s="92">
        <f>IF(ISBLANK(P404),"",IF(C404="Buy",Q404-M404+T404, IF(C404="Sell",M404-Q404-T404, X)))</f>
        <v/>
      </c>
      <c r="V404" s="81">
        <f>IF(ISBLANK(P404),"",U404/N404)</f>
        <v/>
      </c>
      <c r="W404" s="81">
        <f>IF(ISBLANK(P404),"",IF(S404=0,(365/0.5)*V404,(365/S404)*V404))</f>
        <v/>
      </c>
      <c r="X404" s="75" t="n"/>
      <c r="Y404" s="77" t="n"/>
      <c r="Z404" s="77" t="n"/>
      <c r="AA404" s="75" t="n"/>
      <c r="AB404" s="75" t="n"/>
      <c r="AC404" s="6" t="n"/>
      <c r="AD404" s="75" t="n"/>
      <c r="AE404" s="75" t="n"/>
      <c r="AF404" s="75" t="n"/>
    </row>
    <row r="405" ht="15.75" customHeight="1" s="133">
      <c r="A405" s="75" t="n"/>
      <c r="B405" s="75" t="n"/>
      <c r="C405" s="75" t="n"/>
      <c r="D405" s="75" t="n"/>
      <c r="E405" s="76" t="n"/>
      <c r="F405" s="77" t="n"/>
      <c r="G405" s="75" t="n"/>
      <c r="H405" s="75">
        <f>IF(ISBLANK(E405),"",IF(OR(D405="Butterfly",D405="Butterfly ",D405="Iron Fly", D405="Iron Fly "),LEN(E405)-LEN(SUBSTITUTE(E405,"/",""))+2,LEN(E405)-LEN(SUBSTITUTE(E405,"/",""))+1))</f>
        <v/>
      </c>
      <c r="I405" s="78">
        <f>IF(ISBLANK(G405),"",IF(D405="Stock","0",Key!$A$3*H405*G405))</f>
        <v/>
      </c>
      <c r="J405" s="78">
        <f>IF(ISBLANK(E405),"",IF(ISNUMBER(SEARCH("/",E405)), IF(LEN(E405)-LEN(SUBSTITUTE(E405,"/",""))=1,(RIGHT(E405,LEN(E405)-FIND("/",E405)))-(LEFT(E405,FIND("/",E405)-1)),(MID(E405, SEARCH("/",E405) + 1, SEARCH("/",E405, SEARCH("/",E405)+1) - SEARCH("/",E405) - 1))-(LEFT(E405,FIND("/",E405)-1))), "NA"))</f>
        <v/>
      </c>
      <c r="K405" s="79">
        <f>IF(A405&lt;&gt;"", IF(ISBLANK(L405), TODAY(), K405), "")</f>
        <v/>
      </c>
      <c r="L405" s="78" t="n"/>
      <c r="M405" s="78">
        <f>IF(ISBLANK(L405),"",IF(D405="Stock",IF(C405="Buy",L405*G405,IF(C405="Sell",(L405*G405)-I405, X)),IF(C405="Buy",(L405*G405*100)+I405,IF(C405="Sell",(L405*G405*100)-I405, X))))</f>
        <v/>
      </c>
      <c r="N405" s="78">
        <f>IF(ISBLANK(L405),"",IF(AND(C405="Sell",D405="Stock"),M405,IF(ISBLANK(L405),"",IF(C405="Buy",M405, IF(AND(C405="Sell",J405="NA"),(E405*G405*100*0.1)+I405, IF(C405="Sell",(J405-L405)*(100*G405)+I405))))))</f>
        <v/>
      </c>
      <c r="O405" s="75" t="n"/>
      <c r="P405" s="75" t="n"/>
      <c r="Q405" s="75">
        <f>IF(ISBLANK(P405),"",IF(D405="Stock",P405*G405,IF(P405=0,"0",G405*P405*100-(G405*$AF$14))))</f>
        <v/>
      </c>
      <c r="R405" s="79">
        <f>IF(P405&lt;&gt;"", TODAY(), "")</f>
        <v/>
      </c>
      <c r="S405" s="78">
        <f>IF(AND(K405&lt;&gt;"", R405&lt;&gt;""), R405-K405, "")</f>
        <v/>
      </c>
      <c r="T405" s="78" t="n"/>
      <c r="U405" s="92">
        <f>IF(ISBLANK(P405),"",IF(C405="Buy",Q405-M405+T405, IF(C405="Sell",M405-Q405-T405, X)))</f>
        <v/>
      </c>
      <c r="V405" s="81">
        <f>IF(ISBLANK(P405),"",U405/N405)</f>
        <v/>
      </c>
      <c r="W405" s="81">
        <f>IF(ISBLANK(P405),"",IF(S405=0,(365/0.5)*V405,(365/S405)*V405))</f>
        <v/>
      </c>
      <c r="X405" s="75" t="n"/>
      <c r="Y405" s="77" t="n"/>
      <c r="Z405" s="77" t="n"/>
      <c r="AA405" s="75" t="n"/>
      <c r="AB405" s="75" t="n"/>
      <c r="AC405" s="6" t="n"/>
      <c r="AD405" s="75" t="n"/>
      <c r="AE405" s="75" t="n"/>
      <c r="AF405" s="75" t="n"/>
    </row>
    <row r="406" ht="15.75" customHeight="1" s="133">
      <c r="A406" s="75" t="n"/>
      <c r="B406" s="75" t="n"/>
      <c r="C406" s="75" t="n"/>
      <c r="D406" s="75" t="n"/>
      <c r="E406" s="76" t="n"/>
      <c r="F406" s="77" t="n"/>
      <c r="G406" s="75" t="n"/>
      <c r="H406" s="75">
        <f>IF(ISBLANK(E406),"",IF(OR(D406="Butterfly",D406="Butterfly ",D406="Iron Fly", D406="Iron Fly "),LEN(E406)-LEN(SUBSTITUTE(E406,"/",""))+2,LEN(E406)-LEN(SUBSTITUTE(E406,"/",""))+1))</f>
        <v/>
      </c>
      <c r="I406" s="78">
        <f>IF(ISBLANK(G406),"",IF(D406="Stock","0",Key!$A$3*H406*G406))</f>
        <v/>
      </c>
      <c r="J406" s="78">
        <f>IF(ISBLANK(E406),"",IF(ISNUMBER(SEARCH("/",E406)), IF(LEN(E406)-LEN(SUBSTITUTE(E406,"/",""))=1,(RIGHT(E406,LEN(E406)-FIND("/",E406)))-(LEFT(E406,FIND("/",E406)-1)),(MID(E406, SEARCH("/",E406) + 1, SEARCH("/",E406, SEARCH("/",E406)+1) - SEARCH("/",E406) - 1))-(LEFT(E406,FIND("/",E406)-1))), "NA"))</f>
        <v/>
      </c>
      <c r="K406" s="79">
        <f>IF(A406&lt;&gt;"", IF(ISBLANK(L406), TODAY(), K406), "")</f>
        <v/>
      </c>
      <c r="L406" s="78" t="n"/>
      <c r="M406" s="78">
        <f>IF(ISBLANK(L406),"",IF(D406="Stock",IF(C406="Buy",L406*G406,IF(C406="Sell",(L406*G406)-I406, X)),IF(C406="Buy",(L406*G406*100)+I406,IF(C406="Sell",(L406*G406*100)-I406, X))))</f>
        <v/>
      </c>
      <c r="N406" s="78">
        <f>IF(ISBLANK(L406),"",IF(AND(C406="Sell",D406="Stock"),M406,IF(ISBLANK(L406),"",IF(C406="Buy",M406, IF(AND(C406="Sell",J406="NA"),(E406*G406*100*0.1)+I406, IF(C406="Sell",(J406-L406)*(100*G406)+I406))))))</f>
        <v/>
      </c>
      <c r="O406" s="75" t="n"/>
      <c r="P406" s="75" t="n"/>
      <c r="Q406" s="75">
        <f>IF(ISBLANK(P406),"",IF(D406="Stock",P406*G406,IF(P406=0,"0",G406*P406*100-(G406*$AF$14))))</f>
        <v/>
      </c>
      <c r="R406" s="79">
        <f>IF(P406&lt;&gt;"", TODAY(), "")</f>
        <v/>
      </c>
      <c r="S406" s="78">
        <f>IF(AND(K406&lt;&gt;"", R406&lt;&gt;""), R406-K406, "")</f>
        <v/>
      </c>
      <c r="T406" s="78" t="n"/>
      <c r="U406" s="92">
        <f>IF(ISBLANK(P406),"",IF(C406="Buy",Q406-M406+T406, IF(C406="Sell",M406-Q406-T406, X)))</f>
        <v/>
      </c>
      <c r="V406" s="81">
        <f>IF(ISBLANK(P406),"",U406/N406)</f>
        <v/>
      </c>
      <c r="W406" s="81">
        <f>IF(ISBLANK(P406),"",IF(S406=0,(365/0.5)*V406,(365/S406)*V406))</f>
        <v/>
      </c>
      <c r="X406" s="75" t="n"/>
      <c r="Y406" s="77" t="n"/>
      <c r="Z406" s="77" t="n"/>
      <c r="AA406" s="75" t="n"/>
      <c r="AB406" s="75" t="n"/>
      <c r="AC406" s="6" t="n"/>
      <c r="AD406" s="75" t="n"/>
      <c r="AE406" s="75" t="n"/>
      <c r="AF406" s="75" t="n"/>
    </row>
    <row r="407" ht="15.75" customHeight="1" s="133">
      <c r="A407" s="75" t="n"/>
      <c r="B407" s="75" t="n"/>
      <c r="C407" s="75" t="n"/>
      <c r="D407" s="75" t="n"/>
      <c r="E407" s="76" t="n"/>
      <c r="F407" s="77" t="n"/>
      <c r="G407" s="75" t="n"/>
      <c r="H407" s="75">
        <f>IF(ISBLANK(E407),"",IF(OR(D407="Butterfly",D407="Butterfly ",D407="Iron Fly", D407="Iron Fly "),LEN(E407)-LEN(SUBSTITUTE(E407,"/",""))+2,LEN(E407)-LEN(SUBSTITUTE(E407,"/",""))+1))</f>
        <v/>
      </c>
      <c r="I407" s="78">
        <f>IF(ISBLANK(G407),"",IF(D407="Stock","0",Key!$A$3*H407*G407))</f>
        <v/>
      </c>
      <c r="J407" s="78">
        <f>IF(ISBLANK(E407),"",IF(ISNUMBER(SEARCH("/",E407)), IF(LEN(E407)-LEN(SUBSTITUTE(E407,"/",""))=1,(RIGHT(E407,LEN(E407)-FIND("/",E407)))-(LEFT(E407,FIND("/",E407)-1)),(MID(E407, SEARCH("/",E407) + 1, SEARCH("/",E407, SEARCH("/",E407)+1) - SEARCH("/",E407) - 1))-(LEFT(E407,FIND("/",E407)-1))), "NA"))</f>
        <v/>
      </c>
      <c r="K407" s="79">
        <f>IF(A407&lt;&gt;"", IF(ISBLANK(L407), TODAY(), K407), "")</f>
        <v/>
      </c>
      <c r="L407" s="78" t="n"/>
      <c r="M407" s="78">
        <f>IF(ISBLANK(L407),"",IF(D407="Stock",IF(C407="Buy",L407*G407,IF(C407="Sell",(L407*G407)-I407, X)),IF(C407="Buy",(L407*G407*100)+I407,IF(C407="Sell",(L407*G407*100)-I407, X))))</f>
        <v/>
      </c>
      <c r="N407" s="78">
        <f>IF(ISBLANK(L407),"",IF(AND(C407="Sell",D407="Stock"),M407,IF(ISBLANK(L407),"",IF(C407="Buy",M407, IF(AND(C407="Sell",J407="NA"),(E407*G407*100*0.1)+I407, IF(C407="Sell",(J407-L407)*(100*G407)+I407))))))</f>
        <v/>
      </c>
      <c r="O407" s="75" t="n"/>
      <c r="P407" s="75" t="n"/>
      <c r="Q407" s="75">
        <f>IF(ISBLANK(P407),"",IF(D407="Stock",P407*G407,IF(P407=0,"0",G407*P407*100-(G407*$AF$14))))</f>
        <v/>
      </c>
      <c r="R407" s="79">
        <f>IF(P407&lt;&gt;"", TODAY(), "")</f>
        <v/>
      </c>
      <c r="S407" s="78">
        <f>IF(AND(K407&lt;&gt;"", R407&lt;&gt;""), R407-K407, "")</f>
        <v/>
      </c>
      <c r="T407" s="78" t="n"/>
      <c r="U407" s="92">
        <f>IF(ISBLANK(P407),"",IF(C407="Buy",Q407-M407+T407, IF(C407="Sell",M407-Q407-T407, X)))</f>
        <v/>
      </c>
      <c r="V407" s="81">
        <f>IF(ISBLANK(P407),"",U407/N407)</f>
        <v/>
      </c>
      <c r="W407" s="81">
        <f>IF(ISBLANK(P407),"",IF(S407=0,(365/0.5)*V407,(365/S407)*V407))</f>
        <v/>
      </c>
      <c r="X407" s="75" t="n"/>
      <c r="Y407" s="77" t="n"/>
      <c r="Z407" s="77" t="n"/>
      <c r="AA407" s="75" t="n"/>
      <c r="AB407" s="75" t="n"/>
      <c r="AC407" s="6" t="n"/>
      <c r="AD407" s="75" t="n"/>
      <c r="AE407" s="75" t="n"/>
      <c r="AF407" s="75" t="n"/>
    </row>
    <row r="408" ht="15.75" customHeight="1" s="133">
      <c r="A408" s="75" t="n"/>
      <c r="B408" s="75" t="n"/>
      <c r="C408" s="75" t="n"/>
      <c r="D408" s="75" t="n"/>
      <c r="E408" s="76" t="n"/>
      <c r="F408" s="77" t="n"/>
      <c r="G408" s="75" t="n"/>
      <c r="H408" s="75">
        <f>IF(ISBLANK(E408),"",IF(OR(D408="Butterfly",D408="Butterfly ",D408="Iron Fly", D408="Iron Fly "),LEN(E408)-LEN(SUBSTITUTE(E408,"/",""))+2,LEN(E408)-LEN(SUBSTITUTE(E408,"/",""))+1))</f>
        <v/>
      </c>
      <c r="I408" s="78">
        <f>IF(ISBLANK(G408),"",IF(D408="Stock","0",Key!$A$3*H408*G408))</f>
        <v/>
      </c>
      <c r="J408" s="78">
        <f>IF(ISBLANK(E408),"",IF(ISNUMBER(SEARCH("/",E408)), IF(LEN(E408)-LEN(SUBSTITUTE(E408,"/",""))=1,(RIGHT(E408,LEN(E408)-FIND("/",E408)))-(LEFT(E408,FIND("/",E408)-1)),(MID(E408, SEARCH("/",E408) + 1, SEARCH("/",E408, SEARCH("/",E408)+1) - SEARCH("/",E408) - 1))-(LEFT(E408,FIND("/",E408)-1))), "NA"))</f>
        <v/>
      </c>
      <c r="K408" s="79">
        <f>IF(A408&lt;&gt;"", IF(ISBLANK(L408), TODAY(), K408), "")</f>
        <v/>
      </c>
      <c r="L408" s="78" t="n"/>
      <c r="M408" s="78">
        <f>IF(ISBLANK(L408),"",IF(D408="Stock",IF(C408="Buy",L408*G408,IF(C408="Sell",(L408*G408)-I408, X)),IF(C408="Buy",(L408*G408*100)+I408,IF(C408="Sell",(L408*G408*100)-I408, X))))</f>
        <v/>
      </c>
      <c r="N408" s="78">
        <f>IF(ISBLANK(L408),"",IF(AND(C408="Sell",D408="Stock"),M408,IF(ISBLANK(L408),"",IF(C408="Buy",M408, IF(AND(C408="Sell",J408="NA"),(E408*G408*100*0.1)+I408, IF(C408="Sell",(J408-L408)*(100*G408)+I408))))))</f>
        <v/>
      </c>
      <c r="O408" s="75" t="n"/>
      <c r="P408" s="75" t="n"/>
      <c r="Q408" s="75">
        <f>IF(ISBLANK(P408),"",IF(D408="Stock",P408*G408,IF(P408=0,"0",G408*P408*100-(G408*$AF$14))))</f>
        <v/>
      </c>
      <c r="R408" s="79">
        <f>IF(P408&lt;&gt;"", TODAY(), "")</f>
        <v/>
      </c>
      <c r="S408" s="78">
        <f>IF(AND(K408&lt;&gt;"", R408&lt;&gt;""), R408-K408, "")</f>
        <v/>
      </c>
      <c r="T408" s="78" t="n"/>
      <c r="U408" s="92">
        <f>IF(ISBLANK(P408),"",IF(C408="Buy",Q408-M408+T408, IF(C408="Sell",M408-Q408-T408, X)))</f>
        <v/>
      </c>
      <c r="V408" s="81">
        <f>IF(ISBLANK(P408),"",U408/N408)</f>
        <v/>
      </c>
      <c r="W408" s="81">
        <f>IF(ISBLANK(P408),"",IF(S408=0,(365/0.5)*V408,(365/S408)*V408))</f>
        <v/>
      </c>
      <c r="X408" s="75" t="n"/>
      <c r="Y408" s="77" t="n"/>
      <c r="Z408" s="77" t="n"/>
      <c r="AA408" s="75" t="n"/>
      <c r="AB408" s="75" t="n"/>
      <c r="AC408" s="6" t="n"/>
      <c r="AD408" s="75" t="n"/>
      <c r="AE408" s="75" t="n"/>
      <c r="AF408" s="75" t="n"/>
    </row>
    <row r="409" ht="15.75" customHeight="1" s="133">
      <c r="A409" s="75" t="n"/>
      <c r="B409" s="75" t="n"/>
      <c r="C409" s="75" t="n"/>
      <c r="D409" s="75" t="n"/>
      <c r="E409" s="76" t="n"/>
      <c r="F409" s="77" t="n"/>
      <c r="G409" s="75" t="n"/>
      <c r="H409" s="75">
        <f>IF(ISBLANK(E409),"",IF(OR(D409="Butterfly",D409="Butterfly ",D409="Iron Fly", D409="Iron Fly "),LEN(E409)-LEN(SUBSTITUTE(E409,"/",""))+2,LEN(E409)-LEN(SUBSTITUTE(E409,"/",""))+1))</f>
        <v/>
      </c>
      <c r="I409" s="78">
        <f>IF(ISBLANK(G409),"",IF(D409="Stock","0",Key!$A$3*H409*G409))</f>
        <v/>
      </c>
      <c r="J409" s="78">
        <f>IF(ISBLANK(E409),"",IF(ISNUMBER(SEARCH("/",E409)), IF(LEN(E409)-LEN(SUBSTITUTE(E409,"/",""))=1,(RIGHT(E409,LEN(E409)-FIND("/",E409)))-(LEFT(E409,FIND("/",E409)-1)),(MID(E409, SEARCH("/",E409) + 1, SEARCH("/",E409, SEARCH("/",E409)+1) - SEARCH("/",E409) - 1))-(LEFT(E409,FIND("/",E409)-1))), "NA"))</f>
        <v/>
      </c>
      <c r="K409" s="79">
        <f>IF(A409&lt;&gt;"", IF(ISBLANK(L409), TODAY(), K409), "")</f>
        <v/>
      </c>
      <c r="L409" s="78" t="n"/>
      <c r="M409" s="78">
        <f>IF(ISBLANK(L409),"",IF(D409="Stock",IF(C409="Buy",L409*G409,IF(C409="Sell",(L409*G409)-I409, X)),IF(C409="Buy",(L409*G409*100)+I409,IF(C409="Sell",(L409*G409*100)-I409, X))))</f>
        <v/>
      </c>
      <c r="N409" s="78">
        <f>IF(ISBLANK(L409),"",IF(AND(C409="Sell",D409="Stock"),M409,IF(ISBLANK(L409),"",IF(C409="Buy",M409, IF(AND(C409="Sell",J409="NA"),(E409*G409*100*0.1)+I409, IF(C409="Sell",(J409-L409)*(100*G409)+I409))))))</f>
        <v/>
      </c>
      <c r="O409" s="75" t="n"/>
      <c r="P409" s="75" t="n"/>
      <c r="Q409" s="75">
        <f>IF(ISBLANK(P409),"",IF(D409="Stock",P409*G409,IF(P409=0,"0",G409*P409*100-(G409*$AF$14))))</f>
        <v/>
      </c>
      <c r="R409" s="79">
        <f>IF(P409&lt;&gt;"", TODAY(), "")</f>
        <v/>
      </c>
      <c r="S409" s="78">
        <f>IF(AND(K409&lt;&gt;"", R409&lt;&gt;""), R409-K409, "")</f>
        <v/>
      </c>
      <c r="T409" s="78" t="n"/>
      <c r="U409" s="92">
        <f>IF(ISBLANK(P409),"",IF(C409="Buy",Q409-M409+T409, IF(C409="Sell",M409-Q409-T409, X)))</f>
        <v/>
      </c>
      <c r="V409" s="81">
        <f>IF(ISBLANK(P409),"",U409/N409)</f>
        <v/>
      </c>
      <c r="W409" s="81">
        <f>IF(ISBLANK(P409),"",IF(S409=0,(365/0.5)*V409,(365/S409)*V409))</f>
        <v/>
      </c>
      <c r="X409" s="75" t="n"/>
      <c r="Y409" s="77" t="n"/>
      <c r="Z409" s="77" t="n"/>
      <c r="AA409" s="75" t="n"/>
      <c r="AB409" s="75" t="n"/>
      <c r="AC409" s="6" t="n"/>
      <c r="AD409" s="75" t="n"/>
      <c r="AE409" s="75" t="n"/>
      <c r="AF409" s="75" t="n"/>
    </row>
    <row r="410" ht="15.75" customHeight="1" s="133">
      <c r="A410" s="75" t="n"/>
      <c r="B410" s="75" t="n"/>
      <c r="C410" s="75" t="n"/>
      <c r="D410" s="75" t="n"/>
      <c r="E410" s="76" t="n"/>
      <c r="F410" s="77" t="n"/>
      <c r="G410" s="75" t="n"/>
      <c r="H410" s="75">
        <f>IF(ISBLANK(E410),"",IF(OR(D410="Butterfly",D410="Butterfly ",D410="Iron Fly", D410="Iron Fly "),LEN(E410)-LEN(SUBSTITUTE(E410,"/",""))+2,LEN(E410)-LEN(SUBSTITUTE(E410,"/",""))+1))</f>
        <v/>
      </c>
      <c r="I410" s="78">
        <f>IF(ISBLANK(G410),"",IF(D410="Stock","0",Key!$A$3*H410*G410))</f>
        <v/>
      </c>
      <c r="J410" s="78">
        <f>IF(ISBLANK(E410),"",IF(ISNUMBER(SEARCH("/",E410)), IF(LEN(E410)-LEN(SUBSTITUTE(E410,"/",""))=1,(RIGHT(E410,LEN(E410)-FIND("/",E410)))-(LEFT(E410,FIND("/",E410)-1)),(MID(E410, SEARCH("/",E410) + 1, SEARCH("/",E410, SEARCH("/",E410)+1) - SEARCH("/",E410) - 1))-(LEFT(E410,FIND("/",E410)-1))), "NA"))</f>
        <v/>
      </c>
      <c r="K410" s="79">
        <f>IF(A410&lt;&gt;"", IF(ISBLANK(L410), TODAY(), K410), "")</f>
        <v/>
      </c>
      <c r="L410" s="78" t="n"/>
      <c r="M410" s="78">
        <f>IF(ISBLANK(L410),"",IF(D410="Stock",IF(C410="Buy",L410*G410,IF(C410="Sell",(L410*G410)-I410, X)),IF(C410="Buy",(L410*G410*100)+I410,IF(C410="Sell",(L410*G410*100)-I410, X))))</f>
        <v/>
      </c>
      <c r="N410" s="78">
        <f>IF(ISBLANK(L410),"",IF(AND(C410="Sell",D410="Stock"),M410,IF(ISBLANK(L410),"",IF(C410="Buy",M410, IF(AND(C410="Sell",J410="NA"),(E410*G410*100*0.1)+I410, IF(C410="Sell",(J410-L410)*(100*G410)+I410))))))</f>
        <v/>
      </c>
      <c r="O410" s="75" t="n"/>
      <c r="P410" s="75" t="n"/>
      <c r="Q410" s="75">
        <f>IF(ISBLANK(P410),"",IF(D410="Stock",P410*G410,IF(P410=0,"0",G410*P410*100-(G410*$AF$14))))</f>
        <v/>
      </c>
      <c r="R410" s="79">
        <f>IF(P410&lt;&gt;"", TODAY(), "")</f>
        <v/>
      </c>
      <c r="S410" s="78">
        <f>IF(AND(K410&lt;&gt;"", R410&lt;&gt;""), R410-K410, "")</f>
        <v/>
      </c>
      <c r="T410" s="78" t="n"/>
      <c r="U410" s="92">
        <f>IF(ISBLANK(P410),"",IF(C410="Buy",Q410-M410+T410, IF(C410="Sell",M410-Q410-T410, X)))</f>
        <v/>
      </c>
      <c r="V410" s="81">
        <f>IF(ISBLANK(P410),"",U410/N410)</f>
        <v/>
      </c>
      <c r="W410" s="81">
        <f>IF(ISBLANK(P410),"",IF(S410=0,(365/0.5)*V410,(365/S410)*V410))</f>
        <v/>
      </c>
      <c r="X410" s="75" t="n"/>
      <c r="Y410" s="77" t="n"/>
      <c r="Z410" s="77" t="n"/>
      <c r="AA410" s="75" t="n"/>
      <c r="AB410" s="75" t="n"/>
      <c r="AC410" s="6" t="n"/>
      <c r="AD410" s="75" t="n"/>
      <c r="AE410" s="75" t="n"/>
      <c r="AF410" s="75" t="n"/>
    </row>
    <row r="411" ht="15.75" customHeight="1" s="133">
      <c r="A411" s="75" t="n"/>
      <c r="B411" s="75" t="n"/>
      <c r="C411" s="75" t="n"/>
      <c r="D411" s="75" t="n"/>
      <c r="E411" s="76" t="n"/>
      <c r="F411" s="77" t="n"/>
      <c r="G411" s="75" t="n"/>
      <c r="H411" s="75">
        <f>IF(ISBLANK(E411),"",IF(OR(D411="Butterfly",D411="Butterfly ",D411="Iron Fly", D411="Iron Fly "),LEN(E411)-LEN(SUBSTITUTE(E411,"/",""))+2,LEN(E411)-LEN(SUBSTITUTE(E411,"/",""))+1))</f>
        <v/>
      </c>
      <c r="I411" s="78">
        <f>IF(ISBLANK(G411),"",IF(D411="Stock","0",Key!$A$3*H411*G411))</f>
        <v/>
      </c>
      <c r="J411" s="78">
        <f>IF(ISBLANK(E411),"",IF(ISNUMBER(SEARCH("/",E411)), IF(LEN(E411)-LEN(SUBSTITUTE(E411,"/",""))=1,(RIGHT(E411,LEN(E411)-FIND("/",E411)))-(LEFT(E411,FIND("/",E411)-1)),(MID(E411, SEARCH("/",E411) + 1, SEARCH("/",E411, SEARCH("/",E411)+1) - SEARCH("/",E411) - 1))-(LEFT(E411,FIND("/",E411)-1))), "NA"))</f>
        <v/>
      </c>
      <c r="K411" s="79">
        <f>IF(A411&lt;&gt;"", IF(ISBLANK(L411), TODAY(), K411), "")</f>
        <v/>
      </c>
      <c r="L411" s="78" t="n"/>
      <c r="M411" s="78">
        <f>IF(ISBLANK(L411),"",IF(D411="Stock",IF(C411="Buy",L411*G411,IF(C411="Sell",(L411*G411)-I411, X)),IF(C411="Buy",(L411*G411*100)+I411,IF(C411="Sell",(L411*G411*100)-I411, X))))</f>
        <v/>
      </c>
      <c r="N411" s="78">
        <f>IF(ISBLANK(L411),"",IF(AND(C411="Sell",D411="Stock"),M411,IF(ISBLANK(L411),"",IF(C411="Buy",M411, IF(AND(C411="Sell",J411="NA"),(E411*G411*100*0.1)+I411, IF(C411="Sell",(J411-L411)*(100*G411)+I411))))))</f>
        <v/>
      </c>
      <c r="O411" s="75" t="n"/>
      <c r="P411" s="75" t="n"/>
      <c r="Q411" s="75">
        <f>IF(ISBLANK(P411),"",IF(D411="Stock",P411*G411,IF(P411=0,"0",G411*P411*100-(G411*$AF$14))))</f>
        <v/>
      </c>
      <c r="R411" s="79">
        <f>IF(P411&lt;&gt;"", TODAY(), "")</f>
        <v/>
      </c>
      <c r="S411" s="78">
        <f>IF(AND(K411&lt;&gt;"", R411&lt;&gt;""), R411-K411, "")</f>
        <v/>
      </c>
      <c r="T411" s="78" t="n"/>
      <c r="U411" s="92">
        <f>IF(ISBLANK(P411),"",IF(C411="Buy",Q411-M411+T411, IF(C411="Sell",M411-Q411-T411, X)))</f>
        <v/>
      </c>
      <c r="V411" s="81">
        <f>IF(ISBLANK(P411),"",U411/N411)</f>
        <v/>
      </c>
      <c r="W411" s="81">
        <f>IF(ISBLANK(P411),"",IF(S411=0,(365/0.5)*V411,(365/S411)*V411))</f>
        <v/>
      </c>
      <c r="X411" s="75" t="n"/>
      <c r="Y411" s="77" t="n"/>
      <c r="Z411" s="77" t="n"/>
      <c r="AA411" s="75" t="n"/>
      <c r="AB411" s="75" t="n"/>
      <c r="AC411" s="6" t="n"/>
      <c r="AD411" s="75" t="n"/>
      <c r="AE411" s="75" t="n"/>
      <c r="AF411" s="75" t="n"/>
    </row>
    <row r="412" ht="15.75" customHeight="1" s="133">
      <c r="A412" s="75" t="n"/>
      <c r="B412" s="75" t="n"/>
      <c r="C412" s="75" t="n"/>
      <c r="D412" s="75" t="n"/>
      <c r="E412" s="76" t="n"/>
      <c r="F412" s="77" t="n"/>
      <c r="G412" s="75" t="n"/>
      <c r="H412" s="75">
        <f>IF(ISBLANK(E412),"",IF(OR(D412="Butterfly",D412="Butterfly ",D412="Iron Fly", D412="Iron Fly "),LEN(E412)-LEN(SUBSTITUTE(E412,"/",""))+2,LEN(E412)-LEN(SUBSTITUTE(E412,"/",""))+1))</f>
        <v/>
      </c>
      <c r="I412" s="78">
        <f>IF(ISBLANK(G412),"",IF(D412="Stock","0",Key!$A$3*H412*G412))</f>
        <v/>
      </c>
      <c r="J412" s="78">
        <f>IF(ISBLANK(E412),"",IF(ISNUMBER(SEARCH("/",E412)), IF(LEN(E412)-LEN(SUBSTITUTE(E412,"/",""))=1,(RIGHT(E412,LEN(E412)-FIND("/",E412)))-(LEFT(E412,FIND("/",E412)-1)),(MID(E412, SEARCH("/",E412) + 1, SEARCH("/",E412, SEARCH("/",E412)+1) - SEARCH("/",E412) - 1))-(LEFT(E412,FIND("/",E412)-1))), "NA"))</f>
        <v/>
      </c>
      <c r="K412" s="79">
        <f>IF(A412&lt;&gt;"", IF(ISBLANK(L412), TODAY(), K412), "")</f>
        <v/>
      </c>
      <c r="L412" s="78" t="n"/>
      <c r="M412" s="78">
        <f>IF(ISBLANK(L412),"",IF(D412="Stock",IF(C412="Buy",L412*G412,IF(C412="Sell",(L412*G412)-I412, X)),IF(C412="Buy",(L412*G412*100)+I412,IF(C412="Sell",(L412*G412*100)-I412, X))))</f>
        <v/>
      </c>
      <c r="N412" s="78">
        <f>IF(ISBLANK(L412),"",IF(AND(C412="Sell",D412="Stock"),M412,IF(ISBLANK(L412),"",IF(C412="Buy",M412, IF(AND(C412="Sell",J412="NA"),(E412*G412*100*0.1)+I412, IF(C412="Sell",(J412-L412)*(100*G412)+I412))))))</f>
        <v/>
      </c>
      <c r="O412" s="75" t="n"/>
      <c r="P412" s="75" t="n"/>
      <c r="Q412" s="75">
        <f>IF(ISBLANK(P412),"",IF(D412="Stock",P412*G412,IF(P412=0,"0",G412*P412*100-(G412*$AF$14))))</f>
        <v/>
      </c>
      <c r="R412" s="79">
        <f>IF(P412&lt;&gt;"", TODAY(), "")</f>
        <v/>
      </c>
      <c r="S412" s="78">
        <f>IF(AND(K412&lt;&gt;"", R412&lt;&gt;""), R412-K412, "")</f>
        <v/>
      </c>
      <c r="T412" s="78" t="n"/>
      <c r="U412" s="92">
        <f>IF(ISBLANK(P412),"",IF(C412="Buy",Q412-M412+T412, IF(C412="Sell",M412-Q412-T412, X)))</f>
        <v/>
      </c>
      <c r="V412" s="81">
        <f>IF(ISBLANK(P412),"",U412/N412)</f>
        <v/>
      </c>
      <c r="W412" s="81">
        <f>IF(ISBLANK(P412),"",IF(S412=0,(365/0.5)*V412,(365/S412)*V412))</f>
        <v/>
      </c>
      <c r="X412" s="75" t="n"/>
      <c r="Y412" s="77" t="n"/>
      <c r="Z412" s="77" t="n"/>
      <c r="AA412" s="75" t="n"/>
      <c r="AB412" s="75" t="n"/>
      <c r="AC412" s="6" t="n"/>
      <c r="AD412" s="75" t="n"/>
      <c r="AE412" s="75" t="n"/>
      <c r="AF412" s="75" t="n"/>
    </row>
    <row r="413" ht="15.75" customHeight="1" s="133">
      <c r="A413" s="75" t="n"/>
      <c r="B413" s="75" t="n"/>
      <c r="C413" s="75" t="n"/>
      <c r="D413" s="75" t="n"/>
      <c r="E413" s="76" t="n"/>
      <c r="F413" s="77" t="n"/>
      <c r="G413" s="75" t="n"/>
      <c r="H413" s="75">
        <f>IF(ISBLANK(E413),"",IF(OR(D413="Butterfly",D413="Butterfly ",D413="Iron Fly", D413="Iron Fly "),LEN(E413)-LEN(SUBSTITUTE(E413,"/",""))+2,LEN(E413)-LEN(SUBSTITUTE(E413,"/",""))+1))</f>
        <v/>
      </c>
      <c r="I413" s="78">
        <f>IF(ISBLANK(G413),"",IF(D413="Stock","0",Key!$A$3*H413*G413))</f>
        <v/>
      </c>
      <c r="J413" s="78">
        <f>IF(ISBLANK(E413),"",IF(ISNUMBER(SEARCH("/",E413)), IF(LEN(E413)-LEN(SUBSTITUTE(E413,"/",""))=1,(RIGHT(E413,LEN(E413)-FIND("/",E413)))-(LEFT(E413,FIND("/",E413)-1)),(MID(E413, SEARCH("/",E413) + 1, SEARCH("/",E413, SEARCH("/",E413)+1) - SEARCH("/",E413) - 1))-(LEFT(E413,FIND("/",E413)-1))), "NA"))</f>
        <v/>
      </c>
      <c r="K413" s="79">
        <f>IF(A413&lt;&gt;"", IF(ISBLANK(L413), TODAY(), K413), "")</f>
        <v/>
      </c>
      <c r="L413" s="78" t="n"/>
      <c r="M413" s="78">
        <f>IF(ISBLANK(L413),"",IF(D413="Stock",IF(C413="Buy",L413*G413,IF(C413="Sell",(L413*G413)-I413, X)),IF(C413="Buy",(L413*G413*100)+I413,IF(C413="Sell",(L413*G413*100)-I413, X))))</f>
        <v/>
      </c>
      <c r="N413" s="78">
        <f>IF(ISBLANK(L413),"",IF(AND(C413="Sell",D413="Stock"),M413,IF(ISBLANK(L413),"",IF(C413="Buy",M413, IF(AND(C413="Sell",J413="NA"),(E413*G413*100*0.1)+I413, IF(C413="Sell",(J413-L413)*(100*G413)+I413))))))</f>
        <v/>
      </c>
      <c r="O413" s="75" t="n"/>
      <c r="P413" s="75" t="n"/>
      <c r="Q413" s="75">
        <f>IF(ISBLANK(P413),"",IF(D413="Stock",P413*G413,IF(P413=0,"0",G413*P413*100-(G413*$AF$14))))</f>
        <v/>
      </c>
      <c r="R413" s="79">
        <f>IF(P413&lt;&gt;"", TODAY(), "")</f>
        <v/>
      </c>
      <c r="S413" s="78">
        <f>IF(AND(K413&lt;&gt;"", R413&lt;&gt;""), R413-K413, "")</f>
        <v/>
      </c>
      <c r="T413" s="78" t="n"/>
      <c r="U413" s="92">
        <f>IF(ISBLANK(P413),"",IF(C413="Buy",Q413-M413+T413, IF(C413="Sell",M413-Q413-T413, X)))</f>
        <v/>
      </c>
      <c r="V413" s="81">
        <f>IF(ISBLANK(P413),"",U413/N413)</f>
        <v/>
      </c>
      <c r="W413" s="81">
        <f>IF(ISBLANK(P413),"",IF(S413=0,(365/0.5)*V413,(365/S413)*V413))</f>
        <v/>
      </c>
      <c r="X413" s="75" t="n"/>
      <c r="Y413" s="77" t="n"/>
      <c r="Z413" s="77" t="n"/>
      <c r="AA413" s="75" t="n"/>
      <c r="AB413" s="75" t="n"/>
      <c r="AC413" s="6" t="n"/>
      <c r="AD413" s="75" t="n"/>
      <c r="AE413" s="75" t="n"/>
      <c r="AF413" s="75" t="n"/>
    </row>
    <row r="414" ht="15.75" customHeight="1" s="133">
      <c r="A414" s="75" t="n"/>
      <c r="B414" s="75" t="n"/>
      <c r="C414" s="75" t="n"/>
      <c r="D414" s="75" t="n"/>
      <c r="E414" s="76" t="n"/>
      <c r="F414" s="77" t="n"/>
      <c r="G414" s="75" t="n"/>
      <c r="H414" s="75">
        <f>IF(ISBLANK(E414),"",IF(OR(D414="Butterfly",D414="Butterfly ",D414="Iron Fly", D414="Iron Fly "),LEN(E414)-LEN(SUBSTITUTE(E414,"/",""))+2,LEN(E414)-LEN(SUBSTITUTE(E414,"/",""))+1))</f>
        <v/>
      </c>
      <c r="I414" s="78">
        <f>IF(ISBLANK(G414),"",IF(D414="Stock","0",Key!$A$3*H414*G414))</f>
        <v/>
      </c>
      <c r="J414" s="78">
        <f>IF(ISBLANK(E414),"",IF(ISNUMBER(SEARCH("/",E414)), IF(LEN(E414)-LEN(SUBSTITUTE(E414,"/",""))=1,(RIGHT(E414,LEN(E414)-FIND("/",E414)))-(LEFT(E414,FIND("/",E414)-1)),(MID(E414, SEARCH("/",E414) + 1, SEARCH("/",E414, SEARCH("/",E414)+1) - SEARCH("/",E414) - 1))-(LEFT(E414,FIND("/",E414)-1))), "NA"))</f>
        <v/>
      </c>
      <c r="K414" s="79">
        <f>IF(A414&lt;&gt;"", IF(ISBLANK(L414), TODAY(), K414), "")</f>
        <v/>
      </c>
      <c r="L414" s="78" t="n"/>
      <c r="M414" s="78">
        <f>IF(ISBLANK(L414),"",IF(D414="Stock",IF(C414="Buy",L414*G414,IF(C414="Sell",(L414*G414)-I414, X)),IF(C414="Buy",(L414*G414*100)+I414,IF(C414="Sell",(L414*G414*100)-I414, X))))</f>
        <v/>
      </c>
      <c r="N414" s="78">
        <f>IF(ISBLANK(L414),"",IF(AND(C414="Sell",D414="Stock"),M414,IF(ISBLANK(L414),"",IF(C414="Buy",M414, IF(AND(C414="Sell",J414="NA"),(E414*G414*100*0.1)+I414, IF(C414="Sell",(J414-L414)*(100*G414)+I414))))))</f>
        <v/>
      </c>
      <c r="O414" s="75" t="n"/>
      <c r="P414" s="75" t="n"/>
      <c r="Q414" s="75">
        <f>IF(ISBLANK(P414),"",IF(D414="Stock",P414*G414,IF(P414=0,"0",G414*P414*100-(G414*$AF$14))))</f>
        <v/>
      </c>
      <c r="R414" s="79">
        <f>IF(P414&lt;&gt;"", TODAY(), "")</f>
        <v/>
      </c>
      <c r="S414" s="78">
        <f>IF(AND(K414&lt;&gt;"", R414&lt;&gt;""), R414-K414, "")</f>
        <v/>
      </c>
      <c r="T414" s="78" t="n"/>
      <c r="U414" s="92">
        <f>IF(ISBLANK(P414),"",IF(C414="Buy",Q414-M414+T414, IF(C414="Sell",M414-Q414-T414, X)))</f>
        <v/>
      </c>
      <c r="V414" s="81">
        <f>IF(ISBLANK(P414),"",U414/N414)</f>
        <v/>
      </c>
      <c r="W414" s="81">
        <f>IF(ISBLANK(P414),"",IF(S414=0,(365/0.5)*V414,(365/S414)*V414))</f>
        <v/>
      </c>
      <c r="X414" s="75" t="n"/>
      <c r="Y414" s="77" t="n"/>
      <c r="Z414" s="77" t="n"/>
      <c r="AA414" s="75" t="n"/>
      <c r="AB414" s="75" t="n"/>
      <c r="AC414" s="6" t="n"/>
      <c r="AD414" s="75" t="n"/>
      <c r="AE414" s="75" t="n"/>
      <c r="AF414" s="75" t="n"/>
    </row>
    <row r="415" ht="15.75" customHeight="1" s="133">
      <c r="A415" s="75" t="n"/>
      <c r="B415" s="75" t="n"/>
      <c r="C415" s="75" t="n"/>
      <c r="D415" s="75" t="n"/>
      <c r="E415" s="76" t="n"/>
      <c r="F415" s="77" t="n"/>
      <c r="G415" s="75" t="n"/>
      <c r="H415" s="75">
        <f>IF(ISBLANK(E415),"",IF(OR(D415="Butterfly",D415="Butterfly ",D415="Iron Fly", D415="Iron Fly "),LEN(E415)-LEN(SUBSTITUTE(E415,"/",""))+2,LEN(E415)-LEN(SUBSTITUTE(E415,"/",""))+1))</f>
        <v/>
      </c>
      <c r="I415" s="78">
        <f>IF(ISBLANK(G415),"",IF(D415="Stock","0",Key!$A$3*H415*G415))</f>
        <v/>
      </c>
      <c r="J415" s="78">
        <f>IF(ISBLANK(E415),"",IF(ISNUMBER(SEARCH("/",E415)), IF(LEN(E415)-LEN(SUBSTITUTE(E415,"/",""))=1,(RIGHT(E415,LEN(E415)-FIND("/",E415)))-(LEFT(E415,FIND("/",E415)-1)),(MID(E415, SEARCH("/",E415) + 1, SEARCH("/",E415, SEARCH("/",E415)+1) - SEARCH("/",E415) - 1))-(LEFT(E415,FIND("/",E415)-1))), "NA"))</f>
        <v/>
      </c>
      <c r="K415" s="79">
        <f>IF(A415&lt;&gt;"", IF(ISBLANK(L415), TODAY(), K415), "")</f>
        <v/>
      </c>
      <c r="L415" s="78" t="n"/>
      <c r="M415" s="78">
        <f>IF(ISBLANK(L415),"",IF(D415="Stock",IF(C415="Buy",L415*G415,IF(C415="Sell",(L415*G415)-I415, X)),IF(C415="Buy",(L415*G415*100)+I415,IF(C415="Sell",(L415*G415*100)-I415, X))))</f>
        <v/>
      </c>
      <c r="N415" s="78">
        <f>IF(ISBLANK(L415),"",IF(AND(C415="Sell",D415="Stock"),M415,IF(ISBLANK(L415),"",IF(C415="Buy",M415, IF(AND(C415="Sell",J415="NA"),(E415*G415*100*0.1)+I415, IF(C415="Sell",(J415-L415)*(100*G415)+I415))))))</f>
        <v/>
      </c>
      <c r="O415" s="75" t="n"/>
      <c r="P415" s="75" t="n"/>
      <c r="Q415" s="75">
        <f>IF(ISBLANK(P415),"",IF(D415="Stock",P415*G415,IF(P415=0,"0",G415*P415*100-(G415*$AF$14))))</f>
        <v/>
      </c>
      <c r="R415" s="79">
        <f>IF(P415&lt;&gt;"", TODAY(), "")</f>
        <v/>
      </c>
      <c r="S415" s="78">
        <f>IF(AND(K415&lt;&gt;"", R415&lt;&gt;""), R415-K415, "")</f>
        <v/>
      </c>
      <c r="T415" s="78" t="n"/>
      <c r="U415" s="92">
        <f>IF(ISBLANK(P415),"",IF(C415="Buy",Q415-M415+T415, IF(C415="Sell",M415-Q415-T415, X)))</f>
        <v/>
      </c>
      <c r="V415" s="81">
        <f>IF(ISBLANK(P415),"",U415/N415)</f>
        <v/>
      </c>
      <c r="W415" s="81">
        <f>IF(ISBLANK(P415),"",IF(S415=0,(365/0.5)*V415,(365/S415)*V415))</f>
        <v/>
      </c>
      <c r="X415" s="75" t="n"/>
      <c r="Y415" s="77" t="n"/>
      <c r="Z415" s="77" t="n"/>
      <c r="AA415" s="75" t="n"/>
      <c r="AB415" s="75" t="n"/>
      <c r="AC415" s="6" t="n"/>
      <c r="AD415" s="75" t="n"/>
      <c r="AE415" s="75" t="n"/>
      <c r="AF415" s="75" t="n"/>
    </row>
    <row r="416" ht="15.75" customHeight="1" s="133">
      <c r="A416" s="75" t="n"/>
      <c r="B416" s="75" t="n"/>
      <c r="C416" s="75" t="n"/>
      <c r="D416" s="75" t="n"/>
      <c r="E416" s="76" t="n"/>
      <c r="F416" s="77" t="n"/>
      <c r="G416" s="75" t="n"/>
      <c r="H416" s="75">
        <f>IF(ISBLANK(E416),"",IF(OR(D416="Butterfly",D416="Butterfly ",D416="Iron Fly", D416="Iron Fly "),LEN(E416)-LEN(SUBSTITUTE(E416,"/",""))+2,LEN(E416)-LEN(SUBSTITUTE(E416,"/",""))+1))</f>
        <v/>
      </c>
      <c r="I416" s="78">
        <f>IF(ISBLANK(G416),"",IF(D416="Stock","0",Key!$A$3*H416*G416))</f>
        <v/>
      </c>
      <c r="J416" s="78">
        <f>IF(ISBLANK(E416),"",IF(ISNUMBER(SEARCH("/",E416)), IF(LEN(E416)-LEN(SUBSTITUTE(E416,"/",""))=1,(RIGHT(E416,LEN(E416)-FIND("/",E416)))-(LEFT(E416,FIND("/",E416)-1)),(MID(E416, SEARCH("/",E416) + 1, SEARCH("/",E416, SEARCH("/",E416)+1) - SEARCH("/",E416) - 1))-(LEFT(E416,FIND("/",E416)-1))), "NA"))</f>
        <v/>
      </c>
      <c r="K416" s="79">
        <f>IF(A416&lt;&gt;"", IF(ISBLANK(L416), TODAY(), K416), "")</f>
        <v/>
      </c>
      <c r="L416" s="78" t="n"/>
      <c r="M416" s="78">
        <f>IF(ISBLANK(L416),"",IF(D416="Stock",IF(C416="Buy",L416*G416,IF(C416="Sell",(L416*G416)-I416, X)),IF(C416="Buy",(L416*G416*100)+I416,IF(C416="Sell",(L416*G416*100)-I416, X))))</f>
        <v/>
      </c>
      <c r="N416" s="78">
        <f>IF(ISBLANK(L416),"",IF(AND(C416="Sell",D416="Stock"),M416,IF(ISBLANK(L416),"",IF(C416="Buy",M416, IF(AND(C416="Sell",J416="NA"),(E416*G416*100*0.1)+I416, IF(C416="Sell",(J416-L416)*(100*G416)+I416))))))</f>
        <v/>
      </c>
      <c r="O416" s="75" t="n"/>
      <c r="P416" s="75" t="n"/>
      <c r="Q416" s="75">
        <f>IF(ISBLANK(P416),"",IF(D416="Stock",P416*G416,IF(P416=0,"0",G416*P416*100-(G416*$AF$14))))</f>
        <v/>
      </c>
      <c r="R416" s="79">
        <f>IF(P416&lt;&gt;"", TODAY(), "")</f>
        <v/>
      </c>
      <c r="S416" s="78">
        <f>IF(AND(K416&lt;&gt;"", R416&lt;&gt;""), R416-K416, "")</f>
        <v/>
      </c>
      <c r="T416" s="78" t="n"/>
      <c r="U416" s="92">
        <f>IF(ISBLANK(P416),"",IF(C416="Buy",Q416-M416+T416, IF(C416="Sell",M416-Q416-T416, X)))</f>
        <v/>
      </c>
      <c r="V416" s="81">
        <f>IF(ISBLANK(P416),"",U416/N416)</f>
        <v/>
      </c>
      <c r="W416" s="81">
        <f>IF(ISBLANK(P416),"",IF(S416=0,(365/0.5)*V416,(365/S416)*V416))</f>
        <v/>
      </c>
      <c r="X416" s="75" t="n"/>
      <c r="Y416" s="77" t="n"/>
      <c r="Z416" s="77" t="n"/>
      <c r="AA416" s="75" t="n"/>
      <c r="AB416" s="75" t="n"/>
      <c r="AC416" s="6" t="n"/>
      <c r="AD416" s="75" t="n"/>
      <c r="AE416" s="75" t="n"/>
      <c r="AF416" s="75" t="n"/>
    </row>
    <row r="417" ht="15.75" customHeight="1" s="133">
      <c r="A417" s="75" t="n"/>
      <c r="B417" s="75" t="n"/>
      <c r="C417" s="75" t="n"/>
      <c r="D417" s="75" t="n"/>
      <c r="E417" s="76" t="n"/>
      <c r="F417" s="77" t="n"/>
      <c r="G417" s="75" t="n"/>
      <c r="H417" s="75">
        <f>IF(ISBLANK(E417),"",IF(OR(D417="Butterfly",D417="Butterfly ",D417="Iron Fly", D417="Iron Fly "),LEN(E417)-LEN(SUBSTITUTE(E417,"/",""))+2,LEN(E417)-LEN(SUBSTITUTE(E417,"/",""))+1))</f>
        <v/>
      </c>
      <c r="I417" s="78">
        <f>IF(ISBLANK(G417),"",IF(D417="Stock","0",Key!$A$3*H417*G417))</f>
        <v/>
      </c>
      <c r="J417" s="78">
        <f>IF(ISBLANK(E417),"",IF(ISNUMBER(SEARCH("/",E417)), IF(LEN(E417)-LEN(SUBSTITUTE(E417,"/",""))=1,(RIGHT(E417,LEN(E417)-FIND("/",E417)))-(LEFT(E417,FIND("/",E417)-1)),(MID(E417, SEARCH("/",E417) + 1, SEARCH("/",E417, SEARCH("/",E417)+1) - SEARCH("/",E417) - 1))-(LEFT(E417,FIND("/",E417)-1))), "NA"))</f>
        <v/>
      </c>
      <c r="K417" s="79">
        <f>IF(A417&lt;&gt;"", IF(ISBLANK(L417), TODAY(), K417), "")</f>
        <v/>
      </c>
      <c r="L417" s="78" t="n"/>
      <c r="M417" s="78">
        <f>IF(ISBLANK(L417),"",IF(D417="Stock",IF(C417="Buy",L417*G417,IF(C417="Sell",(L417*G417)-I417, X)),IF(C417="Buy",(L417*G417*100)+I417,IF(C417="Sell",(L417*G417*100)-I417, X))))</f>
        <v/>
      </c>
      <c r="N417" s="78">
        <f>IF(ISBLANK(L417),"",IF(AND(C417="Sell",D417="Stock"),M417,IF(ISBLANK(L417),"",IF(C417="Buy",M417, IF(AND(C417="Sell",J417="NA"),(E417*G417*100*0.1)+I417, IF(C417="Sell",(J417-L417)*(100*G417)+I417))))))</f>
        <v/>
      </c>
      <c r="O417" s="75" t="n"/>
      <c r="P417" s="75" t="n"/>
      <c r="Q417" s="75">
        <f>IF(ISBLANK(P417),"",IF(D417="Stock",P417*G417,IF(P417=0,"0",G417*P417*100-(G417*$AF$14))))</f>
        <v/>
      </c>
      <c r="R417" s="79">
        <f>IF(P417&lt;&gt;"", TODAY(), "")</f>
        <v/>
      </c>
      <c r="S417" s="78">
        <f>IF(AND(K417&lt;&gt;"", R417&lt;&gt;""), R417-K417, "")</f>
        <v/>
      </c>
      <c r="T417" s="78" t="n"/>
      <c r="U417" s="92">
        <f>IF(ISBLANK(P417),"",IF(C417="Buy",Q417-M417+T417, IF(C417="Sell",M417-Q417-T417, X)))</f>
        <v/>
      </c>
      <c r="V417" s="81">
        <f>IF(ISBLANK(P417),"",U417/N417)</f>
        <v/>
      </c>
      <c r="W417" s="81">
        <f>IF(ISBLANK(P417),"",IF(S417=0,(365/0.5)*V417,(365/S417)*V417))</f>
        <v/>
      </c>
      <c r="X417" s="75" t="n"/>
      <c r="Y417" s="77" t="n"/>
      <c r="Z417" s="77" t="n"/>
      <c r="AA417" s="75" t="n"/>
      <c r="AB417" s="75" t="n"/>
      <c r="AC417" s="6" t="n"/>
      <c r="AD417" s="75" t="n"/>
      <c r="AE417" s="75" t="n"/>
      <c r="AF417" s="75" t="n"/>
    </row>
    <row r="418" ht="15.75" customHeight="1" s="133">
      <c r="A418" s="75" t="n"/>
      <c r="B418" s="75" t="n"/>
      <c r="C418" s="75" t="n"/>
      <c r="D418" s="75" t="n"/>
      <c r="E418" s="76" t="n"/>
      <c r="F418" s="77" t="n"/>
      <c r="G418" s="75" t="n"/>
      <c r="H418" s="75">
        <f>IF(ISBLANK(E418),"",IF(OR(D418="Butterfly",D418="Butterfly ",D418="Iron Fly", D418="Iron Fly "),LEN(E418)-LEN(SUBSTITUTE(E418,"/",""))+2,LEN(E418)-LEN(SUBSTITUTE(E418,"/",""))+1))</f>
        <v/>
      </c>
      <c r="I418" s="78">
        <f>IF(ISBLANK(G418),"",IF(D418="Stock","0",Key!$A$3*H418*G418))</f>
        <v/>
      </c>
      <c r="J418" s="78">
        <f>IF(ISBLANK(E418),"",IF(ISNUMBER(SEARCH("/",E418)), IF(LEN(E418)-LEN(SUBSTITUTE(E418,"/",""))=1,(RIGHT(E418,LEN(E418)-FIND("/",E418)))-(LEFT(E418,FIND("/",E418)-1)),(MID(E418, SEARCH("/",E418) + 1, SEARCH("/",E418, SEARCH("/",E418)+1) - SEARCH("/",E418) - 1))-(LEFT(E418,FIND("/",E418)-1))), "NA"))</f>
        <v/>
      </c>
      <c r="K418" s="79">
        <f>IF(A418&lt;&gt;"", IF(ISBLANK(L418), TODAY(), K418), "")</f>
        <v/>
      </c>
      <c r="L418" s="78" t="n"/>
      <c r="M418" s="78">
        <f>IF(ISBLANK(L418),"",IF(D418="Stock",IF(C418="Buy",L418*G418,IF(C418="Sell",(L418*G418)-I418, X)),IF(C418="Buy",(L418*G418*100)+I418,IF(C418="Sell",(L418*G418*100)-I418, X))))</f>
        <v/>
      </c>
      <c r="N418" s="78">
        <f>IF(ISBLANK(L418),"",IF(AND(C418="Sell",D418="Stock"),M418,IF(ISBLANK(L418),"",IF(C418="Buy",M418, IF(AND(C418="Sell",J418="NA"),(E418*G418*100*0.1)+I418, IF(C418="Sell",(J418-L418)*(100*G418)+I418))))))</f>
        <v/>
      </c>
      <c r="O418" s="75" t="n"/>
      <c r="P418" s="75" t="n"/>
      <c r="Q418" s="75">
        <f>IF(ISBLANK(P418),"",IF(D418="Stock",P418*G418,IF(P418=0,"0",G418*P418*100-(G418*$AF$14))))</f>
        <v/>
      </c>
      <c r="R418" s="79">
        <f>IF(P418&lt;&gt;"", TODAY(), "")</f>
        <v/>
      </c>
      <c r="S418" s="78">
        <f>IF(AND(K418&lt;&gt;"", R418&lt;&gt;""), R418-K418, "")</f>
        <v/>
      </c>
      <c r="T418" s="78" t="n"/>
      <c r="U418" s="92">
        <f>IF(ISBLANK(P418),"",IF(C418="Buy",Q418-M418+T418, IF(C418="Sell",M418-Q418-T418, X)))</f>
        <v/>
      </c>
      <c r="V418" s="81">
        <f>IF(ISBLANK(P418),"",U418/N418)</f>
        <v/>
      </c>
      <c r="W418" s="81">
        <f>IF(ISBLANK(P418),"",IF(S418=0,(365/0.5)*V418,(365/S418)*V418))</f>
        <v/>
      </c>
      <c r="X418" s="75" t="n"/>
      <c r="Y418" s="77" t="n"/>
      <c r="Z418" s="77" t="n"/>
      <c r="AA418" s="75" t="n"/>
      <c r="AB418" s="75" t="n"/>
      <c r="AC418" s="6" t="n"/>
      <c r="AD418" s="75" t="n"/>
      <c r="AE418" s="75" t="n"/>
      <c r="AF418" s="75" t="n"/>
    </row>
    <row r="419" ht="15.75" customHeight="1" s="133">
      <c r="A419" s="75" t="n"/>
      <c r="B419" s="75" t="n"/>
      <c r="C419" s="75" t="n"/>
      <c r="D419" s="75" t="n"/>
      <c r="E419" s="76" t="n"/>
      <c r="F419" s="77" t="n"/>
      <c r="G419" s="75" t="n"/>
      <c r="H419" s="75">
        <f>IF(ISBLANK(E419),"",IF(OR(D419="Butterfly",D419="Butterfly ",D419="Iron Fly", D419="Iron Fly "),LEN(E419)-LEN(SUBSTITUTE(E419,"/",""))+2,LEN(E419)-LEN(SUBSTITUTE(E419,"/",""))+1))</f>
        <v/>
      </c>
      <c r="I419" s="78">
        <f>IF(ISBLANK(G419),"",IF(D419="Stock","0",Key!$A$3*H419*G419))</f>
        <v/>
      </c>
      <c r="J419" s="78">
        <f>IF(ISBLANK(E419),"",IF(ISNUMBER(SEARCH("/",E419)), IF(LEN(E419)-LEN(SUBSTITUTE(E419,"/",""))=1,(RIGHT(E419,LEN(E419)-FIND("/",E419)))-(LEFT(E419,FIND("/",E419)-1)),(MID(E419, SEARCH("/",E419) + 1, SEARCH("/",E419, SEARCH("/",E419)+1) - SEARCH("/",E419) - 1))-(LEFT(E419,FIND("/",E419)-1))), "NA"))</f>
        <v/>
      </c>
      <c r="K419" s="79">
        <f>IF(A419&lt;&gt;"", IF(ISBLANK(L419), TODAY(), K419), "")</f>
        <v/>
      </c>
      <c r="L419" s="78" t="n"/>
      <c r="M419" s="78">
        <f>IF(ISBLANK(L419),"",IF(D419="Stock",IF(C419="Buy",L419*G419,IF(C419="Sell",(L419*G419)-I419, X)),IF(C419="Buy",(L419*G419*100)+I419,IF(C419="Sell",(L419*G419*100)-I419, X))))</f>
        <v/>
      </c>
      <c r="N419" s="78">
        <f>IF(ISBLANK(L419),"",IF(AND(C419="Sell",D419="Stock"),M419,IF(ISBLANK(L419),"",IF(C419="Buy",M419, IF(AND(C419="Sell",J419="NA"),(E419*G419*100*0.1)+I419, IF(C419="Sell",(J419-L419)*(100*G419)+I419))))))</f>
        <v/>
      </c>
      <c r="O419" s="75" t="n"/>
      <c r="P419" s="75" t="n"/>
      <c r="Q419" s="75">
        <f>IF(ISBLANK(P419),"",IF(D419="Stock",P419*G419,IF(P419=0,"0",G419*P419*100-(G419*$AF$14))))</f>
        <v/>
      </c>
      <c r="R419" s="79">
        <f>IF(P419&lt;&gt;"", TODAY(), "")</f>
        <v/>
      </c>
      <c r="S419" s="78">
        <f>IF(AND(K419&lt;&gt;"", R419&lt;&gt;""), R419-K419, "")</f>
        <v/>
      </c>
      <c r="T419" s="78" t="n"/>
      <c r="U419" s="92">
        <f>IF(ISBLANK(P419),"",IF(C419="Buy",Q419-M419+T419, IF(C419="Sell",M419-Q419-T419, X)))</f>
        <v/>
      </c>
      <c r="V419" s="81">
        <f>IF(ISBLANK(P419),"",U419/N419)</f>
        <v/>
      </c>
      <c r="W419" s="81">
        <f>IF(ISBLANK(P419),"",IF(S419=0,(365/0.5)*V419,(365/S419)*V419))</f>
        <v/>
      </c>
      <c r="X419" s="75" t="n"/>
      <c r="Y419" s="77" t="n"/>
      <c r="Z419" s="77" t="n"/>
      <c r="AA419" s="75" t="n"/>
      <c r="AB419" s="75" t="n"/>
      <c r="AC419" s="6" t="n"/>
      <c r="AD419" s="75" t="n"/>
      <c r="AE419" s="75" t="n"/>
      <c r="AF419" s="75" t="n"/>
    </row>
    <row r="420" ht="15.75" customHeight="1" s="133">
      <c r="A420" s="75" t="n"/>
      <c r="B420" s="75" t="n"/>
      <c r="C420" s="75" t="n"/>
      <c r="D420" s="75" t="n"/>
      <c r="E420" s="76" t="n"/>
      <c r="F420" s="77" t="n"/>
      <c r="G420" s="75" t="n"/>
      <c r="H420" s="75">
        <f>IF(ISBLANK(E420),"",IF(OR(D420="Butterfly",D420="Butterfly ",D420="Iron Fly", D420="Iron Fly "),LEN(E420)-LEN(SUBSTITUTE(E420,"/",""))+2,LEN(E420)-LEN(SUBSTITUTE(E420,"/",""))+1))</f>
        <v/>
      </c>
      <c r="I420" s="78">
        <f>IF(ISBLANK(G420),"",IF(D420="Stock","0",Key!$A$3*H420*G420))</f>
        <v/>
      </c>
      <c r="J420" s="78">
        <f>IF(ISBLANK(E420),"",IF(ISNUMBER(SEARCH("/",E420)), IF(LEN(E420)-LEN(SUBSTITUTE(E420,"/",""))=1,(RIGHT(E420,LEN(E420)-FIND("/",E420)))-(LEFT(E420,FIND("/",E420)-1)),(MID(E420, SEARCH("/",E420) + 1, SEARCH("/",E420, SEARCH("/",E420)+1) - SEARCH("/",E420) - 1))-(LEFT(E420,FIND("/",E420)-1))), "NA"))</f>
        <v/>
      </c>
      <c r="K420" s="79">
        <f>IF(A420&lt;&gt;"", IF(ISBLANK(L420), TODAY(), K420), "")</f>
        <v/>
      </c>
      <c r="L420" s="78" t="n"/>
      <c r="M420" s="78">
        <f>IF(ISBLANK(L420),"",IF(D420="Stock",IF(C420="Buy",L420*G420,IF(C420="Sell",(L420*G420)-I420, X)),IF(C420="Buy",(L420*G420*100)+I420,IF(C420="Sell",(L420*G420*100)-I420, X))))</f>
        <v/>
      </c>
      <c r="N420" s="78">
        <f>IF(ISBLANK(L420),"",IF(AND(C420="Sell",D420="Stock"),M420,IF(ISBLANK(L420),"",IF(C420="Buy",M420, IF(AND(C420="Sell",J420="NA"),(E420*G420*100*0.1)+I420, IF(C420="Sell",(J420-L420)*(100*G420)+I420))))))</f>
        <v/>
      </c>
      <c r="O420" s="75" t="n"/>
      <c r="P420" s="75" t="n"/>
      <c r="Q420" s="75">
        <f>IF(ISBLANK(P420),"",IF(D420="Stock",P420*G420,IF(P420=0,"0",G420*P420*100-(G420*$AF$14))))</f>
        <v/>
      </c>
      <c r="R420" s="79">
        <f>IF(P420&lt;&gt;"", TODAY(), "")</f>
        <v/>
      </c>
      <c r="S420" s="78">
        <f>IF(AND(K420&lt;&gt;"", R420&lt;&gt;""), R420-K420, "")</f>
        <v/>
      </c>
      <c r="T420" s="78" t="n"/>
      <c r="U420" s="92">
        <f>IF(ISBLANK(P420),"",IF(C420="Buy",Q420-M420+T420, IF(C420="Sell",M420-Q420-T420, X)))</f>
        <v/>
      </c>
      <c r="V420" s="81">
        <f>IF(ISBLANK(P420),"",U420/N420)</f>
        <v/>
      </c>
      <c r="W420" s="81">
        <f>IF(ISBLANK(P420),"",IF(S420=0,(365/0.5)*V420,(365/S420)*V420))</f>
        <v/>
      </c>
      <c r="X420" s="75" t="n"/>
      <c r="Y420" s="77" t="n"/>
      <c r="Z420" s="77" t="n"/>
      <c r="AA420" s="75" t="n"/>
      <c r="AB420" s="75" t="n"/>
      <c r="AC420" s="6" t="n"/>
      <c r="AD420" s="75" t="n"/>
      <c r="AE420" s="75" t="n"/>
      <c r="AF420" s="75" t="n"/>
    </row>
    <row r="421" ht="15.75" customHeight="1" s="133">
      <c r="A421" s="75" t="n"/>
      <c r="B421" s="75" t="n"/>
      <c r="C421" s="75" t="n"/>
      <c r="D421" s="75" t="n"/>
      <c r="E421" s="76" t="n"/>
      <c r="F421" s="77" t="n"/>
      <c r="G421" s="75" t="n"/>
      <c r="H421" s="75">
        <f>IF(ISBLANK(E421),"",IF(OR(D421="Butterfly",D421="Butterfly ",D421="Iron Fly", D421="Iron Fly "),LEN(E421)-LEN(SUBSTITUTE(E421,"/",""))+2,LEN(E421)-LEN(SUBSTITUTE(E421,"/",""))+1))</f>
        <v/>
      </c>
      <c r="I421" s="78">
        <f>IF(ISBLANK(G421),"",IF(D421="Stock","0",Key!$A$3*H421*G421))</f>
        <v/>
      </c>
      <c r="J421" s="78">
        <f>IF(ISBLANK(E421),"",IF(ISNUMBER(SEARCH("/",E421)), IF(LEN(E421)-LEN(SUBSTITUTE(E421,"/",""))=1,(RIGHT(E421,LEN(E421)-FIND("/",E421)))-(LEFT(E421,FIND("/",E421)-1)),(MID(E421, SEARCH("/",E421) + 1, SEARCH("/",E421, SEARCH("/",E421)+1) - SEARCH("/",E421) - 1))-(LEFT(E421,FIND("/",E421)-1))), "NA"))</f>
        <v/>
      </c>
      <c r="K421" s="79">
        <f>IF(A421&lt;&gt;"", IF(ISBLANK(L421), TODAY(), K421), "")</f>
        <v/>
      </c>
      <c r="L421" s="78" t="n"/>
      <c r="M421" s="78">
        <f>IF(ISBLANK(L421),"",IF(D421="Stock",IF(C421="Buy",L421*G421,IF(C421="Sell",(L421*G421)-I421, X)),IF(C421="Buy",(L421*G421*100)+I421,IF(C421="Sell",(L421*G421*100)-I421, X))))</f>
        <v/>
      </c>
      <c r="N421" s="78">
        <f>IF(ISBLANK(L421),"",IF(AND(C421="Sell",D421="Stock"),M421,IF(ISBLANK(L421),"",IF(C421="Buy",M421, IF(AND(C421="Sell",J421="NA"),(E421*G421*100*0.1)+I421, IF(C421="Sell",(J421-L421)*(100*G421)+I421))))))</f>
        <v/>
      </c>
      <c r="O421" s="75" t="n"/>
      <c r="P421" s="75" t="n"/>
      <c r="Q421" s="75">
        <f>IF(ISBLANK(P421),"",IF(D421="Stock",P421*G421,IF(P421=0,"0",G421*P421*100-(G421*$AF$14))))</f>
        <v/>
      </c>
      <c r="R421" s="79">
        <f>IF(P421&lt;&gt;"", TODAY(), "")</f>
        <v/>
      </c>
      <c r="S421" s="78">
        <f>IF(AND(K421&lt;&gt;"", R421&lt;&gt;""), R421-K421, "")</f>
        <v/>
      </c>
      <c r="T421" s="78" t="n"/>
      <c r="U421" s="92">
        <f>IF(ISBLANK(P421),"",IF(C421="Buy",Q421-M421+T421, IF(C421="Sell",M421-Q421-T421, X)))</f>
        <v/>
      </c>
      <c r="V421" s="81">
        <f>IF(ISBLANK(P421),"",U421/N421)</f>
        <v/>
      </c>
      <c r="W421" s="81">
        <f>IF(ISBLANK(P421),"",IF(S421=0,(365/0.5)*V421,(365/S421)*V421))</f>
        <v/>
      </c>
      <c r="X421" s="75" t="n"/>
      <c r="Y421" s="77" t="n"/>
      <c r="Z421" s="77" t="n"/>
      <c r="AA421" s="75" t="n"/>
      <c r="AB421" s="75" t="n"/>
      <c r="AC421" s="6" t="n"/>
      <c r="AD421" s="75" t="n"/>
      <c r="AE421" s="75" t="n"/>
      <c r="AF421" s="75" t="n"/>
    </row>
    <row r="422" ht="15.75" customHeight="1" s="133">
      <c r="A422" s="75" t="n"/>
      <c r="B422" s="75" t="n"/>
      <c r="C422" s="75" t="n"/>
      <c r="D422" s="75" t="n"/>
      <c r="E422" s="76" t="n"/>
      <c r="F422" s="77" t="n"/>
      <c r="G422" s="75" t="n"/>
      <c r="H422" s="75">
        <f>IF(ISBLANK(E422),"",IF(OR(D422="Butterfly",D422="Butterfly ",D422="Iron Fly", D422="Iron Fly "),LEN(E422)-LEN(SUBSTITUTE(E422,"/",""))+2,LEN(E422)-LEN(SUBSTITUTE(E422,"/",""))+1))</f>
        <v/>
      </c>
      <c r="I422" s="78">
        <f>IF(ISBLANK(G422),"",IF(D422="Stock","0",Key!$A$3*H422*G422))</f>
        <v/>
      </c>
      <c r="J422" s="78">
        <f>IF(ISBLANK(E422),"",IF(ISNUMBER(SEARCH("/",E422)), IF(LEN(E422)-LEN(SUBSTITUTE(E422,"/",""))=1,(RIGHT(E422,LEN(E422)-FIND("/",E422)))-(LEFT(E422,FIND("/",E422)-1)),(MID(E422, SEARCH("/",E422) + 1, SEARCH("/",E422, SEARCH("/",E422)+1) - SEARCH("/",E422) - 1))-(LEFT(E422,FIND("/",E422)-1))), "NA"))</f>
        <v/>
      </c>
      <c r="K422" s="79">
        <f>IF(A422&lt;&gt;"", IF(ISBLANK(L422), TODAY(), K422), "")</f>
        <v/>
      </c>
      <c r="L422" s="78" t="n"/>
      <c r="M422" s="78">
        <f>IF(ISBLANK(L422),"",IF(D422="Stock",IF(C422="Buy",L422*G422,IF(C422="Sell",(L422*G422)-I422, X)),IF(C422="Buy",(L422*G422*100)+I422,IF(C422="Sell",(L422*G422*100)-I422, X))))</f>
        <v/>
      </c>
      <c r="N422" s="78">
        <f>IF(ISBLANK(L422),"",IF(AND(C422="Sell",D422="Stock"),M422,IF(ISBLANK(L422),"",IF(C422="Buy",M422, IF(AND(C422="Sell",J422="NA"),(E422*G422*100*0.1)+I422, IF(C422="Sell",(J422-L422)*(100*G422)+I422))))))</f>
        <v/>
      </c>
      <c r="O422" s="75" t="n"/>
      <c r="P422" s="75" t="n"/>
      <c r="Q422" s="75">
        <f>IF(ISBLANK(P422),"",IF(D422="Stock",P422*G422,IF(P422=0,"0",G422*P422*100-(G422*$AF$14))))</f>
        <v/>
      </c>
      <c r="R422" s="79">
        <f>IF(P422&lt;&gt;"", TODAY(), "")</f>
        <v/>
      </c>
      <c r="S422" s="78">
        <f>IF(AND(K422&lt;&gt;"", R422&lt;&gt;""), R422-K422, "")</f>
        <v/>
      </c>
      <c r="T422" s="78" t="n"/>
      <c r="U422" s="92">
        <f>IF(ISBLANK(P422),"",IF(C422="Buy",Q422-M422+T422, IF(C422="Sell",M422-Q422-T422, X)))</f>
        <v/>
      </c>
      <c r="V422" s="81">
        <f>IF(ISBLANK(P422),"",U422/N422)</f>
        <v/>
      </c>
      <c r="W422" s="81">
        <f>IF(ISBLANK(P422),"",IF(S422=0,(365/0.5)*V422,(365/S422)*V422))</f>
        <v/>
      </c>
      <c r="X422" s="75" t="n"/>
      <c r="Y422" s="77" t="n"/>
      <c r="Z422" s="77" t="n"/>
      <c r="AA422" s="75" t="n"/>
      <c r="AB422" s="75" t="n"/>
      <c r="AC422" s="6" t="n"/>
      <c r="AD422" s="75" t="n"/>
      <c r="AE422" s="75" t="n"/>
      <c r="AF422" s="75" t="n"/>
    </row>
    <row r="423" ht="15.75" customHeight="1" s="133">
      <c r="A423" s="75" t="n"/>
      <c r="B423" s="75" t="n"/>
      <c r="C423" s="75" t="n"/>
      <c r="D423" s="75" t="n"/>
      <c r="E423" s="76" t="n"/>
      <c r="F423" s="77" t="n"/>
      <c r="G423" s="75" t="n"/>
      <c r="H423" s="75">
        <f>IF(ISBLANK(E423),"",IF(OR(D423="Butterfly",D423="Butterfly ",D423="Iron Fly", D423="Iron Fly "),LEN(E423)-LEN(SUBSTITUTE(E423,"/",""))+2,LEN(E423)-LEN(SUBSTITUTE(E423,"/",""))+1))</f>
        <v/>
      </c>
      <c r="I423" s="78">
        <f>IF(ISBLANK(G423),"",IF(D423="Stock","0",Key!$A$3*H423*G423))</f>
        <v/>
      </c>
      <c r="J423" s="78">
        <f>IF(ISBLANK(E423),"",IF(ISNUMBER(SEARCH("/",E423)), IF(LEN(E423)-LEN(SUBSTITUTE(E423,"/",""))=1,(RIGHT(E423,LEN(E423)-FIND("/",E423)))-(LEFT(E423,FIND("/",E423)-1)),(MID(E423, SEARCH("/",E423) + 1, SEARCH("/",E423, SEARCH("/",E423)+1) - SEARCH("/",E423) - 1))-(LEFT(E423,FIND("/",E423)-1))), "NA"))</f>
        <v/>
      </c>
      <c r="K423" s="79">
        <f>IF(A423&lt;&gt;"", IF(ISBLANK(L423), TODAY(), K423), "")</f>
        <v/>
      </c>
      <c r="L423" s="78" t="n"/>
      <c r="M423" s="78">
        <f>IF(ISBLANK(L423),"",IF(D423="Stock",IF(C423="Buy",L423*G423,IF(C423="Sell",(L423*G423)-I423, X)),IF(C423="Buy",(L423*G423*100)+I423,IF(C423="Sell",(L423*G423*100)-I423, X))))</f>
        <v/>
      </c>
      <c r="N423" s="78">
        <f>IF(ISBLANK(L423),"",IF(AND(C423="Sell",D423="Stock"),M423,IF(ISBLANK(L423),"",IF(C423="Buy",M423, IF(AND(C423="Sell",J423="NA"),(E423*G423*100*0.1)+I423, IF(C423="Sell",(J423-L423)*(100*G423)+I423))))))</f>
        <v/>
      </c>
      <c r="O423" s="75" t="n"/>
      <c r="P423" s="75" t="n"/>
      <c r="Q423" s="75">
        <f>IF(ISBLANK(P423),"",IF(D423="Stock",P423*G423,IF(P423=0,"0",G423*P423*100-(G423*$AF$14))))</f>
        <v/>
      </c>
      <c r="R423" s="79">
        <f>IF(P423&lt;&gt;"", TODAY(), "")</f>
        <v/>
      </c>
      <c r="S423" s="78">
        <f>IF(AND(K423&lt;&gt;"", R423&lt;&gt;""), R423-K423, "")</f>
        <v/>
      </c>
      <c r="T423" s="78" t="n"/>
      <c r="U423" s="92">
        <f>IF(ISBLANK(P423),"",IF(C423="Buy",Q423-M423+T423, IF(C423="Sell",M423-Q423-T423, X)))</f>
        <v/>
      </c>
      <c r="V423" s="81">
        <f>IF(ISBLANK(P423),"",U423/N423)</f>
        <v/>
      </c>
      <c r="W423" s="81">
        <f>IF(ISBLANK(P423),"",IF(S423=0,(365/0.5)*V423,(365/S423)*V423))</f>
        <v/>
      </c>
      <c r="X423" s="75" t="n"/>
      <c r="Y423" s="77" t="n"/>
      <c r="Z423" s="77" t="n"/>
      <c r="AA423" s="75" t="n"/>
      <c r="AB423" s="75" t="n"/>
      <c r="AC423" s="6" t="n"/>
      <c r="AD423" s="75" t="n"/>
      <c r="AE423" s="75" t="n"/>
      <c r="AF423" s="75" t="n"/>
    </row>
    <row r="424" ht="15.75" customHeight="1" s="133">
      <c r="A424" s="75" t="n"/>
      <c r="B424" s="75" t="n"/>
      <c r="C424" s="75" t="n"/>
      <c r="D424" s="75" t="n"/>
      <c r="E424" s="76" t="n"/>
      <c r="F424" s="77" t="n"/>
      <c r="G424" s="75" t="n"/>
      <c r="H424" s="75">
        <f>IF(ISBLANK(E424),"",IF(OR(D424="Butterfly",D424="Butterfly ",D424="Iron Fly", D424="Iron Fly "),LEN(E424)-LEN(SUBSTITUTE(E424,"/",""))+2,LEN(E424)-LEN(SUBSTITUTE(E424,"/",""))+1))</f>
        <v/>
      </c>
      <c r="I424" s="78">
        <f>IF(ISBLANK(G424),"",IF(D424="Stock","0",Key!$A$3*H424*G424))</f>
        <v/>
      </c>
      <c r="J424" s="78">
        <f>IF(ISBLANK(E424),"",IF(ISNUMBER(SEARCH("/",E424)), IF(LEN(E424)-LEN(SUBSTITUTE(E424,"/",""))=1,(RIGHT(E424,LEN(E424)-FIND("/",E424)))-(LEFT(E424,FIND("/",E424)-1)),(MID(E424, SEARCH("/",E424) + 1, SEARCH("/",E424, SEARCH("/",E424)+1) - SEARCH("/",E424) - 1))-(LEFT(E424,FIND("/",E424)-1))), "NA"))</f>
        <v/>
      </c>
      <c r="K424" s="79">
        <f>IF(A424&lt;&gt;"", IF(ISBLANK(L424), TODAY(), K424), "")</f>
        <v/>
      </c>
      <c r="L424" s="78" t="n"/>
      <c r="M424" s="78">
        <f>IF(ISBLANK(L424),"",IF(D424="Stock",IF(C424="Buy",L424*G424,IF(C424="Sell",(L424*G424)-I424, X)),IF(C424="Buy",(L424*G424*100)+I424,IF(C424="Sell",(L424*G424*100)-I424, X))))</f>
        <v/>
      </c>
      <c r="N424" s="78">
        <f>IF(ISBLANK(L424),"",IF(AND(C424="Sell",D424="Stock"),M424,IF(ISBLANK(L424),"",IF(C424="Buy",M424, IF(AND(C424="Sell",J424="NA"),(E424*G424*100*0.1)+I424, IF(C424="Sell",(J424-L424)*(100*G424)+I424))))))</f>
        <v/>
      </c>
      <c r="O424" s="75" t="n"/>
      <c r="P424" s="75" t="n"/>
      <c r="Q424" s="75">
        <f>IF(ISBLANK(P424),"",IF(D424="Stock",P424*G424,IF(P424=0,"0",G424*P424*100-(G424*$AF$14))))</f>
        <v/>
      </c>
      <c r="R424" s="79">
        <f>IF(P424&lt;&gt;"", TODAY(), "")</f>
        <v/>
      </c>
      <c r="S424" s="78">
        <f>IF(AND(K424&lt;&gt;"", R424&lt;&gt;""), R424-K424, "")</f>
        <v/>
      </c>
      <c r="T424" s="78" t="n"/>
      <c r="U424" s="92">
        <f>IF(ISBLANK(P424),"",IF(C424="Buy",Q424-M424+T424, IF(C424="Sell",M424-Q424-T424, X)))</f>
        <v/>
      </c>
      <c r="V424" s="81">
        <f>IF(ISBLANK(P424),"",U424/N424)</f>
        <v/>
      </c>
      <c r="W424" s="81">
        <f>IF(ISBLANK(P424),"",IF(S424=0,(365/0.5)*V424,(365/S424)*V424))</f>
        <v/>
      </c>
      <c r="X424" s="75" t="n"/>
      <c r="Y424" s="77" t="n"/>
      <c r="Z424" s="77" t="n"/>
      <c r="AA424" s="75" t="n"/>
      <c r="AB424" s="75" t="n"/>
      <c r="AC424" s="6" t="n"/>
      <c r="AD424" s="75" t="n"/>
      <c r="AE424" s="75" t="n"/>
      <c r="AF424" s="75" t="n"/>
    </row>
    <row r="425" ht="15.75" customHeight="1" s="133">
      <c r="A425" s="75" t="n"/>
      <c r="B425" s="75" t="n"/>
      <c r="C425" s="75" t="n"/>
      <c r="D425" s="75" t="n"/>
      <c r="E425" s="76" t="n"/>
      <c r="F425" s="77" t="n"/>
      <c r="G425" s="75" t="n"/>
      <c r="H425" s="75">
        <f>IF(ISBLANK(E425),"",IF(OR(D425="Butterfly",D425="Butterfly ",D425="Iron Fly", D425="Iron Fly "),LEN(E425)-LEN(SUBSTITUTE(E425,"/",""))+2,LEN(E425)-LEN(SUBSTITUTE(E425,"/",""))+1))</f>
        <v/>
      </c>
      <c r="I425" s="78">
        <f>IF(ISBLANK(G425),"",IF(D425="Stock","0",Key!$A$3*H425*G425))</f>
        <v/>
      </c>
      <c r="J425" s="78">
        <f>IF(ISBLANK(E425),"",IF(ISNUMBER(SEARCH("/",E425)), IF(LEN(E425)-LEN(SUBSTITUTE(E425,"/",""))=1,(RIGHT(E425,LEN(E425)-FIND("/",E425)))-(LEFT(E425,FIND("/",E425)-1)),(MID(E425, SEARCH("/",E425) + 1, SEARCH("/",E425, SEARCH("/",E425)+1) - SEARCH("/",E425) - 1))-(LEFT(E425,FIND("/",E425)-1))), "NA"))</f>
        <v/>
      </c>
      <c r="K425" s="79">
        <f>IF(A425&lt;&gt;"", IF(ISBLANK(L425), TODAY(), K425), "")</f>
        <v/>
      </c>
      <c r="L425" s="78" t="n"/>
      <c r="M425" s="78">
        <f>IF(ISBLANK(L425),"",IF(D425="Stock",IF(C425="Buy",L425*G425,IF(C425="Sell",(L425*G425)-I425, X)),IF(C425="Buy",(L425*G425*100)+I425,IF(C425="Sell",(L425*G425*100)-I425, X))))</f>
        <v/>
      </c>
      <c r="N425" s="78">
        <f>IF(ISBLANK(L425),"",IF(AND(C425="Sell",D425="Stock"),M425,IF(ISBLANK(L425),"",IF(C425="Buy",M425, IF(AND(C425="Sell",J425="NA"),(E425*G425*100*0.1)+I425, IF(C425="Sell",(J425-L425)*(100*G425)+I425))))))</f>
        <v/>
      </c>
      <c r="O425" s="75" t="n"/>
      <c r="P425" s="75" t="n"/>
      <c r="Q425" s="75">
        <f>IF(ISBLANK(P425),"",IF(D425="Stock",P425*G425,IF(P425=0,"0",G425*P425*100-(G425*$AF$14))))</f>
        <v/>
      </c>
      <c r="R425" s="79">
        <f>IF(P425&lt;&gt;"", TODAY(), "")</f>
        <v/>
      </c>
      <c r="S425" s="78">
        <f>IF(AND(K425&lt;&gt;"", R425&lt;&gt;""), R425-K425, "")</f>
        <v/>
      </c>
      <c r="T425" s="78" t="n"/>
      <c r="U425" s="92">
        <f>IF(ISBLANK(P425),"",IF(C425="Buy",Q425-M425+T425, IF(C425="Sell",M425-Q425-T425, X)))</f>
        <v/>
      </c>
      <c r="V425" s="81">
        <f>IF(ISBLANK(P425),"",U425/N425)</f>
        <v/>
      </c>
      <c r="W425" s="81">
        <f>IF(ISBLANK(P425),"",IF(S425=0,(365/0.5)*V425,(365/S425)*V425))</f>
        <v/>
      </c>
      <c r="X425" s="75" t="n"/>
      <c r="Y425" s="77" t="n"/>
      <c r="Z425" s="77" t="n"/>
      <c r="AA425" s="75" t="n"/>
      <c r="AB425" s="75" t="n"/>
      <c r="AC425" s="6" t="n"/>
      <c r="AD425" s="75" t="n"/>
      <c r="AE425" s="75" t="n"/>
      <c r="AF425" s="75" t="n"/>
    </row>
    <row r="426" ht="15.75" customHeight="1" s="133">
      <c r="A426" s="75" t="n"/>
      <c r="B426" s="75" t="n"/>
      <c r="C426" s="75" t="n"/>
      <c r="D426" s="75" t="n"/>
      <c r="E426" s="76" t="n"/>
      <c r="F426" s="77" t="n"/>
      <c r="G426" s="75" t="n"/>
      <c r="H426" s="75">
        <f>IF(ISBLANK(E426),"",IF(OR(D426="Butterfly",D426="Butterfly ",D426="Iron Fly", D426="Iron Fly "),LEN(E426)-LEN(SUBSTITUTE(E426,"/",""))+2,LEN(E426)-LEN(SUBSTITUTE(E426,"/",""))+1))</f>
        <v/>
      </c>
      <c r="I426" s="78">
        <f>IF(ISBLANK(G426),"",IF(D426="Stock","0",Key!$A$3*H426*G426))</f>
        <v/>
      </c>
      <c r="J426" s="78">
        <f>IF(ISBLANK(E426),"",IF(ISNUMBER(SEARCH("/",E426)), IF(LEN(E426)-LEN(SUBSTITUTE(E426,"/",""))=1,(RIGHT(E426,LEN(E426)-FIND("/",E426)))-(LEFT(E426,FIND("/",E426)-1)),(MID(E426, SEARCH("/",E426) + 1, SEARCH("/",E426, SEARCH("/",E426)+1) - SEARCH("/",E426) - 1))-(LEFT(E426,FIND("/",E426)-1))), "NA"))</f>
        <v/>
      </c>
      <c r="K426" s="79">
        <f>IF(A426&lt;&gt;"", IF(ISBLANK(L426), TODAY(), K426), "")</f>
        <v/>
      </c>
      <c r="L426" s="78" t="n"/>
      <c r="M426" s="78">
        <f>IF(ISBLANK(L426),"",IF(D426="Stock",IF(C426="Buy",L426*G426,IF(C426="Sell",(L426*G426)-I426, X)),IF(C426="Buy",(L426*G426*100)+I426,IF(C426="Sell",(L426*G426*100)-I426, X))))</f>
        <v/>
      </c>
      <c r="N426" s="78">
        <f>IF(ISBLANK(L426),"",IF(AND(C426="Sell",D426="Stock"),M426,IF(ISBLANK(L426),"",IF(C426="Buy",M426, IF(AND(C426="Sell",J426="NA"),(E426*G426*100*0.1)+I426, IF(C426="Sell",(J426-L426)*(100*G426)+I426))))))</f>
        <v/>
      </c>
      <c r="O426" s="75" t="n"/>
      <c r="P426" s="75" t="n"/>
      <c r="Q426" s="75">
        <f>IF(ISBLANK(P426),"",IF(D426="Stock",P426*G426,IF(P426=0,"0",G426*P426*100-(G426*$AF$14))))</f>
        <v/>
      </c>
      <c r="R426" s="79">
        <f>IF(P426&lt;&gt;"", TODAY(), "")</f>
        <v/>
      </c>
      <c r="S426" s="78">
        <f>IF(AND(K426&lt;&gt;"", R426&lt;&gt;""), R426-K426, "")</f>
        <v/>
      </c>
      <c r="T426" s="78" t="n"/>
      <c r="U426" s="92">
        <f>IF(ISBLANK(P426),"",IF(C426="Buy",Q426-M426+T426, IF(C426="Sell",M426-Q426-T426, X)))</f>
        <v/>
      </c>
      <c r="V426" s="81">
        <f>IF(ISBLANK(P426),"",U426/N426)</f>
        <v/>
      </c>
      <c r="W426" s="81">
        <f>IF(ISBLANK(P426),"",IF(S426=0,(365/0.5)*V426,(365/S426)*V426))</f>
        <v/>
      </c>
      <c r="X426" s="75" t="n"/>
      <c r="Y426" s="77" t="n"/>
      <c r="Z426" s="77" t="n"/>
      <c r="AA426" s="75" t="n"/>
      <c r="AB426" s="75" t="n"/>
      <c r="AC426" s="6" t="n"/>
      <c r="AD426" s="75" t="n"/>
      <c r="AE426" s="75" t="n"/>
      <c r="AF426" s="75" t="n"/>
    </row>
    <row r="427" ht="15.75" customHeight="1" s="133">
      <c r="A427" s="75" t="n"/>
      <c r="B427" s="75" t="n"/>
      <c r="C427" s="75" t="n"/>
      <c r="D427" s="75" t="n"/>
      <c r="E427" s="76" t="n"/>
      <c r="F427" s="77" t="n"/>
      <c r="G427" s="75" t="n"/>
      <c r="H427" s="75">
        <f>IF(ISBLANK(E427),"",IF(OR(D427="Butterfly",D427="Butterfly ",D427="Iron Fly", D427="Iron Fly "),LEN(E427)-LEN(SUBSTITUTE(E427,"/",""))+2,LEN(E427)-LEN(SUBSTITUTE(E427,"/",""))+1))</f>
        <v/>
      </c>
      <c r="I427" s="78">
        <f>IF(ISBLANK(G427),"",IF(D427="Stock","0",Key!$A$3*H427*G427))</f>
        <v/>
      </c>
      <c r="J427" s="78">
        <f>IF(ISBLANK(E427),"",IF(ISNUMBER(SEARCH("/",E427)), IF(LEN(E427)-LEN(SUBSTITUTE(E427,"/",""))=1,(RIGHT(E427,LEN(E427)-FIND("/",E427)))-(LEFT(E427,FIND("/",E427)-1)),(MID(E427, SEARCH("/",E427) + 1, SEARCH("/",E427, SEARCH("/",E427)+1) - SEARCH("/",E427) - 1))-(LEFT(E427,FIND("/",E427)-1))), "NA"))</f>
        <v/>
      </c>
      <c r="K427" s="79">
        <f>IF(A427&lt;&gt;"", IF(ISBLANK(L427), TODAY(), K427), "")</f>
        <v/>
      </c>
      <c r="L427" s="78" t="n"/>
      <c r="M427" s="78">
        <f>IF(ISBLANK(L427),"",IF(D427="Stock",IF(C427="Buy",L427*G427,IF(C427="Sell",(L427*G427)-I427, X)),IF(C427="Buy",(L427*G427*100)+I427,IF(C427="Sell",(L427*G427*100)-I427, X))))</f>
        <v/>
      </c>
      <c r="N427" s="78">
        <f>IF(ISBLANK(L427),"",IF(AND(C427="Sell",D427="Stock"),M427,IF(ISBLANK(L427),"",IF(C427="Buy",M427, IF(AND(C427="Sell",J427="NA"),(E427*G427*100*0.1)+I427, IF(C427="Sell",(J427-L427)*(100*G427)+I427))))))</f>
        <v/>
      </c>
      <c r="O427" s="75" t="n"/>
      <c r="P427" s="75" t="n"/>
      <c r="Q427" s="75">
        <f>IF(ISBLANK(P427),"",IF(D427="Stock",P427*G427,IF(P427=0,"0",G427*P427*100-(G427*$AF$14))))</f>
        <v/>
      </c>
      <c r="R427" s="79">
        <f>IF(P427&lt;&gt;"", TODAY(), "")</f>
        <v/>
      </c>
      <c r="S427" s="78">
        <f>IF(AND(K427&lt;&gt;"", R427&lt;&gt;""), R427-K427, "")</f>
        <v/>
      </c>
      <c r="T427" s="78" t="n"/>
      <c r="U427" s="92">
        <f>IF(ISBLANK(P427),"",IF(C427="Buy",Q427-M427+T427, IF(C427="Sell",M427-Q427-T427, X)))</f>
        <v/>
      </c>
      <c r="V427" s="81">
        <f>IF(ISBLANK(P427),"",U427/N427)</f>
        <v/>
      </c>
      <c r="W427" s="81">
        <f>IF(ISBLANK(P427),"",IF(S427=0,(365/0.5)*V427,(365/S427)*V427))</f>
        <v/>
      </c>
      <c r="X427" s="75" t="n"/>
      <c r="Y427" s="77" t="n"/>
      <c r="Z427" s="77" t="n"/>
      <c r="AA427" s="75" t="n"/>
      <c r="AB427" s="75" t="n"/>
      <c r="AC427" s="6" t="n"/>
      <c r="AD427" s="75" t="n"/>
      <c r="AE427" s="75" t="n"/>
      <c r="AF427" s="75" t="n"/>
    </row>
    <row r="428" ht="15.75" customHeight="1" s="133">
      <c r="A428" s="75" t="n"/>
      <c r="B428" s="75" t="n"/>
      <c r="C428" s="75" t="n"/>
      <c r="D428" s="75" t="n"/>
      <c r="E428" s="76" t="n"/>
      <c r="F428" s="77" t="n"/>
      <c r="G428" s="75" t="n"/>
      <c r="H428" s="75">
        <f>IF(ISBLANK(E428),"",IF(OR(D428="Butterfly",D428="Butterfly ",D428="Iron Fly", D428="Iron Fly "),LEN(E428)-LEN(SUBSTITUTE(E428,"/",""))+2,LEN(E428)-LEN(SUBSTITUTE(E428,"/",""))+1))</f>
        <v/>
      </c>
      <c r="I428" s="78">
        <f>IF(ISBLANK(G428),"",IF(D428="Stock","0",Key!$A$3*H428*G428))</f>
        <v/>
      </c>
      <c r="J428" s="78">
        <f>IF(ISBLANK(E428),"",IF(ISNUMBER(SEARCH("/",E428)), IF(LEN(E428)-LEN(SUBSTITUTE(E428,"/",""))=1,(RIGHT(E428,LEN(E428)-FIND("/",E428)))-(LEFT(E428,FIND("/",E428)-1)),(MID(E428, SEARCH("/",E428) + 1, SEARCH("/",E428, SEARCH("/",E428)+1) - SEARCH("/",E428) - 1))-(LEFT(E428,FIND("/",E428)-1))), "NA"))</f>
        <v/>
      </c>
      <c r="K428" s="79">
        <f>IF(A428&lt;&gt;"", IF(ISBLANK(L428), TODAY(), K428), "")</f>
        <v/>
      </c>
      <c r="L428" s="78" t="n"/>
      <c r="M428" s="78">
        <f>IF(ISBLANK(L428),"",IF(D428="Stock",IF(C428="Buy",L428*G428,IF(C428="Sell",(L428*G428)-I428, X)),IF(C428="Buy",(L428*G428*100)+I428,IF(C428="Sell",(L428*G428*100)-I428, X))))</f>
        <v/>
      </c>
      <c r="N428" s="78">
        <f>IF(ISBLANK(L428),"",IF(AND(C428="Sell",D428="Stock"),M428,IF(ISBLANK(L428),"",IF(C428="Buy",M428, IF(AND(C428="Sell",J428="NA"),(E428*G428*100*0.1)+I428, IF(C428="Sell",(J428-L428)*(100*G428)+I428))))))</f>
        <v/>
      </c>
      <c r="O428" s="75" t="n"/>
      <c r="P428" s="75" t="n"/>
      <c r="Q428" s="75">
        <f>IF(ISBLANK(P428),"",IF(D428="Stock",P428*G428,IF(P428=0,"0",G428*P428*100-(G428*$AF$14))))</f>
        <v/>
      </c>
      <c r="R428" s="79">
        <f>IF(P428&lt;&gt;"", TODAY(), "")</f>
        <v/>
      </c>
      <c r="S428" s="78">
        <f>IF(AND(K428&lt;&gt;"", R428&lt;&gt;""), R428-K428, "")</f>
        <v/>
      </c>
      <c r="T428" s="78" t="n"/>
      <c r="U428" s="92">
        <f>IF(ISBLANK(P428),"",IF(C428="Buy",Q428-M428+T428, IF(C428="Sell",M428-Q428-T428, X)))</f>
        <v/>
      </c>
      <c r="V428" s="81">
        <f>IF(ISBLANK(P428),"",U428/N428)</f>
        <v/>
      </c>
      <c r="W428" s="81">
        <f>IF(ISBLANK(P428),"",IF(S428=0,(365/0.5)*V428,(365/S428)*V428))</f>
        <v/>
      </c>
      <c r="X428" s="75" t="n"/>
      <c r="Y428" s="77" t="n"/>
      <c r="Z428" s="77" t="n"/>
      <c r="AA428" s="75" t="n"/>
      <c r="AB428" s="75" t="n"/>
      <c r="AC428" s="6" t="n"/>
      <c r="AD428" s="75" t="n"/>
      <c r="AE428" s="75" t="n"/>
      <c r="AF428" s="75" t="n"/>
    </row>
    <row r="429" ht="15.75" customHeight="1" s="133">
      <c r="A429" s="75" t="n"/>
      <c r="B429" s="75" t="n"/>
      <c r="C429" s="75" t="n"/>
      <c r="D429" s="75" t="n"/>
      <c r="E429" s="76" t="n"/>
      <c r="F429" s="77" t="n"/>
      <c r="G429" s="75" t="n"/>
      <c r="H429" s="75">
        <f>IF(ISBLANK(E429),"",IF(OR(D429="Butterfly",D429="Butterfly ",D429="Iron Fly", D429="Iron Fly "),LEN(E429)-LEN(SUBSTITUTE(E429,"/",""))+2,LEN(E429)-LEN(SUBSTITUTE(E429,"/",""))+1))</f>
        <v/>
      </c>
      <c r="I429" s="78">
        <f>IF(ISBLANK(G429),"",IF(D429="Stock","0",Key!$A$3*H429*G429))</f>
        <v/>
      </c>
      <c r="J429" s="78">
        <f>IF(ISBLANK(E429),"",IF(ISNUMBER(SEARCH("/",E429)), IF(LEN(E429)-LEN(SUBSTITUTE(E429,"/",""))=1,(RIGHT(E429,LEN(E429)-FIND("/",E429)))-(LEFT(E429,FIND("/",E429)-1)),(MID(E429, SEARCH("/",E429) + 1, SEARCH("/",E429, SEARCH("/",E429)+1) - SEARCH("/",E429) - 1))-(LEFT(E429,FIND("/",E429)-1))), "NA"))</f>
        <v/>
      </c>
      <c r="K429" s="79">
        <f>IF(A429&lt;&gt;"", IF(ISBLANK(L429), TODAY(), K429), "")</f>
        <v/>
      </c>
      <c r="L429" s="78" t="n"/>
      <c r="M429" s="78">
        <f>IF(ISBLANK(L429),"",IF(D429="Stock",IF(C429="Buy",L429*G429,IF(C429="Sell",(L429*G429)-I429, X)),IF(C429="Buy",(L429*G429*100)+I429,IF(C429="Sell",(L429*G429*100)-I429, X))))</f>
        <v/>
      </c>
      <c r="N429" s="78">
        <f>IF(ISBLANK(L429),"",IF(AND(C429="Sell",D429="Stock"),M429,IF(ISBLANK(L429),"",IF(C429="Buy",M429, IF(AND(C429="Sell",J429="NA"),(E429*G429*100*0.1)+I429, IF(C429="Sell",(J429-L429)*(100*G429)+I429))))))</f>
        <v/>
      </c>
      <c r="O429" s="75" t="n"/>
      <c r="P429" s="75" t="n"/>
      <c r="Q429" s="75">
        <f>IF(ISBLANK(P429),"",IF(D429="Stock",P429*G429,IF(P429=0,"0",G429*P429*100-(G429*$AF$14))))</f>
        <v/>
      </c>
      <c r="R429" s="79">
        <f>IF(P429&lt;&gt;"", TODAY(), "")</f>
        <v/>
      </c>
      <c r="S429" s="78">
        <f>IF(AND(K429&lt;&gt;"", R429&lt;&gt;""), R429-K429, "")</f>
        <v/>
      </c>
      <c r="T429" s="78" t="n"/>
      <c r="U429" s="92">
        <f>IF(ISBLANK(P429),"",IF(C429="Buy",Q429-M429+T429, IF(C429="Sell",M429-Q429-T429, X)))</f>
        <v/>
      </c>
      <c r="V429" s="81">
        <f>IF(ISBLANK(P429),"",U429/N429)</f>
        <v/>
      </c>
      <c r="W429" s="81">
        <f>IF(ISBLANK(P429),"",IF(S429=0,(365/0.5)*V429,(365/S429)*V429))</f>
        <v/>
      </c>
      <c r="X429" s="75" t="n"/>
      <c r="Y429" s="77" t="n"/>
      <c r="Z429" s="77" t="n"/>
      <c r="AA429" s="75" t="n"/>
      <c r="AB429" s="75" t="n"/>
      <c r="AC429" s="6" t="n"/>
      <c r="AD429" s="75" t="n"/>
      <c r="AE429" s="75" t="n"/>
      <c r="AF429" s="75" t="n"/>
    </row>
    <row r="430" ht="15.75" customHeight="1" s="133">
      <c r="A430" s="75" t="n"/>
      <c r="B430" s="75" t="n"/>
      <c r="C430" s="75" t="n"/>
      <c r="D430" s="75" t="n"/>
      <c r="E430" s="76" t="n"/>
      <c r="F430" s="77" t="n"/>
      <c r="G430" s="75" t="n"/>
      <c r="H430" s="75">
        <f>IF(ISBLANK(E430),"",IF(OR(D430="Butterfly",D430="Butterfly ",D430="Iron Fly", D430="Iron Fly "),LEN(E430)-LEN(SUBSTITUTE(E430,"/",""))+2,LEN(E430)-LEN(SUBSTITUTE(E430,"/",""))+1))</f>
        <v/>
      </c>
      <c r="I430" s="78">
        <f>IF(ISBLANK(G430),"",IF(D430="Stock","0",Key!$A$3*H430*G430))</f>
        <v/>
      </c>
      <c r="J430" s="78">
        <f>IF(ISBLANK(E430),"",IF(ISNUMBER(SEARCH("/",E430)), IF(LEN(E430)-LEN(SUBSTITUTE(E430,"/",""))=1,(RIGHT(E430,LEN(E430)-FIND("/",E430)))-(LEFT(E430,FIND("/",E430)-1)),(MID(E430, SEARCH("/",E430) + 1, SEARCH("/",E430, SEARCH("/",E430)+1) - SEARCH("/",E430) - 1))-(LEFT(E430,FIND("/",E430)-1))), "NA"))</f>
        <v/>
      </c>
      <c r="K430" s="79">
        <f>IF(A430&lt;&gt;"", IF(ISBLANK(L430), TODAY(), K430), "")</f>
        <v/>
      </c>
      <c r="L430" s="78" t="n"/>
      <c r="M430" s="78">
        <f>IF(ISBLANK(L430),"",IF(D430="Stock",IF(C430="Buy",L430*G430,IF(C430="Sell",(L430*G430)-I430, X)),IF(C430="Buy",(L430*G430*100)+I430,IF(C430="Sell",(L430*G430*100)-I430, X))))</f>
        <v/>
      </c>
      <c r="N430" s="78">
        <f>IF(ISBLANK(L430),"",IF(AND(C430="Sell",D430="Stock"),M430,IF(ISBLANK(L430),"",IF(C430="Buy",M430, IF(AND(C430="Sell",J430="NA"),(E430*G430*100*0.1)+I430, IF(C430="Sell",(J430-L430)*(100*G430)+I430))))))</f>
        <v/>
      </c>
      <c r="O430" s="75" t="n"/>
      <c r="P430" s="75" t="n"/>
      <c r="Q430" s="75">
        <f>IF(ISBLANK(P430),"",IF(D430="Stock",P430*G430,IF(P430=0,"0",G430*P430*100-(G430*$AF$14))))</f>
        <v/>
      </c>
      <c r="R430" s="79">
        <f>IF(P430&lt;&gt;"", TODAY(), "")</f>
        <v/>
      </c>
      <c r="S430" s="78">
        <f>IF(AND(K430&lt;&gt;"", R430&lt;&gt;""), R430-K430, "")</f>
        <v/>
      </c>
      <c r="T430" s="78" t="n"/>
      <c r="U430" s="92">
        <f>IF(ISBLANK(P430),"",IF(C430="Buy",Q430-M430+T430, IF(C430="Sell",M430-Q430-T430, X)))</f>
        <v/>
      </c>
      <c r="V430" s="81">
        <f>IF(ISBLANK(P430),"",U430/N430)</f>
        <v/>
      </c>
      <c r="W430" s="81">
        <f>IF(ISBLANK(P430),"",IF(S430=0,(365/0.5)*V430,(365/S430)*V430))</f>
        <v/>
      </c>
      <c r="X430" s="75" t="n"/>
      <c r="Y430" s="77" t="n"/>
      <c r="Z430" s="77" t="n"/>
      <c r="AA430" s="75" t="n"/>
      <c r="AB430" s="75" t="n"/>
      <c r="AC430" s="6" t="n"/>
      <c r="AD430" s="75" t="n"/>
      <c r="AE430" s="75" t="n"/>
      <c r="AF430" s="75" t="n"/>
    </row>
    <row r="431" ht="15.75" customHeight="1" s="133">
      <c r="A431" s="75" t="n"/>
      <c r="B431" s="75" t="n"/>
      <c r="C431" s="75" t="n"/>
      <c r="D431" s="75" t="n"/>
      <c r="E431" s="76" t="n"/>
      <c r="F431" s="77" t="n"/>
      <c r="G431" s="75" t="n"/>
      <c r="H431" s="75">
        <f>IF(ISBLANK(E431),"",IF(OR(D431="Butterfly",D431="Butterfly ",D431="Iron Fly", D431="Iron Fly "),LEN(E431)-LEN(SUBSTITUTE(E431,"/",""))+2,LEN(E431)-LEN(SUBSTITUTE(E431,"/",""))+1))</f>
        <v/>
      </c>
      <c r="I431" s="78">
        <f>IF(ISBLANK(G431),"",IF(D431="Stock","0",Key!$A$3*H431*G431))</f>
        <v/>
      </c>
      <c r="J431" s="78">
        <f>IF(ISBLANK(E431),"",IF(ISNUMBER(SEARCH("/",E431)), IF(LEN(E431)-LEN(SUBSTITUTE(E431,"/",""))=1,(RIGHT(E431,LEN(E431)-FIND("/",E431)))-(LEFT(E431,FIND("/",E431)-1)),(MID(E431, SEARCH("/",E431) + 1, SEARCH("/",E431, SEARCH("/",E431)+1) - SEARCH("/",E431) - 1))-(LEFT(E431,FIND("/",E431)-1))), "NA"))</f>
        <v/>
      </c>
      <c r="K431" s="79">
        <f>IF(A431&lt;&gt;"", IF(ISBLANK(L431), TODAY(), K431), "")</f>
        <v/>
      </c>
      <c r="L431" s="78" t="n"/>
      <c r="M431" s="78">
        <f>IF(ISBLANK(L431),"",IF(D431="Stock",IF(C431="Buy",L431*G431,IF(C431="Sell",(L431*G431)-I431, X)),IF(C431="Buy",(L431*G431*100)+I431,IF(C431="Sell",(L431*G431*100)-I431, X))))</f>
        <v/>
      </c>
      <c r="N431" s="78">
        <f>IF(ISBLANK(L431),"",IF(AND(C431="Sell",D431="Stock"),M431,IF(ISBLANK(L431),"",IF(C431="Buy",M431, IF(AND(C431="Sell",J431="NA"),(E431*G431*100*0.1)+I431, IF(C431="Sell",(J431-L431)*(100*G431)+I431))))))</f>
        <v/>
      </c>
      <c r="O431" s="75" t="n"/>
      <c r="P431" s="75" t="n"/>
      <c r="Q431" s="75">
        <f>IF(ISBLANK(P431),"",IF(D431="Stock",P431*G431,IF(P431=0,"0",G431*P431*100-(G431*$AF$14))))</f>
        <v/>
      </c>
      <c r="R431" s="79">
        <f>IF(P431&lt;&gt;"", TODAY(), "")</f>
        <v/>
      </c>
      <c r="S431" s="78">
        <f>IF(AND(K431&lt;&gt;"", R431&lt;&gt;""), R431-K431, "")</f>
        <v/>
      </c>
      <c r="T431" s="78" t="n"/>
      <c r="U431" s="92">
        <f>IF(ISBLANK(P431),"",IF(C431="Buy",Q431-M431+T431, IF(C431="Sell",M431-Q431-T431, X)))</f>
        <v/>
      </c>
      <c r="V431" s="81">
        <f>IF(ISBLANK(P431),"",U431/N431)</f>
        <v/>
      </c>
      <c r="W431" s="81">
        <f>IF(ISBLANK(P431),"",IF(S431=0,(365/0.5)*V431,(365/S431)*V431))</f>
        <v/>
      </c>
      <c r="X431" s="75" t="n"/>
      <c r="Y431" s="77" t="n"/>
      <c r="Z431" s="77" t="n"/>
      <c r="AA431" s="75" t="n"/>
      <c r="AB431" s="75" t="n"/>
      <c r="AC431" s="6" t="n"/>
      <c r="AD431" s="75" t="n"/>
      <c r="AE431" s="75" t="n"/>
      <c r="AF431" s="75" t="n"/>
    </row>
    <row r="432" ht="15.75" customHeight="1" s="133">
      <c r="A432" s="75" t="n"/>
      <c r="B432" s="75" t="n"/>
      <c r="C432" s="75" t="n"/>
      <c r="D432" s="75" t="n"/>
      <c r="E432" s="76" t="n"/>
      <c r="F432" s="77" t="n"/>
      <c r="G432" s="75" t="n"/>
      <c r="H432" s="75">
        <f>IF(ISBLANK(E432),"",IF(OR(D432="Butterfly",D432="Butterfly ",D432="Iron Fly", D432="Iron Fly "),LEN(E432)-LEN(SUBSTITUTE(E432,"/",""))+2,LEN(E432)-LEN(SUBSTITUTE(E432,"/",""))+1))</f>
        <v/>
      </c>
      <c r="I432" s="78">
        <f>IF(ISBLANK(G432),"",IF(D432="Stock","0",Key!$A$3*H432*G432))</f>
        <v/>
      </c>
      <c r="J432" s="78">
        <f>IF(ISBLANK(E432),"",IF(ISNUMBER(SEARCH("/",E432)), IF(LEN(E432)-LEN(SUBSTITUTE(E432,"/",""))=1,(RIGHT(E432,LEN(E432)-FIND("/",E432)))-(LEFT(E432,FIND("/",E432)-1)),(MID(E432, SEARCH("/",E432) + 1, SEARCH("/",E432, SEARCH("/",E432)+1) - SEARCH("/",E432) - 1))-(LEFT(E432,FIND("/",E432)-1))), "NA"))</f>
        <v/>
      </c>
      <c r="K432" s="79">
        <f>IF(A432&lt;&gt;"", IF(ISBLANK(L432), TODAY(), K432), "")</f>
        <v/>
      </c>
      <c r="L432" s="78" t="n"/>
      <c r="M432" s="78">
        <f>IF(ISBLANK(L432),"",IF(D432="Stock",IF(C432="Buy",L432*G432,IF(C432="Sell",(L432*G432)-I432, X)),IF(C432="Buy",(L432*G432*100)+I432,IF(C432="Sell",(L432*G432*100)-I432, X))))</f>
        <v/>
      </c>
      <c r="N432" s="78">
        <f>IF(ISBLANK(L432),"",IF(AND(C432="Sell",D432="Stock"),M432,IF(ISBLANK(L432),"",IF(C432="Buy",M432, IF(AND(C432="Sell",J432="NA"),(E432*G432*100*0.1)+I432, IF(C432="Sell",(J432-L432)*(100*G432)+I432))))))</f>
        <v/>
      </c>
      <c r="O432" s="75" t="n"/>
      <c r="P432" s="75" t="n"/>
      <c r="Q432" s="75">
        <f>IF(ISBLANK(P432),"",IF(D432="Stock",P432*G432,IF(P432=0,"0",G432*P432*100-(G432*$AF$14))))</f>
        <v/>
      </c>
      <c r="R432" s="79">
        <f>IF(P432&lt;&gt;"", TODAY(), "")</f>
        <v/>
      </c>
      <c r="S432" s="78">
        <f>IF(AND(K432&lt;&gt;"", R432&lt;&gt;""), R432-K432, "")</f>
        <v/>
      </c>
      <c r="T432" s="78" t="n"/>
      <c r="U432" s="92">
        <f>IF(ISBLANK(P432),"",IF(C432="Buy",Q432-M432+T432, IF(C432="Sell",M432-Q432-T432, X)))</f>
        <v/>
      </c>
      <c r="V432" s="81">
        <f>IF(ISBLANK(P432),"",U432/N432)</f>
        <v/>
      </c>
      <c r="W432" s="81">
        <f>IF(ISBLANK(P432),"",IF(S432=0,(365/0.5)*V432,(365/S432)*V432))</f>
        <v/>
      </c>
      <c r="X432" s="75" t="n"/>
      <c r="Y432" s="77" t="n"/>
      <c r="Z432" s="77" t="n"/>
      <c r="AA432" s="75" t="n"/>
      <c r="AB432" s="75" t="n"/>
      <c r="AC432" s="6" t="n"/>
      <c r="AD432" s="75" t="n"/>
      <c r="AE432" s="75" t="n"/>
      <c r="AF432" s="75" t="n"/>
    </row>
    <row r="433" ht="15.75" customHeight="1" s="133">
      <c r="A433" s="75" t="n"/>
      <c r="B433" s="75" t="n"/>
      <c r="C433" s="75" t="n"/>
      <c r="D433" s="75" t="n"/>
      <c r="E433" s="76" t="n"/>
      <c r="F433" s="77" t="n"/>
      <c r="G433" s="75" t="n"/>
      <c r="H433" s="75">
        <f>IF(ISBLANK(E433),"",IF(OR(D433="Butterfly",D433="Butterfly ",D433="Iron Fly", D433="Iron Fly "),LEN(E433)-LEN(SUBSTITUTE(E433,"/",""))+2,LEN(E433)-LEN(SUBSTITUTE(E433,"/",""))+1))</f>
        <v/>
      </c>
      <c r="I433" s="78">
        <f>IF(ISBLANK(G433),"",IF(D433="Stock","0",Key!$A$3*H433*G433))</f>
        <v/>
      </c>
      <c r="J433" s="78">
        <f>IF(ISBLANK(E433),"",IF(ISNUMBER(SEARCH("/",E433)), IF(LEN(E433)-LEN(SUBSTITUTE(E433,"/",""))=1,(RIGHT(E433,LEN(E433)-FIND("/",E433)))-(LEFT(E433,FIND("/",E433)-1)),(MID(E433, SEARCH("/",E433) + 1, SEARCH("/",E433, SEARCH("/",E433)+1) - SEARCH("/",E433) - 1))-(LEFT(E433,FIND("/",E433)-1))), "NA"))</f>
        <v/>
      </c>
      <c r="K433" s="79">
        <f>IF(A433&lt;&gt;"", IF(ISBLANK(L433), TODAY(), K433), "")</f>
        <v/>
      </c>
      <c r="L433" s="78" t="n"/>
      <c r="M433" s="78">
        <f>IF(ISBLANK(L433),"",IF(D433="Stock",IF(C433="Buy",L433*G433,IF(C433="Sell",(L433*G433)-I433, X)),IF(C433="Buy",(L433*G433*100)+I433,IF(C433="Sell",(L433*G433*100)-I433, X))))</f>
        <v/>
      </c>
      <c r="N433" s="78">
        <f>IF(ISBLANK(L433),"",IF(AND(C433="Sell",D433="Stock"),M433,IF(ISBLANK(L433),"",IF(C433="Buy",M433, IF(AND(C433="Sell",J433="NA"),(E433*G433*100*0.1)+I433, IF(C433="Sell",(J433-L433)*(100*G433)+I433))))))</f>
        <v/>
      </c>
      <c r="O433" s="75" t="n"/>
      <c r="P433" s="75" t="n"/>
      <c r="Q433" s="75">
        <f>IF(ISBLANK(P433),"",IF(D433="Stock",P433*G433,IF(P433=0,"0",G433*P433*100-(G433*$AF$14))))</f>
        <v/>
      </c>
      <c r="R433" s="79">
        <f>IF(P433&lt;&gt;"", TODAY(), "")</f>
        <v/>
      </c>
      <c r="S433" s="78">
        <f>IF(AND(K433&lt;&gt;"", R433&lt;&gt;""), R433-K433, "")</f>
        <v/>
      </c>
      <c r="T433" s="78" t="n"/>
      <c r="U433" s="92">
        <f>IF(ISBLANK(P433),"",IF(C433="Buy",Q433-M433+T433, IF(C433="Sell",M433-Q433-T433, X)))</f>
        <v/>
      </c>
      <c r="V433" s="81">
        <f>IF(ISBLANK(P433),"",U433/N433)</f>
        <v/>
      </c>
      <c r="W433" s="81">
        <f>IF(ISBLANK(P433),"",IF(S433=0,(365/0.5)*V433,(365/S433)*V433))</f>
        <v/>
      </c>
      <c r="X433" s="75" t="n"/>
      <c r="Y433" s="77" t="n"/>
      <c r="Z433" s="77" t="n"/>
      <c r="AA433" s="75" t="n"/>
      <c r="AB433" s="75" t="n"/>
      <c r="AC433" s="6" t="n"/>
      <c r="AD433" s="75" t="n"/>
      <c r="AE433" s="75" t="n"/>
      <c r="AF433" s="75" t="n"/>
    </row>
    <row r="434" ht="15.75" customHeight="1" s="133">
      <c r="A434" s="75" t="n"/>
      <c r="B434" s="75" t="n"/>
      <c r="C434" s="75" t="n"/>
      <c r="D434" s="75" t="n"/>
      <c r="E434" s="76" t="n"/>
      <c r="F434" s="77" t="n"/>
      <c r="G434" s="75" t="n"/>
      <c r="H434" s="75">
        <f>IF(ISBLANK(E434),"",IF(OR(D434="Butterfly",D434="Butterfly ",D434="Iron Fly", D434="Iron Fly "),LEN(E434)-LEN(SUBSTITUTE(E434,"/",""))+2,LEN(E434)-LEN(SUBSTITUTE(E434,"/",""))+1))</f>
        <v/>
      </c>
      <c r="I434" s="78">
        <f>IF(ISBLANK(G434),"",IF(D434="Stock","0",Key!$A$3*H434*G434))</f>
        <v/>
      </c>
      <c r="J434" s="78">
        <f>IF(ISBLANK(E434),"",IF(ISNUMBER(SEARCH("/",E434)), IF(LEN(E434)-LEN(SUBSTITUTE(E434,"/",""))=1,(RIGHT(E434,LEN(E434)-FIND("/",E434)))-(LEFT(E434,FIND("/",E434)-1)),(MID(E434, SEARCH("/",E434) + 1, SEARCH("/",E434, SEARCH("/",E434)+1) - SEARCH("/",E434) - 1))-(LEFT(E434,FIND("/",E434)-1))), "NA"))</f>
        <v/>
      </c>
      <c r="K434" s="79">
        <f>IF(A434&lt;&gt;"", IF(ISBLANK(L434), TODAY(), K434), "")</f>
        <v/>
      </c>
      <c r="L434" s="78" t="n"/>
      <c r="M434" s="78">
        <f>IF(ISBLANK(L434),"",IF(D434="Stock",IF(C434="Buy",L434*G434,IF(C434="Sell",(L434*G434)-I434, X)),IF(C434="Buy",(L434*G434*100)+I434,IF(C434="Sell",(L434*G434*100)-I434, X))))</f>
        <v/>
      </c>
      <c r="N434" s="78">
        <f>IF(ISBLANK(L434),"",IF(AND(C434="Sell",D434="Stock"),M434,IF(ISBLANK(L434),"",IF(C434="Buy",M434, IF(AND(C434="Sell",J434="NA"),(E434*G434*100*0.1)+I434, IF(C434="Sell",(J434-L434)*(100*G434)+I434))))))</f>
        <v/>
      </c>
      <c r="O434" s="75" t="n"/>
      <c r="P434" s="75" t="n"/>
      <c r="Q434" s="75">
        <f>IF(ISBLANK(P434),"",IF(D434="Stock",P434*G434,IF(P434=0,"0",G434*P434*100-(G434*$AF$14))))</f>
        <v/>
      </c>
      <c r="R434" s="79">
        <f>IF(P434&lt;&gt;"", TODAY(), "")</f>
        <v/>
      </c>
      <c r="S434" s="78">
        <f>IF(AND(K434&lt;&gt;"", R434&lt;&gt;""), R434-K434, "")</f>
        <v/>
      </c>
      <c r="T434" s="78" t="n"/>
      <c r="U434" s="92">
        <f>IF(ISBLANK(P434),"",IF(C434="Buy",Q434-M434+T434, IF(C434="Sell",M434-Q434-T434, X)))</f>
        <v/>
      </c>
      <c r="V434" s="81">
        <f>IF(ISBLANK(P434),"",U434/N434)</f>
        <v/>
      </c>
      <c r="W434" s="81">
        <f>IF(ISBLANK(P434),"",IF(S434=0,(365/0.5)*V434,(365/S434)*V434))</f>
        <v/>
      </c>
      <c r="X434" s="75" t="n"/>
      <c r="Y434" s="77" t="n"/>
      <c r="Z434" s="77" t="n"/>
      <c r="AA434" s="75" t="n"/>
      <c r="AB434" s="75" t="n"/>
      <c r="AC434" s="6" t="n"/>
      <c r="AD434" s="75" t="n"/>
      <c r="AE434" s="75" t="n"/>
      <c r="AF434" s="75" t="n"/>
    </row>
    <row r="435" ht="15.75" customHeight="1" s="133">
      <c r="A435" s="75" t="n"/>
      <c r="B435" s="75" t="n"/>
      <c r="C435" s="75" t="n"/>
      <c r="D435" s="75" t="n"/>
      <c r="E435" s="76" t="n"/>
      <c r="F435" s="77" t="n"/>
      <c r="G435" s="75" t="n"/>
      <c r="H435" s="75">
        <f>IF(ISBLANK(E435),"",IF(OR(D435="Butterfly",D435="Butterfly ",D435="Iron Fly", D435="Iron Fly "),LEN(E435)-LEN(SUBSTITUTE(E435,"/",""))+2,LEN(E435)-LEN(SUBSTITUTE(E435,"/",""))+1))</f>
        <v/>
      </c>
      <c r="I435" s="78">
        <f>IF(ISBLANK(G435),"",IF(D435="Stock","0",Key!$A$3*H435*G435))</f>
        <v/>
      </c>
      <c r="J435" s="78">
        <f>IF(ISBLANK(E435),"",IF(ISNUMBER(SEARCH("/",E435)), IF(LEN(E435)-LEN(SUBSTITUTE(E435,"/",""))=1,(RIGHT(E435,LEN(E435)-FIND("/",E435)))-(LEFT(E435,FIND("/",E435)-1)),(MID(E435, SEARCH("/",E435) + 1, SEARCH("/",E435, SEARCH("/",E435)+1) - SEARCH("/",E435) - 1))-(LEFT(E435,FIND("/",E435)-1))), "NA"))</f>
        <v/>
      </c>
      <c r="K435" s="79">
        <f>IF(A435&lt;&gt;"", IF(ISBLANK(L435), TODAY(), K435), "")</f>
        <v/>
      </c>
      <c r="L435" s="78" t="n"/>
      <c r="M435" s="78">
        <f>IF(ISBLANK(L435),"",IF(D435="Stock",IF(C435="Buy",L435*G435,IF(C435="Sell",(L435*G435)-I435, X)),IF(C435="Buy",(L435*G435*100)+I435,IF(C435="Sell",(L435*G435*100)-I435, X))))</f>
        <v/>
      </c>
      <c r="N435" s="78">
        <f>IF(ISBLANK(L435),"",IF(AND(C435="Sell",D435="Stock"),M435,IF(ISBLANK(L435),"",IF(C435="Buy",M435, IF(AND(C435="Sell",J435="NA"),(E435*G435*100*0.1)+I435, IF(C435="Sell",(J435-L435)*(100*G435)+I435))))))</f>
        <v/>
      </c>
      <c r="O435" s="75" t="n"/>
      <c r="P435" s="75" t="n"/>
      <c r="Q435" s="75">
        <f>IF(ISBLANK(P435),"",IF(D435="Stock",P435*G435,IF(P435=0,"0",G435*P435*100-(G435*$AF$14))))</f>
        <v/>
      </c>
      <c r="R435" s="79">
        <f>IF(P435&lt;&gt;"", TODAY(), "")</f>
        <v/>
      </c>
      <c r="S435" s="78">
        <f>IF(AND(K435&lt;&gt;"", R435&lt;&gt;""), R435-K435, "")</f>
        <v/>
      </c>
      <c r="T435" s="78" t="n"/>
      <c r="U435" s="92">
        <f>IF(ISBLANK(P435),"",IF(C435="Buy",Q435-M435+T435, IF(C435="Sell",M435-Q435-T435, X)))</f>
        <v/>
      </c>
      <c r="V435" s="81">
        <f>IF(ISBLANK(P435),"",U435/N435)</f>
        <v/>
      </c>
      <c r="W435" s="81">
        <f>IF(ISBLANK(P435),"",IF(S435=0,(365/0.5)*V435,(365/S435)*V435))</f>
        <v/>
      </c>
      <c r="X435" s="75" t="n"/>
      <c r="Y435" s="77" t="n"/>
      <c r="Z435" s="77" t="n"/>
      <c r="AA435" s="75" t="n"/>
      <c r="AB435" s="75" t="n"/>
      <c r="AC435" s="6" t="n"/>
      <c r="AD435" s="75" t="n"/>
      <c r="AE435" s="75" t="n"/>
      <c r="AF435" s="75" t="n"/>
    </row>
    <row r="436" ht="15.75" customHeight="1" s="133">
      <c r="A436" s="75" t="n"/>
      <c r="B436" s="75" t="n"/>
      <c r="C436" s="75" t="n"/>
      <c r="D436" s="75" t="n"/>
      <c r="E436" s="76" t="n"/>
      <c r="F436" s="77" t="n"/>
      <c r="G436" s="75" t="n"/>
      <c r="H436" s="75">
        <f>IF(ISBLANK(E436),"",IF(OR(D436="Butterfly",D436="Butterfly ",D436="Iron Fly", D436="Iron Fly "),LEN(E436)-LEN(SUBSTITUTE(E436,"/",""))+2,LEN(E436)-LEN(SUBSTITUTE(E436,"/",""))+1))</f>
        <v/>
      </c>
      <c r="I436" s="78">
        <f>IF(ISBLANK(G436),"",IF(D436="Stock","0",Key!$A$3*H436*G436))</f>
        <v/>
      </c>
      <c r="J436" s="78">
        <f>IF(ISBLANK(E436),"",IF(ISNUMBER(SEARCH("/",E436)), IF(LEN(E436)-LEN(SUBSTITUTE(E436,"/",""))=1,(RIGHT(E436,LEN(E436)-FIND("/",E436)))-(LEFT(E436,FIND("/",E436)-1)),(MID(E436, SEARCH("/",E436) + 1, SEARCH("/",E436, SEARCH("/",E436)+1) - SEARCH("/",E436) - 1))-(LEFT(E436,FIND("/",E436)-1))), "NA"))</f>
        <v/>
      </c>
      <c r="K436" s="79">
        <f>IF(A436&lt;&gt;"", IF(ISBLANK(L436), TODAY(), K436), "")</f>
        <v/>
      </c>
      <c r="L436" s="78" t="n"/>
      <c r="M436" s="78">
        <f>IF(ISBLANK(L436),"",IF(D436="Stock",IF(C436="Buy",L436*G436,IF(C436="Sell",(L436*G436)-I436, X)),IF(C436="Buy",(L436*G436*100)+I436,IF(C436="Sell",(L436*G436*100)-I436, X))))</f>
        <v/>
      </c>
      <c r="N436" s="78">
        <f>IF(ISBLANK(L436),"",IF(AND(C436="Sell",D436="Stock"),M436,IF(ISBLANK(L436),"",IF(C436="Buy",M436, IF(AND(C436="Sell",J436="NA"),(E436*G436*100*0.1)+I436, IF(C436="Sell",(J436-L436)*(100*G436)+I436))))))</f>
        <v/>
      </c>
      <c r="O436" s="75" t="n"/>
      <c r="P436" s="75" t="n"/>
      <c r="Q436" s="75">
        <f>IF(ISBLANK(P436),"",IF(D436="Stock",P436*G436,IF(P436=0,"0",G436*P436*100-(G436*$AF$14))))</f>
        <v/>
      </c>
      <c r="R436" s="79">
        <f>IF(P436&lt;&gt;"", TODAY(), "")</f>
        <v/>
      </c>
      <c r="S436" s="78">
        <f>IF(AND(K436&lt;&gt;"", R436&lt;&gt;""), R436-K436, "")</f>
        <v/>
      </c>
      <c r="T436" s="78" t="n"/>
      <c r="U436" s="92">
        <f>IF(ISBLANK(P436),"",IF(C436="Buy",Q436-M436+T436, IF(C436="Sell",M436-Q436-T436, X)))</f>
        <v/>
      </c>
      <c r="V436" s="81">
        <f>IF(ISBLANK(P436),"",U436/N436)</f>
        <v/>
      </c>
      <c r="W436" s="81">
        <f>IF(ISBLANK(P436),"",IF(S436=0,(365/0.5)*V436,(365/S436)*V436))</f>
        <v/>
      </c>
      <c r="X436" s="75" t="n"/>
      <c r="Y436" s="77" t="n"/>
      <c r="Z436" s="77" t="n"/>
      <c r="AA436" s="75" t="n"/>
      <c r="AB436" s="75" t="n"/>
      <c r="AC436" s="6" t="n"/>
      <c r="AD436" s="75" t="n"/>
      <c r="AE436" s="75" t="n"/>
      <c r="AF436" s="75" t="n"/>
    </row>
    <row r="437" ht="15.75" customHeight="1" s="133">
      <c r="A437" s="75" t="n"/>
      <c r="B437" s="75" t="n"/>
      <c r="C437" s="75" t="n"/>
      <c r="D437" s="75" t="n"/>
      <c r="E437" s="76" t="n"/>
      <c r="F437" s="77" t="n"/>
      <c r="G437" s="75" t="n"/>
      <c r="H437" s="75">
        <f>IF(ISBLANK(E437),"",IF(OR(D437="Butterfly",D437="Butterfly ",D437="Iron Fly", D437="Iron Fly "),LEN(E437)-LEN(SUBSTITUTE(E437,"/",""))+2,LEN(E437)-LEN(SUBSTITUTE(E437,"/",""))+1))</f>
        <v/>
      </c>
      <c r="I437" s="78">
        <f>IF(ISBLANK(G437),"",IF(D437="Stock","0",Key!$A$3*H437*G437))</f>
        <v/>
      </c>
      <c r="J437" s="78">
        <f>IF(ISBLANK(E437),"",IF(ISNUMBER(SEARCH("/",E437)), IF(LEN(E437)-LEN(SUBSTITUTE(E437,"/",""))=1,(RIGHT(E437,LEN(E437)-FIND("/",E437)))-(LEFT(E437,FIND("/",E437)-1)),(MID(E437, SEARCH("/",E437) + 1, SEARCH("/",E437, SEARCH("/",E437)+1) - SEARCH("/",E437) - 1))-(LEFT(E437,FIND("/",E437)-1))), "NA"))</f>
        <v/>
      </c>
      <c r="K437" s="79">
        <f>IF(A437&lt;&gt;"", IF(ISBLANK(L437), TODAY(), K437), "")</f>
        <v/>
      </c>
      <c r="L437" s="78" t="n"/>
      <c r="M437" s="78">
        <f>IF(ISBLANK(L437),"",IF(D437="Stock",IF(C437="Buy",L437*G437,IF(C437="Sell",(L437*G437)-I437, X)),IF(C437="Buy",(L437*G437*100)+I437,IF(C437="Sell",(L437*G437*100)-I437, X))))</f>
        <v/>
      </c>
      <c r="N437" s="78">
        <f>IF(ISBLANK(L437),"",IF(AND(C437="Sell",D437="Stock"),M437,IF(ISBLANK(L437),"",IF(C437="Buy",M437, IF(AND(C437="Sell",J437="NA"),(E437*G437*100*0.1)+I437, IF(C437="Sell",(J437-L437)*(100*G437)+I437))))))</f>
        <v/>
      </c>
      <c r="O437" s="75" t="n"/>
      <c r="P437" s="75" t="n"/>
      <c r="Q437" s="75">
        <f>IF(ISBLANK(P437),"",IF(D437="Stock",P437*G437,IF(P437=0,"0",G437*P437*100-(G437*$AF$14))))</f>
        <v/>
      </c>
      <c r="R437" s="79">
        <f>IF(P437&lt;&gt;"", TODAY(), "")</f>
        <v/>
      </c>
      <c r="S437" s="78">
        <f>IF(AND(K437&lt;&gt;"", R437&lt;&gt;""), R437-K437, "")</f>
        <v/>
      </c>
      <c r="T437" s="78" t="n"/>
      <c r="U437" s="92">
        <f>IF(ISBLANK(P437),"",IF(C437="Buy",Q437-M437+T437, IF(C437="Sell",M437-Q437-T437, X)))</f>
        <v/>
      </c>
      <c r="V437" s="81">
        <f>IF(ISBLANK(P437),"",U437/N437)</f>
        <v/>
      </c>
      <c r="W437" s="81">
        <f>IF(ISBLANK(P437),"",IF(S437=0,(365/0.5)*V437,(365/S437)*V437))</f>
        <v/>
      </c>
      <c r="X437" s="75" t="n"/>
      <c r="Y437" s="77" t="n"/>
      <c r="Z437" s="77" t="n"/>
      <c r="AA437" s="75" t="n"/>
      <c r="AB437" s="75" t="n"/>
      <c r="AC437" s="6" t="n"/>
      <c r="AD437" s="75" t="n"/>
      <c r="AE437" s="75" t="n"/>
      <c r="AF437" s="75" t="n"/>
    </row>
    <row r="438" ht="15.75" customHeight="1" s="133">
      <c r="A438" s="75" t="n"/>
      <c r="B438" s="75" t="n"/>
      <c r="C438" s="75" t="n"/>
      <c r="D438" s="75" t="n"/>
      <c r="E438" s="76" t="n"/>
      <c r="F438" s="77" t="n"/>
      <c r="G438" s="75" t="n"/>
      <c r="H438" s="75">
        <f>IF(ISBLANK(E438),"",IF(OR(D438="Butterfly",D438="Butterfly ",D438="Iron Fly", D438="Iron Fly "),LEN(E438)-LEN(SUBSTITUTE(E438,"/",""))+2,LEN(E438)-LEN(SUBSTITUTE(E438,"/",""))+1))</f>
        <v/>
      </c>
      <c r="I438" s="78">
        <f>IF(ISBLANK(G438),"",IF(D438="Stock","0",Key!$A$3*H438*G438))</f>
        <v/>
      </c>
      <c r="J438" s="78">
        <f>IF(ISBLANK(E438),"",IF(ISNUMBER(SEARCH("/",E438)), IF(LEN(E438)-LEN(SUBSTITUTE(E438,"/",""))=1,(RIGHT(E438,LEN(E438)-FIND("/",E438)))-(LEFT(E438,FIND("/",E438)-1)),(MID(E438, SEARCH("/",E438) + 1, SEARCH("/",E438, SEARCH("/",E438)+1) - SEARCH("/",E438) - 1))-(LEFT(E438,FIND("/",E438)-1))), "NA"))</f>
        <v/>
      </c>
      <c r="K438" s="79">
        <f>IF(A438&lt;&gt;"", IF(ISBLANK(L438), TODAY(), K438), "")</f>
        <v/>
      </c>
      <c r="L438" s="78" t="n"/>
      <c r="M438" s="78">
        <f>IF(ISBLANK(L438),"",IF(D438="Stock",IF(C438="Buy",L438*G438,IF(C438="Sell",(L438*G438)-I438, X)),IF(C438="Buy",(L438*G438*100)+I438,IF(C438="Sell",(L438*G438*100)-I438, X))))</f>
        <v/>
      </c>
      <c r="N438" s="78">
        <f>IF(ISBLANK(L438),"",IF(AND(C438="Sell",D438="Stock"),M438,IF(ISBLANK(L438),"",IF(C438="Buy",M438, IF(AND(C438="Sell",J438="NA"),(E438*G438*100*0.1)+I438, IF(C438="Sell",(J438-L438)*(100*G438)+I438))))))</f>
        <v/>
      </c>
      <c r="O438" s="75" t="n"/>
      <c r="P438" s="75" t="n"/>
      <c r="Q438" s="75">
        <f>IF(ISBLANK(P438),"",IF(D438="Stock",P438*G438,IF(P438=0,"0",G438*P438*100-(G438*$AF$14))))</f>
        <v/>
      </c>
      <c r="R438" s="79">
        <f>IF(P438&lt;&gt;"", TODAY(), "")</f>
        <v/>
      </c>
      <c r="S438" s="78">
        <f>IF(AND(K438&lt;&gt;"", R438&lt;&gt;""), R438-K438, "")</f>
        <v/>
      </c>
      <c r="T438" s="78" t="n"/>
      <c r="U438" s="92">
        <f>IF(ISBLANK(P438),"",IF(C438="Buy",Q438-M438+T438, IF(C438="Sell",M438-Q438-T438, X)))</f>
        <v/>
      </c>
      <c r="V438" s="81">
        <f>IF(ISBLANK(P438),"",U438/N438)</f>
        <v/>
      </c>
      <c r="W438" s="81">
        <f>IF(ISBLANK(P438),"",IF(S438=0,(365/0.5)*V438,(365/S438)*V438))</f>
        <v/>
      </c>
      <c r="X438" s="75" t="n"/>
      <c r="Y438" s="77" t="n"/>
      <c r="Z438" s="77" t="n"/>
      <c r="AA438" s="75" t="n"/>
      <c r="AB438" s="75" t="n"/>
      <c r="AC438" s="6" t="n"/>
      <c r="AD438" s="75" t="n"/>
      <c r="AE438" s="75" t="n"/>
      <c r="AF438" s="75" t="n"/>
    </row>
    <row r="439" ht="15.75" customHeight="1" s="133">
      <c r="A439" s="75" t="n"/>
      <c r="B439" s="75" t="n"/>
      <c r="C439" s="75" t="n"/>
      <c r="D439" s="75" t="n"/>
      <c r="E439" s="76" t="n"/>
      <c r="F439" s="77" t="n"/>
      <c r="G439" s="75" t="n"/>
      <c r="H439" s="75">
        <f>IF(ISBLANK(E439),"",IF(OR(D439="Butterfly",D439="Butterfly ",D439="Iron Fly", D439="Iron Fly "),LEN(E439)-LEN(SUBSTITUTE(E439,"/",""))+2,LEN(E439)-LEN(SUBSTITUTE(E439,"/",""))+1))</f>
        <v/>
      </c>
      <c r="I439" s="78">
        <f>IF(ISBLANK(G439),"",IF(D439="Stock","0",Key!$A$3*H439*G439))</f>
        <v/>
      </c>
      <c r="J439" s="78">
        <f>IF(ISBLANK(E439),"",IF(ISNUMBER(SEARCH("/",E439)), IF(LEN(E439)-LEN(SUBSTITUTE(E439,"/",""))=1,(RIGHT(E439,LEN(E439)-FIND("/",E439)))-(LEFT(E439,FIND("/",E439)-1)),(MID(E439, SEARCH("/",E439) + 1, SEARCH("/",E439, SEARCH("/",E439)+1) - SEARCH("/",E439) - 1))-(LEFT(E439,FIND("/",E439)-1))), "NA"))</f>
        <v/>
      </c>
      <c r="K439" s="79">
        <f>IF(A439&lt;&gt;"", IF(ISBLANK(L439), TODAY(), K439), "")</f>
        <v/>
      </c>
      <c r="L439" s="78" t="n"/>
      <c r="M439" s="78">
        <f>IF(ISBLANK(L439),"",IF(D439="Stock",IF(C439="Buy",L439*G439,IF(C439="Sell",(L439*G439)-I439, X)),IF(C439="Buy",(L439*G439*100)+I439,IF(C439="Sell",(L439*G439*100)-I439, X))))</f>
        <v/>
      </c>
      <c r="N439" s="78">
        <f>IF(ISBLANK(L439),"",IF(AND(C439="Sell",D439="Stock"),M439,IF(ISBLANK(L439),"",IF(C439="Buy",M439, IF(AND(C439="Sell",J439="NA"),(E439*G439*100*0.1)+I439, IF(C439="Sell",(J439-L439)*(100*G439)+I439))))))</f>
        <v/>
      </c>
      <c r="O439" s="75" t="n"/>
      <c r="P439" s="75" t="n"/>
      <c r="Q439" s="75">
        <f>IF(ISBLANK(P439),"",IF(D439="Stock",P439*G439,IF(P439=0,"0",G439*P439*100-(G439*$AF$14))))</f>
        <v/>
      </c>
      <c r="R439" s="79">
        <f>IF(P439&lt;&gt;"", TODAY(), "")</f>
        <v/>
      </c>
      <c r="S439" s="78">
        <f>IF(AND(K439&lt;&gt;"", R439&lt;&gt;""), R439-K439, "")</f>
        <v/>
      </c>
      <c r="T439" s="78" t="n"/>
      <c r="U439" s="92">
        <f>IF(ISBLANK(P439),"",IF(C439="Buy",Q439-M439+T439, IF(C439="Sell",M439-Q439-T439, X)))</f>
        <v/>
      </c>
      <c r="V439" s="81">
        <f>IF(ISBLANK(P439),"",U439/N439)</f>
        <v/>
      </c>
      <c r="W439" s="81">
        <f>IF(ISBLANK(P439),"",IF(S439=0,(365/0.5)*V439,(365/S439)*V439))</f>
        <v/>
      </c>
      <c r="X439" s="75" t="n"/>
      <c r="Y439" s="77" t="n"/>
      <c r="Z439" s="77" t="n"/>
      <c r="AA439" s="75" t="n"/>
      <c r="AB439" s="75" t="n"/>
      <c r="AC439" s="6" t="n"/>
      <c r="AD439" s="75" t="n"/>
      <c r="AE439" s="75" t="n"/>
      <c r="AF439" s="75" t="n"/>
    </row>
    <row r="440" ht="15.75" customHeight="1" s="133">
      <c r="A440" s="75" t="n"/>
      <c r="B440" s="75" t="n"/>
      <c r="C440" s="75" t="n"/>
      <c r="D440" s="75" t="n"/>
      <c r="E440" s="76" t="n"/>
      <c r="F440" s="77" t="n"/>
      <c r="G440" s="75" t="n"/>
      <c r="H440" s="75">
        <f>IF(ISBLANK(E440),"",IF(OR(D440="Butterfly",D440="Butterfly ",D440="Iron Fly", D440="Iron Fly "),LEN(E440)-LEN(SUBSTITUTE(E440,"/",""))+2,LEN(E440)-LEN(SUBSTITUTE(E440,"/",""))+1))</f>
        <v/>
      </c>
      <c r="I440" s="78">
        <f>IF(ISBLANK(G440),"",IF(D440="Stock","0",Key!$A$3*H440*G440))</f>
        <v/>
      </c>
      <c r="J440" s="78">
        <f>IF(ISBLANK(E440),"",IF(ISNUMBER(SEARCH("/",E440)), IF(LEN(E440)-LEN(SUBSTITUTE(E440,"/",""))=1,(RIGHT(E440,LEN(E440)-FIND("/",E440)))-(LEFT(E440,FIND("/",E440)-1)),(MID(E440, SEARCH("/",E440) + 1, SEARCH("/",E440, SEARCH("/",E440)+1) - SEARCH("/",E440) - 1))-(LEFT(E440,FIND("/",E440)-1))), "NA"))</f>
        <v/>
      </c>
      <c r="K440" s="79">
        <f>IF(A440&lt;&gt;"", IF(ISBLANK(L440), TODAY(), K440), "")</f>
        <v/>
      </c>
      <c r="L440" s="78" t="n"/>
      <c r="M440" s="78">
        <f>IF(ISBLANK(L440),"",IF(D440="Stock",IF(C440="Buy",L440*G440,IF(C440="Sell",(L440*G440)-I440, X)),IF(C440="Buy",(L440*G440*100)+I440,IF(C440="Sell",(L440*G440*100)-I440, X))))</f>
        <v/>
      </c>
      <c r="N440" s="78">
        <f>IF(ISBLANK(L440),"",IF(AND(C440="Sell",D440="Stock"),M440,IF(ISBLANK(L440),"",IF(C440="Buy",M440, IF(AND(C440="Sell",J440="NA"),(E440*G440*100*0.1)+I440, IF(C440="Sell",(J440-L440)*(100*G440)+I440))))))</f>
        <v/>
      </c>
      <c r="O440" s="75" t="n"/>
      <c r="P440" s="75" t="n"/>
      <c r="Q440" s="75">
        <f>IF(ISBLANK(P440),"",IF(D440="Stock",P440*G440,IF(P440=0,"0",G440*P440*100-(G440*$AF$14))))</f>
        <v/>
      </c>
      <c r="R440" s="79">
        <f>IF(P440&lt;&gt;"", TODAY(), "")</f>
        <v/>
      </c>
      <c r="S440" s="78">
        <f>IF(AND(K440&lt;&gt;"", R440&lt;&gt;""), R440-K440, "")</f>
        <v/>
      </c>
      <c r="T440" s="78" t="n"/>
      <c r="U440" s="92">
        <f>IF(ISBLANK(P440),"",IF(C440="Buy",Q440-M440+T440, IF(C440="Sell",M440-Q440-T440, X)))</f>
        <v/>
      </c>
      <c r="V440" s="81">
        <f>IF(ISBLANK(P440),"",U440/N440)</f>
        <v/>
      </c>
      <c r="W440" s="81">
        <f>IF(ISBLANK(P440),"",IF(S440=0,(365/0.5)*V440,(365/S440)*V440))</f>
        <v/>
      </c>
      <c r="X440" s="75" t="n"/>
      <c r="Y440" s="77" t="n"/>
      <c r="Z440" s="77" t="n"/>
      <c r="AA440" s="75" t="n"/>
      <c r="AB440" s="75" t="n"/>
      <c r="AC440" s="6" t="n"/>
      <c r="AD440" s="75" t="n"/>
      <c r="AE440" s="75" t="n"/>
      <c r="AF440" s="75" t="n"/>
    </row>
    <row r="441" ht="15.75" customHeight="1" s="133">
      <c r="A441" s="75" t="n"/>
      <c r="B441" s="75" t="n"/>
      <c r="C441" s="75" t="n"/>
      <c r="D441" s="75" t="n"/>
      <c r="E441" s="76" t="n"/>
      <c r="F441" s="77" t="n"/>
      <c r="G441" s="75" t="n"/>
      <c r="H441" s="75">
        <f>IF(ISBLANK(E441),"",IF(OR(D441="Butterfly",D441="Butterfly ",D441="Iron Fly", D441="Iron Fly "),LEN(E441)-LEN(SUBSTITUTE(E441,"/",""))+2,LEN(E441)-LEN(SUBSTITUTE(E441,"/",""))+1))</f>
        <v/>
      </c>
      <c r="I441" s="78">
        <f>IF(ISBLANK(G441),"",IF(D441="Stock","0",Key!$A$3*H441*G441))</f>
        <v/>
      </c>
      <c r="J441" s="78">
        <f>IF(ISBLANK(E441),"",IF(ISNUMBER(SEARCH("/",E441)), IF(LEN(E441)-LEN(SUBSTITUTE(E441,"/",""))=1,(RIGHT(E441,LEN(E441)-FIND("/",E441)))-(LEFT(E441,FIND("/",E441)-1)),(MID(E441, SEARCH("/",E441) + 1, SEARCH("/",E441, SEARCH("/",E441)+1) - SEARCH("/",E441) - 1))-(LEFT(E441,FIND("/",E441)-1))), "NA"))</f>
        <v/>
      </c>
      <c r="K441" s="79">
        <f>IF(A441&lt;&gt;"", IF(ISBLANK(L441), TODAY(), K441), "")</f>
        <v/>
      </c>
      <c r="L441" s="78" t="n"/>
      <c r="M441" s="78">
        <f>IF(ISBLANK(L441),"",IF(D441="Stock",IF(C441="Buy",L441*G441,IF(C441="Sell",(L441*G441)-I441, X)),IF(C441="Buy",(L441*G441*100)+I441,IF(C441="Sell",(L441*G441*100)-I441, X))))</f>
        <v/>
      </c>
      <c r="N441" s="78">
        <f>IF(ISBLANK(L441),"",IF(AND(C441="Sell",D441="Stock"),M441,IF(ISBLANK(L441),"",IF(C441="Buy",M441, IF(AND(C441="Sell",J441="NA"),(E441*G441*100*0.1)+I441, IF(C441="Sell",(J441-L441)*(100*G441)+I441))))))</f>
        <v/>
      </c>
      <c r="O441" s="75" t="n"/>
      <c r="P441" s="75" t="n"/>
      <c r="Q441" s="75">
        <f>IF(ISBLANK(P441),"",IF(D441="Stock",P441*G441,IF(P441=0,"0",G441*P441*100-(G441*$AF$14))))</f>
        <v/>
      </c>
      <c r="R441" s="79">
        <f>IF(P441&lt;&gt;"", TODAY(), "")</f>
        <v/>
      </c>
      <c r="S441" s="78">
        <f>IF(AND(K441&lt;&gt;"", R441&lt;&gt;""), R441-K441, "")</f>
        <v/>
      </c>
      <c r="T441" s="78" t="n"/>
      <c r="U441" s="92">
        <f>IF(ISBLANK(P441),"",IF(C441="Buy",Q441-M441+T441, IF(C441="Sell",M441-Q441-T441, X)))</f>
        <v/>
      </c>
      <c r="V441" s="81">
        <f>IF(ISBLANK(P441),"",U441/N441)</f>
        <v/>
      </c>
      <c r="W441" s="81">
        <f>IF(ISBLANK(P441),"",IF(S441=0,(365/0.5)*V441,(365/S441)*V441))</f>
        <v/>
      </c>
      <c r="X441" s="75" t="n"/>
      <c r="Y441" s="77" t="n"/>
      <c r="Z441" s="77" t="n"/>
      <c r="AA441" s="75" t="n"/>
      <c r="AB441" s="75" t="n"/>
      <c r="AC441" s="6" t="n"/>
      <c r="AD441" s="75" t="n"/>
      <c r="AE441" s="75" t="n"/>
      <c r="AF441" s="75" t="n"/>
    </row>
    <row r="442" ht="15.75" customHeight="1" s="133">
      <c r="A442" s="75" t="n"/>
      <c r="B442" s="75" t="n"/>
      <c r="C442" s="75" t="n"/>
      <c r="D442" s="75" t="n"/>
      <c r="E442" s="76" t="n"/>
      <c r="F442" s="77" t="n"/>
      <c r="G442" s="75" t="n"/>
      <c r="H442" s="75">
        <f>IF(ISBLANK(E442),"",IF(OR(D442="Butterfly",D442="Butterfly ",D442="Iron Fly", D442="Iron Fly "),LEN(E442)-LEN(SUBSTITUTE(E442,"/",""))+2,LEN(E442)-LEN(SUBSTITUTE(E442,"/",""))+1))</f>
        <v/>
      </c>
      <c r="I442" s="78">
        <f>IF(ISBLANK(G442),"",IF(D442="Stock","0",Key!$A$3*H442*G442))</f>
        <v/>
      </c>
      <c r="J442" s="78">
        <f>IF(ISBLANK(E442),"",IF(ISNUMBER(SEARCH("/",E442)), IF(LEN(E442)-LEN(SUBSTITUTE(E442,"/",""))=1,(RIGHT(E442,LEN(E442)-FIND("/",E442)))-(LEFT(E442,FIND("/",E442)-1)),(MID(E442, SEARCH("/",E442) + 1, SEARCH("/",E442, SEARCH("/",E442)+1) - SEARCH("/",E442) - 1))-(LEFT(E442,FIND("/",E442)-1))), "NA"))</f>
        <v/>
      </c>
      <c r="K442" s="79">
        <f>IF(A442&lt;&gt;"", IF(ISBLANK(L442), TODAY(), K442), "")</f>
        <v/>
      </c>
      <c r="L442" s="78" t="n"/>
      <c r="M442" s="78">
        <f>IF(ISBLANK(L442),"",IF(D442="Stock",IF(C442="Buy",L442*G442,IF(C442="Sell",(L442*G442)-I442, X)),IF(C442="Buy",(L442*G442*100)+I442,IF(C442="Sell",(L442*G442*100)-I442, X))))</f>
        <v/>
      </c>
      <c r="N442" s="78">
        <f>IF(ISBLANK(L442),"",IF(AND(C442="Sell",D442="Stock"),M442,IF(ISBLANK(L442),"",IF(C442="Buy",M442, IF(AND(C442="Sell",J442="NA"),(E442*G442*100*0.1)+I442, IF(C442="Sell",(J442-L442)*(100*G442)+I442))))))</f>
        <v/>
      </c>
      <c r="O442" s="75" t="n"/>
      <c r="P442" s="75" t="n"/>
      <c r="Q442" s="75">
        <f>IF(ISBLANK(P442),"",IF(D442="Stock",P442*G442,IF(P442=0,"0",G442*P442*100-(G442*$AF$14))))</f>
        <v/>
      </c>
      <c r="R442" s="79">
        <f>IF(P442&lt;&gt;"", TODAY(), "")</f>
        <v/>
      </c>
      <c r="S442" s="78">
        <f>IF(AND(K442&lt;&gt;"", R442&lt;&gt;""), R442-K442, "")</f>
        <v/>
      </c>
      <c r="T442" s="78" t="n"/>
      <c r="U442" s="92">
        <f>IF(ISBLANK(P442),"",IF(C442="Buy",Q442-M442+T442, IF(C442="Sell",M442-Q442-T442, X)))</f>
        <v/>
      </c>
      <c r="V442" s="81">
        <f>IF(ISBLANK(P442),"",U442/N442)</f>
        <v/>
      </c>
      <c r="W442" s="81">
        <f>IF(ISBLANK(P442),"",IF(S442=0,(365/0.5)*V442,(365/S442)*V442))</f>
        <v/>
      </c>
      <c r="X442" s="75" t="n"/>
      <c r="Y442" s="77" t="n"/>
      <c r="Z442" s="77" t="n"/>
      <c r="AA442" s="75" t="n"/>
      <c r="AB442" s="75" t="n"/>
      <c r="AC442" s="6" t="n"/>
      <c r="AD442" s="75" t="n"/>
      <c r="AE442" s="75" t="n"/>
      <c r="AF442" s="75" t="n"/>
    </row>
    <row r="443" ht="15.75" customHeight="1" s="133">
      <c r="A443" s="75" t="n"/>
      <c r="B443" s="75" t="n"/>
      <c r="C443" s="75" t="n"/>
      <c r="D443" s="75" t="n"/>
      <c r="E443" s="76" t="n"/>
      <c r="F443" s="77" t="n"/>
      <c r="G443" s="75" t="n"/>
      <c r="H443" s="75">
        <f>IF(ISBLANK(E443),"",IF(OR(D443="Butterfly",D443="Butterfly ",D443="Iron Fly", D443="Iron Fly "),LEN(E443)-LEN(SUBSTITUTE(E443,"/",""))+2,LEN(E443)-LEN(SUBSTITUTE(E443,"/",""))+1))</f>
        <v/>
      </c>
      <c r="I443" s="78">
        <f>IF(ISBLANK(G443),"",IF(D443="Stock","0",Key!$A$3*H443*G443))</f>
        <v/>
      </c>
      <c r="J443" s="78">
        <f>IF(ISBLANK(E443),"",IF(ISNUMBER(SEARCH("/",E443)), IF(LEN(E443)-LEN(SUBSTITUTE(E443,"/",""))=1,(RIGHT(E443,LEN(E443)-FIND("/",E443)))-(LEFT(E443,FIND("/",E443)-1)),(MID(E443, SEARCH("/",E443) + 1, SEARCH("/",E443, SEARCH("/",E443)+1) - SEARCH("/",E443) - 1))-(LEFT(E443,FIND("/",E443)-1))), "NA"))</f>
        <v/>
      </c>
      <c r="K443" s="79">
        <f>IF(A443&lt;&gt;"", IF(ISBLANK(L443), TODAY(), K443), "")</f>
        <v/>
      </c>
      <c r="L443" s="78" t="n"/>
      <c r="M443" s="78">
        <f>IF(ISBLANK(L443),"",IF(D443="Stock",IF(C443="Buy",L443*G443,IF(C443="Sell",(L443*G443)-I443, X)),IF(C443="Buy",(L443*G443*100)+I443,IF(C443="Sell",(L443*G443*100)-I443, X))))</f>
        <v/>
      </c>
      <c r="N443" s="78">
        <f>IF(ISBLANK(L443),"",IF(AND(C443="Sell",D443="Stock"),M443,IF(ISBLANK(L443),"",IF(C443="Buy",M443, IF(AND(C443="Sell",J443="NA"),(E443*G443*100*0.1)+I443, IF(C443="Sell",(J443-L443)*(100*G443)+I443))))))</f>
        <v/>
      </c>
      <c r="O443" s="75" t="n"/>
      <c r="P443" s="75" t="n"/>
      <c r="Q443" s="75">
        <f>IF(ISBLANK(P443),"",IF(D443="Stock",P443*G443,IF(P443=0,"0",G443*P443*100-(G443*$AF$14))))</f>
        <v/>
      </c>
      <c r="R443" s="79">
        <f>IF(P443&lt;&gt;"", TODAY(), "")</f>
        <v/>
      </c>
      <c r="S443" s="78">
        <f>IF(AND(K443&lt;&gt;"", R443&lt;&gt;""), R443-K443, "")</f>
        <v/>
      </c>
      <c r="T443" s="78" t="n"/>
      <c r="U443" s="92">
        <f>IF(ISBLANK(P443),"",IF(C443="Buy",Q443-M443+T443, IF(C443="Sell",M443-Q443-T443, X)))</f>
        <v/>
      </c>
      <c r="V443" s="81">
        <f>IF(ISBLANK(P443),"",U443/N443)</f>
        <v/>
      </c>
      <c r="W443" s="81">
        <f>IF(ISBLANK(P443),"",IF(S443=0,(365/0.5)*V443,(365/S443)*V443))</f>
        <v/>
      </c>
      <c r="X443" s="75" t="n"/>
      <c r="Y443" s="77" t="n"/>
      <c r="Z443" s="77" t="n"/>
      <c r="AA443" s="75" t="n"/>
      <c r="AB443" s="75" t="n"/>
      <c r="AC443" s="6" t="n"/>
      <c r="AD443" s="75" t="n"/>
      <c r="AE443" s="75" t="n"/>
      <c r="AF443" s="75" t="n"/>
    </row>
    <row r="444" ht="15.75" customHeight="1" s="133">
      <c r="A444" s="75" t="n"/>
      <c r="B444" s="75" t="n"/>
      <c r="C444" s="75" t="n"/>
      <c r="D444" s="75" t="n"/>
      <c r="E444" s="76" t="n"/>
      <c r="F444" s="77" t="n"/>
      <c r="G444" s="75" t="n"/>
      <c r="H444" s="75">
        <f>IF(ISBLANK(E444),"",IF(OR(D444="Butterfly",D444="Butterfly ",D444="Iron Fly", D444="Iron Fly "),LEN(E444)-LEN(SUBSTITUTE(E444,"/",""))+2,LEN(E444)-LEN(SUBSTITUTE(E444,"/",""))+1))</f>
        <v/>
      </c>
      <c r="I444" s="78">
        <f>IF(ISBLANK(G444),"",IF(D444="Stock","0",Key!$A$3*H444*G444))</f>
        <v/>
      </c>
      <c r="J444" s="78">
        <f>IF(ISBLANK(E444),"",IF(ISNUMBER(SEARCH("/",E444)), IF(LEN(E444)-LEN(SUBSTITUTE(E444,"/",""))=1,(RIGHT(E444,LEN(E444)-FIND("/",E444)))-(LEFT(E444,FIND("/",E444)-1)),(MID(E444, SEARCH("/",E444) + 1, SEARCH("/",E444, SEARCH("/",E444)+1) - SEARCH("/",E444) - 1))-(LEFT(E444,FIND("/",E444)-1))), "NA"))</f>
        <v/>
      </c>
      <c r="K444" s="79">
        <f>IF(A444&lt;&gt;"", IF(ISBLANK(L444), TODAY(), K444), "")</f>
        <v/>
      </c>
      <c r="L444" s="78" t="n"/>
      <c r="M444" s="78">
        <f>IF(ISBLANK(L444),"",IF(D444="Stock",IF(C444="Buy",L444*G444,IF(C444="Sell",(L444*G444)-I444, X)),IF(C444="Buy",(L444*G444*100)+I444,IF(C444="Sell",(L444*G444*100)-I444, X))))</f>
        <v/>
      </c>
      <c r="N444" s="78">
        <f>IF(ISBLANK(L444),"",IF(AND(C444="Sell",D444="Stock"),M444,IF(ISBLANK(L444),"",IF(C444="Buy",M444, IF(AND(C444="Sell",J444="NA"),(E444*G444*100*0.1)+I444, IF(C444="Sell",(J444-L444)*(100*G444)+I444))))))</f>
        <v/>
      </c>
      <c r="O444" s="75" t="n"/>
      <c r="P444" s="75" t="n"/>
      <c r="Q444" s="75">
        <f>IF(ISBLANK(P444),"",IF(D444="Stock",P444*G444,IF(P444=0,"0",G444*P444*100-(G444*$AF$14))))</f>
        <v/>
      </c>
      <c r="R444" s="79">
        <f>IF(P444&lt;&gt;"", TODAY(), "")</f>
        <v/>
      </c>
      <c r="S444" s="78">
        <f>IF(AND(K444&lt;&gt;"", R444&lt;&gt;""), R444-K444, "")</f>
        <v/>
      </c>
      <c r="T444" s="78" t="n"/>
      <c r="U444" s="92">
        <f>IF(ISBLANK(P444),"",IF(C444="Buy",Q444-M444+T444, IF(C444="Sell",M444-Q444-T444, X)))</f>
        <v/>
      </c>
      <c r="V444" s="81">
        <f>IF(ISBLANK(P444),"",U444/N444)</f>
        <v/>
      </c>
      <c r="W444" s="81">
        <f>IF(ISBLANK(P444),"",IF(S444=0,(365/0.5)*V444,(365/S444)*V444))</f>
        <v/>
      </c>
      <c r="X444" s="75" t="n"/>
      <c r="Y444" s="77" t="n"/>
      <c r="Z444" s="77" t="n"/>
      <c r="AA444" s="75" t="n"/>
      <c r="AB444" s="75" t="n"/>
      <c r="AC444" s="6" t="n"/>
      <c r="AD444" s="75" t="n"/>
      <c r="AE444" s="75" t="n"/>
      <c r="AF444" s="75" t="n"/>
    </row>
    <row r="445" ht="15.75" customHeight="1" s="133">
      <c r="A445" s="75" t="n"/>
      <c r="B445" s="75" t="n"/>
      <c r="C445" s="75" t="n"/>
      <c r="D445" s="75" t="n"/>
      <c r="E445" s="76" t="n"/>
      <c r="F445" s="77" t="n"/>
      <c r="G445" s="75" t="n"/>
      <c r="H445" s="75">
        <f>IF(ISBLANK(E445),"",IF(OR(D445="Butterfly",D445="Butterfly ",D445="Iron Fly", D445="Iron Fly "),LEN(E445)-LEN(SUBSTITUTE(E445,"/",""))+2,LEN(E445)-LEN(SUBSTITUTE(E445,"/",""))+1))</f>
        <v/>
      </c>
      <c r="I445" s="78">
        <f>IF(ISBLANK(G445),"",IF(D445="Stock","0",Key!$A$3*H445*G445))</f>
        <v/>
      </c>
      <c r="J445" s="78">
        <f>IF(ISBLANK(E445),"",IF(ISNUMBER(SEARCH("/",E445)), IF(LEN(E445)-LEN(SUBSTITUTE(E445,"/",""))=1,(RIGHT(E445,LEN(E445)-FIND("/",E445)))-(LEFT(E445,FIND("/",E445)-1)),(MID(E445, SEARCH("/",E445) + 1, SEARCH("/",E445, SEARCH("/",E445)+1) - SEARCH("/",E445) - 1))-(LEFT(E445,FIND("/",E445)-1))), "NA"))</f>
        <v/>
      </c>
      <c r="K445" s="79">
        <f>IF(A445&lt;&gt;"", IF(ISBLANK(L445), TODAY(), K445), "")</f>
        <v/>
      </c>
      <c r="L445" s="78" t="n"/>
      <c r="M445" s="78">
        <f>IF(ISBLANK(L445),"",IF(D445="Stock",IF(C445="Buy",L445*G445,IF(C445="Sell",(L445*G445)-I445, X)),IF(C445="Buy",(L445*G445*100)+I445,IF(C445="Sell",(L445*G445*100)-I445, X))))</f>
        <v/>
      </c>
      <c r="N445" s="78">
        <f>IF(ISBLANK(L445),"",IF(AND(C445="Sell",D445="Stock"),M445,IF(ISBLANK(L445),"",IF(C445="Buy",M445, IF(AND(C445="Sell",J445="NA"),(E445*G445*100*0.1)+I445, IF(C445="Sell",(J445-L445)*(100*G445)+I445))))))</f>
        <v/>
      </c>
      <c r="O445" s="75" t="n"/>
      <c r="P445" s="75" t="n"/>
      <c r="Q445" s="75">
        <f>IF(ISBLANK(P445),"",IF(D445="Stock",P445*G445,IF(P445=0,"0",G445*P445*100-(G445*$AF$14))))</f>
        <v/>
      </c>
      <c r="R445" s="79">
        <f>IF(P445&lt;&gt;"", TODAY(), "")</f>
        <v/>
      </c>
      <c r="S445" s="78">
        <f>IF(AND(K445&lt;&gt;"", R445&lt;&gt;""), R445-K445, "")</f>
        <v/>
      </c>
      <c r="T445" s="78" t="n"/>
      <c r="U445" s="92">
        <f>IF(ISBLANK(P445),"",IF(C445="Buy",Q445-M445+T445, IF(C445="Sell",M445-Q445-T445, X)))</f>
        <v/>
      </c>
      <c r="V445" s="81">
        <f>IF(ISBLANK(P445),"",U445/N445)</f>
        <v/>
      </c>
      <c r="W445" s="81">
        <f>IF(ISBLANK(P445),"",IF(S445=0,(365/0.5)*V445,(365/S445)*V445))</f>
        <v/>
      </c>
      <c r="X445" s="75" t="n"/>
      <c r="Y445" s="77" t="n"/>
      <c r="Z445" s="77" t="n"/>
      <c r="AA445" s="75" t="n"/>
      <c r="AB445" s="75" t="n"/>
      <c r="AC445" s="6" t="n"/>
      <c r="AD445" s="75" t="n"/>
      <c r="AE445" s="75" t="n"/>
      <c r="AF445" s="75" t="n"/>
    </row>
    <row r="446" ht="15.75" customHeight="1" s="133">
      <c r="A446" s="75" t="n"/>
      <c r="B446" s="75" t="n"/>
      <c r="C446" s="75" t="n"/>
      <c r="D446" s="75" t="n"/>
      <c r="E446" s="76" t="n"/>
      <c r="F446" s="77" t="n"/>
      <c r="G446" s="75" t="n"/>
      <c r="H446" s="75">
        <f>IF(ISBLANK(E446),"",IF(OR(D446="Butterfly",D446="Butterfly ",D446="Iron Fly", D446="Iron Fly "),LEN(E446)-LEN(SUBSTITUTE(E446,"/",""))+2,LEN(E446)-LEN(SUBSTITUTE(E446,"/",""))+1))</f>
        <v/>
      </c>
      <c r="I446" s="78">
        <f>IF(ISBLANK(G446),"",IF(D446="Stock","0",Key!$A$3*H446*G446))</f>
        <v/>
      </c>
      <c r="J446" s="78">
        <f>IF(ISBLANK(E446),"",IF(ISNUMBER(SEARCH("/",E446)), IF(LEN(E446)-LEN(SUBSTITUTE(E446,"/",""))=1,(RIGHT(E446,LEN(E446)-FIND("/",E446)))-(LEFT(E446,FIND("/",E446)-1)),(MID(E446, SEARCH("/",E446) + 1, SEARCH("/",E446, SEARCH("/",E446)+1) - SEARCH("/",E446) - 1))-(LEFT(E446,FIND("/",E446)-1))), "NA"))</f>
        <v/>
      </c>
      <c r="K446" s="79">
        <f>IF(A446&lt;&gt;"", IF(ISBLANK(L446), TODAY(), K446), "")</f>
        <v/>
      </c>
      <c r="L446" s="78" t="n"/>
      <c r="M446" s="78">
        <f>IF(ISBLANK(L446),"",IF(D446="Stock",IF(C446="Buy",L446*G446,IF(C446="Sell",(L446*G446)-I446, X)),IF(C446="Buy",(L446*G446*100)+I446,IF(C446="Sell",(L446*G446*100)-I446, X))))</f>
        <v/>
      </c>
      <c r="N446" s="78">
        <f>IF(ISBLANK(L446),"",IF(AND(C446="Sell",D446="Stock"),M446,IF(ISBLANK(L446),"",IF(C446="Buy",M446, IF(AND(C446="Sell",J446="NA"),(E446*G446*100*0.1)+I446, IF(C446="Sell",(J446-L446)*(100*G446)+I446))))))</f>
        <v/>
      </c>
      <c r="O446" s="75" t="n"/>
      <c r="P446" s="75" t="n"/>
      <c r="Q446" s="75">
        <f>IF(ISBLANK(P446),"",IF(D446="Stock",P446*G446,IF(P446=0,"0",G446*P446*100-(G446*$AF$14))))</f>
        <v/>
      </c>
      <c r="R446" s="79">
        <f>IF(P446&lt;&gt;"", TODAY(), "")</f>
        <v/>
      </c>
      <c r="S446" s="78">
        <f>IF(AND(K446&lt;&gt;"", R446&lt;&gt;""), R446-K446, "")</f>
        <v/>
      </c>
      <c r="T446" s="78" t="n"/>
      <c r="U446" s="92">
        <f>IF(ISBLANK(P446),"",IF(C446="Buy",Q446-M446+T446, IF(C446="Sell",M446-Q446-T446, X)))</f>
        <v/>
      </c>
      <c r="V446" s="81">
        <f>IF(ISBLANK(P446),"",U446/N446)</f>
        <v/>
      </c>
      <c r="W446" s="81">
        <f>IF(ISBLANK(P446),"",IF(S446=0,(365/0.5)*V446,(365/S446)*V446))</f>
        <v/>
      </c>
      <c r="X446" s="75" t="n"/>
      <c r="Y446" s="77" t="n"/>
      <c r="Z446" s="77" t="n"/>
      <c r="AA446" s="75" t="n"/>
      <c r="AB446" s="75" t="n"/>
      <c r="AC446" s="6" t="n"/>
      <c r="AD446" s="75" t="n"/>
      <c r="AE446" s="75" t="n"/>
      <c r="AF446" s="75" t="n"/>
    </row>
    <row r="447" ht="15.75" customHeight="1" s="133">
      <c r="A447" s="75" t="n"/>
      <c r="B447" s="75" t="n"/>
      <c r="C447" s="75" t="n"/>
      <c r="D447" s="75" t="n"/>
      <c r="E447" s="76" t="n"/>
      <c r="F447" s="77" t="n"/>
      <c r="G447" s="75" t="n"/>
      <c r="H447" s="75">
        <f>IF(ISBLANK(E447),"",IF(OR(D447="Butterfly",D447="Butterfly ",D447="Iron Fly", D447="Iron Fly "),LEN(E447)-LEN(SUBSTITUTE(E447,"/",""))+2,LEN(E447)-LEN(SUBSTITUTE(E447,"/",""))+1))</f>
        <v/>
      </c>
      <c r="I447" s="78">
        <f>IF(ISBLANK(G447),"",IF(D447="Stock","0",Key!$A$3*H447*G447))</f>
        <v/>
      </c>
      <c r="J447" s="78">
        <f>IF(ISBLANK(E447),"",IF(ISNUMBER(SEARCH("/",E447)), IF(LEN(E447)-LEN(SUBSTITUTE(E447,"/",""))=1,(RIGHT(E447,LEN(E447)-FIND("/",E447)))-(LEFT(E447,FIND("/",E447)-1)),(MID(E447, SEARCH("/",E447) + 1, SEARCH("/",E447, SEARCH("/",E447)+1) - SEARCH("/",E447) - 1))-(LEFT(E447,FIND("/",E447)-1))), "NA"))</f>
        <v/>
      </c>
      <c r="K447" s="79">
        <f>IF(A447&lt;&gt;"", IF(ISBLANK(L447), TODAY(), K447), "")</f>
        <v/>
      </c>
      <c r="L447" s="78" t="n"/>
      <c r="M447" s="78">
        <f>IF(ISBLANK(L447),"",IF(D447="Stock",IF(C447="Buy",L447*G447,IF(C447="Sell",(L447*G447)-I447, X)),IF(C447="Buy",(L447*G447*100)+I447,IF(C447="Sell",(L447*G447*100)-I447, X))))</f>
        <v/>
      </c>
      <c r="N447" s="78">
        <f>IF(ISBLANK(L447),"",IF(AND(C447="Sell",D447="Stock"),M447,IF(ISBLANK(L447),"",IF(C447="Buy",M447, IF(AND(C447="Sell",J447="NA"),(E447*G447*100*0.1)+I447, IF(C447="Sell",(J447-L447)*(100*G447)+I447))))))</f>
        <v/>
      </c>
      <c r="O447" s="75" t="n"/>
      <c r="P447" s="75" t="n"/>
      <c r="Q447" s="75">
        <f>IF(ISBLANK(P447),"",IF(D447="Stock",P447*G447,IF(P447=0,"0",G447*P447*100-(G447*$AF$14))))</f>
        <v/>
      </c>
      <c r="R447" s="79">
        <f>IF(P447&lt;&gt;"", TODAY(), "")</f>
        <v/>
      </c>
      <c r="S447" s="78">
        <f>IF(AND(K447&lt;&gt;"", R447&lt;&gt;""), R447-K447, "")</f>
        <v/>
      </c>
      <c r="T447" s="78" t="n"/>
      <c r="U447" s="92">
        <f>IF(ISBLANK(P447),"",IF(C447="Buy",Q447-M447+T447, IF(C447="Sell",M447-Q447-T447, X)))</f>
        <v/>
      </c>
      <c r="V447" s="81">
        <f>IF(ISBLANK(P447),"",U447/N447)</f>
        <v/>
      </c>
      <c r="W447" s="81">
        <f>IF(ISBLANK(P447),"",IF(S447=0,(365/0.5)*V447,(365/S447)*V447))</f>
        <v/>
      </c>
      <c r="X447" s="75" t="n"/>
      <c r="Y447" s="77" t="n"/>
      <c r="Z447" s="77" t="n"/>
      <c r="AA447" s="75" t="n"/>
      <c r="AB447" s="75" t="n"/>
      <c r="AC447" s="6" t="n"/>
      <c r="AD447" s="75" t="n"/>
      <c r="AE447" s="75" t="n"/>
      <c r="AF447" s="75" t="n"/>
    </row>
    <row r="448" ht="15.75" customHeight="1" s="133">
      <c r="A448" s="75" t="n"/>
      <c r="B448" s="75" t="n"/>
      <c r="C448" s="75" t="n"/>
      <c r="D448" s="75" t="n"/>
      <c r="E448" s="76" t="n"/>
      <c r="F448" s="77" t="n"/>
      <c r="G448" s="75" t="n"/>
      <c r="H448" s="75">
        <f>IF(ISBLANK(E448),"",IF(OR(D448="Butterfly",D448="Butterfly ",D448="Iron Fly", D448="Iron Fly "),LEN(E448)-LEN(SUBSTITUTE(E448,"/",""))+2,LEN(E448)-LEN(SUBSTITUTE(E448,"/",""))+1))</f>
        <v/>
      </c>
      <c r="I448" s="78">
        <f>IF(ISBLANK(G448),"",IF(D448="Stock","0",Key!$A$3*H448*G448))</f>
        <v/>
      </c>
      <c r="J448" s="78">
        <f>IF(ISBLANK(E448),"",IF(ISNUMBER(SEARCH("/",E448)), IF(LEN(E448)-LEN(SUBSTITUTE(E448,"/",""))=1,(RIGHT(E448,LEN(E448)-FIND("/",E448)))-(LEFT(E448,FIND("/",E448)-1)),(MID(E448, SEARCH("/",E448) + 1, SEARCH("/",E448, SEARCH("/",E448)+1) - SEARCH("/",E448) - 1))-(LEFT(E448,FIND("/",E448)-1))), "NA"))</f>
        <v/>
      </c>
      <c r="K448" s="79">
        <f>IF(A448&lt;&gt;"", IF(ISBLANK(L448), TODAY(), K448), "")</f>
        <v/>
      </c>
      <c r="L448" s="78" t="n"/>
      <c r="M448" s="78">
        <f>IF(ISBLANK(L448),"",IF(D448="Stock",IF(C448="Buy",L448*G448,IF(C448="Sell",(L448*G448)-I448, X)),IF(C448="Buy",(L448*G448*100)+I448,IF(C448="Sell",(L448*G448*100)-I448, X))))</f>
        <v/>
      </c>
      <c r="N448" s="78">
        <f>IF(ISBLANK(L448),"",IF(AND(C448="Sell",D448="Stock"),M448,IF(ISBLANK(L448),"",IF(C448="Buy",M448, IF(AND(C448="Sell",J448="NA"),(E448*G448*100*0.1)+I448, IF(C448="Sell",(J448-L448)*(100*G448)+I448))))))</f>
        <v/>
      </c>
      <c r="O448" s="75" t="n"/>
      <c r="P448" s="75" t="n"/>
      <c r="Q448" s="75">
        <f>IF(ISBLANK(P448),"",IF(D448="Stock",P448*G448,IF(P448=0,"0",G448*P448*100-(G448*$AF$14))))</f>
        <v/>
      </c>
      <c r="R448" s="79">
        <f>IF(P448&lt;&gt;"", TODAY(), "")</f>
        <v/>
      </c>
      <c r="S448" s="78">
        <f>IF(AND(K448&lt;&gt;"", R448&lt;&gt;""), R448-K448, "")</f>
        <v/>
      </c>
      <c r="T448" s="78" t="n"/>
      <c r="U448" s="92">
        <f>IF(ISBLANK(P448),"",IF(C448="Buy",Q448-M448+T448, IF(C448="Sell",M448-Q448-T448, X)))</f>
        <v/>
      </c>
      <c r="V448" s="81">
        <f>IF(ISBLANK(P448),"",U448/N448)</f>
        <v/>
      </c>
      <c r="W448" s="81">
        <f>IF(ISBLANK(P448),"",IF(S448=0,(365/0.5)*V448,(365/S448)*V448))</f>
        <v/>
      </c>
      <c r="X448" s="75" t="n"/>
      <c r="Y448" s="77" t="n"/>
      <c r="Z448" s="77" t="n"/>
      <c r="AA448" s="75" t="n"/>
      <c r="AB448" s="75" t="n"/>
      <c r="AC448" s="6" t="n"/>
      <c r="AD448" s="75" t="n"/>
      <c r="AE448" s="75" t="n"/>
      <c r="AF448" s="75" t="n"/>
    </row>
    <row r="449" ht="15.75" customHeight="1" s="133">
      <c r="A449" s="75" t="n"/>
      <c r="B449" s="75" t="n"/>
      <c r="C449" s="75" t="n"/>
      <c r="D449" s="75" t="n"/>
      <c r="E449" s="76" t="n"/>
      <c r="F449" s="77" t="n"/>
      <c r="G449" s="75" t="n"/>
      <c r="H449" s="75">
        <f>IF(ISBLANK(E449),"",IF(OR(D449="Butterfly",D449="Butterfly ",D449="Iron Fly", D449="Iron Fly "),LEN(E449)-LEN(SUBSTITUTE(E449,"/",""))+2,LEN(E449)-LEN(SUBSTITUTE(E449,"/",""))+1))</f>
        <v/>
      </c>
      <c r="I449" s="78">
        <f>IF(ISBLANK(G449),"",IF(D449="Stock","0",Key!$A$3*H449*G449))</f>
        <v/>
      </c>
      <c r="J449" s="78">
        <f>IF(ISBLANK(E449),"",IF(ISNUMBER(SEARCH("/",E449)), IF(LEN(E449)-LEN(SUBSTITUTE(E449,"/",""))=1,(RIGHT(E449,LEN(E449)-FIND("/",E449)))-(LEFT(E449,FIND("/",E449)-1)),(MID(E449, SEARCH("/",E449) + 1, SEARCH("/",E449, SEARCH("/",E449)+1) - SEARCH("/",E449) - 1))-(LEFT(E449,FIND("/",E449)-1))), "NA"))</f>
        <v/>
      </c>
      <c r="K449" s="79">
        <f>IF(A449&lt;&gt;"", IF(ISBLANK(L449), TODAY(), K449), "")</f>
        <v/>
      </c>
      <c r="L449" s="78" t="n"/>
      <c r="M449" s="78">
        <f>IF(ISBLANK(L449),"",IF(D449="Stock",IF(C449="Buy",L449*G449,IF(C449="Sell",(L449*G449)-I449, X)),IF(C449="Buy",(L449*G449*100)+I449,IF(C449="Sell",(L449*G449*100)-I449, X))))</f>
        <v/>
      </c>
      <c r="N449" s="78">
        <f>IF(ISBLANK(L449),"",IF(AND(C449="Sell",D449="Stock"),M449,IF(ISBLANK(L449),"",IF(C449="Buy",M449, IF(AND(C449="Sell",J449="NA"),(E449*G449*100*0.1)+I449, IF(C449="Sell",(J449-L449)*(100*G449)+I449))))))</f>
        <v/>
      </c>
      <c r="O449" s="75" t="n"/>
      <c r="P449" s="75" t="n"/>
      <c r="Q449" s="75">
        <f>IF(ISBLANK(P449),"",IF(D449="Stock",P449*G449,IF(P449=0,"0",G449*P449*100-(G449*$AF$14))))</f>
        <v/>
      </c>
      <c r="R449" s="79">
        <f>IF(P449&lt;&gt;"", TODAY(), "")</f>
        <v/>
      </c>
      <c r="S449" s="78">
        <f>IF(AND(K449&lt;&gt;"", R449&lt;&gt;""), R449-K449, "")</f>
        <v/>
      </c>
      <c r="T449" s="78" t="n"/>
      <c r="U449" s="92">
        <f>IF(ISBLANK(P449),"",IF(C449="Buy",Q449-M449+T449, IF(C449="Sell",M449-Q449-T449, X)))</f>
        <v/>
      </c>
      <c r="V449" s="81">
        <f>IF(ISBLANK(P449),"",U449/N449)</f>
        <v/>
      </c>
      <c r="W449" s="81">
        <f>IF(ISBLANK(P449),"",IF(S449=0,(365/0.5)*V449,(365/S449)*V449))</f>
        <v/>
      </c>
      <c r="X449" s="75" t="n"/>
      <c r="Y449" s="77" t="n"/>
      <c r="Z449" s="77" t="n"/>
      <c r="AA449" s="75" t="n"/>
      <c r="AB449" s="75" t="n"/>
      <c r="AC449" s="6" t="n"/>
      <c r="AD449" s="75" t="n"/>
      <c r="AE449" s="75" t="n"/>
      <c r="AF449" s="75" t="n"/>
    </row>
    <row r="450" ht="15.75" customHeight="1" s="133">
      <c r="A450" s="75" t="n"/>
      <c r="B450" s="75" t="n"/>
      <c r="C450" s="75" t="n"/>
      <c r="D450" s="75" t="n"/>
      <c r="E450" s="76" t="n"/>
      <c r="F450" s="77" t="n"/>
      <c r="G450" s="75" t="n"/>
      <c r="H450" s="75">
        <f>IF(ISBLANK(E450),"",IF(OR(D450="Butterfly",D450="Butterfly ",D450="Iron Fly", D450="Iron Fly "),LEN(E450)-LEN(SUBSTITUTE(E450,"/",""))+2,LEN(E450)-LEN(SUBSTITUTE(E450,"/",""))+1))</f>
        <v/>
      </c>
      <c r="I450" s="78">
        <f>IF(ISBLANK(G450),"",IF(D450="Stock","0",Key!$A$3*H450*G450))</f>
        <v/>
      </c>
      <c r="J450" s="78">
        <f>IF(ISBLANK(E450),"",IF(ISNUMBER(SEARCH("/",E450)), IF(LEN(E450)-LEN(SUBSTITUTE(E450,"/",""))=1,(RIGHT(E450,LEN(E450)-FIND("/",E450)))-(LEFT(E450,FIND("/",E450)-1)),(MID(E450, SEARCH("/",E450) + 1, SEARCH("/",E450, SEARCH("/",E450)+1) - SEARCH("/",E450) - 1))-(LEFT(E450,FIND("/",E450)-1))), "NA"))</f>
        <v/>
      </c>
      <c r="K450" s="79">
        <f>IF(A450&lt;&gt;"", IF(ISBLANK(L450), TODAY(), K450), "")</f>
        <v/>
      </c>
      <c r="L450" s="78" t="n"/>
      <c r="M450" s="78">
        <f>IF(ISBLANK(L450),"",IF(D450="Stock",IF(C450="Buy",L450*G450,IF(C450="Sell",(L450*G450)-I450, X)),IF(C450="Buy",(L450*G450*100)+I450,IF(C450="Sell",(L450*G450*100)-I450, X))))</f>
        <v/>
      </c>
      <c r="N450" s="78">
        <f>IF(ISBLANK(L450),"",IF(AND(C450="Sell",D450="Stock"),M450,IF(ISBLANK(L450),"",IF(C450="Buy",M450, IF(AND(C450="Sell",J450="NA"),(E450*G450*100*0.1)+I450, IF(C450="Sell",(J450-L450)*(100*G450)+I450))))))</f>
        <v/>
      </c>
      <c r="O450" s="75" t="n"/>
      <c r="P450" s="75" t="n"/>
      <c r="Q450" s="75">
        <f>IF(ISBLANK(P450),"",IF(D450="Stock",P450*G450,IF(P450=0,"0",G450*P450*100-(G450*$AF$14))))</f>
        <v/>
      </c>
      <c r="R450" s="79">
        <f>IF(P450&lt;&gt;"", TODAY(), "")</f>
        <v/>
      </c>
      <c r="S450" s="78">
        <f>IF(AND(K450&lt;&gt;"", R450&lt;&gt;""), R450-K450, "")</f>
        <v/>
      </c>
      <c r="T450" s="78" t="n"/>
      <c r="U450" s="92">
        <f>IF(ISBLANK(P450),"",IF(C450="Buy",Q450-M450+T450, IF(C450="Sell",M450-Q450-T450, X)))</f>
        <v/>
      </c>
      <c r="V450" s="81">
        <f>IF(ISBLANK(P450),"",U450/N450)</f>
        <v/>
      </c>
      <c r="W450" s="81">
        <f>IF(ISBLANK(P450),"",IF(S450=0,(365/0.5)*V450,(365/S450)*V450))</f>
        <v/>
      </c>
      <c r="X450" s="75" t="n"/>
      <c r="Y450" s="77" t="n"/>
      <c r="Z450" s="77" t="n"/>
      <c r="AA450" s="75" t="n"/>
      <c r="AB450" s="75" t="n"/>
      <c r="AC450" s="6" t="n"/>
      <c r="AD450" s="75" t="n"/>
      <c r="AE450" s="75" t="n"/>
      <c r="AF450" s="75" t="n"/>
    </row>
    <row r="451" ht="15.75" customHeight="1" s="133">
      <c r="A451" s="75" t="n"/>
      <c r="B451" s="75" t="n"/>
      <c r="C451" s="75" t="n"/>
      <c r="D451" s="75" t="n"/>
      <c r="E451" s="76" t="n"/>
      <c r="F451" s="77" t="n"/>
      <c r="G451" s="75" t="n"/>
      <c r="H451" s="75">
        <f>IF(ISBLANK(E451),"",IF(OR(D451="Butterfly",D451="Butterfly ",D451="Iron Fly", D451="Iron Fly "),LEN(E451)-LEN(SUBSTITUTE(E451,"/",""))+2,LEN(E451)-LEN(SUBSTITUTE(E451,"/",""))+1))</f>
        <v/>
      </c>
      <c r="I451" s="78">
        <f>IF(ISBLANK(G451),"",IF(D451="Stock","0",Key!$A$3*H451*G451))</f>
        <v/>
      </c>
      <c r="J451" s="78">
        <f>IF(ISBLANK(E451),"",IF(ISNUMBER(SEARCH("/",E451)), IF(LEN(E451)-LEN(SUBSTITUTE(E451,"/",""))=1,(RIGHT(E451,LEN(E451)-FIND("/",E451)))-(LEFT(E451,FIND("/",E451)-1)),(MID(E451, SEARCH("/",E451) + 1, SEARCH("/",E451, SEARCH("/",E451)+1) - SEARCH("/",E451) - 1))-(LEFT(E451,FIND("/",E451)-1))), "NA"))</f>
        <v/>
      </c>
      <c r="K451" s="79">
        <f>IF(A451&lt;&gt;"", IF(ISBLANK(L451), TODAY(), K451), "")</f>
        <v/>
      </c>
      <c r="L451" s="78" t="n"/>
      <c r="M451" s="78">
        <f>IF(ISBLANK(L451),"",IF(D451="Stock",IF(C451="Buy",L451*G451,IF(C451="Sell",(L451*G451)-I451, X)),IF(C451="Buy",(L451*G451*100)+I451,IF(C451="Sell",(L451*G451*100)-I451, X))))</f>
        <v/>
      </c>
      <c r="N451" s="78">
        <f>IF(ISBLANK(L451),"",IF(AND(C451="Sell",D451="Stock"),M451,IF(ISBLANK(L451),"",IF(C451="Buy",M451, IF(AND(C451="Sell",J451="NA"),(E451*G451*100*0.1)+I451, IF(C451="Sell",(J451-L451)*(100*G451)+I451))))))</f>
        <v/>
      </c>
      <c r="O451" s="75" t="n"/>
      <c r="P451" s="75" t="n"/>
      <c r="Q451" s="75">
        <f>IF(ISBLANK(P451),"",IF(D451="Stock",P451*G451,IF(P451=0,"0",G451*P451*100-(G451*$AF$14))))</f>
        <v/>
      </c>
      <c r="R451" s="79">
        <f>IF(P451&lt;&gt;"", TODAY(), "")</f>
        <v/>
      </c>
      <c r="S451" s="78">
        <f>IF(AND(K451&lt;&gt;"", R451&lt;&gt;""), R451-K451, "")</f>
        <v/>
      </c>
      <c r="T451" s="78" t="n"/>
      <c r="U451" s="92">
        <f>IF(ISBLANK(P451),"",IF(C451="Buy",Q451-M451+T451, IF(C451="Sell",M451-Q451-T451, X)))</f>
        <v/>
      </c>
      <c r="V451" s="81">
        <f>IF(ISBLANK(P451),"",U451/N451)</f>
        <v/>
      </c>
      <c r="W451" s="81">
        <f>IF(ISBLANK(P451),"",IF(S451=0,(365/0.5)*V451,(365/S451)*V451))</f>
        <v/>
      </c>
      <c r="X451" s="75" t="n"/>
      <c r="Y451" s="77" t="n"/>
      <c r="Z451" s="77" t="n"/>
      <c r="AA451" s="75" t="n"/>
      <c r="AB451" s="75" t="n"/>
      <c r="AC451" s="6" t="n"/>
      <c r="AD451" s="75" t="n"/>
      <c r="AE451" s="75" t="n"/>
      <c r="AF451" s="75" t="n"/>
    </row>
    <row r="452" ht="15.75" customHeight="1" s="133">
      <c r="A452" s="75" t="n"/>
      <c r="B452" s="75" t="n"/>
      <c r="C452" s="75" t="n"/>
      <c r="D452" s="75" t="n"/>
      <c r="E452" s="76" t="n"/>
      <c r="F452" s="77" t="n"/>
      <c r="G452" s="75" t="n"/>
      <c r="H452" s="75">
        <f>IF(ISBLANK(E452),"",IF(OR(D452="Butterfly",D452="Butterfly ",D452="Iron Fly", D452="Iron Fly "),LEN(E452)-LEN(SUBSTITUTE(E452,"/",""))+2,LEN(E452)-LEN(SUBSTITUTE(E452,"/",""))+1))</f>
        <v/>
      </c>
      <c r="I452" s="78">
        <f>IF(ISBLANK(G452),"",IF(D452="Stock","0",Key!$A$3*H452*G452))</f>
        <v/>
      </c>
      <c r="J452" s="78">
        <f>IF(ISBLANK(E452),"",IF(ISNUMBER(SEARCH("/",E452)), IF(LEN(E452)-LEN(SUBSTITUTE(E452,"/",""))=1,(RIGHT(E452,LEN(E452)-FIND("/",E452)))-(LEFT(E452,FIND("/",E452)-1)),(MID(E452, SEARCH("/",E452) + 1, SEARCH("/",E452, SEARCH("/",E452)+1) - SEARCH("/",E452) - 1))-(LEFT(E452,FIND("/",E452)-1))), "NA"))</f>
        <v/>
      </c>
      <c r="K452" s="79">
        <f>IF(A452&lt;&gt;"", IF(ISBLANK(L452), TODAY(), K452), "")</f>
        <v/>
      </c>
      <c r="L452" s="78" t="n"/>
      <c r="M452" s="78">
        <f>IF(ISBLANK(L452),"",IF(D452="Stock",IF(C452="Buy",L452*G452,IF(C452="Sell",(L452*G452)-I452, X)),IF(C452="Buy",(L452*G452*100)+I452,IF(C452="Sell",(L452*G452*100)-I452, X))))</f>
        <v/>
      </c>
      <c r="N452" s="78">
        <f>IF(ISBLANK(L452),"",IF(AND(C452="Sell",D452="Stock"),M452,IF(ISBLANK(L452),"",IF(C452="Buy",M452, IF(AND(C452="Sell",J452="NA"),(E452*G452*100*0.1)+I452, IF(C452="Sell",(J452-L452)*(100*G452)+I452))))))</f>
        <v/>
      </c>
      <c r="O452" s="75" t="n"/>
      <c r="P452" s="75" t="n"/>
      <c r="Q452" s="75">
        <f>IF(ISBLANK(P452),"",IF(D452="Stock",P452*G452,IF(P452=0,"0",G452*P452*100-(G452*$AF$14))))</f>
        <v/>
      </c>
      <c r="R452" s="79">
        <f>IF(P452&lt;&gt;"", TODAY(), "")</f>
        <v/>
      </c>
      <c r="S452" s="78">
        <f>IF(AND(K452&lt;&gt;"", R452&lt;&gt;""), R452-K452, "")</f>
        <v/>
      </c>
      <c r="T452" s="78" t="n"/>
      <c r="U452" s="92">
        <f>IF(ISBLANK(P452),"",IF(C452="Buy",Q452-M452+T452, IF(C452="Sell",M452-Q452-T452, X)))</f>
        <v/>
      </c>
      <c r="V452" s="81">
        <f>IF(ISBLANK(P452),"",U452/N452)</f>
        <v/>
      </c>
      <c r="W452" s="81">
        <f>IF(ISBLANK(P452),"",IF(S452=0,(365/0.5)*V452,(365/S452)*V452))</f>
        <v/>
      </c>
      <c r="X452" s="75" t="n"/>
      <c r="Y452" s="77" t="n"/>
      <c r="Z452" s="77" t="n"/>
      <c r="AA452" s="75" t="n"/>
      <c r="AB452" s="75" t="n"/>
      <c r="AC452" s="6" t="n"/>
      <c r="AD452" s="75" t="n"/>
      <c r="AE452" s="75" t="n"/>
      <c r="AF452" s="75" t="n"/>
    </row>
    <row r="453" ht="15.75" customHeight="1" s="133">
      <c r="A453" s="75" t="n"/>
      <c r="B453" s="75" t="n"/>
      <c r="C453" s="75" t="n"/>
      <c r="D453" s="75" t="n"/>
      <c r="E453" s="76" t="n"/>
      <c r="F453" s="77" t="n"/>
      <c r="G453" s="75" t="n"/>
      <c r="H453" s="75">
        <f>IF(ISBLANK(E453),"",IF(OR(D453="Butterfly",D453="Butterfly ",D453="Iron Fly", D453="Iron Fly "),LEN(E453)-LEN(SUBSTITUTE(E453,"/",""))+2,LEN(E453)-LEN(SUBSTITUTE(E453,"/",""))+1))</f>
        <v/>
      </c>
      <c r="I453" s="78">
        <f>IF(ISBLANK(G453),"",IF(D453="Stock","0",Key!$A$3*H453*G453))</f>
        <v/>
      </c>
      <c r="J453" s="78">
        <f>IF(ISBLANK(E453),"",IF(ISNUMBER(SEARCH("/",E453)), IF(LEN(E453)-LEN(SUBSTITUTE(E453,"/",""))=1,(RIGHT(E453,LEN(E453)-FIND("/",E453)))-(LEFT(E453,FIND("/",E453)-1)),(MID(E453, SEARCH("/",E453) + 1, SEARCH("/",E453, SEARCH("/",E453)+1) - SEARCH("/",E453) - 1))-(LEFT(E453,FIND("/",E453)-1))), "NA"))</f>
        <v/>
      </c>
      <c r="K453" s="79">
        <f>IF(A453&lt;&gt;"", IF(ISBLANK(L453), TODAY(), K453), "")</f>
        <v/>
      </c>
      <c r="L453" s="78" t="n"/>
      <c r="M453" s="78">
        <f>IF(ISBLANK(L453),"",IF(D453="Stock",IF(C453="Buy",L453*G453,IF(C453="Sell",(L453*G453)-I453, X)),IF(C453="Buy",(L453*G453*100)+I453,IF(C453="Sell",(L453*G453*100)-I453, X))))</f>
        <v/>
      </c>
      <c r="N453" s="78">
        <f>IF(ISBLANK(L453),"",IF(AND(C453="Sell",D453="Stock"),M453,IF(ISBLANK(L453),"",IF(C453="Buy",M453, IF(AND(C453="Sell",J453="NA"),(E453*G453*100*0.1)+I453, IF(C453="Sell",(J453-L453)*(100*G453)+I453))))))</f>
        <v/>
      </c>
      <c r="O453" s="75" t="n"/>
      <c r="P453" s="75" t="n"/>
      <c r="Q453" s="75">
        <f>IF(ISBLANK(P453),"",IF(D453="Stock",P453*G453,IF(P453=0,"0",G453*P453*100-(G453*$AF$14))))</f>
        <v/>
      </c>
      <c r="R453" s="79">
        <f>IF(P453&lt;&gt;"", TODAY(), "")</f>
        <v/>
      </c>
      <c r="S453" s="78">
        <f>IF(AND(K453&lt;&gt;"", R453&lt;&gt;""), R453-K453, "")</f>
        <v/>
      </c>
      <c r="T453" s="78" t="n"/>
      <c r="U453" s="92">
        <f>IF(ISBLANK(P453),"",IF(C453="Buy",Q453-M453+T453, IF(C453="Sell",M453-Q453-T453, X)))</f>
        <v/>
      </c>
      <c r="V453" s="81">
        <f>IF(ISBLANK(P453),"",U453/N453)</f>
        <v/>
      </c>
      <c r="W453" s="81">
        <f>IF(ISBLANK(P453),"",IF(S453=0,(365/0.5)*V453,(365/S453)*V453))</f>
        <v/>
      </c>
      <c r="X453" s="75" t="n"/>
      <c r="Y453" s="77" t="n"/>
      <c r="Z453" s="77" t="n"/>
      <c r="AA453" s="75" t="n"/>
      <c r="AB453" s="75" t="n"/>
      <c r="AC453" s="6" t="n"/>
      <c r="AD453" s="75" t="n"/>
      <c r="AE453" s="75" t="n"/>
      <c r="AF453" s="75" t="n"/>
    </row>
    <row r="454" ht="15.75" customHeight="1" s="133">
      <c r="A454" s="75" t="n"/>
      <c r="B454" s="75" t="n"/>
      <c r="C454" s="75" t="n"/>
      <c r="D454" s="75" t="n"/>
      <c r="E454" s="76" t="n"/>
      <c r="F454" s="77" t="n"/>
      <c r="G454" s="75" t="n"/>
      <c r="H454" s="75">
        <f>IF(ISBLANK(E454),"",IF(OR(D454="Butterfly",D454="Butterfly ",D454="Iron Fly", D454="Iron Fly "),LEN(E454)-LEN(SUBSTITUTE(E454,"/",""))+2,LEN(E454)-LEN(SUBSTITUTE(E454,"/",""))+1))</f>
        <v/>
      </c>
      <c r="I454" s="78">
        <f>IF(ISBLANK(G454),"",IF(D454="Stock","0",Key!$A$3*H454*G454))</f>
        <v/>
      </c>
      <c r="J454" s="78">
        <f>IF(ISBLANK(E454),"",IF(ISNUMBER(SEARCH("/",E454)), IF(LEN(E454)-LEN(SUBSTITUTE(E454,"/",""))=1,(RIGHT(E454,LEN(E454)-FIND("/",E454)))-(LEFT(E454,FIND("/",E454)-1)),(MID(E454, SEARCH("/",E454) + 1, SEARCH("/",E454, SEARCH("/",E454)+1) - SEARCH("/",E454) - 1))-(LEFT(E454,FIND("/",E454)-1))), "NA"))</f>
        <v/>
      </c>
      <c r="K454" s="79">
        <f>IF(A454&lt;&gt;"", IF(ISBLANK(L454), TODAY(), K454), "")</f>
        <v/>
      </c>
      <c r="L454" s="78" t="n"/>
      <c r="M454" s="78">
        <f>IF(ISBLANK(L454),"",IF(D454="Stock",IF(C454="Buy",L454*G454,IF(C454="Sell",(L454*G454)-I454, X)),IF(C454="Buy",(L454*G454*100)+I454,IF(C454="Sell",(L454*G454*100)-I454, X))))</f>
        <v/>
      </c>
      <c r="N454" s="78">
        <f>IF(ISBLANK(L454),"",IF(AND(C454="Sell",D454="Stock"),M454,IF(ISBLANK(L454),"",IF(C454="Buy",M454, IF(AND(C454="Sell",J454="NA"),(E454*G454*100*0.1)+I454, IF(C454="Sell",(J454-L454)*(100*G454)+I454))))))</f>
        <v/>
      </c>
      <c r="O454" s="75" t="n"/>
      <c r="P454" s="75" t="n"/>
      <c r="Q454" s="75">
        <f>IF(ISBLANK(P454),"",IF(D454="Stock",P454*G454,IF(P454=0,"0",G454*P454*100-(G454*$AF$14))))</f>
        <v/>
      </c>
      <c r="R454" s="79">
        <f>IF(P454&lt;&gt;"", TODAY(), "")</f>
        <v/>
      </c>
      <c r="S454" s="78">
        <f>IF(AND(K454&lt;&gt;"", R454&lt;&gt;""), R454-K454, "")</f>
        <v/>
      </c>
      <c r="T454" s="78" t="n"/>
      <c r="U454" s="92">
        <f>IF(ISBLANK(P454),"",IF(C454="Buy",Q454-M454+T454, IF(C454="Sell",M454-Q454-T454, X)))</f>
        <v/>
      </c>
      <c r="V454" s="81">
        <f>IF(ISBLANK(P454),"",U454/N454)</f>
        <v/>
      </c>
      <c r="W454" s="81">
        <f>IF(ISBLANK(P454),"",IF(S454=0,(365/0.5)*V454,(365/S454)*V454))</f>
        <v/>
      </c>
      <c r="X454" s="75" t="n"/>
      <c r="Y454" s="77" t="n"/>
      <c r="Z454" s="77" t="n"/>
      <c r="AA454" s="75" t="n"/>
      <c r="AB454" s="75" t="n"/>
      <c r="AC454" s="6" t="n"/>
      <c r="AD454" s="75" t="n"/>
      <c r="AE454" s="75" t="n"/>
      <c r="AF454" s="75" t="n"/>
    </row>
    <row r="455" ht="15.75" customHeight="1" s="133">
      <c r="A455" s="75" t="n"/>
      <c r="B455" s="75" t="n"/>
      <c r="C455" s="75" t="n"/>
      <c r="D455" s="75" t="n"/>
      <c r="E455" s="76" t="n"/>
      <c r="F455" s="77" t="n"/>
      <c r="G455" s="75" t="n"/>
      <c r="H455" s="75">
        <f>IF(ISBLANK(E455),"",IF(OR(D455="Butterfly",D455="Butterfly ",D455="Iron Fly", D455="Iron Fly "),LEN(E455)-LEN(SUBSTITUTE(E455,"/",""))+2,LEN(E455)-LEN(SUBSTITUTE(E455,"/",""))+1))</f>
        <v/>
      </c>
      <c r="I455" s="78">
        <f>IF(ISBLANK(G455),"",IF(D455="Stock","0",Key!$A$3*H455*G455))</f>
        <v/>
      </c>
      <c r="J455" s="78">
        <f>IF(ISBLANK(E455),"",IF(ISNUMBER(SEARCH("/",E455)), IF(LEN(E455)-LEN(SUBSTITUTE(E455,"/",""))=1,(RIGHT(E455,LEN(E455)-FIND("/",E455)))-(LEFT(E455,FIND("/",E455)-1)),(MID(E455, SEARCH("/",E455) + 1, SEARCH("/",E455, SEARCH("/",E455)+1) - SEARCH("/",E455) - 1))-(LEFT(E455,FIND("/",E455)-1))), "NA"))</f>
        <v/>
      </c>
      <c r="K455" s="79">
        <f>IF(A455&lt;&gt;"", IF(ISBLANK(L455), TODAY(), K455), "")</f>
        <v/>
      </c>
      <c r="L455" s="78" t="n"/>
      <c r="M455" s="78">
        <f>IF(ISBLANK(L455),"",IF(D455="Stock",IF(C455="Buy",L455*G455,IF(C455="Sell",(L455*G455)-I455, X)),IF(C455="Buy",(L455*G455*100)+I455,IF(C455="Sell",(L455*G455*100)-I455, X))))</f>
        <v/>
      </c>
      <c r="N455" s="78">
        <f>IF(ISBLANK(L455),"",IF(AND(C455="Sell",D455="Stock"),M455,IF(ISBLANK(L455),"",IF(C455="Buy",M455, IF(AND(C455="Sell",J455="NA"),(E455*G455*100*0.1)+I455, IF(C455="Sell",(J455-L455)*(100*G455)+I455))))))</f>
        <v/>
      </c>
      <c r="O455" s="75" t="n"/>
      <c r="P455" s="75" t="n"/>
      <c r="Q455" s="75">
        <f>IF(ISBLANK(P455),"",IF(D455="Stock",P455*G455,IF(P455=0,"0",G455*P455*100-(G455*$AF$14))))</f>
        <v/>
      </c>
      <c r="R455" s="79">
        <f>IF(P455&lt;&gt;"", TODAY(), "")</f>
        <v/>
      </c>
      <c r="S455" s="78">
        <f>IF(AND(K455&lt;&gt;"", R455&lt;&gt;""), R455-K455, "")</f>
        <v/>
      </c>
      <c r="T455" s="78" t="n"/>
      <c r="U455" s="92">
        <f>IF(ISBLANK(P455),"",IF(C455="Buy",Q455-M455+T455, IF(C455="Sell",M455-Q455-T455, X)))</f>
        <v/>
      </c>
      <c r="V455" s="81">
        <f>IF(ISBLANK(P455),"",U455/N455)</f>
        <v/>
      </c>
      <c r="W455" s="81">
        <f>IF(ISBLANK(P455),"",IF(S455=0,(365/0.5)*V455,(365/S455)*V455))</f>
        <v/>
      </c>
      <c r="X455" s="75" t="n"/>
      <c r="Y455" s="77" t="n"/>
      <c r="Z455" s="77" t="n"/>
      <c r="AA455" s="75" t="n"/>
      <c r="AB455" s="75" t="n"/>
      <c r="AC455" s="6" t="n"/>
      <c r="AD455" s="75" t="n"/>
      <c r="AE455" s="75" t="n"/>
      <c r="AF455" s="75" t="n"/>
    </row>
    <row r="456" ht="15.75" customHeight="1" s="133">
      <c r="A456" s="75" t="n"/>
      <c r="B456" s="75" t="n"/>
      <c r="C456" s="75" t="n"/>
      <c r="D456" s="75" t="n"/>
      <c r="E456" s="76" t="n"/>
      <c r="F456" s="77" t="n"/>
      <c r="G456" s="75" t="n"/>
      <c r="H456" s="75">
        <f>IF(ISBLANK(E456),"",IF(OR(D456="Butterfly",D456="Butterfly ",D456="Iron Fly", D456="Iron Fly "),LEN(E456)-LEN(SUBSTITUTE(E456,"/",""))+2,LEN(E456)-LEN(SUBSTITUTE(E456,"/",""))+1))</f>
        <v/>
      </c>
      <c r="I456" s="78">
        <f>IF(ISBLANK(G456),"",IF(D456="Stock","0",Key!$A$3*H456*G456))</f>
        <v/>
      </c>
      <c r="J456" s="78">
        <f>IF(ISBLANK(E456),"",IF(ISNUMBER(SEARCH("/",E456)), IF(LEN(E456)-LEN(SUBSTITUTE(E456,"/",""))=1,(RIGHT(E456,LEN(E456)-FIND("/",E456)))-(LEFT(E456,FIND("/",E456)-1)),(MID(E456, SEARCH("/",E456) + 1, SEARCH("/",E456, SEARCH("/",E456)+1) - SEARCH("/",E456) - 1))-(LEFT(E456,FIND("/",E456)-1))), "NA"))</f>
        <v/>
      </c>
      <c r="K456" s="79">
        <f>IF(A456&lt;&gt;"", IF(ISBLANK(L456), TODAY(), K456), "")</f>
        <v/>
      </c>
      <c r="L456" s="78" t="n"/>
      <c r="M456" s="78">
        <f>IF(ISBLANK(L456),"",IF(D456="Stock",IF(C456="Buy",L456*G456,IF(C456="Sell",(L456*G456)-I456, X)),IF(C456="Buy",(L456*G456*100)+I456,IF(C456="Sell",(L456*G456*100)-I456, X))))</f>
        <v/>
      </c>
      <c r="N456" s="78">
        <f>IF(ISBLANK(L456),"",IF(AND(C456="Sell",D456="Stock"),M456,IF(ISBLANK(L456),"",IF(C456="Buy",M456, IF(AND(C456="Sell",J456="NA"),(E456*G456*100*0.1)+I456, IF(C456="Sell",(J456-L456)*(100*G456)+I456))))))</f>
        <v/>
      </c>
      <c r="O456" s="75" t="n"/>
      <c r="P456" s="75" t="n"/>
      <c r="Q456" s="75">
        <f>IF(ISBLANK(P456),"",IF(D456="Stock",P456*G456,IF(P456=0,"0",G456*P456*100-(G456*$AF$14))))</f>
        <v/>
      </c>
      <c r="R456" s="79">
        <f>IF(P456&lt;&gt;"", TODAY(), "")</f>
        <v/>
      </c>
      <c r="S456" s="78">
        <f>IF(AND(K456&lt;&gt;"", R456&lt;&gt;""), R456-K456, "")</f>
        <v/>
      </c>
      <c r="T456" s="78" t="n"/>
      <c r="U456" s="92">
        <f>IF(ISBLANK(P456),"",IF(C456="Buy",Q456-M456+T456, IF(C456="Sell",M456-Q456-T456, X)))</f>
        <v/>
      </c>
      <c r="V456" s="81">
        <f>IF(ISBLANK(P456),"",U456/N456)</f>
        <v/>
      </c>
      <c r="W456" s="81">
        <f>IF(ISBLANK(P456),"",IF(S456=0,(365/0.5)*V456,(365/S456)*V456))</f>
        <v/>
      </c>
      <c r="X456" s="75" t="n"/>
      <c r="Y456" s="77" t="n"/>
      <c r="Z456" s="77" t="n"/>
      <c r="AA456" s="75" t="n"/>
      <c r="AB456" s="75" t="n"/>
      <c r="AC456" s="6" t="n"/>
      <c r="AD456" s="75" t="n"/>
      <c r="AE456" s="75" t="n"/>
      <c r="AF456" s="75" t="n"/>
    </row>
    <row r="457" ht="15.75" customHeight="1" s="133">
      <c r="A457" s="75" t="n"/>
      <c r="B457" s="75" t="n"/>
      <c r="C457" s="75" t="n"/>
      <c r="D457" s="75" t="n"/>
      <c r="E457" s="76" t="n"/>
      <c r="F457" s="77" t="n"/>
      <c r="G457" s="75" t="n"/>
      <c r="H457" s="75">
        <f>IF(ISBLANK(E457),"",IF(OR(D457="Butterfly",D457="Butterfly ",D457="Iron Fly", D457="Iron Fly "),LEN(E457)-LEN(SUBSTITUTE(E457,"/",""))+2,LEN(E457)-LEN(SUBSTITUTE(E457,"/",""))+1))</f>
        <v/>
      </c>
      <c r="I457" s="78">
        <f>IF(ISBLANK(G457),"",IF(D457="Stock","0",Key!$A$3*H457*G457))</f>
        <v/>
      </c>
      <c r="J457" s="78">
        <f>IF(ISBLANK(E457),"",IF(ISNUMBER(SEARCH("/",E457)), IF(LEN(E457)-LEN(SUBSTITUTE(E457,"/",""))=1,(RIGHT(E457,LEN(E457)-FIND("/",E457)))-(LEFT(E457,FIND("/",E457)-1)),(MID(E457, SEARCH("/",E457) + 1, SEARCH("/",E457, SEARCH("/",E457)+1) - SEARCH("/",E457) - 1))-(LEFT(E457,FIND("/",E457)-1))), "NA"))</f>
        <v/>
      </c>
      <c r="K457" s="79">
        <f>IF(A457&lt;&gt;"", IF(ISBLANK(L457), TODAY(), K457), "")</f>
        <v/>
      </c>
      <c r="L457" s="78" t="n"/>
      <c r="M457" s="78">
        <f>IF(ISBLANK(L457),"",IF(D457="Stock",IF(C457="Buy",L457*G457,IF(C457="Sell",(L457*G457)-I457, X)),IF(C457="Buy",(L457*G457*100)+I457,IF(C457="Sell",(L457*G457*100)-I457, X))))</f>
        <v/>
      </c>
      <c r="N457" s="78">
        <f>IF(ISBLANK(L457),"",IF(AND(C457="Sell",D457="Stock"),M457,IF(ISBLANK(L457),"",IF(C457="Buy",M457, IF(AND(C457="Sell",J457="NA"),(E457*G457*100*0.1)+I457, IF(C457="Sell",(J457-L457)*(100*G457)+I457))))))</f>
        <v/>
      </c>
      <c r="O457" s="75" t="n"/>
      <c r="P457" s="75" t="n"/>
      <c r="Q457" s="75">
        <f>IF(ISBLANK(P457),"",IF(D457="Stock",P457*G457,IF(P457=0,"0",G457*P457*100-(G457*$AF$14))))</f>
        <v/>
      </c>
      <c r="R457" s="79">
        <f>IF(P457&lt;&gt;"", TODAY(), "")</f>
        <v/>
      </c>
      <c r="S457" s="78">
        <f>IF(AND(K457&lt;&gt;"", R457&lt;&gt;""), R457-K457, "")</f>
        <v/>
      </c>
      <c r="T457" s="78" t="n"/>
      <c r="U457" s="92">
        <f>IF(ISBLANK(P457),"",IF(C457="Buy",Q457-M457+T457, IF(C457="Sell",M457-Q457-T457, X)))</f>
        <v/>
      </c>
      <c r="V457" s="81">
        <f>IF(ISBLANK(P457),"",U457/N457)</f>
        <v/>
      </c>
      <c r="W457" s="81">
        <f>IF(ISBLANK(P457),"",IF(S457=0,(365/0.5)*V457,(365/S457)*V457))</f>
        <v/>
      </c>
      <c r="X457" s="75" t="n"/>
      <c r="Y457" s="77" t="n"/>
      <c r="Z457" s="77" t="n"/>
      <c r="AA457" s="75" t="n"/>
      <c r="AB457" s="75" t="n"/>
      <c r="AC457" s="6" t="n"/>
      <c r="AD457" s="75" t="n"/>
      <c r="AE457" s="75" t="n"/>
      <c r="AF457" s="75" t="n"/>
    </row>
    <row r="458" ht="15.75" customHeight="1" s="133">
      <c r="A458" s="75" t="n"/>
      <c r="B458" s="75" t="n"/>
      <c r="C458" s="75" t="n"/>
      <c r="D458" s="75" t="n"/>
      <c r="E458" s="76" t="n"/>
      <c r="F458" s="77" t="n"/>
      <c r="G458" s="75" t="n"/>
      <c r="H458" s="75">
        <f>IF(ISBLANK(E458),"",IF(OR(D458="Butterfly",D458="Butterfly ",D458="Iron Fly", D458="Iron Fly "),LEN(E458)-LEN(SUBSTITUTE(E458,"/",""))+2,LEN(E458)-LEN(SUBSTITUTE(E458,"/",""))+1))</f>
        <v/>
      </c>
      <c r="I458" s="78">
        <f>IF(ISBLANK(G458),"",IF(D458="Stock","0",Key!$A$3*H458*G458))</f>
        <v/>
      </c>
      <c r="J458" s="78">
        <f>IF(ISBLANK(E458),"",IF(ISNUMBER(SEARCH("/",E458)), IF(LEN(E458)-LEN(SUBSTITUTE(E458,"/",""))=1,(RIGHT(E458,LEN(E458)-FIND("/",E458)))-(LEFT(E458,FIND("/",E458)-1)),(MID(E458, SEARCH("/",E458) + 1, SEARCH("/",E458, SEARCH("/",E458)+1) - SEARCH("/",E458) - 1))-(LEFT(E458,FIND("/",E458)-1))), "NA"))</f>
        <v/>
      </c>
      <c r="K458" s="79">
        <f>IF(A458&lt;&gt;"", IF(ISBLANK(L458), TODAY(), K458), "")</f>
        <v/>
      </c>
      <c r="L458" s="78" t="n"/>
      <c r="M458" s="78">
        <f>IF(ISBLANK(L458),"",IF(D458="Stock",IF(C458="Buy",L458*G458,IF(C458="Sell",(L458*G458)-I458, X)),IF(C458="Buy",(L458*G458*100)+I458,IF(C458="Sell",(L458*G458*100)-I458, X))))</f>
        <v/>
      </c>
      <c r="N458" s="78">
        <f>IF(ISBLANK(L458),"",IF(AND(C458="Sell",D458="Stock"),M458,IF(ISBLANK(L458),"",IF(C458="Buy",M458, IF(AND(C458="Sell",J458="NA"),(E458*G458*100*0.1)+I458, IF(C458="Sell",(J458-L458)*(100*G458)+I458))))))</f>
        <v/>
      </c>
      <c r="O458" s="75" t="n"/>
      <c r="P458" s="75" t="n"/>
      <c r="Q458" s="75">
        <f>IF(ISBLANK(P458),"",IF(D458="Stock",P458*G458,IF(P458=0,"0",G458*P458*100-(G458*$AF$14))))</f>
        <v/>
      </c>
      <c r="R458" s="79">
        <f>IF(P458&lt;&gt;"", TODAY(), "")</f>
        <v/>
      </c>
      <c r="S458" s="78">
        <f>IF(AND(K458&lt;&gt;"", R458&lt;&gt;""), R458-K458, "")</f>
        <v/>
      </c>
      <c r="T458" s="78" t="n"/>
      <c r="U458" s="92">
        <f>IF(ISBLANK(P458),"",IF(C458="Buy",Q458-M458+T458, IF(C458="Sell",M458-Q458-T458, X)))</f>
        <v/>
      </c>
      <c r="V458" s="81">
        <f>IF(ISBLANK(P458),"",U458/N458)</f>
        <v/>
      </c>
      <c r="W458" s="81">
        <f>IF(ISBLANK(P458),"",IF(S458=0,(365/0.5)*V458,(365/S458)*V458))</f>
        <v/>
      </c>
      <c r="X458" s="75" t="n"/>
      <c r="Y458" s="77" t="n"/>
      <c r="Z458" s="77" t="n"/>
      <c r="AA458" s="75" t="n"/>
      <c r="AB458" s="75" t="n"/>
      <c r="AC458" s="6" t="n"/>
      <c r="AD458" s="75" t="n"/>
      <c r="AE458" s="75" t="n"/>
      <c r="AF458" s="75" t="n"/>
    </row>
    <row r="459" ht="15.75" customHeight="1" s="133">
      <c r="A459" s="75" t="n"/>
      <c r="B459" s="75" t="n"/>
      <c r="C459" s="75" t="n"/>
      <c r="D459" s="75" t="n"/>
      <c r="E459" s="76" t="n"/>
      <c r="F459" s="77" t="n"/>
      <c r="G459" s="75" t="n"/>
      <c r="H459" s="75">
        <f>IF(ISBLANK(E459),"",IF(OR(D459="Butterfly",D459="Butterfly ",D459="Iron Fly", D459="Iron Fly "),LEN(E459)-LEN(SUBSTITUTE(E459,"/",""))+2,LEN(E459)-LEN(SUBSTITUTE(E459,"/",""))+1))</f>
        <v/>
      </c>
      <c r="I459" s="78">
        <f>IF(ISBLANK(G459),"",IF(D459="Stock","0",Key!$A$3*H459*G459))</f>
        <v/>
      </c>
      <c r="J459" s="78">
        <f>IF(ISBLANK(E459),"",IF(ISNUMBER(SEARCH("/",E459)), IF(LEN(E459)-LEN(SUBSTITUTE(E459,"/",""))=1,(RIGHT(E459,LEN(E459)-FIND("/",E459)))-(LEFT(E459,FIND("/",E459)-1)),(MID(E459, SEARCH("/",E459) + 1, SEARCH("/",E459, SEARCH("/",E459)+1) - SEARCH("/",E459) - 1))-(LEFT(E459,FIND("/",E459)-1))), "NA"))</f>
        <v/>
      </c>
      <c r="K459" s="79">
        <f>IF(A459&lt;&gt;"", IF(ISBLANK(L459), TODAY(), K459), "")</f>
        <v/>
      </c>
      <c r="L459" s="78" t="n"/>
      <c r="M459" s="78">
        <f>IF(ISBLANK(L459),"",IF(D459="Stock",IF(C459="Buy",L459*G459,IF(C459="Sell",(L459*G459)-I459, X)),IF(C459="Buy",(L459*G459*100)+I459,IF(C459="Sell",(L459*G459*100)-I459, X))))</f>
        <v/>
      </c>
      <c r="N459" s="78">
        <f>IF(ISBLANK(L459),"",IF(AND(C459="Sell",D459="Stock"),M459,IF(ISBLANK(L459),"",IF(C459="Buy",M459, IF(AND(C459="Sell",J459="NA"),(E459*G459*100*0.1)+I459, IF(C459="Sell",(J459-L459)*(100*G459)+I459))))))</f>
        <v/>
      </c>
      <c r="O459" s="75" t="n"/>
      <c r="P459" s="75" t="n"/>
      <c r="Q459" s="75">
        <f>IF(ISBLANK(P459),"",IF(D459="Stock",P459*G459,IF(P459=0,"0",G459*P459*100-(G459*$AF$14))))</f>
        <v/>
      </c>
      <c r="R459" s="79">
        <f>IF(P459&lt;&gt;"", TODAY(), "")</f>
        <v/>
      </c>
      <c r="S459" s="78">
        <f>IF(AND(K459&lt;&gt;"", R459&lt;&gt;""), R459-K459, "")</f>
        <v/>
      </c>
      <c r="T459" s="78" t="n"/>
      <c r="U459" s="92">
        <f>IF(ISBLANK(P459),"",IF(C459="Buy",Q459-M459+T459, IF(C459="Sell",M459-Q459-T459, X)))</f>
        <v/>
      </c>
      <c r="V459" s="81">
        <f>IF(ISBLANK(P459),"",U459/N459)</f>
        <v/>
      </c>
      <c r="W459" s="81">
        <f>IF(ISBLANK(P459),"",IF(S459=0,(365/0.5)*V459,(365/S459)*V459))</f>
        <v/>
      </c>
      <c r="X459" s="75" t="n"/>
      <c r="Y459" s="77" t="n"/>
      <c r="Z459" s="77" t="n"/>
      <c r="AA459" s="75" t="n"/>
      <c r="AB459" s="75" t="n"/>
      <c r="AC459" s="6" t="n"/>
      <c r="AD459" s="75" t="n"/>
      <c r="AE459" s="75" t="n"/>
      <c r="AF459" s="75" t="n"/>
    </row>
    <row r="460" ht="15.75" customHeight="1" s="133">
      <c r="A460" s="75" t="n"/>
      <c r="B460" s="75" t="n"/>
      <c r="C460" s="75" t="n"/>
      <c r="D460" s="75" t="n"/>
      <c r="E460" s="76" t="n"/>
      <c r="F460" s="77" t="n"/>
      <c r="G460" s="75" t="n"/>
      <c r="H460" s="75">
        <f>IF(ISBLANK(E460),"",IF(OR(D460="Butterfly",D460="Butterfly ",D460="Iron Fly", D460="Iron Fly "),LEN(E460)-LEN(SUBSTITUTE(E460,"/",""))+2,LEN(E460)-LEN(SUBSTITUTE(E460,"/",""))+1))</f>
        <v/>
      </c>
      <c r="I460" s="78">
        <f>IF(ISBLANK(G460),"",IF(D460="Stock","0",Key!$A$3*H460*G460))</f>
        <v/>
      </c>
      <c r="J460" s="78">
        <f>IF(ISBLANK(E460),"",IF(ISNUMBER(SEARCH("/",E460)), IF(LEN(E460)-LEN(SUBSTITUTE(E460,"/",""))=1,(RIGHT(E460,LEN(E460)-FIND("/",E460)))-(LEFT(E460,FIND("/",E460)-1)),(MID(E460, SEARCH("/",E460) + 1, SEARCH("/",E460, SEARCH("/",E460)+1) - SEARCH("/",E460) - 1))-(LEFT(E460,FIND("/",E460)-1))), "NA"))</f>
        <v/>
      </c>
      <c r="K460" s="79">
        <f>IF(A460&lt;&gt;"", IF(ISBLANK(L460), TODAY(), K460), "")</f>
        <v/>
      </c>
      <c r="L460" s="78" t="n"/>
      <c r="M460" s="78">
        <f>IF(ISBLANK(L460),"",IF(D460="Stock",IF(C460="Buy",L460*G460,IF(C460="Sell",(L460*G460)-I460, X)),IF(C460="Buy",(L460*G460*100)+I460,IF(C460="Sell",(L460*G460*100)-I460, X))))</f>
        <v/>
      </c>
      <c r="N460" s="78">
        <f>IF(ISBLANK(L460),"",IF(AND(C460="Sell",D460="Stock"),M460,IF(ISBLANK(L460),"",IF(C460="Buy",M460, IF(AND(C460="Sell",J460="NA"),(E460*G460*100*0.1)+I460, IF(C460="Sell",(J460-L460)*(100*G460)+I460))))))</f>
        <v/>
      </c>
      <c r="O460" s="75" t="n"/>
      <c r="P460" s="75" t="n"/>
      <c r="Q460" s="75">
        <f>IF(ISBLANK(P460),"",IF(D460="Stock",P460*G460,IF(P460=0,"0",G460*P460*100-(G460*$AF$14))))</f>
        <v/>
      </c>
      <c r="R460" s="79">
        <f>IF(P460&lt;&gt;"", TODAY(), "")</f>
        <v/>
      </c>
      <c r="S460" s="78">
        <f>IF(AND(K460&lt;&gt;"", R460&lt;&gt;""), R460-K460, "")</f>
        <v/>
      </c>
      <c r="T460" s="78" t="n"/>
      <c r="U460" s="92">
        <f>IF(ISBLANK(P460),"",IF(C460="Buy",Q460-M460+T460, IF(C460="Sell",M460-Q460-T460, X)))</f>
        <v/>
      </c>
      <c r="V460" s="81">
        <f>IF(ISBLANK(P460),"",U460/N460)</f>
        <v/>
      </c>
      <c r="W460" s="81">
        <f>IF(ISBLANK(P460),"",IF(S460=0,(365/0.5)*V460,(365/S460)*V460))</f>
        <v/>
      </c>
      <c r="X460" s="75" t="n"/>
      <c r="Y460" s="77" t="n"/>
      <c r="Z460" s="77" t="n"/>
      <c r="AA460" s="75" t="n"/>
      <c r="AB460" s="75" t="n"/>
      <c r="AC460" s="6" t="n"/>
      <c r="AD460" s="75" t="n"/>
      <c r="AE460" s="75" t="n"/>
      <c r="AF460" s="75" t="n"/>
    </row>
    <row r="461" ht="15.75" customHeight="1" s="133">
      <c r="A461" s="75" t="n"/>
      <c r="B461" s="75" t="n"/>
      <c r="C461" s="75" t="n"/>
      <c r="D461" s="75" t="n"/>
      <c r="E461" s="76" t="n"/>
      <c r="F461" s="77" t="n"/>
      <c r="G461" s="75" t="n"/>
      <c r="H461" s="75">
        <f>IF(ISBLANK(E461),"",IF(OR(D461="Butterfly",D461="Butterfly ",D461="Iron Fly", D461="Iron Fly "),LEN(E461)-LEN(SUBSTITUTE(E461,"/",""))+2,LEN(E461)-LEN(SUBSTITUTE(E461,"/",""))+1))</f>
        <v/>
      </c>
      <c r="I461" s="78">
        <f>IF(ISBLANK(G461),"",IF(D461="Stock","0",Key!$A$3*H461*G461))</f>
        <v/>
      </c>
      <c r="J461" s="78">
        <f>IF(ISBLANK(E461),"",IF(ISNUMBER(SEARCH("/",E461)), IF(LEN(E461)-LEN(SUBSTITUTE(E461,"/",""))=1,(RIGHT(E461,LEN(E461)-FIND("/",E461)))-(LEFT(E461,FIND("/",E461)-1)),(MID(E461, SEARCH("/",E461) + 1, SEARCH("/",E461, SEARCH("/",E461)+1) - SEARCH("/",E461) - 1))-(LEFT(E461,FIND("/",E461)-1))), "NA"))</f>
        <v/>
      </c>
      <c r="K461" s="79">
        <f>IF(A461&lt;&gt;"", IF(ISBLANK(L461), TODAY(), K461), "")</f>
        <v/>
      </c>
      <c r="L461" s="78" t="n"/>
      <c r="M461" s="78">
        <f>IF(ISBLANK(L461),"",IF(D461="Stock",IF(C461="Buy",L461*G461,IF(C461="Sell",(L461*G461)-I461, X)),IF(C461="Buy",(L461*G461*100)+I461,IF(C461="Sell",(L461*G461*100)-I461, X))))</f>
        <v/>
      </c>
      <c r="N461" s="78">
        <f>IF(ISBLANK(L461),"",IF(AND(C461="Sell",D461="Stock"),M461,IF(ISBLANK(L461),"",IF(C461="Buy",M461, IF(AND(C461="Sell",J461="NA"),(E461*G461*100*0.1)+I461, IF(C461="Sell",(J461-L461)*(100*G461)+I461))))))</f>
        <v/>
      </c>
      <c r="O461" s="75" t="n"/>
      <c r="P461" s="75" t="n"/>
      <c r="Q461" s="75">
        <f>IF(ISBLANK(P461),"",IF(D461="Stock",P461*G461,IF(P461=0,"0",G461*P461*100-(G461*$AF$14))))</f>
        <v/>
      </c>
      <c r="R461" s="79">
        <f>IF(P461&lt;&gt;"", TODAY(), "")</f>
        <v/>
      </c>
      <c r="S461" s="78">
        <f>IF(AND(K461&lt;&gt;"", R461&lt;&gt;""), R461-K461, "")</f>
        <v/>
      </c>
      <c r="T461" s="78" t="n"/>
      <c r="U461" s="92">
        <f>IF(ISBLANK(P461),"",IF(C461="Buy",Q461-M461+T461, IF(C461="Sell",M461-Q461-T461, X)))</f>
        <v/>
      </c>
      <c r="V461" s="81">
        <f>IF(ISBLANK(P461),"",U461/N461)</f>
        <v/>
      </c>
      <c r="W461" s="81">
        <f>IF(ISBLANK(P461),"",IF(S461=0,(365/0.5)*V461,(365/S461)*V461))</f>
        <v/>
      </c>
      <c r="X461" s="75" t="n"/>
      <c r="Y461" s="77" t="n"/>
      <c r="Z461" s="77" t="n"/>
      <c r="AA461" s="75" t="n"/>
      <c r="AB461" s="75" t="n"/>
      <c r="AC461" s="6" t="n"/>
      <c r="AD461" s="75" t="n"/>
      <c r="AE461" s="75" t="n"/>
      <c r="AF461" s="75" t="n"/>
    </row>
    <row r="462" ht="15.75" customHeight="1" s="133">
      <c r="A462" s="75" t="n"/>
      <c r="B462" s="75" t="n"/>
      <c r="C462" s="75" t="n"/>
      <c r="D462" s="75" t="n"/>
      <c r="E462" s="76" t="n"/>
      <c r="F462" s="77" t="n"/>
      <c r="G462" s="75" t="n"/>
      <c r="H462" s="75">
        <f>IF(ISBLANK(E462),"",IF(OR(D462="Butterfly",D462="Butterfly ",D462="Iron Fly", D462="Iron Fly "),LEN(E462)-LEN(SUBSTITUTE(E462,"/",""))+2,LEN(E462)-LEN(SUBSTITUTE(E462,"/",""))+1))</f>
        <v/>
      </c>
      <c r="I462" s="78">
        <f>IF(ISBLANK(G462),"",IF(D462="Stock","0",Key!$A$3*H462*G462))</f>
        <v/>
      </c>
      <c r="J462" s="78">
        <f>IF(ISBLANK(E462),"",IF(ISNUMBER(SEARCH("/",E462)), IF(LEN(E462)-LEN(SUBSTITUTE(E462,"/",""))=1,(RIGHT(E462,LEN(E462)-FIND("/",E462)))-(LEFT(E462,FIND("/",E462)-1)),(MID(E462, SEARCH("/",E462) + 1, SEARCH("/",E462, SEARCH("/",E462)+1) - SEARCH("/",E462) - 1))-(LEFT(E462,FIND("/",E462)-1))), "NA"))</f>
        <v/>
      </c>
      <c r="K462" s="79">
        <f>IF(A462&lt;&gt;"", IF(ISBLANK(L462), TODAY(), K462), "")</f>
        <v/>
      </c>
      <c r="L462" s="78" t="n"/>
      <c r="M462" s="78">
        <f>IF(ISBLANK(L462),"",IF(D462="Stock",IF(C462="Buy",L462*G462,IF(C462="Sell",(L462*G462)-I462, X)),IF(C462="Buy",(L462*G462*100)+I462,IF(C462="Sell",(L462*G462*100)-I462, X))))</f>
        <v/>
      </c>
      <c r="N462" s="78">
        <f>IF(ISBLANK(L462),"",IF(AND(C462="Sell",D462="Stock"),M462,IF(ISBLANK(L462),"",IF(C462="Buy",M462, IF(AND(C462="Sell",J462="NA"),(E462*G462*100*0.1)+I462, IF(C462="Sell",(J462-L462)*(100*G462)+I462))))))</f>
        <v/>
      </c>
      <c r="O462" s="75" t="n"/>
      <c r="P462" s="75" t="n"/>
      <c r="Q462" s="75">
        <f>IF(ISBLANK(P462),"",IF(D462="Stock",P462*G462,IF(P462=0,"0",G462*P462*100-(G462*$AF$14))))</f>
        <v/>
      </c>
      <c r="R462" s="79">
        <f>IF(P462&lt;&gt;"", TODAY(), "")</f>
        <v/>
      </c>
      <c r="S462" s="78">
        <f>IF(AND(K462&lt;&gt;"", R462&lt;&gt;""), R462-K462, "")</f>
        <v/>
      </c>
      <c r="T462" s="78" t="n"/>
      <c r="U462" s="92">
        <f>IF(ISBLANK(P462),"",IF(C462="Buy",Q462-M462+T462, IF(C462="Sell",M462-Q462-T462, X)))</f>
        <v/>
      </c>
      <c r="V462" s="81">
        <f>IF(ISBLANK(P462),"",U462/N462)</f>
        <v/>
      </c>
      <c r="W462" s="81">
        <f>IF(ISBLANK(P462),"",IF(S462=0,(365/0.5)*V462,(365/S462)*V462))</f>
        <v/>
      </c>
      <c r="X462" s="75" t="n"/>
      <c r="Y462" s="77" t="n"/>
      <c r="Z462" s="77" t="n"/>
      <c r="AA462" s="75" t="n"/>
      <c r="AB462" s="75" t="n"/>
      <c r="AC462" s="6" t="n"/>
      <c r="AD462" s="75" t="n"/>
      <c r="AE462" s="75" t="n"/>
      <c r="AF462" s="75" t="n"/>
    </row>
    <row r="463" ht="15.75" customHeight="1" s="133">
      <c r="A463" s="75" t="n"/>
      <c r="B463" s="75" t="n"/>
      <c r="C463" s="75" t="n"/>
      <c r="D463" s="75" t="n"/>
      <c r="E463" s="76" t="n"/>
      <c r="F463" s="77" t="n"/>
      <c r="G463" s="75" t="n"/>
      <c r="H463" s="75">
        <f>IF(ISBLANK(E463),"",IF(OR(D463="Butterfly",D463="Butterfly ",D463="Iron Fly", D463="Iron Fly "),LEN(E463)-LEN(SUBSTITUTE(E463,"/",""))+2,LEN(E463)-LEN(SUBSTITUTE(E463,"/",""))+1))</f>
        <v/>
      </c>
      <c r="I463" s="78">
        <f>IF(ISBLANK(G463),"",IF(D463="Stock","0",Key!$A$3*H463*G463))</f>
        <v/>
      </c>
      <c r="J463" s="78">
        <f>IF(ISBLANK(E463),"",IF(ISNUMBER(SEARCH("/",E463)), IF(LEN(E463)-LEN(SUBSTITUTE(E463,"/",""))=1,(RIGHT(E463,LEN(E463)-FIND("/",E463)))-(LEFT(E463,FIND("/",E463)-1)),(MID(E463, SEARCH("/",E463) + 1, SEARCH("/",E463, SEARCH("/",E463)+1) - SEARCH("/",E463) - 1))-(LEFT(E463,FIND("/",E463)-1))), "NA"))</f>
        <v/>
      </c>
      <c r="K463" s="79">
        <f>IF(A463&lt;&gt;"", IF(ISBLANK(L463), TODAY(), K463), "")</f>
        <v/>
      </c>
      <c r="L463" s="78" t="n"/>
      <c r="M463" s="78">
        <f>IF(ISBLANK(L463),"",IF(D463="Stock",IF(C463="Buy",L463*G463,IF(C463="Sell",(L463*G463)-I463, X)),IF(C463="Buy",(L463*G463*100)+I463,IF(C463="Sell",(L463*G463*100)-I463, X))))</f>
        <v/>
      </c>
      <c r="N463" s="78">
        <f>IF(ISBLANK(L463),"",IF(AND(C463="Sell",D463="Stock"),M463,IF(ISBLANK(L463),"",IF(C463="Buy",M463, IF(AND(C463="Sell",J463="NA"),(E463*G463*100*0.1)+I463, IF(C463="Sell",(J463-L463)*(100*G463)+I463))))))</f>
        <v/>
      </c>
      <c r="O463" s="75" t="n"/>
      <c r="P463" s="75" t="n"/>
      <c r="Q463" s="75">
        <f>IF(ISBLANK(P463),"",IF(D463="Stock",P463*G463,IF(P463=0,"0",G463*P463*100-(G463*$AF$14))))</f>
        <v/>
      </c>
      <c r="R463" s="79">
        <f>IF(P463&lt;&gt;"", TODAY(), "")</f>
        <v/>
      </c>
      <c r="S463" s="78">
        <f>IF(AND(K463&lt;&gt;"", R463&lt;&gt;""), R463-K463, "")</f>
        <v/>
      </c>
      <c r="T463" s="78" t="n"/>
      <c r="U463" s="92">
        <f>IF(ISBLANK(P463),"",IF(C463="Buy",Q463-M463+T463, IF(C463="Sell",M463-Q463-T463, X)))</f>
        <v/>
      </c>
      <c r="V463" s="81">
        <f>IF(ISBLANK(P463),"",U463/N463)</f>
        <v/>
      </c>
      <c r="W463" s="81">
        <f>IF(ISBLANK(P463),"",IF(S463=0,(365/0.5)*V463,(365/S463)*V463))</f>
        <v/>
      </c>
      <c r="X463" s="75" t="n"/>
      <c r="Y463" s="77" t="n"/>
      <c r="Z463" s="77" t="n"/>
      <c r="AA463" s="75" t="n"/>
      <c r="AB463" s="75" t="n"/>
      <c r="AC463" s="6" t="n"/>
      <c r="AD463" s="75" t="n"/>
      <c r="AE463" s="75" t="n"/>
      <c r="AF463" s="75" t="n"/>
    </row>
    <row r="464" ht="15.75" customHeight="1" s="133">
      <c r="A464" s="75" t="n"/>
      <c r="B464" s="75" t="n"/>
      <c r="C464" s="75" t="n"/>
      <c r="D464" s="75" t="n"/>
      <c r="E464" s="76" t="n"/>
      <c r="F464" s="77" t="n"/>
      <c r="G464" s="75" t="n"/>
      <c r="H464" s="75">
        <f>IF(ISBLANK(E464),"",IF(OR(D464="Butterfly",D464="Butterfly ",D464="Iron Fly", D464="Iron Fly "),LEN(E464)-LEN(SUBSTITUTE(E464,"/",""))+2,LEN(E464)-LEN(SUBSTITUTE(E464,"/",""))+1))</f>
        <v/>
      </c>
      <c r="I464" s="78">
        <f>IF(ISBLANK(G464),"",IF(D464="Stock","0",Key!$A$3*H464*G464))</f>
        <v/>
      </c>
      <c r="J464" s="78">
        <f>IF(ISBLANK(E464),"",IF(ISNUMBER(SEARCH("/",E464)), IF(LEN(E464)-LEN(SUBSTITUTE(E464,"/",""))=1,(RIGHT(E464,LEN(E464)-FIND("/",E464)))-(LEFT(E464,FIND("/",E464)-1)),(MID(E464, SEARCH("/",E464) + 1, SEARCH("/",E464, SEARCH("/",E464)+1) - SEARCH("/",E464) - 1))-(LEFT(E464,FIND("/",E464)-1))), "NA"))</f>
        <v/>
      </c>
      <c r="K464" s="79">
        <f>IF(A464&lt;&gt;"", IF(ISBLANK(L464), TODAY(), K464), "")</f>
        <v/>
      </c>
      <c r="L464" s="78" t="n"/>
      <c r="M464" s="78">
        <f>IF(ISBLANK(L464),"",IF(D464="Stock",IF(C464="Buy",L464*G464,IF(C464="Sell",(L464*G464)-I464, X)),IF(C464="Buy",(L464*G464*100)+I464,IF(C464="Sell",(L464*G464*100)-I464, X))))</f>
        <v/>
      </c>
      <c r="N464" s="78">
        <f>IF(ISBLANK(L464),"",IF(AND(C464="Sell",D464="Stock"),M464,IF(ISBLANK(L464),"",IF(C464="Buy",M464, IF(AND(C464="Sell",J464="NA"),(E464*G464*100*0.1)+I464, IF(C464="Sell",(J464-L464)*(100*G464)+I464))))))</f>
        <v/>
      </c>
      <c r="O464" s="75" t="n"/>
      <c r="P464" s="75" t="n"/>
      <c r="Q464" s="75">
        <f>IF(ISBLANK(P464),"",IF(D464="Stock",P464*G464,IF(P464=0,"0",G464*P464*100-(G464*$AF$14))))</f>
        <v/>
      </c>
      <c r="R464" s="79">
        <f>IF(P464&lt;&gt;"", TODAY(), "")</f>
        <v/>
      </c>
      <c r="S464" s="78">
        <f>IF(AND(K464&lt;&gt;"", R464&lt;&gt;""), R464-K464, "")</f>
        <v/>
      </c>
      <c r="T464" s="78" t="n"/>
      <c r="U464" s="92">
        <f>IF(ISBLANK(P464),"",IF(C464="Buy",Q464-M464+T464, IF(C464="Sell",M464-Q464-T464, X)))</f>
        <v/>
      </c>
      <c r="V464" s="81">
        <f>IF(ISBLANK(P464),"",U464/N464)</f>
        <v/>
      </c>
      <c r="W464" s="81">
        <f>IF(ISBLANK(P464),"",IF(S464=0,(365/0.5)*V464,(365/S464)*V464))</f>
        <v/>
      </c>
      <c r="X464" s="75" t="n"/>
      <c r="Y464" s="77" t="n"/>
      <c r="Z464" s="77" t="n"/>
      <c r="AA464" s="75" t="n"/>
      <c r="AB464" s="75" t="n"/>
      <c r="AC464" s="6" t="n"/>
      <c r="AD464" s="75" t="n"/>
      <c r="AE464" s="75" t="n"/>
      <c r="AF464" s="75" t="n"/>
    </row>
    <row r="465" ht="15.75" customHeight="1" s="133">
      <c r="A465" s="75" t="n"/>
      <c r="B465" s="75" t="n"/>
      <c r="C465" s="75" t="n"/>
      <c r="D465" s="75" t="n"/>
      <c r="E465" s="76" t="n"/>
      <c r="F465" s="77" t="n"/>
      <c r="G465" s="75" t="n"/>
      <c r="H465" s="75">
        <f>IF(ISBLANK(E465),"",IF(OR(D465="Butterfly",D465="Butterfly ",D465="Iron Fly", D465="Iron Fly "),LEN(E465)-LEN(SUBSTITUTE(E465,"/",""))+2,LEN(E465)-LEN(SUBSTITUTE(E465,"/",""))+1))</f>
        <v/>
      </c>
      <c r="I465" s="78">
        <f>IF(ISBLANK(G465),"",IF(D465="Stock","0",Key!$A$3*H465*G465))</f>
        <v/>
      </c>
      <c r="J465" s="78">
        <f>IF(ISBLANK(E465),"",IF(ISNUMBER(SEARCH("/",E465)), IF(LEN(E465)-LEN(SUBSTITUTE(E465,"/",""))=1,(RIGHT(E465,LEN(E465)-FIND("/",E465)))-(LEFT(E465,FIND("/",E465)-1)),(MID(E465, SEARCH("/",E465) + 1, SEARCH("/",E465, SEARCH("/",E465)+1) - SEARCH("/",E465) - 1))-(LEFT(E465,FIND("/",E465)-1))), "NA"))</f>
        <v/>
      </c>
      <c r="K465" s="79">
        <f>IF(A465&lt;&gt;"", IF(ISBLANK(L465), TODAY(), K465), "")</f>
        <v/>
      </c>
      <c r="L465" s="78" t="n"/>
      <c r="M465" s="78">
        <f>IF(ISBLANK(L465),"",IF(D465="Stock",IF(C465="Buy",L465*G465,IF(C465="Sell",(L465*G465)-I465, X)),IF(C465="Buy",(L465*G465*100)+I465,IF(C465="Sell",(L465*G465*100)-I465, X))))</f>
        <v/>
      </c>
      <c r="N465" s="78">
        <f>IF(ISBLANK(L465),"",IF(AND(C465="Sell",D465="Stock"),M465,IF(ISBLANK(L465),"",IF(C465="Buy",M465, IF(AND(C465="Sell",J465="NA"),(E465*G465*100*0.1)+I465, IF(C465="Sell",(J465-L465)*(100*G465)+I465))))))</f>
        <v/>
      </c>
      <c r="O465" s="75" t="n"/>
      <c r="P465" s="75" t="n"/>
      <c r="Q465" s="75">
        <f>IF(ISBLANK(P465),"",IF(D465="Stock",P465*G465,IF(P465=0,"0",G465*P465*100-(G465*$AF$14))))</f>
        <v/>
      </c>
      <c r="R465" s="79">
        <f>IF(P465&lt;&gt;"", TODAY(), "")</f>
        <v/>
      </c>
      <c r="S465" s="78">
        <f>IF(AND(K465&lt;&gt;"", R465&lt;&gt;""), R465-K465, "")</f>
        <v/>
      </c>
      <c r="T465" s="78" t="n"/>
      <c r="U465" s="92">
        <f>IF(ISBLANK(P465),"",IF(C465="Buy",Q465-M465+T465, IF(C465="Sell",M465-Q465-T465, X)))</f>
        <v/>
      </c>
      <c r="V465" s="81">
        <f>IF(ISBLANK(P465),"",U465/N465)</f>
        <v/>
      </c>
      <c r="W465" s="81">
        <f>IF(ISBLANK(P465),"",IF(S465=0,(365/0.5)*V465,(365/S465)*V465))</f>
        <v/>
      </c>
      <c r="X465" s="75" t="n"/>
      <c r="Y465" s="77" t="n"/>
      <c r="Z465" s="77" t="n"/>
      <c r="AA465" s="75" t="n"/>
      <c r="AB465" s="75" t="n"/>
      <c r="AC465" s="6" t="n"/>
      <c r="AD465" s="75" t="n"/>
      <c r="AE465" s="75" t="n"/>
      <c r="AF465" s="75" t="n"/>
    </row>
    <row r="466" ht="15.75" customHeight="1" s="133">
      <c r="A466" s="75" t="n"/>
      <c r="B466" s="75" t="n"/>
      <c r="C466" s="75" t="n"/>
      <c r="D466" s="75" t="n"/>
      <c r="E466" s="76" t="n"/>
      <c r="F466" s="77" t="n"/>
      <c r="G466" s="75" t="n"/>
      <c r="H466" s="75">
        <f>IF(ISBLANK(E466),"",IF(OR(D466="Butterfly",D466="Butterfly ",D466="Iron Fly", D466="Iron Fly "),LEN(E466)-LEN(SUBSTITUTE(E466,"/",""))+2,LEN(E466)-LEN(SUBSTITUTE(E466,"/",""))+1))</f>
        <v/>
      </c>
      <c r="I466" s="78">
        <f>IF(ISBLANK(G466),"",IF(D466="Stock","0",Key!$A$3*H466*G466))</f>
        <v/>
      </c>
      <c r="J466" s="78">
        <f>IF(ISBLANK(E466),"",IF(ISNUMBER(SEARCH("/",E466)), IF(LEN(E466)-LEN(SUBSTITUTE(E466,"/",""))=1,(RIGHT(E466,LEN(E466)-FIND("/",E466)))-(LEFT(E466,FIND("/",E466)-1)),(MID(E466, SEARCH("/",E466) + 1, SEARCH("/",E466, SEARCH("/",E466)+1) - SEARCH("/",E466) - 1))-(LEFT(E466,FIND("/",E466)-1))), "NA"))</f>
        <v/>
      </c>
      <c r="K466" s="79">
        <f>IF(A466&lt;&gt;"", IF(ISBLANK(L466), TODAY(), K466), "")</f>
        <v/>
      </c>
      <c r="L466" s="78" t="n"/>
      <c r="M466" s="78">
        <f>IF(ISBLANK(L466),"",IF(D466="Stock",IF(C466="Buy",L466*G466,IF(C466="Sell",(L466*G466)-I466, X)),IF(C466="Buy",(L466*G466*100)+I466,IF(C466="Sell",(L466*G466*100)-I466, X))))</f>
        <v/>
      </c>
      <c r="N466" s="78">
        <f>IF(ISBLANK(L466),"",IF(AND(C466="Sell",D466="Stock"),M466,IF(ISBLANK(L466),"",IF(C466="Buy",M466, IF(AND(C466="Sell",J466="NA"),(E466*G466*100*0.1)+I466, IF(C466="Sell",(J466-L466)*(100*G466)+I466))))))</f>
        <v/>
      </c>
      <c r="O466" s="75" t="n"/>
      <c r="P466" s="75" t="n"/>
      <c r="Q466" s="75">
        <f>IF(ISBLANK(P466),"",IF(D466="Stock",P466*G466,IF(P466=0,"0",G466*P466*100-(G466*$AF$14))))</f>
        <v/>
      </c>
      <c r="R466" s="79">
        <f>IF(P466&lt;&gt;"", TODAY(), "")</f>
        <v/>
      </c>
      <c r="S466" s="78">
        <f>IF(AND(K466&lt;&gt;"", R466&lt;&gt;""), R466-K466, "")</f>
        <v/>
      </c>
      <c r="T466" s="78" t="n"/>
      <c r="U466" s="92">
        <f>IF(ISBLANK(P466),"",IF(C466="Buy",Q466-M466+T466, IF(C466="Sell",M466-Q466-T466, X)))</f>
        <v/>
      </c>
      <c r="V466" s="81">
        <f>IF(ISBLANK(P466),"",U466/N466)</f>
        <v/>
      </c>
      <c r="W466" s="81">
        <f>IF(ISBLANK(P466),"",IF(S466=0,(365/0.5)*V466,(365/S466)*V466))</f>
        <v/>
      </c>
      <c r="X466" s="75" t="n"/>
      <c r="Y466" s="77" t="n"/>
      <c r="Z466" s="77" t="n"/>
      <c r="AA466" s="75" t="n"/>
      <c r="AB466" s="75" t="n"/>
      <c r="AC466" s="6" t="n"/>
      <c r="AD466" s="75" t="n"/>
      <c r="AE466" s="75" t="n"/>
      <c r="AF466" s="75" t="n"/>
    </row>
    <row r="467" ht="15.75" customHeight="1" s="133">
      <c r="A467" s="75" t="n"/>
      <c r="B467" s="75" t="n"/>
      <c r="C467" s="75" t="n"/>
      <c r="D467" s="75" t="n"/>
      <c r="E467" s="76" t="n"/>
      <c r="F467" s="77" t="n"/>
      <c r="G467" s="75" t="n"/>
      <c r="H467" s="75">
        <f>IF(ISBLANK(E467),"",IF(OR(D467="Butterfly",D467="Butterfly ",D467="Iron Fly", D467="Iron Fly "),LEN(E467)-LEN(SUBSTITUTE(E467,"/",""))+2,LEN(E467)-LEN(SUBSTITUTE(E467,"/",""))+1))</f>
        <v/>
      </c>
      <c r="I467" s="78">
        <f>IF(ISBLANK(G467),"",IF(D467="Stock","0",Key!$A$3*H467*G467))</f>
        <v/>
      </c>
      <c r="J467" s="78">
        <f>IF(ISBLANK(E467),"",IF(ISNUMBER(SEARCH("/",E467)), IF(LEN(E467)-LEN(SUBSTITUTE(E467,"/",""))=1,(RIGHT(E467,LEN(E467)-FIND("/",E467)))-(LEFT(E467,FIND("/",E467)-1)),(MID(E467, SEARCH("/",E467) + 1, SEARCH("/",E467, SEARCH("/",E467)+1) - SEARCH("/",E467) - 1))-(LEFT(E467,FIND("/",E467)-1))), "NA"))</f>
        <v/>
      </c>
      <c r="K467" s="79">
        <f>IF(A467&lt;&gt;"", IF(ISBLANK(L467), TODAY(), K467), "")</f>
        <v/>
      </c>
      <c r="L467" s="78" t="n"/>
      <c r="M467" s="78">
        <f>IF(ISBLANK(L467),"",IF(D467="Stock",IF(C467="Buy",L467*G467,IF(C467="Sell",(L467*G467)-I467, X)),IF(C467="Buy",(L467*G467*100)+I467,IF(C467="Sell",(L467*G467*100)-I467, X))))</f>
        <v/>
      </c>
      <c r="N467" s="78">
        <f>IF(ISBLANK(L467),"",IF(AND(C467="Sell",D467="Stock"),M467,IF(ISBLANK(L467),"",IF(C467="Buy",M467, IF(AND(C467="Sell",J467="NA"),(E467*G467*100*0.1)+I467, IF(C467="Sell",(J467-L467)*(100*G467)+I467))))))</f>
        <v/>
      </c>
      <c r="O467" s="75" t="n"/>
      <c r="P467" s="75" t="n"/>
      <c r="Q467" s="75">
        <f>IF(ISBLANK(P467),"",IF(D467="Stock",P467*G467,IF(P467=0,"0",G467*P467*100-(G467*$AF$14))))</f>
        <v/>
      </c>
      <c r="R467" s="79">
        <f>IF(P467&lt;&gt;"", TODAY(), "")</f>
        <v/>
      </c>
      <c r="S467" s="78">
        <f>IF(AND(K467&lt;&gt;"", R467&lt;&gt;""), R467-K467, "")</f>
        <v/>
      </c>
      <c r="T467" s="78" t="n"/>
      <c r="U467" s="92">
        <f>IF(ISBLANK(P467),"",IF(C467="Buy",Q467-M467+T467, IF(C467="Sell",M467-Q467-T467, X)))</f>
        <v/>
      </c>
      <c r="V467" s="81">
        <f>IF(ISBLANK(P467),"",U467/N467)</f>
        <v/>
      </c>
      <c r="W467" s="81">
        <f>IF(ISBLANK(P467),"",IF(S467=0,(365/0.5)*V467,(365/S467)*V467))</f>
        <v/>
      </c>
      <c r="X467" s="75" t="n"/>
      <c r="Y467" s="77" t="n"/>
      <c r="Z467" s="77" t="n"/>
      <c r="AA467" s="75" t="n"/>
      <c r="AB467" s="75" t="n"/>
      <c r="AC467" s="6" t="n"/>
      <c r="AD467" s="75" t="n"/>
      <c r="AE467" s="75" t="n"/>
      <c r="AF467" s="75" t="n"/>
    </row>
    <row r="468" ht="15.75" customHeight="1" s="133">
      <c r="A468" s="75" t="n"/>
      <c r="B468" s="75" t="n"/>
      <c r="C468" s="75" t="n"/>
      <c r="D468" s="75" t="n"/>
      <c r="E468" s="76" t="n"/>
      <c r="F468" s="77" t="n"/>
      <c r="G468" s="75" t="n"/>
      <c r="H468" s="75">
        <f>IF(ISBLANK(E468),"",IF(OR(D468="Butterfly",D468="Butterfly ",D468="Iron Fly", D468="Iron Fly "),LEN(E468)-LEN(SUBSTITUTE(E468,"/",""))+2,LEN(E468)-LEN(SUBSTITUTE(E468,"/",""))+1))</f>
        <v/>
      </c>
      <c r="I468" s="78">
        <f>IF(ISBLANK(G468),"",IF(D468="Stock","0",Key!$A$3*H468*G468))</f>
        <v/>
      </c>
      <c r="J468" s="78">
        <f>IF(ISBLANK(E468),"",IF(ISNUMBER(SEARCH("/",E468)), IF(LEN(E468)-LEN(SUBSTITUTE(E468,"/",""))=1,(RIGHT(E468,LEN(E468)-FIND("/",E468)))-(LEFT(E468,FIND("/",E468)-1)),(MID(E468, SEARCH("/",E468) + 1, SEARCH("/",E468, SEARCH("/",E468)+1) - SEARCH("/",E468) - 1))-(LEFT(E468,FIND("/",E468)-1))), "NA"))</f>
        <v/>
      </c>
      <c r="K468" s="79">
        <f>IF(A468&lt;&gt;"", IF(ISBLANK(L468), TODAY(), K468), "")</f>
        <v/>
      </c>
      <c r="L468" s="78" t="n"/>
      <c r="M468" s="78">
        <f>IF(ISBLANK(L468),"",IF(D468="Stock",IF(C468="Buy",L468*G468,IF(C468="Sell",(L468*G468)-I468, X)),IF(C468="Buy",(L468*G468*100)+I468,IF(C468="Sell",(L468*G468*100)-I468, X))))</f>
        <v/>
      </c>
      <c r="N468" s="78">
        <f>IF(ISBLANK(L468),"",IF(AND(C468="Sell",D468="Stock"),M468,IF(ISBLANK(L468),"",IF(C468="Buy",M468, IF(AND(C468="Sell",J468="NA"),(E468*G468*100*0.1)+I468, IF(C468="Sell",(J468-L468)*(100*G468)+I468))))))</f>
        <v/>
      </c>
      <c r="O468" s="75" t="n"/>
      <c r="P468" s="75" t="n"/>
      <c r="Q468" s="75">
        <f>IF(ISBLANK(P468),"",IF(D468="Stock",P468*G468,IF(P468=0,"0",G468*P468*100-(G468*$AF$14))))</f>
        <v/>
      </c>
      <c r="R468" s="79">
        <f>IF(P468&lt;&gt;"", TODAY(), "")</f>
        <v/>
      </c>
      <c r="S468" s="78">
        <f>IF(AND(K468&lt;&gt;"", R468&lt;&gt;""), R468-K468, "")</f>
        <v/>
      </c>
      <c r="T468" s="78" t="n"/>
      <c r="U468" s="92">
        <f>IF(ISBLANK(P468),"",IF(C468="Buy",Q468-M468+T468, IF(C468="Sell",M468-Q468-T468, X)))</f>
        <v/>
      </c>
      <c r="V468" s="81">
        <f>IF(ISBLANK(P468),"",U468/N468)</f>
        <v/>
      </c>
      <c r="W468" s="81">
        <f>IF(ISBLANK(P468),"",IF(S468=0,(365/0.5)*V468,(365/S468)*V468))</f>
        <v/>
      </c>
      <c r="X468" s="75" t="n"/>
      <c r="Y468" s="77" t="n"/>
      <c r="Z468" s="77" t="n"/>
      <c r="AA468" s="75" t="n"/>
      <c r="AB468" s="75" t="n"/>
      <c r="AC468" s="6" t="n"/>
      <c r="AD468" s="75" t="n"/>
      <c r="AE468" s="75" t="n"/>
      <c r="AF468" s="75" t="n"/>
    </row>
    <row r="469" ht="15.75" customHeight="1" s="133">
      <c r="A469" s="75" t="n"/>
      <c r="B469" s="75" t="n"/>
      <c r="C469" s="75" t="n"/>
      <c r="D469" s="75" t="n"/>
      <c r="E469" s="76" t="n"/>
      <c r="F469" s="77" t="n"/>
      <c r="G469" s="75" t="n"/>
      <c r="H469" s="75">
        <f>IF(ISBLANK(E469),"",IF(OR(D469="Butterfly",D469="Butterfly ",D469="Iron Fly", D469="Iron Fly "),LEN(E469)-LEN(SUBSTITUTE(E469,"/",""))+2,LEN(E469)-LEN(SUBSTITUTE(E469,"/",""))+1))</f>
        <v/>
      </c>
      <c r="I469" s="78">
        <f>IF(ISBLANK(G469),"",IF(D469="Stock","0",Key!$A$3*H469*G469))</f>
        <v/>
      </c>
      <c r="J469" s="78">
        <f>IF(ISBLANK(E469),"",IF(ISNUMBER(SEARCH("/",E469)), IF(LEN(E469)-LEN(SUBSTITUTE(E469,"/",""))=1,(RIGHT(E469,LEN(E469)-FIND("/",E469)))-(LEFT(E469,FIND("/",E469)-1)),(MID(E469, SEARCH("/",E469) + 1, SEARCH("/",E469, SEARCH("/",E469)+1) - SEARCH("/",E469) - 1))-(LEFT(E469,FIND("/",E469)-1))), "NA"))</f>
        <v/>
      </c>
      <c r="K469" s="79">
        <f>IF(A469&lt;&gt;"", IF(ISBLANK(L469), TODAY(), K469), "")</f>
        <v/>
      </c>
      <c r="L469" s="78" t="n"/>
      <c r="M469" s="78">
        <f>IF(ISBLANK(L469),"",IF(D469="Stock",IF(C469="Buy",L469*G469,IF(C469="Sell",(L469*G469)-I469, X)),IF(C469="Buy",(L469*G469*100)+I469,IF(C469="Sell",(L469*G469*100)-I469, X))))</f>
        <v/>
      </c>
      <c r="N469" s="78">
        <f>IF(ISBLANK(L469),"",IF(AND(C469="Sell",D469="Stock"),M469,IF(ISBLANK(L469),"",IF(C469="Buy",M469, IF(AND(C469="Sell",J469="NA"),(E469*G469*100*0.1)+I469, IF(C469="Sell",(J469-L469)*(100*G469)+I469))))))</f>
        <v/>
      </c>
      <c r="O469" s="75" t="n"/>
      <c r="P469" s="75" t="n"/>
      <c r="Q469" s="75">
        <f>IF(ISBLANK(P469),"",IF(D469="Stock",P469*G469,IF(P469=0,"0",G469*P469*100-(G469*$AF$14))))</f>
        <v/>
      </c>
      <c r="R469" s="79">
        <f>IF(P469&lt;&gt;"", TODAY(), "")</f>
        <v/>
      </c>
      <c r="S469" s="78">
        <f>IF(AND(K469&lt;&gt;"", R469&lt;&gt;""), R469-K469, "")</f>
        <v/>
      </c>
      <c r="T469" s="78" t="n"/>
      <c r="U469" s="92">
        <f>IF(ISBLANK(P469),"",IF(C469="Buy",Q469-M469+T469, IF(C469="Sell",M469-Q469-T469, X)))</f>
        <v/>
      </c>
      <c r="V469" s="81">
        <f>IF(ISBLANK(P469),"",U469/N469)</f>
        <v/>
      </c>
      <c r="W469" s="81">
        <f>IF(ISBLANK(P469),"",IF(S469=0,(365/0.5)*V469,(365/S469)*V469))</f>
        <v/>
      </c>
      <c r="X469" s="75" t="n"/>
      <c r="Y469" s="77" t="n"/>
      <c r="Z469" s="77" t="n"/>
      <c r="AA469" s="75" t="n"/>
      <c r="AB469" s="75" t="n"/>
      <c r="AC469" s="6" t="n"/>
      <c r="AD469" s="75" t="n"/>
      <c r="AE469" s="75" t="n"/>
      <c r="AF469" s="75" t="n"/>
    </row>
    <row r="470" ht="15.75" customHeight="1" s="133">
      <c r="A470" s="75" t="n"/>
      <c r="B470" s="75" t="n"/>
      <c r="C470" s="75" t="n"/>
      <c r="D470" s="75" t="n"/>
      <c r="E470" s="76" t="n"/>
      <c r="F470" s="77" t="n"/>
      <c r="G470" s="75" t="n"/>
      <c r="H470" s="75">
        <f>IF(ISBLANK(E470),"",IF(OR(D470="Butterfly",D470="Butterfly ",D470="Iron Fly", D470="Iron Fly "),LEN(E470)-LEN(SUBSTITUTE(E470,"/",""))+2,LEN(E470)-LEN(SUBSTITUTE(E470,"/",""))+1))</f>
        <v/>
      </c>
      <c r="I470" s="78">
        <f>IF(ISBLANK(G470),"",IF(D470="Stock","0",Key!$A$3*H470*G470))</f>
        <v/>
      </c>
      <c r="J470" s="78">
        <f>IF(ISBLANK(E470),"",IF(ISNUMBER(SEARCH("/",E470)), IF(LEN(E470)-LEN(SUBSTITUTE(E470,"/",""))=1,(RIGHT(E470,LEN(E470)-FIND("/",E470)))-(LEFT(E470,FIND("/",E470)-1)),(MID(E470, SEARCH("/",E470) + 1, SEARCH("/",E470, SEARCH("/",E470)+1) - SEARCH("/",E470) - 1))-(LEFT(E470,FIND("/",E470)-1))), "NA"))</f>
        <v/>
      </c>
      <c r="K470" s="79">
        <f>IF(A470&lt;&gt;"", IF(ISBLANK(L470), TODAY(), K470), "")</f>
        <v/>
      </c>
      <c r="L470" s="78" t="n"/>
      <c r="M470" s="78">
        <f>IF(ISBLANK(L470),"",IF(D470="Stock",IF(C470="Buy",L470*G470,IF(C470="Sell",(L470*G470)-I470, X)),IF(C470="Buy",(L470*G470*100)+I470,IF(C470="Sell",(L470*G470*100)-I470, X))))</f>
        <v/>
      </c>
      <c r="N470" s="78">
        <f>IF(ISBLANK(L470),"",IF(AND(C470="Sell",D470="Stock"),M470,IF(ISBLANK(L470),"",IF(C470="Buy",M470, IF(AND(C470="Sell",J470="NA"),(E470*G470*100*0.1)+I470, IF(C470="Sell",(J470-L470)*(100*G470)+I470))))))</f>
        <v/>
      </c>
      <c r="O470" s="75" t="n"/>
      <c r="P470" s="75" t="n"/>
      <c r="Q470" s="75">
        <f>IF(ISBLANK(P470),"",IF(D470="Stock",P470*G470,IF(P470=0,"0",G470*P470*100-(G470*$AF$14))))</f>
        <v/>
      </c>
      <c r="R470" s="79">
        <f>IF(P470&lt;&gt;"", TODAY(), "")</f>
        <v/>
      </c>
      <c r="S470" s="78">
        <f>IF(AND(K470&lt;&gt;"", R470&lt;&gt;""), R470-K470, "")</f>
        <v/>
      </c>
      <c r="T470" s="78" t="n"/>
      <c r="U470" s="92">
        <f>IF(ISBLANK(P470),"",IF(C470="Buy",Q470-M470+T470, IF(C470="Sell",M470-Q470-T470, X)))</f>
        <v/>
      </c>
      <c r="V470" s="81">
        <f>IF(ISBLANK(P470),"",U470/N470)</f>
        <v/>
      </c>
      <c r="W470" s="81">
        <f>IF(ISBLANK(P470),"",IF(S470=0,(365/0.5)*V470,(365/S470)*V470))</f>
        <v/>
      </c>
      <c r="X470" s="75" t="n"/>
      <c r="Y470" s="77" t="n"/>
      <c r="Z470" s="77" t="n"/>
      <c r="AA470" s="75" t="n"/>
      <c r="AB470" s="75" t="n"/>
      <c r="AC470" s="6" t="n"/>
      <c r="AD470" s="75" t="n"/>
      <c r="AE470" s="75" t="n"/>
      <c r="AF470" s="75" t="n"/>
    </row>
    <row r="471" ht="15.75" customHeight="1" s="133">
      <c r="A471" s="75" t="n"/>
      <c r="B471" s="75" t="n"/>
      <c r="C471" s="75" t="n"/>
      <c r="D471" s="75" t="n"/>
      <c r="E471" s="76" t="n"/>
      <c r="F471" s="77" t="n"/>
      <c r="G471" s="75" t="n"/>
      <c r="H471" s="75">
        <f>IF(ISBLANK(E471),"",IF(OR(D471="Butterfly",D471="Butterfly ",D471="Iron Fly", D471="Iron Fly "),LEN(E471)-LEN(SUBSTITUTE(E471,"/",""))+2,LEN(E471)-LEN(SUBSTITUTE(E471,"/",""))+1))</f>
        <v/>
      </c>
      <c r="I471" s="78">
        <f>IF(ISBLANK(G471),"",IF(D471="Stock","0",Key!$A$3*H471*G471))</f>
        <v/>
      </c>
      <c r="J471" s="78">
        <f>IF(ISBLANK(E471),"",IF(ISNUMBER(SEARCH("/",E471)), IF(LEN(E471)-LEN(SUBSTITUTE(E471,"/",""))=1,(RIGHT(E471,LEN(E471)-FIND("/",E471)))-(LEFT(E471,FIND("/",E471)-1)),(MID(E471, SEARCH("/",E471) + 1, SEARCH("/",E471, SEARCH("/",E471)+1) - SEARCH("/",E471) - 1))-(LEFT(E471,FIND("/",E471)-1))), "NA"))</f>
        <v/>
      </c>
      <c r="K471" s="79">
        <f>IF(A471&lt;&gt;"", IF(ISBLANK(L471), TODAY(), K471), "")</f>
        <v/>
      </c>
      <c r="L471" s="78" t="n"/>
      <c r="M471" s="78">
        <f>IF(ISBLANK(L471),"",IF(D471="Stock",IF(C471="Buy",L471*G471,IF(C471="Sell",(L471*G471)-I471, X)),IF(C471="Buy",(L471*G471*100)+I471,IF(C471="Sell",(L471*G471*100)-I471, X))))</f>
        <v/>
      </c>
      <c r="N471" s="78">
        <f>IF(ISBLANK(L471),"",IF(AND(C471="Sell",D471="Stock"),M471,IF(ISBLANK(L471),"",IF(C471="Buy",M471, IF(AND(C471="Sell",J471="NA"),(E471*G471*100*0.1)+I471, IF(C471="Sell",(J471-L471)*(100*G471)+I471))))))</f>
        <v/>
      </c>
      <c r="O471" s="75" t="n"/>
      <c r="P471" s="75" t="n"/>
      <c r="Q471" s="75">
        <f>IF(ISBLANK(P471),"",IF(D471="Stock",P471*G471,IF(P471=0,"0",G471*P471*100-(G471*$AF$14))))</f>
        <v/>
      </c>
      <c r="R471" s="79">
        <f>IF(P471&lt;&gt;"", TODAY(), "")</f>
        <v/>
      </c>
      <c r="S471" s="78">
        <f>IF(AND(K471&lt;&gt;"", R471&lt;&gt;""), R471-K471, "")</f>
        <v/>
      </c>
      <c r="T471" s="78" t="n"/>
      <c r="U471" s="92">
        <f>IF(ISBLANK(P471),"",IF(C471="Buy",Q471-M471+T471, IF(C471="Sell",M471-Q471-T471, X)))</f>
        <v/>
      </c>
      <c r="V471" s="81">
        <f>IF(ISBLANK(P471),"",U471/N471)</f>
        <v/>
      </c>
      <c r="W471" s="81">
        <f>IF(ISBLANK(P471),"",IF(S471=0,(365/0.5)*V471,(365/S471)*V471))</f>
        <v/>
      </c>
      <c r="X471" s="75" t="n"/>
      <c r="Y471" s="77" t="n"/>
      <c r="Z471" s="77" t="n"/>
      <c r="AA471" s="75" t="n"/>
      <c r="AB471" s="75" t="n"/>
      <c r="AC471" s="6" t="n"/>
      <c r="AD471" s="75" t="n"/>
      <c r="AE471" s="75" t="n"/>
      <c r="AF471" s="75" t="n"/>
    </row>
    <row r="472" ht="15.75" customHeight="1" s="133">
      <c r="A472" s="75" t="n"/>
      <c r="B472" s="75" t="n"/>
      <c r="C472" s="75" t="n"/>
      <c r="D472" s="75" t="n"/>
      <c r="E472" s="76" t="n"/>
      <c r="F472" s="77" t="n"/>
      <c r="G472" s="75" t="n"/>
      <c r="H472" s="75">
        <f>IF(ISBLANK(E472),"",IF(OR(D472="Butterfly",D472="Butterfly ",D472="Iron Fly", D472="Iron Fly "),LEN(E472)-LEN(SUBSTITUTE(E472,"/",""))+2,LEN(E472)-LEN(SUBSTITUTE(E472,"/",""))+1))</f>
        <v/>
      </c>
      <c r="I472" s="78">
        <f>IF(ISBLANK(G472),"",IF(D472="Stock","0",Key!$A$3*H472*G472))</f>
        <v/>
      </c>
      <c r="J472" s="78">
        <f>IF(ISBLANK(E472),"",IF(ISNUMBER(SEARCH("/",E472)), IF(LEN(E472)-LEN(SUBSTITUTE(E472,"/",""))=1,(RIGHT(E472,LEN(E472)-FIND("/",E472)))-(LEFT(E472,FIND("/",E472)-1)),(MID(E472, SEARCH("/",E472) + 1, SEARCH("/",E472, SEARCH("/",E472)+1) - SEARCH("/",E472) - 1))-(LEFT(E472,FIND("/",E472)-1))), "NA"))</f>
        <v/>
      </c>
      <c r="K472" s="79">
        <f>IF(A472&lt;&gt;"", IF(ISBLANK(L472), TODAY(), K472), "")</f>
        <v/>
      </c>
      <c r="L472" s="78" t="n"/>
      <c r="M472" s="78">
        <f>IF(ISBLANK(L472),"",IF(D472="Stock",IF(C472="Buy",L472*G472,IF(C472="Sell",(L472*G472)-I472, X)),IF(C472="Buy",(L472*G472*100)+I472,IF(C472="Sell",(L472*G472*100)-I472, X))))</f>
        <v/>
      </c>
      <c r="N472" s="78">
        <f>IF(ISBLANK(L472),"",IF(AND(C472="Sell",D472="Stock"),M472,IF(ISBLANK(L472),"",IF(C472="Buy",M472, IF(AND(C472="Sell",J472="NA"),(E472*G472*100*0.1)+I472, IF(C472="Sell",(J472-L472)*(100*G472)+I472))))))</f>
        <v/>
      </c>
      <c r="O472" s="75" t="n"/>
      <c r="P472" s="75" t="n"/>
      <c r="Q472" s="75">
        <f>IF(ISBLANK(P472),"",IF(D472="Stock",P472*G472,IF(P472=0,"0",G472*P472*100-(G472*$AF$14))))</f>
        <v/>
      </c>
      <c r="R472" s="79">
        <f>IF(P472&lt;&gt;"", TODAY(), "")</f>
        <v/>
      </c>
      <c r="S472" s="78">
        <f>IF(AND(K472&lt;&gt;"", R472&lt;&gt;""), R472-K472, "")</f>
        <v/>
      </c>
      <c r="T472" s="78" t="n"/>
      <c r="U472" s="92">
        <f>IF(ISBLANK(P472),"",IF(C472="Buy",Q472-M472+T472, IF(C472="Sell",M472-Q472-T472, X)))</f>
        <v/>
      </c>
      <c r="V472" s="81">
        <f>IF(ISBLANK(P472),"",U472/N472)</f>
        <v/>
      </c>
      <c r="W472" s="81">
        <f>IF(ISBLANK(P472),"",IF(S472=0,(365/0.5)*V472,(365/S472)*V472))</f>
        <v/>
      </c>
      <c r="X472" s="75" t="n"/>
      <c r="Y472" s="77" t="n"/>
      <c r="Z472" s="77" t="n"/>
      <c r="AA472" s="75" t="n"/>
      <c r="AB472" s="75" t="n"/>
      <c r="AC472" s="6" t="n"/>
      <c r="AD472" s="75" t="n"/>
      <c r="AE472" s="75" t="n"/>
      <c r="AF472" s="75" t="n"/>
    </row>
    <row r="473" ht="15.75" customHeight="1" s="133">
      <c r="A473" s="75" t="n"/>
      <c r="B473" s="75" t="n"/>
      <c r="C473" s="75" t="n"/>
      <c r="D473" s="75" t="n"/>
      <c r="E473" s="76" t="n"/>
      <c r="F473" s="77" t="n"/>
      <c r="G473" s="75" t="n"/>
      <c r="H473" s="75">
        <f>IF(ISBLANK(E473),"",IF(OR(D473="Butterfly",D473="Butterfly ",D473="Iron Fly", D473="Iron Fly "),LEN(E473)-LEN(SUBSTITUTE(E473,"/",""))+2,LEN(E473)-LEN(SUBSTITUTE(E473,"/",""))+1))</f>
        <v/>
      </c>
      <c r="I473" s="78">
        <f>IF(ISBLANK(G473),"",IF(D473="Stock","0",Key!$A$3*H473*G473))</f>
        <v/>
      </c>
      <c r="J473" s="78">
        <f>IF(ISBLANK(E473),"",IF(ISNUMBER(SEARCH("/",E473)), IF(LEN(E473)-LEN(SUBSTITUTE(E473,"/",""))=1,(RIGHT(E473,LEN(E473)-FIND("/",E473)))-(LEFT(E473,FIND("/",E473)-1)),(MID(E473, SEARCH("/",E473) + 1, SEARCH("/",E473, SEARCH("/",E473)+1) - SEARCH("/",E473) - 1))-(LEFT(E473,FIND("/",E473)-1))), "NA"))</f>
        <v/>
      </c>
      <c r="K473" s="79">
        <f>IF(A473&lt;&gt;"", IF(ISBLANK(L473), TODAY(), K473), "")</f>
        <v/>
      </c>
      <c r="L473" s="78" t="n"/>
      <c r="M473" s="78">
        <f>IF(ISBLANK(L473),"",IF(D473="Stock",IF(C473="Buy",L473*G473,IF(C473="Sell",(L473*G473)-I473, X)),IF(C473="Buy",(L473*G473*100)+I473,IF(C473="Sell",(L473*G473*100)-I473, X))))</f>
        <v/>
      </c>
      <c r="N473" s="78">
        <f>IF(ISBLANK(L473),"",IF(AND(C473="Sell",D473="Stock"),M473,IF(ISBLANK(L473),"",IF(C473="Buy",M473, IF(AND(C473="Sell",J473="NA"),(E473*G473*100*0.1)+I473, IF(C473="Sell",(J473-L473)*(100*G473)+I473))))))</f>
        <v/>
      </c>
      <c r="O473" s="75" t="n"/>
      <c r="P473" s="75" t="n"/>
      <c r="Q473" s="75">
        <f>IF(ISBLANK(P473),"",IF(D473="Stock",P473*G473,IF(P473=0,"0",G473*P473*100-(G473*$AF$14))))</f>
        <v/>
      </c>
      <c r="R473" s="79">
        <f>IF(P473&lt;&gt;"", TODAY(), "")</f>
        <v/>
      </c>
      <c r="S473" s="78">
        <f>IF(AND(K473&lt;&gt;"", R473&lt;&gt;""), R473-K473, "")</f>
        <v/>
      </c>
      <c r="T473" s="78" t="n"/>
      <c r="U473" s="92">
        <f>IF(ISBLANK(P473),"",IF(C473="Buy",Q473-M473+T473, IF(C473="Sell",M473-Q473-T473, X)))</f>
        <v/>
      </c>
      <c r="V473" s="81">
        <f>IF(ISBLANK(P473),"",U473/N473)</f>
        <v/>
      </c>
      <c r="W473" s="81">
        <f>IF(ISBLANK(P473),"",IF(S473=0,(365/0.5)*V473,(365/S473)*V473))</f>
        <v/>
      </c>
      <c r="X473" s="75" t="n"/>
      <c r="Y473" s="77" t="n"/>
      <c r="Z473" s="77" t="n"/>
      <c r="AA473" s="75" t="n"/>
      <c r="AB473" s="75" t="n"/>
      <c r="AC473" s="6" t="n"/>
      <c r="AD473" s="75" t="n"/>
      <c r="AE473" s="75" t="n"/>
      <c r="AF473" s="75" t="n"/>
    </row>
    <row r="474" ht="15.75" customHeight="1" s="133">
      <c r="A474" s="75" t="n"/>
      <c r="B474" s="75" t="n"/>
      <c r="C474" s="75" t="n"/>
      <c r="D474" s="75" t="n"/>
      <c r="E474" s="76" t="n"/>
      <c r="F474" s="77" t="n"/>
      <c r="G474" s="75" t="n"/>
      <c r="H474" s="75">
        <f>IF(ISBLANK(E474),"",IF(OR(D474="Butterfly",D474="Butterfly ",D474="Iron Fly", D474="Iron Fly "),LEN(E474)-LEN(SUBSTITUTE(E474,"/",""))+2,LEN(E474)-LEN(SUBSTITUTE(E474,"/",""))+1))</f>
        <v/>
      </c>
      <c r="I474" s="78">
        <f>IF(ISBLANK(G474),"",IF(D474="Stock","0",Key!$A$3*H474*G474))</f>
        <v/>
      </c>
      <c r="J474" s="78">
        <f>IF(ISBLANK(E474),"",IF(ISNUMBER(SEARCH("/",E474)), IF(LEN(E474)-LEN(SUBSTITUTE(E474,"/",""))=1,(RIGHT(E474,LEN(E474)-FIND("/",E474)))-(LEFT(E474,FIND("/",E474)-1)),(MID(E474, SEARCH("/",E474) + 1, SEARCH("/",E474, SEARCH("/",E474)+1) - SEARCH("/",E474) - 1))-(LEFT(E474,FIND("/",E474)-1))), "NA"))</f>
        <v/>
      </c>
      <c r="K474" s="79">
        <f>IF(A474&lt;&gt;"", IF(ISBLANK(L474), TODAY(), K474), "")</f>
        <v/>
      </c>
      <c r="L474" s="78" t="n"/>
      <c r="M474" s="78">
        <f>IF(ISBLANK(L474),"",IF(D474="Stock",IF(C474="Buy",L474*G474,IF(C474="Sell",(L474*G474)-I474, X)),IF(C474="Buy",(L474*G474*100)+I474,IF(C474="Sell",(L474*G474*100)-I474, X))))</f>
        <v/>
      </c>
      <c r="N474" s="78">
        <f>IF(ISBLANK(L474),"",IF(AND(C474="Sell",D474="Stock"),M474,IF(ISBLANK(L474),"",IF(C474="Buy",M474, IF(AND(C474="Sell",J474="NA"),(E474*G474*100*0.1)+I474, IF(C474="Sell",(J474-L474)*(100*G474)+I474))))))</f>
        <v/>
      </c>
      <c r="O474" s="75" t="n"/>
      <c r="P474" s="75" t="n"/>
      <c r="Q474" s="75">
        <f>IF(ISBLANK(P474),"",IF(D474="Stock",P474*G474,IF(P474=0,"0",G474*P474*100-(G474*$AF$14))))</f>
        <v/>
      </c>
      <c r="R474" s="79">
        <f>IF(P474&lt;&gt;"", TODAY(), "")</f>
        <v/>
      </c>
      <c r="S474" s="78">
        <f>IF(AND(K474&lt;&gt;"", R474&lt;&gt;""), R474-K474, "")</f>
        <v/>
      </c>
      <c r="T474" s="78" t="n"/>
      <c r="U474" s="92">
        <f>IF(ISBLANK(P474),"",IF(C474="Buy",Q474-M474+T474, IF(C474="Sell",M474-Q474-T474, X)))</f>
        <v/>
      </c>
      <c r="V474" s="81">
        <f>IF(ISBLANK(P474),"",U474/N474)</f>
        <v/>
      </c>
      <c r="W474" s="81">
        <f>IF(ISBLANK(P474),"",IF(S474=0,(365/0.5)*V474,(365/S474)*V474))</f>
        <v/>
      </c>
      <c r="X474" s="75" t="n"/>
      <c r="Y474" s="77" t="n"/>
      <c r="Z474" s="77" t="n"/>
      <c r="AA474" s="75" t="n"/>
      <c r="AB474" s="75" t="n"/>
      <c r="AC474" s="6" t="n"/>
      <c r="AD474" s="75" t="n"/>
      <c r="AE474" s="75" t="n"/>
      <c r="AF474" s="75" t="n"/>
    </row>
    <row r="475" ht="15.75" customHeight="1" s="133">
      <c r="A475" s="75" t="n"/>
      <c r="B475" s="75" t="n"/>
      <c r="C475" s="75" t="n"/>
      <c r="D475" s="75" t="n"/>
      <c r="E475" s="76" t="n"/>
      <c r="F475" s="77" t="n"/>
      <c r="G475" s="75" t="n"/>
      <c r="H475" s="75">
        <f>IF(ISBLANK(E475),"",IF(OR(D475="Butterfly",D475="Butterfly ",D475="Iron Fly", D475="Iron Fly "),LEN(E475)-LEN(SUBSTITUTE(E475,"/",""))+2,LEN(E475)-LEN(SUBSTITUTE(E475,"/",""))+1))</f>
        <v/>
      </c>
      <c r="I475" s="78">
        <f>IF(ISBLANK(G475),"",IF(D475="Stock","0",Key!$A$3*H475*G475))</f>
        <v/>
      </c>
      <c r="J475" s="78">
        <f>IF(ISBLANK(E475),"",IF(ISNUMBER(SEARCH("/",E475)), IF(LEN(E475)-LEN(SUBSTITUTE(E475,"/",""))=1,(RIGHT(E475,LEN(E475)-FIND("/",E475)))-(LEFT(E475,FIND("/",E475)-1)),(MID(E475, SEARCH("/",E475) + 1, SEARCH("/",E475, SEARCH("/",E475)+1) - SEARCH("/",E475) - 1))-(LEFT(E475,FIND("/",E475)-1))), "NA"))</f>
        <v/>
      </c>
      <c r="K475" s="79">
        <f>IF(A475&lt;&gt;"", IF(ISBLANK(L475), TODAY(), K475), "")</f>
        <v/>
      </c>
      <c r="L475" s="78" t="n"/>
      <c r="M475" s="78">
        <f>IF(ISBLANK(L475),"",IF(D475="Stock",IF(C475="Buy",L475*G475,IF(C475="Sell",(L475*G475)-I475, X)),IF(C475="Buy",(L475*G475*100)+I475,IF(C475="Sell",(L475*G475*100)-I475, X))))</f>
        <v/>
      </c>
      <c r="N475" s="78">
        <f>IF(ISBLANK(L475),"",IF(AND(C475="Sell",D475="Stock"),M475,IF(ISBLANK(L475),"",IF(C475="Buy",M475, IF(AND(C475="Sell",J475="NA"),(E475*G475*100*0.1)+I475, IF(C475="Sell",(J475-L475)*(100*G475)+I475))))))</f>
        <v/>
      </c>
      <c r="O475" s="75" t="n"/>
      <c r="P475" s="75" t="n"/>
      <c r="Q475" s="75">
        <f>IF(ISBLANK(P475),"",IF(D475="Stock",P475*G475,IF(P475=0,"0",G475*P475*100-(G475*$AF$14))))</f>
        <v/>
      </c>
      <c r="R475" s="79">
        <f>IF(P475&lt;&gt;"", TODAY(), "")</f>
        <v/>
      </c>
      <c r="S475" s="78">
        <f>IF(AND(K475&lt;&gt;"", R475&lt;&gt;""), R475-K475, "")</f>
        <v/>
      </c>
      <c r="T475" s="78" t="n"/>
      <c r="U475" s="92">
        <f>IF(ISBLANK(P475),"",IF(C475="Buy",Q475-M475+T475, IF(C475="Sell",M475-Q475-T475, X)))</f>
        <v/>
      </c>
      <c r="V475" s="81">
        <f>IF(ISBLANK(P475),"",U475/N475)</f>
        <v/>
      </c>
      <c r="W475" s="81">
        <f>IF(ISBLANK(P475),"",IF(S475=0,(365/0.5)*V475,(365/S475)*V475))</f>
        <v/>
      </c>
      <c r="X475" s="75" t="n"/>
      <c r="Y475" s="77" t="n"/>
      <c r="Z475" s="77" t="n"/>
      <c r="AA475" s="75" t="n"/>
      <c r="AB475" s="75" t="n"/>
      <c r="AC475" s="6" t="n"/>
      <c r="AD475" s="75" t="n"/>
      <c r="AE475" s="75" t="n"/>
      <c r="AF475" s="75" t="n"/>
    </row>
    <row r="476" ht="15.75" customHeight="1" s="133">
      <c r="A476" s="75" t="n"/>
      <c r="B476" s="75" t="n"/>
      <c r="C476" s="75" t="n"/>
      <c r="D476" s="75" t="n"/>
      <c r="E476" s="76" t="n"/>
      <c r="F476" s="77" t="n"/>
      <c r="G476" s="75" t="n"/>
      <c r="H476" s="75">
        <f>IF(ISBLANK(E476),"",IF(OR(D476="Butterfly",D476="Butterfly ",D476="Iron Fly", D476="Iron Fly "),LEN(E476)-LEN(SUBSTITUTE(E476,"/",""))+2,LEN(E476)-LEN(SUBSTITUTE(E476,"/",""))+1))</f>
        <v/>
      </c>
      <c r="I476" s="78">
        <f>IF(ISBLANK(G476),"",IF(D476="Stock","0",Key!$A$3*H476*G476))</f>
        <v/>
      </c>
      <c r="J476" s="78">
        <f>IF(ISBLANK(E476),"",IF(ISNUMBER(SEARCH("/",E476)), IF(LEN(E476)-LEN(SUBSTITUTE(E476,"/",""))=1,(RIGHT(E476,LEN(E476)-FIND("/",E476)))-(LEFT(E476,FIND("/",E476)-1)),(MID(E476, SEARCH("/",E476) + 1, SEARCH("/",E476, SEARCH("/",E476)+1) - SEARCH("/",E476) - 1))-(LEFT(E476,FIND("/",E476)-1))), "NA"))</f>
        <v/>
      </c>
      <c r="K476" s="79">
        <f>IF(A476&lt;&gt;"", IF(ISBLANK(L476), TODAY(), K476), "")</f>
        <v/>
      </c>
      <c r="L476" s="78" t="n"/>
      <c r="M476" s="78">
        <f>IF(ISBLANK(L476),"",IF(D476="Stock",IF(C476="Buy",L476*G476,IF(C476="Sell",(L476*G476)-I476, X)),IF(C476="Buy",(L476*G476*100)+I476,IF(C476="Sell",(L476*G476*100)-I476, X))))</f>
        <v/>
      </c>
      <c r="N476" s="78">
        <f>IF(ISBLANK(L476),"",IF(AND(C476="Sell",D476="Stock"),M476,IF(ISBLANK(L476),"",IF(C476="Buy",M476, IF(AND(C476="Sell",J476="NA"),(E476*G476*100*0.1)+I476, IF(C476="Sell",(J476-L476)*(100*G476)+I476))))))</f>
        <v/>
      </c>
      <c r="O476" s="75" t="n"/>
      <c r="P476" s="75" t="n"/>
      <c r="Q476" s="75">
        <f>IF(ISBLANK(P476),"",IF(D476="Stock",P476*G476,IF(P476=0,"0",G476*P476*100-(G476*$AF$14))))</f>
        <v/>
      </c>
      <c r="R476" s="79">
        <f>IF(P476&lt;&gt;"", TODAY(), "")</f>
        <v/>
      </c>
      <c r="S476" s="78">
        <f>IF(AND(K476&lt;&gt;"", R476&lt;&gt;""), R476-K476, "")</f>
        <v/>
      </c>
      <c r="T476" s="78" t="n"/>
      <c r="U476" s="92">
        <f>IF(ISBLANK(P476),"",IF(C476="Buy",Q476-M476+T476, IF(C476="Sell",M476-Q476-T476, X)))</f>
        <v/>
      </c>
      <c r="V476" s="81">
        <f>IF(ISBLANK(P476),"",U476/N476)</f>
        <v/>
      </c>
      <c r="W476" s="81">
        <f>IF(ISBLANK(P476),"",IF(S476=0,(365/0.5)*V476,(365/S476)*V476))</f>
        <v/>
      </c>
      <c r="X476" s="75" t="n"/>
      <c r="Y476" s="77" t="n"/>
      <c r="Z476" s="77" t="n"/>
      <c r="AA476" s="75" t="n"/>
      <c r="AB476" s="75" t="n"/>
      <c r="AC476" s="6" t="n"/>
      <c r="AD476" s="75" t="n"/>
      <c r="AE476" s="75" t="n"/>
      <c r="AF476" s="75" t="n"/>
    </row>
    <row r="477" ht="15.75" customHeight="1" s="133">
      <c r="A477" s="75" t="n"/>
      <c r="B477" s="75" t="n"/>
      <c r="C477" s="75" t="n"/>
      <c r="D477" s="75" t="n"/>
      <c r="E477" s="76" t="n"/>
      <c r="F477" s="77" t="n"/>
      <c r="G477" s="75" t="n"/>
      <c r="H477" s="75">
        <f>IF(ISBLANK(E477),"",IF(OR(D477="Butterfly",D477="Butterfly ",D477="Iron Fly", D477="Iron Fly "),LEN(E477)-LEN(SUBSTITUTE(E477,"/",""))+2,LEN(E477)-LEN(SUBSTITUTE(E477,"/",""))+1))</f>
        <v/>
      </c>
      <c r="I477" s="78">
        <f>IF(ISBLANK(G477),"",IF(D477="Stock","0",Key!$A$3*H477*G477))</f>
        <v/>
      </c>
      <c r="J477" s="78">
        <f>IF(ISBLANK(E477),"",IF(ISNUMBER(SEARCH("/",E477)), IF(LEN(E477)-LEN(SUBSTITUTE(E477,"/",""))=1,(RIGHT(E477,LEN(E477)-FIND("/",E477)))-(LEFT(E477,FIND("/",E477)-1)),(MID(E477, SEARCH("/",E477) + 1, SEARCH("/",E477, SEARCH("/",E477)+1) - SEARCH("/",E477) - 1))-(LEFT(E477,FIND("/",E477)-1))), "NA"))</f>
        <v/>
      </c>
      <c r="K477" s="79">
        <f>IF(A477&lt;&gt;"", IF(ISBLANK(L477), TODAY(), K477), "")</f>
        <v/>
      </c>
      <c r="L477" s="78" t="n"/>
      <c r="M477" s="78">
        <f>IF(ISBLANK(L477),"",IF(D477="Stock",IF(C477="Buy",L477*G477,IF(C477="Sell",(L477*G477)-I477, X)),IF(C477="Buy",(L477*G477*100)+I477,IF(C477="Sell",(L477*G477*100)-I477, X))))</f>
        <v/>
      </c>
      <c r="N477" s="78">
        <f>IF(ISBLANK(L477),"",IF(AND(C477="Sell",D477="Stock"),M477,IF(ISBLANK(L477),"",IF(C477="Buy",M477, IF(AND(C477="Sell",J477="NA"),(E477*G477*100*0.1)+I477, IF(C477="Sell",(J477-L477)*(100*G477)+I477))))))</f>
        <v/>
      </c>
      <c r="O477" s="75" t="n"/>
      <c r="P477" s="75" t="n"/>
      <c r="Q477" s="75">
        <f>IF(ISBLANK(P477),"",IF(D477="Stock",P477*G477,IF(P477=0,"0",G477*P477*100-(G477*$AF$14))))</f>
        <v/>
      </c>
      <c r="R477" s="79">
        <f>IF(P477&lt;&gt;"", TODAY(), "")</f>
        <v/>
      </c>
      <c r="S477" s="78">
        <f>IF(AND(K477&lt;&gt;"", R477&lt;&gt;""), R477-K477, "")</f>
        <v/>
      </c>
      <c r="T477" s="78" t="n"/>
      <c r="U477" s="92">
        <f>IF(ISBLANK(P477),"",IF(C477="Buy",Q477-M477+T477, IF(C477="Sell",M477-Q477-T477, X)))</f>
        <v/>
      </c>
      <c r="V477" s="81">
        <f>IF(ISBLANK(P477),"",U477/N477)</f>
        <v/>
      </c>
      <c r="W477" s="81">
        <f>IF(ISBLANK(P477),"",IF(S477=0,(365/0.5)*V477,(365/S477)*V477))</f>
        <v/>
      </c>
      <c r="X477" s="75" t="n"/>
      <c r="Y477" s="77" t="n"/>
      <c r="Z477" s="77" t="n"/>
      <c r="AA477" s="75" t="n"/>
      <c r="AB477" s="75" t="n"/>
      <c r="AC477" s="6" t="n"/>
      <c r="AD477" s="75" t="n"/>
      <c r="AE477" s="75" t="n"/>
      <c r="AF477" s="75" t="n"/>
    </row>
    <row r="478" ht="15.75" customHeight="1" s="133">
      <c r="A478" s="75" t="n"/>
      <c r="B478" s="75" t="n"/>
      <c r="C478" s="75" t="n"/>
      <c r="D478" s="75" t="n"/>
      <c r="E478" s="76" t="n"/>
      <c r="F478" s="77" t="n"/>
      <c r="G478" s="75" t="n"/>
      <c r="H478" s="75">
        <f>IF(ISBLANK(E478),"",IF(OR(D478="Butterfly",D478="Butterfly ",D478="Iron Fly", D478="Iron Fly "),LEN(E478)-LEN(SUBSTITUTE(E478,"/",""))+2,LEN(E478)-LEN(SUBSTITUTE(E478,"/",""))+1))</f>
        <v/>
      </c>
      <c r="I478" s="78">
        <f>IF(ISBLANK(G478),"",IF(D478="Stock","0",Key!$A$3*H478*G478))</f>
        <v/>
      </c>
      <c r="J478" s="78">
        <f>IF(ISBLANK(E478),"",IF(ISNUMBER(SEARCH("/",E478)), IF(LEN(E478)-LEN(SUBSTITUTE(E478,"/",""))=1,(RIGHT(E478,LEN(E478)-FIND("/",E478)))-(LEFT(E478,FIND("/",E478)-1)),(MID(E478, SEARCH("/",E478) + 1, SEARCH("/",E478, SEARCH("/",E478)+1) - SEARCH("/",E478) - 1))-(LEFT(E478,FIND("/",E478)-1))), "NA"))</f>
        <v/>
      </c>
      <c r="K478" s="79">
        <f>IF(A478&lt;&gt;"", IF(ISBLANK(L478), TODAY(), K478), "")</f>
        <v/>
      </c>
      <c r="L478" s="78" t="n"/>
      <c r="M478" s="78">
        <f>IF(ISBLANK(L478),"",IF(D478="Stock",IF(C478="Buy",L478*G478,IF(C478="Sell",(L478*G478)-I478, X)),IF(C478="Buy",(L478*G478*100)+I478,IF(C478="Sell",(L478*G478*100)-I478, X))))</f>
        <v/>
      </c>
      <c r="N478" s="78">
        <f>IF(ISBLANK(L478),"",IF(AND(C478="Sell",D478="Stock"),M478,IF(ISBLANK(L478),"",IF(C478="Buy",M478, IF(AND(C478="Sell",J478="NA"),(E478*G478*100*0.1)+I478, IF(C478="Sell",(J478-L478)*(100*G478)+I478))))))</f>
        <v/>
      </c>
      <c r="O478" s="75" t="n"/>
      <c r="P478" s="75" t="n"/>
      <c r="Q478" s="75">
        <f>IF(ISBLANK(P478),"",IF(D478="Stock",P478*G478,IF(P478=0,"0",G478*P478*100-(G478*$AF$14))))</f>
        <v/>
      </c>
      <c r="R478" s="79">
        <f>IF(P478&lt;&gt;"", TODAY(), "")</f>
        <v/>
      </c>
      <c r="S478" s="78">
        <f>IF(AND(K478&lt;&gt;"", R478&lt;&gt;""), R478-K478, "")</f>
        <v/>
      </c>
      <c r="T478" s="78" t="n"/>
      <c r="U478" s="92">
        <f>IF(ISBLANK(P478),"",IF(C478="Buy",Q478-M478+T478, IF(C478="Sell",M478-Q478-T478, X)))</f>
        <v/>
      </c>
      <c r="V478" s="81">
        <f>IF(ISBLANK(P478),"",U478/N478)</f>
        <v/>
      </c>
      <c r="W478" s="81">
        <f>IF(ISBLANK(P478),"",IF(S478=0,(365/0.5)*V478,(365/S478)*V478))</f>
        <v/>
      </c>
      <c r="X478" s="75" t="n"/>
      <c r="Y478" s="77" t="n"/>
      <c r="Z478" s="77" t="n"/>
      <c r="AA478" s="75" t="n"/>
      <c r="AB478" s="75" t="n"/>
      <c r="AC478" s="6" t="n"/>
      <c r="AD478" s="75" t="n"/>
      <c r="AE478" s="75" t="n"/>
      <c r="AF478" s="75" t="n"/>
    </row>
    <row r="479" ht="15.75" customHeight="1" s="133">
      <c r="A479" s="75" t="n"/>
      <c r="B479" s="75" t="n"/>
      <c r="C479" s="75" t="n"/>
      <c r="D479" s="75" t="n"/>
      <c r="E479" s="76" t="n"/>
      <c r="F479" s="77" t="n"/>
      <c r="G479" s="75" t="n"/>
      <c r="H479" s="75">
        <f>IF(ISBLANK(E479),"",IF(OR(D479="Butterfly",D479="Butterfly ",D479="Iron Fly", D479="Iron Fly "),LEN(E479)-LEN(SUBSTITUTE(E479,"/",""))+2,LEN(E479)-LEN(SUBSTITUTE(E479,"/",""))+1))</f>
        <v/>
      </c>
      <c r="I479" s="78">
        <f>IF(ISBLANK(G479),"",IF(D479="Stock","0",Key!$A$3*H479*G479))</f>
        <v/>
      </c>
      <c r="J479" s="78">
        <f>IF(ISBLANK(E479),"",IF(ISNUMBER(SEARCH("/",E479)), IF(LEN(E479)-LEN(SUBSTITUTE(E479,"/",""))=1,(RIGHT(E479,LEN(E479)-FIND("/",E479)))-(LEFT(E479,FIND("/",E479)-1)),(MID(E479, SEARCH("/",E479) + 1, SEARCH("/",E479, SEARCH("/",E479)+1) - SEARCH("/",E479) - 1))-(LEFT(E479,FIND("/",E479)-1))), "NA"))</f>
        <v/>
      </c>
      <c r="K479" s="79">
        <f>IF(A479&lt;&gt;"", IF(ISBLANK(L479), TODAY(), K479), "")</f>
        <v/>
      </c>
      <c r="L479" s="78" t="n"/>
      <c r="M479" s="78">
        <f>IF(ISBLANK(L479),"",IF(D479="Stock",IF(C479="Buy",L479*G479,IF(C479="Sell",(L479*G479)-I479, X)),IF(C479="Buy",(L479*G479*100)+I479,IF(C479="Sell",(L479*G479*100)-I479, X))))</f>
        <v/>
      </c>
      <c r="N479" s="78">
        <f>IF(ISBLANK(L479),"",IF(AND(C479="Sell",D479="Stock"),M479,IF(ISBLANK(L479),"",IF(C479="Buy",M479, IF(AND(C479="Sell",J479="NA"),(E479*G479*100*0.1)+I479, IF(C479="Sell",(J479-L479)*(100*G479)+I479))))))</f>
        <v/>
      </c>
      <c r="O479" s="75" t="n"/>
      <c r="P479" s="75" t="n"/>
      <c r="Q479" s="75">
        <f>IF(ISBLANK(P479),"",IF(D479="Stock",P479*G479,IF(P479=0,"0",G479*P479*100-(G479*$AF$14))))</f>
        <v/>
      </c>
      <c r="R479" s="79">
        <f>IF(P479&lt;&gt;"", TODAY(), "")</f>
        <v/>
      </c>
      <c r="S479" s="78">
        <f>IF(AND(K479&lt;&gt;"", R479&lt;&gt;""), R479-K479, "")</f>
        <v/>
      </c>
      <c r="T479" s="78" t="n"/>
      <c r="U479" s="92">
        <f>IF(ISBLANK(P479),"",IF(C479="Buy",Q479-M479+T479, IF(C479="Sell",M479-Q479-T479, X)))</f>
        <v/>
      </c>
      <c r="V479" s="81">
        <f>IF(ISBLANK(P479),"",U479/N479)</f>
        <v/>
      </c>
      <c r="W479" s="81">
        <f>IF(ISBLANK(P479),"",IF(S479=0,(365/0.5)*V479,(365/S479)*V479))</f>
        <v/>
      </c>
      <c r="X479" s="75" t="n"/>
      <c r="Y479" s="77" t="n"/>
      <c r="Z479" s="77" t="n"/>
      <c r="AA479" s="75" t="n"/>
      <c r="AB479" s="75" t="n"/>
      <c r="AC479" s="6" t="n"/>
      <c r="AD479" s="75" t="n"/>
      <c r="AE479" s="75" t="n"/>
      <c r="AF479" s="75" t="n"/>
    </row>
    <row r="480" ht="15.75" customHeight="1" s="133">
      <c r="A480" s="75" t="n"/>
      <c r="B480" s="75" t="n"/>
      <c r="C480" s="75" t="n"/>
      <c r="D480" s="75" t="n"/>
      <c r="E480" s="76" t="n"/>
      <c r="F480" s="77" t="n"/>
      <c r="G480" s="75" t="n"/>
      <c r="H480" s="75">
        <f>IF(ISBLANK(E480),"",IF(OR(D480="Butterfly",D480="Butterfly ",D480="Iron Fly", D480="Iron Fly "),LEN(E480)-LEN(SUBSTITUTE(E480,"/",""))+2,LEN(E480)-LEN(SUBSTITUTE(E480,"/",""))+1))</f>
        <v/>
      </c>
      <c r="I480" s="78">
        <f>IF(ISBLANK(G480),"",IF(D480="Stock","0",Key!$A$3*H480*G480))</f>
        <v/>
      </c>
      <c r="J480" s="78">
        <f>IF(ISBLANK(E480),"",IF(ISNUMBER(SEARCH("/",E480)), IF(LEN(E480)-LEN(SUBSTITUTE(E480,"/",""))=1,(RIGHT(E480,LEN(E480)-FIND("/",E480)))-(LEFT(E480,FIND("/",E480)-1)),(MID(E480, SEARCH("/",E480) + 1, SEARCH("/",E480, SEARCH("/",E480)+1) - SEARCH("/",E480) - 1))-(LEFT(E480,FIND("/",E480)-1))), "NA"))</f>
        <v/>
      </c>
      <c r="K480" s="79">
        <f>IF(A480&lt;&gt;"", IF(ISBLANK(L480), TODAY(), K480), "")</f>
        <v/>
      </c>
      <c r="L480" s="78" t="n"/>
      <c r="M480" s="78">
        <f>IF(ISBLANK(L480),"",IF(D480="Stock",IF(C480="Buy",L480*G480,IF(C480="Sell",(L480*G480)-I480, X)),IF(C480="Buy",(L480*G480*100)+I480,IF(C480="Sell",(L480*G480*100)-I480, X))))</f>
        <v/>
      </c>
      <c r="N480" s="78">
        <f>IF(ISBLANK(L480),"",IF(AND(C480="Sell",D480="Stock"),M480,IF(ISBLANK(L480),"",IF(C480="Buy",M480, IF(AND(C480="Sell",J480="NA"),(E480*G480*100*0.1)+I480, IF(C480="Sell",(J480-L480)*(100*G480)+I480))))))</f>
        <v/>
      </c>
      <c r="O480" s="75" t="n"/>
      <c r="P480" s="75" t="n"/>
      <c r="Q480" s="75">
        <f>IF(ISBLANK(P480),"",IF(D480="Stock",P480*G480,IF(P480=0,"0",G480*P480*100-(G480*$AF$14))))</f>
        <v/>
      </c>
      <c r="R480" s="79">
        <f>IF(P480&lt;&gt;"", TODAY(), "")</f>
        <v/>
      </c>
      <c r="S480" s="78">
        <f>IF(AND(K480&lt;&gt;"", R480&lt;&gt;""), R480-K480, "")</f>
        <v/>
      </c>
      <c r="T480" s="78" t="n"/>
      <c r="U480" s="92">
        <f>IF(ISBLANK(P480),"",IF(C480="Buy",Q480-M480+T480, IF(C480="Sell",M480-Q480-T480, X)))</f>
        <v/>
      </c>
      <c r="V480" s="81">
        <f>IF(ISBLANK(P480),"",U480/N480)</f>
        <v/>
      </c>
      <c r="W480" s="81">
        <f>IF(ISBLANK(P480),"",IF(S480=0,(365/0.5)*V480,(365/S480)*V480))</f>
        <v/>
      </c>
      <c r="X480" s="75" t="n"/>
      <c r="Y480" s="77" t="n"/>
      <c r="Z480" s="77" t="n"/>
      <c r="AA480" s="75" t="n"/>
      <c r="AB480" s="75" t="n"/>
      <c r="AC480" s="6" t="n"/>
      <c r="AD480" s="75" t="n"/>
      <c r="AE480" s="75" t="n"/>
      <c r="AF480" s="75" t="n"/>
    </row>
    <row r="481" ht="15.75" customHeight="1" s="133">
      <c r="A481" s="75" t="n"/>
      <c r="B481" s="75" t="n"/>
      <c r="C481" s="75" t="n"/>
      <c r="D481" s="75" t="n"/>
      <c r="E481" s="76" t="n"/>
      <c r="F481" s="77" t="n"/>
      <c r="G481" s="75" t="n"/>
      <c r="H481" s="75">
        <f>IF(ISBLANK(E481),"",IF(OR(D481="Butterfly",D481="Butterfly ",D481="Iron Fly", D481="Iron Fly "),LEN(E481)-LEN(SUBSTITUTE(E481,"/",""))+2,LEN(E481)-LEN(SUBSTITUTE(E481,"/",""))+1))</f>
        <v/>
      </c>
      <c r="I481" s="78">
        <f>IF(ISBLANK(G481),"",IF(D481="Stock","0",Key!$A$3*H481*G481))</f>
        <v/>
      </c>
      <c r="J481" s="78">
        <f>IF(ISBLANK(E481),"",IF(ISNUMBER(SEARCH("/",E481)), IF(LEN(E481)-LEN(SUBSTITUTE(E481,"/",""))=1,(RIGHT(E481,LEN(E481)-FIND("/",E481)))-(LEFT(E481,FIND("/",E481)-1)),(MID(E481, SEARCH("/",E481) + 1, SEARCH("/",E481, SEARCH("/",E481)+1) - SEARCH("/",E481) - 1))-(LEFT(E481,FIND("/",E481)-1))), "NA"))</f>
        <v/>
      </c>
      <c r="K481" s="79">
        <f>IF(A481&lt;&gt;"", IF(ISBLANK(L481), TODAY(), K481), "")</f>
        <v/>
      </c>
      <c r="L481" s="78" t="n"/>
      <c r="M481" s="78">
        <f>IF(ISBLANK(L481),"",IF(D481="Stock",IF(C481="Buy",L481*G481,IF(C481="Sell",(L481*G481)-I481, X)),IF(C481="Buy",(L481*G481*100)+I481,IF(C481="Sell",(L481*G481*100)-I481, X))))</f>
        <v/>
      </c>
      <c r="N481" s="78">
        <f>IF(ISBLANK(L481),"",IF(AND(C481="Sell",D481="Stock"),M481,IF(ISBLANK(L481),"",IF(C481="Buy",M481, IF(AND(C481="Sell",J481="NA"),(E481*G481*100*0.1)+I481, IF(C481="Sell",(J481-L481)*(100*G481)+I481))))))</f>
        <v/>
      </c>
      <c r="O481" s="75" t="n"/>
      <c r="P481" s="75" t="n"/>
      <c r="Q481" s="75">
        <f>IF(ISBLANK(P481),"",IF(D481="Stock",P481*G481,IF(P481=0,"0",G481*P481*100-(G481*$AF$14))))</f>
        <v/>
      </c>
      <c r="R481" s="79">
        <f>IF(P481&lt;&gt;"", TODAY(), "")</f>
        <v/>
      </c>
      <c r="S481" s="78">
        <f>IF(AND(K481&lt;&gt;"", R481&lt;&gt;""), R481-K481, "")</f>
        <v/>
      </c>
      <c r="T481" s="78" t="n"/>
      <c r="U481" s="92">
        <f>IF(ISBLANK(P481),"",IF(C481="Buy",Q481-M481+T481, IF(C481="Sell",M481-Q481-T481, X)))</f>
        <v/>
      </c>
      <c r="V481" s="81">
        <f>IF(ISBLANK(P481),"",U481/N481)</f>
        <v/>
      </c>
      <c r="W481" s="81">
        <f>IF(ISBLANK(P481),"",IF(S481=0,(365/0.5)*V481,(365/S481)*V481))</f>
        <v/>
      </c>
      <c r="X481" s="75" t="n"/>
      <c r="Y481" s="77" t="n"/>
      <c r="Z481" s="77" t="n"/>
      <c r="AA481" s="75" t="n"/>
      <c r="AB481" s="75" t="n"/>
      <c r="AC481" s="6" t="n"/>
      <c r="AD481" s="75" t="n"/>
      <c r="AE481" s="75" t="n"/>
      <c r="AF481" s="75" t="n"/>
    </row>
    <row r="482" ht="15.75" customHeight="1" s="133">
      <c r="A482" s="75" t="n"/>
      <c r="B482" s="75" t="n"/>
      <c r="C482" s="75" t="n"/>
      <c r="D482" s="75" t="n"/>
      <c r="E482" s="76" t="n"/>
      <c r="F482" s="77" t="n"/>
      <c r="G482" s="75" t="n"/>
      <c r="H482" s="75">
        <f>IF(ISBLANK(E482),"",IF(OR(D482="Butterfly",D482="Butterfly ",D482="Iron Fly", D482="Iron Fly "),LEN(E482)-LEN(SUBSTITUTE(E482,"/",""))+2,LEN(E482)-LEN(SUBSTITUTE(E482,"/",""))+1))</f>
        <v/>
      </c>
      <c r="I482" s="78">
        <f>IF(ISBLANK(G482),"",IF(D482="Stock","0",Key!$A$3*H482*G482))</f>
        <v/>
      </c>
      <c r="J482" s="78">
        <f>IF(ISBLANK(E482),"",IF(ISNUMBER(SEARCH("/",E482)), IF(LEN(E482)-LEN(SUBSTITUTE(E482,"/",""))=1,(RIGHT(E482,LEN(E482)-FIND("/",E482)))-(LEFT(E482,FIND("/",E482)-1)),(MID(E482, SEARCH("/",E482) + 1, SEARCH("/",E482, SEARCH("/",E482)+1) - SEARCH("/",E482) - 1))-(LEFT(E482,FIND("/",E482)-1))), "NA"))</f>
        <v/>
      </c>
      <c r="K482" s="79">
        <f>IF(A482&lt;&gt;"", IF(ISBLANK(L482), TODAY(), K482), "")</f>
        <v/>
      </c>
      <c r="L482" s="78" t="n"/>
      <c r="M482" s="78">
        <f>IF(ISBLANK(L482),"",IF(D482="Stock",IF(C482="Buy",L482*G482,IF(C482="Sell",(L482*G482)-I482, X)),IF(C482="Buy",(L482*G482*100)+I482,IF(C482="Sell",(L482*G482*100)-I482, X))))</f>
        <v/>
      </c>
      <c r="N482" s="78">
        <f>IF(ISBLANK(L482),"",IF(AND(C482="Sell",D482="Stock"),M482,IF(ISBLANK(L482),"",IF(C482="Buy",M482, IF(AND(C482="Sell",J482="NA"),(E482*G482*100*0.1)+I482, IF(C482="Sell",(J482-L482)*(100*G482)+I482))))))</f>
        <v/>
      </c>
      <c r="O482" s="75" t="n"/>
      <c r="P482" s="75" t="n"/>
      <c r="Q482" s="75">
        <f>IF(ISBLANK(P482),"",IF(D482="Stock",P482*G482,IF(P482=0,"0",G482*P482*100-(G482*$AF$14))))</f>
        <v/>
      </c>
      <c r="R482" s="79">
        <f>IF(P482&lt;&gt;"", TODAY(), "")</f>
        <v/>
      </c>
      <c r="S482" s="78">
        <f>IF(AND(K482&lt;&gt;"", R482&lt;&gt;""), R482-K482, "")</f>
        <v/>
      </c>
      <c r="T482" s="78" t="n"/>
      <c r="U482" s="92">
        <f>IF(ISBLANK(P482),"",IF(C482="Buy",Q482-M482+T482, IF(C482="Sell",M482-Q482-T482, X)))</f>
        <v/>
      </c>
      <c r="V482" s="81">
        <f>IF(ISBLANK(P482),"",U482/N482)</f>
        <v/>
      </c>
      <c r="W482" s="81">
        <f>IF(ISBLANK(P482),"",IF(S482=0,(365/0.5)*V482,(365/S482)*V482))</f>
        <v/>
      </c>
      <c r="X482" s="75" t="n"/>
      <c r="Y482" s="77" t="n"/>
      <c r="Z482" s="77" t="n"/>
      <c r="AA482" s="75" t="n"/>
      <c r="AB482" s="75" t="n"/>
      <c r="AC482" s="6" t="n"/>
      <c r="AD482" s="75" t="n"/>
      <c r="AE482" s="75" t="n"/>
      <c r="AF482" s="75" t="n"/>
    </row>
    <row r="483" ht="15.75" customHeight="1" s="133">
      <c r="A483" s="75" t="n"/>
      <c r="B483" s="75" t="n"/>
      <c r="C483" s="75" t="n"/>
      <c r="D483" s="75" t="n"/>
      <c r="E483" s="76" t="n"/>
      <c r="F483" s="77" t="n"/>
      <c r="G483" s="75" t="n"/>
      <c r="H483" s="75">
        <f>IF(ISBLANK(E483),"",IF(OR(D483="Butterfly",D483="Butterfly ",D483="Iron Fly", D483="Iron Fly "),LEN(E483)-LEN(SUBSTITUTE(E483,"/",""))+2,LEN(E483)-LEN(SUBSTITUTE(E483,"/",""))+1))</f>
        <v/>
      </c>
      <c r="I483" s="78">
        <f>IF(ISBLANK(G483),"",IF(D483="Stock","0",Key!$A$3*H483*G483))</f>
        <v/>
      </c>
      <c r="J483" s="78">
        <f>IF(ISBLANK(E483),"",IF(ISNUMBER(SEARCH("/",E483)), IF(LEN(E483)-LEN(SUBSTITUTE(E483,"/",""))=1,(RIGHT(E483,LEN(E483)-FIND("/",E483)))-(LEFT(E483,FIND("/",E483)-1)),(MID(E483, SEARCH("/",E483) + 1, SEARCH("/",E483, SEARCH("/",E483)+1) - SEARCH("/",E483) - 1))-(LEFT(E483,FIND("/",E483)-1))), "NA"))</f>
        <v/>
      </c>
      <c r="K483" s="79">
        <f>IF(A483&lt;&gt;"", IF(ISBLANK(L483), TODAY(), K483), "")</f>
        <v/>
      </c>
      <c r="L483" s="78" t="n"/>
      <c r="M483" s="78">
        <f>IF(ISBLANK(L483),"",IF(D483="Stock",IF(C483="Buy",L483*G483,IF(C483="Sell",(L483*G483)-I483, X)),IF(C483="Buy",(L483*G483*100)+I483,IF(C483="Sell",(L483*G483*100)-I483, X))))</f>
        <v/>
      </c>
      <c r="N483" s="78">
        <f>IF(ISBLANK(L483),"",IF(AND(C483="Sell",D483="Stock"),M483,IF(ISBLANK(L483),"",IF(C483="Buy",M483, IF(AND(C483="Sell",J483="NA"),(E483*G483*100*0.1)+I483, IF(C483="Sell",(J483-L483)*(100*G483)+I483))))))</f>
        <v/>
      </c>
      <c r="O483" s="75" t="n"/>
      <c r="P483" s="75" t="n"/>
      <c r="Q483" s="75">
        <f>IF(ISBLANK(P483),"",IF(D483="Stock",P483*G483,IF(P483=0,"0",G483*P483*100-(G483*$AF$14))))</f>
        <v/>
      </c>
      <c r="R483" s="79">
        <f>IF(P483&lt;&gt;"", TODAY(), "")</f>
        <v/>
      </c>
      <c r="S483" s="78">
        <f>IF(AND(K483&lt;&gt;"", R483&lt;&gt;""), R483-K483, "")</f>
        <v/>
      </c>
      <c r="T483" s="78" t="n"/>
      <c r="U483" s="92">
        <f>IF(ISBLANK(P483),"",IF(C483="Buy",Q483-M483+T483, IF(C483="Sell",M483-Q483-T483, X)))</f>
        <v/>
      </c>
      <c r="V483" s="81">
        <f>IF(ISBLANK(P483),"",U483/N483)</f>
        <v/>
      </c>
      <c r="W483" s="81">
        <f>IF(ISBLANK(P483),"",IF(S483=0,(365/0.5)*V483,(365/S483)*V483))</f>
        <v/>
      </c>
      <c r="X483" s="75" t="n"/>
      <c r="Y483" s="77" t="n"/>
      <c r="Z483" s="77" t="n"/>
      <c r="AA483" s="75" t="n"/>
      <c r="AB483" s="75" t="n"/>
      <c r="AC483" s="6" t="n"/>
      <c r="AD483" s="75" t="n"/>
      <c r="AE483" s="75" t="n"/>
      <c r="AF483" s="75" t="n"/>
    </row>
    <row r="484" ht="15.75" customHeight="1" s="133">
      <c r="A484" s="75" t="n"/>
      <c r="B484" s="75" t="n"/>
      <c r="C484" s="75" t="n"/>
      <c r="D484" s="75" t="n"/>
      <c r="E484" s="76" t="n"/>
      <c r="F484" s="77" t="n"/>
      <c r="G484" s="75" t="n"/>
      <c r="H484" s="75">
        <f>IF(ISBLANK(E484),"",IF(OR(D484="Butterfly",D484="Butterfly ",D484="Iron Fly", D484="Iron Fly "),LEN(E484)-LEN(SUBSTITUTE(E484,"/",""))+2,LEN(E484)-LEN(SUBSTITUTE(E484,"/",""))+1))</f>
        <v/>
      </c>
      <c r="I484" s="78">
        <f>IF(ISBLANK(G484),"",IF(D484="Stock","0",Key!$A$3*H484*G484))</f>
        <v/>
      </c>
      <c r="J484" s="78">
        <f>IF(ISBLANK(E484),"",IF(ISNUMBER(SEARCH("/",E484)), IF(LEN(E484)-LEN(SUBSTITUTE(E484,"/",""))=1,(RIGHT(E484,LEN(E484)-FIND("/",E484)))-(LEFT(E484,FIND("/",E484)-1)),(MID(E484, SEARCH("/",E484) + 1, SEARCH("/",E484, SEARCH("/",E484)+1) - SEARCH("/",E484) - 1))-(LEFT(E484,FIND("/",E484)-1))), "NA"))</f>
        <v/>
      </c>
      <c r="K484" s="79">
        <f>IF(A484&lt;&gt;"", IF(ISBLANK(L484), TODAY(), K484), "")</f>
        <v/>
      </c>
      <c r="L484" s="78" t="n"/>
      <c r="M484" s="78">
        <f>IF(ISBLANK(L484),"",IF(D484="Stock",IF(C484="Buy",L484*G484,IF(C484="Sell",(L484*G484)-I484, X)),IF(C484="Buy",(L484*G484*100)+I484,IF(C484="Sell",(L484*G484*100)-I484, X))))</f>
        <v/>
      </c>
      <c r="N484" s="78">
        <f>IF(ISBLANK(L484),"",IF(AND(C484="Sell",D484="Stock"),M484,IF(ISBLANK(L484),"",IF(C484="Buy",M484, IF(AND(C484="Sell",J484="NA"),(E484*G484*100*0.1)+I484, IF(C484="Sell",(J484-L484)*(100*G484)+I484))))))</f>
        <v/>
      </c>
      <c r="O484" s="75" t="n"/>
      <c r="P484" s="75" t="n"/>
      <c r="Q484" s="75">
        <f>IF(ISBLANK(P484),"",IF(D484="Stock",P484*G484,IF(P484=0,"0",G484*P484*100-(G484*$AF$14))))</f>
        <v/>
      </c>
      <c r="R484" s="79">
        <f>IF(P484&lt;&gt;"", TODAY(), "")</f>
        <v/>
      </c>
      <c r="S484" s="78">
        <f>IF(AND(K484&lt;&gt;"", R484&lt;&gt;""), R484-K484, "")</f>
        <v/>
      </c>
      <c r="T484" s="78" t="n"/>
      <c r="U484" s="92">
        <f>IF(ISBLANK(P484),"",IF(C484="Buy",Q484-M484+T484, IF(C484="Sell",M484-Q484-T484, X)))</f>
        <v/>
      </c>
      <c r="V484" s="81">
        <f>IF(ISBLANK(P484),"",U484/N484)</f>
        <v/>
      </c>
      <c r="W484" s="81">
        <f>IF(ISBLANK(P484),"",IF(S484=0,(365/0.5)*V484,(365/S484)*V484))</f>
        <v/>
      </c>
      <c r="X484" s="75" t="n"/>
      <c r="Y484" s="77" t="n"/>
      <c r="Z484" s="77" t="n"/>
      <c r="AA484" s="75" t="n"/>
      <c r="AB484" s="75" t="n"/>
      <c r="AC484" s="6" t="n"/>
      <c r="AD484" s="75" t="n"/>
      <c r="AE484" s="75" t="n"/>
      <c r="AF484" s="75" t="n"/>
    </row>
    <row r="485" ht="15.75" customHeight="1" s="133">
      <c r="A485" s="75" t="n"/>
      <c r="B485" s="75" t="n"/>
      <c r="C485" s="75" t="n"/>
      <c r="D485" s="75" t="n"/>
      <c r="E485" s="76" t="n"/>
      <c r="F485" s="77" t="n"/>
      <c r="G485" s="75" t="n"/>
      <c r="H485" s="75">
        <f>IF(ISBLANK(E485),"",IF(OR(D485="Butterfly",D485="Butterfly ",D485="Iron Fly", D485="Iron Fly "),LEN(E485)-LEN(SUBSTITUTE(E485,"/",""))+2,LEN(E485)-LEN(SUBSTITUTE(E485,"/",""))+1))</f>
        <v/>
      </c>
      <c r="I485" s="78">
        <f>IF(ISBLANK(G485),"",IF(D485="Stock","0",Key!$A$3*H485*G485))</f>
        <v/>
      </c>
      <c r="J485" s="78">
        <f>IF(ISBLANK(E485),"",IF(ISNUMBER(SEARCH("/",E485)), IF(LEN(E485)-LEN(SUBSTITUTE(E485,"/",""))=1,(RIGHT(E485,LEN(E485)-FIND("/",E485)))-(LEFT(E485,FIND("/",E485)-1)),(MID(E485, SEARCH("/",E485) + 1, SEARCH("/",E485, SEARCH("/",E485)+1) - SEARCH("/",E485) - 1))-(LEFT(E485,FIND("/",E485)-1))), "NA"))</f>
        <v/>
      </c>
      <c r="K485" s="79">
        <f>IF(A485&lt;&gt;"", IF(ISBLANK(L485), TODAY(), K485), "")</f>
        <v/>
      </c>
      <c r="L485" s="78" t="n"/>
      <c r="M485" s="78">
        <f>IF(ISBLANK(L485),"",IF(D485="Stock",IF(C485="Buy",L485*G485,IF(C485="Sell",(L485*G485)-I485, X)),IF(C485="Buy",(L485*G485*100)+I485,IF(C485="Sell",(L485*G485*100)-I485, X))))</f>
        <v/>
      </c>
      <c r="N485" s="78">
        <f>IF(ISBLANK(L485),"",IF(AND(C485="Sell",D485="Stock"),M485,IF(ISBLANK(L485),"",IF(C485="Buy",M485, IF(AND(C485="Sell",J485="NA"),(E485*G485*100*0.1)+I485, IF(C485="Sell",(J485-L485)*(100*G485)+I485))))))</f>
        <v/>
      </c>
      <c r="O485" s="75" t="n"/>
      <c r="P485" s="75" t="n"/>
      <c r="Q485" s="75">
        <f>IF(ISBLANK(P485),"",IF(D485="Stock",P485*G485,IF(P485=0,"0",G485*P485*100-(G485*$AF$14))))</f>
        <v/>
      </c>
      <c r="R485" s="79">
        <f>IF(P485&lt;&gt;"", TODAY(), "")</f>
        <v/>
      </c>
      <c r="S485" s="78">
        <f>IF(AND(K485&lt;&gt;"", R485&lt;&gt;""), R485-K485, "")</f>
        <v/>
      </c>
      <c r="T485" s="78" t="n"/>
      <c r="U485" s="92">
        <f>IF(ISBLANK(P485),"",IF(C485="Buy",Q485-M485+T485, IF(C485="Sell",M485-Q485-T485, X)))</f>
        <v/>
      </c>
      <c r="V485" s="81">
        <f>IF(ISBLANK(P485),"",U485/N485)</f>
        <v/>
      </c>
      <c r="W485" s="81">
        <f>IF(ISBLANK(P485),"",IF(S485=0,(365/0.5)*V485,(365/S485)*V485))</f>
        <v/>
      </c>
      <c r="X485" s="75" t="n"/>
      <c r="Y485" s="77" t="n"/>
      <c r="Z485" s="77" t="n"/>
      <c r="AA485" s="75" t="n"/>
      <c r="AB485" s="75" t="n"/>
      <c r="AC485" s="6" t="n"/>
      <c r="AD485" s="75" t="n"/>
      <c r="AE485" s="75" t="n"/>
      <c r="AF485" s="75" t="n"/>
    </row>
    <row r="486" ht="15.75" customHeight="1" s="133">
      <c r="A486" s="75" t="n"/>
      <c r="B486" s="75" t="n"/>
      <c r="C486" s="75" t="n"/>
      <c r="D486" s="75" t="n"/>
      <c r="E486" s="76" t="n"/>
      <c r="F486" s="77" t="n"/>
      <c r="G486" s="75" t="n"/>
      <c r="H486" s="75">
        <f>IF(ISBLANK(E486),"",IF(OR(D486="Butterfly",D486="Butterfly ",D486="Iron Fly", D486="Iron Fly "),LEN(E486)-LEN(SUBSTITUTE(E486,"/",""))+2,LEN(E486)-LEN(SUBSTITUTE(E486,"/",""))+1))</f>
        <v/>
      </c>
      <c r="I486" s="78">
        <f>IF(ISBLANK(G486),"",IF(D486="Stock","0",Key!$A$3*H486*G486))</f>
        <v/>
      </c>
      <c r="J486" s="78">
        <f>IF(ISBLANK(E486),"",IF(ISNUMBER(SEARCH("/",E486)), IF(LEN(E486)-LEN(SUBSTITUTE(E486,"/",""))=1,(RIGHT(E486,LEN(E486)-FIND("/",E486)))-(LEFT(E486,FIND("/",E486)-1)),(MID(E486, SEARCH("/",E486) + 1, SEARCH("/",E486, SEARCH("/",E486)+1) - SEARCH("/",E486) - 1))-(LEFT(E486,FIND("/",E486)-1))), "NA"))</f>
        <v/>
      </c>
      <c r="K486" s="79">
        <f>IF(A486&lt;&gt;"", IF(ISBLANK(L486), TODAY(), K486), "")</f>
        <v/>
      </c>
      <c r="L486" s="78" t="n"/>
      <c r="M486" s="78">
        <f>IF(ISBLANK(L486),"",IF(D486="Stock",IF(C486="Buy",L486*G486,IF(C486="Sell",(L486*G486)-I486, X)),IF(C486="Buy",(L486*G486*100)+I486,IF(C486="Sell",(L486*G486*100)-I486, X))))</f>
        <v/>
      </c>
      <c r="N486" s="78">
        <f>IF(ISBLANK(L486),"",IF(AND(C486="Sell",D486="Stock"),M486,IF(ISBLANK(L486),"",IF(C486="Buy",M486, IF(AND(C486="Sell",J486="NA"),(E486*G486*100*0.1)+I486, IF(C486="Sell",(J486-L486)*(100*G486)+I486))))))</f>
        <v/>
      </c>
      <c r="O486" s="75" t="n"/>
      <c r="P486" s="75" t="n"/>
      <c r="Q486" s="75">
        <f>IF(ISBLANK(P486),"",IF(D486="Stock",P486*G486,IF(P486=0,"0",G486*P486*100-(G486*$AF$14))))</f>
        <v/>
      </c>
      <c r="R486" s="79">
        <f>IF(P486&lt;&gt;"", TODAY(), "")</f>
        <v/>
      </c>
      <c r="S486" s="78">
        <f>IF(AND(K486&lt;&gt;"", R486&lt;&gt;""), R486-K486, "")</f>
        <v/>
      </c>
      <c r="T486" s="78" t="n"/>
      <c r="U486" s="92">
        <f>IF(ISBLANK(P486),"",IF(C486="Buy",Q486-M486+T486, IF(C486="Sell",M486-Q486-T486, X)))</f>
        <v/>
      </c>
      <c r="V486" s="81">
        <f>IF(ISBLANK(P486),"",U486/N486)</f>
        <v/>
      </c>
      <c r="W486" s="81">
        <f>IF(ISBLANK(P486),"",IF(S486=0,(365/0.5)*V486,(365/S486)*V486))</f>
        <v/>
      </c>
      <c r="X486" s="75" t="n"/>
      <c r="Y486" s="77" t="n"/>
      <c r="Z486" s="77" t="n"/>
      <c r="AA486" s="75" t="n"/>
      <c r="AB486" s="75" t="n"/>
      <c r="AC486" s="6" t="n"/>
      <c r="AD486" s="75" t="n"/>
      <c r="AE486" s="75" t="n"/>
      <c r="AF486" s="75" t="n"/>
    </row>
    <row r="487" ht="15.75" customHeight="1" s="133">
      <c r="A487" s="75" t="n"/>
      <c r="B487" s="75" t="n"/>
      <c r="C487" s="75" t="n"/>
      <c r="D487" s="75" t="n"/>
      <c r="E487" s="76" t="n"/>
      <c r="F487" s="77" t="n"/>
      <c r="G487" s="75" t="n"/>
      <c r="H487" s="75">
        <f>IF(ISBLANK(E487),"",IF(OR(D487="Butterfly",D487="Butterfly ",D487="Iron Fly", D487="Iron Fly "),LEN(E487)-LEN(SUBSTITUTE(E487,"/",""))+2,LEN(E487)-LEN(SUBSTITUTE(E487,"/",""))+1))</f>
        <v/>
      </c>
      <c r="I487" s="78">
        <f>IF(ISBLANK(G487),"",IF(D487="Stock","0",Key!$A$3*H487*G487))</f>
        <v/>
      </c>
      <c r="J487" s="78">
        <f>IF(ISBLANK(E487),"",IF(ISNUMBER(SEARCH("/",E487)), IF(LEN(E487)-LEN(SUBSTITUTE(E487,"/",""))=1,(RIGHT(E487,LEN(E487)-FIND("/",E487)))-(LEFT(E487,FIND("/",E487)-1)),(MID(E487, SEARCH("/",E487) + 1, SEARCH("/",E487, SEARCH("/",E487)+1) - SEARCH("/",E487) - 1))-(LEFT(E487,FIND("/",E487)-1))), "NA"))</f>
        <v/>
      </c>
      <c r="K487" s="79">
        <f>IF(A487&lt;&gt;"", IF(ISBLANK(L487), TODAY(), K487), "")</f>
        <v/>
      </c>
      <c r="L487" s="78" t="n"/>
      <c r="M487" s="78">
        <f>IF(ISBLANK(L487),"",IF(D487="Stock",IF(C487="Buy",L487*G487,IF(C487="Sell",(L487*G487)-I487, X)),IF(C487="Buy",(L487*G487*100)+I487,IF(C487="Sell",(L487*G487*100)-I487, X))))</f>
        <v/>
      </c>
      <c r="N487" s="78">
        <f>IF(ISBLANK(L487),"",IF(AND(C487="Sell",D487="Stock"),M487,IF(ISBLANK(L487),"",IF(C487="Buy",M487, IF(AND(C487="Sell",J487="NA"),(E487*G487*100*0.1)+I487, IF(C487="Sell",(J487-L487)*(100*G487)+I487))))))</f>
        <v/>
      </c>
      <c r="O487" s="75" t="n"/>
      <c r="P487" s="75" t="n"/>
      <c r="Q487" s="75">
        <f>IF(ISBLANK(P487),"",IF(D487="Stock",P487*G487,IF(P487=0,"0",G487*P487*100-(G487*$AF$14))))</f>
        <v/>
      </c>
      <c r="R487" s="79">
        <f>IF(P487&lt;&gt;"", TODAY(), "")</f>
        <v/>
      </c>
      <c r="S487" s="78">
        <f>IF(AND(K487&lt;&gt;"", R487&lt;&gt;""), R487-K487, "")</f>
        <v/>
      </c>
      <c r="T487" s="78" t="n"/>
      <c r="U487" s="92">
        <f>IF(ISBLANK(P487),"",IF(C487="Buy",Q487-M487+T487, IF(C487="Sell",M487-Q487-T487, X)))</f>
        <v/>
      </c>
      <c r="V487" s="81">
        <f>IF(ISBLANK(P487),"",U487/N487)</f>
        <v/>
      </c>
      <c r="W487" s="81">
        <f>IF(ISBLANK(P487),"",IF(S487=0,(365/0.5)*V487,(365/S487)*V487))</f>
        <v/>
      </c>
      <c r="X487" s="75" t="n"/>
      <c r="Y487" s="77" t="n"/>
      <c r="Z487" s="77" t="n"/>
      <c r="AA487" s="75" t="n"/>
      <c r="AB487" s="75" t="n"/>
      <c r="AC487" s="6" t="n"/>
      <c r="AD487" s="75" t="n"/>
      <c r="AE487" s="75" t="n"/>
      <c r="AF487" s="75" t="n"/>
    </row>
    <row r="488" ht="15.75" customHeight="1" s="133">
      <c r="A488" s="75" t="n"/>
      <c r="B488" s="75" t="n"/>
      <c r="C488" s="75" t="n"/>
      <c r="D488" s="75" t="n"/>
      <c r="E488" s="76" t="n"/>
      <c r="F488" s="77" t="n"/>
      <c r="G488" s="75" t="n"/>
      <c r="H488" s="75">
        <f>IF(ISBLANK(E488),"",IF(OR(D488="Butterfly",D488="Butterfly ",D488="Iron Fly", D488="Iron Fly "),LEN(E488)-LEN(SUBSTITUTE(E488,"/",""))+2,LEN(E488)-LEN(SUBSTITUTE(E488,"/",""))+1))</f>
        <v/>
      </c>
      <c r="I488" s="78">
        <f>IF(ISBLANK(G488),"",IF(D488="Stock","0",Key!$A$3*H488*G488))</f>
        <v/>
      </c>
      <c r="J488" s="78">
        <f>IF(ISBLANK(E488),"",IF(ISNUMBER(SEARCH("/",E488)), IF(LEN(E488)-LEN(SUBSTITUTE(E488,"/",""))=1,(RIGHT(E488,LEN(E488)-FIND("/",E488)))-(LEFT(E488,FIND("/",E488)-1)),(MID(E488, SEARCH("/",E488) + 1, SEARCH("/",E488, SEARCH("/",E488)+1) - SEARCH("/",E488) - 1))-(LEFT(E488,FIND("/",E488)-1))), "NA"))</f>
        <v/>
      </c>
      <c r="K488" s="79">
        <f>IF(A488&lt;&gt;"", IF(ISBLANK(L488), TODAY(), K488), "")</f>
        <v/>
      </c>
      <c r="L488" s="78" t="n"/>
      <c r="M488" s="78">
        <f>IF(ISBLANK(L488),"",IF(D488="Stock",IF(C488="Buy",L488*G488,IF(C488="Sell",(L488*G488)-I488, X)),IF(C488="Buy",(L488*G488*100)+I488,IF(C488="Sell",(L488*G488*100)-I488, X))))</f>
        <v/>
      </c>
      <c r="N488" s="78">
        <f>IF(ISBLANK(L488),"",IF(AND(C488="Sell",D488="Stock"),M488,IF(ISBLANK(L488),"",IF(C488="Buy",M488, IF(AND(C488="Sell",J488="NA"),(E488*G488*100*0.1)+I488, IF(C488="Sell",(J488-L488)*(100*G488)+I488))))))</f>
        <v/>
      </c>
      <c r="O488" s="75" t="n"/>
      <c r="P488" s="75" t="n"/>
      <c r="Q488" s="75">
        <f>IF(ISBLANK(P488),"",IF(D488="Stock",P488*G488,IF(P488=0,"0",G488*P488*100-(G488*$AF$14))))</f>
        <v/>
      </c>
      <c r="R488" s="79">
        <f>IF(P488&lt;&gt;"", TODAY(), "")</f>
        <v/>
      </c>
      <c r="S488" s="78">
        <f>IF(AND(K488&lt;&gt;"", R488&lt;&gt;""), R488-K488, "")</f>
        <v/>
      </c>
      <c r="T488" s="78" t="n"/>
      <c r="U488" s="92">
        <f>IF(ISBLANK(P488),"",IF(C488="Buy",Q488-M488+T488, IF(C488="Sell",M488-Q488-T488, X)))</f>
        <v/>
      </c>
      <c r="V488" s="81">
        <f>IF(ISBLANK(P488),"",U488/N488)</f>
        <v/>
      </c>
      <c r="W488" s="81">
        <f>IF(ISBLANK(P488),"",IF(S488=0,(365/0.5)*V488,(365/S488)*V488))</f>
        <v/>
      </c>
      <c r="X488" s="75" t="n"/>
      <c r="Y488" s="77" t="n"/>
      <c r="Z488" s="77" t="n"/>
      <c r="AA488" s="75" t="n"/>
      <c r="AB488" s="75" t="n"/>
      <c r="AC488" s="6" t="n"/>
      <c r="AD488" s="75" t="n"/>
      <c r="AE488" s="75" t="n"/>
      <c r="AF488" s="75" t="n"/>
    </row>
    <row r="489" ht="15.75" customHeight="1" s="133">
      <c r="A489" s="75" t="n"/>
      <c r="B489" s="75" t="n"/>
      <c r="C489" s="75" t="n"/>
      <c r="D489" s="75" t="n"/>
      <c r="E489" s="76" t="n"/>
      <c r="F489" s="77" t="n"/>
      <c r="G489" s="75" t="n"/>
      <c r="H489" s="75">
        <f>IF(ISBLANK(E489),"",IF(OR(D489="Butterfly",D489="Butterfly ",D489="Iron Fly", D489="Iron Fly "),LEN(E489)-LEN(SUBSTITUTE(E489,"/",""))+2,LEN(E489)-LEN(SUBSTITUTE(E489,"/",""))+1))</f>
        <v/>
      </c>
      <c r="I489" s="78">
        <f>IF(ISBLANK(G489),"",IF(D489="Stock","0",Key!$A$3*H489*G489))</f>
        <v/>
      </c>
      <c r="J489" s="78">
        <f>IF(ISBLANK(E489),"",IF(ISNUMBER(SEARCH("/",E489)), IF(LEN(E489)-LEN(SUBSTITUTE(E489,"/",""))=1,(RIGHT(E489,LEN(E489)-FIND("/",E489)))-(LEFT(E489,FIND("/",E489)-1)),(MID(E489, SEARCH("/",E489) + 1, SEARCH("/",E489, SEARCH("/",E489)+1) - SEARCH("/",E489) - 1))-(LEFT(E489,FIND("/",E489)-1))), "NA"))</f>
        <v/>
      </c>
      <c r="K489" s="79">
        <f>IF(A489&lt;&gt;"", IF(ISBLANK(L489), TODAY(), K489), "")</f>
        <v/>
      </c>
      <c r="L489" s="78" t="n"/>
      <c r="M489" s="78">
        <f>IF(ISBLANK(L489),"",IF(D489="Stock",IF(C489="Buy",L489*G489,IF(C489="Sell",(L489*G489)-I489, X)),IF(C489="Buy",(L489*G489*100)+I489,IF(C489="Sell",(L489*G489*100)-I489, X))))</f>
        <v/>
      </c>
      <c r="N489" s="78">
        <f>IF(ISBLANK(L489),"",IF(AND(C489="Sell",D489="Stock"),M489,IF(ISBLANK(L489),"",IF(C489="Buy",M489, IF(AND(C489="Sell",J489="NA"),(E489*G489*100*0.1)+I489, IF(C489="Sell",(J489-L489)*(100*G489)+I489))))))</f>
        <v/>
      </c>
      <c r="O489" s="75" t="n"/>
      <c r="P489" s="75" t="n"/>
      <c r="Q489" s="75">
        <f>IF(ISBLANK(P489),"",IF(D489="Stock",P489*G489,IF(P489=0,"0",G489*P489*100-(G489*$AF$14))))</f>
        <v/>
      </c>
      <c r="R489" s="79">
        <f>IF(P489&lt;&gt;"", TODAY(), "")</f>
        <v/>
      </c>
      <c r="S489" s="78">
        <f>IF(AND(K489&lt;&gt;"", R489&lt;&gt;""), R489-K489, "")</f>
        <v/>
      </c>
      <c r="T489" s="78" t="n"/>
      <c r="U489" s="92">
        <f>IF(ISBLANK(P489),"",IF(C489="Buy",Q489-M489+T489, IF(C489="Sell",M489-Q489-T489, X)))</f>
        <v/>
      </c>
      <c r="V489" s="81">
        <f>IF(ISBLANK(P489),"",U489/N489)</f>
        <v/>
      </c>
      <c r="W489" s="81">
        <f>IF(ISBLANK(P489),"",IF(S489=0,(365/0.5)*V489,(365/S489)*V489))</f>
        <v/>
      </c>
      <c r="X489" s="75" t="n"/>
      <c r="Y489" s="77" t="n"/>
      <c r="Z489" s="77" t="n"/>
      <c r="AA489" s="75" t="n"/>
      <c r="AB489" s="75" t="n"/>
      <c r="AC489" s="6" t="n"/>
      <c r="AD489" s="75" t="n"/>
      <c r="AE489" s="75" t="n"/>
      <c r="AF489" s="75" t="n"/>
    </row>
    <row r="490" ht="15.75" customHeight="1" s="133">
      <c r="A490" s="75" t="n"/>
      <c r="B490" s="75" t="n"/>
      <c r="C490" s="75" t="n"/>
      <c r="D490" s="75" t="n"/>
      <c r="E490" s="76" t="n"/>
      <c r="F490" s="77" t="n"/>
      <c r="G490" s="75" t="n"/>
      <c r="H490" s="75">
        <f>IF(ISBLANK(E490),"",IF(OR(D490="Butterfly",D490="Butterfly ",D490="Iron Fly", D490="Iron Fly "),LEN(E490)-LEN(SUBSTITUTE(E490,"/",""))+2,LEN(E490)-LEN(SUBSTITUTE(E490,"/",""))+1))</f>
        <v/>
      </c>
      <c r="I490" s="78">
        <f>IF(ISBLANK(G490),"",IF(D490="Stock","0",Key!$A$3*H490*G490))</f>
        <v/>
      </c>
      <c r="J490" s="78">
        <f>IF(ISBLANK(E490),"",IF(ISNUMBER(SEARCH("/",E490)), IF(LEN(E490)-LEN(SUBSTITUTE(E490,"/",""))=1,(RIGHT(E490,LEN(E490)-FIND("/",E490)))-(LEFT(E490,FIND("/",E490)-1)),(MID(E490, SEARCH("/",E490) + 1, SEARCH("/",E490, SEARCH("/",E490)+1) - SEARCH("/",E490) - 1))-(LEFT(E490,FIND("/",E490)-1))), "NA"))</f>
        <v/>
      </c>
      <c r="K490" s="79">
        <f>IF(A490&lt;&gt;"", IF(ISBLANK(L490), TODAY(), K490), "")</f>
        <v/>
      </c>
      <c r="L490" s="78" t="n"/>
      <c r="M490" s="78">
        <f>IF(ISBLANK(L490),"",IF(D490="Stock",IF(C490="Buy",L490*G490,IF(C490="Sell",(L490*G490)-I490, X)),IF(C490="Buy",(L490*G490*100)+I490,IF(C490="Sell",(L490*G490*100)-I490, X))))</f>
        <v/>
      </c>
      <c r="N490" s="78">
        <f>IF(ISBLANK(L490),"",IF(AND(C490="Sell",D490="Stock"),M490,IF(ISBLANK(L490),"",IF(C490="Buy",M490, IF(AND(C490="Sell",J490="NA"),(E490*G490*100*0.1)+I490, IF(C490="Sell",(J490-L490)*(100*G490)+I490))))))</f>
        <v/>
      </c>
      <c r="O490" s="75" t="n"/>
      <c r="P490" s="75" t="n"/>
      <c r="Q490" s="75">
        <f>IF(ISBLANK(P490),"",IF(D490="Stock",P490*G490,IF(P490=0,"0",G490*P490*100-(G490*$AF$14))))</f>
        <v/>
      </c>
      <c r="R490" s="79">
        <f>IF(P490&lt;&gt;"", TODAY(), "")</f>
        <v/>
      </c>
      <c r="S490" s="78">
        <f>IF(AND(K490&lt;&gt;"", R490&lt;&gt;""), R490-K490, "")</f>
        <v/>
      </c>
      <c r="T490" s="78" t="n"/>
      <c r="U490" s="92">
        <f>IF(ISBLANK(P490),"",IF(C490="Buy",Q490-M490+T490, IF(C490="Sell",M490-Q490-T490, X)))</f>
        <v/>
      </c>
      <c r="V490" s="81">
        <f>IF(ISBLANK(P490),"",U490/N490)</f>
        <v/>
      </c>
      <c r="W490" s="81">
        <f>IF(ISBLANK(P490),"",IF(S490=0,(365/0.5)*V490,(365/S490)*V490))</f>
        <v/>
      </c>
      <c r="X490" s="75" t="n"/>
      <c r="Y490" s="77" t="n"/>
      <c r="Z490" s="77" t="n"/>
      <c r="AA490" s="75" t="n"/>
      <c r="AB490" s="75" t="n"/>
      <c r="AC490" s="6" t="n"/>
      <c r="AD490" s="75" t="n"/>
      <c r="AE490" s="75" t="n"/>
      <c r="AF490" s="75" t="n"/>
    </row>
    <row r="491" ht="15.75" customHeight="1" s="133">
      <c r="A491" s="75" t="n"/>
      <c r="B491" s="75" t="n"/>
      <c r="C491" s="75" t="n"/>
      <c r="D491" s="75" t="n"/>
      <c r="E491" s="76" t="n"/>
      <c r="F491" s="77" t="n"/>
      <c r="G491" s="75" t="n"/>
      <c r="H491" s="75">
        <f>IF(ISBLANK(E491),"",IF(OR(D491="Butterfly",D491="Butterfly ",D491="Iron Fly", D491="Iron Fly "),LEN(E491)-LEN(SUBSTITUTE(E491,"/",""))+2,LEN(E491)-LEN(SUBSTITUTE(E491,"/",""))+1))</f>
        <v/>
      </c>
      <c r="I491" s="78">
        <f>IF(ISBLANK(G491),"",IF(D491="Stock","0",Key!$A$3*H491*G491))</f>
        <v/>
      </c>
      <c r="J491" s="78">
        <f>IF(ISBLANK(E491),"",IF(ISNUMBER(SEARCH("/",E491)), IF(LEN(E491)-LEN(SUBSTITUTE(E491,"/",""))=1,(RIGHT(E491,LEN(E491)-FIND("/",E491)))-(LEFT(E491,FIND("/",E491)-1)),(MID(E491, SEARCH("/",E491) + 1, SEARCH("/",E491, SEARCH("/",E491)+1) - SEARCH("/",E491) - 1))-(LEFT(E491,FIND("/",E491)-1))), "NA"))</f>
        <v/>
      </c>
      <c r="K491" s="79">
        <f>IF(A491&lt;&gt;"", IF(ISBLANK(L491), TODAY(), K491), "")</f>
        <v/>
      </c>
      <c r="L491" s="78" t="n"/>
      <c r="M491" s="78">
        <f>IF(ISBLANK(L491),"",IF(D491="Stock",IF(C491="Buy",L491*G491,IF(C491="Sell",(L491*G491)-I491, X)),IF(C491="Buy",(L491*G491*100)+I491,IF(C491="Sell",(L491*G491*100)-I491, X))))</f>
        <v/>
      </c>
      <c r="N491" s="78">
        <f>IF(ISBLANK(L491),"",IF(AND(C491="Sell",D491="Stock"),M491,IF(ISBLANK(L491),"",IF(C491="Buy",M491, IF(AND(C491="Sell",J491="NA"),(E491*G491*100*0.1)+I491, IF(C491="Sell",(J491-L491)*(100*G491)+I491))))))</f>
        <v/>
      </c>
      <c r="O491" s="75" t="n"/>
      <c r="P491" s="75" t="n"/>
      <c r="Q491" s="75">
        <f>IF(ISBLANK(P491),"",IF(D491="Stock",P491*G491,IF(P491=0,"0",G491*P491*100-(G491*$AF$14))))</f>
        <v/>
      </c>
      <c r="R491" s="79">
        <f>IF(P491&lt;&gt;"", TODAY(), "")</f>
        <v/>
      </c>
      <c r="S491" s="78">
        <f>IF(AND(K491&lt;&gt;"", R491&lt;&gt;""), R491-K491, "")</f>
        <v/>
      </c>
      <c r="T491" s="78" t="n"/>
      <c r="U491" s="92">
        <f>IF(ISBLANK(P491),"",IF(C491="Buy",Q491-M491+T491, IF(C491="Sell",M491-Q491-T491, X)))</f>
        <v/>
      </c>
      <c r="V491" s="81">
        <f>IF(ISBLANK(P491),"",U491/N491)</f>
        <v/>
      </c>
      <c r="W491" s="81">
        <f>IF(ISBLANK(P491),"",IF(S491=0,(365/0.5)*V491,(365/S491)*V491))</f>
        <v/>
      </c>
      <c r="X491" s="75" t="n"/>
      <c r="Y491" s="77" t="n"/>
      <c r="Z491" s="77" t="n"/>
      <c r="AA491" s="75" t="n"/>
      <c r="AB491" s="75" t="n"/>
      <c r="AC491" s="6" t="n"/>
      <c r="AD491" s="75" t="n"/>
      <c r="AE491" s="75" t="n"/>
      <c r="AF491" s="75" t="n"/>
    </row>
    <row r="492" ht="15.75" customHeight="1" s="133">
      <c r="A492" s="75" t="n"/>
      <c r="B492" s="75" t="n"/>
      <c r="C492" s="75" t="n"/>
      <c r="D492" s="75" t="n"/>
      <c r="E492" s="76" t="n"/>
      <c r="F492" s="77" t="n"/>
      <c r="G492" s="75" t="n"/>
      <c r="H492" s="75">
        <f>IF(ISBLANK(E492),"",IF(OR(D492="Butterfly",D492="Butterfly ",D492="Iron Fly", D492="Iron Fly "),LEN(E492)-LEN(SUBSTITUTE(E492,"/",""))+2,LEN(E492)-LEN(SUBSTITUTE(E492,"/",""))+1))</f>
        <v/>
      </c>
      <c r="I492" s="78">
        <f>IF(ISBLANK(G492),"",IF(D492="Stock","0",Key!$A$3*H492*G492))</f>
        <v/>
      </c>
      <c r="J492" s="78">
        <f>IF(ISBLANK(E492),"",IF(ISNUMBER(SEARCH("/",E492)), IF(LEN(E492)-LEN(SUBSTITUTE(E492,"/",""))=1,(RIGHT(E492,LEN(E492)-FIND("/",E492)))-(LEFT(E492,FIND("/",E492)-1)),(MID(E492, SEARCH("/",E492) + 1, SEARCH("/",E492, SEARCH("/",E492)+1) - SEARCH("/",E492) - 1))-(LEFT(E492,FIND("/",E492)-1))), "NA"))</f>
        <v/>
      </c>
      <c r="K492" s="79">
        <f>IF(A492&lt;&gt;"", IF(ISBLANK(L492), TODAY(), K492), "")</f>
        <v/>
      </c>
      <c r="L492" s="78" t="n"/>
      <c r="M492" s="78">
        <f>IF(ISBLANK(L492),"",IF(D492="Stock",IF(C492="Buy",L492*G492,IF(C492="Sell",(L492*G492)-I492, X)),IF(C492="Buy",(L492*G492*100)+I492,IF(C492="Sell",(L492*G492*100)-I492, X))))</f>
        <v/>
      </c>
      <c r="N492" s="78">
        <f>IF(ISBLANK(L492),"",IF(AND(C492="Sell",D492="Stock"),M492,IF(ISBLANK(L492),"",IF(C492="Buy",M492, IF(AND(C492="Sell",J492="NA"),(E492*G492*100*0.1)+I492, IF(C492="Sell",(J492-L492)*(100*G492)+I492))))))</f>
        <v/>
      </c>
      <c r="O492" s="75" t="n"/>
      <c r="P492" s="75" t="n"/>
      <c r="Q492" s="75">
        <f>IF(ISBLANK(P492),"",IF(D492="Stock",P492*G492,IF(P492=0,"0",G492*P492*100-(G492*$AF$14))))</f>
        <v/>
      </c>
      <c r="R492" s="79">
        <f>IF(P492&lt;&gt;"", TODAY(), "")</f>
        <v/>
      </c>
      <c r="S492" s="78">
        <f>IF(AND(K492&lt;&gt;"", R492&lt;&gt;""), R492-K492, "")</f>
        <v/>
      </c>
      <c r="T492" s="78" t="n"/>
      <c r="U492" s="92">
        <f>IF(ISBLANK(P492),"",IF(C492="Buy",Q492-M492+T492, IF(C492="Sell",M492-Q492-T492, X)))</f>
        <v/>
      </c>
      <c r="V492" s="81">
        <f>IF(ISBLANK(P492),"",U492/N492)</f>
        <v/>
      </c>
      <c r="W492" s="81">
        <f>IF(ISBLANK(P492),"",IF(S492=0,(365/0.5)*V492,(365/S492)*V492))</f>
        <v/>
      </c>
      <c r="X492" s="75" t="n"/>
      <c r="Y492" s="77" t="n"/>
      <c r="Z492" s="77" t="n"/>
      <c r="AA492" s="75" t="n"/>
      <c r="AB492" s="75" t="n"/>
      <c r="AC492" s="6" t="n"/>
      <c r="AD492" s="75" t="n"/>
      <c r="AE492" s="75" t="n"/>
      <c r="AF492" s="75" t="n"/>
    </row>
    <row r="493" ht="15.75" customHeight="1" s="133">
      <c r="A493" s="75" t="n"/>
      <c r="B493" s="75" t="n"/>
      <c r="C493" s="75" t="n"/>
      <c r="D493" s="75" t="n"/>
      <c r="E493" s="76" t="n"/>
      <c r="F493" s="77" t="n"/>
      <c r="G493" s="75" t="n"/>
      <c r="H493" s="75">
        <f>IF(ISBLANK(E493),"",IF(OR(D493="Butterfly",D493="Butterfly ",D493="Iron Fly", D493="Iron Fly "),LEN(E493)-LEN(SUBSTITUTE(E493,"/",""))+2,LEN(E493)-LEN(SUBSTITUTE(E493,"/",""))+1))</f>
        <v/>
      </c>
      <c r="I493" s="78">
        <f>IF(ISBLANK(G493),"",IF(D493="Stock","0",Key!$A$3*H493*G493))</f>
        <v/>
      </c>
      <c r="J493" s="78">
        <f>IF(ISBLANK(E493),"",IF(ISNUMBER(SEARCH("/",E493)), IF(LEN(E493)-LEN(SUBSTITUTE(E493,"/",""))=1,(RIGHT(E493,LEN(E493)-FIND("/",E493)))-(LEFT(E493,FIND("/",E493)-1)),(MID(E493, SEARCH("/",E493) + 1, SEARCH("/",E493, SEARCH("/",E493)+1) - SEARCH("/",E493) - 1))-(LEFT(E493,FIND("/",E493)-1))), "NA"))</f>
        <v/>
      </c>
      <c r="K493" s="79">
        <f>IF(A493&lt;&gt;"", IF(ISBLANK(L493), TODAY(), K493), "")</f>
        <v/>
      </c>
      <c r="L493" s="78" t="n"/>
      <c r="M493" s="78">
        <f>IF(ISBLANK(L493),"",IF(D493="Stock",IF(C493="Buy",L493*G493,IF(C493="Sell",(L493*G493)-I493, X)),IF(C493="Buy",(L493*G493*100)+I493,IF(C493="Sell",(L493*G493*100)-I493, X))))</f>
        <v/>
      </c>
      <c r="N493" s="78">
        <f>IF(ISBLANK(L493),"",IF(AND(C493="Sell",D493="Stock"),M493,IF(ISBLANK(L493),"",IF(C493="Buy",M493, IF(AND(C493="Sell",J493="NA"),(E493*G493*100*0.1)+I493, IF(C493="Sell",(J493-L493)*(100*G493)+I493))))))</f>
        <v/>
      </c>
      <c r="O493" s="75" t="n"/>
      <c r="P493" s="75" t="n"/>
      <c r="Q493" s="75">
        <f>IF(ISBLANK(P493),"",IF(D493="Stock",P493*G493,IF(P493=0,"0",G493*P493*100-(G493*$AF$14))))</f>
        <v/>
      </c>
      <c r="R493" s="79">
        <f>IF(P493&lt;&gt;"", TODAY(), "")</f>
        <v/>
      </c>
      <c r="S493" s="78">
        <f>IF(AND(K493&lt;&gt;"", R493&lt;&gt;""), R493-K493, "")</f>
        <v/>
      </c>
      <c r="T493" s="78" t="n"/>
      <c r="U493" s="92">
        <f>IF(ISBLANK(P493),"",IF(C493="Buy",Q493-M493+T493, IF(C493="Sell",M493-Q493-T493, X)))</f>
        <v/>
      </c>
      <c r="V493" s="81">
        <f>IF(ISBLANK(P493),"",U493/N493)</f>
        <v/>
      </c>
      <c r="W493" s="81">
        <f>IF(ISBLANK(P493),"",IF(S493=0,(365/0.5)*V493,(365/S493)*V493))</f>
        <v/>
      </c>
      <c r="X493" s="75" t="n"/>
      <c r="Y493" s="77" t="n"/>
      <c r="Z493" s="77" t="n"/>
      <c r="AA493" s="75" t="n"/>
      <c r="AB493" s="75" t="n"/>
      <c r="AC493" s="6" t="n"/>
      <c r="AD493" s="75" t="n"/>
      <c r="AE493" s="75" t="n"/>
      <c r="AF493" s="75" t="n"/>
    </row>
    <row r="494" ht="15.75" customHeight="1" s="133">
      <c r="A494" s="75" t="n"/>
      <c r="B494" s="75" t="n"/>
      <c r="C494" s="75" t="n"/>
      <c r="D494" s="75" t="n"/>
      <c r="E494" s="76" t="n"/>
      <c r="F494" s="77" t="n"/>
      <c r="G494" s="75" t="n"/>
      <c r="H494" s="75">
        <f>IF(ISBLANK(E494),"",IF(OR(D494="Butterfly",D494="Butterfly ",D494="Iron Fly", D494="Iron Fly "),LEN(E494)-LEN(SUBSTITUTE(E494,"/",""))+2,LEN(E494)-LEN(SUBSTITUTE(E494,"/",""))+1))</f>
        <v/>
      </c>
      <c r="I494" s="78">
        <f>IF(ISBLANK(G494),"",IF(D494="Stock","0",Key!$A$3*H494*G494))</f>
        <v/>
      </c>
      <c r="J494" s="78">
        <f>IF(ISBLANK(E494),"",IF(ISNUMBER(SEARCH("/",E494)), IF(LEN(E494)-LEN(SUBSTITUTE(E494,"/",""))=1,(RIGHT(E494,LEN(E494)-FIND("/",E494)))-(LEFT(E494,FIND("/",E494)-1)),(MID(E494, SEARCH("/",E494) + 1, SEARCH("/",E494, SEARCH("/",E494)+1) - SEARCH("/",E494) - 1))-(LEFT(E494,FIND("/",E494)-1))), "NA"))</f>
        <v/>
      </c>
      <c r="K494" s="79">
        <f>IF(A494&lt;&gt;"", IF(ISBLANK(L494), TODAY(), K494), "")</f>
        <v/>
      </c>
      <c r="L494" s="78" t="n"/>
      <c r="M494" s="78">
        <f>IF(ISBLANK(L494),"",IF(D494="Stock",IF(C494="Buy",L494*G494,IF(C494="Sell",(L494*G494)-I494, X)),IF(C494="Buy",(L494*G494*100)+I494,IF(C494="Sell",(L494*G494*100)-I494, X))))</f>
        <v/>
      </c>
      <c r="N494" s="78">
        <f>IF(ISBLANK(L494),"",IF(AND(C494="Sell",D494="Stock"),M494,IF(ISBLANK(L494),"",IF(C494="Buy",M494, IF(AND(C494="Sell",J494="NA"),(E494*G494*100*0.1)+I494, IF(C494="Sell",(J494-L494)*(100*G494)+I494))))))</f>
        <v/>
      </c>
      <c r="O494" s="75" t="n"/>
      <c r="P494" s="75" t="n"/>
      <c r="Q494" s="75">
        <f>IF(ISBLANK(P494),"",IF(D494="Stock",P494*G494,IF(P494=0,"0",G494*P494*100-(G494*$AF$14))))</f>
        <v/>
      </c>
      <c r="R494" s="79">
        <f>IF(P494&lt;&gt;"", TODAY(), "")</f>
        <v/>
      </c>
      <c r="S494" s="78">
        <f>IF(AND(K494&lt;&gt;"", R494&lt;&gt;""), R494-K494, "")</f>
        <v/>
      </c>
      <c r="T494" s="78" t="n"/>
      <c r="U494" s="92">
        <f>IF(ISBLANK(P494),"",IF(C494="Buy",Q494-M494+T494, IF(C494="Sell",M494-Q494-T494, X)))</f>
        <v/>
      </c>
      <c r="V494" s="81">
        <f>IF(ISBLANK(P494),"",U494/N494)</f>
        <v/>
      </c>
      <c r="W494" s="81">
        <f>IF(ISBLANK(P494),"",IF(S494=0,(365/0.5)*V494,(365/S494)*V494))</f>
        <v/>
      </c>
      <c r="X494" s="75" t="n"/>
      <c r="Y494" s="77" t="n"/>
      <c r="Z494" s="77" t="n"/>
      <c r="AA494" s="75" t="n"/>
      <c r="AB494" s="75" t="n"/>
      <c r="AC494" s="6" t="n"/>
      <c r="AD494" s="75" t="n"/>
      <c r="AE494" s="75" t="n"/>
      <c r="AF494" s="75" t="n"/>
    </row>
    <row r="495" ht="15.75" customHeight="1" s="133">
      <c r="A495" s="75" t="n"/>
      <c r="B495" s="75" t="n"/>
      <c r="C495" s="75" t="n"/>
      <c r="D495" s="75" t="n"/>
      <c r="E495" s="76" t="n"/>
      <c r="F495" s="77" t="n"/>
      <c r="G495" s="75" t="n"/>
      <c r="H495" s="75">
        <f>IF(ISBLANK(E495),"",IF(OR(D495="Butterfly",D495="Butterfly ",D495="Iron Fly", D495="Iron Fly "),LEN(E495)-LEN(SUBSTITUTE(E495,"/",""))+2,LEN(E495)-LEN(SUBSTITUTE(E495,"/",""))+1))</f>
        <v/>
      </c>
      <c r="I495" s="78">
        <f>IF(ISBLANK(G495),"",IF(D495="Stock","0",Key!$A$3*H495*G495))</f>
        <v/>
      </c>
      <c r="J495" s="78">
        <f>IF(ISBLANK(E495),"",IF(ISNUMBER(SEARCH("/",E495)), IF(LEN(E495)-LEN(SUBSTITUTE(E495,"/",""))=1,(RIGHT(E495,LEN(E495)-FIND("/",E495)))-(LEFT(E495,FIND("/",E495)-1)),(MID(E495, SEARCH("/",E495) + 1, SEARCH("/",E495, SEARCH("/",E495)+1) - SEARCH("/",E495) - 1))-(LEFT(E495,FIND("/",E495)-1))), "NA"))</f>
        <v/>
      </c>
      <c r="K495" s="79">
        <f>IF(A495&lt;&gt;"", IF(ISBLANK(L495), TODAY(), K495), "")</f>
        <v/>
      </c>
      <c r="L495" s="78" t="n"/>
      <c r="M495" s="78">
        <f>IF(ISBLANK(L495),"",IF(D495="Stock",IF(C495="Buy",L495*G495,IF(C495="Sell",(L495*G495)-I495, X)),IF(C495="Buy",(L495*G495*100)+I495,IF(C495="Sell",(L495*G495*100)-I495, X))))</f>
        <v/>
      </c>
      <c r="N495" s="78">
        <f>IF(ISBLANK(L495),"",IF(AND(C495="Sell",D495="Stock"),M495,IF(ISBLANK(L495),"",IF(C495="Buy",M495, IF(AND(C495="Sell",J495="NA"),(E495*G495*100*0.1)+I495, IF(C495="Sell",(J495-L495)*(100*G495)+I495))))))</f>
        <v/>
      </c>
      <c r="O495" s="75" t="n"/>
      <c r="P495" s="75" t="n"/>
      <c r="Q495" s="75">
        <f>IF(ISBLANK(P495),"",IF(D495="Stock",P495*G495,IF(P495=0,"0",G495*P495*100-(G495*$AF$14))))</f>
        <v/>
      </c>
      <c r="R495" s="79">
        <f>IF(P495&lt;&gt;"", TODAY(), "")</f>
        <v/>
      </c>
      <c r="S495" s="78">
        <f>IF(AND(K495&lt;&gt;"", R495&lt;&gt;""), R495-K495, "")</f>
        <v/>
      </c>
      <c r="T495" s="78" t="n"/>
      <c r="U495" s="92">
        <f>IF(ISBLANK(P495),"",IF(C495="Buy",Q495-M495+T495, IF(C495="Sell",M495-Q495-T495, X)))</f>
        <v/>
      </c>
      <c r="V495" s="81">
        <f>IF(ISBLANK(P495),"",U495/N495)</f>
        <v/>
      </c>
      <c r="W495" s="81">
        <f>IF(ISBLANK(P495),"",IF(S495=0,(365/0.5)*V495,(365/S495)*V495))</f>
        <v/>
      </c>
      <c r="X495" s="75" t="n"/>
      <c r="Y495" s="77" t="n"/>
      <c r="Z495" s="77" t="n"/>
      <c r="AA495" s="75" t="n"/>
      <c r="AB495" s="75" t="n"/>
      <c r="AC495" s="6" t="n"/>
      <c r="AD495" s="75" t="n"/>
      <c r="AE495" s="75" t="n"/>
      <c r="AF495" s="75" t="n"/>
    </row>
    <row r="496" ht="15.75" customHeight="1" s="133">
      <c r="A496" s="75" t="n"/>
      <c r="B496" s="75" t="n"/>
      <c r="C496" s="75" t="n"/>
      <c r="D496" s="75" t="n"/>
      <c r="E496" s="76" t="n"/>
      <c r="F496" s="77" t="n"/>
      <c r="G496" s="75" t="n"/>
      <c r="H496" s="75">
        <f>IF(ISBLANK(E496),"",IF(OR(D496="Butterfly",D496="Butterfly ",D496="Iron Fly", D496="Iron Fly "),LEN(E496)-LEN(SUBSTITUTE(E496,"/",""))+2,LEN(E496)-LEN(SUBSTITUTE(E496,"/",""))+1))</f>
        <v/>
      </c>
      <c r="I496" s="78">
        <f>IF(ISBLANK(G496),"",IF(D496="Stock","0",Key!$A$3*H496*G496))</f>
        <v/>
      </c>
      <c r="J496" s="78">
        <f>IF(ISBLANK(E496),"",IF(ISNUMBER(SEARCH("/",E496)), IF(LEN(E496)-LEN(SUBSTITUTE(E496,"/",""))=1,(RIGHT(E496,LEN(E496)-FIND("/",E496)))-(LEFT(E496,FIND("/",E496)-1)),(MID(E496, SEARCH("/",E496) + 1, SEARCH("/",E496, SEARCH("/",E496)+1) - SEARCH("/",E496) - 1))-(LEFT(E496,FIND("/",E496)-1))), "NA"))</f>
        <v/>
      </c>
      <c r="K496" s="79">
        <f>IF(A496&lt;&gt;"", IF(ISBLANK(L496), TODAY(), K496), "")</f>
        <v/>
      </c>
      <c r="L496" s="78" t="n"/>
      <c r="M496" s="78">
        <f>IF(ISBLANK(L496),"",IF(D496="Stock",IF(C496="Buy",L496*G496,IF(C496="Sell",(L496*G496)-I496, X)),IF(C496="Buy",(L496*G496*100)+I496,IF(C496="Sell",(L496*G496*100)-I496, X))))</f>
        <v/>
      </c>
      <c r="N496" s="78">
        <f>IF(ISBLANK(L496),"",IF(AND(C496="Sell",D496="Stock"),M496,IF(ISBLANK(L496),"",IF(C496="Buy",M496, IF(AND(C496="Sell",J496="NA"),(E496*G496*100*0.1)+I496, IF(C496="Sell",(J496-L496)*(100*G496)+I496))))))</f>
        <v/>
      </c>
      <c r="O496" s="75" t="n"/>
      <c r="P496" s="75" t="n"/>
      <c r="Q496" s="75">
        <f>IF(ISBLANK(P496),"",IF(D496="Stock",P496*G496,IF(P496=0,"0",G496*P496*100-(G496*$AF$14))))</f>
        <v/>
      </c>
      <c r="R496" s="79">
        <f>IF(P496&lt;&gt;"", TODAY(), "")</f>
        <v/>
      </c>
      <c r="S496" s="78">
        <f>IF(AND(K496&lt;&gt;"", R496&lt;&gt;""), R496-K496, "")</f>
        <v/>
      </c>
      <c r="T496" s="78" t="n"/>
      <c r="U496" s="92">
        <f>IF(ISBLANK(P496),"",IF(C496="Buy",Q496-M496+T496, IF(C496="Sell",M496-Q496-T496, X)))</f>
        <v/>
      </c>
      <c r="V496" s="81">
        <f>IF(ISBLANK(P496),"",U496/N496)</f>
        <v/>
      </c>
      <c r="W496" s="81">
        <f>IF(ISBLANK(P496),"",IF(S496=0,(365/0.5)*V496,(365/S496)*V496))</f>
        <v/>
      </c>
      <c r="X496" s="75" t="n"/>
      <c r="Y496" s="77" t="n"/>
      <c r="Z496" s="77" t="n"/>
      <c r="AA496" s="75" t="n"/>
      <c r="AB496" s="75" t="n"/>
      <c r="AC496" s="6" t="n"/>
      <c r="AD496" s="75" t="n"/>
      <c r="AE496" s="75" t="n"/>
      <c r="AF496" s="75" t="n"/>
    </row>
    <row r="497" ht="15.75" customHeight="1" s="133">
      <c r="A497" s="75" t="n"/>
      <c r="B497" s="75" t="n"/>
      <c r="C497" s="75" t="n"/>
      <c r="D497" s="75" t="n"/>
      <c r="E497" s="76" t="n"/>
      <c r="F497" s="77" t="n"/>
      <c r="G497" s="75" t="n"/>
      <c r="H497" s="75">
        <f>IF(ISBLANK(E497),"",IF(OR(D497="Butterfly",D497="Butterfly ",D497="Iron Fly", D497="Iron Fly "),LEN(E497)-LEN(SUBSTITUTE(E497,"/",""))+2,LEN(E497)-LEN(SUBSTITUTE(E497,"/",""))+1))</f>
        <v/>
      </c>
      <c r="I497" s="78">
        <f>IF(ISBLANK(G497),"",IF(D497="Stock","0",Key!$A$3*H497*G497))</f>
        <v/>
      </c>
      <c r="J497" s="78">
        <f>IF(ISBLANK(E497),"",IF(ISNUMBER(SEARCH("/",E497)), IF(LEN(E497)-LEN(SUBSTITUTE(E497,"/",""))=1,(RIGHT(E497,LEN(E497)-FIND("/",E497)))-(LEFT(E497,FIND("/",E497)-1)),(MID(E497, SEARCH("/",E497) + 1, SEARCH("/",E497, SEARCH("/",E497)+1) - SEARCH("/",E497) - 1))-(LEFT(E497,FIND("/",E497)-1))), "NA"))</f>
        <v/>
      </c>
      <c r="K497" s="79">
        <f>IF(A497&lt;&gt;"", IF(ISBLANK(L497), TODAY(), K497), "")</f>
        <v/>
      </c>
      <c r="L497" s="78" t="n"/>
      <c r="M497" s="78">
        <f>IF(ISBLANK(L497),"",IF(D497="Stock",IF(C497="Buy",L497*G497,IF(C497="Sell",(L497*G497)-I497, X)),IF(C497="Buy",(L497*G497*100)+I497,IF(C497="Sell",(L497*G497*100)-I497, X))))</f>
        <v/>
      </c>
      <c r="N497" s="78">
        <f>IF(ISBLANK(L497),"",IF(AND(C497="Sell",D497="Stock"),M497,IF(ISBLANK(L497),"",IF(C497="Buy",M497, IF(AND(C497="Sell",J497="NA"),(E497*G497*100*0.1)+I497, IF(C497="Sell",(J497-L497)*(100*G497)+I497))))))</f>
        <v/>
      </c>
      <c r="O497" s="75" t="n"/>
      <c r="P497" s="75" t="n"/>
      <c r="Q497" s="75">
        <f>IF(ISBLANK(P497),"",IF(D497="Stock",P497*G497,IF(P497=0,"0",G497*P497*100-(G497*$AF$14))))</f>
        <v/>
      </c>
      <c r="R497" s="79">
        <f>IF(P497&lt;&gt;"", TODAY(), "")</f>
        <v/>
      </c>
      <c r="S497" s="78">
        <f>IF(AND(K497&lt;&gt;"", R497&lt;&gt;""), R497-K497, "")</f>
        <v/>
      </c>
      <c r="T497" s="78" t="n"/>
      <c r="U497" s="92">
        <f>IF(ISBLANK(P497),"",IF(C497="Buy",Q497-M497+T497, IF(C497="Sell",M497-Q497-T497, X)))</f>
        <v/>
      </c>
      <c r="V497" s="81">
        <f>IF(ISBLANK(P497),"",U497/N497)</f>
        <v/>
      </c>
      <c r="W497" s="81">
        <f>IF(ISBLANK(P497),"",IF(S497=0,(365/0.5)*V497,(365/S497)*V497))</f>
        <v/>
      </c>
      <c r="X497" s="75" t="n"/>
      <c r="Y497" s="77" t="n"/>
      <c r="Z497" s="77" t="n"/>
      <c r="AA497" s="75" t="n"/>
      <c r="AB497" s="75" t="n"/>
      <c r="AC497" s="6" t="n"/>
      <c r="AD497" s="75" t="n"/>
      <c r="AE497" s="75" t="n"/>
      <c r="AF497" s="75" t="n"/>
    </row>
    <row r="498" ht="15.75" customHeight="1" s="133">
      <c r="A498" s="75" t="n"/>
      <c r="B498" s="75" t="n"/>
      <c r="C498" s="75" t="n"/>
      <c r="D498" s="75" t="n"/>
      <c r="E498" s="76" t="n"/>
      <c r="F498" s="77" t="n"/>
      <c r="G498" s="75" t="n"/>
      <c r="H498" s="75">
        <f>IF(ISBLANK(E498),"",IF(OR(D498="Butterfly",D498="Butterfly ",D498="Iron Fly", D498="Iron Fly "),LEN(E498)-LEN(SUBSTITUTE(E498,"/",""))+2,LEN(E498)-LEN(SUBSTITUTE(E498,"/",""))+1))</f>
        <v/>
      </c>
      <c r="I498" s="78">
        <f>IF(ISBLANK(G498),"",IF(D498="Stock","0",Key!$A$3*H498*G498))</f>
        <v/>
      </c>
      <c r="J498" s="78">
        <f>IF(ISBLANK(E498),"",IF(ISNUMBER(SEARCH("/",E498)), IF(LEN(E498)-LEN(SUBSTITUTE(E498,"/",""))=1,(RIGHT(E498,LEN(E498)-FIND("/",E498)))-(LEFT(E498,FIND("/",E498)-1)),(MID(E498, SEARCH("/",E498) + 1, SEARCH("/",E498, SEARCH("/",E498)+1) - SEARCH("/",E498) - 1))-(LEFT(E498,FIND("/",E498)-1))), "NA"))</f>
        <v/>
      </c>
      <c r="K498" s="79">
        <f>IF(A498&lt;&gt;"", IF(ISBLANK(L498), TODAY(), K498), "")</f>
        <v/>
      </c>
      <c r="L498" s="78" t="n"/>
      <c r="M498" s="78">
        <f>IF(ISBLANK(L498),"",IF(D498="Stock",IF(C498="Buy",L498*G498,IF(C498="Sell",(L498*G498)-I498, X)),IF(C498="Buy",(L498*G498*100)+I498,IF(C498="Sell",(L498*G498*100)-I498, X))))</f>
        <v/>
      </c>
      <c r="N498" s="78">
        <f>IF(ISBLANK(L498),"",IF(AND(C498="Sell",D498="Stock"),M498,IF(ISBLANK(L498),"",IF(C498="Buy",M498, IF(AND(C498="Sell",J498="NA"),(E498*G498*100*0.1)+I498, IF(C498="Sell",(J498-L498)*(100*G498)+I498))))))</f>
        <v/>
      </c>
      <c r="O498" s="75" t="n"/>
      <c r="P498" s="75" t="n"/>
      <c r="Q498" s="75">
        <f>IF(ISBLANK(P498),"",IF(D498="Stock",P498*G498,IF(P498=0,"0",G498*P498*100-(G498*$AF$14))))</f>
        <v/>
      </c>
      <c r="R498" s="79">
        <f>IF(P498&lt;&gt;"", TODAY(), "")</f>
        <v/>
      </c>
      <c r="S498" s="78">
        <f>IF(AND(K498&lt;&gt;"", R498&lt;&gt;""), R498-K498, "")</f>
        <v/>
      </c>
      <c r="T498" s="78" t="n"/>
      <c r="U498" s="92">
        <f>IF(ISBLANK(P498),"",IF(C498="Buy",Q498-M498+T498, IF(C498="Sell",M498-Q498-T498, X)))</f>
        <v/>
      </c>
      <c r="V498" s="81">
        <f>IF(ISBLANK(P498),"",U498/N498)</f>
        <v/>
      </c>
      <c r="W498" s="81">
        <f>IF(ISBLANK(P498),"",IF(S498=0,(365/0.5)*V498,(365/S498)*V498))</f>
        <v/>
      </c>
      <c r="X498" s="75" t="n"/>
      <c r="Y498" s="77" t="n"/>
      <c r="Z498" s="77" t="n"/>
      <c r="AA498" s="75" t="n"/>
      <c r="AB498" s="75" t="n"/>
      <c r="AC498" s="6" t="n"/>
      <c r="AD498" s="75" t="n"/>
      <c r="AE498" s="75" t="n"/>
      <c r="AF498" s="75" t="n"/>
    </row>
    <row r="499" ht="15.75" customHeight="1" s="133">
      <c r="A499" s="75" t="n"/>
      <c r="B499" s="75" t="n"/>
      <c r="C499" s="75" t="n"/>
      <c r="D499" s="75" t="n"/>
      <c r="E499" s="76" t="n"/>
      <c r="F499" s="77" t="n"/>
      <c r="G499" s="75" t="n"/>
      <c r="H499" s="75">
        <f>IF(ISBLANK(E499),"",IF(OR(D499="Butterfly",D499="Butterfly ",D499="Iron Fly", D499="Iron Fly "),LEN(E499)-LEN(SUBSTITUTE(E499,"/",""))+2,LEN(E499)-LEN(SUBSTITUTE(E499,"/",""))+1))</f>
        <v/>
      </c>
      <c r="I499" s="78">
        <f>IF(ISBLANK(G499),"",IF(D499="Stock","0",Key!$A$3*H499*G499))</f>
        <v/>
      </c>
      <c r="J499" s="78">
        <f>IF(ISBLANK(E499),"",IF(ISNUMBER(SEARCH("/",E499)), IF(LEN(E499)-LEN(SUBSTITUTE(E499,"/",""))=1,(RIGHT(E499,LEN(E499)-FIND("/",E499)))-(LEFT(E499,FIND("/",E499)-1)),(MID(E499, SEARCH("/",E499) + 1, SEARCH("/",E499, SEARCH("/",E499)+1) - SEARCH("/",E499) - 1))-(LEFT(E499,FIND("/",E499)-1))), "NA"))</f>
        <v/>
      </c>
      <c r="K499" s="79">
        <f>IF(A499&lt;&gt;"", IF(ISBLANK(L499), TODAY(), K499), "")</f>
        <v/>
      </c>
      <c r="L499" s="78" t="n"/>
      <c r="M499" s="78">
        <f>IF(ISBLANK(L499),"",IF(D499="Stock",IF(C499="Buy",L499*G499,IF(C499="Sell",(L499*G499)-I499, X)),IF(C499="Buy",(L499*G499*100)+I499,IF(C499="Sell",(L499*G499*100)-I499, X))))</f>
        <v/>
      </c>
      <c r="N499" s="78">
        <f>IF(ISBLANK(L499),"",IF(AND(C499="Sell",D499="Stock"),M499,IF(ISBLANK(L499),"",IF(C499="Buy",M499, IF(AND(C499="Sell",J499="NA"),(E499*G499*100*0.1)+I499, IF(C499="Sell",(J499-L499)*(100*G499)+I499))))))</f>
        <v/>
      </c>
      <c r="O499" s="75" t="n"/>
      <c r="P499" s="75" t="n"/>
      <c r="Q499" s="75">
        <f>IF(ISBLANK(P499),"",IF(D499="Stock",P499*G499,IF(P499=0,"0",G499*P499*100-(G499*$AF$14))))</f>
        <v/>
      </c>
      <c r="R499" s="79">
        <f>IF(P499&lt;&gt;"", TODAY(), "")</f>
        <v/>
      </c>
      <c r="S499" s="78">
        <f>IF(AND(K499&lt;&gt;"", R499&lt;&gt;""), R499-K499, "")</f>
        <v/>
      </c>
      <c r="T499" s="78" t="n"/>
      <c r="U499" s="92">
        <f>IF(ISBLANK(P499),"",IF(C499="Buy",Q499-M499+T499, IF(C499="Sell",M499-Q499-T499, X)))</f>
        <v/>
      </c>
      <c r="V499" s="81">
        <f>IF(ISBLANK(P499),"",U499/N499)</f>
        <v/>
      </c>
      <c r="W499" s="81">
        <f>IF(ISBLANK(P499),"",IF(S499=0,(365/0.5)*V499,(365/S499)*V499))</f>
        <v/>
      </c>
      <c r="X499" s="75" t="n"/>
      <c r="Y499" s="77" t="n"/>
      <c r="Z499" s="77" t="n"/>
      <c r="AA499" s="75" t="n"/>
      <c r="AB499" s="75" t="n"/>
      <c r="AC499" s="6" t="n"/>
      <c r="AD499" s="75" t="n"/>
      <c r="AE499" s="75" t="n"/>
      <c r="AF499" s="75" t="n"/>
    </row>
    <row r="500" ht="15.75" customHeight="1" s="133">
      <c r="A500" s="75" t="n"/>
      <c r="B500" s="75" t="n"/>
      <c r="C500" s="75" t="n"/>
      <c r="D500" s="75" t="n"/>
      <c r="E500" s="76" t="n"/>
      <c r="F500" s="77" t="n"/>
      <c r="G500" s="75" t="n"/>
      <c r="H500" s="75">
        <f>IF(ISBLANK(E500),"",IF(OR(D500="Butterfly",D500="Butterfly ",D500="Iron Fly", D500="Iron Fly "),LEN(E500)-LEN(SUBSTITUTE(E500,"/",""))+2,LEN(E500)-LEN(SUBSTITUTE(E500,"/",""))+1))</f>
        <v/>
      </c>
      <c r="I500" s="78">
        <f>IF(ISBLANK(G500),"",IF(D500="Stock","0",Key!$A$3*H500*G500))</f>
        <v/>
      </c>
      <c r="J500" s="78">
        <f>IF(ISBLANK(E500),"",IF(ISNUMBER(SEARCH("/",E500)), IF(LEN(E500)-LEN(SUBSTITUTE(E500,"/",""))=1,(RIGHT(E500,LEN(E500)-FIND("/",E500)))-(LEFT(E500,FIND("/",E500)-1)),(MID(E500, SEARCH("/",E500) + 1, SEARCH("/",E500, SEARCH("/",E500)+1) - SEARCH("/",E500) - 1))-(LEFT(E500,FIND("/",E500)-1))), "NA"))</f>
        <v/>
      </c>
      <c r="K500" s="79">
        <f>IF(A500&lt;&gt;"", IF(ISBLANK(L500), TODAY(), K500), "")</f>
        <v/>
      </c>
      <c r="L500" s="78" t="n"/>
      <c r="M500" s="78">
        <f>IF(ISBLANK(L500),"",IF(D500="Stock",IF(C500="Buy",L500*G500,IF(C500="Sell",(L500*G500)-I500, X)),IF(C500="Buy",(L500*G500*100)+I500,IF(C500="Sell",(L500*G500*100)-I500, X))))</f>
        <v/>
      </c>
      <c r="N500" s="78">
        <f>IF(ISBLANK(L500),"",IF(AND(C500="Sell",D500="Stock"),M500,IF(ISBLANK(L500),"",IF(C500="Buy",M500, IF(AND(C500="Sell",J500="NA"),(E500*G500*100*0.1)+I500, IF(C500="Sell",(J500-L500)*(100*G500)+I500))))))</f>
        <v/>
      </c>
      <c r="O500" s="75" t="n"/>
      <c r="P500" s="75" t="n"/>
      <c r="Q500" s="75">
        <f>IF(ISBLANK(P500),"",IF(D500="Stock",P500*G500,IF(P500=0,"0",G500*P500*100-(G500*$AF$14))))</f>
        <v/>
      </c>
      <c r="R500" s="79">
        <f>IF(P500&lt;&gt;"", TODAY(), "")</f>
        <v/>
      </c>
      <c r="S500" s="78">
        <f>IF(AND(K500&lt;&gt;"", R500&lt;&gt;""), R500-K500, "")</f>
        <v/>
      </c>
      <c r="T500" s="78" t="n"/>
      <c r="U500" s="92">
        <f>IF(ISBLANK(P500),"",IF(C500="Buy",Q500-M500+T500, IF(C500="Sell",M500-Q500-T500, X)))</f>
        <v/>
      </c>
      <c r="V500" s="81">
        <f>IF(ISBLANK(P500),"",U500/N500)</f>
        <v/>
      </c>
      <c r="W500" s="81">
        <f>IF(ISBLANK(P500),"",IF(S500=0,(365/0.5)*V500,(365/S500)*V500))</f>
        <v/>
      </c>
      <c r="X500" s="75" t="n"/>
      <c r="Y500" s="77" t="n"/>
      <c r="Z500" s="77" t="n"/>
      <c r="AA500" s="75" t="n"/>
      <c r="AB500" s="75" t="n"/>
      <c r="AC500" s="6" t="n"/>
      <c r="AD500" s="75" t="n"/>
      <c r="AE500" s="75" t="n"/>
      <c r="AF500" s="75" t="n"/>
    </row>
    <row r="501" ht="15.75" customHeight="1" s="133">
      <c r="A501" s="75" t="n"/>
      <c r="B501" s="75" t="n"/>
      <c r="C501" s="75" t="n"/>
      <c r="D501" s="75" t="n"/>
      <c r="E501" s="76" t="n"/>
      <c r="F501" s="77" t="n"/>
      <c r="G501" s="75" t="n"/>
      <c r="H501" s="75">
        <f>IF(ISBLANK(E501),"",IF(OR(D501="Butterfly",D501="Butterfly ",D501="Iron Fly", D501="Iron Fly "),LEN(E501)-LEN(SUBSTITUTE(E501,"/",""))+2,LEN(E501)-LEN(SUBSTITUTE(E501,"/",""))+1))</f>
        <v/>
      </c>
      <c r="I501" s="78">
        <f>IF(ISBLANK(G501),"",IF(D501="Stock","0",Key!$A$3*H501*G501))</f>
        <v/>
      </c>
      <c r="J501" s="78">
        <f>IF(ISBLANK(E501),"",IF(ISNUMBER(SEARCH("/",E501)), IF(LEN(E501)-LEN(SUBSTITUTE(E501,"/",""))=1,(RIGHT(E501,LEN(E501)-FIND("/",E501)))-(LEFT(E501,FIND("/",E501)-1)),(MID(E501, SEARCH("/",E501) + 1, SEARCH("/",E501, SEARCH("/",E501)+1) - SEARCH("/",E501) - 1))-(LEFT(E501,FIND("/",E501)-1))), "NA"))</f>
        <v/>
      </c>
      <c r="K501" s="79">
        <f>IF(A501&lt;&gt;"", IF(ISBLANK(L501), TODAY(), K501), "")</f>
        <v/>
      </c>
      <c r="L501" s="78" t="n"/>
      <c r="M501" s="78">
        <f>IF(ISBLANK(L501),"",IF(D501="Stock",IF(C501="Buy",L501*G501,IF(C501="Sell",(L501*G501)-I501, X)),IF(C501="Buy",(L501*G501*100)+I501,IF(C501="Sell",(L501*G501*100)-I501, X))))</f>
        <v/>
      </c>
      <c r="N501" s="78">
        <f>IF(ISBLANK(L501),"",IF(AND(C501="Sell",D501="Stock"),M501,IF(ISBLANK(L501),"",IF(C501="Buy",M501, IF(AND(C501="Sell",J501="NA"),(E501*G501*100*0.1)+I501, IF(C501="Sell",(J501-L501)*(100*G501)+I501))))))</f>
        <v/>
      </c>
      <c r="O501" s="75" t="n"/>
      <c r="P501" s="75" t="n"/>
      <c r="Q501" s="75">
        <f>IF(ISBLANK(P501),"",IF(D501="Stock",P501*G501,IF(P501=0,"0",G501*P501*100-(G501*$AF$14))))</f>
        <v/>
      </c>
      <c r="R501" s="79">
        <f>IF(P501&lt;&gt;"", TODAY(), "")</f>
        <v/>
      </c>
      <c r="S501" s="78">
        <f>IF(AND(K501&lt;&gt;"", R501&lt;&gt;""), R501-K501, "")</f>
        <v/>
      </c>
      <c r="T501" s="78" t="n"/>
      <c r="U501" s="92">
        <f>IF(ISBLANK(P501),"",IF(C501="Buy",Q501-M501+T501, IF(C501="Sell",M501-Q501-T501, X)))</f>
        <v/>
      </c>
      <c r="V501" s="81">
        <f>IF(ISBLANK(P501),"",U501/N501)</f>
        <v/>
      </c>
      <c r="W501" s="81">
        <f>IF(ISBLANK(P501),"",IF(S501=0,(365/0.5)*V501,(365/S501)*V501))</f>
        <v/>
      </c>
      <c r="X501" s="75" t="n"/>
      <c r="Y501" s="77" t="n"/>
      <c r="Z501" s="77" t="n"/>
      <c r="AA501" s="75" t="n"/>
      <c r="AB501" s="75" t="n"/>
      <c r="AC501" s="6" t="n"/>
      <c r="AD501" s="75" t="n"/>
      <c r="AE501" s="75" t="n"/>
      <c r="AF501" s="75" t="n"/>
    </row>
    <row r="502" ht="15.75" customHeight="1" s="133">
      <c r="A502" s="75" t="n"/>
      <c r="B502" s="75" t="n"/>
      <c r="C502" s="75" t="n"/>
      <c r="D502" s="75" t="n"/>
      <c r="E502" s="76" t="n"/>
      <c r="F502" s="77" t="n"/>
      <c r="G502" s="75" t="n"/>
      <c r="H502" s="75">
        <f>IF(ISBLANK(E502),"",IF(OR(D502="Butterfly",D502="Butterfly ",D502="Iron Fly", D502="Iron Fly "),LEN(E502)-LEN(SUBSTITUTE(E502,"/",""))+2,LEN(E502)-LEN(SUBSTITUTE(E502,"/",""))+1))</f>
        <v/>
      </c>
      <c r="I502" s="78">
        <f>IF(ISBLANK(G502),"",IF(D502="Stock","0",Key!$A$3*H502*G502))</f>
        <v/>
      </c>
      <c r="J502" s="78">
        <f>IF(ISBLANK(E502),"",IF(ISNUMBER(SEARCH("/",E502)), IF(LEN(E502)-LEN(SUBSTITUTE(E502,"/",""))=1,(RIGHT(E502,LEN(E502)-FIND("/",E502)))-(LEFT(E502,FIND("/",E502)-1)),(MID(E502, SEARCH("/",E502) + 1, SEARCH("/",E502, SEARCH("/",E502)+1) - SEARCH("/",E502) - 1))-(LEFT(E502,FIND("/",E502)-1))), "NA"))</f>
        <v/>
      </c>
      <c r="K502" s="79">
        <f>IF(A502&lt;&gt;"", IF(ISBLANK(L502), TODAY(), K502), "")</f>
        <v/>
      </c>
      <c r="L502" s="78" t="n"/>
      <c r="M502" s="78">
        <f>IF(ISBLANK(L502),"",IF(D502="Stock",IF(C502="Buy",L502*G502,IF(C502="Sell",(L502*G502)-I502, X)),IF(C502="Buy",(L502*G502*100)+I502,IF(C502="Sell",(L502*G502*100)-I502, X))))</f>
        <v/>
      </c>
      <c r="N502" s="78">
        <f>IF(ISBLANK(L502),"",IF(AND(C502="Sell",D502="Stock"),M502,IF(ISBLANK(L502),"",IF(C502="Buy",M502, IF(AND(C502="Sell",J502="NA"),(E502*G502*100*0.1)+I502, IF(C502="Sell",(J502-L502)*(100*G502)+I502))))))</f>
        <v/>
      </c>
      <c r="O502" s="75" t="n"/>
      <c r="P502" s="75" t="n"/>
      <c r="Q502" s="75">
        <f>IF(ISBLANK(P502),"",IF(D502="Stock",P502*G502,IF(P502=0,"0",G502*P502*100-(G502*$AF$14))))</f>
        <v/>
      </c>
      <c r="R502" s="79">
        <f>IF(P502&lt;&gt;"", TODAY(), "")</f>
        <v/>
      </c>
      <c r="S502" s="78">
        <f>IF(AND(K502&lt;&gt;"", R502&lt;&gt;""), R502-K502, "")</f>
        <v/>
      </c>
      <c r="T502" s="78" t="n"/>
      <c r="U502" s="92">
        <f>IF(ISBLANK(P502),"",IF(C502="Buy",Q502-M502+T502, IF(C502="Sell",M502-Q502-T502, X)))</f>
        <v/>
      </c>
      <c r="V502" s="81">
        <f>IF(ISBLANK(P502),"",U502/N502)</f>
        <v/>
      </c>
      <c r="W502" s="81">
        <f>IF(ISBLANK(P502),"",IF(S502=0,(365/0.5)*V502,(365/S502)*V502))</f>
        <v/>
      </c>
      <c r="X502" s="75" t="n"/>
      <c r="Y502" s="77" t="n"/>
      <c r="Z502" s="77" t="n"/>
      <c r="AA502" s="75" t="n"/>
      <c r="AB502" s="75" t="n"/>
      <c r="AC502" s="6" t="n"/>
      <c r="AD502" s="75" t="n"/>
      <c r="AE502" s="75" t="n"/>
      <c r="AF502" s="75" t="n"/>
    </row>
    <row r="503" ht="15.75" customHeight="1" s="133">
      <c r="A503" s="75" t="n"/>
      <c r="B503" s="75" t="n"/>
      <c r="C503" s="75" t="n"/>
      <c r="D503" s="75" t="n"/>
      <c r="E503" s="76" t="n"/>
      <c r="F503" s="77" t="n"/>
      <c r="G503" s="75" t="n"/>
      <c r="H503" s="75">
        <f>IF(ISBLANK(E503),"",IF(OR(D503="Butterfly",D503="Butterfly ",D503="Iron Fly", D503="Iron Fly "),LEN(E503)-LEN(SUBSTITUTE(E503,"/",""))+2,LEN(E503)-LEN(SUBSTITUTE(E503,"/",""))+1))</f>
        <v/>
      </c>
      <c r="I503" s="78">
        <f>IF(ISBLANK(G503),"",IF(D503="Stock","0",Key!$A$3*H503*G503))</f>
        <v/>
      </c>
      <c r="J503" s="78">
        <f>IF(ISBLANK(E503),"",IF(ISNUMBER(SEARCH("/",E503)), IF(LEN(E503)-LEN(SUBSTITUTE(E503,"/",""))=1,(RIGHT(E503,LEN(E503)-FIND("/",E503)))-(LEFT(E503,FIND("/",E503)-1)),(MID(E503, SEARCH("/",E503) + 1, SEARCH("/",E503, SEARCH("/",E503)+1) - SEARCH("/",E503) - 1))-(LEFT(E503,FIND("/",E503)-1))), "NA"))</f>
        <v/>
      </c>
      <c r="K503" s="79">
        <f>IF(A503&lt;&gt;"", IF(ISBLANK(L503), TODAY(), K503), "")</f>
        <v/>
      </c>
      <c r="L503" s="78" t="n"/>
      <c r="M503" s="78">
        <f>IF(ISBLANK(L503),"",IF(D503="Stock",IF(C503="Buy",L503*G503,IF(C503="Sell",(L503*G503)-I503, X)),IF(C503="Buy",(L503*G503*100)+I503,IF(C503="Sell",(L503*G503*100)-I503, X))))</f>
        <v/>
      </c>
      <c r="N503" s="78">
        <f>IF(ISBLANK(L503),"",IF(AND(C503="Sell",D503="Stock"),M503,IF(ISBLANK(L503),"",IF(C503="Buy",M503, IF(AND(C503="Sell",J503="NA"),(E503*G503*100*0.1)+I503, IF(C503="Sell",(J503-L503)*(100*G503)+I503))))))</f>
        <v/>
      </c>
      <c r="O503" s="75" t="n"/>
      <c r="P503" s="75" t="n"/>
      <c r="Q503" s="75">
        <f>IF(ISBLANK(P503),"",IF(D503="Stock",P503*G503,IF(P503=0,"0",G503*P503*100-(G503*$AF$14))))</f>
        <v/>
      </c>
      <c r="R503" s="79">
        <f>IF(P503&lt;&gt;"", TODAY(), "")</f>
        <v/>
      </c>
      <c r="S503" s="78">
        <f>IF(AND(K503&lt;&gt;"", R503&lt;&gt;""), R503-K503, "")</f>
        <v/>
      </c>
      <c r="T503" s="78" t="n"/>
      <c r="U503" s="92">
        <f>IF(ISBLANK(P503),"",IF(C503="Buy",Q503-M503+T503, IF(C503="Sell",M503-Q503-T503, X)))</f>
        <v/>
      </c>
      <c r="V503" s="81">
        <f>IF(ISBLANK(P503),"",U503/N503)</f>
        <v/>
      </c>
      <c r="W503" s="81">
        <f>IF(ISBLANK(P503),"",IF(S503=0,(365/0.5)*V503,(365/S503)*V503))</f>
        <v/>
      </c>
      <c r="X503" s="75" t="n"/>
      <c r="Y503" s="77" t="n"/>
      <c r="Z503" s="77" t="n"/>
      <c r="AA503" s="75" t="n"/>
      <c r="AB503" s="75" t="n"/>
      <c r="AC503" s="6" t="n"/>
      <c r="AD503" s="75" t="n"/>
      <c r="AE503" s="75" t="n"/>
      <c r="AF503" s="75" t="n"/>
    </row>
    <row r="504" ht="15.75" customHeight="1" s="133">
      <c r="A504" s="75" t="n"/>
      <c r="B504" s="75" t="n"/>
      <c r="C504" s="75" t="n"/>
      <c r="D504" s="75" t="n"/>
      <c r="E504" s="76" t="n"/>
      <c r="F504" s="77" t="n"/>
      <c r="G504" s="75" t="n"/>
      <c r="H504" s="75">
        <f>IF(ISBLANK(E504),"",IF(OR(D504="Butterfly",D504="Butterfly ",D504="Iron Fly", D504="Iron Fly "),LEN(E504)-LEN(SUBSTITUTE(E504,"/",""))+2,LEN(E504)-LEN(SUBSTITUTE(E504,"/",""))+1))</f>
        <v/>
      </c>
      <c r="I504" s="78">
        <f>IF(ISBLANK(G504),"",IF(D504="Stock","0",Key!$A$3*H504*G504))</f>
        <v/>
      </c>
      <c r="J504" s="78">
        <f>IF(ISBLANK(E504),"",IF(ISNUMBER(SEARCH("/",E504)), IF(LEN(E504)-LEN(SUBSTITUTE(E504,"/",""))=1,(RIGHT(E504,LEN(E504)-FIND("/",E504)))-(LEFT(E504,FIND("/",E504)-1)),(MID(E504, SEARCH("/",E504) + 1, SEARCH("/",E504, SEARCH("/",E504)+1) - SEARCH("/",E504) - 1))-(LEFT(E504,FIND("/",E504)-1))), "NA"))</f>
        <v/>
      </c>
      <c r="K504" s="79">
        <f>IF(A504&lt;&gt;"", IF(ISBLANK(L504), TODAY(), K504), "")</f>
        <v/>
      </c>
      <c r="L504" s="78" t="n"/>
      <c r="M504" s="78">
        <f>IF(ISBLANK(L504),"",IF(D504="Stock",IF(C504="Buy",L504*G504,IF(C504="Sell",(L504*G504)-I504, X)),IF(C504="Buy",(L504*G504*100)+I504,IF(C504="Sell",(L504*G504*100)-I504, X))))</f>
        <v/>
      </c>
      <c r="N504" s="78">
        <f>IF(ISBLANK(L504),"",IF(AND(C504="Sell",D504="Stock"),M504,IF(ISBLANK(L504),"",IF(C504="Buy",M504, IF(AND(C504="Sell",J504="NA"),(E504*G504*100*0.1)+I504, IF(C504="Sell",(J504-L504)*(100*G504)+I504))))))</f>
        <v/>
      </c>
      <c r="O504" s="75" t="n"/>
      <c r="P504" s="75" t="n"/>
      <c r="Q504" s="75">
        <f>IF(ISBLANK(P504),"",IF(D504="Stock",P504*G504,IF(P504=0,"0",G504*P504*100-(G504*$AF$14))))</f>
        <v/>
      </c>
      <c r="R504" s="79">
        <f>IF(P504&lt;&gt;"", TODAY(), "")</f>
        <v/>
      </c>
      <c r="S504" s="78">
        <f>IF(AND(K504&lt;&gt;"", R504&lt;&gt;""), R504-K504, "")</f>
        <v/>
      </c>
      <c r="T504" s="78" t="n"/>
      <c r="U504" s="92">
        <f>IF(ISBLANK(P504),"",IF(C504="Buy",Q504-M504+T504, IF(C504="Sell",M504-Q504-T504, X)))</f>
        <v/>
      </c>
      <c r="V504" s="81">
        <f>IF(ISBLANK(P504),"",U504/N504)</f>
        <v/>
      </c>
      <c r="W504" s="81">
        <f>IF(ISBLANK(P504),"",IF(S504=0,(365/0.5)*V504,(365/S504)*V504))</f>
        <v/>
      </c>
      <c r="X504" s="75" t="n"/>
      <c r="Y504" s="77" t="n"/>
      <c r="Z504" s="77" t="n"/>
      <c r="AA504" s="75" t="n"/>
      <c r="AB504" s="75" t="n"/>
      <c r="AC504" s="6" t="n"/>
      <c r="AD504" s="75" t="n"/>
      <c r="AE504" s="75" t="n"/>
      <c r="AF504" s="75" t="n"/>
    </row>
    <row r="505" ht="15.75" customHeight="1" s="133">
      <c r="A505" s="75" t="n"/>
      <c r="B505" s="75" t="n"/>
      <c r="C505" s="75" t="n"/>
      <c r="D505" s="75" t="n"/>
      <c r="E505" s="76" t="n"/>
      <c r="F505" s="77" t="n"/>
      <c r="G505" s="75" t="n"/>
      <c r="H505" s="75">
        <f>IF(ISBLANK(E505),"",IF(OR(D505="Butterfly",D505="Butterfly ",D505="Iron Fly", D505="Iron Fly "),LEN(E505)-LEN(SUBSTITUTE(E505,"/",""))+2,LEN(E505)-LEN(SUBSTITUTE(E505,"/",""))+1))</f>
        <v/>
      </c>
      <c r="I505" s="78">
        <f>IF(ISBLANK(G505),"",IF(D505="Stock","0",Key!$A$3*H505*G505))</f>
        <v/>
      </c>
      <c r="J505" s="78">
        <f>IF(ISBLANK(E505),"",IF(ISNUMBER(SEARCH("/",E505)), IF(LEN(E505)-LEN(SUBSTITUTE(E505,"/",""))=1,(RIGHT(E505,LEN(E505)-FIND("/",E505)))-(LEFT(E505,FIND("/",E505)-1)),(MID(E505, SEARCH("/",E505) + 1, SEARCH("/",E505, SEARCH("/",E505)+1) - SEARCH("/",E505) - 1))-(LEFT(E505,FIND("/",E505)-1))), "NA"))</f>
        <v/>
      </c>
      <c r="K505" s="79">
        <f>IF(A505&lt;&gt;"", IF(ISBLANK(L505), TODAY(), K505), "")</f>
        <v/>
      </c>
      <c r="L505" s="78" t="n"/>
      <c r="M505" s="78">
        <f>IF(ISBLANK(L505),"",IF(D505="Stock",IF(C505="Buy",L505*G505,IF(C505="Sell",(L505*G505)-I505, X)),IF(C505="Buy",(L505*G505*100)+I505,IF(C505="Sell",(L505*G505*100)-I505, X))))</f>
        <v/>
      </c>
      <c r="N505" s="78">
        <f>IF(ISBLANK(L505),"",IF(AND(C505="Sell",D505="Stock"),M505,IF(ISBLANK(L505),"",IF(C505="Buy",M505, IF(AND(C505="Sell",J505="NA"),(E505*G505*100*0.1)+I505, IF(C505="Sell",(J505-L505)*(100*G505)+I505))))))</f>
        <v/>
      </c>
      <c r="O505" s="75" t="n"/>
      <c r="P505" s="75" t="n"/>
      <c r="Q505" s="75">
        <f>IF(ISBLANK(P505),"",IF(D505="Stock",P505*G505,IF(P505=0,"0",G505*P505*100-(G505*$AF$14))))</f>
        <v/>
      </c>
      <c r="R505" s="79">
        <f>IF(P505&lt;&gt;"", TODAY(), "")</f>
        <v/>
      </c>
      <c r="S505" s="78">
        <f>IF(AND(K505&lt;&gt;"", R505&lt;&gt;""), R505-K505, "")</f>
        <v/>
      </c>
      <c r="T505" s="78" t="n"/>
      <c r="U505" s="92">
        <f>IF(ISBLANK(P505),"",IF(C505="Buy",Q505-M505+T505, IF(C505="Sell",M505-Q505-T505, X)))</f>
        <v/>
      </c>
      <c r="V505" s="81">
        <f>IF(ISBLANK(P505),"",U505/N505)</f>
        <v/>
      </c>
      <c r="W505" s="81">
        <f>IF(ISBLANK(P505),"",IF(S505=0,(365/0.5)*V505,(365/S505)*V505))</f>
        <v/>
      </c>
      <c r="X505" s="75" t="n"/>
      <c r="Y505" s="77" t="n"/>
      <c r="Z505" s="77" t="n"/>
      <c r="AA505" s="75" t="n"/>
      <c r="AB505" s="75" t="n"/>
      <c r="AC505" s="6" t="n"/>
      <c r="AD505" s="75" t="n"/>
      <c r="AE505" s="75" t="n"/>
      <c r="AF505" s="75" t="n"/>
    </row>
    <row r="506" ht="15.75" customHeight="1" s="133">
      <c r="A506" s="75" t="n"/>
      <c r="B506" s="75" t="n"/>
      <c r="C506" s="75" t="n"/>
      <c r="D506" s="75" t="n"/>
      <c r="E506" s="76" t="n"/>
      <c r="F506" s="77" t="n"/>
      <c r="G506" s="75" t="n"/>
      <c r="H506" s="75">
        <f>IF(ISBLANK(E506),"",IF(OR(D506="Butterfly",D506="Butterfly ",D506="Iron Fly", D506="Iron Fly "),LEN(E506)-LEN(SUBSTITUTE(E506,"/",""))+2,LEN(E506)-LEN(SUBSTITUTE(E506,"/",""))+1))</f>
        <v/>
      </c>
      <c r="I506" s="78">
        <f>IF(ISBLANK(G506),"",IF(D506="Stock","0",Key!$A$3*H506*G506))</f>
        <v/>
      </c>
      <c r="J506" s="78">
        <f>IF(ISBLANK(E506),"",IF(ISNUMBER(SEARCH("/",E506)), IF(LEN(E506)-LEN(SUBSTITUTE(E506,"/",""))=1,(RIGHT(E506,LEN(E506)-FIND("/",E506)))-(LEFT(E506,FIND("/",E506)-1)),(MID(E506, SEARCH("/",E506) + 1, SEARCH("/",E506, SEARCH("/",E506)+1) - SEARCH("/",E506) - 1))-(LEFT(E506,FIND("/",E506)-1))), "NA"))</f>
        <v/>
      </c>
      <c r="K506" s="79">
        <f>IF(A506&lt;&gt;"", IF(ISBLANK(L506), TODAY(), K506), "")</f>
        <v/>
      </c>
      <c r="L506" s="78" t="n"/>
      <c r="M506" s="78">
        <f>IF(ISBLANK(L506),"",IF(D506="Stock",IF(C506="Buy",L506*G506,IF(C506="Sell",(L506*G506)-I506, X)),IF(C506="Buy",(L506*G506*100)+I506,IF(C506="Sell",(L506*G506*100)-I506, X))))</f>
        <v/>
      </c>
      <c r="N506" s="78">
        <f>IF(ISBLANK(L506),"",IF(AND(C506="Sell",D506="Stock"),M506,IF(ISBLANK(L506),"",IF(C506="Buy",M506, IF(AND(C506="Sell",J506="NA"),(E506*G506*100*0.1)+I506, IF(C506="Sell",(J506-L506)*(100*G506)+I506))))))</f>
        <v/>
      </c>
      <c r="O506" s="75" t="n"/>
      <c r="P506" s="75" t="n"/>
      <c r="Q506" s="75">
        <f>IF(ISBLANK(P506),"",IF(D506="Stock",P506*G506,IF(P506=0,"0",G506*P506*100-(G506*$AF$14))))</f>
        <v/>
      </c>
      <c r="R506" s="79">
        <f>IF(P506&lt;&gt;"", TODAY(), "")</f>
        <v/>
      </c>
      <c r="S506" s="78">
        <f>IF(AND(K506&lt;&gt;"", R506&lt;&gt;""), R506-K506, "")</f>
        <v/>
      </c>
      <c r="T506" s="78" t="n"/>
      <c r="U506" s="92">
        <f>IF(ISBLANK(P506),"",IF(C506="Buy",Q506-M506+T506, IF(C506="Sell",M506-Q506-T506, X)))</f>
        <v/>
      </c>
      <c r="V506" s="81">
        <f>IF(ISBLANK(P506),"",U506/N506)</f>
        <v/>
      </c>
      <c r="W506" s="81">
        <f>IF(ISBLANK(P506),"",IF(S506=0,(365/0.5)*V506,(365/S506)*V506))</f>
        <v/>
      </c>
      <c r="X506" s="75" t="n"/>
      <c r="Y506" s="77" t="n"/>
      <c r="Z506" s="77" t="n"/>
      <c r="AA506" s="75" t="n"/>
      <c r="AB506" s="75" t="n"/>
      <c r="AC506" s="6" t="n"/>
      <c r="AD506" s="75" t="n"/>
      <c r="AE506" s="75" t="n"/>
      <c r="AF506" s="75" t="n"/>
    </row>
    <row r="507" ht="15.75" customHeight="1" s="133">
      <c r="A507" s="75" t="n"/>
      <c r="B507" s="75" t="n"/>
      <c r="C507" s="75" t="n"/>
      <c r="D507" s="75" t="n"/>
      <c r="E507" s="76" t="n"/>
      <c r="F507" s="77" t="n"/>
      <c r="G507" s="75" t="n"/>
      <c r="H507" s="75">
        <f>IF(ISBLANK(E507),"",IF(OR(D507="Butterfly",D507="Butterfly ",D507="Iron Fly", D507="Iron Fly "),LEN(E507)-LEN(SUBSTITUTE(E507,"/",""))+2,LEN(E507)-LEN(SUBSTITUTE(E507,"/",""))+1))</f>
        <v/>
      </c>
      <c r="I507" s="78">
        <f>IF(ISBLANK(G507),"",IF(D507="Stock","0",Key!$A$3*H507*G507))</f>
        <v/>
      </c>
      <c r="J507" s="78">
        <f>IF(ISBLANK(E507),"",IF(ISNUMBER(SEARCH("/",E507)), IF(LEN(E507)-LEN(SUBSTITUTE(E507,"/",""))=1,(RIGHT(E507,LEN(E507)-FIND("/",E507)))-(LEFT(E507,FIND("/",E507)-1)),(MID(E507, SEARCH("/",E507) + 1, SEARCH("/",E507, SEARCH("/",E507)+1) - SEARCH("/",E507) - 1))-(LEFT(E507,FIND("/",E507)-1))), "NA"))</f>
        <v/>
      </c>
      <c r="K507" s="79">
        <f>IF(A507&lt;&gt;"", IF(ISBLANK(L507), TODAY(), K507), "")</f>
        <v/>
      </c>
      <c r="L507" s="78" t="n"/>
      <c r="M507" s="78">
        <f>IF(ISBLANK(L507),"",IF(D507="Stock",IF(C507="Buy",L507*G507,IF(C507="Sell",(L507*G507)-I507, X)),IF(C507="Buy",(L507*G507*100)+I507,IF(C507="Sell",(L507*G507*100)-I507, X))))</f>
        <v/>
      </c>
      <c r="N507" s="78">
        <f>IF(ISBLANK(L507),"",IF(AND(C507="Sell",D507="Stock"),M507,IF(ISBLANK(L507),"",IF(C507="Buy",M507, IF(AND(C507="Sell",J507="NA"),(E507*G507*100*0.1)+I507, IF(C507="Sell",(J507-L507)*(100*G507)+I507))))))</f>
        <v/>
      </c>
      <c r="O507" s="75" t="n"/>
      <c r="P507" s="75" t="n"/>
      <c r="Q507" s="75">
        <f>IF(ISBLANK(P507),"",IF(D507="Stock",P507*G507,IF(P507=0,"0",G507*P507*100-(G507*$AF$14))))</f>
        <v/>
      </c>
      <c r="R507" s="79">
        <f>IF(P507&lt;&gt;"", TODAY(), "")</f>
        <v/>
      </c>
      <c r="S507" s="78">
        <f>IF(AND(K507&lt;&gt;"", R507&lt;&gt;""), R507-K507, "")</f>
        <v/>
      </c>
      <c r="T507" s="78" t="n"/>
      <c r="U507" s="92">
        <f>IF(ISBLANK(P507),"",IF(C507="Buy",Q507-M507+T507, IF(C507="Sell",M507-Q507-T507, X)))</f>
        <v/>
      </c>
      <c r="V507" s="81">
        <f>IF(ISBLANK(P507),"",U507/N507)</f>
        <v/>
      </c>
      <c r="W507" s="81">
        <f>IF(ISBLANK(P507),"",IF(S507=0,(365/0.5)*V507,(365/S507)*V507))</f>
        <v/>
      </c>
      <c r="X507" s="75" t="n"/>
      <c r="Y507" s="77" t="n"/>
      <c r="Z507" s="77" t="n"/>
      <c r="AA507" s="75" t="n"/>
      <c r="AB507" s="75" t="n"/>
      <c r="AC507" s="6" t="n"/>
      <c r="AD507" s="75" t="n"/>
      <c r="AE507" s="75" t="n"/>
      <c r="AF507" s="75" t="n"/>
    </row>
    <row r="508" ht="15.75" customHeight="1" s="133">
      <c r="A508" s="75" t="n"/>
      <c r="B508" s="75" t="n"/>
      <c r="C508" s="75" t="n"/>
      <c r="D508" s="75" t="n"/>
      <c r="E508" s="76" t="n"/>
      <c r="F508" s="77" t="n"/>
      <c r="G508" s="75" t="n"/>
      <c r="H508" s="75">
        <f>IF(ISBLANK(E508),"",IF(OR(D508="Butterfly",D508="Butterfly ",D508="Iron Fly", D508="Iron Fly "),LEN(E508)-LEN(SUBSTITUTE(E508,"/",""))+2,LEN(E508)-LEN(SUBSTITUTE(E508,"/",""))+1))</f>
        <v/>
      </c>
      <c r="I508" s="78">
        <f>IF(ISBLANK(G508),"",IF(D508="Stock","0",Key!$A$3*H508*G508))</f>
        <v/>
      </c>
      <c r="J508" s="78">
        <f>IF(ISBLANK(E508),"",IF(ISNUMBER(SEARCH("/",E508)), IF(LEN(E508)-LEN(SUBSTITUTE(E508,"/",""))=1,(RIGHT(E508,LEN(E508)-FIND("/",E508)))-(LEFT(E508,FIND("/",E508)-1)),(MID(E508, SEARCH("/",E508) + 1, SEARCH("/",E508, SEARCH("/",E508)+1) - SEARCH("/",E508) - 1))-(LEFT(E508,FIND("/",E508)-1))), "NA"))</f>
        <v/>
      </c>
      <c r="K508" s="79">
        <f>IF(A508&lt;&gt;"", IF(ISBLANK(L508), TODAY(), K508), "")</f>
        <v/>
      </c>
      <c r="L508" s="78" t="n"/>
      <c r="M508" s="78">
        <f>IF(ISBLANK(L508),"",IF(D508="Stock",IF(C508="Buy",L508*G508,IF(C508="Sell",(L508*G508)-I508, X)),IF(C508="Buy",(L508*G508*100)+I508,IF(C508="Sell",(L508*G508*100)-I508, X))))</f>
        <v/>
      </c>
      <c r="N508" s="78">
        <f>IF(ISBLANK(L508),"",IF(AND(C508="Sell",D508="Stock"),M508,IF(ISBLANK(L508),"",IF(C508="Buy",M508, IF(AND(C508="Sell",J508="NA"),(E508*G508*100*0.1)+I508, IF(C508="Sell",(J508-L508)*(100*G508)+I508))))))</f>
        <v/>
      </c>
      <c r="O508" s="75" t="n"/>
      <c r="P508" s="75" t="n"/>
      <c r="Q508" s="75">
        <f>IF(ISBLANK(P508),"",IF(D508="Stock",P508*G508,IF(P508=0,"0",G508*P508*100-(G508*$AF$14))))</f>
        <v/>
      </c>
      <c r="R508" s="79">
        <f>IF(P508&lt;&gt;"", TODAY(), "")</f>
        <v/>
      </c>
      <c r="S508" s="78">
        <f>IF(AND(K508&lt;&gt;"", R508&lt;&gt;""), R508-K508, "")</f>
        <v/>
      </c>
      <c r="T508" s="78" t="n"/>
      <c r="U508" s="92">
        <f>IF(ISBLANK(P508),"",IF(C508="Buy",Q508-M508+T508, IF(C508="Sell",M508-Q508-T508, X)))</f>
        <v/>
      </c>
      <c r="V508" s="81">
        <f>IF(ISBLANK(P508),"",U508/N508)</f>
        <v/>
      </c>
      <c r="W508" s="81">
        <f>IF(ISBLANK(P508),"",IF(S508=0,(365/0.5)*V508,(365/S508)*V508))</f>
        <v/>
      </c>
      <c r="X508" s="75" t="n"/>
      <c r="Y508" s="77" t="n"/>
      <c r="Z508" s="77" t="n"/>
      <c r="AA508" s="75" t="n"/>
      <c r="AB508" s="75" t="n"/>
      <c r="AC508" s="6" t="n"/>
      <c r="AD508" s="75" t="n"/>
      <c r="AE508" s="75" t="n"/>
      <c r="AF508" s="75" t="n"/>
    </row>
    <row r="509" ht="15.75" customHeight="1" s="133">
      <c r="A509" s="75" t="n"/>
      <c r="B509" s="75" t="n"/>
      <c r="C509" s="75" t="n"/>
      <c r="D509" s="75" t="n"/>
      <c r="E509" s="76" t="n"/>
      <c r="F509" s="77" t="n"/>
      <c r="G509" s="75" t="n"/>
      <c r="H509" s="75">
        <f>IF(ISBLANK(E509),"",IF(OR(D509="Butterfly",D509="Butterfly ",D509="Iron Fly", D509="Iron Fly "),LEN(E509)-LEN(SUBSTITUTE(E509,"/",""))+2,LEN(E509)-LEN(SUBSTITUTE(E509,"/",""))+1))</f>
        <v/>
      </c>
      <c r="I509" s="78">
        <f>IF(ISBLANK(G509),"",IF(D509="Stock","0",Key!$A$3*H509*G509))</f>
        <v/>
      </c>
      <c r="J509" s="78">
        <f>IF(ISBLANK(E509),"",IF(ISNUMBER(SEARCH("/",E509)), IF(LEN(E509)-LEN(SUBSTITUTE(E509,"/",""))=1,(RIGHT(E509,LEN(E509)-FIND("/",E509)))-(LEFT(E509,FIND("/",E509)-1)),(MID(E509, SEARCH("/",E509) + 1, SEARCH("/",E509, SEARCH("/",E509)+1) - SEARCH("/",E509) - 1))-(LEFT(E509,FIND("/",E509)-1))), "NA"))</f>
        <v/>
      </c>
      <c r="K509" s="79">
        <f>IF(A509&lt;&gt;"", IF(ISBLANK(L509), TODAY(), K509), "")</f>
        <v/>
      </c>
      <c r="L509" s="78" t="n"/>
      <c r="M509" s="78">
        <f>IF(ISBLANK(L509),"",IF(D509="Stock",IF(C509="Buy",L509*G509,IF(C509="Sell",(L509*G509)-I509, X)),IF(C509="Buy",(L509*G509*100)+I509,IF(C509="Sell",(L509*G509*100)-I509, X))))</f>
        <v/>
      </c>
      <c r="N509" s="78">
        <f>IF(ISBLANK(L509),"",IF(AND(C509="Sell",D509="Stock"),M509,IF(ISBLANK(L509),"",IF(C509="Buy",M509, IF(AND(C509="Sell",J509="NA"),(E509*G509*100*0.1)+I509, IF(C509="Sell",(J509-L509)*(100*G509)+I509))))))</f>
        <v/>
      </c>
      <c r="O509" s="75" t="n"/>
      <c r="P509" s="75" t="n"/>
      <c r="Q509" s="75">
        <f>IF(ISBLANK(P509),"",IF(D509="Stock",P509*G509,IF(P509=0,"0",G509*P509*100-(G509*$AF$14))))</f>
        <v/>
      </c>
      <c r="R509" s="79">
        <f>IF(P509&lt;&gt;"", TODAY(), "")</f>
        <v/>
      </c>
      <c r="S509" s="78">
        <f>IF(AND(K509&lt;&gt;"", R509&lt;&gt;""), R509-K509, "")</f>
        <v/>
      </c>
      <c r="T509" s="78" t="n"/>
      <c r="U509" s="92">
        <f>IF(ISBLANK(P509),"",IF(C509="Buy",Q509-M509+T509, IF(C509="Sell",M509-Q509-T509, X)))</f>
        <v/>
      </c>
      <c r="V509" s="81">
        <f>IF(ISBLANK(P509),"",U509/N509)</f>
        <v/>
      </c>
      <c r="W509" s="81">
        <f>IF(ISBLANK(P509),"",IF(S509=0,(365/0.5)*V509,(365/S509)*V509))</f>
        <v/>
      </c>
      <c r="X509" s="75" t="n"/>
      <c r="Y509" s="77" t="n"/>
      <c r="Z509" s="77" t="n"/>
      <c r="AA509" s="75" t="n"/>
      <c r="AB509" s="75" t="n"/>
      <c r="AC509" s="6" t="n"/>
      <c r="AD509" s="75" t="n"/>
      <c r="AE509" s="75" t="n"/>
      <c r="AF509" s="75" t="n"/>
    </row>
    <row r="510" ht="15.75" customHeight="1" s="133">
      <c r="A510" s="75" t="n"/>
      <c r="B510" s="75" t="n"/>
      <c r="C510" s="75" t="n"/>
      <c r="D510" s="75" t="n"/>
      <c r="E510" s="76" t="n"/>
      <c r="F510" s="77" t="n"/>
      <c r="G510" s="75" t="n"/>
      <c r="H510" s="75">
        <f>IF(ISBLANK(E510),"",IF(OR(D510="Butterfly",D510="Butterfly ",D510="Iron Fly", D510="Iron Fly "),LEN(E510)-LEN(SUBSTITUTE(E510,"/",""))+2,LEN(E510)-LEN(SUBSTITUTE(E510,"/",""))+1))</f>
        <v/>
      </c>
      <c r="I510" s="78">
        <f>IF(ISBLANK(G510),"",IF(D510="Stock","0",Key!$A$3*H510*G510))</f>
        <v/>
      </c>
      <c r="J510" s="78">
        <f>IF(ISBLANK(E510),"",IF(ISNUMBER(SEARCH("/",E510)), IF(LEN(E510)-LEN(SUBSTITUTE(E510,"/",""))=1,(RIGHT(E510,LEN(E510)-FIND("/",E510)))-(LEFT(E510,FIND("/",E510)-1)),(MID(E510, SEARCH("/",E510) + 1, SEARCH("/",E510, SEARCH("/",E510)+1) - SEARCH("/",E510) - 1))-(LEFT(E510,FIND("/",E510)-1))), "NA"))</f>
        <v/>
      </c>
      <c r="K510" s="79">
        <f>IF(A510&lt;&gt;"", IF(ISBLANK(L510), TODAY(), K510), "")</f>
        <v/>
      </c>
      <c r="L510" s="78" t="n"/>
      <c r="M510" s="78">
        <f>IF(ISBLANK(L510),"",IF(D510="Stock",IF(C510="Buy",L510*G510,IF(C510="Sell",(L510*G510)-I510, X)),IF(C510="Buy",(L510*G510*100)+I510,IF(C510="Sell",(L510*G510*100)-I510, X))))</f>
        <v/>
      </c>
      <c r="N510" s="78">
        <f>IF(ISBLANK(L510),"",IF(AND(C510="Sell",D510="Stock"),M510,IF(ISBLANK(L510),"",IF(C510="Buy",M510, IF(AND(C510="Sell",J510="NA"),(E510*G510*100*0.1)+I510, IF(C510="Sell",(J510-L510)*(100*G510)+I510))))))</f>
        <v/>
      </c>
      <c r="O510" s="75" t="n"/>
      <c r="P510" s="75" t="n"/>
      <c r="Q510" s="75">
        <f>IF(ISBLANK(P510),"",IF(D510="Stock",P510*G510,IF(P510=0,"0",G510*P510*100-(G510*$AF$14))))</f>
        <v/>
      </c>
      <c r="R510" s="79">
        <f>IF(P510&lt;&gt;"", TODAY(), "")</f>
        <v/>
      </c>
      <c r="S510" s="78">
        <f>IF(AND(K510&lt;&gt;"", R510&lt;&gt;""), R510-K510, "")</f>
        <v/>
      </c>
      <c r="T510" s="78" t="n"/>
      <c r="U510" s="92">
        <f>IF(ISBLANK(P510),"",IF(C510="Buy",Q510-M510+T510, IF(C510="Sell",M510-Q510-T510, X)))</f>
        <v/>
      </c>
      <c r="V510" s="81">
        <f>IF(ISBLANK(P510),"",U510/N510)</f>
        <v/>
      </c>
      <c r="W510" s="81">
        <f>IF(ISBLANK(P510),"",IF(S510=0,(365/0.5)*V510,(365/S510)*V510))</f>
        <v/>
      </c>
      <c r="X510" s="75" t="n"/>
      <c r="Y510" s="77" t="n"/>
      <c r="Z510" s="77" t="n"/>
      <c r="AA510" s="75" t="n"/>
      <c r="AB510" s="75" t="n"/>
      <c r="AC510" s="6" t="n"/>
      <c r="AD510" s="75" t="n"/>
      <c r="AE510" s="75" t="n"/>
      <c r="AF510" s="75" t="n"/>
    </row>
    <row r="511" ht="15.75" customHeight="1" s="133">
      <c r="A511" s="75" t="n"/>
      <c r="B511" s="75" t="n"/>
      <c r="C511" s="75" t="n"/>
      <c r="D511" s="75" t="n"/>
      <c r="E511" s="76" t="n"/>
      <c r="F511" s="77" t="n"/>
      <c r="G511" s="75" t="n"/>
      <c r="H511" s="75">
        <f>IF(ISBLANK(E511),"",IF(OR(D511="Butterfly",D511="Butterfly ",D511="Iron Fly", D511="Iron Fly "),LEN(E511)-LEN(SUBSTITUTE(E511,"/",""))+2,LEN(E511)-LEN(SUBSTITUTE(E511,"/",""))+1))</f>
        <v/>
      </c>
      <c r="I511" s="78">
        <f>IF(ISBLANK(G511),"",IF(D511="Stock","0",Key!$A$3*H511*G511))</f>
        <v/>
      </c>
      <c r="J511" s="78">
        <f>IF(ISBLANK(E511),"",IF(ISNUMBER(SEARCH("/",E511)), IF(LEN(E511)-LEN(SUBSTITUTE(E511,"/",""))=1,(RIGHT(E511,LEN(E511)-FIND("/",E511)))-(LEFT(E511,FIND("/",E511)-1)),(MID(E511, SEARCH("/",E511) + 1, SEARCH("/",E511, SEARCH("/",E511)+1) - SEARCH("/",E511) - 1))-(LEFT(E511,FIND("/",E511)-1))), "NA"))</f>
        <v/>
      </c>
      <c r="K511" s="79">
        <f>IF(A511&lt;&gt;"", IF(ISBLANK(L511), TODAY(), K511), "")</f>
        <v/>
      </c>
      <c r="L511" s="78" t="n"/>
      <c r="M511" s="78">
        <f>IF(ISBLANK(L511),"",IF(D511="Stock",IF(C511="Buy",L511*G511,IF(C511="Sell",(L511*G511)-I511, X)),IF(C511="Buy",(L511*G511*100)+I511,IF(C511="Sell",(L511*G511*100)-I511, X))))</f>
        <v/>
      </c>
      <c r="N511" s="78">
        <f>IF(ISBLANK(L511),"",IF(AND(C511="Sell",D511="Stock"),M511,IF(ISBLANK(L511),"",IF(C511="Buy",M511, IF(AND(C511="Sell",J511="NA"),(E511*G511*100*0.1)+I511, IF(C511="Sell",(J511-L511)*(100*G511)+I511))))))</f>
        <v/>
      </c>
      <c r="O511" s="75" t="n"/>
      <c r="P511" s="75" t="n"/>
      <c r="Q511" s="75">
        <f>IF(ISBLANK(P511),"",IF(D511="Stock",P511*G511,IF(P511=0,"0",G511*P511*100-(G511*$AF$14))))</f>
        <v/>
      </c>
      <c r="R511" s="79">
        <f>IF(P511&lt;&gt;"", TODAY(), "")</f>
        <v/>
      </c>
      <c r="S511" s="78">
        <f>IF(AND(K511&lt;&gt;"", R511&lt;&gt;""), R511-K511, "")</f>
        <v/>
      </c>
      <c r="T511" s="78" t="n"/>
      <c r="U511" s="92">
        <f>IF(ISBLANK(P511),"",IF(C511="Buy",Q511-M511+T511, IF(C511="Sell",M511-Q511-T511, X)))</f>
        <v/>
      </c>
      <c r="V511" s="81">
        <f>IF(ISBLANK(P511),"",U511/N511)</f>
        <v/>
      </c>
      <c r="W511" s="81">
        <f>IF(ISBLANK(P511),"",IF(S511=0,(365/0.5)*V511,(365/S511)*V511))</f>
        <v/>
      </c>
      <c r="X511" s="75" t="n"/>
      <c r="Y511" s="77" t="n"/>
      <c r="Z511" s="77" t="n"/>
      <c r="AA511" s="75" t="n"/>
      <c r="AB511" s="75" t="n"/>
      <c r="AC511" s="6" t="n"/>
      <c r="AD511" s="75" t="n"/>
      <c r="AE511" s="75" t="n"/>
      <c r="AF511" s="75" t="n"/>
    </row>
    <row r="512" ht="15.75" customHeight="1" s="133">
      <c r="A512" s="75" t="n"/>
      <c r="B512" s="75" t="n"/>
      <c r="C512" s="75" t="n"/>
      <c r="D512" s="75" t="n"/>
      <c r="E512" s="76" t="n"/>
      <c r="F512" s="77" t="n"/>
      <c r="G512" s="75" t="n"/>
      <c r="H512" s="75">
        <f>IF(ISBLANK(E512),"",IF(OR(D512="Butterfly",D512="Butterfly ",D512="Iron Fly", D512="Iron Fly "),LEN(E512)-LEN(SUBSTITUTE(E512,"/",""))+2,LEN(E512)-LEN(SUBSTITUTE(E512,"/",""))+1))</f>
        <v/>
      </c>
      <c r="I512" s="78">
        <f>IF(ISBLANK(G512),"",IF(D512="Stock","0",Key!$A$3*H512*G512))</f>
        <v/>
      </c>
      <c r="J512" s="78">
        <f>IF(ISBLANK(E512),"",IF(ISNUMBER(SEARCH("/",E512)), IF(LEN(E512)-LEN(SUBSTITUTE(E512,"/",""))=1,(RIGHT(E512,LEN(E512)-FIND("/",E512)))-(LEFT(E512,FIND("/",E512)-1)),(MID(E512, SEARCH("/",E512) + 1, SEARCH("/",E512, SEARCH("/",E512)+1) - SEARCH("/",E512) - 1))-(LEFT(E512,FIND("/",E512)-1))), "NA"))</f>
        <v/>
      </c>
      <c r="K512" s="79">
        <f>IF(A512&lt;&gt;"", IF(ISBLANK(L512), TODAY(), K512), "")</f>
        <v/>
      </c>
      <c r="L512" s="78" t="n"/>
      <c r="M512" s="78">
        <f>IF(ISBLANK(L512),"",IF(D512="Stock",IF(C512="Buy",L512*G512,IF(C512="Sell",(L512*G512)-I512, X)),IF(C512="Buy",(L512*G512*100)+I512,IF(C512="Sell",(L512*G512*100)-I512, X))))</f>
        <v/>
      </c>
      <c r="N512" s="78">
        <f>IF(ISBLANK(L512),"",IF(AND(C512="Sell",D512="Stock"),M512,IF(ISBLANK(L512),"",IF(C512="Buy",M512, IF(AND(C512="Sell",J512="NA"),(E512*G512*100*0.1)+I512, IF(C512="Sell",(J512-L512)*(100*G512)+I512))))))</f>
        <v/>
      </c>
      <c r="O512" s="75" t="n"/>
      <c r="P512" s="75" t="n"/>
      <c r="Q512" s="75">
        <f>IF(ISBLANK(P512),"",IF(D512="Stock",P512*G512,IF(P512=0,"0",G512*P512*100-(G512*$AF$14))))</f>
        <v/>
      </c>
      <c r="R512" s="79">
        <f>IF(P512&lt;&gt;"", TODAY(), "")</f>
        <v/>
      </c>
      <c r="S512" s="78">
        <f>IF(AND(K512&lt;&gt;"", R512&lt;&gt;""), R512-K512, "")</f>
        <v/>
      </c>
      <c r="T512" s="78" t="n"/>
      <c r="U512" s="92">
        <f>IF(ISBLANK(P512),"",IF(C512="Buy",Q512-M512+T512, IF(C512="Sell",M512-Q512-T512, X)))</f>
        <v/>
      </c>
      <c r="V512" s="81">
        <f>IF(ISBLANK(P512),"",U512/N512)</f>
        <v/>
      </c>
      <c r="W512" s="81">
        <f>IF(ISBLANK(P512),"",IF(S512=0,(365/0.5)*V512,(365/S512)*V512))</f>
        <v/>
      </c>
      <c r="X512" s="75" t="n"/>
      <c r="Y512" s="77" t="n"/>
      <c r="Z512" s="77" t="n"/>
      <c r="AA512" s="75" t="n"/>
      <c r="AB512" s="75" t="n"/>
      <c r="AC512" s="6" t="n"/>
      <c r="AD512" s="75" t="n"/>
      <c r="AE512" s="75" t="n"/>
      <c r="AF512" s="75" t="n"/>
    </row>
    <row r="513" ht="15.75" customHeight="1" s="133">
      <c r="A513" s="75" t="n"/>
      <c r="B513" s="75" t="n"/>
      <c r="C513" s="75" t="n"/>
      <c r="D513" s="75" t="n"/>
      <c r="E513" s="76" t="n"/>
      <c r="F513" s="77" t="n"/>
      <c r="G513" s="75" t="n"/>
      <c r="H513" s="75">
        <f>IF(ISBLANK(E513),"",IF(OR(D513="Butterfly",D513="Butterfly ",D513="Iron Fly", D513="Iron Fly "),LEN(E513)-LEN(SUBSTITUTE(E513,"/",""))+2,LEN(E513)-LEN(SUBSTITUTE(E513,"/",""))+1))</f>
        <v/>
      </c>
      <c r="I513" s="78">
        <f>IF(ISBLANK(G513),"",IF(D513="Stock","0",Key!$A$3*H513*G513))</f>
        <v/>
      </c>
      <c r="J513" s="78">
        <f>IF(ISBLANK(E513),"",IF(ISNUMBER(SEARCH("/",E513)), IF(LEN(E513)-LEN(SUBSTITUTE(E513,"/",""))=1,(RIGHT(E513,LEN(E513)-FIND("/",E513)))-(LEFT(E513,FIND("/",E513)-1)),(MID(E513, SEARCH("/",E513) + 1, SEARCH("/",E513, SEARCH("/",E513)+1) - SEARCH("/",E513) - 1))-(LEFT(E513,FIND("/",E513)-1))), "NA"))</f>
        <v/>
      </c>
      <c r="K513" s="79">
        <f>IF(A513&lt;&gt;"", IF(ISBLANK(L513), TODAY(), K513), "")</f>
        <v/>
      </c>
      <c r="L513" s="78" t="n"/>
      <c r="M513" s="78">
        <f>IF(ISBLANK(L513),"",IF(D513="Stock",IF(C513="Buy",L513*G513,IF(C513="Sell",(L513*G513)-I513, X)),IF(C513="Buy",(L513*G513*100)+I513,IF(C513="Sell",(L513*G513*100)-I513, X))))</f>
        <v/>
      </c>
      <c r="N513" s="78">
        <f>IF(ISBLANK(L513),"",IF(AND(C513="Sell",D513="Stock"),M513,IF(ISBLANK(L513),"",IF(C513="Buy",M513, IF(AND(C513="Sell",J513="NA"),(E513*G513*100*0.1)+I513, IF(C513="Sell",(J513-L513)*(100*G513)+I513))))))</f>
        <v/>
      </c>
      <c r="O513" s="75" t="n"/>
      <c r="P513" s="75" t="n"/>
      <c r="Q513" s="75">
        <f>IF(ISBLANK(P513),"",IF(D513="Stock",P513*G513,IF(P513=0,"0",G513*P513*100-(G513*$AF$14))))</f>
        <v/>
      </c>
      <c r="R513" s="79">
        <f>IF(P513&lt;&gt;"", TODAY(), "")</f>
        <v/>
      </c>
      <c r="S513" s="78">
        <f>IF(AND(K513&lt;&gt;"", R513&lt;&gt;""), R513-K513, "")</f>
        <v/>
      </c>
      <c r="T513" s="78" t="n"/>
      <c r="U513" s="92">
        <f>IF(ISBLANK(P513),"",IF(C513="Buy",Q513-M513+T513, IF(C513="Sell",M513-Q513-T513, X)))</f>
        <v/>
      </c>
      <c r="V513" s="81">
        <f>IF(ISBLANK(P513),"",U513/N513)</f>
        <v/>
      </c>
      <c r="W513" s="81">
        <f>IF(ISBLANK(P513),"",IF(S513=0,(365/0.5)*V513,(365/S513)*V513))</f>
        <v/>
      </c>
      <c r="X513" s="75" t="n"/>
      <c r="Y513" s="77" t="n"/>
      <c r="Z513" s="77" t="n"/>
      <c r="AA513" s="75" t="n"/>
      <c r="AB513" s="75" t="n"/>
      <c r="AC513" s="6" t="n"/>
      <c r="AD513" s="75" t="n"/>
      <c r="AE513" s="75" t="n"/>
      <c r="AF513" s="75" t="n"/>
    </row>
    <row r="514" ht="15.75" customHeight="1" s="133">
      <c r="A514" s="75" t="n"/>
      <c r="B514" s="75" t="n"/>
      <c r="C514" s="75" t="n"/>
      <c r="D514" s="75" t="n"/>
      <c r="E514" s="76" t="n"/>
      <c r="F514" s="77" t="n"/>
      <c r="G514" s="75" t="n"/>
      <c r="H514" s="75">
        <f>IF(ISBLANK(E514),"",IF(OR(D514="Butterfly",D514="Butterfly ",D514="Iron Fly", D514="Iron Fly "),LEN(E514)-LEN(SUBSTITUTE(E514,"/",""))+2,LEN(E514)-LEN(SUBSTITUTE(E514,"/",""))+1))</f>
        <v/>
      </c>
      <c r="I514" s="78">
        <f>IF(ISBLANK(G514),"",IF(D514="Stock","0",Key!$A$3*H514*G514))</f>
        <v/>
      </c>
      <c r="J514" s="78">
        <f>IF(ISBLANK(E514),"",IF(ISNUMBER(SEARCH("/",E514)), IF(LEN(E514)-LEN(SUBSTITUTE(E514,"/",""))=1,(RIGHT(E514,LEN(E514)-FIND("/",E514)))-(LEFT(E514,FIND("/",E514)-1)),(MID(E514, SEARCH("/",E514) + 1, SEARCH("/",E514, SEARCH("/",E514)+1) - SEARCH("/",E514) - 1))-(LEFT(E514,FIND("/",E514)-1))), "NA"))</f>
        <v/>
      </c>
      <c r="K514" s="79">
        <f>IF(A514&lt;&gt;"", IF(ISBLANK(L514), TODAY(), K514), "")</f>
        <v/>
      </c>
      <c r="L514" s="78" t="n"/>
      <c r="M514" s="78">
        <f>IF(ISBLANK(L514),"",IF(D514="Stock",IF(C514="Buy",L514*G514,IF(C514="Sell",(L514*G514)-I514, X)),IF(C514="Buy",(L514*G514*100)+I514,IF(C514="Sell",(L514*G514*100)-I514, X))))</f>
        <v/>
      </c>
      <c r="N514" s="78">
        <f>IF(ISBLANK(L514),"",IF(AND(C514="Sell",D514="Stock"),M514,IF(ISBLANK(L514),"",IF(C514="Buy",M514, IF(AND(C514="Sell",J514="NA"),(E514*G514*100*0.1)+I514, IF(C514="Sell",(J514-L514)*(100*G514)+I514))))))</f>
        <v/>
      </c>
      <c r="O514" s="75" t="n"/>
      <c r="P514" s="75" t="n"/>
      <c r="Q514" s="75">
        <f>IF(ISBLANK(P514),"",IF(D514="Stock",P514*G514,IF(P514=0,"0",G514*P514*100-(G514*$AF$14))))</f>
        <v/>
      </c>
      <c r="R514" s="79">
        <f>IF(P514&lt;&gt;"", TODAY(), "")</f>
        <v/>
      </c>
      <c r="S514" s="78">
        <f>IF(AND(K514&lt;&gt;"", R514&lt;&gt;""), R514-K514, "")</f>
        <v/>
      </c>
      <c r="T514" s="78" t="n"/>
      <c r="U514" s="92">
        <f>IF(ISBLANK(P514),"",IF(C514="Buy",Q514-M514+T514, IF(C514="Sell",M514-Q514-T514, X)))</f>
        <v/>
      </c>
      <c r="V514" s="81">
        <f>IF(ISBLANK(P514),"",U514/N514)</f>
        <v/>
      </c>
      <c r="W514" s="81">
        <f>IF(ISBLANK(P514),"",IF(S514=0,(365/0.5)*V514,(365/S514)*V514))</f>
        <v/>
      </c>
      <c r="X514" s="75" t="n"/>
      <c r="Y514" s="77" t="n"/>
      <c r="Z514" s="77" t="n"/>
      <c r="AA514" s="75" t="n"/>
      <c r="AB514" s="75" t="n"/>
      <c r="AC514" s="6" t="n"/>
      <c r="AD514" s="75" t="n"/>
      <c r="AE514" s="75" t="n"/>
      <c r="AF514" s="75" t="n"/>
    </row>
    <row r="515" ht="15.75" customHeight="1" s="133">
      <c r="A515" s="75" t="n"/>
      <c r="B515" s="75" t="n"/>
      <c r="C515" s="75" t="n"/>
      <c r="D515" s="75" t="n"/>
      <c r="E515" s="76" t="n"/>
      <c r="F515" s="77" t="n"/>
      <c r="G515" s="75" t="n"/>
      <c r="H515" s="75">
        <f>IF(ISBLANK(E515),"",IF(OR(D515="Butterfly",D515="Butterfly ",D515="Iron Fly", D515="Iron Fly "),LEN(E515)-LEN(SUBSTITUTE(E515,"/",""))+2,LEN(E515)-LEN(SUBSTITUTE(E515,"/",""))+1))</f>
        <v/>
      </c>
      <c r="I515" s="78">
        <f>IF(ISBLANK(G515),"",IF(D515="Stock","0",Key!$A$3*H515*G515))</f>
        <v/>
      </c>
      <c r="J515" s="78">
        <f>IF(ISBLANK(E515),"",IF(ISNUMBER(SEARCH("/",E515)), IF(LEN(E515)-LEN(SUBSTITUTE(E515,"/",""))=1,(RIGHT(E515,LEN(E515)-FIND("/",E515)))-(LEFT(E515,FIND("/",E515)-1)),(MID(E515, SEARCH("/",E515) + 1, SEARCH("/",E515, SEARCH("/",E515)+1) - SEARCH("/",E515) - 1))-(LEFT(E515,FIND("/",E515)-1))), "NA"))</f>
        <v/>
      </c>
      <c r="K515" s="79">
        <f>IF(A515&lt;&gt;"", IF(ISBLANK(L515), TODAY(), K515), "")</f>
        <v/>
      </c>
      <c r="L515" s="78" t="n"/>
      <c r="M515" s="78">
        <f>IF(ISBLANK(L515),"",IF(D515="Stock",IF(C515="Buy",L515*G515,IF(C515="Sell",(L515*G515)-I515, X)),IF(C515="Buy",(L515*G515*100)+I515,IF(C515="Sell",(L515*G515*100)-I515, X))))</f>
        <v/>
      </c>
      <c r="N515" s="78">
        <f>IF(ISBLANK(L515),"",IF(AND(C515="Sell",D515="Stock"),M515,IF(ISBLANK(L515),"",IF(C515="Buy",M515, IF(AND(C515="Sell",J515="NA"),(E515*G515*100*0.1)+I515, IF(C515="Sell",(J515-L515)*(100*G515)+I515))))))</f>
        <v/>
      </c>
      <c r="O515" s="75" t="n"/>
      <c r="P515" s="75" t="n"/>
      <c r="Q515" s="75">
        <f>IF(ISBLANK(P515),"",IF(D515="Stock",P515*G515,IF(P515=0,"0",G515*P515*100-(G515*$AF$14))))</f>
        <v/>
      </c>
      <c r="R515" s="79">
        <f>IF(P515&lt;&gt;"", TODAY(), "")</f>
        <v/>
      </c>
      <c r="S515" s="78">
        <f>IF(AND(K515&lt;&gt;"", R515&lt;&gt;""), R515-K515, "")</f>
        <v/>
      </c>
      <c r="T515" s="78" t="n"/>
      <c r="U515" s="92">
        <f>IF(ISBLANK(P515),"",IF(C515="Buy",Q515-M515+T515, IF(C515="Sell",M515-Q515-T515, X)))</f>
        <v/>
      </c>
      <c r="V515" s="81">
        <f>IF(ISBLANK(P515),"",U515/N515)</f>
        <v/>
      </c>
      <c r="W515" s="81">
        <f>IF(ISBLANK(P515),"",IF(S515=0,(365/0.5)*V515,(365/S515)*V515))</f>
        <v/>
      </c>
      <c r="X515" s="75" t="n"/>
      <c r="Y515" s="77" t="n"/>
      <c r="Z515" s="77" t="n"/>
      <c r="AA515" s="75" t="n"/>
      <c r="AB515" s="75" t="n"/>
      <c r="AC515" s="6" t="n"/>
      <c r="AD515" s="75" t="n"/>
      <c r="AE515" s="75" t="n"/>
      <c r="AF515" s="75" t="n"/>
    </row>
    <row r="516" ht="15.75" customHeight="1" s="133">
      <c r="A516" s="75" t="n"/>
      <c r="B516" s="75" t="n"/>
      <c r="C516" s="75" t="n"/>
      <c r="D516" s="75" t="n"/>
      <c r="E516" s="76" t="n"/>
      <c r="F516" s="77" t="n"/>
      <c r="G516" s="75" t="n"/>
      <c r="H516" s="75">
        <f>IF(ISBLANK(E516),"",IF(OR(D516="Butterfly",D516="Butterfly ",D516="Iron Fly", D516="Iron Fly "),LEN(E516)-LEN(SUBSTITUTE(E516,"/",""))+2,LEN(E516)-LEN(SUBSTITUTE(E516,"/",""))+1))</f>
        <v/>
      </c>
      <c r="I516" s="78">
        <f>IF(ISBLANK(G516),"",IF(D516="Stock","0",Key!$A$3*H516*G516))</f>
        <v/>
      </c>
      <c r="J516" s="78">
        <f>IF(ISBLANK(E516),"",IF(ISNUMBER(SEARCH("/",E516)), IF(LEN(E516)-LEN(SUBSTITUTE(E516,"/",""))=1,(RIGHT(E516,LEN(E516)-FIND("/",E516)))-(LEFT(E516,FIND("/",E516)-1)),(MID(E516, SEARCH("/",E516) + 1, SEARCH("/",E516, SEARCH("/",E516)+1) - SEARCH("/",E516) - 1))-(LEFT(E516,FIND("/",E516)-1))), "NA"))</f>
        <v/>
      </c>
      <c r="K516" s="79">
        <f>IF(A516&lt;&gt;"", IF(ISBLANK(L516), TODAY(), K516), "")</f>
        <v/>
      </c>
      <c r="L516" s="78" t="n"/>
      <c r="M516" s="78">
        <f>IF(ISBLANK(L516),"",IF(D516="Stock",IF(C516="Buy",L516*G516,IF(C516="Sell",(L516*G516)-I516, X)),IF(C516="Buy",(L516*G516*100)+I516,IF(C516="Sell",(L516*G516*100)-I516, X))))</f>
        <v/>
      </c>
      <c r="N516" s="78">
        <f>IF(ISBLANK(L516),"",IF(AND(C516="Sell",D516="Stock"),M516,IF(ISBLANK(L516),"",IF(C516="Buy",M516, IF(AND(C516="Sell",J516="NA"),(E516*G516*100*0.1)+I516, IF(C516="Sell",(J516-L516)*(100*G516)+I516))))))</f>
        <v/>
      </c>
      <c r="O516" s="75" t="n"/>
      <c r="P516" s="75" t="n"/>
      <c r="Q516" s="75">
        <f>IF(ISBLANK(P516),"",IF(D516="Stock",P516*G516,IF(P516=0,"0",G516*P516*100-(G516*$AF$14))))</f>
        <v/>
      </c>
      <c r="R516" s="79">
        <f>IF(P516&lt;&gt;"", TODAY(), "")</f>
        <v/>
      </c>
      <c r="S516" s="78">
        <f>IF(AND(K516&lt;&gt;"", R516&lt;&gt;""), R516-K516, "")</f>
        <v/>
      </c>
      <c r="T516" s="78" t="n"/>
      <c r="U516" s="92">
        <f>IF(ISBLANK(P516),"",IF(C516="Buy",Q516-M516+T516, IF(C516="Sell",M516-Q516-T516, X)))</f>
        <v/>
      </c>
      <c r="V516" s="81">
        <f>IF(ISBLANK(P516),"",U516/N516)</f>
        <v/>
      </c>
      <c r="W516" s="81">
        <f>IF(ISBLANK(P516),"",IF(S516=0,(365/0.5)*V516,(365/S516)*V516))</f>
        <v/>
      </c>
      <c r="X516" s="75" t="n"/>
      <c r="Y516" s="77" t="n"/>
      <c r="Z516" s="77" t="n"/>
      <c r="AA516" s="75" t="n"/>
      <c r="AB516" s="75" t="n"/>
      <c r="AC516" s="6" t="n"/>
      <c r="AD516" s="75" t="n"/>
      <c r="AE516" s="75" t="n"/>
      <c r="AF516" s="75" t="n"/>
    </row>
    <row r="517" ht="15.75" customHeight="1" s="133">
      <c r="A517" s="75" t="n"/>
      <c r="B517" s="75" t="n"/>
      <c r="C517" s="75" t="n"/>
      <c r="D517" s="75" t="n"/>
      <c r="E517" s="76" t="n"/>
      <c r="F517" s="77" t="n"/>
      <c r="G517" s="75" t="n"/>
      <c r="H517" s="75">
        <f>IF(ISBLANK(E517),"",IF(OR(D517="Butterfly",D517="Butterfly ",D517="Iron Fly", D517="Iron Fly "),LEN(E517)-LEN(SUBSTITUTE(E517,"/",""))+2,LEN(E517)-LEN(SUBSTITUTE(E517,"/",""))+1))</f>
        <v/>
      </c>
      <c r="I517" s="78">
        <f>IF(ISBLANK(G517),"",IF(D517="Stock","0",Key!$A$3*H517*G517))</f>
        <v/>
      </c>
      <c r="J517" s="78">
        <f>IF(ISBLANK(E517),"",IF(ISNUMBER(SEARCH("/",E517)), IF(LEN(E517)-LEN(SUBSTITUTE(E517,"/",""))=1,(RIGHT(E517,LEN(E517)-FIND("/",E517)))-(LEFT(E517,FIND("/",E517)-1)),(MID(E517, SEARCH("/",E517) + 1, SEARCH("/",E517, SEARCH("/",E517)+1) - SEARCH("/",E517) - 1))-(LEFT(E517,FIND("/",E517)-1))), "NA"))</f>
        <v/>
      </c>
      <c r="K517" s="79">
        <f>IF(A517&lt;&gt;"", IF(ISBLANK(L517), TODAY(), K517), "")</f>
        <v/>
      </c>
      <c r="L517" s="78" t="n"/>
      <c r="M517" s="78">
        <f>IF(ISBLANK(L517),"",IF(D517="Stock",IF(C517="Buy",L517*G517,IF(C517="Sell",(L517*G517)-I517, X)),IF(C517="Buy",(L517*G517*100)+I517,IF(C517="Sell",(L517*G517*100)-I517, X))))</f>
        <v/>
      </c>
      <c r="N517" s="78">
        <f>IF(ISBLANK(L517),"",IF(AND(C517="Sell",D517="Stock"),M517,IF(ISBLANK(L517),"",IF(C517="Buy",M517, IF(AND(C517="Sell",J517="NA"),(E517*G517*100*0.1)+I517, IF(C517="Sell",(J517-L517)*(100*G517)+I517))))))</f>
        <v/>
      </c>
      <c r="O517" s="75" t="n"/>
      <c r="P517" s="75" t="n"/>
      <c r="Q517" s="75">
        <f>IF(ISBLANK(P517),"",IF(D517="Stock",P517*G517,IF(P517=0,"0",G517*P517*100-(G517*$AF$14))))</f>
        <v/>
      </c>
      <c r="R517" s="79">
        <f>IF(P517&lt;&gt;"", TODAY(), "")</f>
        <v/>
      </c>
      <c r="S517" s="78">
        <f>IF(AND(K517&lt;&gt;"", R517&lt;&gt;""), R517-K517, "")</f>
        <v/>
      </c>
      <c r="T517" s="78" t="n"/>
      <c r="U517" s="92">
        <f>IF(ISBLANK(P517),"",IF(C517="Buy",Q517-M517+T517, IF(C517="Sell",M517-Q517-T517, X)))</f>
        <v/>
      </c>
      <c r="V517" s="81">
        <f>IF(ISBLANK(P517),"",U517/N517)</f>
        <v/>
      </c>
      <c r="W517" s="81">
        <f>IF(ISBLANK(P517),"",IF(S517=0,(365/0.5)*V517,(365/S517)*V517))</f>
        <v/>
      </c>
      <c r="X517" s="75" t="n"/>
      <c r="Y517" s="77" t="n"/>
      <c r="Z517" s="77" t="n"/>
      <c r="AA517" s="75" t="n"/>
      <c r="AB517" s="75" t="n"/>
      <c r="AC517" s="6" t="n"/>
      <c r="AD517" s="75" t="n"/>
      <c r="AE517" s="75" t="n"/>
      <c r="AF517" s="75" t="n"/>
    </row>
    <row r="518" ht="15.75" customHeight="1" s="133">
      <c r="A518" s="75" t="n"/>
      <c r="B518" s="75" t="n"/>
      <c r="C518" s="75" t="n"/>
      <c r="D518" s="75" t="n"/>
      <c r="E518" s="76" t="n"/>
      <c r="F518" s="77" t="n"/>
      <c r="G518" s="75" t="n"/>
      <c r="H518" s="75">
        <f>IF(ISBLANK(E518),"",IF(OR(D518="Butterfly",D518="Butterfly ",D518="Iron Fly", D518="Iron Fly "),LEN(E518)-LEN(SUBSTITUTE(E518,"/",""))+2,LEN(E518)-LEN(SUBSTITUTE(E518,"/",""))+1))</f>
        <v/>
      </c>
      <c r="I518" s="78">
        <f>IF(ISBLANK(G518),"",IF(D518="Stock","0",Key!$A$3*H518*G518))</f>
        <v/>
      </c>
      <c r="J518" s="78">
        <f>IF(ISBLANK(E518),"",IF(ISNUMBER(SEARCH("/",E518)), IF(LEN(E518)-LEN(SUBSTITUTE(E518,"/",""))=1,(RIGHT(E518,LEN(E518)-FIND("/",E518)))-(LEFT(E518,FIND("/",E518)-1)),(MID(E518, SEARCH("/",E518) + 1, SEARCH("/",E518, SEARCH("/",E518)+1) - SEARCH("/",E518) - 1))-(LEFT(E518,FIND("/",E518)-1))), "NA"))</f>
        <v/>
      </c>
      <c r="K518" s="79">
        <f>IF(A518&lt;&gt;"", IF(ISBLANK(L518), TODAY(), K518), "")</f>
        <v/>
      </c>
      <c r="L518" s="78" t="n"/>
      <c r="M518" s="78">
        <f>IF(ISBLANK(L518),"",IF(D518="Stock",IF(C518="Buy",L518*G518,IF(C518="Sell",(L518*G518)-I518, X)),IF(C518="Buy",(L518*G518*100)+I518,IF(C518="Sell",(L518*G518*100)-I518, X))))</f>
        <v/>
      </c>
      <c r="N518" s="78">
        <f>IF(ISBLANK(L518),"",IF(AND(C518="Sell",D518="Stock"),M518,IF(ISBLANK(L518),"",IF(C518="Buy",M518, IF(AND(C518="Sell",J518="NA"),(E518*G518*100*0.1)+I518, IF(C518="Sell",(J518-L518)*(100*G518)+I518))))))</f>
        <v/>
      </c>
      <c r="O518" s="75" t="n"/>
      <c r="P518" s="75" t="n"/>
      <c r="Q518" s="75">
        <f>IF(ISBLANK(P518),"",IF(D518="Stock",P518*G518,IF(P518=0,"0",G518*P518*100-(G518*$AF$14))))</f>
        <v/>
      </c>
      <c r="R518" s="79">
        <f>IF(P518&lt;&gt;"", TODAY(), "")</f>
        <v/>
      </c>
      <c r="S518" s="78">
        <f>IF(AND(K518&lt;&gt;"", R518&lt;&gt;""), R518-K518, "")</f>
        <v/>
      </c>
      <c r="T518" s="78" t="n"/>
      <c r="U518" s="92">
        <f>IF(ISBLANK(P518),"",IF(C518="Buy",Q518-M518+T518, IF(C518="Sell",M518-Q518-T518, X)))</f>
        <v/>
      </c>
      <c r="V518" s="81">
        <f>IF(ISBLANK(P518),"",U518/N518)</f>
        <v/>
      </c>
      <c r="W518" s="81">
        <f>IF(ISBLANK(P518),"",IF(S518=0,(365/0.5)*V518,(365/S518)*V518))</f>
        <v/>
      </c>
      <c r="X518" s="75" t="n"/>
      <c r="Y518" s="77" t="n"/>
      <c r="Z518" s="77" t="n"/>
      <c r="AA518" s="75" t="n"/>
      <c r="AB518" s="75" t="n"/>
      <c r="AC518" s="6" t="n"/>
      <c r="AD518" s="75" t="n"/>
      <c r="AE518" s="75" t="n"/>
      <c r="AF518" s="75" t="n"/>
    </row>
    <row r="519" ht="15.75" customHeight="1" s="133">
      <c r="A519" s="75" t="n"/>
      <c r="B519" s="75" t="n"/>
      <c r="C519" s="75" t="n"/>
      <c r="D519" s="75" t="n"/>
      <c r="E519" s="76" t="n"/>
      <c r="F519" s="77" t="n"/>
      <c r="G519" s="75" t="n"/>
      <c r="H519" s="75">
        <f>IF(ISBLANK(E519),"",IF(OR(D519="Butterfly",D519="Butterfly ",D519="Iron Fly", D519="Iron Fly "),LEN(E519)-LEN(SUBSTITUTE(E519,"/",""))+2,LEN(E519)-LEN(SUBSTITUTE(E519,"/",""))+1))</f>
        <v/>
      </c>
      <c r="I519" s="78">
        <f>IF(ISBLANK(G519),"",IF(D519="Stock","0",Key!$A$3*H519*G519))</f>
        <v/>
      </c>
      <c r="J519" s="78">
        <f>IF(ISBLANK(E519),"",IF(ISNUMBER(SEARCH("/",E519)), IF(LEN(E519)-LEN(SUBSTITUTE(E519,"/",""))=1,(RIGHT(E519,LEN(E519)-FIND("/",E519)))-(LEFT(E519,FIND("/",E519)-1)),(MID(E519, SEARCH("/",E519) + 1, SEARCH("/",E519, SEARCH("/",E519)+1) - SEARCH("/",E519) - 1))-(LEFT(E519,FIND("/",E519)-1))), "NA"))</f>
        <v/>
      </c>
      <c r="K519" s="79">
        <f>IF(A519&lt;&gt;"", IF(ISBLANK(L519), TODAY(), K519), "")</f>
        <v/>
      </c>
      <c r="L519" s="78" t="n"/>
      <c r="M519" s="78">
        <f>IF(ISBLANK(L519),"",IF(D519="Stock",IF(C519="Buy",L519*G519,IF(C519="Sell",(L519*G519)-I519, X)),IF(C519="Buy",(L519*G519*100)+I519,IF(C519="Sell",(L519*G519*100)-I519, X))))</f>
        <v/>
      </c>
      <c r="N519" s="78">
        <f>IF(ISBLANK(L519),"",IF(AND(C519="Sell",D519="Stock"),M519,IF(ISBLANK(L519),"",IF(C519="Buy",M519, IF(AND(C519="Sell",J519="NA"),(E519*G519*100*0.1)+I519, IF(C519="Sell",(J519-L519)*(100*G519)+I519))))))</f>
        <v/>
      </c>
      <c r="O519" s="75" t="n"/>
      <c r="P519" s="75" t="n"/>
      <c r="Q519" s="75">
        <f>IF(ISBLANK(P519),"",IF(D519="Stock",P519*G519,IF(P519=0,"0",G519*P519*100-(G519*$AF$14))))</f>
        <v/>
      </c>
      <c r="R519" s="79">
        <f>IF(P519&lt;&gt;"", TODAY(), "")</f>
        <v/>
      </c>
      <c r="S519" s="78">
        <f>IF(AND(K519&lt;&gt;"", R519&lt;&gt;""), R519-K519, "")</f>
        <v/>
      </c>
      <c r="T519" s="78" t="n"/>
      <c r="U519" s="92">
        <f>IF(ISBLANK(P519),"",IF(C519="Buy",Q519-M519+T519, IF(C519="Sell",M519-Q519-T519, X)))</f>
        <v/>
      </c>
      <c r="V519" s="81">
        <f>IF(ISBLANK(P519),"",U519/N519)</f>
        <v/>
      </c>
      <c r="W519" s="81">
        <f>IF(ISBLANK(P519),"",IF(S519=0,(365/0.5)*V519,(365/S519)*V519))</f>
        <v/>
      </c>
      <c r="X519" s="75" t="n"/>
      <c r="Y519" s="77" t="n"/>
      <c r="Z519" s="77" t="n"/>
      <c r="AA519" s="75" t="n"/>
      <c r="AB519" s="75" t="n"/>
      <c r="AC519" s="6" t="n"/>
      <c r="AD519" s="75" t="n"/>
      <c r="AE519" s="75" t="n"/>
      <c r="AF519" s="75" t="n"/>
    </row>
    <row r="520" ht="15.75" customHeight="1" s="133">
      <c r="A520" s="75" t="n"/>
      <c r="B520" s="75" t="n"/>
      <c r="C520" s="75" t="n"/>
      <c r="D520" s="75" t="n"/>
      <c r="E520" s="76" t="n"/>
      <c r="F520" s="77" t="n"/>
      <c r="G520" s="75" t="n"/>
      <c r="H520" s="75">
        <f>IF(ISBLANK(E520),"",IF(OR(D520="Butterfly",D520="Butterfly ",D520="Iron Fly", D520="Iron Fly "),LEN(E520)-LEN(SUBSTITUTE(E520,"/",""))+2,LEN(E520)-LEN(SUBSTITUTE(E520,"/",""))+1))</f>
        <v/>
      </c>
      <c r="I520" s="78">
        <f>IF(ISBLANK(G520),"",IF(D520="Stock","0",Key!$A$3*H520*G520))</f>
        <v/>
      </c>
      <c r="J520" s="78">
        <f>IF(ISBLANK(E520),"",IF(ISNUMBER(SEARCH("/",E520)), IF(LEN(E520)-LEN(SUBSTITUTE(E520,"/",""))=1,(RIGHT(E520,LEN(E520)-FIND("/",E520)))-(LEFT(E520,FIND("/",E520)-1)),(MID(E520, SEARCH("/",E520) + 1, SEARCH("/",E520, SEARCH("/",E520)+1) - SEARCH("/",E520) - 1))-(LEFT(E520,FIND("/",E520)-1))), "NA"))</f>
        <v/>
      </c>
      <c r="K520" s="79">
        <f>IF(A520&lt;&gt;"", IF(ISBLANK(L520), TODAY(), K520), "")</f>
        <v/>
      </c>
      <c r="L520" s="78" t="n"/>
      <c r="M520" s="78">
        <f>IF(ISBLANK(L520),"",IF(D520="Stock",IF(C520="Buy",L520*G520,IF(C520="Sell",(L520*G520)-I520, X)),IF(C520="Buy",(L520*G520*100)+I520,IF(C520="Sell",(L520*G520*100)-I520, X))))</f>
        <v/>
      </c>
      <c r="N520" s="78">
        <f>IF(ISBLANK(L520),"",IF(AND(C520="Sell",D520="Stock"),M520,IF(ISBLANK(L520),"",IF(C520="Buy",M520, IF(AND(C520="Sell",J520="NA"),(E520*G520*100*0.1)+I520, IF(C520="Sell",(J520-L520)*(100*G520)+I520))))))</f>
        <v/>
      </c>
      <c r="O520" s="75" t="n"/>
      <c r="P520" s="75" t="n"/>
      <c r="Q520" s="75">
        <f>IF(ISBLANK(P520),"",IF(D520="Stock",P520*G520,IF(P520=0,"0",G520*P520*100-(G520*$AF$14))))</f>
        <v/>
      </c>
      <c r="R520" s="79">
        <f>IF(P520&lt;&gt;"", TODAY(), "")</f>
        <v/>
      </c>
      <c r="S520" s="78">
        <f>IF(AND(K520&lt;&gt;"", R520&lt;&gt;""), R520-K520, "")</f>
        <v/>
      </c>
      <c r="T520" s="78" t="n"/>
      <c r="U520" s="92">
        <f>IF(ISBLANK(P520),"",IF(C520="Buy",Q520-M520+T520, IF(C520="Sell",M520-Q520-T520, X)))</f>
        <v/>
      </c>
      <c r="V520" s="81">
        <f>IF(ISBLANK(P520),"",U520/N520)</f>
        <v/>
      </c>
      <c r="W520" s="81">
        <f>IF(ISBLANK(P520),"",IF(S520=0,(365/0.5)*V520,(365/S520)*V520))</f>
        <v/>
      </c>
      <c r="X520" s="75" t="n"/>
      <c r="Y520" s="77" t="n"/>
      <c r="Z520" s="77" t="n"/>
      <c r="AA520" s="75" t="n"/>
      <c r="AB520" s="75" t="n"/>
      <c r="AC520" s="6" t="n"/>
      <c r="AD520" s="75" t="n"/>
      <c r="AE520" s="75" t="n"/>
      <c r="AF520" s="75" t="n"/>
    </row>
    <row r="521" ht="15.75" customHeight="1" s="133">
      <c r="A521" s="75" t="n"/>
      <c r="B521" s="75" t="n"/>
      <c r="C521" s="75" t="n"/>
      <c r="D521" s="75" t="n"/>
      <c r="E521" s="76" t="n"/>
      <c r="F521" s="77" t="n"/>
      <c r="G521" s="75" t="n"/>
      <c r="H521" s="75">
        <f>IF(ISBLANK(E521),"",IF(OR(D521="Butterfly",D521="Butterfly ",D521="Iron Fly", D521="Iron Fly "),LEN(E521)-LEN(SUBSTITUTE(E521,"/",""))+2,LEN(E521)-LEN(SUBSTITUTE(E521,"/",""))+1))</f>
        <v/>
      </c>
      <c r="I521" s="78">
        <f>IF(ISBLANK(G521),"",IF(D521="Stock","0",Key!$A$3*H521*G521))</f>
        <v/>
      </c>
      <c r="J521" s="78">
        <f>IF(ISBLANK(E521),"",IF(ISNUMBER(SEARCH("/",E521)), IF(LEN(E521)-LEN(SUBSTITUTE(E521,"/",""))=1,(RIGHT(E521,LEN(E521)-FIND("/",E521)))-(LEFT(E521,FIND("/",E521)-1)),(MID(E521, SEARCH("/",E521) + 1, SEARCH("/",E521, SEARCH("/",E521)+1) - SEARCH("/",E521) - 1))-(LEFT(E521,FIND("/",E521)-1))), "NA"))</f>
        <v/>
      </c>
      <c r="K521" s="79">
        <f>IF(A521&lt;&gt;"", IF(ISBLANK(L521), TODAY(), K521), "")</f>
        <v/>
      </c>
      <c r="L521" s="78" t="n"/>
      <c r="M521" s="78">
        <f>IF(ISBLANK(L521),"",IF(D521="Stock",IF(C521="Buy",L521*G521,IF(C521="Sell",(L521*G521)-I521, X)),IF(C521="Buy",(L521*G521*100)+I521,IF(C521="Sell",(L521*G521*100)-I521, X))))</f>
        <v/>
      </c>
      <c r="N521" s="78">
        <f>IF(ISBLANK(L521),"",IF(AND(C521="Sell",D521="Stock"),M521,IF(ISBLANK(L521),"",IF(C521="Buy",M521, IF(AND(C521="Sell",J521="NA"),(E521*G521*100*0.1)+I521, IF(C521="Sell",(J521-L521)*(100*G521)+I521))))))</f>
        <v/>
      </c>
      <c r="O521" s="75" t="n"/>
      <c r="P521" s="75" t="n"/>
      <c r="Q521" s="75">
        <f>IF(ISBLANK(P521),"",IF(D521="Stock",P521*G521,IF(P521=0,"0",G521*P521*100-(G521*$AF$14))))</f>
        <v/>
      </c>
      <c r="R521" s="79">
        <f>IF(P521&lt;&gt;"", TODAY(), "")</f>
        <v/>
      </c>
      <c r="S521" s="78">
        <f>IF(AND(K521&lt;&gt;"", R521&lt;&gt;""), R521-K521, "")</f>
        <v/>
      </c>
      <c r="T521" s="78" t="n"/>
      <c r="U521" s="92">
        <f>IF(ISBLANK(P521),"",IF(C521="Buy",Q521-M521+T521, IF(C521="Sell",M521-Q521-T521, X)))</f>
        <v/>
      </c>
      <c r="V521" s="81">
        <f>IF(ISBLANK(P521),"",U521/N521)</f>
        <v/>
      </c>
      <c r="W521" s="81">
        <f>IF(ISBLANK(P521),"",IF(S521=0,(365/0.5)*V521,(365/S521)*V521))</f>
        <v/>
      </c>
      <c r="X521" s="75" t="n"/>
      <c r="Y521" s="77" t="n"/>
      <c r="Z521" s="77" t="n"/>
      <c r="AA521" s="75" t="n"/>
      <c r="AB521" s="75" t="n"/>
      <c r="AC521" s="6" t="n"/>
      <c r="AD521" s="75" t="n"/>
      <c r="AE521" s="75" t="n"/>
      <c r="AF521" s="75" t="n"/>
    </row>
    <row r="522" ht="15.75" customHeight="1" s="133">
      <c r="A522" s="75" t="n"/>
      <c r="B522" s="75" t="n"/>
      <c r="C522" s="75" t="n"/>
      <c r="D522" s="75" t="n"/>
      <c r="E522" s="76" t="n"/>
      <c r="F522" s="77" t="n"/>
      <c r="G522" s="75" t="n"/>
      <c r="H522" s="75">
        <f>IF(ISBLANK(E522),"",IF(OR(D522="Butterfly",D522="Butterfly ",D522="Iron Fly", D522="Iron Fly "),LEN(E522)-LEN(SUBSTITUTE(E522,"/",""))+2,LEN(E522)-LEN(SUBSTITUTE(E522,"/",""))+1))</f>
        <v/>
      </c>
      <c r="I522" s="78">
        <f>IF(ISBLANK(G522),"",IF(D522="Stock","0",Key!$A$3*H522*G522))</f>
        <v/>
      </c>
      <c r="J522" s="78">
        <f>IF(ISBLANK(E522),"",IF(ISNUMBER(SEARCH("/",E522)), IF(LEN(E522)-LEN(SUBSTITUTE(E522,"/",""))=1,(RIGHT(E522,LEN(E522)-FIND("/",E522)))-(LEFT(E522,FIND("/",E522)-1)),(MID(E522, SEARCH("/",E522) + 1, SEARCH("/",E522, SEARCH("/",E522)+1) - SEARCH("/",E522) - 1))-(LEFT(E522,FIND("/",E522)-1))), "NA"))</f>
        <v/>
      </c>
      <c r="K522" s="79">
        <f>IF(A522&lt;&gt;"", IF(ISBLANK(L522), TODAY(), K522), "")</f>
        <v/>
      </c>
      <c r="L522" s="78" t="n"/>
      <c r="M522" s="78">
        <f>IF(ISBLANK(L522),"",IF(D522="Stock",IF(C522="Buy",L522*G522,IF(C522="Sell",(L522*G522)-I522, X)),IF(C522="Buy",(L522*G522*100)+I522,IF(C522="Sell",(L522*G522*100)-I522, X))))</f>
        <v/>
      </c>
      <c r="N522" s="78">
        <f>IF(ISBLANK(L522),"",IF(AND(C522="Sell",D522="Stock"),M522,IF(ISBLANK(L522),"",IF(C522="Buy",M522, IF(AND(C522="Sell",J522="NA"),(E522*G522*100*0.1)+I522, IF(C522="Sell",(J522-L522)*(100*G522)+I522))))))</f>
        <v/>
      </c>
      <c r="O522" s="75" t="n"/>
      <c r="P522" s="75" t="n"/>
      <c r="Q522" s="75">
        <f>IF(ISBLANK(P522),"",IF(D522="Stock",P522*G522,IF(P522=0,"0",G522*P522*100-(G522*$AF$14))))</f>
        <v/>
      </c>
      <c r="R522" s="79">
        <f>IF(P522&lt;&gt;"", TODAY(), "")</f>
        <v/>
      </c>
      <c r="S522" s="78">
        <f>IF(AND(K522&lt;&gt;"", R522&lt;&gt;""), R522-K522, "")</f>
        <v/>
      </c>
      <c r="T522" s="78" t="n"/>
      <c r="U522" s="92">
        <f>IF(ISBLANK(P522),"",IF(C522="Buy",Q522-M522+T522, IF(C522="Sell",M522-Q522-T522, X)))</f>
        <v/>
      </c>
      <c r="V522" s="81">
        <f>IF(ISBLANK(P522),"",U522/N522)</f>
        <v/>
      </c>
      <c r="W522" s="81">
        <f>IF(ISBLANK(P522),"",IF(S522=0,(365/0.5)*V522,(365/S522)*V522))</f>
        <v/>
      </c>
      <c r="X522" s="75" t="n"/>
      <c r="Y522" s="77" t="n"/>
      <c r="Z522" s="77" t="n"/>
      <c r="AA522" s="75" t="n"/>
      <c r="AB522" s="75" t="n"/>
      <c r="AC522" s="6" t="n"/>
      <c r="AD522" s="75" t="n"/>
      <c r="AE522" s="75" t="n"/>
      <c r="AF522" s="75" t="n"/>
    </row>
    <row r="523" ht="15.75" customHeight="1" s="133">
      <c r="A523" s="75" t="n"/>
      <c r="B523" s="75" t="n"/>
      <c r="C523" s="75" t="n"/>
      <c r="D523" s="75" t="n"/>
      <c r="E523" s="76" t="n"/>
      <c r="F523" s="77" t="n"/>
      <c r="G523" s="75" t="n"/>
      <c r="H523" s="75">
        <f>IF(ISBLANK(E523),"",IF(OR(D523="Butterfly",D523="Butterfly ",D523="Iron Fly", D523="Iron Fly "),LEN(E523)-LEN(SUBSTITUTE(E523,"/",""))+2,LEN(E523)-LEN(SUBSTITUTE(E523,"/",""))+1))</f>
        <v/>
      </c>
      <c r="I523" s="78">
        <f>IF(ISBLANK(G523),"",IF(D523="Stock","0",Key!$A$3*H523*G523))</f>
        <v/>
      </c>
      <c r="J523" s="78">
        <f>IF(ISBLANK(E523),"",IF(ISNUMBER(SEARCH("/",E523)), IF(LEN(E523)-LEN(SUBSTITUTE(E523,"/",""))=1,(RIGHT(E523,LEN(E523)-FIND("/",E523)))-(LEFT(E523,FIND("/",E523)-1)),(MID(E523, SEARCH("/",E523) + 1, SEARCH("/",E523, SEARCH("/",E523)+1) - SEARCH("/",E523) - 1))-(LEFT(E523,FIND("/",E523)-1))), "NA"))</f>
        <v/>
      </c>
      <c r="K523" s="79">
        <f>IF(A523&lt;&gt;"", IF(ISBLANK(L523), TODAY(), K523), "")</f>
        <v/>
      </c>
      <c r="L523" s="78" t="n"/>
      <c r="M523" s="78">
        <f>IF(ISBLANK(L523),"",IF(D523="Stock",IF(C523="Buy",L523*G523,IF(C523="Sell",(L523*G523)-I523, X)),IF(C523="Buy",(L523*G523*100)+I523,IF(C523="Sell",(L523*G523*100)-I523, X))))</f>
        <v/>
      </c>
      <c r="N523" s="78">
        <f>IF(ISBLANK(L523),"",IF(AND(C523="Sell",D523="Stock"),M523,IF(ISBLANK(L523),"",IF(C523="Buy",M523, IF(AND(C523="Sell",J523="NA"),(E523*G523*100*0.1)+I523, IF(C523="Sell",(J523-L523)*(100*G523)+I523))))))</f>
        <v/>
      </c>
      <c r="O523" s="75" t="n"/>
      <c r="P523" s="75" t="n"/>
      <c r="Q523" s="75">
        <f>IF(ISBLANK(P523),"",IF(D523="Stock",P523*G523,IF(P523=0,"0",G523*P523*100-(G523*$AF$14))))</f>
        <v/>
      </c>
      <c r="R523" s="79">
        <f>IF(P523&lt;&gt;"", TODAY(), "")</f>
        <v/>
      </c>
      <c r="S523" s="78">
        <f>IF(AND(K523&lt;&gt;"", R523&lt;&gt;""), R523-K523, "")</f>
        <v/>
      </c>
      <c r="T523" s="78" t="n"/>
      <c r="U523" s="92">
        <f>IF(ISBLANK(P523),"",IF(C523="Buy",Q523-M523+T523, IF(C523="Sell",M523-Q523-T523, X)))</f>
        <v/>
      </c>
      <c r="V523" s="81">
        <f>IF(ISBLANK(P523),"",U523/N523)</f>
        <v/>
      </c>
      <c r="W523" s="81">
        <f>IF(ISBLANK(P523),"",IF(S523=0,(365/0.5)*V523,(365/S523)*V523))</f>
        <v/>
      </c>
      <c r="X523" s="75" t="n"/>
      <c r="Y523" s="77" t="n"/>
      <c r="Z523" s="77" t="n"/>
      <c r="AA523" s="75" t="n"/>
      <c r="AB523" s="75" t="n"/>
      <c r="AC523" s="6" t="n"/>
      <c r="AD523" s="75" t="n"/>
      <c r="AE523" s="75" t="n"/>
      <c r="AF523" s="75" t="n"/>
    </row>
    <row r="524" ht="15.75" customHeight="1" s="133">
      <c r="A524" s="75" t="n"/>
      <c r="B524" s="75" t="n"/>
      <c r="C524" s="75" t="n"/>
      <c r="D524" s="75" t="n"/>
      <c r="E524" s="76" t="n"/>
      <c r="F524" s="77" t="n"/>
      <c r="G524" s="75" t="n"/>
      <c r="H524" s="75">
        <f>IF(ISBLANK(E524),"",IF(OR(D524="Butterfly",D524="Butterfly ",D524="Iron Fly", D524="Iron Fly "),LEN(E524)-LEN(SUBSTITUTE(E524,"/",""))+2,LEN(E524)-LEN(SUBSTITUTE(E524,"/",""))+1))</f>
        <v/>
      </c>
      <c r="I524" s="78">
        <f>IF(ISBLANK(G524),"",IF(D524="Stock","0",Key!$A$3*H524*G524))</f>
        <v/>
      </c>
      <c r="J524" s="78">
        <f>IF(ISBLANK(E524),"",IF(ISNUMBER(SEARCH("/",E524)), IF(LEN(E524)-LEN(SUBSTITUTE(E524,"/",""))=1,(RIGHT(E524,LEN(E524)-FIND("/",E524)))-(LEFT(E524,FIND("/",E524)-1)),(MID(E524, SEARCH("/",E524) + 1, SEARCH("/",E524, SEARCH("/",E524)+1) - SEARCH("/",E524) - 1))-(LEFT(E524,FIND("/",E524)-1))), "NA"))</f>
        <v/>
      </c>
      <c r="K524" s="79">
        <f>IF(A524&lt;&gt;"", IF(ISBLANK(L524), TODAY(), K524), "")</f>
        <v/>
      </c>
      <c r="L524" s="78" t="n"/>
      <c r="M524" s="78">
        <f>IF(ISBLANK(L524),"",IF(D524="Stock",IF(C524="Buy",L524*G524,IF(C524="Sell",(L524*G524)-I524, X)),IF(C524="Buy",(L524*G524*100)+I524,IF(C524="Sell",(L524*G524*100)-I524, X))))</f>
        <v/>
      </c>
      <c r="N524" s="78">
        <f>IF(ISBLANK(L524),"",IF(AND(C524="Sell",D524="Stock"),M524,IF(ISBLANK(L524),"",IF(C524="Buy",M524, IF(AND(C524="Sell",J524="NA"),(E524*G524*100*0.1)+I524, IF(C524="Sell",(J524-L524)*(100*G524)+I524))))))</f>
        <v/>
      </c>
      <c r="O524" s="75" t="n"/>
      <c r="P524" s="75" t="n"/>
      <c r="Q524" s="75">
        <f>IF(ISBLANK(P524),"",IF(D524="Stock",P524*G524,IF(P524=0,"0",G524*P524*100-(G524*$AF$14))))</f>
        <v/>
      </c>
      <c r="R524" s="79">
        <f>IF(P524&lt;&gt;"", TODAY(), "")</f>
        <v/>
      </c>
      <c r="S524" s="78">
        <f>IF(AND(K524&lt;&gt;"", R524&lt;&gt;""), R524-K524, "")</f>
        <v/>
      </c>
      <c r="T524" s="78" t="n"/>
      <c r="U524" s="92">
        <f>IF(ISBLANK(P524),"",IF(C524="Buy",Q524-M524+T524, IF(C524="Sell",M524-Q524-T524, X)))</f>
        <v/>
      </c>
      <c r="V524" s="81">
        <f>IF(ISBLANK(P524),"",U524/N524)</f>
        <v/>
      </c>
      <c r="W524" s="81">
        <f>IF(ISBLANK(P524),"",IF(S524=0,(365/0.5)*V524,(365/S524)*V524))</f>
        <v/>
      </c>
      <c r="X524" s="75" t="n"/>
      <c r="Y524" s="77" t="n"/>
      <c r="Z524" s="77" t="n"/>
      <c r="AA524" s="75" t="n"/>
      <c r="AB524" s="75" t="n"/>
      <c r="AC524" s="6" t="n"/>
      <c r="AD524" s="75" t="n"/>
      <c r="AE524" s="75" t="n"/>
      <c r="AF524" s="75" t="n"/>
    </row>
    <row r="525" ht="15.75" customHeight="1" s="133">
      <c r="A525" s="75" t="n"/>
      <c r="B525" s="75" t="n"/>
      <c r="C525" s="75" t="n"/>
      <c r="D525" s="75" t="n"/>
      <c r="E525" s="76" t="n"/>
      <c r="F525" s="77" t="n"/>
      <c r="G525" s="75" t="n"/>
      <c r="H525" s="75">
        <f>IF(ISBLANK(E525),"",IF(OR(D525="Butterfly",D525="Butterfly ",D525="Iron Fly", D525="Iron Fly "),LEN(E525)-LEN(SUBSTITUTE(E525,"/",""))+2,LEN(E525)-LEN(SUBSTITUTE(E525,"/",""))+1))</f>
        <v/>
      </c>
      <c r="I525" s="78">
        <f>IF(ISBLANK(G525),"",IF(D525="Stock","0",Key!$A$3*H525*G525))</f>
        <v/>
      </c>
      <c r="J525" s="78">
        <f>IF(ISBLANK(E525),"",IF(ISNUMBER(SEARCH("/",E525)), IF(LEN(E525)-LEN(SUBSTITUTE(E525,"/",""))=1,(RIGHT(E525,LEN(E525)-FIND("/",E525)))-(LEFT(E525,FIND("/",E525)-1)),(MID(E525, SEARCH("/",E525) + 1, SEARCH("/",E525, SEARCH("/",E525)+1) - SEARCH("/",E525) - 1))-(LEFT(E525,FIND("/",E525)-1))), "NA"))</f>
        <v/>
      </c>
      <c r="K525" s="79">
        <f>IF(A525&lt;&gt;"", IF(ISBLANK(L525), TODAY(), K525), "")</f>
        <v/>
      </c>
      <c r="L525" s="78" t="n"/>
      <c r="M525" s="78">
        <f>IF(ISBLANK(L525),"",IF(D525="Stock",IF(C525="Buy",L525*G525,IF(C525="Sell",(L525*G525)-I525, X)),IF(C525="Buy",(L525*G525*100)+I525,IF(C525="Sell",(L525*G525*100)-I525, X))))</f>
        <v/>
      </c>
      <c r="N525" s="78">
        <f>IF(ISBLANK(L525),"",IF(AND(C525="Sell",D525="Stock"),M525,IF(ISBLANK(L525),"",IF(C525="Buy",M525, IF(AND(C525="Sell",J525="NA"),(E525*G525*100*0.1)+I525, IF(C525="Sell",(J525-L525)*(100*G525)+I525))))))</f>
        <v/>
      </c>
      <c r="O525" s="75" t="n"/>
      <c r="P525" s="75" t="n"/>
      <c r="Q525" s="75">
        <f>IF(ISBLANK(P525),"",IF(D525="Stock",P525*G525,IF(P525=0,"0",G525*P525*100-(G525*$AF$14))))</f>
        <v/>
      </c>
      <c r="R525" s="79">
        <f>IF(P525&lt;&gt;"", TODAY(), "")</f>
        <v/>
      </c>
      <c r="S525" s="78">
        <f>IF(AND(K525&lt;&gt;"", R525&lt;&gt;""), R525-K525, "")</f>
        <v/>
      </c>
      <c r="T525" s="78" t="n"/>
      <c r="U525" s="92">
        <f>IF(ISBLANK(P525),"",IF(C525="Buy",Q525-M525+T525, IF(C525="Sell",M525-Q525-T525, X)))</f>
        <v/>
      </c>
      <c r="V525" s="81">
        <f>IF(ISBLANK(P525),"",U525/N525)</f>
        <v/>
      </c>
      <c r="W525" s="81">
        <f>IF(ISBLANK(P525),"",IF(S525=0,(365/0.5)*V525,(365/S525)*V525))</f>
        <v/>
      </c>
      <c r="X525" s="75" t="n"/>
      <c r="Y525" s="77" t="n"/>
      <c r="Z525" s="77" t="n"/>
      <c r="AA525" s="75" t="n"/>
      <c r="AB525" s="75" t="n"/>
      <c r="AC525" s="6" t="n"/>
      <c r="AD525" s="75" t="n"/>
      <c r="AE525" s="75" t="n"/>
      <c r="AF525" s="75" t="n"/>
    </row>
    <row r="526" ht="15.75" customHeight="1" s="133">
      <c r="A526" s="75" t="n"/>
      <c r="B526" s="75" t="n"/>
      <c r="C526" s="75" t="n"/>
      <c r="D526" s="75" t="n"/>
      <c r="E526" s="76" t="n"/>
      <c r="F526" s="77" t="n"/>
      <c r="G526" s="75" t="n"/>
      <c r="H526" s="75">
        <f>IF(ISBLANK(E526),"",IF(OR(D526="Butterfly",D526="Butterfly ",D526="Iron Fly", D526="Iron Fly "),LEN(E526)-LEN(SUBSTITUTE(E526,"/",""))+2,LEN(E526)-LEN(SUBSTITUTE(E526,"/",""))+1))</f>
        <v/>
      </c>
      <c r="I526" s="78">
        <f>IF(ISBLANK(G526),"",IF(D526="Stock","0",Key!$A$3*H526*G526))</f>
        <v/>
      </c>
      <c r="J526" s="78">
        <f>IF(ISBLANK(E526),"",IF(ISNUMBER(SEARCH("/",E526)), IF(LEN(E526)-LEN(SUBSTITUTE(E526,"/",""))=1,(RIGHT(E526,LEN(E526)-FIND("/",E526)))-(LEFT(E526,FIND("/",E526)-1)),(MID(E526, SEARCH("/",E526) + 1, SEARCH("/",E526, SEARCH("/",E526)+1) - SEARCH("/",E526) - 1))-(LEFT(E526,FIND("/",E526)-1))), "NA"))</f>
        <v/>
      </c>
      <c r="K526" s="79">
        <f>IF(A526&lt;&gt;"", IF(ISBLANK(L526), TODAY(), K526), "")</f>
        <v/>
      </c>
      <c r="L526" s="78" t="n"/>
      <c r="M526" s="78">
        <f>IF(ISBLANK(L526),"",IF(D526="Stock",IF(C526="Buy",L526*G526,IF(C526="Sell",(L526*G526)-I526, X)),IF(C526="Buy",(L526*G526*100)+I526,IF(C526="Sell",(L526*G526*100)-I526, X))))</f>
        <v/>
      </c>
      <c r="N526" s="78">
        <f>IF(ISBLANK(L526),"",IF(AND(C526="Sell",D526="Stock"),M526,IF(ISBLANK(L526),"",IF(C526="Buy",M526, IF(AND(C526="Sell",J526="NA"),(E526*G526*100*0.1)+I526, IF(C526="Sell",(J526-L526)*(100*G526)+I526))))))</f>
        <v/>
      </c>
      <c r="O526" s="75" t="n"/>
      <c r="P526" s="75" t="n"/>
      <c r="Q526" s="75">
        <f>IF(ISBLANK(P526),"",IF(D526="Stock",P526*G526,IF(P526=0,"0",G526*P526*100-(G526*$AF$14))))</f>
        <v/>
      </c>
      <c r="R526" s="79">
        <f>IF(P526&lt;&gt;"", TODAY(), "")</f>
        <v/>
      </c>
      <c r="S526" s="78">
        <f>IF(AND(K526&lt;&gt;"", R526&lt;&gt;""), R526-K526, "")</f>
        <v/>
      </c>
      <c r="T526" s="78" t="n"/>
      <c r="U526" s="92">
        <f>IF(ISBLANK(P526),"",IF(C526="Buy",Q526-M526+T526, IF(C526="Sell",M526-Q526-T526, X)))</f>
        <v/>
      </c>
      <c r="V526" s="81">
        <f>IF(ISBLANK(P526),"",U526/N526)</f>
        <v/>
      </c>
      <c r="W526" s="81">
        <f>IF(ISBLANK(P526),"",IF(S526=0,(365/0.5)*V526,(365/S526)*V526))</f>
        <v/>
      </c>
      <c r="X526" s="75" t="n"/>
      <c r="Y526" s="77" t="n"/>
      <c r="Z526" s="77" t="n"/>
      <c r="AA526" s="75" t="n"/>
      <c r="AB526" s="75" t="n"/>
      <c r="AC526" s="6" t="n"/>
      <c r="AD526" s="75" t="n"/>
      <c r="AE526" s="75" t="n"/>
      <c r="AF526" s="75" t="n"/>
    </row>
    <row r="527" ht="15.75" customHeight="1" s="133">
      <c r="A527" s="75" t="n"/>
      <c r="B527" s="75" t="n"/>
      <c r="C527" s="75" t="n"/>
      <c r="D527" s="75" t="n"/>
      <c r="E527" s="76" t="n"/>
      <c r="F527" s="77" t="n"/>
      <c r="G527" s="75" t="n"/>
      <c r="H527" s="75">
        <f>IF(ISBLANK(E527),"",IF(OR(D527="Butterfly",D527="Butterfly ",D527="Iron Fly", D527="Iron Fly "),LEN(E527)-LEN(SUBSTITUTE(E527,"/",""))+2,LEN(E527)-LEN(SUBSTITUTE(E527,"/",""))+1))</f>
        <v/>
      </c>
      <c r="I527" s="78">
        <f>IF(ISBLANK(G527),"",IF(D527="Stock","0",Key!$A$3*H527*G527))</f>
        <v/>
      </c>
      <c r="J527" s="78">
        <f>IF(ISBLANK(E527),"",IF(ISNUMBER(SEARCH("/",E527)), IF(LEN(E527)-LEN(SUBSTITUTE(E527,"/",""))=1,(RIGHT(E527,LEN(E527)-FIND("/",E527)))-(LEFT(E527,FIND("/",E527)-1)),(MID(E527, SEARCH("/",E527) + 1, SEARCH("/",E527, SEARCH("/",E527)+1) - SEARCH("/",E527) - 1))-(LEFT(E527,FIND("/",E527)-1))), "NA"))</f>
        <v/>
      </c>
      <c r="K527" s="79">
        <f>IF(A527&lt;&gt;"", IF(ISBLANK(L527), TODAY(), K527), "")</f>
        <v/>
      </c>
      <c r="L527" s="78" t="n"/>
      <c r="M527" s="78">
        <f>IF(ISBLANK(L527),"",IF(D527="Stock",IF(C527="Buy",L527*G527,IF(C527="Sell",(L527*G527)-I527, X)),IF(C527="Buy",(L527*G527*100)+I527,IF(C527="Sell",(L527*G527*100)-I527, X))))</f>
        <v/>
      </c>
      <c r="N527" s="78">
        <f>IF(ISBLANK(L527),"",IF(AND(C527="Sell",D527="Stock"),M527,IF(ISBLANK(L527),"",IF(C527="Buy",M527, IF(AND(C527="Sell",J527="NA"),(E527*G527*100*0.1)+I527, IF(C527="Sell",(J527-L527)*(100*G527)+I527))))))</f>
        <v/>
      </c>
      <c r="O527" s="75" t="n"/>
      <c r="P527" s="75" t="n"/>
      <c r="Q527" s="75">
        <f>IF(ISBLANK(P527),"",IF(D527="Stock",P527*G527,IF(P527=0,"0",G527*P527*100-(G527*$AF$14))))</f>
        <v/>
      </c>
      <c r="R527" s="79">
        <f>IF(P527&lt;&gt;"", TODAY(), "")</f>
        <v/>
      </c>
      <c r="S527" s="78">
        <f>IF(AND(K527&lt;&gt;"", R527&lt;&gt;""), R527-K527, "")</f>
        <v/>
      </c>
      <c r="T527" s="78" t="n"/>
      <c r="U527" s="92">
        <f>IF(ISBLANK(P527),"",IF(C527="Buy",Q527-M527+T527, IF(C527="Sell",M527-Q527-T527, X)))</f>
        <v/>
      </c>
      <c r="V527" s="81">
        <f>IF(ISBLANK(P527),"",U527/N527)</f>
        <v/>
      </c>
      <c r="W527" s="81">
        <f>IF(ISBLANK(P527),"",IF(S527=0,(365/0.5)*V527,(365/S527)*V527))</f>
        <v/>
      </c>
      <c r="X527" s="75" t="n"/>
      <c r="Y527" s="77" t="n"/>
      <c r="Z527" s="77" t="n"/>
      <c r="AA527" s="75" t="n"/>
      <c r="AB527" s="75" t="n"/>
      <c r="AC527" s="6" t="n"/>
      <c r="AD527" s="75" t="n"/>
      <c r="AE527" s="75" t="n"/>
      <c r="AF527" s="75" t="n"/>
    </row>
    <row r="528" ht="15.75" customHeight="1" s="133">
      <c r="A528" s="75" t="n"/>
      <c r="B528" s="75" t="n"/>
      <c r="C528" s="75" t="n"/>
      <c r="D528" s="75" t="n"/>
      <c r="E528" s="76" t="n"/>
      <c r="F528" s="77" t="n"/>
      <c r="G528" s="75" t="n"/>
      <c r="H528" s="75">
        <f>IF(ISBLANK(E528),"",IF(OR(D528="Butterfly",D528="Butterfly ",D528="Iron Fly", D528="Iron Fly "),LEN(E528)-LEN(SUBSTITUTE(E528,"/",""))+2,LEN(E528)-LEN(SUBSTITUTE(E528,"/",""))+1))</f>
        <v/>
      </c>
      <c r="I528" s="78">
        <f>IF(ISBLANK(G528),"",IF(D528="Stock","0",Key!$A$3*H528*G528))</f>
        <v/>
      </c>
      <c r="J528" s="78">
        <f>IF(ISBLANK(E528),"",IF(ISNUMBER(SEARCH("/",E528)), IF(LEN(E528)-LEN(SUBSTITUTE(E528,"/",""))=1,(RIGHT(E528,LEN(E528)-FIND("/",E528)))-(LEFT(E528,FIND("/",E528)-1)),(MID(E528, SEARCH("/",E528) + 1, SEARCH("/",E528, SEARCH("/",E528)+1) - SEARCH("/",E528) - 1))-(LEFT(E528,FIND("/",E528)-1))), "NA"))</f>
        <v/>
      </c>
      <c r="K528" s="79">
        <f>IF(A528&lt;&gt;"", IF(ISBLANK(L528), TODAY(), K528), "")</f>
        <v/>
      </c>
      <c r="L528" s="78" t="n"/>
      <c r="M528" s="78">
        <f>IF(ISBLANK(L528),"",IF(D528="Stock",IF(C528="Buy",L528*G528,IF(C528="Sell",(L528*G528)-I528, X)),IF(C528="Buy",(L528*G528*100)+I528,IF(C528="Sell",(L528*G528*100)-I528, X))))</f>
        <v/>
      </c>
      <c r="N528" s="78">
        <f>IF(ISBLANK(L528),"",IF(AND(C528="Sell",D528="Stock"),M528,IF(ISBLANK(L528),"",IF(C528="Buy",M528, IF(AND(C528="Sell",J528="NA"),(E528*G528*100*0.1)+I528, IF(C528="Sell",(J528-L528)*(100*G528)+I528))))))</f>
        <v/>
      </c>
      <c r="O528" s="75" t="n"/>
      <c r="P528" s="75" t="n"/>
      <c r="Q528" s="75">
        <f>IF(ISBLANK(P528),"",IF(D528="Stock",P528*G528,IF(P528=0,"0",G528*P528*100-(G528*$AF$14))))</f>
        <v/>
      </c>
      <c r="R528" s="79">
        <f>IF(P528&lt;&gt;"", TODAY(), "")</f>
        <v/>
      </c>
      <c r="S528" s="78">
        <f>IF(AND(K528&lt;&gt;"", R528&lt;&gt;""), R528-K528, "")</f>
        <v/>
      </c>
      <c r="T528" s="78" t="n"/>
      <c r="U528" s="92">
        <f>IF(ISBLANK(P528),"",IF(C528="Buy",Q528-M528+T528, IF(C528="Sell",M528-Q528-T528, X)))</f>
        <v/>
      </c>
      <c r="V528" s="81">
        <f>IF(ISBLANK(P528),"",U528/N528)</f>
        <v/>
      </c>
      <c r="W528" s="81">
        <f>IF(ISBLANK(P528),"",IF(S528=0,(365/0.5)*V528,(365/S528)*V528))</f>
        <v/>
      </c>
      <c r="X528" s="75" t="n"/>
      <c r="Y528" s="77" t="n"/>
      <c r="Z528" s="77" t="n"/>
      <c r="AA528" s="75" t="n"/>
      <c r="AB528" s="75" t="n"/>
      <c r="AC528" s="6" t="n"/>
      <c r="AD528" s="75" t="n"/>
      <c r="AE528" s="75" t="n"/>
      <c r="AF528" s="75" t="n"/>
    </row>
    <row r="529" ht="15.75" customHeight="1" s="133">
      <c r="A529" s="75" t="n"/>
      <c r="B529" s="75" t="n"/>
      <c r="C529" s="75" t="n"/>
      <c r="D529" s="75" t="n"/>
      <c r="E529" s="76" t="n"/>
      <c r="F529" s="77" t="n"/>
      <c r="G529" s="75" t="n"/>
      <c r="H529" s="75">
        <f>IF(ISBLANK(E529),"",IF(OR(D529="Butterfly",D529="Butterfly ",D529="Iron Fly", D529="Iron Fly "),LEN(E529)-LEN(SUBSTITUTE(E529,"/",""))+2,LEN(E529)-LEN(SUBSTITUTE(E529,"/",""))+1))</f>
        <v/>
      </c>
      <c r="I529" s="78">
        <f>IF(ISBLANK(G529),"",IF(D529="Stock","0",Key!$A$3*H529*G529))</f>
        <v/>
      </c>
      <c r="J529" s="78">
        <f>IF(ISBLANK(E529),"",IF(ISNUMBER(SEARCH("/",E529)), IF(LEN(E529)-LEN(SUBSTITUTE(E529,"/",""))=1,(RIGHT(E529,LEN(E529)-FIND("/",E529)))-(LEFT(E529,FIND("/",E529)-1)),(MID(E529, SEARCH("/",E529) + 1, SEARCH("/",E529, SEARCH("/",E529)+1) - SEARCH("/",E529) - 1))-(LEFT(E529,FIND("/",E529)-1))), "NA"))</f>
        <v/>
      </c>
      <c r="K529" s="79">
        <f>IF(A529&lt;&gt;"", IF(ISBLANK(L529), TODAY(), K529), "")</f>
        <v/>
      </c>
      <c r="L529" s="78" t="n"/>
      <c r="M529" s="78">
        <f>IF(ISBLANK(L529),"",IF(D529="Stock",IF(C529="Buy",L529*G529,IF(C529="Sell",(L529*G529)-I529, X)),IF(C529="Buy",(L529*G529*100)+I529,IF(C529="Sell",(L529*G529*100)-I529, X))))</f>
        <v/>
      </c>
      <c r="N529" s="78">
        <f>IF(ISBLANK(L529),"",IF(AND(C529="Sell",D529="Stock"),M529,IF(ISBLANK(L529),"",IF(C529="Buy",M529, IF(AND(C529="Sell",J529="NA"),(E529*G529*100*0.1)+I529, IF(C529="Sell",(J529-L529)*(100*G529)+I529))))))</f>
        <v/>
      </c>
      <c r="O529" s="75" t="n"/>
      <c r="P529" s="75" t="n"/>
      <c r="Q529" s="75">
        <f>IF(ISBLANK(P529),"",IF(D529="Stock",P529*G529,IF(P529=0,"0",G529*P529*100-(G529*$AF$14))))</f>
        <v/>
      </c>
      <c r="R529" s="79">
        <f>IF(P529&lt;&gt;"", TODAY(), "")</f>
        <v/>
      </c>
      <c r="S529" s="78">
        <f>IF(AND(K529&lt;&gt;"", R529&lt;&gt;""), R529-K529, "")</f>
        <v/>
      </c>
      <c r="T529" s="78" t="n"/>
      <c r="U529" s="92">
        <f>IF(ISBLANK(P529),"",IF(C529="Buy",Q529-M529+T529, IF(C529="Sell",M529-Q529-T529, X)))</f>
        <v/>
      </c>
      <c r="V529" s="81">
        <f>IF(ISBLANK(P529),"",U529/N529)</f>
        <v/>
      </c>
      <c r="W529" s="81">
        <f>IF(ISBLANK(P529),"",IF(S529=0,(365/0.5)*V529,(365/S529)*V529))</f>
        <v/>
      </c>
      <c r="X529" s="75" t="n"/>
      <c r="Y529" s="77" t="n"/>
      <c r="Z529" s="77" t="n"/>
      <c r="AA529" s="75" t="n"/>
      <c r="AB529" s="75" t="n"/>
      <c r="AC529" s="6" t="n"/>
      <c r="AD529" s="75" t="n"/>
      <c r="AE529" s="75" t="n"/>
      <c r="AF529" s="75" t="n"/>
    </row>
    <row r="530" ht="15.75" customHeight="1" s="133">
      <c r="A530" s="75" t="n"/>
      <c r="B530" s="75" t="n"/>
      <c r="C530" s="75" t="n"/>
      <c r="D530" s="75" t="n"/>
      <c r="E530" s="76" t="n"/>
      <c r="F530" s="77" t="n"/>
      <c r="G530" s="75" t="n"/>
      <c r="H530" s="75">
        <f>IF(ISBLANK(E530),"",IF(OR(D530="Butterfly",D530="Butterfly ",D530="Iron Fly", D530="Iron Fly "),LEN(E530)-LEN(SUBSTITUTE(E530,"/",""))+2,LEN(E530)-LEN(SUBSTITUTE(E530,"/",""))+1))</f>
        <v/>
      </c>
      <c r="I530" s="78">
        <f>IF(ISBLANK(G530),"",IF(D530="Stock","0",Key!$A$3*H530*G530))</f>
        <v/>
      </c>
      <c r="J530" s="78">
        <f>IF(ISBLANK(E530),"",IF(ISNUMBER(SEARCH("/",E530)), IF(LEN(E530)-LEN(SUBSTITUTE(E530,"/",""))=1,(RIGHT(E530,LEN(E530)-FIND("/",E530)))-(LEFT(E530,FIND("/",E530)-1)),(MID(E530, SEARCH("/",E530) + 1, SEARCH("/",E530, SEARCH("/",E530)+1) - SEARCH("/",E530) - 1))-(LEFT(E530,FIND("/",E530)-1))), "NA"))</f>
        <v/>
      </c>
      <c r="K530" s="79">
        <f>IF(A530&lt;&gt;"", IF(ISBLANK(L530), TODAY(), K530), "")</f>
        <v/>
      </c>
      <c r="L530" s="78" t="n"/>
      <c r="M530" s="78">
        <f>IF(ISBLANK(L530),"",IF(D530="Stock",IF(C530="Buy",L530*G530,IF(C530="Sell",(L530*G530)-I530, X)),IF(C530="Buy",(L530*G530*100)+I530,IF(C530="Sell",(L530*G530*100)-I530, X))))</f>
        <v/>
      </c>
      <c r="N530" s="78">
        <f>IF(ISBLANK(L530),"",IF(AND(C530="Sell",D530="Stock"),M530,IF(ISBLANK(L530),"",IF(C530="Buy",M530, IF(AND(C530="Sell",J530="NA"),(E530*G530*100*0.1)+I530, IF(C530="Sell",(J530-L530)*(100*G530)+I530))))))</f>
        <v/>
      </c>
      <c r="O530" s="75" t="n"/>
      <c r="P530" s="75" t="n"/>
      <c r="Q530" s="75">
        <f>IF(ISBLANK(P530),"",IF(D530="Stock",P530*G530,IF(P530=0,"0",G530*P530*100-(G530*$AF$14))))</f>
        <v/>
      </c>
      <c r="R530" s="79">
        <f>IF(P530&lt;&gt;"", TODAY(), "")</f>
        <v/>
      </c>
      <c r="S530" s="78">
        <f>IF(AND(K530&lt;&gt;"", R530&lt;&gt;""), R530-K530, "")</f>
        <v/>
      </c>
      <c r="T530" s="78" t="n"/>
      <c r="U530" s="92">
        <f>IF(ISBLANK(P530),"",IF(C530="Buy",Q530-M530+T530, IF(C530="Sell",M530-Q530-T530, X)))</f>
        <v/>
      </c>
      <c r="V530" s="81">
        <f>IF(ISBLANK(P530),"",U530/N530)</f>
        <v/>
      </c>
      <c r="W530" s="81">
        <f>IF(ISBLANK(P530),"",IF(S530=0,(365/0.5)*V530,(365/S530)*V530))</f>
        <v/>
      </c>
      <c r="X530" s="75" t="n"/>
      <c r="Y530" s="77" t="n"/>
      <c r="Z530" s="77" t="n"/>
      <c r="AA530" s="75" t="n"/>
      <c r="AB530" s="75" t="n"/>
      <c r="AC530" s="6" t="n"/>
      <c r="AD530" s="75" t="n"/>
      <c r="AE530" s="75" t="n"/>
      <c r="AF530" s="75" t="n"/>
    </row>
    <row r="531" ht="15.75" customHeight="1" s="133">
      <c r="A531" s="75" t="n"/>
      <c r="B531" s="75" t="n"/>
      <c r="C531" s="75" t="n"/>
      <c r="D531" s="75" t="n"/>
      <c r="E531" s="76" t="n"/>
      <c r="F531" s="77" t="n"/>
      <c r="G531" s="75" t="n"/>
      <c r="H531" s="75">
        <f>IF(ISBLANK(E531),"",IF(OR(D531="Butterfly",D531="Butterfly ",D531="Iron Fly", D531="Iron Fly "),LEN(E531)-LEN(SUBSTITUTE(E531,"/",""))+2,LEN(E531)-LEN(SUBSTITUTE(E531,"/",""))+1))</f>
        <v/>
      </c>
      <c r="I531" s="78">
        <f>IF(ISBLANK(G531),"",IF(D531="Stock","0",Key!$A$3*H531*G531))</f>
        <v/>
      </c>
      <c r="J531" s="78">
        <f>IF(ISBLANK(E531),"",IF(ISNUMBER(SEARCH("/",E531)), IF(LEN(E531)-LEN(SUBSTITUTE(E531,"/",""))=1,(RIGHT(E531,LEN(E531)-FIND("/",E531)))-(LEFT(E531,FIND("/",E531)-1)),(MID(E531, SEARCH("/",E531) + 1, SEARCH("/",E531, SEARCH("/",E531)+1) - SEARCH("/",E531) - 1))-(LEFT(E531,FIND("/",E531)-1))), "NA"))</f>
        <v/>
      </c>
      <c r="K531" s="79">
        <f>IF(A531&lt;&gt;"", IF(ISBLANK(L531), TODAY(), K531), "")</f>
        <v/>
      </c>
      <c r="L531" s="78" t="n"/>
      <c r="M531" s="78">
        <f>IF(ISBLANK(L531),"",IF(D531="Stock",IF(C531="Buy",L531*G531,IF(C531="Sell",(L531*G531)-I531, X)),IF(C531="Buy",(L531*G531*100)+I531,IF(C531="Sell",(L531*G531*100)-I531, X))))</f>
        <v/>
      </c>
      <c r="N531" s="78">
        <f>IF(ISBLANK(L531),"",IF(AND(C531="Sell",D531="Stock"),M531,IF(ISBLANK(L531),"",IF(C531="Buy",M531, IF(AND(C531="Sell",J531="NA"),(E531*G531*100*0.1)+I531, IF(C531="Sell",(J531-L531)*(100*G531)+I531))))))</f>
        <v/>
      </c>
      <c r="O531" s="75" t="n"/>
      <c r="P531" s="75" t="n"/>
      <c r="Q531" s="75">
        <f>IF(ISBLANK(P531),"",IF(D531="Stock",P531*G531,IF(P531=0,"0",G531*P531*100-(G531*$AF$14))))</f>
        <v/>
      </c>
      <c r="R531" s="79">
        <f>IF(P531&lt;&gt;"", TODAY(), "")</f>
        <v/>
      </c>
      <c r="S531" s="78">
        <f>IF(AND(K531&lt;&gt;"", R531&lt;&gt;""), R531-K531, "")</f>
        <v/>
      </c>
      <c r="T531" s="78" t="n"/>
      <c r="U531" s="92">
        <f>IF(ISBLANK(P531),"",IF(C531="Buy",Q531-M531+T531, IF(C531="Sell",M531-Q531-T531, X)))</f>
        <v/>
      </c>
      <c r="V531" s="81">
        <f>IF(ISBLANK(P531),"",U531/N531)</f>
        <v/>
      </c>
      <c r="W531" s="81">
        <f>IF(ISBLANK(P531),"",IF(S531=0,(365/0.5)*V531,(365/S531)*V531))</f>
        <v/>
      </c>
      <c r="X531" s="75" t="n"/>
      <c r="Y531" s="77" t="n"/>
      <c r="Z531" s="77" t="n"/>
      <c r="AA531" s="75" t="n"/>
      <c r="AB531" s="75" t="n"/>
      <c r="AC531" s="6" t="n"/>
      <c r="AD531" s="75" t="n"/>
      <c r="AE531" s="75" t="n"/>
      <c r="AF531" s="75" t="n"/>
    </row>
    <row r="532" ht="15.75" customHeight="1" s="133">
      <c r="A532" s="75" t="n"/>
      <c r="B532" s="75" t="n"/>
      <c r="C532" s="75" t="n"/>
      <c r="D532" s="75" t="n"/>
      <c r="E532" s="76" t="n"/>
      <c r="F532" s="77" t="n"/>
      <c r="G532" s="75" t="n"/>
      <c r="H532" s="75">
        <f>IF(ISBLANK(E532),"",IF(OR(D532="Butterfly",D532="Butterfly ",D532="Iron Fly", D532="Iron Fly "),LEN(E532)-LEN(SUBSTITUTE(E532,"/",""))+2,LEN(E532)-LEN(SUBSTITUTE(E532,"/",""))+1))</f>
        <v/>
      </c>
      <c r="I532" s="78">
        <f>IF(ISBLANK(G532),"",IF(D532="Stock","0",Key!$A$3*H532*G532))</f>
        <v/>
      </c>
      <c r="J532" s="78">
        <f>IF(ISBLANK(E532),"",IF(ISNUMBER(SEARCH("/",E532)), IF(LEN(E532)-LEN(SUBSTITUTE(E532,"/",""))=1,(RIGHT(E532,LEN(E532)-FIND("/",E532)))-(LEFT(E532,FIND("/",E532)-1)),(MID(E532, SEARCH("/",E532) + 1, SEARCH("/",E532, SEARCH("/",E532)+1) - SEARCH("/",E532) - 1))-(LEFT(E532,FIND("/",E532)-1))), "NA"))</f>
        <v/>
      </c>
      <c r="K532" s="79">
        <f>IF(A532&lt;&gt;"", IF(ISBLANK(L532), TODAY(), K532), "")</f>
        <v/>
      </c>
      <c r="L532" s="78" t="n"/>
      <c r="M532" s="78">
        <f>IF(ISBLANK(L532),"",IF(D532="Stock",IF(C532="Buy",L532*G532,IF(C532="Sell",(L532*G532)-I532, X)),IF(C532="Buy",(L532*G532*100)+I532,IF(C532="Sell",(L532*G532*100)-I532, X))))</f>
        <v/>
      </c>
      <c r="N532" s="78">
        <f>IF(ISBLANK(L532),"",IF(AND(C532="Sell",D532="Stock"),M532,IF(ISBLANK(L532),"",IF(C532="Buy",M532, IF(AND(C532="Sell",J532="NA"),(E532*G532*100*0.1)+I532, IF(C532="Sell",(J532-L532)*(100*G532)+I532))))))</f>
        <v/>
      </c>
      <c r="O532" s="75" t="n"/>
      <c r="P532" s="75" t="n"/>
      <c r="Q532" s="75">
        <f>IF(ISBLANK(P532),"",IF(D532="Stock",P532*G532,IF(P532=0,"0",G532*P532*100-(G532*$AF$14))))</f>
        <v/>
      </c>
      <c r="R532" s="79">
        <f>IF(P532&lt;&gt;"", TODAY(), "")</f>
        <v/>
      </c>
      <c r="S532" s="78">
        <f>IF(AND(K532&lt;&gt;"", R532&lt;&gt;""), R532-K532, "")</f>
        <v/>
      </c>
      <c r="T532" s="78" t="n"/>
      <c r="U532" s="92">
        <f>IF(ISBLANK(P532),"",IF(C532="Buy",Q532-M532+T532, IF(C532="Sell",M532-Q532-T532, X)))</f>
        <v/>
      </c>
      <c r="V532" s="81">
        <f>IF(ISBLANK(P532),"",U532/N532)</f>
        <v/>
      </c>
      <c r="W532" s="81">
        <f>IF(ISBLANK(P532),"",IF(S532=0,(365/0.5)*V532,(365/S532)*V532))</f>
        <v/>
      </c>
      <c r="X532" s="75" t="n"/>
      <c r="Y532" s="77" t="n"/>
      <c r="Z532" s="77" t="n"/>
      <c r="AA532" s="75" t="n"/>
      <c r="AB532" s="75" t="n"/>
      <c r="AC532" s="6" t="n"/>
      <c r="AD532" s="75" t="n"/>
      <c r="AE532" s="75" t="n"/>
      <c r="AF532" s="75" t="n"/>
    </row>
    <row r="533" ht="15.75" customHeight="1" s="133">
      <c r="A533" s="75" t="n"/>
      <c r="B533" s="75" t="n"/>
      <c r="C533" s="75" t="n"/>
      <c r="D533" s="75" t="n"/>
      <c r="E533" s="76" t="n"/>
      <c r="F533" s="77" t="n"/>
      <c r="G533" s="75" t="n"/>
      <c r="H533" s="75">
        <f>IF(ISBLANK(E533),"",IF(OR(D533="Butterfly",D533="Butterfly ",D533="Iron Fly", D533="Iron Fly "),LEN(E533)-LEN(SUBSTITUTE(E533,"/",""))+2,LEN(E533)-LEN(SUBSTITUTE(E533,"/",""))+1))</f>
        <v/>
      </c>
      <c r="I533" s="78">
        <f>IF(ISBLANK(G533),"",IF(D533="Stock","0",Key!$A$3*H533*G533))</f>
        <v/>
      </c>
      <c r="J533" s="78">
        <f>IF(ISBLANK(E533),"",IF(ISNUMBER(SEARCH("/",E533)), IF(LEN(E533)-LEN(SUBSTITUTE(E533,"/",""))=1,(RIGHT(E533,LEN(E533)-FIND("/",E533)))-(LEFT(E533,FIND("/",E533)-1)),(MID(E533, SEARCH("/",E533) + 1, SEARCH("/",E533, SEARCH("/",E533)+1) - SEARCH("/",E533) - 1))-(LEFT(E533,FIND("/",E533)-1))), "NA"))</f>
        <v/>
      </c>
      <c r="K533" s="79">
        <f>IF(A533&lt;&gt;"", IF(ISBLANK(L533), TODAY(), K533), "")</f>
        <v/>
      </c>
      <c r="L533" s="78" t="n"/>
      <c r="M533" s="78">
        <f>IF(ISBLANK(L533),"",IF(D533="Stock",IF(C533="Buy",L533*G533,IF(C533="Sell",(L533*G533)-I533, X)),IF(C533="Buy",(L533*G533*100)+I533,IF(C533="Sell",(L533*G533*100)-I533, X))))</f>
        <v/>
      </c>
      <c r="N533" s="78">
        <f>IF(ISBLANK(L533),"",IF(AND(C533="Sell",D533="Stock"),M533,IF(ISBLANK(L533),"",IF(C533="Buy",M533, IF(AND(C533="Sell",J533="NA"),(E533*G533*100*0.1)+I533, IF(C533="Sell",(J533-L533)*(100*G533)+I533))))))</f>
        <v/>
      </c>
      <c r="O533" s="75" t="n"/>
      <c r="P533" s="75" t="n"/>
      <c r="Q533" s="75">
        <f>IF(ISBLANK(P533),"",IF(D533="Stock",P533*G533,IF(P533=0,"0",G533*P533*100-(G533*$AF$14))))</f>
        <v/>
      </c>
      <c r="R533" s="79">
        <f>IF(P533&lt;&gt;"", TODAY(), "")</f>
        <v/>
      </c>
      <c r="S533" s="78">
        <f>IF(AND(K533&lt;&gt;"", R533&lt;&gt;""), R533-K533, "")</f>
        <v/>
      </c>
      <c r="T533" s="78" t="n"/>
      <c r="U533" s="92">
        <f>IF(ISBLANK(P533),"",IF(C533="Buy",Q533-M533+T533, IF(C533="Sell",M533-Q533-T533, X)))</f>
        <v/>
      </c>
      <c r="V533" s="81">
        <f>IF(ISBLANK(P533),"",U533/N533)</f>
        <v/>
      </c>
      <c r="W533" s="81">
        <f>IF(ISBLANK(P533),"",IF(S533=0,(365/0.5)*V533,(365/S533)*V533))</f>
        <v/>
      </c>
      <c r="X533" s="75" t="n"/>
      <c r="Y533" s="77" t="n"/>
      <c r="Z533" s="77" t="n"/>
      <c r="AA533" s="75" t="n"/>
      <c r="AB533" s="75" t="n"/>
      <c r="AC533" s="6" t="n"/>
      <c r="AD533" s="75" t="n"/>
      <c r="AE533" s="75" t="n"/>
      <c r="AF533" s="75" t="n"/>
    </row>
    <row r="534" ht="15.75" customHeight="1" s="133">
      <c r="A534" s="75" t="n"/>
      <c r="B534" s="75" t="n"/>
      <c r="C534" s="75" t="n"/>
      <c r="D534" s="75" t="n"/>
      <c r="E534" s="76" t="n"/>
      <c r="F534" s="77" t="n"/>
      <c r="G534" s="75" t="n"/>
      <c r="H534" s="75">
        <f>IF(ISBLANK(E534),"",IF(OR(D534="Butterfly",D534="Butterfly ",D534="Iron Fly", D534="Iron Fly "),LEN(E534)-LEN(SUBSTITUTE(E534,"/",""))+2,LEN(E534)-LEN(SUBSTITUTE(E534,"/",""))+1))</f>
        <v/>
      </c>
      <c r="I534" s="78">
        <f>IF(ISBLANK(G534),"",IF(D534="Stock","0",Key!$A$3*H534*G534))</f>
        <v/>
      </c>
      <c r="J534" s="78">
        <f>IF(ISBLANK(E534),"",IF(ISNUMBER(SEARCH("/",E534)), IF(LEN(E534)-LEN(SUBSTITUTE(E534,"/",""))=1,(RIGHT(E534,LEN(E534)-FIND("/",E534)))-(LEFT(E534,FIND("/",E534)-1)),(MID(E534, SEARCH("/",E534) + 1, SEARCH("/",E534, SEARCH("/",E534)+1) - SEARCH("/",E534) - 1))-(LEFT(E534,FIND("/",E534)-1))), "NA"))</f>
        <v/>
      </c>
      <c r="K534" s="79">
        <f>IF(A534&lt;&gt;"", IF(ISBLANK(L534), TODAY(), K534), "")</f>
        <v/>
      </c>
      <c r="L534" s="78" t="n"/>
      <c r="M534" s="78">
        <f>IF(ISBLANK(L534),"",IF(D534="Stock",IF(C534="Buy",L534*G534,IF(C534="Sell",(L534*G534)-I534, X)),IF(C534="Buy",(L534*G534*100)+I534,IF(C534="Sell",(L534*G534*100)-I534, X))))</f>
        <v/>
      </c>
      <c r="N534" s="78">
        <f>IF(ISBLANK(L534),"",IF(AND(C534="Sell",D534="Stock"),M534,IF(ISBLANK(L534),"",IF(C534="Buy",M534, IF(AND(C534="Sell",J534="NA"),(E534*G534*100*0.1)+I534, IF(C534="Sell",(J534-L534)*(100*G534)+I534))))))</f>
        <v/>
      </c>
      <c r="O534" s="75" t="n"/>
      <c r="P534" s="75" t="n"/>
      <c r="Q534" s="75">
        <f>IF(ISBLANK(P534),"",IF(D534="Stock",P534*G534,IF(P534=0,"0",G534*P534*100-(G534*$AF$14))))</f>
        <v/>
      </c>
      <c r="R534" s="79">
        <f>IF(P534&lt;&gt;"", TODAY(), "")</f>
        <v/>
      </c>
      <c r="S534" s="78">
        <f>IF(AND(K534&lt;&gt;"", R534&lt;&gt;""), R534-K534, "")</f>
        <v/>
      </c>
      <c r="T534" s="78" t="n"/>
      <c r="U534" s="92">
        <f>IF(ISBLANK(P534),"",IF(C534="Buy",Q534-M534+T534, IF(C534="Sell",M534-Q534-T534, X)))</f>
        <v/>
      </c>
      <c r="V534" s="81">
        <f>IF(ISBLANK(P534),"",U534/N534)</f>
        <v/>
      </c>
      <c r="W534" s="81">
        <f>IF(ISBLANK(P534),"",IF(S534=0,(365/0.5)*V534,(365/S534)*V534))</f>
        <v/>
      </c>
      <c r="X534" s="75" t="n"/>
      <c r="Y534" s="77" t="n"/>
      <c r="Z534" s="77" t="n"/>
      <c r="AA534" s="75" t="n"/>
      <c r="AB534" s="75" t="n"/>
      <c r="AC534" s="6" t="n"/>
      <c r="AD534" s="75" t="n"/>
      <c r="AE534" s="75" t="n"/>
      <c r="AF534" s="75" t="n"/>
    </row>
    <row r="535" ht="15.75" customHeight="1" s="133">
      <c r="A535" s="75" t="n"/>
      <c r="B535" s="75" t="n"/>
      <c r="C535" s="75" t="n"/>
      <c r="D535" s="75" t="n"/>
      <c r="E535" s="76" t="n"/>
      <c r="F535" s="77" t="n"/>
      <c r="G535" s="75" t="n"/>
      <c r="H535" s="75">
        <f>IF(ISBLANK(E535),"",IF(OR(D535="Butterfly",D535="Butterfly ",D535="Iron Fly", D535="Iron Fly "),LEN(E535)-LEN(SUBSTITUTE(E535,"/",""))+2,LEN(E535)-LEN(SUBSTITUTE(E535,"/",""))+1))</f>
        <v/>
      </c>
      <c r="I535" s="78">
        <f>IF(ISBLANK(G535),"",IF(D535="Stock","0",Key!$A$3*H535*G535))</f>
        <v/>
      </c>
      <c r="J535" s="78">
        <f>IF(ISBLANK(E535),"",IF(ISNUMBER(SEARCH("/",E535)), IF(LEN(E535)-LEN(SUBSTITUTE(E535,"/",""))=1,(RIGHT(E535,LEN(E535)-FIND("/",E535)))-(LEFT(E535,FIND("/",E535)-1)),(MID(E535, SEARCH("/",E535) + 1, SEARCH("/",E535, SEARCH("/",E535)+1) - SEARCH("/",E535) - 1))-(LEFT(E535,FIND("/",E535)-1))), "NA"))</f>
        <v/>
      </c>
      <c r="K535" s="79">
        <f>IF(A535&lt;&gt;"", IF(ISBLANK(L535), TODAY(), K535), "")</f>
        <v/>
      </c>
      <c r="L535" s="78" t="n"/>
      <c r="M535" s="78">
        <f>IF(ISBLANK(L535),"",IF(D535="Stock",IF(C535="Buy",L535*G535,IF(C535="Sell",(L535*G535)-I535, X)),IF(C535="Buy",(L535*G535*100)+I535,IF(C535="Sell",(L535*G535*100)-I535, X))))</f>
        <v/>
      </c>
      <c r="N535" s="78">
        <f>IF(ISBLANK(L535),"",IF(AND(C535="Sell",D535="Stock"),M535,IF(ISBLANK(L535),"",IF(C535="Buy",M535, IF(AND(C535="Sell",J535="NA"),(E535*G535*100*0.1)+I535, IF(C535="Sell",(J535-L535)*(100*G535)+I535))))))</f>
        <v/>
      </c>
      <c r="O535" s="75" t="n"/>
      <c r="P535" s="75" t="n"/>
      <c r="Q535" s="75">
        <f>IF(ISBLANK(P535),"",IF(D535="Stock",P535*G535,IF(P535=0,"0",G535*P535*100-(G535*$AF$14))))</f>
        <v/>
      </c>
      <c r="R535" s="79">
        <f>IF(P535&lt;&gt;"", TODAY(), "")</f>
        <v/>
      </c>
      <c r="S535" s="78">
        <f>IF(AND(K535&lt;&gt;"", R535&lt;&gt;""), R535-K535, "")</f>
        <v/>
      </c>
      <c r="T535" s="78" t="n"/>
      <c r="U535" s="92">
        <f>IF(ISBLANK(P535),"",IF(C535="Buy",Q535-M535+T535, IF(C535="Sell",M535-Q535-T535, X)))</f>
        <v/>
      </c>
      <c r="V535" s="81">
        <f>IF(ISBLANK(P535),"",U535/N535)</f>
        <v/>
      </c>
      <c r="W535" s="81">
        <f>IF(ISBLANK(P535),"",IF(S535=0,(365/0.5)*V535,(365/S535)*V535))</f>
        <v/>
      </c>
      <c r="X535" s="75" t="n"/>
      <c r="Y535" s="77" t="n"/>
      <c r="Z535" s="77" t="n"/>
      <c r="AA535" s="75" t="n"/>
      <c r="AB535" s="75" t="n"/>
      <c r="AC535" s="6" t="n"/>
      <c r="AD535" s="75" t="n"/>
      <c r="AE535" s="75" t="n"/>
      <c r="AF535" s="75" t="n"/>
    </row>
    <row r="536" ht="15.75" customHeight="1" s="133">
      <c r="A536" s="75" t="n"/>
      <c r="B536" s="75" t="n"/>
      <c r="C536" s="75" t="n"/>
      <c r="D536" s="75" t="n"/>
      <c r="E536" s="76" t="n"/>
      <c r="F536" s="77" t="n"/>
      <c r="G536" s="75" t="n"/>
      <c r="H536" s="75">
        <f>IF(ISBLANK(E536),"",IF(OR(D536="Butterfly",D536="Butterfly ",D536="Iron Fly", D536="Iron Fly "),LEN(E536)-LEN(SUBSTITUTE(E536,"/",""))+2,LEN(E536)-LEN(SUBSTITUTE(E536,"/",""))+1))</f>
        <v/>
      </c>
      <c r="I536" s="78">
        <f>IF(ISBLANK(G536),"",IF(D536="Stock","0",Key!$A$3*H536*G536))</f>
        <v/>
      </c>
      <c r="J536" s="78">
        <f>IF(ISBLANK(E536),"",IF(ISNUMBER(SEARCH("/",E536)), IF(LEN(E536)-LEN(SUBSTITUTE(E536,"/",""))=1,(RIGHT(E536,LEN(E536)-FIND("/",E536)))-(LEFT(E536,FIND("/",E536)-1)),(MID(E536, SEARCH("/",E536) + 1, SEARCH("/",E536, SEARCH("/",E536)+1) - SEARCH("/",E536) - 1))-(LEFT(E536,FIND("/",E536)-1))), "NA"))</f>
        <v/>
      </c>
      <c r="K536" s="79">
        <f>IF(A536&lt;&gt;"", IF(ISBLANK(L536), TODAY(), K536), "")</f>
        <v/>
      </c>
      <c r="L536" s="78" t="n"/>
      <c r="M536" s="78">
        <f>IF(ISBLANK(L536),"",IF(D536="Stock",IF(C536="Buy",L536*G536,IF(C536="Sell",(L536*G536)-I536, X)),IF(C536="Buy",(L536*G536*100)+I536,IF(C536="Sell",(L536*G536*100)-I536, X))))</f>
        <v/>
      </c>
      <c r="N536" s="78">
        <f>IF(ISBLANK(L536),"",IF(AND(C536="Sell",D536="Stock"),M536,IF(ISBLANK(L536),"",IF(C536="Buy",M536, IF(AND(C536="Sell",J536="NA"),(E536*G536*100*0.1)+I536, IF(C536="Sell",(J536-L536)*(100*G536)+I536))))))</f>
        <v/>
      </c>
      <c r="O536" s="75" t="n"/>
      <c r="P536" s="75" t="n"/>
      <c r="Q536" s="75">
        <f>IF(ISBLANK(P536),"",IF(D536="Stock",P536*G536,IF(P536=0,"0",G536*P536*100-(G536*$AF$14))))</f>
        <v/>
      </c>
      <c r="R536" s="79">
        <f>IF(P536&lt;&gt;"", TODAY(), "")</f>
        <v/>
      </c>
      <c r="S536" s="78">
        <f>IF(AND(K536&lt;&gt;"", R536&lt;&gt;""), R536-K536, "")</f>
        <v/>
      </c>
      <c r="T536" s="78" t="n"/>
      <c r="U536" s="92">
        <f>IF(ISBLANK(P536),"",IF(C536="Buy",Q536-M536+T536, IF(C536="Sell",M536-Q536-T536, X)))</f>
        <v/>
      </c>
      <c r="V536" s="81">
        <f>IF(ISBLANK(P536),"",U536/N536)</f>
        <v/>
      </c>
      <c r="W536" s="81">
        <f>IF(ISBLANK(P536),"",IF(S536=0,(365/0.5)*V536,(365/S536)*V536))</f>
        <v/>
      </c>
      <c r="X536" s="75" t="n"/>
      <c r="Y536" s="77" t="n"/>
      <c r="Z536" s="77" t="n"/>
      <c r="AA536" s="75" t="n"/>
      <c r="AB536" s="75" t="n"/>
      <c r="AC536" s="6" t="n"/>
      <c r="AD536" s="75" t="n"/>
      <c r="AE536" s="75" t="n"/>
      <c r="AF536" s="75" t="n"/>
    </row>
    <row r="537" ht="15.75" customHeight="1" s="133">
      <c r="A537" s="75" t="n"/>
      <c r="B537" s="75" t="n"/>
      <c r="C537" s="75" t="n"/>
      <c r="D537" s="75" t="n"/>
      <c r="E537" s="76" t="n"/>
      <c r="F537" s="77" t="n"/>
      <c r="G537" s="75" t="n"/>
      <c r="H537" s="75">
        <f>IF(ISBLANK(E537),"",IF(OR(D537="Butterfly",D537="Butterfly ",D537="Iron Fly", D537="Iron Fly "),LEN(E537)-LEN(SUBSTITUTE(E537,"/",""))+2,LEN(E537)-LEN(SUBSTITUTE(E537,"/",""))+1))</f>
        <v/>
      </c>
      <c r="I537" s="78">
        <f>IF(ISBLANK(G537),"",IF(D537="Stock","0",Key!$A$3*H537*G537))</f>
        <v/>
      </c>
      <c r="J537" s="78">
        <f>IF(ISBLANK(E537),"",IF(ISNUMBER(SEARCH("/",E537)), IF(LEN(E537)-LEN(SUBSTITUTE(E537,"/",""))=1,(RIGHT(E537,LEN(E537)-FIND("/",E537)))-(LEFT(E537,FIND("/",E537)-1)),(MID(E537, SEARCH("/",E537) + 1, SEARCH("/",E537, SEARCH("/",E537)+1) - SEARCH("/",E537) - 1))-(LEFT(E537,FIND("/",E537)-1))), "NA"))</f>
        <v/>
      </c>
      <c r="K537" s="79">
        <f>IF(A537&lt;&gt;"", IF(ISBLANK(L537), TODAY(), K537), "")</f>
        <v/>
      </c>
      <c r="L537" s="78" t="n"/>
      <c r="M537" s="78">
        <f>IF(ISBLANK(L537),"",IF(D537="Stock",IF(C537="Buy",L537*G537,IF(C537="Sell",(L537*G537)-I537, X)),IF(C537="Buy",(L537*G537*100)+I537,IF(C537="Sell",(L537*G537*100)-I537, X))))</f>
        <v/>
      </c>
      <c r="N537" s="78">
        <f>IF(ISBLANK(L537),"",IF(AND(C537="Sell",D537="Stock"),M537,IF(ISBLANK(L537),"",IF(C537="Buy",M537, IF(AND(C537="Sell",J537="NA"),(E537*G537*100*0.1)+I537, IF(C537="Sell",(J537-L537)*(100*G537)+I537))))))</f>
        <v/>
      </c>
      <c r="O537" s="75" t="n"/>
      <c r="P537" s="75" t="n"/>
      <c r="Q537" s="75">
        <f>IF(ISBLANK(P537),"",IF(D537="Stock",P537*G537,IF(P537=0,"0",G537*P537*100-(G537*$AF$14))))</f>
        <v/>
      </c>
      <c r="R537" s="79">
        <f>IF(P537&lt;&gt;"", TODAY(), "")</f>
        <v/>
      </c>
      <c r="S537" s="78">
        <f>IF(AND(K537&lt;&gt;"", R537&lt;&gt;""), R537-K537, "")</f>
        <v/>
      </c>
      <c r="T537" s="78" t="n"/>
      <c r="U537" s="92">
        <f>IF(ISBLANK(P537),"",IF(C537="Buy",Q537-M537+T537, IF(C537="Sell",M537-Q537-T537, X)))</f>
        <v/>
      </c>
      <c r="V537" s="81">
        <f>IF(ISBLANK(P537),"",U537/N537)</f>
        <v/>
      </c>
      <c r="W537" s="81">
        <f>IF(ISBLANK(P537),"",IF(S537=0,(365/0.5)*V537,(365/S537)*V537))</f>
        <v/>
      </c>
      <c r="X537" s="75" t="n"/>
      <c r="Y537" s="77" t="n"/>
      <c r="Z537" s="77" t="n"/>
      <c r="AA537" s="75" t="n"/>
      <c r="AB537" s="75" t="n"/>
      <c r="AC537" s="6" t="n"/>
      <c r="AD537" s="75" t="n"/>
      <c r="AE537" s="75" t="n"/>
      <c r="AF537" s="75" t="n"/>
    </row>
    <row r="538" ht="15.75" customHeight="1" s="133">
      <c r="A538" s="75" t="n"/>
      <c r="B538" s="75" t="n"/>
      <c r="C538" s="75" t="n"/>
      <c r="D538" s="75" t="n"/>
      <c r="E538" s="76" t="n"/>
      <c r="F538" s="77" t="n"/>
      <c r="G538" s="75" t="n"/>
      <c r="H538" s="75">
        <f>IF(ISBLANK(E538),"",IF(OR(D538="Butterfly",D538="Butterfly ",D538="Iron Fly", D538="Iron Fly "),LEN(E538)-LEN(SUBSTITUTE(E538,"/",""))+2,LEN(E538)-LEN(SUBSTITUTE(E538,"/",""))+1))</f>
        <v/>
      </c>
      <c r="I538" s="78">
        <f>IF(ISBLANK(G538),"",IF(D538="Stock","0",Key!$A$3*H538*G538))</f>
        <v/>
      </c>
      <c r="J538" s="78">
        <f>IF(ISBLANK(E538),"",IF(ISNUMBER(SEARCH("/",E538)), IF(LEN(E538)-LEN(SUBSTITUTE(E538,"/",""))=1,(RIGHT(E538,LEN(E538)-FIND("/",E538)))-(LEFT(E538,FIND("/",E538)-1)),(MID(E538, SEARCH("/",E538) + 1, SEARCH("/",E538, SEARCH("/",E538)+1) - SEARCH("/",E538) - 1))-(LEFT(E538,FIND("/",E538)-1))), "NA"))</f>
        <v/>
      </c>
      <c r="K538" s="79">
        <f>IF(A538&lt;&gt;"", IF(ISBLANK(L538), TODAY(), K538), "")</f>
        <v/>
      </c>
      <c r="L538" s="78" t="n"/>
      <c r="M538" s="78">
        <f>IF(ISBLANK(L538),"",IF(D538="Stock",IF(C538="Buy",L538*G538,IF(C538="Sell",(L538*G538)-I538, X)),IF(C538="Buy",(L538*G538*100)+I538,IF(C538="Sell",(L538*G538*100)-I538, X))))</f>
        <v/>
      </c>
      <c r="N538" s="78">
        <f>IF(ISBLANK(L538),"",IF(AND(C538="Sell",D538="Stock"),M538,IF(ISBLANK(L538),"",IF(C538="Buy",M538, IF(AND(C538="Sell",J538="NA"),(E538*G538*100*0.1)+I538, IF(C538="Sell",(J538-L538)*(100*G538)+I538))))))</f>
        <v/>
      </c>
      <c r="O538" s="75" t="n"/>
      <c r="P538" s="75" t="n"/>
      <c r="Q538" s="75">
        <f>IF(ISBLANK(P538),"",IF(D538="Stock",P538*G538,IF(P538=0,"0",G538*P538*100-(G538*$AF$14))))</f>
        <v/>
      </c>
      <c r="R538" s="79">
        <f>IF(P538&lt;&gt;"", TODAY(), "")</f>
        <v/>
      </c>
      <c r="S538" s="78">
        <f>IF(AND(K538&lt;&gt;"", R538&lt;&gt;""), R538-K538, "")</f>
        <v/>
      </c>
      <c r="T538" s="78" t="n"/>
      <c r="U538" s="92">
        <f>IF(ISBLANK(P538),"",IF(C538="Buy",Q538-M538+T538, IF(C538="Sell",M538-Q538-T538, X)))</f>
        <v/>
      </c>
      <c r="V538" s="81">
        <f>IF(ISBLANK(P538),"",U538/N538)</f>
        <v/>
      </c>
      <c r="W538" s="81">
        <f>IF(ISBLANK(P538),"",IF(S538=0,(365/0.5)*V538,(365/S538)*V538))</f>
        <v/>
      </c>
      <c r="X538" s="75" t="n"/>
      <c r="Y538" s="77" t="n"/>
      <c r="Z538" s="77" t="n"/>
      <c r="AA538" s="75" t="n"/>
      <c r="AB538" s="75" t="n"/>
      <c r="AC538" s="6" t="n"/>
      <c r="AD538" s="75" t="n"/>
      <c r="AE538" s="75" t="n"/>
      <c r="AF538" s="75" t="n"/>
    </row>
    <row r="539" ht="15.75" customHeight="1" s="133">
      <c r="A539" s="75" t="n"/>
      <c r="B539" s="75" t="n"/>
      <c r="C539" s="75" t="n"/>
      <c r="D539" s="75" t="n"/>
      <c r="E539" s="76" t="n"/>
      <c r="F539" s="77" t="n"/>
      <c r="G539" s="75" t="n"/>
      <c r="H539" s="75">
        <f>IF(ISBLANK(E539),"",IF(OR(D539="Butterfly",D539="Butterfly ",D539="Iron Fly", D539="Iron Fly "),LEN(E539)-LEN(SUBSTITUTE(E539,"/",""))+2,LEN(E539)-LEN(SUBSTITUTE(E539,"/",""))+1))</f>
        <v/>
      </c>
      <c r="I539" s="78">
        <f>IF(ISBLANK(G539),"",IF(D539="Stock","0",Key!$A$3*H539*G539))</f>
        <v/>
      </c>
      <c r="J539" s="78">
        <f>IF(ISBLANK(E539),"",IF(ISNUMBER(SEARCH("/",E539)), IF(LEN(E539)-LEN(SUBSTITUTE(E539,"/",""))=1,(RIGHT(E539,LEN(E539)-FIND("/",E539)))-(LEFT(E539,FIND("/",E539)-1)),(MID(E539, SEARCH("/",E539) + 1, SEARCH("/",E539, SEARCH("/",E539)+1) - SEARCH("/",E539) - 1))-(LEFT(E539,FIND("/",E539)-1))), "NA"))</f>
        <v/>
      </c>
      <c r="K539" s="79">
        <f>IF(A539&lt;&gt;"", IF(ISBLANK(L539), TODAY(), K539), "")</f>
        <v/>
      </c>
      <c r="L539" s="78" t="n"/>
      <c r="M539" s="78">
        <f>IF(ISBLANK(L539),"",IF(D539="Stock",IF(C539="Buy",L539*G539,IF(C539="Sell",(L539*G539)-I539, X)),IF(C539="Buy",(L539*G539*100)+I539,IF(C539="Sell",(L539*G539*100)-I539, X))))</f>
        <v/>
      </c>
      <c r="N539" s="78">
        <f>IF(ISBLANK(L539),"",IF(AND(C539="Sell",D539="Stock"),M539,IF(ISBLANK(L539),"",IF(C539="Buy",M539, IF(AND(C539="Sell",J539="NA"),(E539*G539*100*0.1)+I539, IF(C539="Sell",(J539-L539)*(100*G539)+I539))))))</f>
        <v/>
      </c>
      <c r="O539" s="75" t="n"/>
      <c r="P539" s="75" t="n"/>
      <c r="Q539" s="75">
        <f>IF(ISBLANK(P539),"",IF(D539="Stock",P539*G539,IF(P539=0,"0",G539*P539*100-(G539*$AF$14))))</f>
        <v/>
      </c>
      <c r="R539" s="79">
        <f>IF(P539&lt;&gt;"", TODAY(), "")</f>
        <v/>
      </c>
      <c r="S539" s="78">
        <f>IF(AND(K539&lt;&gt;"", R539&lt;&gt;""), R539-K539, "")</f>
        <v/>
      </c>
      <c r="T539" s="78" t="n"/>
      <c r="U539" s="92">
        <f>IF(ISBLANK(P539),"",IF(C539="Buy",Q539-M539+T539, IF(C539="Sell",M539-Q539-T539, X)))</f>
        <v/>
      </c>
      <c r="V539" s="81">
        <f>IF(ISBLANK(P539),"",U539/N539)</f>
        <v/>
      </c>
      <c r="W539" s="81">
        <f>IF(ISBLANK(P539),"",IF(S539=0,(365/0.5)*V539,(365/S539)*V539))</f>
        <v/>
      </c>
      <c r="X539" s="75" t="n"/>
      <c r="Y539" s="77" t="n"/>
      <c r="Z539" s="77" t="n"/>
      <c r="AA539" s="75" t="n"/>
      <c r="AB539" s="75" t="n"/>
      <c r="AC539" s="6" t="n"/>
      <c r="AD539" s="75" t="n"/>
      <c r="AE539" s="75" t="n"/>
      <c r="AF539" s="75" t="n"/>
    </row>
    <row r="540" ht="15.75" customHeight="1" s="133">
      <c r="A540" s="75" t="n"/>
      <c r="B540" s="75" t="n"/>
      <c r="C540" s="75" t="n"/>
      <c r="D540" s="75" t="n"/>
      <c r="E540" s="76" t="n"/>
      <c r="F540" s="77" t="n"/>
      <c r="G540" s="75" t="n"/>
      <c r="H540" s="75">
        <f>IF(ISBLANK(E540),"",IF(OR(D540="Butterfly",D540="Butterfly ",D540="Iron Fly", D540="Iron Fly "),LEN(E540)-LEN(SUBSTITUTE(E540,"/",""))+2,LEN(E540)-LEN(SUBSTITUTE(E540,"/",""))+1))</f>
        <v/>
      </c>
      <c r="I540" s="78">
        <f>IF(ISBLANK(G540),"",IF(D540="Stock","0",Key!$A$3*H540*G540))</f>
        <v/>
      </c>
      <c r="J540" s="78">
        <f>IF(ISBLANK(E540),"",IF(ISNUMBER(SEARCH("/",E540)), IF(LEN(E540)-LEN(SUBSTITUTE(E540,"/",""))=1,(RIGHT(E540,LEN(E540)-FIND("/",E540)))-(LEFT(E540,FIND("/",E540)-1)),(MID(E540, SEARCH("/",E540) + 1, SEARCH("/",E540, SEARCH("/",E540)+1) - SEARCH("/",E540) - 1))-(LEFT(E540,FIND("/",E540)-1))), "NA"))</f>
        <v/>
      </c>
      <c r="K540" s="79">
        <f>IF(A540&lt;&gt;"", IF(ISBLANK(L540), TODAY(), K540), "")</f>
        <v/>
      </c>
      <c r="L540" s="78" t="n"/>
      <c r="M540" s="78">
        <f>IF(ISBLANK(L540),"",IF(D540="Stock",IF(C540="Buy",L540*G540,IF(C540="Sell",(L540*G540)-I540, X)),IF(C540="Buy",(L540*G540*100)+I540,IF(C540="Sell",(L540*G540*100)-I540, X))))</f>
        <v/>
      </c>
      <c r="N540" s="78">
        <f>IF(ISBLANK(L540),"",IF(AND(C540="Sell",D540="Stock"),M540,IF(ISBLANK(L540),"",IF(C540="Buy",M540, IF(AND(C540="Sell",J540="NA"),(E540*G540*100*0.1)+I540, IF(C540="Sell",(J540-L540)*(100*G540)+I540))))))</f>
        <v/>
      </c>
      <c r="O540" s="75" t="n"/>
      <c r="P540" s="75" t="n"/>
      <c r="Q540" s="75">
        <f>IF(ISBLANK(P540),"",IF(D540="Stock",P540*G540,IF(P540=0,"0",G540*P540*100-(G540*$AF$14))))</f>
        <v/>
      </c>
      <c r="R540" s="79">
        <f>IF(P540&lt;&gt;"", TODAY(), "")</f>
        <v/>
      </c>
      <c r="S540" s="78">
        <f>IF(AND(K540&lt;&gt;"", R540&lt;&gt;""), R540-K540, "")</f>
        <v/>
      </c>
      <c r="T540" s="78" t="n"/>
      <c r="U540" s="92">
        <f>IF(ISBLANK(P540),"",IF(C540="Buy",Q540-M540+T540, IF(C540="Sell",M540-Q540-T540, X)))</f>
        <v/>
      </c>
      <c r="V540" s="81">
        <f>IF(ISBLANK(P540),"",U540/N540)</f>
        <v/>
      </c>
      <c r="W540" s="81">
        <f>IF(ISBLANK(P540),"",IF(S540=0,(365/0.5)*V540,(365/S540)*V540))</f>
        <v/>
      </c>
      <c r="X540" s="75" t="n"/>
      <c r="Y540" s="77" t="n"/>
      <c r="Z540" s="77" t="n"/>
      <c r="AA540" s="75" t="n"/>
      <c r="AB540" s="75" t="n"/>
      <c r="AC540" s="6" t="n"/>
      <c r="AD540" s="75" t="n"/>
      <c r="AE540" s="75" t="n"/>
      <c r="AF540" s="75" t="n"/>
    </row>
    <row r="541" ht="15.75" customHeight="1" s="133">
      <c r="A541" s="75" t="n"/>
      <c r="B541" s="75" t="n"/>
      <c r="C541" s="75" t="n"/>
      <c r="D541" s="75" t="n"/>
      <c r="E541" s="76" t="n"/>
      <c r="F541" s="77" t="n"/>
      <c r="G541" s="75" t="n"/>
      <c r="H541" s="75">
        <f>IF(ISBLANK(E541),"",IF(OR(D541="Butterfly",D541="Butterfly ",D541="Iron Fly", D541="Iron Fly "),LEN(E541)-LEN(SUBSTITUTE(E541,"/",""))+2,LEN(E541)-LEN(SUBSTITUTE(E541,"/",""))+1))</f>
        <v/>
      </c>
      <c r="I541" s="78">
        <f>IF(ISBLANK(G541),"",IF(D541="Stock","0",Key!$A$3*H541*G541))</f>
        <v/>
      </c>
      <c r="J541" s="78">
        <f>IF(ISBLANK(E541),"",IF(ISNUMBER(SEARCH("/",E541)), IF(LEN(E541)-LEN(SUBSTITUTE(E541,"/",""))=1,(RIGHT(E541,LEN(E541)-FIND("/",E541)))-(LEFT(E541,FIND("/",E541)-1)),(MID(E541, SEARCH("/",E541) + 1, SEARCH("/",E541, SEARCH("/",E541)+1) - SEARCH("/",E541) - 1))-(LEFT(E541,FIND("/",E541)-1))), "NA"))</f>
        <v/>
      </c>
      <c r="K541" s="79">
        <f>IF(A541&lt;&gt;"", IF(ISBLANK(L541), TODAY(), K541), "")</f>
        <v/>
      </c>
      <c r="L541" s="78" t="n"/>
      <c r="M541" s="78">
        <f>IF(ISBLANK(L541),"",IF(D541="Stock",IF(C541="Buy",L541*G541,IF(C541="Sell",(L541*G541)-I541, X)),IF(C541="Buy",(L541*G541*100)+I541,IF(C541="Sell",(L541*G541*100)-I541, X))))</f>
        <v/>
      </c>
      <c r="N541" s="78">
        <f>IF(ISBLANK(L541),"",IF(AND(C541="Sell",D541="Stock"),M541,IF(ISBLANK(L541),"",IF(C541="Buy",M541, IF(AND(C541="Sell",J541="NA"),(E541*G541*100*0.1)+I541, IF(C541="Sell",(J541-L541)*(100*G541)+I541))))))</f>
        <v/>
      </c>
      <c r="O541" s="75" t="n"/>
      <c r="P541" s="75" t="n"/>
      <c r="Q541" s="75">
        <f>IF(ISBLANK(P541),"",IF(D541="Stock",P541*G541,IF(P541=0,"0",G541*P541*100-(G541*$AF$14))))</f>
        <v/>
      </c>
      <c r="R541" s="79">
        <f>IF(P541&lt;&gt;"", TODAY(), "")</f>
        <v/>
      </c>
      <c r="S541" s="78">
        <f>IF(AND(K541&lt;&gt;"", R541&lt;&gt;""), R541-K541, "")</f>
        <v/>
      </c>
      <c r="T541" s="78" t="n"/>
      <c r="U541" s="92">
        <f>IF(ISBLANK(P541),"",IF(C541="Buy",Q541-M541+T541, IF(C541="Sell",M541-Q541-T541, X)))</f>
        <v/>
      </c>
      <c r="V541" s="81">
        <f>IF(ISBLANK(P541),"",U541/N541)</f>
        <v/>
      </c>
      <c r="W541" s="81">
        <f>IF(ISBLANK(P541),"",IF(S541=0,(365/0.5)*V541,(365/S541)*V541))</f>
        <v/>
      </c>
      <c r="X541" s="75" t="n"/>
      <c r="Y541" s="77" t="n"/>
      <c r="Z541" s="77" t="n"/>
      <c r="AA541" s="75" t="n"/>
      <c r="AB541" s="75" t="n"/>
      <c r="AC541" s="6" t="n"/>
      <c r="AD541" s="75" t="n"/>
      <c r="AE541" s="75" t="n"/>
      <c r="AF541" s="75" t="n"/>
    </row>
    <row r="542" ht="15.75" customHeight="1" s="133">
      <c r="A542" s="75" t="n"/>
      <c r="B542" s="75" t="n"/>
      <c r="C542" s="75" t="n"/>
      <c r="D542" s="75" t="n"/>
      <c r="E542" s="76" t="n"/>
      <c r="F542" s="77" t="n"/>
      <c r="G542" s="75" t="n"/>
      <c r="H542" s="75">
        <f>IF(ISBLANK(E542),"",IF(OR(D542="Butterfly",D542="Butterfly ",D542="Iron Fly", D542="Iron Fly "),LEN(E542)-LEN(SUBSTITUTE(E542,"/",""))+2,LEN(E542)-LEN(SUBSTITUTE(E542,"/",""))+1))</f>
        <v/>
      </c>
      <c r="I542" s="78">
        <f>IF(ISBLANK(G542),"",IF(D542="Stock","0",Key!$A$3*H542*G542))</f>
        <v/>
      </c>
      <c r="J542" s="78">
        <f>IF(ISBLANK(E542),"",IF(ISNUMBER(SEARCH("/",E542)), IF(LEN(E542)-LEN(SUBSTITUTE(E542,"/",""))=1,(RIGHT(E542,LEN(E542)-FIND("/",E542)))-(LEFT(E542,FIND("/",E542)-1)),(MID(E542, SEARCH("/",E542) + 1, SEARCH("/",E542, SEARCH("/",E542)+1) - SEARCH("/",E542) - 1))-(LEFT(E542,FIND("/",E542)-1))), "NA"))</f>
        <v/>
      </c>
      <c r="K542" s="79">
        <f>IF(A542&lt;&gt;"", IF(ISBLANK(L542), TODAY(), K542), "")</f>
        <v/>
      </c>
      <c r="L542" s="78" t="n"/>
      <c r="M542" s="78">
        <f>IF(ISBLANK(L542),"",IF(D542="Stock",IF(C542="Buy",L542*G542,IF(C542="Sell",(L542*G542)-I542, X)),IF(C542="Buy",(L542*G542*100)+I542,IF(C542="Sell",(L542*G542*100)-I542, X))))</f>
        <v/>
      </c>
      <c r="N542" s="78">
        <f>IF(ISBLANK(L542),"",IF(AND(C542="Sell",D542="Stock"),M542,IF(ISBLANK(L542),"",IF(C542="Buy",M542, IF(AND(C542="Sell",J542="NA"),(E542*G542*100*0.1)+I542, IF(C542="Sell",(J542-L542)*(100*G542)+I542))))))</f>
        <v/>
      </c>
      <c r="O542" s="75" t="n"/>
      <c r="P542" s="75" t="n"/>
      <c r="Q542" s="75">
        <f>IF(ISBLANK(P542),"",IF(D542="Stock",P542*G542,IF(P542=0,"0",G542*P542*100-(G542*$AF$14))))</f>
        <v/>
      </c>
      <c r="R542" s="79">
        <f>IF(P542&lt;&gt;"", TODAY(), "")</f>
        <v/>
      </c>
      <c r="S542" s="78">
        <f>IF(AND(K542&lt;&gt;"", R542&lt;&gt;""), R542-K542, "")</f>
        <v/>
      </c>
      <c r="T542" s="78" t="n"/>
      <c r="U542" s="92">
        <f>IF(ISBLANK(P542),"",IF(C542="Buy",Q542-M542+T542, IF(C542="Sell",M542-Q542-T542, X)))</f>
        <v/>
      </c>
      <c r="V542" s="81">
        <f>IF(ISBLANK(P542),"",U542/N542)</f>
        <v/>
      </c>
      <c r="W542" s="81">
        <f>IF(ISBLANK(P542),"",IF(S542=0,(365/0.5)*V542,(365/S542)*V542))</f>
        <v/>
      </c>
      <c r="X542" s="75" t="n"/>
      <c r="Y542" s="77" t="n"/>
      <c r="Z542" s="77" t="n"/>
      <c r="AA542" s="75" t="n"/>
      <c r="AB542" s="75" t="n"/>
      <c r="AC542" s="6" t="n"/>
      <c r="AD542" s="75" t="n"/>
      <c r="AE542" s="75" t="n"/>
      <c r="AF542" s="75" t="n"/>
    </row>
    <row r="543" ht="15.75" customHeight="1" s="133">
      <c r="A543" s="75" t="n"/>
      <c r="B543" s="75" t="n"/>
      <c r="C543" s="75" t="n"/>
      <c r="D543" s="75" t="n"/>
      <c r="E543" s="76" t="n"/>
      <c r="F543" s="77" t="n"/>
      <c r="G543" s="75" t="n"/>
      <c r="H543" s="75">
        <f>IF(ISBLANK(E543),"",IF(OR(D543="Butterfly",D543="Butterfly ",D543="Iron Fly", D543="Iron Fly "),LEN(E543)-LEN(SUBSTITUTE(E543,"/",""))+2,LEN(E543)-LEN(SUBSTITUTE(E543,"/",""))+1))</f>
        <v/>
      </c>
      <c r="I543" s="78">
        <f>IF(ISBLANK(G543),"",IF(D543="Stock","0",Key!$A$3*H543*G543))</f>
        <v/>
      </c>
      <c r="J543" s="78">
        <f>IF(ISBLANK(E543),"",IF(ISNUMBER(SEARCH("/",E543)), IF(LEN(E543)-LEN(SUBSTITUTE(E543,"/",""))=1,(RIGHT(E543,LEN(E543)-FIND("/",E543)))-(LEFT(E543,FIND("/",E543)-1)),(MID(E543, SEARCH("/",E543) + 1, SEARCH("/",E543, SEARCH("/",E543)+1) - SEARCH("/",E543) - 1))-(LEFT(E543,FIND("/",E543)-1))), "NA"))</f>
        <v/>
      </c>
      <c r="K543" s="79">
        <f>IF(A543&lt;&gt;"", IF(ISBLANK(L543), TODAY(), K543), "")</f>
        <v/>
      </c>
      <c r="L543" s="78" t="n"/>
      <c r="M543" s="78">
        <f>IF(ISBLANK(L543),"",IF(D543="Stock",IF(C543="Buy",L543*G543,IF(C543="Sell",(L543*G543)-I543, X)),IF(C543="Buy",(L543*G543*100)+I543,IF(C543="Sell",(L543*G543*100)-I543, X))))</f>
        <v/>
      </c>
      <c r="N543" s="78">
        <f>IF(ISBLANK(L543),"",IF(AND(C543="Sell",D543="Stock"),M543,IF(ISBLANK(L543),"",IF(C543="Buy",M543, IF(AND(C543="Sell",J543="NA"),(E543*G543*100*0.1)+I543, IF(C543="Sell",(J543-L543)*(100*G543)+I543))))))</f>
        <v/>
      </c>
      <c r="O543" s="75" t="n"/>
      <c r="P543" s="75" t="n"/>
      <c r="Q543" s="75">
        <f>IF(ISBLANK(P543),"",IF(D543="Stock",P543*G543,IF(P543=0,"0",G543*P543*100-(G543*$AF$14))))</f>
        <v/>
      </c>
      <c r="R543" s="79">
        <f>IF(P543&lt;&gt;"", TODAY(), "")</f>
        <v/>
      </c>
      <c r="S543" s="78">
        <f>IF(AND(K543&lt;&gt;"", R543&lt;&gt;""), R543-K543, "")</f>
        <v/>
      </c>
      <c r="T543" s="78" t="n"/>
      <c r="U543" s="92">
        <f>IF(ISBLANK(P543),"",IF(C543="Buy",Q543-M543+T543, IF(C543="Sell",M543-Q543-T543, X)))</f>
        <v/>
      </c>
      <c r="V543" s="81">
        <f>IF(ISBLANK(P543),"",U543/N543)</f>
        <v/>
      </c>
      <c r="W543" s="81">
        <f>IF(ISBLANK(P543),"",IF(S543=0,(365/0.5)*V543,(365/S543)*V543))</f>
        <v/>
      </c>
      <c r="X543" s="75" t="n"/>
      <c r="Y543" s="77" t="n"/>
      <c r="Z543" s="77" t="n"/>
      <c r="AA543" s="75" t="n"/>
      <c r="AB543" s="75" t="n"/>
      <c r="AC543" s="6" t="n"/>
      <c r="AD543" s="75" t="n"/>
      <c r="AE543" s="75" t="n"/>
      <c r="AF543" s="75" t="n"/>
    </row>
    <row r="544" ht="15.75" customHeight="1" s="133">
      <c r="A544" s="75" t="n"/>
      <c r="B544" s="75" t="n"/>
      <c r="C544" s="75" t="n"/>
      <c r="D544" s="75" t="n"/>
      <c r="E544" s="76" t="n"/>
      <c r="F544" s="77" t="n"/>
      <c r="G544" s="75" t="n"/>
      <c r="H544" s="75">
        <f>IF(ISBLANK(E544),"",IF(OR(D544="Butterfly",D544="Butterfly ",D544="Iron Fly", D544="Iron Fly "),LEN(E544)-LEN(SUBSTITUTE(E544,"/",""))+2,LEN(E544)-LEN(SUBSTITUTE(E544,"/",""))+1))</f>
        <v/>
      </c>
      <c r="I544" s="78">
        <f>IF(ISBLANK(G544),"",IF(D544="Stock","0",Key!$A$3*H544*G544))</f>
        <v/>
      </c>
      <c r="J544" s="78">
        <f>IF(ISBLANK(E544),"",IF(ISNUMBER(SEARCH("/",E544)), IF(LEN(E544)-LEN(SUBSTITUTE(E544,"/",""))=1,(RIGHT(E544,LEN(E544)-FIND("/",E544)))-(LEFT(E544,FIND("/",E544)-1)),(MID(E544, SEARCH("/",E544) + 1, SEARCH("/",E544, SEARCH("/",E544)+1) - SEARCH("/",E544) - 1))-(LEFT(E544,FIND("/",E544)-1))), "NA"))</f>
        <v/>
      </c>
      <c r="K544" s="79">
        <f>IF(A544&lt;&gt;"", IF(ISBLANK(L544), TODAY(), K544), "")</f>
        <v/>
      </c>
      <c r="L544" s="78" t="n"/>
      <c r="M544" s="78">
        <f>IF(ISBLANK(L544),"",IF(D544="Stock",IF(C544="Buy",L544*G544,IF(C544="Sell",(L544*G544)-I544, X)),IF(C544="Buy",(L544*G544*100)+I544,IF(C544="Sell",(L544*G544*100)-I544, X))))</f>
        <v/>
      </c>
      <c r="N544" s="78">
        <f>IF(ISBLANK(L544),"",IF(AND(C544="Sell",D544="Stock"),M544,IF(ISBLANK(L544),"",IF(C544="Buy",M544, IF(AND(C544="Sell",J544="NA"),(E544*G544*100*0.1)+I544, IF(C544="Sell",(J544-L544)*(100*G544)+I544))))))</f>
        <v/>
      </c>
      <c r="O544" s="75" t="n"/>
      <c r="P544" s="75" t="n"/>
      <c r="Q544" s="75">
        <f>IF(ISBLANK(P544),"",IF(D544="Stock",P544*G544,IF(P544=0,"0",G544*P544*100-(G544*$AF$14))))</f>
        <v/>
      </c>
      <c r="R544" s="79">
        <f>IF(P544&lt;&gt;"", TODAY(), "")</f>
        <v/>
      </c>
      <c r="S544" s="78">
        <f>IF(AND(K544&lt;&gt;"", R544&lt;&gt;""), R544-K544, "")</f>
        <v/>
      </c>
      <c r="T544" s="78" t="n"/>
      <c r="U544" s="92">
        <f>IF(ISBLANK(P544),"",IF(C544="Buy",Q544-M544+T544, IF(C544="Sell",M544-Q544-T544, X)))</f>
        <v/>
      </c>
      <c r="V544" s="81">
        <f>IF(ISBLANK(P544),"",U544/N544)</f>
        <v/>
      </c>
      <c r="W544" s="81">
        <f>IF(ISBLANK(P544),"",IF(S544=0,(365/0.5)*V544,(365/S544)*V544))</f>
        <v/>
      </c>
      <c r="X544" s="75" t="n"/>
      <c r="Y544" s="77" t="n"/>
      <c r="Z544" s="77" t="n"/>
      <c r="AA544" s="75" t="n"/>
      <c r="AB544" s="75" t="n"/>
      <c r="AC544" s="6" t="n"/>
      <c r="AD544" s="75" t="n"/>
      <c r="AE544" s="75" t="n"/>
      <c r="AF544" s="75" t="n"/>
    </row>
    <row r="545" ht="15.75" customHeight="1" s="133">
      <c r="A545" s="75" t="n"/>
      <c r="B545" s="75" t="n"/>
      <c r="C545" s="75" t="n"/>
      <c r="D545" s="75" t="n"/>
      <c r="E545" s="76" t="n"/>
      <c r="F545" s="77" t="n"/>
      <c r="G545" s="75" t="n"/>
      <c r="H545" s="75">
        <f>IF(ISBLANK(E545),"",IF(OR(D545="Butterfly",D545="Butterfly ",D545="Iron Fly", D545="Iron Fly "),LEN(E545)-LEN(SUBSTITUTE(E545,"/",""))+2,LEN(E545)-LEN(SUBSTITUTE(E545,"/",""))+1))</f>
        <v/>
      </c>
      <c r="I545" s="78">
        <f>IF(ISBLANK(G545),"",IF(D545="Stock","0",Key!$A$3*H545*G545))</f>
        <v/>
      </c>
      <c r="J545" s="78">
        <f>IF(ISBLANK(E545),"",IF(ISNUMBER(SEARCH("/",E545)), IF(LEN(E545)-LEN(SUBSTITUTE(E545,"/",""))=1,(RIGHT(E545,LEN(E545)-FIND("/",E545)))-(LEFT(E545,FIND("/",E545)-1)),(MID(E545, SEARCH("/",E545) + 1, SEARCH("/",E545, SEARCH("/",E545)+1) - SEARCH("/",E545) - 1))-(LEFT(E545,FIND("/",E545)-1))), "NA"))</f>
        <v/>
      </c>
      <c r="K545" s="79">
        <f>IF(A545&lt;&gt;"", IF(ISBLANK(L545), TODAY(), K545), "")</f>
        <v/>
      </c>
      <c r="L545" s="78" t="n"/>
      <c r="M545" s="78">
        <f>IF(ISBLANK(L545),"",IF(D545="Stock",IF(C545="Buy",L545*G545,IF(C545="Sell",(L545*G545)-I545, X)),IF(C545="Buy",(L545*G545*100)+I545,IF(C545="Sell",(L545*G545*100)-I545, X))))</f>
        <v/>
      </c>
      <c r="N545" s="78">
        <f>IF(ISBLANK(L545),"",IF(AND(C545="Sell",D545="Stock"),M545,IF(ISBLANK(L545),"",IF(C545="Buy",M545, IF(AND(C545="Sell",J545="NA"),(E545*G545*100*0.1)+I545, IF(C545="Sell",(J545-L545)*(100*G545)+I545))))))</f>
        <v/>
      </c>
      <c r="O545" s="75" t="n"/>
      <c r="P545" s="75" t="n"/>
      <c r="Q545" s="75">
        <f>IF(ISBLANK(P545),"",IF(D545="Stock",P545*G545,IF(P545=0,"0",G545*P545*100-(G545*$AF$14))))</f>
        <v/>
      </c>
      <c r="R545" s="79">
        <f>IF(P545&lt;&gt;"", TODAY(), "")</f>
        <v/>
      </c>
      <c r="S545" s="78">
        <f>IF(AND(K545&lt;&gt;"", R545&lt;&gt;""), R545-K545, "")</f>
        <v/>
      </c>
      <c r="T545" s="78" t="n"/>
      <c r="U545" s="92">
        <f>IF(ISBLANK(P545),"",IF(C545="Buy",Q545-M545+T545, IF(C545="Sell",M545-Q545-T545, X)))</f>
        <v/>
      </c>
      <c r="V545" s="81">
        <f>IF(ISBLANK(P545),"",U545/N545)</f>
        <v/>
      </c>
      <c r="W545" s="81">
        <f>IF(ISBLANK(P545),"",IF(S545=0,(365/0.5)*V545,(365/S545)*V545))</f>
        <v/>
      </c>
      <c r="X545" s="75" t="n"/>
      <c r="Y545" s="77" t="n"/>
      <c r="Z545" s="77" t="n"/>
      <c r="AA545" s="75" t="n"/>
      <c r="AB545" s="75" t="n"/>
      <c r="AC545" s="6" t="n"/>
      <c r="AD545" s="75" t="n"/>
      <c r="AE545" s="75" t="n"/>
      <c r="AF545" s="75" t="n"/>
    </row>
    <row r="546" ht="15.75" customHeight="1" s="133">
      <c r="A546" s="75" t="n"/>
      <c r="B546" s="75" t="n"/>
      <c r="C546" s="75" t="n"/>
      <c r="D546" s="75" t="n"/>
      <c r="E546" s="76" t="n"/>
      <c r="F546" s="77" t="n"/>
      <c r="G546" s="75" t="n"/>
      <c r="H546" s="75">
        <f>IF(ISBLANK(E546),"",IF(OR(D546="Butterfly",D546="Butterfly ",D546="Iron Fly", D546="Iron Fly "),LEN(E546)-LEN(SUBSTITUTE(E546,"/",""))+2,LEN(E546)-LEN(SUBSTITUTE(E546,"/",""))+1))</f>
        <v/>
      </c>
      <c r="I546" s="78">
        <f>IF(ISBLANK(G546),"",IF(D546="Stock","0",Key!$A$3*H546*G546))</f>
        <v/>
      </c>
      <c r="J546" s="78">
        <f>IF(ISBLANK(E546),"",IF(ISNUMBER(SEARCH("/",E546)), IF(LEN(E546)-LEN(SUBSTITUTE(E546,"/",""))=1,(RIGHT(E546,LEN(E546)-FIND("/",E546)))-(LEFT(E546,FIND("/",E546)-1)),(MID(E546, SEARCH("/",E546) + 1, SEARCH("/",E546, SEARCH("/",E546)+1) - SEARCH("/",E546) - 1))-(LEFT(E546,FIND("/",E546)-1))), "NA"))</f>
        <v/>
      </c>
      <c r="K546" s="79">
        <f>IF(A546&lt;&gt;"", IF(ISBLANK(L546), TODAY(), K546), "")</f>
        <v/>
      </c>
      <c r="L546" s="78" t="n"/>
      <c r="M546" s="78">
        <f>IF(ISBLANK(L546),"",IF(D546="Stock",IF(C546="Buy",L546*G546,IF(C546="Sell",(L546*G546)-I546, X)),IF(C546="Buy",(L546*G546*100)+I546,IF(C546="Sell",(L546*G546*100)-I546, X))))</f>
        <v/>
      </c>
      <c r="N546" s="78">
        <f>IF(ISBLANK(L546),"",IF(AND(C546="Sell",D546="Stock"),M546,IF(ISBLANK(L546),"",IF(C546="Buy",M546, IF(AND(C546="Sell",J546="NA"),(E546*G546*100*0.1)+I546, IF(C546="Sell",(J546-L546)*(100*G546)+I546))))))</f>
        <v/>
      </c>
      <c r="O546" s="75" t="n"/>
      <c r="P546" s="75" t="n"/>
      <c r="Q546" s="75">
        <f>IF(ISBLANK(P546),"",IF(D546="Stock",P546*G546,IF(P546=0,"0",G546*P546*100-(G546*$AF$14))))</f>
        <v/>
      </c>
      <c r="R546" s="79">
        <f>IF(P546&lt;&gt;"", TODAY(), "")</f>
        <v/>
      </c>
      <c r="S546" s="78">
        <f>IF(AND(K546&lt;&gt;"", R546&lt;&gt;""), R546-K546, "")</f>
        <v/>
      </c>
      <c r="T546" s="78" t="n"/>
      <c r="U546" s="92">
        <f>IF(ISBLANK(P546),"",IF(C546="Buy",Q546-M546+T546, IF(C546="Sell",M546-Q546-T546, X)))</f>
        <v/>
      </c>
      <c r="V546" s="81">
        <f>IF(ISBLANK(P546),"",U546/N546)</f>
        <v/>
      </c>
      <c r="W546" s="81">
        <f>IF(ISBLANK(P546),"",IF(S546=0,(365/0.5)*V546,(365/S546)*V546))</f>
        <v/>
      </c>
      <c r="X546" s="75" t="n"/>
      <c r="Y546" s="77" t="n"/>
      <c r="Z546" s="77" t="n"/>
      <c r="AA546" s="75" t="n"/>
      <c r="AB546" s="75" t="n"/>
      <c r="AC546" s="6" t="n"/>
      <c r="AD546" s="75" t="n"/>
      <c r="AE546" s="75" t="n"/>
      <c r="AF546" s="75" t="n"/>
    </row>
    <row r="547" ht="15.75" customHeight="1" s="133">
      <c r="A547" s="75" t="n"/>
      <c r="B547" s="75" t="n"/>
      <c r="C547" s="75" t="n"/>
      <c r="D547" s="75" t="n"/>
      <c r="E547" s="76" t="n"/>
      <c r="F547" s="77" t="n"/>
      <c r="G547" s="75" t="n"/>
      <c r="H547" s="75">
        <f>IF(ISBLANK(E547),"",IF(OR(D547="Butterfly",D547="Butterfly ",D547="Iron Fly", D547="Iron Fly "),LEN(E547)-LEN(SUBSTITUTE(E547,"/",""))+2,LEN(E547)-LEN(SUBSTITUTE(E547,"/",""))+1))</f>
        <v/>
      </c>
      <c r="I547" s="78">
        <f>IF(ISBLANK(G547),"",IF(D547="Stock","0",Key!$A$3*H547*G547))</f>
        <v/>
      </c>
      <c r="J547" s="78">
        <f>IF(ISBLANK(E547),"",IF(ISNUMBER(SEARCH("/",E547)), IF(LEN(E547)-LEN(SUBSTITUTE(E547,"/",""))=1,(RIGHT(E547,LEN(E547)-FIND("/",E547)))-(LEFT(E547,FIND("/",E547)-1)),(MID(E547, SEARCH("/",E547) + 1, SEARCH("/",E547, SEARCH("/",E547)+1) - SEARCH("/",E547) - 1))-(LEFT(E547,FIND("/",E547)-1))), "NA"))</f>
        <v/>
      </c>
      <c r="K547" s="79">
        <f>IF(A547&lt;&gt;"", IF(ISBLANK(L547), TODAY(), K547), "")</f>
        <v/>
      </c>
      <c r="L547" s="78" t="n"/>
      <c r="M547" s="78">
        <f>IF(ISBLANK(L547),"",IF(D547="Stock",IF(C547="Buy",L547*G547,IF(C547="Sell",(L547*G547)-I547, X)),IF(C547="Buy",(L547*G547*100)+I547,IF(C547="Sell",(L547*G547*100)-I547, X))))</f>
        <v/>
      </c>
      <c r="N547" s="78">
        <f>IF(ISBLANK(L547),"",IF(AND(C547="Sell",D547="Stock"),M547,IF(ISBLANK(L547),"",IF(C547="Buy",M547, IF(AND(C547="Sell",J547="NA"),(E547*G547*100*0.1)+I547, IF(C547="Sell",(J547-L547)*(100*G547)+I547))))))</f>
        <v/>
      </c>
      <c r="O547" s="75" t="n"/>
      <c r="P547" s="75" t="n"/>
      <c r="Q547" s="75">
        <f>IF(ISBLANK(P547),"",IF(D547="Stock",P547*G547,IF(P547=0,"0",G547*P547*100-(G547*$AF$14))))</f>
        <v/>
      </c>
      <c r="R547" s="79">
        <f>IF(P547&lt;&gt;"", TODAY(), "")</f>
        <v/>
      </c>
      <c r="S547" s="78">
        <f>IF(AND(K547&lt;&gt;"", R547&lt;&gt;""), R547-K547, "")</f>
        <v/>
      </c>
      <c r="T547" s="78" t="n"/>
      <c r="U547" s="92">
        <f>IF(ISBLANK(P547),"",IF(C547="Buy",Q547-M547+T547, IF(C547="Sell",M547-Q547-T547, X)))</f>
        <v/>
      </c>
      <c r="V547" s="81">
        <f>IF(ISBLANK(P547),"",U547/N547)</f>
        <v/>
      </c>
      <c r="W547" s="81">
        <f>IF(ISBLANK(P547),"",IF(S547=0,(365/0.5)*V547,(365/S547)*V547))</f>
        <v/>
      </c>
      <c r="X547" s="75" t="n"/>
      <c r="Y547" s="77" t="n"/>
      <c r="Z547" s="77" t="n"/>
      <c r="AA547" s="75" t="n"/>
      <c r="AB547" s="75" t="n"/>
      <c r="AC547" s="6" t="n"/>
      <c r="AD547" s="75" t="n"/>
      <c r="AE547" s="75" t="n"/>
      <c r="AF547" s="75" t="n"/>
    </row>
    <row r="548" ht="15.75" customHeight="1" s="133">
      <c r="A548" s="75" t="n"/>
      <c r="B548" s="75" t="n"/>
      <c r="C548" s="75" t="n"/>
      <c r="D548" s="75" t="n"/>
      <c r="E548" s="76" t="n"/>
      <c r="F548" s="77" t="n"/>
      <c r="G548" s="75" t="n"/>
      <c r="H548" s="75">
        <f>IF(ISBLANK(E548),"",IF(OR(D548="Butterfly",D548="Butterfly ",D548="Iron Fly", D548="Iron Fly "),LEN(E548)-LEN(SUBSTITUTE(E548,"/",""))+2,LEN(E548)-LEN(SUBSTITUTE(E548,"/",""))+1))</f>
        <v/>
      </c>
      <c r="I548" s="78">
        <f>IF(ISBLANK(G548),"",IF(D548="Stock","0",Key!$A$3*H548*G548))</f>
        <v/>
      </c>
      <c r="J548" s="78">
        <f>IF(ISBLANK(E548),"",IF(ISNUMBER(SEARCH("/",E548)), IF(LEN(E548)-LEN(SUBSTITUTE(E548,"/",""))=1,(RIGHT(E548,LEN(E548)-FIND("/",E548)))-(LEFT(E548,FIND("/",E548)-1)),(MID(E548, SEARCH("/",E548) + 1, SEARCH("/",E548, SEARCH("/",E548)+1) - SEARCH("/",E548) - 1))-(LEFT(E548,FIND("/",E548)-1))), "NA"))</f>
        <v/>
      </c>
      <c r="K548" s="79">
        <f>IF(A548&lt;&gt;"", IF(ISBLANK(L548), TODAY(), K548), "")</f>
        <v/>
      </c>
      <c r="L548" s="78" t="n"/>
      <c r="M548" s="78">
        <f>IF(ISBLANK(L548),"",IF(D548="Stock",IF(C548="Buy",L548*G548,IF(C548="Sell",(L548*G548)-I548, X)),IF(C548="Buy",(L548*G548*100)+I548,IF(C548="Sell",(L548*G548*100)-I548, X))))</f>
        <v/>
      </c>
      <c r="N548" s="78">
        <f>IF(ISBLANK(L548),"",IF(AND(C548="Sell",D548="Stock"),M548,IF(ISBLANK(L548),"",IF(C548="Buy",M548, IF(AND(C548="Sell",J548="NA"),(E548*G548*100*0.1)+I548, IF(C548="Sell",(J548-L548)*(100*G548)+I548))))))</f>
        <v/>
      </c>
      <c r="O548" s="75" t="n"/>
      <c r="P548" s="75" t="n"/>
      <c r="Q548" s="75">
        <f>IF(ISBLANK(P548),"",IF(D548="Stock",P548*G548,IF(P548=0,"0",G548*P548*100-(G548*$AF$14))))</f>
        <v/>
      </c>
      <c r="R548" s="79">
        <f>IF(P548&lt;&gt;"", TODAY(), "")</f>
        <v/>
      </c>
      <c r="S548" s="78">
        <f>IF(AND(K548&lt;&gt;"", R548&lt;&gt;""), R548-K548, "")</f>
        <v/>
      </c>
      <c r="T548" s="78" t="n"/>
      <c r="U548" s="92">
        <f>IF(ISBLANK(P548),"",IF(C548="Buy",Q548-M548+T548, IF(C548="Sell",M548-Q548-T548, X)))</f>
        <v/>
      </c>
      <c r="V548" s="81">
        <f>IF(ISBLANK(P548),"",U548/N548)</f>
        <v/>
      </c>
      <c r="W548" s="81">
        <f>IF(ISBLANK(P548),"",IF(S548=0,(365/0.5)*V548,(365/S548)*V548))</f>
        <v/>
      </c>
      <c r="X548" s="75" t="n"/>
      <c r="Y548" s="77" t="n"/>
      <c r="Z548" s="77" t="n"/>
      <c r="AA548" s="75" t="n"/>
      <c r="AB548" s="75" t="n"/>
      <c r="AC548" s="6" t="n"/>
      <c r="AD548" s="75" t="n"/>
      <c r="AE548" s="75" t="n"/>
      <c r="AF548" s="75" t="n"/>
    </row>
    <row r="549" ht="15.75" customHeight="1" s="133">
      <c r="A549" s="75" t="n"/>
      <c r="B549" s="75" t="n"/>
      <c r="C549" s="75" t="n"/>
      <c r="D549" s="75" t="n"/>
      <c r="E549" s="76" t="n"/>
      <c r="F549" s="77" t="n"/>
      <c r="G549" s="75" t="n"/>
      <c r="H549" s="75">
        <f>IF(ISBLANK(E549),"",IF(OR(D549="Butterfly",D549="Butterfly ",D549="Iron Fly", D549="Iron Fly "),LEN(E549)-LEN(SUBSTITUTE(E549,"/",""))+2,LEN(E549)-LEN(SUBSTITUTE(E549,"/",""))+1))</f>
        <v/>
      </c>
      <c r="I549" s="78">
        <f>IF(ISBLANK(G549),"",IF(D549="Stock","0",Key!$A$3*H549*G549))</f>
        <v/>
      </c>
      <c r="J549" s="78">
        <f>IF(ISBLANK(E549),"",IF(ISNUMBER(SEARCH("/",E549)), IF(LEN(E549)-LEN(SUBSTITUTE(E549,"/",""))=1,(RIGHT(E549,LEN(E549)-FIND("/",E549)))-(LEFT(E549,FIND("/",E549)-1)),(MID(E549, SEARCH("/",E549) + 1, SEARCH("/",E549, SEARCH("/",E549)+1) - SEARCH("/",E549) - 1))-(LEFT(E549,FIND("/",E549)-1))), "NA"))</f>
        <v/>
      </c>
      <c r="K549" s="79">
        <f>IF(A549&lt;&gt;"", IF(ISBLANK(L549), TODAY(), K549), "")</f>
        <v/>
      </c>
      <c r="L549" s="78" t="n"/>
      <c r="M549" s="78">
        <f>IF(ISBLANK(L549),"",IF(D549="Stock",IF(C549="Buy",L549*G549,IF(C549="Sell",(L549*G549)-I549, X)),IF(C549="Buy",(L549*G549*100)+I549,IF(C549="Sell",(L549*G549*100)-I549, X))))</f>
        <v/>
      </c>
      <c r="N549" s="78">
        <f>IF(ISBLANK(L549),"",IF(AND(C549="Sell",D549="Stock"),M549,IF(ISBLANK(L549),"",IF(C549="Buy",M549, IF(AND(C549="Sell",J549="NA"),(E549*G549*100*0.1)+I549, IF(C549="Sell",(J549-L549)*(100*G549)+I549))))))</f>
        <v/>
      </c>
      <c r="O549" s="75" t="n"/>
      <c r="P549" s="75" t="n"/>
      <c r="Q549" s="75">
        <f>IF(ISBLANK(P549),"",IF(D549="Stock",P549*G549,IF(P549=0,"0",G549*P549*100-(G549*$AF$14))))</f>
        <v/>
      </c>
      <c r="R549" s="79">
        <f>IF(P549&lt;&gt;"", TODAY(), "")</f>
        <v/>
      </c>
      <c r="S549" s="78">
        <f>IF(AND(K549&lt;&gt;"", R549&lt;&gt;""), R549-K549, "")</f>
        <v/>
      </c>
      <c r="T549" s="78" t="n"/>
      <c r="U549" s="92">
        <f>IF(ISBLANK(P549),"",IF(C549="Buy",Q549-M549+T549, IF(C549="Sell",M549-Q549-T549, X)))</f>
        <v/>
      </c>
      <c r="V549" s="81">
        <f>IF(ISBLANK(P549),"",U549/N549)</f>
        <v/>
      </c>
      <c r="W549" s="81">
        <f>IF(ISBLANK(P549),"",IF(S549=0,(365/0.5)*V549,(365/S549)*V549))</f>
        <v/>
      </c>
      <c r="X549" s="75" t="n"/>
      <c r="Y549" s="77" t="n"/>
      <c r="Z549" s="77" t="n"/>
      <c r="AA549" s="75" t="n"/>
      <c r="AB549" s="75" t="n"/>
      <c r="AC549" s="6" t="n"/>
      <c r="AD549" s="75" t="n"/>
      <c r="AE549" s="75" t="n"/>
      <c r="AF549" s="75" t="n"/>
    </row>
    <row r="550" ht="15.75" customHeight="1" s="133">
      <c r="A550" s="75" t="n"/>
      <c r="B550" s="75" t="n"/>
      <c r="C550" s="75" t="n"/>
      <c r="D550" s="75" t="n"/>
      <c r="E550" s="76" t="n"/>
      <c r="F550" s="77" t="n"/>
      <c r="G550" s="75" t="n"/>
      <c r="H550" s="75">
        <f>IF(ISBLANK(E550),"",IF(OR(D550="Butterfly",D550="Butterfly ",D550="Iron Fly", D550="Iron Fly "),LEN(E550)-LEN(SUBSTITUTE(E550,"/",""))+2,LEN(E550)-LEN(SUBSTITUTE(E550,"/",""))+1))</f>
        <v/>
      </c>
      <c r="I550" s="78">
        <f>IF(ISBLANK(G550),"",IF(D550="Stock","0",Key!$A$3*H550*G550))</f>
        <v/>
      </c>
      <c r="J550" s="78">
        <f>IF(ISBLANK(E550),"",IF(ISNUMBER(SEARCH("/",E550)), IF(LEN(E550)-LEN(SUBSTITUTE(E550,"/",""))=1,(RIGHT(E550,LEN(E550)-FIND("/",E550)))-(LEFT(E550,FIND("/",E550)-1)),(MID(E550, SEARCH("/",E550) + 1, SEARCH("/",E550, SEARCH("/",E550)+1) - SEARCH("/",E550) - 1))-(LEFT(E550,FIND("/",E550)-1))), "NA"))</f>
        <v/>
      </c>
      <c r="K550" s="79">
        <f>IF(A550&lt;&gt;"", IF(ISBLANK(L550), TODAY(), K550), "")</f>
        <v/>
      </c>
      <c r="L550" s="78" t="n"/>
      <c r="M550" s="78">
        <f>IF(ISBLANK(L550),"",IF(D550="Stock",IF(C550="Buy",L550*G550,IF(C550="Sell",(L550*G550)-I550, X)),IF(C550="Buy",(L550*G550*100)+I550,IF(C550="Sell",(L550*G550*100)-I550, X))))</f>
        <v/>
      </c>
      <c r="N550" s="78">
        <f>IF(ISBLANK(L550),"",IF(AND(C550="Sell",D550="Stock"),M550,IF(ISBLANK(L550),"",IF(C550="Buy",M550, IF(AND(C550="Sell",J550="NA"),(E550*G550*100*0.1)+I550, IF(C550="Sell",(J550-L550)*(100*G550)+I550))))))</f>
        <v/>
      </c>
      <c r="O550" s="75" t="n"/>
      <c r="P550" s="75" t="n"/>
      <c r="Q550" s="75">
        <f>IF(ISBLANK(P550),"",IF(D550="Stock",P550*G550,IF(P550=0,"0",G550*P550*100-(G550*$AF$14))))</f>
        <v/>
      </c>
      <c r="R550" s="79">
        <f>IF(P550&lt;&gt;"", TODAY(), "")</f>
        <v/>
      </c>
      <c r="S550" s="78">
        <f>IF(AND(K550&lt;&gt;"", R550&lt;&gt;""), R550-K550, "")</f>
        <v/>
      </c>
      <c r="T550" s="78" t="n"/>
      <c r="U550" s="92">
        <f>IF(ISBLANK(P550),"",IF(C550="Buy",Q550-M550+T550, IF(C550="Sell",M550-Q550-T550, X)))</f>
        <v/>
      </c>
      <c r="V550" s="81">
        <f>IF(ISBLANK(P550),"",U550/N550)</f>
        <v/>
      </c>
      <c r="W550" s="81">
        <f>IF(ISBLANK(P550),"",IF(S550=0,(365/0.5)*V550,(365/S550)*V550))</f>
        <v/>
      </c>
      <c r="X550" s="75" t="n"/>
      <c r="Y550" s="77" t="n"/>
      <c r="Z550" s="77" t="n"/>
      <c r="AA550" s="75" t="n"/>
      <c r="AB550" s="75" t="n"/>
      <c r="AC550" s="6" t="n"/>
      <c r="AD550" s="75" t="n"/>
      <c r="AE550" s="75" t="n"/>
      <c r="AF550" s="75" t="n"/>
    </row>
    <row r="551" ht="15.75" customHeight="1" s="133">
      <c r="A551" s="75" t="n"/>
      <c r="B551" s="75" t="n"/>
      <c r="C551" s="75" t="n"/>
      <c r="D551" s="75" t="n"/>
      <c r="E551" s="76" t="n"/>
      <c r="F551" s="77" t="n"/>
      <c r="G551" s="75" t="n"/>
      <c r="H551" s="75">
        <f>IF(ISBLANK(E551),"",IF(OR(D551="Butterfly",D551="Butterfly ",D551="Iron Fly", D551="Iron Fly "),LEN(E551)-LEN(SUBSTITUTE(E551,"/",""))+2,LEN(E551)-LEN(SUBSTITUTE(E551,"/",""))+1))</f>
        <v/>
      </c>
      <c r="I551" s="78">
        <f>IF(ISBLANK(G551),"",IF(D551="Stock","0",Key!$A$3*H551*G551))</f>
        <v/>
      </c>
      <c r="J551" s="78">
        <f>IF(ISBLANK(E551),"",IF(ISNUMBER(SEARCH("/",E551)), IF(LEN(E551)-LEN(SUBSTITUTE(E551,"/",""))=1,(RIGHT(E551,LEN(E551)-FIND("/",E551)))-(LEFT(E551,FIND("/",E551)-1)),(MID(E551, SEARCH("/",E551) + 1, SEARCH("/",E551, SEARCH("/",E551)+1) - SEARCH("/",E551) - 1))-(LEFT(E551,FIND("/",E551)-1))), "NA"))</f>
        <v/>
      </c>
      <c r="K551" s="79">
        <f>IF(A551&lt;&gt;"", IF(ISBLANK(L551), TODAY(), K551), "")</f>
        <v/>
      </c>
      <c r="L551" s="78" t="n"/>
      <c r="M551" s="78">
        <f>IF(ISBLANK(L551),"",IF(D551="Stock",IF(C551="Buy",L551*G551,IF(C551="Sell",(L551*G551)-I551, X)),IF(C551="Buy",(L551*G551*100)+I551,IF(C551="Sell",(L551*G551*100)-I551, X))))</f>
        <v/>
      </c>
      <c r="N551" s="78">
        <f>IF(ISBLANK(L551),"",IF(AND(C551="Sell",D551="Stock"),M551,IF(ISBLANK(L551),"",IF(C551="Buy",M551, IF(AND(C551="Sell",J551="NA"),(E551*G551*100*0.1)+I551, IF(C551="Sell",(J551-L551)*(100*G551)+I551))))))</f>
        <v/>
      </c>
      <c r="O551" s="75" t="n"/>
      <c r="P551" s="75" t="n"/>
      <c r="Q551" s="75">
        <f>IF(ISBLANK(P551),"",IF(D551="Stock",P551*G551,IF(P551=0,"0",G551*P551*100-(G551*$AF$14))))</f>
        <v/>
      </c>
      <c r="R551" s="79">
        <f>IF(P551&lt;&gt;"", TODAY(), "")</f>
        <v/>
      </c>
      <c r="S551" s="78">
        <f>IF(AND(K551&lt;&gt;"", R551&lt;&gt;""), R551-K551, "")</f>
        <v/>
      </c>
      <c r="T551" s="78" t="n"/>
      <c r="U551" s="92">
        <f>IF(ISBLANK(P551),"",IF(C551="Buy",Q551-M551+T551, IF(C551="Sell",M551-Q551-T551, X)))</f>
        <v/>
      </c>
      <c r="V551" s="81">
        <f>IF(ISBLANK(P551),"",U551/N551)</f>
        <v/>
      </c>
      <c r="W551" s="81">
        <f>IF(ISBLANK(P551),"",IF(S551=0,(365/0.5)*V551,(365/S551)*V551))</f>
        <v/>
      </c>
      <c r="X551" s="75" t="n"/>
      <c r="Y551" s="77" t="n"/>
      <c r="Z551" s="77" t="n"/>
      <c r="AA551" s="75" t="n"/>
      <c r="AB551" s="75" t="n"/>
      <c r="AC551" s="6" t="n"/>
      <c r="AD551" s="75" t="n"/>
      <c r="AE551" s="75" t="n"/>
      <c r="AF551" s="75" t="n"/>
    </row>
    <row r="552" ht="15.75" customHeight="1" s="133">
      <c r="A552" s="75" t="n"/>
      <c r="B552" s="75" t="n"/>
      <c r="C552" s="75" t="n"/>
      <c r="D552" s="75" t="n"/>
      <c r="E552" s="76" t="n"/>
      <c r="F552" s="77" t="n"/>
      <c r="G552" s="75" t="n"/>
      <c r="H552" s="75">
        <f>IF(ISBLANK(E552),"",IF(OR(D552="Butterfly",D552="Butterfly ",D552="Iron Fly", D552="Iron Fly "),LEN(E552)-LEN(SUBSTITUTE(E552,"/",""))+2,LEN(E552)-LEN(SUBSTITUTE(E552,"/",""))+1))</f>
        <v/>
      </c>
      <c r="I552" s="78">
        <f>IF(ISBLANK(G552),"",IF(D552="Stock","0",Key!$A$3*H552*G552))</f>
        <v/>
      </c>
      <c r="J552" s="78">
        <f>IF(ISBLANK(E552),"",IF(ISNUMBER(SEARCH("/",E552)), IF(LEN(E552)-LEN(SUBSTITUTE(E552,"/",""))=1,(RIGHT(E552,LEN(E552)-FIND("/",E552)))-(LEFT(E552,FIND("/",E552)-1)),(MID(E552, SEARCH("/",E552) + 1, SEARCH("/",E552, SEARCH("/",E552)+1) - SEARCH("/",E552) - 1))-(LEFT(E552,FIND("/",E552)-1))), "NA"))</f>
        <v/>
      </c>
      <c r="K552" s="79">
        <f>IF(A552&lt;&gt;"", IF(ISBLANK(L552), TODAY(), K552), "")</f>
        <v/>
      </c>
      <c r="L552" s="78" t="n"/>
      <c r="M552" s="78">
        <f>IF(ISBLANK(L552),"",IF(D552="Stock",IF(C552="Buy",L552*G552,IF(C552="Sell",(L552*G552)-I552, X)),IF(C552="Buy",(L552*G552*100)+I552,IF(C552="Sell",(L552*G552*100)-I552, X))))</f>
        <v/>
      </c>
      <c r="N552" s="78">
        <f>IF(ISBLANK(L552),"",IF(AND(C552="Sell",D552="Stock"),M552,IF(ISBLANK(L552),"",IF(C552="Buy",M552, IF(AND(C552="Sell",J552="NA"),(E552*G552*100*0.1)+I552, IF(C552="Sell",(J552-L552)*(100*G552)+I552))))))</f>
        <v/>
      </c>
      <c r="O552" s="75" t="n"/>
      <c r="P552" s="75" t="n"/>
      <c r="Q552" s="75">
        <f>IF(ISBLANK(P552),"",IF(D552="Stock",P552*G552,IF(P552=0,"0",G552*P552*100-(G552*$AF$14))))</f>
        <v/>
      </c>
      <c r="R552" s="79">
        <f>IF(P552&lt;&gt;"", TODAY(), "")</f>
        <v/>
      </c>
      <c r="S552" s="78">
        <f>IF(AND(K552&lt;&gt;"", R552&lt;&gt;""), R552-K552, "")</f>
        <v/>
      </c>
      <c r="T552" s="78" t="n"/>
      <c r="U552" s="92">
        <f>IF(ISBLANK(P552),"",IF(C552="Buy",Q552-M552+T552, IF(C552="Sell",M552-Q552-T552, X)))</f>
        <v/>
      </c>
      <c r="V552" s="81">
        <f>IF(ISBLANK(P552),"",U552/N552)</f>
        <v/>
      </c>
      <c r="W552" s="81">
        <f>IF(ISBLANK(P552),"",IF(S552=0,(365/0.5)*V552,(365/S552)*V552))</f>
        <v/>
      </c>
      <c r="X552" s="75" t="n"/>
      <c r="Y552" s="77" t="n"/>
      <c r="Z552" s="77" t="n"/>
      <c r="AA552" s="75" t="n"/>
      <c r="AB552" s="75" t="n"/>
      <c r="AC552" s="6" t="n"/>
      <c r="AD552" s="75" t="n"/>
      <c r="AE552" s="75" t="n"/>
      <c r="AF552" s="75" t="n"/>
    </row>
    <row r="553" ht="15.75" customHeight="1" s="133">
      <c r="A553" s="75" t="n"/>
      <c r="B553" s="75" t="n"/>
      <c r="C553" s="75" t="n"/>
      <c r="D553" s="75" t="n"/>
      <c r="E553" s="76" t="n"/>
      <c r="F553" s="77" t="n"/>
      <c r="G553" s="75" t="n"/>
      <c r="H553" s="75">
        <f>IF(ISBLANK(E553),"",IF(OR(D553="Butterfly",D553="Butterfly ",D553="Iron Fly", D553="Iron Fly "),LEN(E553)-LEN(SUBSTITUTE(E553,"/",""))+2,LEN(E553)-LEN(SUBSTITUTE(E553,"/",""))+1))</f>
        <v/>
      </c>
      <c r="I553" s="78">
        <f>IF(ISBLANK(G553),"",IF(D553="Stock","0",Key!$A$3*H553*G553))</f>
        <v/>
      </c>
      <c r="J553" s="78">
        <f>IF(ISBLANK(E553),"",IF(ISNUMBER(SEARCH("/",E553)), IF(LEN(E553)-LEN(SUBSTITUTE(E553,"/",""))=1,(RIGHT(E553,LEN(E553)-FIND("/",E553)))-(LEFT(E553,FIND("/",E553)-1)),(MID(E553, SEARCH("/",E553) + 1, SEARCH("/",E553, SEARCH("/",E553)+1) - SEARCH("/",E553) - 1))-(LEFT(E553,FIND("/",E553)-1))), "NA"))</f>
        <v/>
      </c>
      <c r="K553" s="79">
        <f>IF(A553&lt;&gt;"", IF(ISBLANK(L553), TODAY(), K553), "")</f>
        <v/>
      </c>
      <c r="L553" s="78" t="n"/>
      <c r="M553" s="78">
        <f>IF(ISBLANK(L553),"",IF(D553="Stock",IF(C553="Buy",L553*G553,IF(C553="Sell",(L553*G553)-I553, X)),IF(C553="Buy",(L553*G553*100)+I553,IF(C553="Sell",(L553*G553*100)-I553, X))))</f>
        <v/>
      </c>
      <c r="N553" s="78">
        <f>IF(ISBLANK(L553),"",IF(AND(C553="Sell",D553="Stock"),M553,IF(ISBLANK(L553),"",IF(C553="Buy",M553, IF(AND(C553="Sell",J553="NA"),(E553*G553*100*0.1)+I553, IF(C553="Sell",(J553-L553)*(100*G553)+I553))))))</f>
        <v/>
      </c>
      <c r="O553" s="75" t="n"/>
      <c r="P553" s="75" t="n"/>
      <c r="Q553" s="75">
        <f>IF(ISBLANK(P553),"",IF(D553="Stock",P553*G553,IF(P553=0,"0",G553*P553*100-(G553*$AF$14))))</f>
        <v/>
      </c>
      <c r="R553" s="79">
        <f>IF(P553&lt;&gt;"", TODAY(), "")</f>
        <v/>
      </c>
      <c r="S553" s="78">
        <f>IF(AND(K553&lt;&gt;"", R553&lt;&gt;""), R553-K553, "")</f>
        <v/>
      </c>
      <c r="T553" s="78" t="n"/>
      <c r="U553" s="92">
        <f>IF(ISBLANK(P553),"",IF(C553="Buy",Q553-M553+T553, IF(C553="Sell",M553-Q553-T553, X)))</f>
        <v/>
      </c>
      <c r="V553" s="81">
        <f>IF(ISBLANK(P553),"",U553/N553)</f>
        <v/>
      </c>
      <c r="W553" s="81">
        <f>IF(ISBLANK(P553),"",IF(S553=0,(365/0.5)*V553,(365/S553)*V553))</f>
        <v/>
      </c>
      <c r="X553" s="75" t="n"/>
      <c r="Y553" s="77" t="n"/>
      <c r="Z553" s="77" t="n"/>
      <c r="AA553" s="75" t="n"/>
      <c r="AB553" s="75" t="n"/>
      <c r="AC553" s="6" t="n"/>
      <c r="AD553" s="75" t="n"/>
      <c r="AE553" s="75" t="n"/>
      <c r="AF553" s="75" t="n"/>
    </row>
    <row r="554" ht="15.75" customHeight="1" s="133">
      <c r="A554" s="75" t="n"/>
      <c r="B554" s="75" t="n"/>
      <c r="C554" s="75" t="n"/>
      <c r="D554" s="75" t="n"/>
      <c r="E554" s="76" t="n"/>
      <c r="F554" s="77" t="n"/>
      <c r="G554" s="75" t="n"/>
      <c r="H554" s="75">
        <f>IF(ISBLANK(E554),"",IF(OR(D554="Butterfly",D554="Butterfly ",D554="Iron Fly", D554="Iron Fly "),LEN(E554)-LEN(SUBSTITUTE(E554,"/",""))+2,LEN(E554)-LEN(SUBSTITUTE(E554,"/",""))+1))</f>
        <v/>
      </c>
      <c r="I554" s="78">
        <f>IF(ISBLANK(G554),"",IF(D554="Stock","0",Key!$A$3*H554*G554))</f>
        <v/>
      </c>
      <c r="J554" s="78">
        <f>IF(ISBLANK(E554),"",IF(ISNUMBER(SEARCH("/",E554)), IF(LEN(E554)-LEN(SUBSTITUTE(E554,"/",""))=1,(RIGHT(E554,LEN(E554)-FIND("/",E554)))-(LEFT(E554,FIND("/",E554)-1)),(MID(E554, SEARCH("/",E554) + 1, SEARCH("/",E554, SEARCH("/",E554)+1) - SEARCH("/",E554) - 1))-(LEFT(E554,FIND("/",E554)-1))), "NA"))</f>
        <v/>
      </c>
      <c r="K554" s="79">
        <f>IF(A554&lt;&gt;"", IF(ISBLANK(L554), TODAY(), K554), "")</f>
        <v/>
      </c>
      <c r="L554" s="78" t="n"/>
      <c r="M554" s="78">
        <f>IF(ISBLANK(L554),"",IF(D554="Stock",IF(C554="Buy",L554*G554,IF(C554="Sell",(L554*G554)-I554, X)),IF(C554="Buy",(L554*G554*100)+I554,IF(C554="Sell",(L554*G554*100)-I554, X))))</f>
        <v/>
      </c>
      <c r="N554" s="78">
        <f>IF(ISBLANK(L554),"",IF(AND(C554="Sell",D554="Stock"),M554,IF(ISBLANK(L554),"",IF(C554="Buy",M554, IF(AND(C554="Sell",J554="NA"),(E554*G554*100*0.1)+I554, IF(C554="Sell",(J554-L554)*(100*G554)+I554))))))</f>
        <v/>
      </c>
      <c r="O554" s="75" t="n"/>
      <c r="P554" s="75" t="n"/>
      <c r="Q554" s="75">
        <f>IF(ISBLANK(P554),"",IF(D554="Stock",P554*G554,IF(P554=0,"0",G554*P554*100-(G554*$AF$14))))</f>
        <v/>
      </c>
      <c r="R554" s="79">
        <f>IF(P554&lt;&gt;"", TODAY(), "")</f>
        <v/>
      </c>
      <c r="S554" s="78">
        <f>IF(AND(K554&lt;&gt;"", R554&lt;&gt;""), R554-K554, "")</f>
        <v/>
      </c>
      <c r="T554" s="78" t="n"/>
      <c r="U554" s="92">
        <f>IF(ISBLANK(P554),"",IF(C554="Buy",Q554-M554+T554, IF(C554="Sell",M554-Q554-T554, X)))</f>
        <v/>
      </c>
      <c r="V554" s="81">
        <f>IF(ISBLANK(P554),"",U554/N554)</f>
        <v/>
      </c>
      <c r="W554" s="81">
        <f>IF(ISBLANK(P554),"",IF(S554=0,(365/0.5)*V554,(365/S554)*V554))</f>
        <v/>
      </c>
      <c r="X554" s="75" t="n"/>
      <c r="Y554" s="77" t="n"/>
      <c r="Z554" s="77" t="n"/>
      <c r="AA554" s="75" t="n"/>
      <c r="AB554" s="75" t="n"/>
      <c r="AC554" s="6" t="n"/>
      <c r="AD554" s="75" t="n"/>
      <c r="AE554" s="75" t="n"/>
      <c r="AF554" s="75" t="n"/>
    </row>
    <row r="555" ht="15.75" customHeight="1" s="133">
      <c r="A555" s="75" t="n"/>
      <c r="B555" s="75" t="n"/>
      <c r="C555" s="75" t="n"/>
      <c r="D555" s="75" t="n"/>
      <c r="E555" s="76" t="n"/>
      <c r="F555" s="77" t="n"/>
      <c r="G555" s="75" t="n"/>
      <c r="H555" s="75">
        <f>IF(ISBLANK(E555),"",IF(OR(D555="Butterfly",D555="Butterfly ",D555="Iron Fly", D555="Iron Fly "),LEN(E555)-LEN(SUBSTITUTE(E555,"/",""))+2,LEN(E555)-LEN(SUBSTITUTE(E555,"/",""))+1))</f>
        <v/>
      </c>
      <c r="I555" s="78">
        <f>IF(ISBLANK(G555),"",IF(D555="Stock","0",Key!$A$3*H555*G555))</f>
        <v/>
      </c>
      <c r="J555" s="78">
        <f>IF(ISBLANK(E555),"",IF(ISNUMBER(SEARCH("/",E555)), IF(LEN(E555)-LEN(SUBSTITUTE(E555,"/",""))=1,(RIGHT(E555,LEN(E555)-FIND("/",E555)))-(LEFT(E555,FIND("/",E555)-1)),(MID(E555, SEARCH("/",E555) + 1, SEARCH("/",E555, SEARCH("/",E555)+1) - SEARCH("/",E555) - 1))-(LEFT(E555,FIND("/",E555)-1))), "NA"))</f>
        <v/>
      </c>
      <c r="K555" s="79">
        <f>IF(A555&lt;&gt;"", IF(ISBLANK(L555), TODAY(), K555), "")</f>
        <v/>
      </c>
      <c r="L555" s="78" t="n"/>
      <c r="M555" s="78">
        <f>IF(ISBLANK(L555),"",IF(D555="Stock",IF(C555="Buy",L555*G555,IF(C555="Sell",(L555*G555)-I555, X)),IF(C555="Buy",(L555*G555*100)+I555,IF(C555="Sell",(L555*G555*100)-I555, X))))</f>
        <v/>
      </c>
      <c r="N555" s="78">
        <f>IF(ISBLANK(L555),"",IF(AND(C555="Sell",D555="Stock"),M555,IF(ISBLANK(L555),"",IF(C555="Buy",M555, IF(AND(C555="Sell",J555="NA"),(E555*G555*100*0.1)+I555, IF(C555="Sell",(J555-L555)*(100*G555)+I555))))))</f>
        <v/>
      </c>
      <c r="O555" s="75" t="n"/>
      <c r="P555" s="75" t="n"/>
      <c r="Q555" s="75">
        <f>IF(ISBLANK(P555),"",IF(D555="Stock",P555*G555,IF(P555=0,"0",G555*P555*100-(G555*$AF$14))))</f>
        <v/>
      </c>
      <c r="R555" s="79">
        <f>IF(P555&lt;&gt;"", TODAY(), "")</f>
        <v/>
      </c>
      <c r="S555" s="78">
        <f>IF(AND(K555&lt;&gt;"", R555&lt;&gt;""), R555-K555, "")</f>
        <v/>
      </c>
      <c r="T555" s="78" t="n"/>
      <c r="U555" s="92">
        <f>IF(ISBLANK(P555),"",IF(C555="Buy",Q555-M555+T555, IF(C555="Sell",M555-Q555-T555, X)))</f>
        <v/>
      </c>
      <c r="V555" s="81">
        <f>IF(ISBLANK(P555),"",U555/N555)</f>
        <v/>
      </c>
      <c r="W555" s="81">
        <f>IF(ISBLANK(P555),"",IF(S555=0,(365/0.5)*V555,(365/S555)*V555))</f>
        <v/>
      </c>
      <c r="X555" s="75" t="n"/>
      <c r="Y555" s="77" t="n"/>
      <c r="Z555" s="77" t="n"/>
      <c r="AA555" s="75" t="n"/>
      <c r="AB555" s="75" t="n"/>
      <c r="AC555" s="6" t="n"/>
      <c r="AD555" s="75" t="n"/>
      <c r="AE555" s="75" t="n"/>
      <c r="AF555" s="75" t="n"/>
    </row>
    <row r="556" ht="15.75" customHeight="1" s="133">
      <c r="A556" s="75" t="n"/>
      <c r="B556" s="75" t="n"/>
      <c r="C556" s="75" t="n"/>
      <c r="D556" s="75" t="n"/>
      <c r="E556" s="76" t="n"/>
      <c r="F556" s="77" t="n"/>
      <c r="G556" s="75" t="n"/>
      <c r="H556" s="75">
        <f>IF(ISBLANK(E556),"",IF(OR(D556="Butterfly",D556="Butterfly ",D556="Iron Fly", D556="Iron Fly "),LEN(E556)-LEN(SUBSTITUTE(E556,"/",""))+2,LEN(E556)-LEN(SUBSTITUTE(E556,"/",""))+1))</f>
        <v/>
      </c>
      <c r="I556" s="78">
        <f>IF(ISBLANK(G556),"",IF(D556="Stock","0",Key!$A$3*H556*G556))</f>
        <v/>
      </c>
      <c r="J556" s="78">
        <f>IF(ISBLANK(E556),"",IF(ISNUMBER(SEARCH("/",E556)), IF(LEN(E556)-LEN(SUBSTITUTE(E556,"/",""))=1,(RIGHT(E556,LEN(E556)-FIND("/",E556)))-(LEFT(E556,FIND("/",E556)-1)),(MID(E556, SEARCH("/",E556) + 1, SEARCH("/",E556, SEARCH("/",E556)+1) - SEARCH("/",E556) - 1))-(LEFT(E556,FIND("/",E556)-1))), "NA"))</f>
        <v/>
      </c>
      <c r="K556" s="79">
        <f>IF(A556&lt;&gt;"", IF(ISBLANK(L556), TODAY(), K556), "")</f>
        <v/>
      </c>
      <c r="L556" s="78" t="n"/>
      <c r="M556" s="78">
        <f>IF(ISBLANK(L556),"",IF(D556="Stock",IF(C556="Buy",L556*G556,IF(C556="Sell",(L556*G556)-I556, X)),IF(C556="Buy",(L556*G556*100)+I556,IF(C556="Sell",(L556*G556*100)-I556, X))))</f>
        <v/>
      </c>
      <c r="N556" s="78">
        <f>IF(ISBLANK(L556),"",IF(AND(C556="Sell",D556="Stock"),M556,IF(ISBLANK(L556),"",IF(C556="Buy",M556, IF(AND(C556="Sell",J556="NA"),(E556*G556*100*0.1)+I556, IF(C556="Sell",(J556-L556)*(100*G556)+I556))))))</f>
        <v/>
      </c>
      <c r="O556" s="75" t="n"/>
      <c r="P556" s="75" t="n"/>
      <c r="Q556" s="75">
        <f>IF(ISBLANK(P556),"",IF(D556="Stock",P556*G556,IF(P556=0,"0",G556*P556*100-(G556*$AF$14))))</f>
        <v/>
      </c>
      <c r="R556" s="79">
        <f>IF(P556&lt;&gt;"", TODAY(), "")</f>
        <v/>
      </c>
      <c r="S556" s="78">
        <f>IF(AND(K556&lt;&gt;"", R556&lt;&gt;""), R556-K556, "")</f>
        <v/>
      </c>
      <c r="T556" s="78" t="n"/>
      <c r="U556" s="92">
        <f>IF(ISBLANK(P556),"",IF(C556="Buy",Q556-M556+T556, IF(C556="Sell",M556-Q556-T556, X)))</f>
        <v/>
      </c>
      <c r="V556" s="81">
        <f>IF(ISBLANK(P556),"",U556/N556)</f>
        <v/>
      </c>
      <c r="W556" s="81">
        <f>IF(ISBLANK(P556),"",IF(S556=0,(365/0.5)*V556,(365/S556)*V556))</f>
        <v/>
      </c>
      <c r="X556" s="75" t="n"/>
      <c r="Y556" s="77" t="n"/>
      <c r="Z556" s="77" t="n"/>
      <c r="AA556" s="75" t="n"/>
      <c r="AB556" s="75" t="n"/>
      <c r="AC556" s="6" t="n"/>
      <c r="AD556" s="75" t="n"/>
      <c r="AE556" s="75" t="n"/>
      <c r="AF556" s="75" t="n"/>
    </row>
    <row r="557" ht="15.75" customHeight="1" s="133">
      <c r="A557" s="75" t="n"/>
      <c r="B557" s="75" t="n"/>
      <c r="C557" s="75" t="n"/>
      <c r="D557" s="75" t="n"/>
      <c r="E557" s="76" t="n"/>
      <c r="F557" s="77" t="n"/>
      <c r="G557" s="75" t="n"/>
      <c r="H557" s="75">
        <f>IF(ISBLANK(E557),"",IF(OR(D557="Butterfly",D557="Butterfly ",D557="Iron Fly", D557="Iron Fly "),LEN(E557)-LEN(SUBSTITUTE(E557,"/",""))+2,LEN(E557)-LEN(SUBSTITUTE(E557,"/",""))+1))</f>
        <v/>
      </c>
      <c r="I557" s="78">
        <f>IF(ISBLANK(G557),"",IF(D557="Stock","0",Key!$A$3*H557*G557))</f>
        <v/>
      </c>
      <c r="J557" s="78">
        <f>IF(ISBLANK(E557),"",IF(ISNUMBER(SEARCH("/",E557)), IF(LEN(E557)-LEN(SUBSTITUTE(E557,"/",""))=1,(RIGHT(E557,LEN(E557)-FIND("/",E557)))-(LEFT(E557,FIND("/",E557)-1)),(MID(E557, SEARCH("/",E557) + 1, SEARCH("/",E557, SEARCH("/",E557)+1) - SEARCH("/",E557) - 1))-(LEFT(E557,FIND("/",E557)-1))), "NA"))</f>
        <v/>
      </c>
      <c r="K557" s="79">
        <f>IF(A557&lt;&gt;"", IF(ISBLANK(L557), TODAY(), K557), "")</f>
        <v/>
      </c>
      <c r="L557" s="78" t="n"/>
      <c r="M557" s="78">
        <f>IF(ISBLANK(L557),"",IF(D557="Stock",IF(C557="Buy",L557*G557,IF(C557="Sell",(L557*G557)-I557, X)),IF(C557="Buy",(L557*G557*100)+I557,IF(C557="Sell",(L557*G557*100)-I557, X))))</f>
        <v/>
      </c>
      <c r="N557" s="78">
        <f>IF(ISBLANK(L557),"",IF(AND(C557="Sell",D557="Stock"),M557,IF(ISBLANK(L557),"",IF(C557="Buy",M557, IF(AND(C557="Sell",J557="NA"),(E557*G557*100*0.1)+I557, IF(C557="Sell",(J557-L557)*(100*G557)+I557))))))</f>
        <v/>
      </c>
      <c r="O557" s="75" t="n"/>
      <c r="P557" s="75" t="n"/>
      <c r="Q557" s="75">
        <f>IF(ISBLANK(P557),"",IF(D557="Stock",P557*G557,IF(P557=0,"0",G557*P557*100-(G557*$AF$14))))</f>
        <v/>
      </c>
      <c r="R557" s="79">
        <f>IF(P557&lt;&gt;"", TODAY(), "")</f>
        <v/>
      </c>
      <c r="S557" s="78">
        <f>IF(AND(K557&lt;&gt;"", R557&lt;&gt;""), R557-K557, "")</f>
        <v/>
      </c>
      <c r="T557" s="78" t="n"/>
      <c r="U557" s="92">
        <f>IF(ISBLANK(P557),"",IF(C557="Buy",Q557-M557+T557, IF(C557="Sell",M557-Q557-T557, X)))</f>
        <v/>
      </c>
      <c r="V557" s="81">
        <f>IF(ISBLANK(P557),"",U557/N557)</f>
        <v/>
      </c>
      <c r="W557" s="81">
        <f>IF(ISBLANK(P557),"",IF(S557=0,(365/0.5)*V557,(365/S557)*V557))</f>
        <v/>
      </c>
      <c r="X557" s="75" t="n"/>
      <c r="Y557" s="77" t="n"/>
      <c r="Z557" s="77" t="n"/>
      <c r="AA557" s="75" t="n"/>
      <c r="AB557" s="75" t="n"/>
      <c r="AC557" s="6" t="n"/>
      <c r="AD557" s="75" t="n"/>
      <c r="AE557" s="75" t="n"/>
      <c r="AF557" s="75" t="n"/>
    </row>
    <row r="558" ht="15.75" customHeight="1" s="133">
      <c r="A558" s="75" t="n"/>
      <c r="B558" s="75" t="n"/>
      <c r="C558" s="75" t="n"/>
      <c r="D558" s="75" t="n"/>
      <c r="E558" s="76" t="n"/>
      <c r="F558" s="77" t="n"/>
      <c r="G558" s="75" t="n"/>
      <c r="H558" s="75">
        <f>IF(ISBLANK(E558),"",IF(OR(D558="Butterfly",D558="Butterfly ",D558="Iron Fly", D558="Iron Fly "),LEN(E558)-LEN(SUBSTITUTE(E558,"/",""))+2,LEN(E558)-LEN(SUBSTITUTE(E558,"/",""))+1))</f>
        <v/>
      </c>
      <c r="I558" s="78">
        <f>IF(ISBLANK(G558),"",IF(D558="Stock","0",Key!$A$3*H558*G558))</f>
        <v/>
      </c>
      <c r="J558" s="78">
        <f>IF(ISBLANK(E558),"",IF(ISNUMBER(SEARCH("/",E558)), IF(LEN(E558)-LEN(SUBSTITUTE(E558,"/",""))=1,(RIGHT(E558,LEN(E558)-FIND("/",E558)))-(LEFT(E558,FIND("/",E558)-1)),(MID(E558, SEARCH("/",E558) + 1, SEARCH("/",E558, SEARCH("/",E558)+1) - SEARCH("/",E558) - 1))-(LEFT(E558,FIND("/",E558)-1))), "NA"))</f>
        <v/>
      </c>
      <c r="K558" s="79">
        <f>IF(A558&lt;&gt;"", IF(ISBLANK(L558), TODAY(), K558), "")</f>
        <v/>
      </c>
      <c r="L558" s="78" t="n"/>
      <c r="M558" s="78">
        <f>IF(ISBLANK(L558),"",IF(D558="Stock",IF(C558="Buy",L558*G558,IF(C558="Sell",(L558*G558)-I558, X)),IF(C558="Buy",(L558*G558*100)+I558,IF(C558="Sell",(L558*G558*100)-I558, X))))</f>
        <v/>
      </c>
      <c r="N558" s="78">
        <f>IF(ISBLANK(L558),"",IF(AND(C558="Sell",D558="Stock"),M558,IF(ISBLANK(L558),"",IF(C558="Buy",M558, IF(AND(C558="Sell",J558="NA"),(E558*G558*100*0.1)+I558, IF(C558="Sell",(J558-L558)*(100*G558)+I558))))))</f>
        <v/>
      </c>
      <c r="O558" s="75" t="n"/>
      <c r="P558" s="75" t="n"/>
      <c r="Q558" s="75">
        <f>IF(ISBLANK(P558),"",IF(D558="Stock",P558*G558,IF(P558=0,"0",G558*P558*100-(G558*$AF$14))))</f>
        <v/>
      </c>
      <c r="R558" s="79">
        <f>IF(P558&lt;&gt;"", TODAY(), "")</f>
        <v/>
      </c>
      <c r="S558" s="78">
        <f>IF(AND(K558&lt;&gt;"", R558&lt;&gt;""), R558-K558, "")</f>
        <v/>
      </c>
      <c r="T558" s="78" t="n"/>
      <c r="U558" s="92">
        <f>IF(ISBLANK(P558),"",IF(C558="Buy",Q558-M558+T558, IF(C558="Sell",M558-Q558-T558, X)))</f>
        <v/>
      </c>
      <c r="V558" s="81">
        <f>IF(ISBLANK(P558),"",U558/N558)</f>
        <v/>
      </c>
      <c r="W558" s="81">
        <f>IF(ISBLANK(P558),"",IF(S558=0,(365/0.5)*V558,(365/S558)*V558))</f>
        <v/>
      </c>
      <c r="X558" s="75" t="n"/>
      <c r="Y558" s="77" t="n"/>
      <c r="Z558" s="77" t="n"/>
      <c r="AA558" s="75" t="n"/>
      <c r="AB558" s="75" t="n"/>
      <c r="AC558" s="6" t="n"/>
      <c r="AD558" s="75" t="n"/>
      <c r="AE558" s="75" t="n"/>
      <c r="AF558" s="75" t="n"/>
    </row>
    <row r="559" ht="15.75" customHeight="1" s="133">
      <c r="A559" s="75" t="n"/>
      <c r="B559" s="75" t="n"/>
      <c r="C559" s="75" t="n"/>
      <c r="D559" s="75" t="n"/>
      <c r="E559" s="76" t="n"/>
      <c r="F559" s="77" t="n"/>
      <c r="G559" s="75" t="n"/>
      <c r="H559" s="75">
        <f>IF(ISBLANK(E559),"",IF(OR(D559="Butterfly",D559="Butterfly ",D559="Iron Fly", D559="Iron Fly "),LEN(E559)-LEN(SUBSTITUTE(E559,"/",""))+2,LEN(E559)-LEN(SUBSTITUTE(E559,"/",""))+1))</f>
        <v/>
      </c>
      <c r="I559" s="78">
        <f>IF(ISBLANK(G559),"",IF(D559="Stock","0",Key!$A$3*H559*G559))</f>
        <v/>
      </c>
      <c r="J559" s="78">
        <f>IF(ISBLANK(E559),"",IF(ISNUMBER(SEARCH("/",E559)), IF(LEN(E559)-LEN(SUBSTITUTE(E559,"/",""))=1,(RIGHT(E559,LEN(E559)-FIND("/",E559)))-(LEFT(E559,FIND("/",E559)-1)),(MID(E559, SEARCH("/",E559) + 1, SEARCH("/",E559, SEARCH("/",E559)+1) - SEARCH("/",E559) - 1))-(LEFT(E559,FIND("/",E559)-1))), "NA"))</f>
        <v/>
      </c>
      <c r="K559" s="79">
        <f>IF(A559&lt;&gt;"", IF(ISBLANK(L559), TODAY(), K559), "")</f>
        <v/>
      </c>
      <c r="L559" s="78" t="n"/>
      <c r="M559" s="78">
        <f>IF(ISBLANK(L559),"",IF(D559="Stock",IF(C559="Buy",L559*G559,IF(C559="Sell",(L559*G559)-I559, X)),IF(C559="Buy",(L559*G559*100)+I559,IF(C559="Sell",(L559*G559*100)-I559, X))))</f>
        <v/>
      </c>
      <c r="N559" s="78">
        <f>IF(ISBLANK(L559),"",IF(AND(C559="Sell",D559="Stock"),M559,IF(ISBLANK(L559),"",IF(C559="Buy",M559, IF(AND(C559="Sell",J559="NA"),(E559*G559*100*0.1)+I559, IF(C559="Sell",(J559-L559)*(100*G559)+I559))))))</f>
        <v/>
      </c>
      <c r="O559" s="75" t="n"/>
      <c r="P559" s="75" t="n"/>
      <c r="Q559" s="75">
        <f>IF(ISBLANK(P559),"",IF(D559="Stock",P559*G559,IF(P559=0,"0",G559*P559*100-(G559*$AF$14))))</f>
        <v/>
      </c>
      <c r="R559" s="79">
        <f>IF(P559&lt;&gt;"", TODAY(), "")</f>
        <v/>
      </c>
      <c r="S559" s="78">
        <f>IF(AND(K559&lt;&gt;"", R559&lt;&gt;""), R559-K559, "")</f>
        <v/>
      </c>
      <c r="T559" s="78" t="n"/>
      <c r="U559" s="92">
        <f>IF(ISBLANK(P559),"",IF(C559="Buy",Q559-M559+T559, IF(C559="Sell",M559-Q559-T559, X)))</f>
        <v/>
      </c>
      <c r="V559" s="81">
        <f>IF(ISBLANK(P559),"",U559/N559)</f>
        <v/>
      </c>
      <c r="W559" s="81">
        <f>IF(ISBLANK(P559),"",IF(S559=0,(365/0.5)*V559,(365/S559)*V559))</f>
        <v/>
      </c>
      <c r="X559" s="75" t="n"/>
      <c r="Y559" s="77" t="n"/>
      <c r="Z559" s="77" t="n"/>
      <c r="AA559" s="75" t="n"/>
      <c r="AB559" s="75" t="n"/>
      <c r="AC559" s="6" t="n"/>
      <c r="AD559" s="75" t="n"/>
      <c r="AE559" s="75" t="n"/>
      <c r="AF559" s="75" t="n"/>
    </row>
    <row r="560" ht="15.75" customHeight="1" s="133">
      <c r="A560" s="75" t="n"/>
      <c r="B560" s="75" t="n"/>
      <c r="C560" s="75" t="n"/>
      <c r="D560" s="75" t="n"/>
      <c r="E560" s="76" t="n"/>
      <c r="F560" s="77" t="n"/>
      <c r="G560" s="75" t="n"/>
      <c r="H560" s="75">
        <f>IF(ISBLANK(E560),"",IF(OR(D560="Butterfly",D560="Butterfly ",D560="Iron Fly", D560="Iron Fly "),LEN(E560)-LEN(SUBSTITUTE(E560,"/",""))+2,LEN(E560)-LEN(SUBSTITUTE(E560,"/",""))+1))</f>
        <v/>
      </c>
      <c r="I560" s="78">
        <f>IF(ISBLANK(G560),"",IF(D560="Stock","0",Key!$A$3*H560*G560))</f>
        <v/>
      </c>
      <c r="J560" s="78">
        <f>IF(ISBLANK(E560),"",IF(ISNUMBER(SEARCH("/",E560)), IF(LEN(E560)-LEN(SUBSTITUTE(E560,"/",""))=1,(RIGHT(E560,LEN(E560)-FIND("/",E560)))-(LEFT(E560,FIND("/",E560)-1)),(MID(E560, SEARCH("/",E560) + 1, SEARCH("/",E560, SEARCH("/",E560)+1) - SEARCH("/",E560) - 1))-(LEFT(E560,FIND("/",E560)-1))), "NA"))</f>
        <v/>
      </c>
      <c r="K560" s="79">
        <f>IF(A560&lt;&gt;"", IF(ISBLANK(L560), TODAY(), K560), "")</f>
        <v/>
      </c>
      <c r="L560" s="78" t="n"/>
      <c r="M560" s="78">
        <f>IF(ISBLANK(L560),"",IF(D560="Stock",IF(C560="Buy",L560*G560,IF(C560="Sell",(L560*G560)-I560, X)),IF(C560="Buy",(L560*G560*100)+I560,IF(C560="Sell",(L560*G560*100)-I560, X))))</f>
        <v/>
      </c>
      <c r="N560" s="78">
        <f>IF(ISBLANK(L560),"",IF(AND(C560="Sell",D560="Stock"),M560,IF(ISBLANK(L560),"",IF(C560="Buy",M560, IF(AND(C560="Sell",J560="NA"),(E560*G560*100*0.1)+I560, IF(C560="Sell",(J560-L560)*(100*G560)+I560))))))</f>
        <v/>
      </c>
      <c r="O560" s="75" t="n"/>
      <c r="P560" s="75" t="n"/>
      <c r="Q560" s="75">
        <f>IF(ISBLANK(P560),"",IF(D560="Stock",P560*G560,IF(P560=0,"0",G560*P560*100-(G560*$AF$14))))</f>
        <v/>
      </c>
      <c r="R560" s="79">
        <f>IF(P560&lt;&gt;"", TODAY(), "")</f>
        <v/>
      </c>
      <c r="S560" s="78">
        <f>IF(AND(K560&lt;&gt;"", R560&lt;&gt;""), R560-K560, "")</f>
        <v/>
      </c>
      <c r="T560" s="78" t="n"/>
      <c r="U560" s="92">
        <f>IF(ISBLANK(P560),"",IF(C560="Buy",Q560-M560+T560, IF(C560="Sell",M560-Q560-T560, X)))</f>
        <v/>
      </c>
      <c r="V560" s="81">
        <f>IF(ISBLANK(P560),"",U560/N560)</f>
        <v/>
      </c>
      <c r="W560" s="81">
        <f>IF(ISBLANK(P560),"",IF(S560=0,(365/0.5)*V560,(365/S560)*V560))</f>
        <v/>
      </c>
      <c r="X560" s="75" t="n"/>
      <c r="Y560" s="77" t="n"/>
      <c r="Z560" s="77" t="n"/>
      <c r="AA560" s="75" t="n"/>
      <c r="AB560" s="75" t="n"/>
      <c r="AC560" s="6" t="n"/>
      <c r="AD560" s="75" t="n"/>
      <c r="AE560" s="75" t="n"/>
      <c r="AF560" s="75" t="n"/>
    </row>
    <row r="561" ht="15.75" customHeight="1" s="133">
      <c r="A561" s="75" t="n"/>
      <c r="B561" s="75" t="n"/>
      <c r="C561" s="75" t="n"/>
      <c r="D561" s="75" t="n"/>
      <c r="E561" s="76" t="n"/>
      <c r="F561" s="77" t="n"/>
      <c r="G561" s="75" t="n"/>
      <c r="H561" s="75">
        <f>IF(ISBLANK(E561),"",IF(OR(D561="Butterfly",D561="Butterfly ",D561="Iron Fly", D561="Iron Fly "),LEN(E561)-LEN(SUBSTITUTE(E561,"/",""))+2,LEN(E561)-LEN(SUBSTITUTE(E561,"/",""))+1))</f>
        <v/>
      </c>
      <c r="I561" s="78">
        <f>IF(ISBLANK(G561),"",IF(D561="Stock","0",Key!$A$3*H561*G561))</f>
        <v/>
      </c>
      <c r="J561" s="78">
        <f>IF(ISBLANK(E561),"",IF(ISNUMBER(SEARCH("/",E561)), IF(LEN(E561)-LEN(SUBSTITUTE(E561,"/",""))=1,(RIGHT(E561,LEN(E561)-FIND("/",E561)))-(LEFT(E561,FIND("/",E561)-1)),(MID(E561, SEARCH("/",E561) + 1, SEARCH("/",E561, SEARCH("/",E561)+1) - SEARCH("/",E561) - 1))-(LEFT(E561,FIND("/",E561)-1))), "NA"))</f>
        <v/>
      </c>
      <c r="K561" s="79">
        <f>IF(A561&lt;&gt;"", IF(ISBLANK(L561), TODAY(), K561), "")</f>
        <v/>
      </c>
      <c r="L561" s="78" t="n"/>
      <c r="M561" s="78">
        <f>IF(ISBLANK(L561),"",IF(D561="Stock",IF(C561="Buy",L561*G561,IF(C561="Sell",(L561*G561)-I561, X)),IF(C561="Buy",(L561*G561*100)+I561,IF(C561="Sell",(L561*G561*100)-I561, X))))</f>
        <v/>
      </c>
      <c r="N561" s="78">
        <f>IF(ISBLANK(L561),"",IF(AND(C561="Sell",D561="Stock"),M561,IF(ISBLANK(L561),"",IF(C561="Buy",M561, IF(AND(C561="Sell",J561="NA"),(E561*G561*100*0.1)+I561, IF(C561="Sell",(J561-L561)*(100*G561)+I561))))))</f>
        <v/>
      </c>
      <c r="O561" s="75" t="n"/>
      <c r="P561" s="75" t="n"/>
      <c r="Q561" s="75">
        <f>IF(ISBLANK(P561),"",IF(D561="Stock",P561*G561,IF(P561=0,"0",G561*P561*100-(G561*$AF$14))))</f>
        <v/>
      </c>
      <c r="R561" s="79">
        <f>IF(P561&lt;&gt;"", TODAY(), "")</f>
        <v/>
      </c>
      <c r="S561" s="78">
        <f>IF(AND(K561&lt;&gt;"", R561&lt;&gt;""), R561-K561, "")</f>
        <v/>
      </c>
      <c r="T561" s="78" t="n"/>
      <c r="U561" s="92">
        <f>IF(ISBLANK(P561),"",IF(C561="Buy",Q561-M561+T561, IF(C561="Sell",M561-Q561-T561, X)))</f>
        <v/>
      </c>
      <c r="V561" s="81">
        <f>IF(ISBLANK(P561),"",U561/N561)</f>
        <v/>
      </c>
      <c r="W561" s="81">
        <f>IF(ISBLANK(P561),"",IF(S561=0,(365/0.5)*V561,(365/S561)*V561))</f>
        <v/>
      </c>
      <c r="X561" s="75" t="n"/>
      <c r="Y561" s="77" t="n"/>
      <c r="Z561" s="77" t="n"/>
      <c r="AA561" s="75" t="n"/>
      <c r="AB561" s="75" t="n"/>
      <c r="AC561" s="6" t="n"/>
      <c r="AD561" s="75" t="n"/>
      <c r="AE561" s="75" t="n"/>
      <c r="AF561" s="75" t="n"/>
    </row>
    <row r="562" ht="15.75" customHeight="1" s="133">
      <c r="A562" s="75" t="n"/>
      <c r="B562" s="75" t="n"/>
      <c r="C562" s="75" t="n"/>
      <c r="D562" s="75" t="n"/>
      <c r="E562" s="76" t="n"/>
      <c r="F562" s="77" t="n"/>
      <c r="G562" s="75" t="n"/>
      <c r="H562" s="75">
        <f>IF(ISBLANK(E562),"",IF(OR(D562="Butterfly",D562="Butterfly ",D562="Iron Fly", D562="Iron Fly "),LEN(E562)-LEN(SUBSTITUTE(E562,"/",""))+2,LEN(E562)-LEN(SUBSTITUTE(E562,"/",""))+1))</f>
        <v/>
      </c>
      <c r="I562" s="78">
        <f>IF(ISBLANK(G562),"",IF(D562="Stock","0",Key!$A$3*H562*G562))</f>
        <v/>
      </c>
      <c r="J562" s="78">
        <f>IF(ISBLANK(E562),"",IF(ISNUMBER(SEARCH("/",E562)), IF(LEN(E562)-LEN(SUBSTITUTE(E562,"/",""))=1,(RIGHT(E562,LEN(E562)-FIND("/",E562)))-(LEFT(E562,FIND("/",E562)-1)),(MID(E562, SEARCH("/",E562) + 1, SEARCH("/",E562, SEARCH("/",E562)+1) - SEARCH("/",E562) - 1))-(LEFT(E562,FIND("/",E562)-1))), "NA"))</f>
        <v/>
      </c>
      <c r="K562" s="79">
        <f>IF(A562&lt;&gt;"", IF(ISBLANK(L562), TODAY(), K562), "")</f>
        <v/>
      </c>
      <c r="L562" s="78" t="n"/>
      <c r="M562" s="78">
        <f>IF(ISBLANK(L562),"",IF(D562="Stock",IF(C562="Buy",L562*G562,IF(C562="Sell",(L562*G562)-I562, X)),IF(C562="Buy",(L562*G562*100)+I562,IF(C562="Sell",(L562*G562*100)-I562, X))))</f>
        <v/>
      </c>
      <c r="N562" s="78">
        <f>IF(ISBLANK(L562),"",IF(AND(C562="Sell",D562="Stock"),M562,IF(ISBLANK(L562),"",IF(C562="Buy",M562, IF(AND(C562="Sell",J562="NA"),(E562*G562*100*0.1)+I562, IF(C562="Sell",(J562-L562)*(100*G562)+I562))))))</f>
        <v/>
      </c>
      <c r="O562" s="75" t="n"/>
      <c r="P562" s="75" t="n"/>
      <c r="Q562" s="75">
        <f>IF(ISBLANK(P562),"",IF(D562="Stock",P562*G562,IF(P562=0,"0",G562*P562*100-(G562*$AF$14))))</f>
        <v/>
      </c>
      <c r="R562" s="79">
        <f>IF(P562&lt;&gt;"", TODAY(), "")</f>
        <v/>
      </c>
      <c r="S562" s="78">
        <f>IF(AND(K562&lt;&gt;"", R562&lt;&gt;""), R562-K562, "")</f>
        <v/>
      </c>
      <c r="T562" s="78" t="n"/>
      <c r="U562" s="92">
        <f>IF(ISBLANK(P562),"",IF(C562="Buy",Q562-M562+T562, IF(C562="Sell",M562-Q562-T562, X)))</f>
        <v/>
      </c>
      <c r="V562" s="81">
        <f>IF(ISBLANK(P562),"",U562/N562)</f>
        <v/>
      </c>
      <c r="W562" s="81">
        <f>IF(ISBLANK(P562),"",IF(S562=0,(365/0.5)*V562,(365/S562)*V562))</f>
        <v/>
      </c>
      <c r="X562" s="75" t="n"/>
      <c r="Y562" s="77" t="n"/>
      <c r="Z562" s="77" t="n"/>
      <c r="AA562" s="75" t="n"/>
      <c r="AB562" s="75" t="n"/>
      <c r="AC562" s="6" t="n"/>
      <c r="AD562" s="75" t="n"/>
      <c r="AE562" s="75" t="n"/>
      <c r="AF562" s="75" t="n"/>
    </row>
    <row r="563" ht="15.75" customHeight="1" s="133">
      <c r="A563" s="75" t="n"/>
      <c r="B563" s="75" t="n"/>
      <c r="C563" s="75" t="n"/>
      <c r="D563" s="75" t="n"/>
      <c r="E563" s="76" t="n"/>
      <c r="F563" s="77" t="n"/>
      <c r="G563" s="75" t="n"/>
      <c r="H563" s="75">
        <f>IF(ISBLANK(E563),"",IF(OR(D563="Butterfly",D563="Butterfly ",D563="Iron Fly", D563="Iron Fly "),LEN(E563)-LEN(SUBSTITUTE(E563,"/",""))+2,LEN(E563)-LEN(SUBSTITUTE(E563,"/",""))+1))</f>
        <v/>
      </c>
      <c r="I563" s="78">
        <f>IF(ISBLANK(G563),"",IF(D563="Stock","0",Key!$A$3*H563*G563))</f>
        <v/>
      </c>
      <c r="J563" s="78">
        <f>IF(ISBLANK(E563),"",IF(ISNUMBER(SEARCH("/",E563)), IF(LEN(E563)-LEN(SUBSTITUTE(E563,"/",""))=1,(RIGHT(E563,LEN(E563)-FIND("/",E563)))-(LEFT(E563,FIND("/",E563)-1)),(MID(E563, SEARCH("/",E563) + 1, SEARCH("/",E563, SEARCH("/",E563)+1) - SEARCH("/",E563) - 1))-(LEFT(E563,FIND("/",E563)-1))), "NA"))</f>
        <v/>
      </c>
      <c r="K563" s="79">
        <f>IF(A563&lt;&gt;"", IF(ISBLANK(L563), TODAY(), K563), "")</f>
        <v/>
      </c>
      <c r="L563" s="78" t="n"/>
      <c r="M563" s="78">
        <f>IF(ISBLANK(L563),"",IF(D563="Stock",IF(C563="Buy",L563*G563,IF(C563="Sell",(L563*G563)-I563, X)),IF(C563="Buy",(L563*G563*100)+I563,IF(C563="Sell",(L563*G563*100)-I563, X))))</f>
        <v/>
      </c>
      <c r="N563" s="78">
        <f>IF(ISBLANK(L563),"",IF(AND(C563="Sell",D563="Stock"),M563,IF(ISBLANK(L563),"",IF(C563="Buy",M563, IF(AND(C563="Sell",J563="NA"),(E563*G563*100*0.1)+I563, IF(C563="Sell",(J563-L563)*(100*G563)+I563))))))</f>
        <v/>
      </c>
      <c r="O563" s="75" t="n"/>
      <c r="P563" s="75" t="n"/>
      <c r="Q563" s="75">
        <f>IF(ISBLANK(P563),"",IF(D563="Stock",P563*G563,IF(P563=0,"0",G563*P563*100-(G563*$AF$14))))</f>
        <v/>
      </c>
      <c r="R563" s="79">
        <f>IF(P563&lt;&gt;"", TODAY(), "")</f>
        <v/>
      </c>
      <c r="S563" s="78">
        <f>IF(AND(K563&lt;&gt;"", R563&lt;&gt;""), R563-K563, "")</f>
        <v/>
      </c>
      <c r="T563" s="78" t="n"/>
      <c r="U563" s="92">
        <f>IF(ISBLANK(P563),"",IF(C563="Buy",Q563-M563+T563, IF(C563="Sell",M563-Q563-T563, X)))</f>
        <v/>
      </c>
      <c r="V563" s="81">
        <f>IF(ISBLANK(P563),"",U563/N563)</f>
        <v/>
      </c>
      <c r="W563" s="81">
        <f>IF(ISBLANK(P563),"",IF(S563=0,(365/0.5)*V563,(365/S563)*V563))</f>
        <v/>
      </c>
      <c r="X563" s="75" t="n"/>
      <c r="Y563" s="77" t="n"/>
      <c r="Z563" s="77" t="n"/>
      <c r="AA563" s="75" t="n"/>
      <c r="AB563" s="75" t="n"/>
      <c r="AC563" s="6" t="n"/>
      <c r="AD563" s="75" t="n"/>
      <c r="AE563" s="75" t="n"/>
      <c r="AF563" s="75" t="n"/>
    </row>
    <row r="564" ht="15.75" customHeight="1" s="133">
      <c r="A564" s="75" t="n"/>
      <c r="B564" s="75" t="n"/>
      <c r="C564" s="75" t="n"/>
      <c r="D564" s="75" t="n"/>
      <c r="E564" s="76" t="n"/>
      <c r="F564" s="77" t="n"/>
      <c r="G564" s="75" t="n"/>
      <c r="H564" s="75">
        <f>IF(ISBLANK(E564),"",IF(OR(D564="Butterfly",D564="Butterfly ",D564="Iron Fly", D564="Iron Fly "),LEN(E564)-LEN(SUBSTITUTE(E564,"/",""))+2,LEN(E564)-LEN(SUBSTITUTE(E564,"/",""))+1))</f>
        <v/>
      </c>
      <c r="I564" s="78">
        <f>IF(ISBLANK(G564),"",IF(D564="Stock","0",Key!$A$3*H564*G564))</f>
        <v/>
      </c>
      <c r="J564" s="78">
        <f>IF(ISBLANK(E564),"",IF(ISNUMBER(SEARCH("/",E564)), IF(LEN(E564)-LEN(SUBSTITUTE(E564,"/",""))=1,(RIGHT(E564,LEN(E564)-FIND("/",E564)))-(LEFT(E564,FIND("/",E564)-1)),(MID(E564, SEARCH("/",E564) + 1, SEARCH("/",E564, SEARCH("/",E564)+1) - SEARCH("/",E564) - 1))-(LEFT(E564,FIND("/",E564)-1))), "NA"))</f>
        <v/>
      </c>
      <c r="K564" s="79">
        <f>IF(A564&lt;&gt;"", IF(ISBLANK(L564), TODAY(), K564), "")</f>
        <v/>
      </c>
      <c r="L564" s="78" t="n"/>
      <c r="M564" s="78">
        <f>IF(ISBLANK(L564),"",IF(D564="Stock",IF(C564="Buy",L564*G564,IF(C564="Sell",(L564*G564)-I564, X)),IF(C564="Buy",(L564*G564*100)+I564,IF(C564="Sell",(L564*G564*100)-I564, X))))</f>
        <v/>
      </c>
      <c r="N564" s="78">
        <f>IF(ISBLANK(L564),"",IF(AND(C564="Sell",D564="Stock"),M564,IF(ISBLANK(L564),"",IF(C564="Buy",M564, IF(AND(C564="Sell",J564="NA"),(E564*G564*100*0.1)+I564, IF(C564="Sell",(J564-L564)*(100*G564)+I564))))))</f>
        <v/>
      </c>
      <c r="O564" s="75" t="n"/>
      <c r="P564" s="75" t="n"/>
      <c r="Q564" s="75">
        <f>IF(ISBLANK(P564),"",IF(D564="Stock",P564*G564,IF(P564=0,"0",G564*P564*100-(G564*$AF$14))))</f>
        <v/>
      </c>
      <c r="R564" s="79">
        <f>IF(P564&lt;&gt;"", TODAY(), "")</f>
        <v/>
      </c>
      <c r="S564" s="78">
        <f>IF(AND(K564&lt;&gt;"", R564&lt;&gt;""), R564-K564, "")</f>
        <v/>
      </c>
      <c r="T564" s="78" t="n"/>
      <c r="U564" s="92">
        <f>IF(ISBLANK(P564),"",IF(C564="Buy",Q564-M564+T564, IF(C564="Sell",M564-Q564-T564, X)))</f>
        <v/>
      </c>
      <c r="V564" s="81">
        <f>IF(ISBLANK(P564),"",U564/N564)</f>
        <v/>
      </c>
      <c r="W564" s="81">
        <f>IF(ISBLANK(P564),"",IF(S564=0,(365/0.5)*V564,(365/S564)*V564))</f>
        <v/>
      </c>
      <c r="X564" s="75" t="n"/>
      <c r="Y564" s="77" t="n"/>
      <c r="Z564" s="77" t="n"/>
      <c r="AA564" s="75" t="n"/>
      <c r="AB564" s="75" t="n"/>
      <c r="AC564" s="6" t="n"/>
      <c r="AD564" s="75" t="n"/>
      <c r="AE564" s="75" t="n"/>
      <c r="AF564" s="75" t="n"/>
    </row>
    <row r="565" ht="15.75" customHeight="1" s="133">
      <c r="A565" s="75" t="n"/>
      <c r="B565" s="75" t="n"/>
      <c r="C565" s="75" t="n"/>
      <c r="D565" s="75" t="n"/>
      <c r="E565" s="76" t="n"/>
      <c r="F565" s="77" t="n"/>
      <c r="G565" s="75" t="n"/>
      <c r="H565" s="75">
        <f>IF(ISBLANK(E565),"",IF(OR(D565="Butterfly",D565="Butterfly ",D565="Iron Fly", D565="Iron Fly "),LEN(E565)-LEN(SUBSTITUTE(E565,"/",""))+2,LEN(E565)-LEN(SUBSTITUTE(E565,"/",""))+1))</f>
        <v/>
      </c>
      <c r="I565" s="78">
        <f>IF(ISBLANK(G565),"",IF(D565="Stock","0",Key!$A$3*H565*G565))</f>
        <v/>
      </c>
      <c r="J565" s="78">
        <f>IF(ISBLANK(E565),"",IF(ISNUMBER(SEARCH("/",E565)), IF(LEN(E565)-LEN(SUBSTITUTE(E565,"/",""))=1,(RIGHT(E565,LEN(E565)-FIND("/",E565)))-(LEFT(E565,FIND("/",E565)-1)),(MID(E565, SEARCH("/",E565) + 1, SEARCH("/",E565, SEARCH("/",E565)+1) - SEARCH("/",E565) - 1))-(LEFT(E565,FIND("/",E565)-1))), "NA"))</f>
        <v/>
      </c>
      <c r="K565" s="79">
        <f>IF(A565&lt;&gt;"", IF(ISBLANK(L565), TODAY(), K565), "")</f>
        <v/>
      </c>
      <c r="L565" s="78" t="n"/>
      <c r="M565" s="78">
        <f>IF(ISBLANK(L565),"",IF(D565="Stock",IF(C565="Buy",L565*G565,IF(C565="Sell",(L565*G565)-I565, X)),IF(C565="Buy",(L565*G565*100)+I565,IF(C565="Sell",(L565*G565*100)-I565, X))))</f>
        <v/>
      </c>
      <c r="N565" s="78">
        <f>IF(ISBLANK(L565),"",IF(AND(C565="Sell",D565="Stock"),M565,IF(ISBLANK(L565),"",IF(C565="Buy",M565, IF(AND(C565="Sell",J565="NA"),(E565*G565*100*0.1)+I565, IF(C565="Sell",(J565-L565)*(100*G565)+I565))))))</f>
        <v/>
      </c>
      <c r="O565" s="75" t="n"/>
      <c r="P565" s="75" t="n"/>
      <c r="Q565" s="75">
        <f>IF(ISBLANK(P565),"",IF(D565="Stock",P565*G565,IF(P565=0,"0",G565*P565*100-(G565*$AF$14))))</f>
        <v/>
      </c>
      <c r="R565" s="79">
        <f>IF(P565&lt;&gt;"", TODAY(), "")</f>
        <v/>
      </c>
      <c r="S565" s="78">
        <f>IF(AND(K565&lt;&gt;"", R565&lt;&gt;""), R565-K565, "")</f>
        <v/>
      </c>
      <c r="T565" s="78" t="n"/>
      <c r="U565" s="92">
        <f>IF(ISBLANK(P565),"",IF(C565="Buy",Q565-M565+T565, IF(C565="Sell",M565-Q565-T565, X)))</f>
        <v/>
      </c>
      <c r="V565" s="81">
        <f>IF(ISBLANK(P565),"",U565/N565)</f>
        <v/>
      </c>
      <c r="W565" s="81">
        <f>IF(ISBLANK(P565),"",IF(S565=0,(365/0.5)*V565,(365/S565)*V565))</f>
        <v/>
      </c>
      <c r="X565" s="75" t="n"/>
      <c r="Y565" s="77" t="n"/>
      <c r="Z565" s="77" t="n"/>
      <c r="AA565" s="75" t="n"/>
      <c r="AB565" s="75" t="n"/>
      <c r="AC565" s="6" t="n"/>
      <c r="AD565" s="75" t="n"/>
      <c r="AE565" s="75" t="n"/>
      <c r="AF565" s="75" t="n"/>
    </row>
    <row r="566" ht="15.75" customHeight="1" s="133">
      <c r="A566" s="75" t="n"/>
      <c r="B566" s="75" t="n"/>
      <c r="C566" s="75" t="n"/>
      <c r="D566" s="75" t="n"/>
      <c r="E566" s="76" t="n"/>
      <c r="F566" s="77" t="n"/>
      <c r="G566" s="75" t="n"/>
      <c r="H566" s="75">
        <f>IF(ISBLANK(E566),"",IF(OR(D566="Butterfly",D566="Butterfly ",D566="Iron Fly", D566="Iron Fly "),LEN(E566)-LEN(SUBSTITUTE(E566,"/",""))+2,LEN(E566)-LEN(SUBSTITUTE(E566,"/",""))+1))</f>
        <v/>
      </c>
      <c r="I566" s="78">
        <f>IF(ISBLANK(G566),"",IF(D566="Stock","0",Key!$A$3*H566*G566))</f>
        <v/>
      </c>
      <c r="J566" s="78">
        <f>IF(ISBLANK(E566),"",IF(ISNUMBER(SEARCH("/",E566)), IF(LEN(E566)-LEN(SUBSTITUTE(E566,"/",""))=1,(RIGHT(E566,LEN(E566)-FIND("/",E566)))-(LEFT(E566,FIND("/",E566)-1)),(MID(E566, SEARCH("/",E566) + 1, SEARCH("/",E566, SEARCH("/",E566)+1) - SEARCH("/",E566) - 1))-(LEFT(E566,FIND("/",E566)-1))), "NA"))</f>
        <v/>
      </c>
      <c r="K566" s="79">
        <f>IF(A566&lt;&gt;"", IF(ISBLANK(L566), TODAY(), K566), "")</f>
        <v/>
      </c>
      <c r="L566" s="78" t="n"/>
      <c r="M566" s="78">
        <f>IF(ISBLANK(L566),"",IF(D566="Stock",IF(C566="Buy",L566*G566,IF(C566="Sell",(L566*G566)-I566, X)),IF(C566="Buy",(L566*G566*100)+I566,IF(C566="Sell",(L566*G566*100)-I566, X))))</f>
        <v/>
      </c>
      <c r="N566" s="78">
        <f>IF(ISBLANK(L566),"",IF(AND(C566="Sell",D566="Stock"),M566,IF(ISBLANK(L566),"",IF(C566="Buy",M566, IF(AND(C566="Sell",J566="NA"),(E566*G566*100*0.1)+I566, IF(C566="Sell",(J566-L566)*(100*G566)+I566))))))</f>
        <v/>
      </c>
      <c r="O566" s="75" t="n"/>
      <c r="P566" s="75" t="n"/>
      <c r="Q566" s="75">
        <f>IF(ISBLANK(P566),"",IF(D566="Stock",P566*G566,IF(P566=0,"0",G566*P566*100-(G566*$AF$14))))</f>
        <v/>
      </c>
      <c r="R566" s="79">
        <f>IF(P566&lt;&gt;"", TODAY(), "")</f>
        <v/>
      </c>
      <c r="S566" s="78">
        <f>IF(AND(K566&lt;&gt;"", R566&lt;&gt;""), R566-K566, "")</f>
        <v/>
      </c>
      <c r="T566" s="78" t="n"/>
      <c r="U566" s="92">
        <f>IF(ISBLANK(P566),"",IF(C566="Buy",Q566-M566+T566, IF(C566="Sell",M566-Q566-T566, X)))</f>
        <v/>
      </c>
      <c r="V566" s="81">
        <f>IF(ISBLANK(P566),"",U566/N566)</f>
        <v/>
      </c>
      <c r="W566" s="81">
        <f>IF(ISBLANK(P566),"",IF(S566=0,(365/0.5)*V566,(365/S566)*V566))</f>
        <v/>
      </c>
      <c r="X566" s="75" t="n"/>
      <c r="Y566" s="77" t="n"/>
      <c r="Z566" s="77" t="n"/>
      <c r="AA566" s="75" t="n"/>
      <c r="AB566" s="75" t="n"/>
      <c r="AC566" s="6" t="n"/>
      <c r="AD566" s="75" t="n"/>
      <c r="AE566" s="75" t="n"/>
      <c r="AF566" s="75" t="n"/>
    </row>
    <row r="567" ht="15.75" customHeight="1" s="133">
      <c r="A567" s="75" t="n"/>
      <c r="B567" s="75" t="n"/>
      <c r="C567" s="75" t="n"/>
      <c r="D567" s="75" t="n"/>
      <c r="E567" s="76" t="n"/>
      <c r="F567" s="77" t="n"/>
      <c r="G567" s="75" t="n"/>
      <c r="H567" s="75">
        <f>IF(ISBLANK(E567),"",IF(OR(D567="Butterfly",D567="Butterfly ",D567="Iron Fly", D567="Iron Fly "),LEN(E567)-LEN(SUBSTITUTE(E567,"/",""))+2,LEN(E567)-LEN(SUBSTITUTE(E567,"/",""))+1))</f>
        <v/>
      </c>
      <c r="I567" s="78">
        <f>IF(ISBLANK(G567),"",IF(D567="Stock","0",Key!$A$3*H567*G567))</f>
        <v/>
      </c>
      <c r="J567" s="78">
        <f>IF(ISBLANK(E567),"",IF(ISNUMBER(SEARCH("/",E567)), IF(LEN(E567)-LEN(SUBSTITUTE(E567,"/",""))=1,(RIGHT(E567,LEN(E567)-FIND("/",E567)))-(LEFT(E567,FIND("/",E567)-1)),(MID(E567, SEARCH("/",E567) + 1, SEARCH("/",E567, SEARCH("/",E567)+1) - SEARCH("/",E567) - 1))-(LEFT(E567,FIND("/",E567)-1))), "NA"))</f>
        <v/>
      </c>
      <c r="K567" s="79">
        <f>IF(A567&lt;&gt;"", IF(ISBLANK(L567), TODAY(), K567), "")</f>
        <v/>
      </c>
      <c r="L567" s="78" t="n"/>
      <c r="M567" s="78">
        <f>IF(ISBLANK(L567),"",IF(D567="Stock",IF(C567="Buy",L567*G567,IF(C567="Sell",(L567*G567)-I567, X)),IF(C567="Buy",(L567*G567*100)+I567,IF(C567="Sell",(L567*G567*100)-I567, X))))</f>
        <v/>
      </c>
      <c r="N567" s="78">
        <f>IF(ISBLANK(L567),"",IF(AND(C567="Sell",D567="Stock"),M567,IF(ISBLANK(L567),"",IF(C567="Buy",M567, IF(AND(C567="Sell",J567="NA"),(E567*G567*100*0.1)+I567, IF(C567="Sell",(J567-L567)*(100*G567)+I567))))))</f>
        <v/>
      </c>
      <c r="O567" s="75" t="n"/>
      <c r="P567" s="75" t="n"/>
      <c r="Q567" s="75">
        <f>IF(ISBLANK(P567),"",IF(D567="Stock",P567*G567,IF(P567=0,"0",G567*P567*100-(G567*$AF$14))))</f>
        <v/>
      </c>
      <c r="R567" s="79">
        <f>IF(P567&lt;&gt;"", TODAY(), "")</f>
        <v/>
      </c>
      <c r="S567" s="78">
        <f>IF(AND(K567&lt;&gt;"", R567&lt;&gt;""), R567-K567, "")</f>
        <v/>
      </c>
      <c r="T567" s="78" t="n"/>
      <c r="U567" s="92">
        <f>IF(ISBLANK(P567),"",IF(C567="Buy",Q567-M567+T567, IF(C567="Sell",M567-Q567-T567, X)))</f>
        <v/>
      </c>
      <c r="V567" s="81">
        <f>IF(ISBLANK(P567),"",U567/N567)</f>
        <v/>
      </c>
      <c r="W567" s="81">
        <f>IF(ISBLANK(P567),"",IF(S567=0,(365/0.5)*V567,(365/S567)*V567))</f>
        <v/>
      </c>
      <c r="X567" s="75" t="n"/>
      <c r="Y567" s="77" t="n"/>
      <c r="Z567" s="77" t="n"/>
      <c r="AA567" s="75" t="n"/>
      <c r="AB567" s="75" t="n"/>
      <c r="AC567" s="6" t="n"/>
      <c r="AD567" s="75" t="n"/>
      <c r="AE567" s="75" t="n"/>
      <c r="AF567" s="75" t="n"/>
    </row>
    <row r="568" ht="15.75" customHeight="1" s="133">
      <c r="A568" s="75" t="n"/>
      <c r="B568" s="75" t="n"/>
      <c r="C568" s="75" t="n"/>
      <c r="D568" s="75" t="n"/>
      <c r="E568" s="76" t="n"/>
      <c r="F568" s="77" t="n"/>
      <c r="G568" s="75" t="n"/>
      <c r="H568" s="75">
        <f>IF(ISBLANK(E568),"",IF(OR(D568="Butterfly",D568="Butterfly ",D568="Iron Fly", D568="Iron Fly "),LEN(E568)-LEN(SUBSTITUTE(E568,"/",""))+2,LEN(E568)-LEN(SUBSTITUTE(E568,"/",""))+1))</f>
        <v/>
      </c>
      <c r="I568" s="78">
        <f>IF(ISBLANK(G568),"",IF(D568="Stock","0",Key!$A$3*H568*G568))</f>
        <v/>
      </c>
      <c r="J568" s="78">
        <f>IF(ISBLANK(E568),"",IF(ISNUMBER(SEARCH("/",E568)), IF(LEN(E568)-LEN(SUBSTITUTE(E568,"/",""))=1,(RIGHT(E568,LEN(E568)-FIND("/",E568)))-(LEFT(E568,FIND("/",E568)-1)),(MID(E568, SEARCH("/",E568) + 1, SEARCH("/",E568, SEARCH("/",E568)+1) - SEARCH("/",E568) - 1))-(LEFT(E568,FIND("/",E568)-1))), "NA"))</f>
        <v/>
      </c>
      <c r="K568" s="79">
        <f>IF(A568&lt;&gt;"", IF(ISBLANK(L568), TODAY(), K568), "")</f>
        <v/>
      </c>
      <c r="L568" s="78" t="n"/>
      <c r="M568" s="78">
        <f>IF(ISBLANK(L568),"",IF(D568="Stock",IF(C568="Buy",L568*G568,IF(C568="Sell",(L568*G568)-I568, X)),IF(C568="Buy",(L568*G568*100)+I568,IF(C568="Sell",(L568*G568*100)-I568, X))))</f>
        <v/>
      </c>
      <c r="N568" s="78">
        <f>IF(ISBLANK(L568),"",IF(AND(C568="Sell",D568="Stock"),M568,IF(ISBLANK(L568),"",IF(C568="Buy",M568, IF(AND(C568="Sell",J568="NA"),(E568*G568*100*0.1)+I568, IF(C568="Sell",(J568-L568)*(100*G568)+I568))))))</f>
        <v/>
      </c>
      <c r="O568" s="75" t="n"/>
      <c r="P568" s="75" t="n"/>
      <c r="Q568" s="75">
        <f>IF(ISBLANK(P568),"",IF(D568="Stock",P568*G568,IF(P568=0,"0",G568*P568*100-(G568*$AF$14))))</f>
        <v/>
      </c>
      <c r="R568" s="79">
        <f>IF(P568&lt;&gt;"", TODAY(), "")</f>
        <v/>
      </c>
      <c r="S568" s="78">
        <f>IF(AND(K568&lt;&gt;"", R568&lt;&gt;""), R568-K568, "")</f>
        <v/>
      </c>
      <c r="T568" s="78" t="n"/>
      <c r="U568" s="92">
        <f>IF(ISBLANK(P568),"",IF(C568="Buy",Q568-M568+T568, IF(C568="Sell",M568-Q568-T568, X)))</f>
        <v/>
      </c>
      <c r="V568" s="81">
        <f>IF(ISBLANK(P568),"",U568/N568)</f>
        <v/>
      </c>
      <c r="W568" s="81">
        <f>IF(ISBLANK(P568),"",IF(S568=0,(365/0.5)*V568,(365/S568)*V568))</f>
        <v/>
      </c>
      <c r="X568" s="75" t="n"/>
      <c r="Y568" s="77" t="n"/>
      <c r="Z568" s="77" t="n"/>
      <c r="AA568" s="75" t="n"/>
      <c r="AB568" s="75" t="n"/>
      <c r="AC568" s="6" t="n"/>
      <c r="AD568" s="75" t="n"/>
      <c r="AE568" s="75" t="n"/>
      <c r="AF568" s="75" t="n"/>
    </row>
    <row r="569" ht="15.75" customHeight="1" s="133">
      <c r="A569" s="75" t="n"/>
      <c r="B569" s="75" t="n"/>
      <c r="C569" s="75" t="n"/>
      <c r="D569" s="75" t="n"/>
      <c r="E569" s="76" t="n"/>
      <c r="F569" s="77" t="n"/>
      <c r="G569" s="75" t="n"/>
      <c r="H569" s="75">
        <f>IF(ISBLANK(E569),"",IF(OR(D569="Butterfly",D569="Butterfly ",D569="Iron Fly", D569="Iron Fly "),LEN(E569)-LEN(SUBSTITUTE(E569,"/",""))+2,LEN(E569)-LEN(SUBSTITUTE(E569,"/",""))+1))</f>
        <v/>
      </c>
      <c r="I569" s="78">
        <f>IF(ISBLANK(G569),"",IF(D569="Stock","0",Key!$A$3*H569*G569))</f>
        <v/>
      </c>
      <c r="J569" s="78">
        <f>IF(ISBLANK(E569),"",IF(ISNUMBER(SEARCH("/",E569)), IF(LEN(E569)-LEN(SUBSTITUTE(E569,"/",""))=1,(RIGHT(E569,LEN(E569)-FIND("/",E569)))-(LEFT(E569,FIND("/",E569)-1)),(MID(E569, SEARCH("/",E569) + 1, SEARCH("/",E569, SEARCH("/",E569)+1) - SEARCH("/",E569) - 1))-(LEFT(E569,FIND("/",E569)-1))), "NA"))</f>
        <v/>
      </c>
      <c r="K569" s="79">
        <f>IF(A569&lt;&gt;"", IF(ISBLANK(L569), TODAY(), K569), "")</f>
        <v/>
      </c>
      <c r="L569" s="78" t="n"/>
      <c r="M569" s="78">
        <f>IF(ISBLANK(L569),"",IF(D569="Stock",IF(C569="Buy",L569*G569,IF(C569="Sell",(L569*G569)-I569, X)),IF(C569="Buy",(L569*G569*100)+I569,IF(C569="Sell",(L569*G569*100)-I569, X))))</f>
        <v/>
      </c>
      <c r="N569" s="78">
        <f>IF(ISBLANK(L569),"",IF(AND(C569="Sell",D569="Stock"),M569,IF(ISBLANK(L569),"",IF(C569="Buy",M569, IF(AND(C569="Sell",J569="NA"),(E569*G569*100*0.1)+I569, IF(C569="Sell",(J569-L569)*(100*G569)+I569))))))</f>
        <v/>
      </c>
      <c r="O569" s="75" t="n"/>
      <c r="P569" s="75" t="n"/>
      <c r="Q569" s="75">
        <f>IF(ISBLANK(P569),"",IF(D569="Stock",P569*G569,IF(P569=0,"0",G569*P569*100-(G569*$AF$14))))</f>
        <v/>
      </c>
      <c r="R569" s="79">
        <f>IF(P569&lt;&gt;"", TODAY(), "")</f>
        <v/>
      </c>
      <c r="S569" s="78">
        <f>IF(AND(K569&lt;&gt;"", R569&lt;&gt;""), R569-K569, "")</f>
        <v/>
      </c>
      <c r="T569" s="78" t="n"/>
      <c r="U569" s="92">
        <f>IF(ISBLANK(P569),"",IF(C569="Buy",Q569-M569+T569, IF(C569="Sell",M569-Q569-T569, X)))</f>
        <v/>
      </c>
      <c r="V569" s="81">
        <f>IF(ISBLANK(P569),"",U569/N569)</f>
        <v/>
      </c>
      <c r="W569" s="81">
        <f>IF(ISBLANK(P569),"",IF(S569=0,(365/0.5)*V569,(365/S569)*V569))</f>
        <v/>
      </c>
      <c r="X569" s="75" t="n"/>
      <c r="Y569" s="77" t="n"/>
      <c r="Z569" s="77" t="n"/>
      <c r="AA569" s="75" t="n"/>
      <c r="AB569" s="75" t="n"/>
      <c r="AC569" s="6" t="n"/>
      <c r="AD569" s="75" t="n"/>
      <c r="AE569" s="75" t="n"/>
      <c r="AF569" s="75" t="n"/>
    </row>
    <row r="570" ht="15.75" customHeight="1" s="133">
      <c r="A570" s="75" t="n"/>
      <c r="B570" s="75" t="n"/>
      <c r="C570" s="75" t="n"/>
      <c r="D570" s="75" t="n"/>
      <c r="E570" s="76" t="n"/>
      <c r="F570" s="77" t="n"/>
      <c r="G570" s="75" t="n"/>
      <c r="H570" s="75">
        <f>IF(ISBLANK(E570),"",IF(OR(D570="Butterfly",D570="Butterfly ",D570="Iron Fly", D570="Iron Fly "),LEN(E570)-LEN(SUBSTITUTE(E570,"/",""))+2,LEN(E570)-LEN(SUBSTITUTE(E570,"/",""))+1))</f>
        <v/>
      </c>
      <c r="I570" s="78">
        <f>IF(ISBLANK(G570),"",IF(D570="Stock","0",Key!$A$3*H570*G570))</f>
        <v/>
      </c>
      <c r="J570" s="78">
        <f>IF(ISBLANK(E570),"",IF(ISNUMBER(SEARCH("/",E570)), IF(LEN(E570)-LEN(SUBSTITUTE(E570,"/",""))=1,(RIGHT(E570,LEN(E570)-FIND("/",E570)))-(LEFT(E570,FIND("/",E570)-1)),(MID(E570, SEARCH("/",E570) + 1, SEARCH("/",E570, SEARCH("/",E570)+1) - SEARCH("/",E570) - 1))-(LEFT(E570,FIND("/",E570)-1))), "NA"))</f>
        <v/>
      </c>
      <c r="K570" s="79">
        <f>IF(A570&lt;&gt;"", IF(ISBLANK(L570), TODAY(), K570), "")</f>
        <v/>
      </c>
      <c r="L570" s="78" t="n"/>
      <c r="M570" s="78">
        <f>IF(ISBLANK(L570),"",IF(D570="Stock",IF(C570="Buy",L570*G570,IF(C570="Sell",(L570*G570)-I570, X)),IF(C570="Buy",(L570*G570*100)+I570,IF(C570="Sell",(L570*G570*100)-I570, X))))</f>
        <v/>
      </c>
      <c r="N570" s="78">
        <f>IF(ISBLANK(L570),"",IF(AND(C570="Sell",D570="Stock"),M570,IF(ISBLANK(L570),"",IF(C570="Buy",M570, IF(AND(C570="Sell",J570="NA"),(E570*G570*100*0.1)+I570, IF(C570="Sell",(J570-L570)*(100*G570)+I570))))))</f>
        <v/>
      </c>
      <c r="O570" s="75" t="n"/>
      <c r="P570" s="75" t="n"/>
      <c r="Q570" s="75">
        <f>IF(ISBLANK(P570),"",IF(D570="Stock",P570*G570,IF(P570=0,"0",G570*P570*100-(G570*$AF$14))))</f>
        <v/>
      </c>
      <c r="R570" s="79">
        <f>IF(P570&lt;&gt;"", TODAY(), "")</f>
        <v/>
      </c>
      <c r="S570" s="78">
        <f>IF(AND(K570&lt;&gt;"", R570&lt;&gt;""), R570-K570, "")</f>
        <v/>
      </c>
      <c r="T570" s="78" t="n"/>
      <c r="U570" s="92">
        <f>IF(ISBLANK(P570),"",IF(C570="Buy",Q570-M570+T570, IF(C570="Sell",M570-Q570-T570, X)))</f>
        <v/>
      </c>
      <c r="V570" s="81">
        <f>IF(ISBLANK(P570),"",U570/N570)</f>
        <v/>
      </c>
      <c r="W570" s="81">
        <f>IF(ISBLANK(P570),"",IF(S570=0,(365/0.5)*V570,(365/S570)*V570))</f>
        <v/>
      </c>
      <c r="X570" s="75" t="n"/>
      <c r="Y570" s="77" t="n"/>
      <c r="Z570" s="77" t="n"/>
      <c r="AA570" s="75" t="n"/>
      <c r="AB570" s="75" t="n"/>
      <c r="AC570" s="6" t="n"/>
      <c r="AD570" s="75" t="n"/>
      <c r="AE570" s="75" t="n"/>
      <c r="AF570" s="75" t="n"/>
    </row>
    <row r="571" ht="15.75" customHeight="1" s="133">
      <c r="A571" s="75" t="n"/>
      <c r="B571" s="75" t="n"/>
      <c r="C571" s="75" t="n"/>
      <c r="D571" s="75" t="n"/>
      <c r="E571" s="76" t="n"/>
      <c r="F571" s="77" t="n"/>
      <c r="G571" s="75" t="n"/>
      <c r="H571" s="75">
        <f>IF(ISBLANK(E571),"",IF(OR(D571="Butterfly",D571="Butterfly ",D571="Iron Fly", D571="Iron Fly "),LEN(E571)-LEN(SUBSTITUTE(E571,"/",""))+2,LEN(E571)-LEN(SUBSTITUTE(E571,"/",""))+1))</f>
        <v/>
      </c>
      <c r="I571" s="78">
        <f>IF(ISBLANK(G571),"",IF(D571="Stock","0",Key!$A$3*H571*G571))</f>
        <v/>
      </c>
      <c r="J571" s="78">
        <f>IF(ISBLANK(E571),"",IF(ISNUMBER(SEARCH("/",E571)), IF(LEN(E571)-LEN(SUBSTITUTE(E571,"/",""))=1,(RIGHT(E571,LEN(E571)-FIND("/",E571)))-(LEFT(E571,FIND("/",E571)-1)),(MID(E571, SEARCH("/",E571) + 1, SEARCH("/",E571, SEARCH("/",E571)+1) - SEARCH("/",E571) - 1))-(LEFT(E571,FIND("/",E571)-1))), "NA"))</f>
        <v/>
      </c>
      <c r="K571" s="79">
        <f>IF(A571&lt;&gt;"", IF(ISBLANK(L571), TODAY(), K571), "")</f>
        <v/>
      </c>
      <c r="L571" s="78" t="n"/>
      <c r="M571" s="78">
        <f>IF(ISBLANK(L571),"",IF(D571="Stock",IF(C571="Buy",L571*G571,IF(C571="Sell",(L571*G571)-I571, X)),IF(C571="Buy",(L571*G571*100)+I571,IF(C571="Sell",(L571*G571*100)-I571, X))))</f>
        <v/>
      </c>
      <c r="N571" s="78">
        <f>IF(ISBLANK(L571),"",IF(AND(C571="Sell",D571="Stock"),M571,IF(ISBLANK(L571),"",IF(C571="Buy",M571, IF(AND(C571="Sell",J571="NA"),(E571*G571*100*0.1)+I571, IF(C571="Sell",(J571-L571)*(100*G571)+I571))))))</f>
        <v/>
      </c>
      <c r="O571" s="75" t="n"/>
      <c r="P571" s="75" t="n"/>
      <c r="Q571" s="75">
        <f>IF(ISBLANK(P571),"",IF(D571="Stock",P571*G571,IF(P571=0,"0",G571*P571*100-(G571*$AF$14))))</f>
        <v/>
      </c>
      <c r="R571" s="79">
        <f>IF(P571&lt;&gt;"", TODAY(), "")</f>
        <v/>
      </c>
      <c r="S571" s="78">
        <f>IF(AND(K571&lt;&gt;"", R571&lt;&gt;""), R571-K571, "")</f>
        <v/>
      </c>
      <c r="T571" s="78" t="n"/>
      <c r="U571" s="92">
        <f>IF(ISBLANK(P571),"",IF(C571="Buy",Q571-M571+T571, IF(C571="Sell",M571-Q571-T571, X)))</f>
        <v/>
      </c>
      <c r="V571" s="81">
        <f>IF(ISBLANK(P571),"",U571/N571)</f>
        <v/>
      </c>
      <c r="W571" s="81">
        <f>IF(ISBLANK(P571),"",IF(S571=0,(365/0.5)*V571,(365/S571)*V571))</f>
        <v/>
      </c>
      <c r="X571" s="75" t="n"/>
      <c r="Y571" s="77" t="n"/>
      <c r="Z571" s="77" t="n"/>
      <c r="AA571" s="75" t="n"/>
      <c r="AB571" s="75" t="n"/>
      <c r="AC571" s="6" t="n"/>
      <c r="AD571" s="75" t="n"/>
      <c r="AE571" s="75" t="n"/>
      <c r="AF571" s="75" t="n"/>
    </row>
    <row r="572" ht="15.75" customHeight="1" s="133">
      <c r="A572" s="75" t="n"/>
      <c r="B572" s="75" t="n"/>
      <c r="C572" s="75" t="n"/>
      <c r="D572" s="75" t="n"/>
      <c r="E572" s="76" t="n"/>
      <c r="F572" s="77" t="n"/>
      <c r="G572" s="75" t="n"/>
      <c r="H572" s="75">
        <f>IF(ISBLANK(E572),"",IF(OR(D572="Butterfly",D572="Butterfly ",D572="Iron Fly", D572="Iron Fly "),LEN(E572)-LEN(SUBSTITUTE(E572,"/",""))+2,LEN(E572)-LEN(SUBSTITUTE(E572,"/",""))+1))</f>
        <v/>
      </c>
      <c r="I572" s="78">
        <f>IF(ISBLANK(G572),"",IF(D572="Stock","0",Key!$A$3*H572*G572))</f>
        <v/>
      </c>
      <c r="J572" s="78">
        <f>IF(ISBLANK(E572),"",IF(ISNUMBER(SEARCH("/",E572)), IF(LEN(E572)-LEN(SUBSTITUTE(E572,"/",""))=1,(RIGHT(E572,LEN(E572)-FIND("/",E572)))-(LEFT(E572,FIND("/",E572)-1)),(MID(E572, SEARCH("/",E572) + 1, SEARCH("/",E572, SEARCH("/",E572)+1) - SEARCH("/",E572) - 1))-(LEFT(E572,FIND("/",E572)-1))), "NA"))</f>
        <v/>
      </c>
      <c r="K572" s="79">
        <f>IF(A572&lt;&gt;"", IF(ISBLANK(L572), TODAY(), K572), "")</f>
        <v/>
      </c>
      <c r="L572" s="78" t="n"/>
      <c r="M572" s="78">
        <f>IF(ISBLANK(L572),"",IF(D572="Stock",IF(C572="Buy",L572*G572,IF(C572="Sell",(L572*G572)-I572, X)),IF(C572="Buy",(L572*G572*100)+I572,IF(C572="Sell",(L572*G572*100)-I572, X))))</f>
        <v/>
      </c>
      <c r="N572" s="78">
        <f>IF(ISBLANK(L572),"",IF(AND(C572="Sell",D572="Stock"),M572,IF(ISBLANK(L572),"",IF(C572="Buy",M572, IF(AND(C572="Sell",J572="NA"),(E572*G572*100*0.1)+I572, IF(C572="Sell",(J572-L572)*(100*G572)+I572))))))</f>
        <v/>
      </c>
      <c r="O572" s="75" t="n"/>
      <c r="P572" s="75" t="n"/>
      <c r="Q572" s="75">
        <f>IF(ISBLANK(P572),"",IF(D572="Stock",P572*G572,IF(P572=0,"0",G572*P572*100-(G572*$AF$14))))</f>
        <v/>
      </c>
      <c r="R572" s="79">
        <f>IF(P572&lt;&gt;"", TODAY(), "")</f>
        <v/>
      </c>
      <c r="S572" s="78">
        <f>IF(AND(K572&lt;&gt;"", R572&lt;&gt;""), R572-K572, "")</f>
        <v/>
      </c>
      <c r="T572" s="78" t="n"/>
      <c r="U572" s="92">
        <f>IF(ISBLANK(P572),"",IF(C572="Buy",Q572-M572+T572, IF(C572="Sell",M572-Q572-T572, X)))</f>
        <v/>
      </c>
      <c r="V572" s="81">
        <f>IF(ISBLANK(P572),"",U572/N572)</f>
        <v/>
      </c>
      <c r="W572" s="81">
        <f>IF(ISBLANK(P572),"",IF(S572=0,(365/0.5)*V572,(365/S572)*V572))</f>
        <v/>
      </c>
      <c r="X572" s="75" t="n"/>
      <c r="Y572" s="77" t="n"/>
      <c r="Z572" s="77" t="n"/>
      <c r="AA572" s="75" t="n"/>
      <c r="AB572" s="75" t="n"/>
      <c r="AC572" s="6" t="n"/>
      <c r="AD572" s="75" t="n"/>
      <c r="AE572" s="75" t="n"/>
      <c r="AF572" s="75" t="n"/>
    </row>
    <row r="573" ht="15.75" customHeight="1" s="133">
      <c r="A573" s="75" t="n"/>
      <c r="B573" s="75" t="n"/>
      <c r="C573" s="75" t="n"/>
      <c r="D573" s="75" t="n"/>
      <c r="E573" s="76" t="n"/>
      <c r="F573" s="77" t="n"/>
      <c r="G573" s="75" t="n"/>
      <c r="H573" s="75">
        <f>IF(ISBLANK(E573),"",IF(OR(D573="Butterfly",D573="Butterfly ",D573="Iron Fly", D573="Iron Fly "),LEN(E573)-LEN(SUBSTITUTE(E573,"/",""))+2,LEN(E573)-LEN(SUBSTITUTE(E573,"/",""))+1))</f>
        <v/>
      </c>
      <c r="I573" s="78">
        <f>IF(ISBLANK(G573),"",IF(D573="Stock","0",Key!$A$3*H573*G573))</f>
        <v/>
      </c>
      <c r="J573" s="78">
        <f>IF(ISBLANK(E573),"",IF(ISNUMBER(SEARCH("/",E573)), IF(LEN(E573)-LEN(SUBSTITUTE(E573,"/",""))=1,(RIGHT(E573,LEN(E573)-FIND("/",E573)))-(LEFT(E573,FIND("/",E573)-1)),(MID(E573, SEARCH("/",E573) + 1, SEARCH("/",E573, SEARCH("/",E573)+1) - SEARCH("/",E573) - 1))-(LEFT(E573,FIND("/",E573)-1))), "NA"))</f>
        <v/>
      </c>
      <c r="K573" s="79">
        <f>IF(A573&lt;&gt;"", IF(ISBLANK(L573), TODAY(), K573), "")</f>
        <v/>
      </c>
      <c r="L573" s="78" t="n"/>
      <c r="M573" s="78">
        <f>IF(ISBLANK(L573),"",IF(D573="Stock",IF(C573="Buy",L573*G573,IF(C573="Sell",(L573*G573)-I573, X)),IF(C573="Buy",(L573*G573*100)+I573,IF(C573="Sell",(L573*G573*100)-I573, X))))</f>
        <v/>
      </c>
      <c r="N573" s="78">
        <f>IF(ISBLANK(L573),"",IF(AND(C573="Sell",D573="Stock"),M573,IF(ISBLANK(L573),"",IF(C573="Buy",M573, IF(AND(C573="Sell",J573="NA"),(E573*G573*100*0.1)+I573, IF(C573="Sell",(J573-L573)*(100*G573)+I573))))))</f>
        <v/>
      </c>
      <c r="O573" s="75" t="n"/>
      <c r="P573" s="75" t="n"/>
      <c r="Q573" s="75">
        <f>IF(ISBLANK(P573),"",IF(D573="Stock",P573*G573,IF(P573=0,"0",G573*P573*100-(G573*$AF$14))))</f>
        <v/>
      </c>
      <c r="R573" s="79">
        <f>IF(P573&lt;&gt;"", TODAY(), "")</f>
        <v/>
      </c>
      <c r="S573" s="78">
        <f>IF(AND(K573&lt;&gt;"", R573&lt;&gt;""), R573-K573, "")</f>
        <v/>
      </c>
      <c r="T573" s="78" t="n"/>
      <c r="U573" s="92">
        <f>IF(ISBLANK(P573),"",IF(C573="Buy",Q573-M573+T573, IF(C573="Sell",M573-Q573-T573, X)))</f>
        <v/>
      </c>
      <c r="V573" s="81">
        <f>IF(ISBLANK(P573),"",U573/N573)</f>
        <v/>
      </c>
      <c r="W573" s="81">
        <f>IF(ISBLANK(P573),"",IF(S573=0,(365/0.5)*V573,(365/S573)*V573))</f>
        <v/>
      </c>
      <c r="X573" s="75" t="n"/>
      <c r="Y573" s="77" t="n"/>
      <c r="Z573" s="77" t="n"/>
      <c r="AA573" s="75" t="n"/>
      <c r="AB573" s="75" t="n"/>
      <c r="AC573" s="6" t="n"/>
      <c r="AD573" s="75" t="n"/>
      <c r="AE573" s="75" t="n"/>
      <c r="AF573" s="75" t="n"/>
    </row>
    <row r="574" ht="15.75" customHeight="1" s="133">
      <c r="A574" s="75" t="n"/>
      <c r="B574" s="75" t="n"/>
      <c r="C574" s="75" t="n"/>
      <c r="D574" s="75" t="n"/>
      <c r="E574" s="76" t="n"/>
      <c r="F574" s="77" t="n"/>
      <c r="G574" s="75" t="n"/>
      <c r="H574" s="75">
        <f>IF(ISBLANK(E574),"",IF(OR(D574="Butterfly",D574="Butterfly ",D574="Iron Fly", D574="Iron Fly "),LEN(E574)-LEN(SUBSTITUTE(E574,"/",""))+2,LEN(E574)-LEN(SUBSTITUTE(E574,"/",""))+1))</f>
        <v/>
      </c>
      <c r="I574" s="78">
        <f>IF(ISBLANK(G574),"",IF(D574="Stock","0",Key!$A$3*H574*G574))</f>
        <v/>
      </c>
      <c r="J574" s="78">
        <f>IF(ISBLANK(E574),"",IF(ISNUMBER(SEARCH("/",E574)), IF(LEN(E574)-LEN(SUBSTITUTE(E574,"/",""))=1,(RIGHT(E574,LEN(E574)-FIND("/",E574)))-(LEFT(E574,FIND("/",E574)-1)),(MID(E574, SEARCH("/",E574) + 1, SEARCH("/",E574, SEARCH("/",E574)+1) - SEARCH("/",E574) - 1))-(LEFT(E574,FIND("/",E574)-1))), "NA"))</f>
        <v/>
      </c>
      <c r="K574" s="79">
        <f>IF(A574&lt;&gt;"", IF(ISBLANK(L574), TODAY(), K574), "")</f>
        <v/>
      </c>
      <c r="L574" s="78" t="n"/>
      <c r="M574" s="78">
        <f>IF(ISBLANK(L574),"",IF(D574="Stock",IF(C574="Buy",L574*G574,IF(C574="Sell",(L574*G574)-I574, X)),IF(C574="Buy",(L574*G574*100)+I574,IF(C574="Sell",(L574*G574*100)-I574, X))))</f>
        <v/>
      </c>
      <c r="N574" s="78">
        <f>IF(ISBLANK(L574),"",IF(AND(C574="Sell",D574="Stock"),M574,IF(ISBLANK(L574),"",IF(C574="Buy",M574, IF(AND(C574="Sell",J574="NA"),(E574*G574*100*0.1)+I574, IF(C574="Sell",(J574-L574)*(100*G574)+I574))))))</f>
        <v/>
      </c>
      <c r="O574" s="75" t="n"/>
      <c r="P574" s="75" t="n"/>
      <c r="Q574" s="75">
        <f>IF(ISBLANK(P574),"",IF(D574="Stock",P574*G574,IF(P574=0,"0",G574*P574*100-(G574*$AF$14))))</f>
        <v/>
      </c>
      <c r="R574" s="79">
        <f>IF(P574&lt;&gt;"", TODAY(), "")</f>
        <v/>
      </c>
      <c r="S574" s="78">
        <f>IF(AND(K574&lt;&gt;"", R574&lt;&gt;""), R574-K574, "")</f>
        <v/>
      </c>
      <c r="T574" s="78" t="n"/>
      <c r="U574" s="92">
        <f>IF(ISBLANK(P574),"",IF(C574="Buy",Q574-M574+T574, IF(C574="Sell",M574-Q574-T574, X)))</f>
        <v/>
      </c>
      <c r="V574" s="81">
        <f>IF(ISBLANK(P574),"",U574/N574)</f>
        <v/>
      </c>
      <c r="W574" s="81">
        <f>IF(ISBLANK(P574),"",IF(S574=0,(365/0.5)*V574,(365/S574)*V574))</f>
        <v/>
      </c>
      <c r="X574" s="75" t="n"/>
      <c r="Y574" s="77" t="n"/>
      <c r="Z574" s="77" t="n"/>
      <c r="AA574" s="75" t="n"/>
      <c r="AB574" s="75" t="n"/>
      <c r="AC574" s="6" t="n"/>
      <c r="AD574" s="75" t="n"/>
      <c r="AE574" s="75" t="n"/>
      <c r="AF574" s="75" t="n"/>
    </row>
    <row r="575" ht="15.75" customHeight="1" s="133">
      <c r="A575" s="75" t="n"/>
      <c r="B575" s="75" t="n"/>
      <c r="C575" s="75" t="n"/>
      <c r="D575" s="75" t="n"/>
      <c r="E575" s="76" t="n"/>
      <c r="F575" s="77" t="n"/>
      <c r="G575" s="75" t="n"/>
      <c r="H575" s="75">
        <f>IF(ISBLANK(E575),"",IF(OR(D575="Butterfly",D575="Butterfly ",D575="Iron Fly", D575="Iron Fly "),LEN(E575)-LEN(SUBSTITUTE(E575,"/",""))+2,LEN(E575)-LEN(SUBSTITUTE(E575,"/",""))+1))</f>
        <v/>
      </c>
      <c r="I575" s="78">
        <f>IF(ISBLANK(G575),"",IF(D575="Stock","0",Key!$A$3*H575*G575))</f>
        <v/>
      </c>
      <c r="J575" s="78">
        <f>IF(ISBLANK(E575),"",IF(ISNUMBER(SEARCH("/",E575)), IF(LEN(E575)-LEN(SUBSTITUTE(E575,"/",""))=1,(RIGHT(E575,LEN(E575)-FIND("/",E575)))-(LEFT(E575,FIND("/",E575)-1)),(MID(E575, SEARCH("/",E575) + 1, SEARCH("/",E575, SEARCH("/",E575)+1) - SEARCH("/",E575) - 1))-(LEFT(E575,FIND("/",E575)-1))), "NA"))</f>
        <v/>
      </c>
      <c r="K575" s="79">
        <f>IF(A575&lt;&gt;"", IF(ISBLANK(L575), TODAY(), K575), "")</f>
        <v/>
      </c>
      <c r="L575" s="78" t="n"/>
      <c r="M575" s="78">
        <f>IF(ISBLANK(L575),"",IF(D575="Stock",IF(C575="Buy",L575*G575,IF(C575="Sell",(L575*G575)-I575, X)),IF(C575="Buy",(L575*G575*100)+I575,IF(C575="Sell",(L575*G575*100)-I575, X))))</f>
        <v/>
      </c>
      <c r="N575" s="78">
        <f>IF(ISBLANK(L575),"",IF(AND(C575="Sell",D575="Stock"),M575,IF(ISBLANK(L575),"",IF(C575="Buy",M575, IF(AND(C575="Sell",J575="NA"),(E575*G575*100*0.1)+I575, IF(C575="Sell",(J575-L575)*(100*G575)+I575))))))</f>
        <v/>
      </c>
      <c r="O575" s="75" t="n"/>
      <c r="P575" s="75" t="n"/>
      <c r="Q575" s="75">
        <f>IF(ISBLANK(P575),"",IF(D575="Stock",P575*G575,IF(P575=0,"0",G575*P575*100-(G575*$AF$14))))</f>
        <v/>
      </c>
      <c r="R575" s="79">
        <f>IF(P575&lt;&gt;"", TODAY(), "")</f>
        <v/>
      </c>
      <c r="S575" s="78">
        <f>IF(AND(K575&lt;&gt;"", R575&lt;&gt;""), R575-K575, "")</f>
        <v/>
      </c>
      <c r="T575" s="78" t="n"/>
      <c r="U575" s="92">
        <f>IF(ISBLANK(P575),"",IF(C575="Buy",Q575-M575+T575, IF(C575="Sell",M575-Q575-T575, X)))</f>
        <v/>
      </c>
      <c r="V575" s="81">
        <f>IF(ISBLANK(P575),"",U575/N575)</f>
        <v/>
      </c>
      <c r="W575" s="81">
        <f>IF(ISBLANK(P575),"",IF(S575=0,(365/0.5)*V575,(365/S575)*V575))</f>
        <v/>
      </c>
      <c r="X575" s="75" t="n"/>
      <c r="Y575" s="77" t="n"/>
      <c r="Z575" s="77" t="n"/>
      <c r="AA575" s="75" t="n"/>
      <c r="AB575" s="75" t="n"/>
      <c r="AC575" s="6" t="n"/>
      <c r="AD575" s="75" t="n"/>
      <c r="AE575" s="75" t="n"/>
      <c r="AF575" s="75" t="n"/>
    </row>
    <row r="576" ht="15.75" customHeight="1" s="133">
      <c r="A576" s="75" t="n"/>
      <c r="B576" s="75" t="n"/>
      <c r="C576" s="75" t="n"/>
      <c r="D576" s="75" t="n"/>
      <c r="E576" s="76" t="n"/>
      <c r="F576" s="77" t="n"/>
      <c r="G576" s="75" t="n"/>
      <c r="H576" s="75">
        <f>IF(ISBLANK(E576),"",IF(OR(D576="Butterfly",D576="Butterfly ",D576="Iron Fly", D576="Iron Fly "),LEN(E576)-LEN(SUBSTITUTE(E576,"/",""))+2,LEN(E576)-LEN(SUBSTITUTE(E576,"/",""))+1))</f>
        <v/>
      </c>
      <c r="I576" s="78">
        <f>IF(ISBLANK(G576),"",IF(D576="Stock","0",Key!$A$3*H576*G576))</f>
        <v/>
      </c>
      <c r="J576" s="78">
        <f>IF(ISBLANK(E576),"",IF(ISNUMBER(SEARCH("/",E576)), IF(LEN(E576)-LEN(SUBSTITUTE(E576,"/",""))=1,(RIGHT(E576,LEN(E576)-FIND("/",E576)))-(LEFT(E576,FIND("/",E576)-1)),(MID(E576, SEARCH("/",E576) + 1, SEARCH("/",E576, SEARCH("/",E576)+1) - SEARCH("/",E576) - 1))-(LEFT(E576,FIND("/",E576)-1))), "NA"))</f>
        <v/>
      </c>
      <c r="K576" s="79">
        <f>IF(A576&lt;&gt;"", IF(ISBLANK(L576), TODAY(), K576), "")</f>
        <v/>
      </c>
      <c r="L576" s="78" t="n"/>
      <c r="M576" s="78">
        <f>IF(ISBLANK(L576),"",IF(D576="Stock",IF(C576="Buy",L576*G576,IF(C576="Sell",(L576*G576)-I576, X)),IF(C576="Buy",(L576*G576*100)+I576,IF(C576="Sell",(L576*G576*100)-I576, X))))</f>
        <v/>
      </c>
      <c r="N576" s="78">
        <f>IF(ISBLANK(L576),"",IF(AND(C576="Sell",D576="Stock"),M576,IF(ISBLANK(L576),"",IF(C576="Buy",M576, IF(AND(C576="Sell",J576="NA"),(E576*G576*100*0.1)+I576, IF(C576="Sell",(J576-L576)*(100*G576)+I576))))))</f>
        <v/>
      </c>
      <c r="O576" s="75" t="n"/>
      <c r="P576" s="75" t="n"/>
      <c r="Q576" s="75">
        <f>IF(ISBLANK(P576),"",IF(D576="Stock",P576*G576,IF(P576=0,"0",G576*P576*100-(G576*$AF$14))))</f>
        <v/>
      </c>
      <c r="R576" s="79">
        <f>IF(P576&lt;&gt;"", TODAY(), "")</f>
        <v/>
      </c>
      <c r="S576" s="78">
        <f>IF(AND(K576&lt;&gt;"", R576&lt;&gt;""), R576-K576, "")</f>
        <v/>
      </c>
      <c r="T576" s="78" t="n"/>
      <c r="U576" s="92">
        <f>IF(ISBLANK(P576),"",IF(C576="Buy",Q576-M576+T576, IF(C576="Sell",M576-Q576-T576, X)))</f>
        <v/>
      </c>
      <c r="V576" s="81">
        <f>IF(ISBLANK(P576),"",U576/N576)</f>
        <v/>
      </c>
      <c r="W576" s="81">
        <f>IF(ISBLANK(P576),"",IF(S576=0,(365/0.5)*V576,(365/S576)*V576))</f>
        <v/>
      </c>
      <c r="X576" s="75" t="n"/>
      <c r="Y576" s="77" t="n"/>
      <c r="Z576" s="77" t="n"/>
      <c r="AA576" s="75" t="n"/>
      <c r="AB576" s="75" t="n"/>
      <c r="AC576" s="6" t="n"/>
      <c r="AD576" s="75" t="n"/>
      <c r="AE576" s="75" t="n"/>
      <c r="AF576" s="75" t="n"/>
    </row>
    <row r="577" ht="15.75" customHeight="1" s="133">
      <c r="A577" s="75" t="n"/>
      <c r="B577" s="75" t="n"/>
      <c r="C577" s="75" t="n"/>
      <c r="D577" s="75" t="n"/>
      <c r="E577" s="76" t="n"/>
      <c r="F577" s="77" t="n"/>
      <c r="G577" s="75" t="n"/>
      <c r="H577" s="75">
        <f>IF(ISBLANK(E577),"",IF(OR(D577="Butterfly",D577="Butterfly ",D577="Iron Fly", D577="Iron Fly "),LEN(E577)-LEN(SUBSTITUTE(E577,"/",""))+2,LEN(E577)-LEN(SUBSTITUTE(E577,"/",""))+1))</f>
        <v/>
      </c>
      <c r="I577" s="78">
        <f>IF(ISBLANK(G577),"",IF(D577="Stock","0",Key!$A$3*H577*G577))</f>
        <v/>
      </c>
      <c r="J577" s="78">
        <f>IF(ISBLANK(E577),"",IF(ISNUMBER(SEARCH("/",E577)), IF(LEN(E577)-LEN(SUBSTITUTE(E577,"/",""))=1,(RIGHT(E577,LEN(E577)-FIND("/",E577)))-(LEFT(E577,FIND("/",E577)-1)),(MID(E577, SEARCH("/",E577) + 1, SEARCH("/",E577, SEARCH("/",E577)+1) - SEARCH("/",E577) - 1))-(LEFT(E577,FIND("/",E577)-1))), "NA"))</f>
        <v/>
      </c>
      <c r="K577" s="79">
        <f>IF(A577&lt;&gt;"", IF(ISBLANK(L577), TODAY(), K577), "")</f>
        <v/>
      </c>
      <c r="L577" s="78" t="n"/>
      <c r="M577" s="78">
        <f>IF(ISBLANK(L577),"",IF(D577="Stock",IF(C577="Buy",L577*G577,IF(C577="Sell",(L577*G577)-I577, X)),IF(C577="Buy",(L577*G577*100)+I577,IF(C577="Sell",(L577*G577*100)-I577, X))))</f>
        <v/>
      </c>
      <c r="N577" s="78">
        <f>IF(ISBLANK(L577),"",IF(AND(C577="Sell",D577="Stock"),M577,IF(ISBLANK(L577),"",IF(C577="Buy",M577, IF(AND(C577="Sell",J577="NA"),(E577*G577*100*0.1)+I577, IF(C577="Sell",(J577-L577)*(100*G577)+I577))))))</f>
        <v/>
      </c>
      <c r="O577" s="75" t="n"/>
      <c r="P577" s="75" t="n"/>
      <c r="Q577" s="75">
        <f>IF(ISBLANK(P577),"",IF(D577="Stock",P577*G577,IF(P577=0,"0",G577*P577*100-(G577*$AF$14))))</f>
        <v/>
      </c>
      <c r="R577" s="79">
        <f>IF(P577&lt;&gt;"", TODAY(), "")</f>
        <v/>
      </c>
      <c r="S577" s="78">
        <f>IF(AND(K577&lt;&gt;"", R577&lt;&gt;""), R577-K577, "")</f>
        <v/>
      </c>
      <c r="T577" s="78" t="n"/>
      <c r="U577" s="92">
        <f>IF(ISBLANK(P577),"",IF(C577="Buy",Q577-M577+T577, IF(C577="Sell",M577-Q577-T577, X)))</f>
        <v/>
      </c>
      <c r="V577" s="81">
        <f>IF(ISBLANK(P577),"",U577/N577)</f>
        <v/>
      </c>
      <c r="W577" s="81">
        <f>IF(ISBLANK(P577),"",IF(S577=0,(365/0.5)*V577,(365/S577)*V577))</f>
        <v/>
      </c>
      <c r="X577" s="75" t="n"/>
      <c r="Y577" s="77" t="n"/>
      <c r="Z577" s="77" t="n"/>
      <c r="AA577" s="75" t="n"/>
      <c r="AB577" s="75" t="n"/>
      <c r="AC577" s="6" t="n"/>
      <c r="AD577" s="75" t="n"/>
      <c r="AE577" s="75" t="n"/>
      <c r="AF577" s="75" t="n"/>
    </row>
    <row r="578" ht="15.75" customHeight="1" s="133">
      <c r="A578" s="75" t="n"/>
      <c r="B578" s="75" t="n"/>
      <c r="C578" s="75" t="n"/>
      <c r="D578" s="75" t="n"/>
      <c r="E578" s="76" t="n"/>
      <c r="F578" s="77" t="n"/>
      <c r="G578" s="75" t="n"/>
      <c r="H578" s="75">
        <f>IF(ISBLANK(E578),"",IF(OR(D578="Butterfly",D578="Butterfly ",D578="Iron Fly", D578="Iron Fly "),LEN(E578)-LEN(SUBSTITUTE(E578,"/",""))+2,LEN(E578)-LEN(SUBSTITUTE(E578,"/",""))+1))</f>
        <v/>
      </c>
      <c r="I578" s="78">
        <f>IF(ISBLANK(G578),"",IF(D578="Stock","0",Key!$A$3*H578*G578))</f>
        <v/>
      </c>
      <c r="J578" s="78">
        <f>IF(ISBLANK(E578),"",IF(ISNUMBER(SEARCH("/",E578)), IF(LEN(E578)-LEN(SUBSTITUTE(E578,"/",""))=1,(RIGHT(E578,LEN(E578)-FIND("/",E578)))-(LEFT(E578,FIND("/",E578)-1)),(MID(E578, SEARCH("/",E578) + 1, SEARCH("/",E578, SEARCH("/",E578)+1) - SEARCH("/",E578) - 1))-(LEFT(E578,FIND("/",E578)-1))), "NA"))</f>
        <v/>
      </c>
      <c r="K578" s="79">
        <f>IF(A578&lt;&gt;"", IF(ISBLANK(L578), TODAY(), K578), "")</f>
        <v/>
      </c>
      <c r="L578" s="78" t="n"/>
      <c r="M578" s="78">
        <f>IF(ISBLANK(L578),"",IF(D578="Stock",IF(C578="Buy",L578*G578,IF(C578="Sell",(L578*G578)-I578, X)),IF(C578="Buy",(L578*G578*100)+I578,IF(C578="Sell",(L578*G578*100)-I578, X))))</f>
        <v/>
      </c>
      <c r="N578" s="78">
        <f>IF(ISBLANK(L578),"",IF(AND(C578="Sell",D578="Stock"),M578,IF(ISBLANK(L578),"",IF(C578="Buy",M578, IF(AND(C578="Sell",J578="NA"),(E578*G578*100*0.1)+I578, IF(C578="Sell",(J578-L578)*(100*G578)+I578))))))</f>
        <v/>
      </c>
      <c r="O578" s="75" t="n"/>
      <c r="P578" s="75" t="n"/>
      <c r="Q578" s="75">
        <f>IF(ISBLANK(P578),"",IF(D578="Stock",P578*G578,IF(P578=0,"0",G578*P578*100-(G578*$AF$14))))</f>
        <v/>
      </c>
      <c r="R578" s="79">
        <f>IF(P578&lt;&gt;"", TODAY(), "")</f>
        <v/>
      </c>
      <c r="S578" s="78">
        <f>IF(AND(K578&lt;&gt;"", R578&lt;&gt;""), R578-K578, "")</f>
        <v/>
      </c>
      <c r="T578" s="78" t="n"/>
      <c r="U578" s="92">
        <f>IF(ISBLANK(P578),"",IF(C578="Buy",Q578-M578+T578, IF(C578="Sell",M578-Q578-T578, X)))</f>
        <v/>
      </c>
      <c r="V578" s="81">
        <f>IF(ISBLANK(P578),"",U578/N578)</f>
        <v/>
      </c>
      <c r="W578" s="81">
        <f>IF(ISBLANK(P578),"",IF(S578=0,(365/0.5)*V578,(365/S578)*V578))</f>
        <v/>
      </c>
      <c r="X578" s="75" t="n"/>
      <c r="Y578" s="77" t="n"/>
      <c r="Z578" s="77" t="n"/>
      <c r="AA578" s="75" t="n"/>
      <c r="AB578" s="75" t="n"/>
      <c r="AC578" s="6" t="n"/>
      <c r="AD578" s="75" t="n"/>
      <c r="AE578" s="75" t="n"/>
      <c r="AF578" s="75" t="n"/>
    </row>
    <row r="579" ht="15.75" customHeight="1" s="133">
      <c r="A579" s="75" t="n"/>
      <c r="B579" s="75" t="n"/>
      <c r="C579" s="75" t="n"/>
      <c r="D579" s="75" t="n"/>
      <c r="E579" s="76" t="n"/>
      <c r="F579" s="77" t="n"/>
      <c r="G579" s="75" t="n"/>
      <c r="H579" s="75">
        <f>IF(ISBLANK(E579),"",IF(OR(D579="Butterfly",D579="Butterfly ",D579="Iron Fly", D579="Iron Fly "),LEN(E579)-LEN(SUBSTITUTE(E579,"/",""))+2,LEN(E579)-LEN(SUBSTITUTE(E579,"/",""))+1))</f>
        <v/>
      </c>
      <c r="I579" s="78">
        <f>IF(ISBLANK(G579),"",IF(D579="Stock","0",Key!$A$3*H579*G579))</f>
        <v/>
      </c>
      <c r="J579" s="78">
        <f>IF(ISBLANK(E579),"",IF(ISNUMBER(SEARCH("/",E579)), IF(LEN(E579)-LEN(SUBSTITUTE(E579,"/",""))=1,(RIGHT(E579,LEN(E579)-FIND("/",E579)))-(LEFT(E579,FIND("/",E579)-1)),(MID(E579, SEARCH("/",E579) + 1, SEARCH("/",E579, SEARCH("/",E579)+1) - SEARCH("/",E579) - 1))-(LEFT(E579,FIND("/",E579)-1))), "NA"))</f>
        <v/>
      </c>
      <c r="K579" s="79">
        <f>IF(A579&lt;&gt;"", IF(ISBLANK(L579), TODAY(), K579), "")</f>
        <v/>
      </c>
      <c r="L579" s="78" t="n"/>
      <c r="M579" s="78">
        <f>IF(ISBLANK(L579),"",IF(D579="Stock",IF(C579="Buy",L579*G579,IF(C579="Sell",(L579*G579)-I579, X)),IF(C579="Buy",(L579*G579*100)+I579,IF(C579="Sell",(L579*G579*100)-I579, X))))</f>
        <v/>
      </c>
      <c r="N579" s="78">
        <f>IF(ISBLANK(L579),"",IF(AND(C579="Sell",D579="Stock"),M579,IF(ISBLANK(L579),"",IF(C579="Buy",M579, IF(AND(C579="Sell",J579="NA"),(E579*G579*100*0.1)+I579, IF(C579="Sell",(J579-L579)*(100*G579)+I579))))))</f>
        <v/>
      </c>
      <c r="O579" s="75" t="n"/>
      <c r="P579" s="75" t="n"/>
      <c r="Q579" s="75">
        <f>IF(ISBLANK(P579),"",IF(D579="Stock",P579*G579,IF(P579=0,"0",G579*P579*100-(G579*$AF$14))))</f>
        <v/>
      </c>
      <c r="R579" s="79">
        <f>IF(P579&lt;&gt;"", TODAY(), "")</f>
        <v/>
      </c>
      <c r="S579" s="78">
        <f>IF(AND(K579&lt;&gt;"", R579&lt;&gt;""), R579-K579, "")</f>
        <v/>
      </c>
      <c r="T579" s="78" t="n"/>
      <c r="U579" s="92">
        <f>IF(ISBLANK(P579),"",IF(C579="Buy",Q579-M579+T579, IF(C579="Sell",M579-Q579-T579, X)))</f>
        <v/>
      </c>
      <c r="V579" s="81">
        <f>IF(ISBLANK(P579),"",U579/N579)</f>
        <v/>
      </c>
      <c r="W579" s="81">
        <f>IF(ISBLANK(P579),"",IF(S579=0,(365/0.5)*V579,(365/S579)*V579))</f>
        <v/>
      </c>
      <c r="X579" s="75" t="n"/>
      <c r="Y579" s="77" t="n"/>
      <c r="Z579" s="77" t="n"/>
      <c r="AA579" s="75" t="n"/>
      <c r="AB579" s="75" t="n"/>
      <c r="AC579" s="6" t="n"/>
      <c r="AD579" s="75" t="n"/>
      <c r="AE579" s="75" t="n"/>
      <c r="AF579" s="75" t="n"/>
    </row>
    <row r="580" ht="15.75" customHeight="1" s="133">
      <c r="A580" s="75" t="n"/>
      <c r="B580" s="75" t="n"/>
      <c r="C580" s="75" t="n"/>
      <c r="D580" s="75" t="n"/>
      <c r="E580" s="76" t="n"/>
      <c r="F580" s="77" t="n"/>
      <c r="G580" s="75" t="n"/>
      <c r="H580" s="75">
        <f>IF(ISBLANK(E580),"",IF(OR(D580="Butterfly",D580="Butterfly ",D580="Iron Fly", D580="Iron Fly "),LEN(E580)-LEN(SUBSTITUTE(E580,"/",""))+2,LEN(E580)-LEN(SUBSTITUTE(E580,"/",""))+1))</f>
        <v/>
      </c>
      <c r="I580" s="78">
        <f>IF(ISBLANK(G580),"",IF(D580="Stock","0",Key!$A$3*H580*G580))</f>
        <v/>
      </c>
      <c r="J580" s="78">
        <f>IF(ISBLANK(E580),"",IF(ISNUMBER(SEARCH("/",E580)), IF(LEN(E580)-LEN(SUBSTITUTE(E580,"/",""))=1,(RIGHT(E580,LEN(E580)-FIND("/",E580)))-(LEFT(E580,FIND("/",E580)-1)),(MID(E580, SEARCH("/",E580) + 1, SEARCH("/",E580, SEARCH("/",E580)+1) - SEARCH("/",E580) - 1))-(LEFT(E580,FIND("/",E580)-1))), "NA"))</f>
        <v/>
      </c>
      <c r="K580" s="79">
        <f>IF(A580&lt;&gt;"", IF(ISBLANK(L580), TODAY(), K580), "")</f>
        <v/>
      </c>
      <c r="L580" s="78" t="n"/>
      <c r="M580" s="78">
        <f>IF(ISBLANK(L580),"",IF(D580="Stock",IF(C580="Buy",L580*G580,IF(C580="Sell",(L580*G580)-I580, X)),IF(C580="Buy",(L580*G580*100)+I580,IF(C580="Sell",(L580*G580*100)-I580, X))))</f>
        <v/>
      </c>
      <c r="N580" s="78">
        <f>IF(ISBLANK(L580),"",IF(AND(C580="Sell",D580="Stock"),M580,IF(ISBLANK(L580),"",IF(C580="Buy",M580, IF(AND(C580="Sell",J580="NA"),(E580*G580*100*0.1)+I580, IF(C580="Sell",(J580-L580)*(100*G580)+I580))))))</f>
        <v/>
      </c>
      <c r="O580" s="75" t="n"/>
      <c r="P580" s="75" t="n"/>
      <c r="Q580" s="75">
        <f>IF(ISBLANK(P580),"",IF(D580="Stock",P580*G580,IF(P580=0,"0",G580*P580*100-(G580*$AF$14))))</f>
        <v/>
      </c>
      <c r="R580" s="79">
        <f>IF(P580&lt;&gt;"", TODAY(), "")</f>
        <v/>
      </c>
      <c r="S580" s="78">
        <f>IF(AND(K580&lt;&gt;"", R580&lt;&gt;""), R580-K580, "")</f>
        <v/>
      </c>
      <c r="T580" s="78" t="n"/>
      <c r="U580" s="92">
        <f>IF(ISBLANK(P580),"",IF(C580="Buy",Q580-M580+T580, IF(C580="Sell",M580-Q580-T580, X)))</f>
        <v/>
      </c>
      <c r="V580" s="81">
        <f>IF(ISBLANK(P580),"",U580/N580)</f>
        <v/>
      </c>
      <c r="W580" s="81">
        <f>IF(ISBLANK(P580),"",IF(S580=0,(365/0.5)*V580,(365/S580)*V580))</f>
        <v/>
      </c>
      <c r="X580" s="75" t="n"/>
      <c r="Y580" s="77" t="n"/>
      <c r="Z580" s="77" t="n"/>
      <c r="AA580" s="75" t="n"/>
      <c r="AB580" s="75" t="n"/>
      <c r="AC580" s="6" t="n"/>
      <c r="AD580" s="75" t="n"/>
      <c r="AE580" s="75" t="n"/>
      <c r="AF580" s="75" t="n"/>
    </row>
    <row r="581" ht="15.75" customHeight="1" s="133">
      <c r="A581" s="75" t="n"/>
      <c r="B581" s="75" t="n"/>
      <c r="C581" s="75" t="n"/>
      <c r="D581" s="75" t="n"/>
      <c r="E581" s="76" t="n"/>
      <c r="F581" s="77" t="n"/>
      <c r="G581" s="75" t="n"/>
      <c r="H581" s="75">
        <f>IF(ISBLANK(E581),"",IF(OR(D581="Butterfly",D581="Butterfly ",D581="Iron Fly", D581="Iron Fly "),LEN(E581)-LEN(SUBSTITUTE(E581,"/",""))+2,LEN(E581)-LEN(SUBSTITUTE(E581,"/",""))+1))</f>
        <v/>
      </c>
      <c r="I581" s="78">
        <f>IF(ISBLANK(G581),"",IF(D581="Stock","0",Key!$A$3*H581*G581))</f>
        <v/>
      </c>
      <c r="J581" s="78">
        <f>IF(ISBLANK(E581),"",IF(ISNUMBER(SEARCH("/",E581)), IF(LEN(E581)-LEN(SUBSTITUTE(E581,"/",""))=1,(RIGHT(E581,LEN(E581)-FIND("/",E581)))-(LEFT(E581,FIND("/",E581)-1)),(MID(E581, SEARCH("/",E581) + 1, SEARCH("/",E581, SEARCH("/",E581)+1) - SEARCH("/",E581) - 1))-(LEFT(E581,FIND("/",E581)-1))), "NA"))</f>
        <v/>
      </c>
      <c r="K581" s="79">
        <f>IF(A581&lt;&gt;"", IF(ISBLANK(L581), TODAY(), K581), "")</f>
        <v/>
      </c>
      <c r="L581" s="78" t="n"/>
      <c r="M581" s="78">
        <f>IF(ISBLANK(L581),"",IF(D581="Stock",IF(C581="Buy",L581*G581,IF(C581="Sell",(L581*G581)-I581, X)),IF(C581="Buy",(L581*G581*100)+I581,IF(C581="Sell",(L581*G581*100)-I581, X))))</f>
        <v/>
      </c>
      <c r="N581" s="78">
        <f>IF(ISBLANK(L581),"",IF(AND(C581="Sell",D581="Stock"),M581,IF(ISBLANK(L581),"",IF(C581="Buy",M581, IF(AND(C581="Sell",J581="NA"),(E581*G581*100*0.1)+I581, IF(C581="Sell",(J581-L581)*(100*G581)+I581))))))</f>
        <v/>
      </c>
      <c r="O581" s="75" t="n"/>
      <c r="P581" s="75" t="n"/>
      <c r="Q581" s="75">
        <f>IF(ISBLANK(P581),"",IF(D581="Stock",P581*G581,IF(P581=0,"0",G581*P581*100-(G581*$AF$14))))</f>
        <v/>
      </c>
      <c r="R581" s="79">
        <f>IF(P581&lt;&gt;"", TODAY(), "")</f>
        <v/>
      </c>
      <c r="S581" s="78">
        <f>IF(AND(K581&lt;&gt;"", R581&lt;&gt;""), R581-K581, "")</f>
        <v/>
      </c>
      <c r="T581" s="78" t="n"/>
      <c r="U581" s="92">
        <f>IF(ISBLANK(P581),"",IF(C581="Buy",Q581-M581+T581, IF(C581="Sell",M581-Q581-T581, X)))</f>
        <v/>
      </c>
      <c r="V581" s="81">
        <f>IF(ISBLANK(P581),"",U581/N581)</f>
        <v/>
      </c>
      <c r="W581" s="81">
        <f>IF(ISBLANK(P581),"",IF(S581=0,(365/0.5)*V581,(365/S581)*V581))</f>
        <v/>
      </c>
      <c r="X581" s="75" t="n"/>
      <c r="Y581" s="77" t="n"/>
      <c r="Z581" s="77" t="n"/>
      <c r="AA581" s="75" t="n"/>
      <c r="AB581" s="75" t="n"/>
      <c r="AC581" s="6" t="n"/>
      <c r="AD581" s="75" t="n"/>
      <c r="AE581" s="75" t="n"/>
      <c r="AF581" s="75" t="n"/>
    </row>
    <row r="582" ht="15.75" customHeight="1" s="133">
      <c r="A582" s="75" t="n"/>
      <c r="B582" s="75" t="n"/>
      <c r="C582" s="75" t="n"/>
      <c r="D582" s="75" t="n"/>
      <c r="E582" s="76" t="n"/>
      <c r="F582" s="77" t="n"/>
      <c r="G582" s="75" t="n"/>
      <c r="H582" s="75">
        <f>IF(ISBLANK(E582),"",IF(OR(D582="Butterfly",D582="Butterfly ",D582="Iron Fly", D582="Iron Fly "),LEN(E582)-LEN(SUBSTITUTE(E582,"/",""))+2,LEN(E582)-LEN(SUBSTITUTE(E582,"/",""))+1))</f>
        <v/>
      </c>
      <c r="I582" s="78">
        <f>IF(ISBLANK(G582),"",IF(D582="Stock","0",Key!$A$3*H582*G582))</f>
        <v/>
      </c>
      <c r="J582" s="78">
        <f>IF(ISBLANK(E582),"",IF(ISNUMBER(SEARCH("/",E582)), IF(LEN(E582)-LEN(SUBSTITUTE(E582,"/",""))=1,(RIGHT(E582,LEN(E582)-FIND("/",E582)))-(LEFT(E582,FIND("/",E582)-1)),(MID(E582, SEARCH("/",E582) + 1, SEARCH("/",E582, SEARCH("/",E582)+1) - SEARCH("/",E582) - 1))-(LEFT(E582,FIND("/",E582)-1))), "NA"))</f>
        <v/>
      </c>
      <c r="K582" s="79">
        <f>IF(A582&lt;&gt;"", IF(ISBLANK(L582), TODAY(), K582), "")</f>
        <v/>
      </c>
      <c r="L582" s="78" t="n"/>
      <c r="M582" s="78">
        <f>IF(ISBLANK(L582),"",IF(D582="Stock",IF(C582="Buy",L582*G582,IF(C582="Sell",(L582*G582)-I582, X)),IF(C582="Buy",(L582*G582*100)+I582,IF(C582="Sell",(L582*G582*100)-I582, X))))</f>
        <v/>
      </c>
      <c r="N582" s="78">
        <f>IF(ISBLANK(L582),"",IF(AND(C582="Sell",D582="Stock"),M582,IF(ISBLANK(L582),"",IF(C582="Buy",M582, IF(AND(C582="Sell",J582="NA"),(E582*G582*100*0.1)+I582, IF(C582="Sell",(J582-L582)*(100*G582)+I582))))))</f>
        <v/>
      </c>
      <c r="O582" s="75" t="n"/>
      <c r="P582" s="75" t="n"/>
      <c r="Q582" s="75">
        <f>IF(ISBLANK(P582),"",IF(D582="Stock",P582*G582,IF(P582=0,"0",G582*P582*100-(G582*$AF$14))))</f>
        <v/>
      </c>
      <c r="R582" s="79">
        <f>IF(P582&lt;&gt;"", TODAY(), "")</f>
        <v/>
      </c>
      <c r="S582" s="78">
        <f>IF(AND(K582&lt;&gt;"", R582&lt;&gt;""), R582-K582, "")</f>
        <v/>
      </c>
      <c r="T582" s="78" t="n"/>
      <c r="U582" s="92">
        <f>IF(ISBLANK(P582),"",IF(C582="Buy",Q582-M582+T582, IF(C582="Sell",M582-Q582-T582, X)))</f>
        <v/>
      </c>
      <c r="V582" s="81">
        <f>IF(ISBLANK(P582),"",U582/N582)</f>
        <v/>
      </c>
      <c r="W582" s="81">
        <f>IF(ISBLANK(P582),"",IF(S582=0,(365/0.5)*V582,(365/S582)*V582))</f>
        <v/>
      </c>
      <c r="X582" s="75" t="n"/>
      <c r="Y582" s="77" t="n"/>
      <c r="Z582" s="77" t="n"/>
      <c r="AA582" s="75" t="n"/>
      <c r="AB582" s="75" t="n"/>
      <c r="AC582" s="6" t="n"/>
      <c r="AD582" s="75" t="n"/>
      <c r="AE582" s="75" t="n"/>
      <c r="AF582" s="75" t="n"/>
    </row>
    <row r="583" ht="15.75" customHeight="1" s="133">
      <c r="A583" s="75" t="n"/>
      <c r="B583" s="75" t="n"/>
      <c r="C583" s="75" t="n"/>
      <c r="D583" s="75" t="n"/>
      <c r="E583" s="76" t="n"/>
      <c r="F583" s="77" t="n"/>
      <c r="G583" s="75" t="n"/>
      <c r="H583" s="75">
        <f>IF(ISBLANK(E583),"",IF(OR(D583="Butterfly",D583="Butterfly ",D583="Iron Fly", D583="Iron Fly "),LEN(E583)-LEN(SUBSTITUTE(E583,"/",""))+2,LEN(E583)-LEN(SUBSTITUTE(E583,"/",""))+1))</f>
        <v/>
      </c>
      <c r="I583" s="78">
        <f>IF(ISBLANK(G583),"",IF(D583="Stock","0",Key!$A$3*H583*G583))</f>
        <v/>
      </c>
      <c r="J583" s="78">
        <f>IF(ISBLANK(E583),"",IF(ISNUMBER(SEARCH("/",E583)), IF(LEN(E583)-LEN(SUBSTITUTE(E583,"/",""))=1,(RIGHT(E583,LEN(E583)-FIND("/",E583)))-(LEFT(E583,FIND("/",E583)-1)),(MID(E583, SEARCH("/",E583) + 1, SEARCH("/",E583, SEARCH("/",E583)+1) - SEARCH("/",E583) - 1))-(LEFT(E583,FIND("/",E583)-1))), "NA"))</f>
        <v/>
      </c>
      <c r="K583" s="79">
        <f>IF(A583&lt;&gt;"", IF(ISBLANK(L583), TODAY(), K583), "")</f>
        <v/>
      </c>
      <c r="L583" s="78" t="n"/>
      <c r="M583" s="78">
        <f>IF(ISBLANK(L583),"",IF(D583="Stock",IF(C583="Buy",L583*G583,IF(C583="Sell",(L583*G583)-I583, X)),IF(C583="Buy",(L583*G583*100)+I583,IF(C583="Sell",(L583*G583*100)-I583, X))))</f>
        <v/>
      </c>
      <c r="N583" s="78">
        <f>IF(ISBLANK(L583),"",IF(AND(C583="Sell",D583="Stock"),M583,IF(ISBLANK(L583),"",IF(C583="Buy",M583, IF(AND(C583="Sell",J583="NA"),(E583*G583*100*0.1)+I583, IF(C583="Sell",(J583-L583)*(100*G583)+I583))))))</f>
        <v/>
      </c>
      <c r="O583" s="75" t="n"/>
      <c r="P583" s="75" t="n"/>
      <c r="Q583" s="75">
        <f>IF(ISBLANK(P583),"",IF(D583="Stock",P583*G583,IF(P583=0,"0",G583*P583*100-(G583*$AF$14))))</f>
        <v/>
      </c>
      <c r="R583" s="79">
        <f>IF(P583&lt;&gt;"", TODAY(), "")</f>
        <v/>
      </c>
      <c r="S583" s="78">
        <f>IF(AND(K583&lt;&gt;"", R583&lt;&gt;""), R583-K583, "")</f>
        <v/>
      </c>
      <c r="T583" s="78" t="n"/>
      <c r="U583" s="92">
        <f>IF(ISBLANK(P583),"",IF(C583="Buy",Q583-M583+T583, IF(C583="Sell",M583-Q583-T583, X)))</f>
        <v/>
      </c>
      <c r="V583" s="81">
        <f>IF(ISBLANK(P583),"",U583/N583)</f>
        <v/>
      </c>
      <c r="W583" s="81">
        <f>IF(ISBLANK(P583),"",IF(S583=0,(365/0.5)*V583,(365/S583)*V583))</f>
        <v/>
      </c>
      <c r="X583" s="75" t="n"/>
      <c r="Y583" s="77" t="n"/>
      <c r="Z583" s="77" t="n"/>
      <c r="AA583" s="75" t="n"/>
      <c r="AB583" s="75" t="n"/>
      <c r="AC583" s="6" t="n"/>
      <c r="AD583" s="75" t="n"/>
      <c r="AE583" s="75" t="n"/>
      <c r="AF583" s="75" t="n"/>
    </row>
    <row r="584" ht="15.75" customHeight="1" s="133">
      <c r="A584" s="75" t="n"/>
      <c r="B584" s="75" t="n"/>
      <c r="C584" s="75" t="n"/>
      <c r="D584" s="75" t="n"/>
      <c r="E584" s="76" t="n"/>
      <c r="F584" s="77" t="n"/>
      <c r="G584" s="75" t="n"/>
      <c r="H584" s="75">
        <f>IF(ISBLANK(E584),"",IF(OR(D584="Butterfly",D584="Butterfly ",D584="Iron Fly", D584="Iron Fly "),LEN(E584)-LEN(SUBSTITUTE(E584,"/",""))+2,LEN(E584)-LEN(SUBSTITUTE(E584,"/",""))+1))</f>
        <v/>
      </c>
      <c r="I584" s="78">
        <f>IF(ISBLANK(G584),"",IF(D584="Stock","0",Key!$A$3*H584*G584))</f>
        <v/>
      </c>
      <c r="J584" s="78">
        <f>IF(ISBLANK(E584),"",IF(ISNUMBER(SEARCH("/",E584)), IF(LEN(E584)-LEN(SUBSTITUTE(E584,"/",""))=1,(RIGHT(E584,LEN(E584)-FIND("/",E584)))-(LEFT(E584,FIND("/",E584)-1)),(MID(E584, SEARCH("/",E584) + 1, SEARCH("/",E584, SEARCH("/",E584)+1) - SEARCH("/",E584) - 1))-(LEFT(E584,FIND("/",E584)-1))), "NA"))</f>
        <v/>
      </c>
      <c r="K584" s="79">
        <f>IF(A584&lt;&gt;"", IF(ISBLANK(L584), TODAY(), K584), "")</f>
        <v/>
      </c>
      <c r="L584" s="78" t="n"/>
      <c r="M584" s="78">
        <f>IF(ISBLANK(L584),"",IF(D584="Stock",IF(C584="Buy",L584*G584,IF(C584="Sell",(L584*G584)-I584, X)),IF(C584="Buy",(L584*G584*100)+I584,IF(C584="Sell",(L584*G584*100)-I584, X))))</f>
        <v/>
      </c>
      <c r="N584" s="78">
        <f>IF(ISBLANK(L584),"",IF(AND(C584="Sell",D584="Stock"),M584,IF(ISBLANK(L584),"",IF(C584="Buy",M584, IF(AND(C584="Sell",J584="NA"),(E584*G584*100*0.1)+I584, IF(C584="Sell",(J584-L584)*(100*G584)+I584))))))</f>
        <v/>
      </c>
      <c r="O584" s="75" t="n"/>
      <c r="P584" s="75" t="n"/>
      <c r="Q584" s="75">
        <f>IF(ISBLANK(P584),"",IF(D584="Stock",P584*G584,IF(P584=0,"0",G584*P584*100-(G584*$AF$14))))</f>
        <v/>
      </c>
      <c r="R584" s="79">
        <f>IF(P584&lt;&gt;"", TODAY(), "")</f>
        <v/>
      </c>
      <c r="S584" s="78">
        <f>IF(AND(K584&lt;&gt;"", R584&lt;&gt;""), R584-K584, "")</f>
        <v/>
      </c>
      <c r="T584" s="78" t="n"/>
      <c r="U584" s="92">
        <f>IF(ISBLANK(P584),"",IF(C584="Buy",Q584-M584+T584, IF(C584="Sell",M584-Q584-T584, X)))</f>
        <v/>
      </c>
      <c r="V584" s="81">
        <f>IF(ISBLANK(P584),"",U584/N584)</f>
        <v/>
      </c>
      <c r="W584" s="81">
        <f>IF(ISBLANK(P584),"",IF(S584=0,(365/0.5)*V584,(365/S584)*V584))</f>
        <v/>
      </c>
      <c r="X584" s="75" t="n"/>
      <c r="Y584" s="77" t="n"/>
      <c r="Z584" s="77" t="n"/>
      <c r="AA584" s="75" t="n"/>
      <c r="AB584" s="75" t="n"/>
      <c r="AC584" s="6" t="n"/>
      <c r="AD584" s="75" t="n"/>
      <c r="AE584" s="75" t="n"/>
      <c r="AF584" s="75" t="n"/>
    </row>
    <row r="585" ht="15.75" customHeight="1" s="133">
      <c r="A585" s="75" t="n"/>
      <c r="B585" s="75" t="n"/>
      <c r="C585" s="75" t="n"/>
      <c r="D585" s="75" t="n"/>
      <c r="E585" s="76" t="n"/>
      <c r="F585" s="77" t="n"/>
      <c r="G585" s="75" t="n"/>
      <c r="H585" s="75">
        <f>IF(ISBLANK(E585),"",IF(OR(D585="Butterfly",D585="Butterfly ",D585="Iron Fly", D585="Iron Fly "),LEN(E585)-LEN(SUBSTITUTE(E585,"/",""))+2,LEN(E585)-LEN(SUBSTITUTE(E585,"/",""))+1))</f>
        <v/>
      </c>
      <c r="I585" s="78">
        <f>IF(ISBLANK(G585),"",IF(D585="Stock","0",Key!$A$3*H585*G585))</f>
        <v/>
      </c>
      <c r="J585" s="78">
        <f>IF(ISBLANK(E585),"",IF(ISNUMBER(SEARCH("/",E585)), IF(LEN(E585)-LEN(SUBSTITUTE(E585,"/",""))=1,(RIGHT(E585,LEN(E585)-FIND("/",E585)))-(LEFT(E585,FIND("/",E585)-1)),(MID(E585, SEARCH("/",E585) + 1, SEARCH("/",E585, SEARCH("/",E585)+1) - SEARCH("/",E585) - 1))-(LEFT(E585,FIND("/",E585)-1))), "NA"))</f>
        <v/>
      </c>
      <c r="K585" s="79">
        <f>IF(A585&lt;&gt;"", IF(ISBLANK(L585), TODAY(), K585), "")</f>
        <v/>
      </c>
      <c r="L585" s="78" t="n"/>
      <c r="M585" s="78">
        <f>IF(ISBLANK(L585),"",IF(D585="Stock",IF(C585="Buy",L585*G585,IF(C585="Sell",(L585*G585)-I585, X)),IF(C585="Buy",(L585*G585*100)+I585,IF(C585="Sell",(L585*G585*100)-I585, X))))</f>
        <v/>
      </c>
      <c r="N585" s="78">
        <f>IF(ISBLANK(L585),"",IF(AND(C585="Sell",D585="Stock"),M585,IF(ISBLANK(L585),"",IF(C585="Buy",M585, IF(AND(C585="Sell",J585="NA"),(E585*G585*100*0.1)+I585, IF(C585="Sell",(J585-L585)*(100*G585)+I585))))))</f>
        <v/>
      </c>
      <c r="O585" s="75" t="n"/>
      <c r="P585" s="75" t="n"/>
      <c r="Q585" s="75">
        <f>IF(ISBLANK(P585),"",IF(D585="Stock",P585*G585,IF(P585=0,"0",G585*P585*100-(G585*$AF$14))))</f>
        <v/>
      </c>
      <c r="R585" s="79">
        <f>IF(P585&lt;&gt;"", TODAY(), "")</f>
        <v/>
      </c>
      <c r="S585" s="78">
        <f>IF(AND(K585&lt;&gt;"", R585&lt;&gt;""), R585-K585, "")</f>
        <v/>
      </c>
      <c r="T585" s="78" t="n"/>
      <c r="U585" s="92">
        <f>IF(ISBLANK(P585),"",IF(C585="Buy",Q585-M585+T585, IF(C585="Sell",M585-Q585-T585, X)))</f>
        <v/>
      </c>
      <c r="V585" s="81">
        <f>IF(ISBLANK(P585),"",U585/N585)</f>
        <v/>
      </c>
      <c r="W585" s="81">
        <f>IF(ISBLANK(P585),"",IF(S585=0,(365/0.5)*V585,(365/S585)*V585))</f>
        <v/>
      </c>
      <c r="X585" s="75" t="n"/>
      <c r="Y585" s="77" t="n"/>
      <c r="Z585" s="77" t="n"/>
      <c r="AA585" s="75" t="n"/>
      <c r="AB585" s="75" t="n"/>
      <c r="AC585" s="6" t="n"/>
      <c r="AD585" s="75" t="n"/>
      <c r="AE585" s="75" t="n"/>
      <c r="AF585" s="75" t="n"/>
    </row>
    <row r="586" ht="15.75" customHeight="1" s="133">
      <c r="A586" s="75" t="n"/>
      <c r="B586" s="75" t="n"/>
      <c r="C586" s="75" t="n"/>
      <c r="D586" s="75" t="n"/>
      <c r="E586" s="76" t="n"/>
      <c r="F586" s="77" t="n"/>
      <c r="G586" s="75" t="n"/>
      <c r="H586" s="75">
        <f>IF(ISBLANK(E586),"",IF(OR(D586="Butterfly",D586="Butterfly ",D586="Iron Fly", D586="Iron Fly "),LEN(E586)-LEN(SUBSTITUTE(E586,"/",""))+2,LEN(E586)-LEN(SUBSTITUTE(E586,"/",""))+1))</f>
        <v/>
      </c>
      <c r="I586" s="78">
        <f>IF(ISBLANK(G586),"",IF(D586="Stock","0",Key!$A$3*H586*G586))</f>
        <v/>
      </c>
      <c r="J586" s="78">
        <f>IF(ISBLANK(E586),"",IF(ISNUMBER(SEARCH("/",E586)), IF(LEN(E586)-LEN(SUBSTITUTE(E586,"/",""))=1,(RIGHT(E586,LEN(E586)-FIND("/",E586)))-(LEFT(E586,FIND("/",E586)-1)),(MID(E586, SEARCH("/",E586) + 1, SEARCH("/",E586, SEARCH("/",E586)+1) - SEARCH("/",E586) - 1))-(LEFT(E586,FIND("/",E586)-1))), "NA"))</f>
        <v/>
      </c>
      <c r="K586" s="79">
        <f>IF(A586&lt;&gt;"", IF(ISBLANK(L586), TODAY(), K586), "")</f>
        <v/>
      </c>
      <c r="L586" s="78" t="n"/>
      <c r="M586" s="78">
        <f>IF(ISBLANK(L586),"",IF(D586="Stock",IF(C586="Buy",L586*G586,IF(C586="Sell",(L586*G586)-I586, X)),IF(C586="Buy",(L586*G586*100)+I586,IF(C586="Sell",(L586*G586*100)-I586, X))))</f>
        <v/>
      </c>
      <c r="N586" s="78">
        <f>IF(ISBLANK(L586),"",IF(AND(C586="Sell",D586="Stock"),M586,IF(ISBLANK(L586),"",IF(C586="Buy",M586, IF(AND(C586="Sell",J586="NA"),(E586*G586*100*0.1)+I586, IF(C586="Sell",(J586-L586)*(100*G586)+I586))))))</f>
        <v/>
      </c>
      <c r="O586" s="75" t="n"/>
      <c r="P586" s="75" t="n"/>
      <c r="Q586" s="75">
        <f>IF(ISBLANK(P586),"",IF(D586="Stock",P586*G586,IF(P586=0,"0",G586*P586*100-(G586*$AF$14))))</f>
        <v/>
      </c>
      <c r="R586" s="79">
        <f>IF(P586&lt;&gt;"", TODAY(), "")</f>
        <v/>
      </c>
      <c r="S586" s="78">
        <f>IF(AND(K586&lt;&gt;"", R586&lt;&gt;""), R586-K586, "")</f>
        <v/>
      </c>
      <c r="T586" s="78" t="n"/>
      <c r="U586" s="92">
        <f>IF(ISBLANK(P586),"",IF(C586="Buy",Q586-M586+T586, IF(C586="Sell",M586-Q586-T586, X)))</f>
        <v/>
      </c>
      <c r="V586" s="81">
        <f>IF(ISBLANK(P586),"",U586/N586)</f>
        <v/>
      </c>
      <c r="W586" s="81">
        <f>IF(ISBLANK(P586),"",IF(S586=0,(365/0.5)*V586,(365/S586)*V586))</f>
        <v/>
      </c>
      <c r="X586" s="75" t="n"/>
      <c r="Y586" s="77" t="n"/>
      <c r="Z586" s="77" t="n"/>
      <c r="AA586" s="75" t="n"/>
      <c r="AB586" s="75" t="n"/>
      <c r="AC586" s="6" t="n"/>
      <c r="AD586" s="75" t="n"/>
      <c r="AE586" s="75" t="n"/>
      <c r="AF586" s="75" t="n"/>
    </row>
    <row r="587" ht="15.75" customHeight="1" s="133">
      <c r="A587" s="75" t="n"/>
      <c r="B587" s="75" t="n"/>
      <c r="C587" s="75" t="n"/>
      <c r="D587" s="75" t="n"/>
      <c r="E587" s="76" t="n"/>
      <c r="F587" s="77" t="n"/>
      <c r="G587" s="75" t="n"/>
      <c r="H587" s="75">
        <f>IF(ISBLANK(E587),"",IF(OR(D587="Butterfly",D587="Butterfly ",D587="Iron Fly", D587="Iron Fly "),LEN(E587)-LEN(SUBSTITUTE(E587,"/",""))+2,LEN(E587)-LEN(SUBSTITUTE(E587,"/",""))+1))</f>
        <v/>
      </c>
      <c r="I587" s="78">
        <f>IF(ISBLANK(G587),"",IF(D587="Stock","0",Key!$A$3*H587*G587))</f>
        <v/>
      </c>
      <c r="J587" s="78">
        <f>IF(ISBLANK(E587),"",IF(ISNUMBER(SEARCH("/",E587)), IF(LEN(E587)-LEN(SUBSTITUTE(E587,"/",""))=1,(RIGHT(E587,LEN(E587)-FIND("/",E587)))-(LEFT(E587,FIND("/",E587)-1)),(MID(E587, SEARCH("/",E587) + 1, SEARCH("/",E587, SEARCH("/",E587)+1) - SEARCH("/",E587) - 1))-(LEFT(E587,FIND("/",E587)-1))), "NA"))</f>
        <v/>
      </c>
      <c r="K587" s="79">
        <f>IF(A587&lt;&gt;"", IF(ISBLANK(L587), TODAY(), K587), "")</f>
        <v/>
      </c>
      <c r="L587" s="78" t="n"/>
      <c r="M587" s="78">
        <f>IF(ISBLANK(L587),"",IF(D587="Stock",IF(C587="Buy",L587*G587,IF(C587="Sell",(L587*G587)-I587, X)),IF(C587="Buy",(L587*G587*100)+I587,IF(C587="Sell",(L587*G587*100)-I587, X))))</f>
        <v/>
      </c>
      <c r="N587" s="78">
        <f>IF(ISBLANK(L587),"",IF(AND(C587="Sell",D587="Stock"),M587,IF(ISBLANK(L587),"",IF(C587="Buy",M587, IF(AND(C587="Sell",J587="NA"),(E587*G587*100*0.1)+I587, IF(C587="Sell",(J587-L587)*(100*G587)+I587))))))</f>
        <v/>
      </c>
      <c r="O587" s="75" t="n"/>
      <c r="P587" s="75" t="n"/>
      <c r="Q587" s="75">
        <f>IF(ISBLANK(P587),"",IF(D587="Stock",P587*G587,IF(P587=0,"0",G587*P587*100-(G587*$AF$14))))</f>
        <v/>
      </c>
      <c r="R587" s="79">
        <f>IF(P587&lt;&gt;"", TODAY(), "")</f>
        <v/>
      </c>
      <c r="S587" s="78">
        <f>IF(AND(K587&lt;&gt;"", R587&lt;&gt;""), R587-K587, "")</f>
        <v/>
      </c>
      <c r="T587" s="78" t="n"/>
      <c r="U587" s="92">
        <f>IF(ISBLANK(P587),"",IF(C587="Buy",Q587-M587+T587, IF(C587="Sell",M587-Q587-T587, X)))</f>
        <v/>
      </c>
      <c r="V587" s="81">
        <f>IF(ISBLANK(P587),"",U587/N587)</f>
        <v/>
      </c>
      <c r="W587" s="81">
        <f>IF(ISBLANK(P587),"",IF(S587=0,(365/0.5)*V587,(365/S587)*V587))</f>
        <v/>
      </c>
      <c r="X587" s="75" t="n"/>
      <c r="Y587" s="77" t="n"/>
      <c r="Z587" s="77" t="n"/>
      <c r="AA587" s="75" t="n"/>
      <c r="AB587" s="75" t="n"/>
      <c r="AC587" s="6" t="n"/>
      <c r="AD587" s="75" t="n"/>
      <c r="AE587" s="75" t="n"/>
      <c r="AF587" s="75" t="n"/>
    </row>
    <row r="588" ht="15.75" customHeight="1" s="133">
      <c r="A588" s="75" t="n"/>
      <c r="B588" s="75" t="n"/>
      <c r="C588" s="75" t="n"/>
      <c r="D588" s="75" t="n"/>
      <c r="E588" s="76" t="n"/>
      <c r="F588" s="77" t="n"/>
      <c r="G588" s="75" t="n"/>
      <c r="H588" s="75">
        <f>IF(ISBLANK(E588),"",IF(OR(D588="Butterfly",D588="Butterfly ",D588="Iron Fly", D588="Iron Fly "),LEN(E588)-LEN(SUBSTITUTE(E588,"/",""))+2,LEN(E588)-LEN(SUBSTITUTE(E588,"/",""))+1))</f>
        <v/>
      </c>
      <c r="I588" s="78">
        <f>IF(ISBLANK(G588),"",IF(D588="Stock","0",Key!$A$3*H588*G588))</f>
        <v/>
      </c>
      <c r="J588" s="78">
        <f>IF(ISBLANK(E588),"",IF(ISNUMBER(SEARCH("/",E588)), IF(LEN(E588)-LEN(SUBSTITUTE(E588,"/",""))=1,(RIGHT(E588,LEN(E588)-FIND("/",E588)))-(LEFT(E588,FIND("/",E588)-1)),(MID(E588, SEARCH("/",E588) + 1, SEARCH("/",E588, SEARCH("/",E588)+1) - SEARCH("/",E588) - 1))-(LEFT(E588,FIND("/",E588)-1))), "NA"))</f>
        <v/>
      </c>
      <c r="K588" s="79">
        <f>IF(A588&lt;&gt;"", IF(ISBLANK(L588), TODAY(), K588), "")</f>
        <v/>
      </c>
      <c r="L588" s="78" t="n"/>
      <c r="M588" s="78">
        <f>IF(ISBLANK(L588),"",IF(D588="Stock",IF(C588="Buy",L588*G588,IF(C588="Sell",(L588*G588)-I588, X)),IF(C588="Buy",(L588*G588*100)+I588,IF(C588="Sell",(L588*G588*100)-I588, X))))</f>
        <v/>
      </c>
      <c r="N588" s="78">
        <f>IF(ISBLANK(L588),"",IF(AND(C588="Sell",D588="Stock"),M588,IF(ISBLANK(L588),"",IF(C588="Buy",M588, IF(AND(C588="Sell",J588="NA"),(E588*G588*100*0.1)+I588, IF(C588="Sell",(J588-L588)*(100*G588)+I588))))))</f>
        <v/>
      </c>
      <c r="O588" s="75" t="n"/>
      <c r="P588" s="75" t="n"/>
      <c r="Q588" s="75">
        <f>IF(ISBLANK(P588),"",IF(D588="Stock",P588*G588,IF(P588=0,"0",G588*P588*100-(G588*$AF$14))))</f>
        <v/>
      </c>
      <c r="R588" s="79">
        <f>IF(P588&lt;&gt;"", TODAY(), "")</f>
        <v/>
      </c>
      <c r="S588" s="78">
        <f>IF(AND(K588&lt;&gt;"", R588&lt;&gt;""), R588-K588, "")</f>
        <v/>
      </c>
      <c r="T588" s="78" t="n"/>
      <c r="U588" s="92">
        <f>IF(ISBLANK(P588),"",IF(C588="Buy",Q588-M588+T588, IF(C588="Sell",M588-Q588-T588, X)))</f>
        <v/>
      </c>
      <c r="V588" s="81">
        <f>IF(ISBLANK(P588),"",U588/N588)</f>
        <v/>
      </c>
      <c r="W588" s="81">
        <f>IF(ISBLANK(P588),"",IF(S588=0,(365/0.5)*V588,(365/S588)*V588))</f>
        <v/>
      </c>
      <c r="X588" s="75" t="n"/>
      <c r="Y588" s="77" t="n"/>
      <c r="Z588" s="77" t="n"/>
      <c r="AA588" s="75" t="n"/>
      <c r="AB588" s="75" t="n"/>
      <c r="AC588" s="6" t="n"/>
      <c r="AD588" s="75" t="n"/>
      <c r="AE588" s="75" t="n"/>
      <c r="AF588" s="75" t="n"/>
    </row>
    <row r="589" ht="15.75" customHeight="1" s="133">
      <c r="A589" s="75" t="n"/>
      <c r="B589" s="75" t="n"/>
      <c r="C589" s="75" t="n"/>
      <c r="D589" s="75" t="n"/>
      <c r="E589" s="76" t="n"/>
      <c r="F589" s="77" t="n"/>
      <c r="G589" s="75" t="n"/>
      <c r="H589" s="75">
        <f>IF(ISBLANK(E589),"",IF(OR(D589="Butterfly",D589="Butterfly ",D589="Iron Fly", D589="Iron Fly "),LEN(E589)-LEN(SUBSTITUTE(E589,"/",""))+2,LEN(E589)-LEN(SUBSTITUTE(E589,"/",""))+1))</f>
        <v/>
      </c>
      <c r="I589" s="78">
        <f>IF(ISBLANK(G589),"",IF(D589="Stock","0",Key!$A$3*H589*G589))</f>
        <v/>
      </c>
      <c r="J589" s="78">
        <f>IF(ISBLANK(E589),"",IF(ISNUMBER(SEARCH("/",E589)), IF(LEN(E589)-LEN(SUBSTITUTE(E589,"/",""))=1,(RIGHT(E589,LEN(E589)-FIND("/",E589)))-(LEFT(E589,FIND("/",E589)-1)),(MID(E589, SEARCH("/",E589) + 1, SEARCH("/",E589, SEARCH("/",E589)+1) - SEARCH("/",E589) - 1))-(LEFT(E589,FIND("/",E589)-1))), "NA"))</f>
        <v/>
      </c>
      <c r="K589" s="79">
        <f>IF(A589&lt;&gt;"", IF(ISBLANK(L589), TODAY(), K589), "")</f>
        <v/>
      </c>
      <c r="L589" s="78" t="n"/>
      <c r="M589" s="78">
        <f>IF(ISBLANK(L589),"",IF(D589="Stock",IF(C589="Buy",L589*G589,IF(C589="Sell",(L589*G589)-I589, X)),IF(C589="Buy",(L589*G589*100)+I589,IF(C589="Sell",(L589*G589*100)-I589, X))))</f>
        <v/>
      </c>
      <c r="N589" s="78">
        <f>IF(ISBLANK(L589),"",IF(AND(C589="Sell",D589="Stock"),M589,IF(ISBLANK(L589),"",IF(C589="Buy",M589, IF(AND(C589="Sell",J589="NA"),(E589*G589*100*0.1)+I589, IF(C589="Sell",(J589-L589)*(100*G589)+I589))))))</f>
        <v/>
      </c>
      <c r="O589" s="75" t="n"/>
      <c r="P589" s="75" t="n"/>
      <c r="Q589" s="75">
        <f>IF(ISBLANK(P589),"",IF(D589="Stock",P589*G589,IF(P589=0,"0",G589*P589*100-(G589*$AF$14))))</f>
        <v/>
      </c>
      <c r="R589" s="79">
        <f>IF(P589&lt;&gt;"", TODAY(), "")</f>
        <v/>
      </c>
      <c r="S589" s="78">
        <f>IF(AND(K589&lt;&gt;"", R589&lt;&gt;""), R589-K589, "")</f>
        <v/>
      </c>
      <c r="T589" s="78" t="n"/>
      <c r="U589" s="92">
        <f>IF(ISBLANK(P589),"",IF(C589="Buy",Q589-M589+T589, IF(C589="Sell",M589-Q589-T589, X)))</f>
        <v/>
      </c>
      <c r="V589" s="81">
        <f>IF(ISBLANK(P589),"",U589/N589)</f>
        <v/>
      </c>
      <c r="W589" s="81">
        <f>IF(ISBLANK(P589),"",IF(S589=0,(365/0.5)*V589,(365/S589)*V589))</f>
        <v/>
      </c>
      <c r="X589" s="75" t="n"/>
      <c r="Y589" s="77" t="n"/>
      <c r="Z589" s="77" t="n"/>
      <c r="AA589" s="75" t="n"/>
      <c r="AB589" s="75" t="n"/>
      <c r="AC589" s="6" t="n"/>
      <c r="AD589" s="75" t="n"/>
      <c r="AE589" s="75" t="n"/>
      <c r="AF589" s="75" t="n"/>
    </row>
    <row r="590" ht="15.75" customHeight="1" s="133">
      <c r="A590" s="75" t="n"/>
      <c r="B590" s="75" t="n"/>
      <c r="C590" s="75" t="n"/>
      <c r="D590" s="75" t="n"/>
      <c r="E590" s="76" t="n"/>
      <c r="F590" s="77" t="n"/>
      <c r="G590" s="75" t="n"/>
      <c r="H590" s="75">
        <f>IF(ISBLANK(E590),"",IF(OR(D590="Butterfly",D590="Butterfly ",D590="Iron Fly", D590="Iron Fly "),LEN(E590)-LEN(SUBSTITUTE(E590,"/",""))+2,LEN(E590)-LEN(SUBSTITUTE(E590,"/",""))+1))</f>
        <v/>
      </c>
      <c r="I590" s="78">
        <f>IF(ISBLANK(G590),"",IF(D590="Stock","0",Key!$A$3*H590*G590))</f>
        <v/>
      </c>
      <c r="J590" s="78">
        <f>IF(ISBLANK(E590),"",IF(ISNUMBER(SEARCH("/",E590)), IF(LEN(E590)-LEN(SUBSTITUTE(E590,"/",""))=1,(RIGHT(E590,LEN(E590)-FIND("/",E590)))-(LEFT(E590,FIND("/",E590)-1)),(MID(E590, SEARCH("/",E590) + 1, SEARCH("/",E590, SEARCH("/",E590)+1) - SEARCH("/",E590) - 1))-(LEFT(E590,FIND("/",E590)-1))), "NA"))</f>
        <v/>
      </c>
      <c r="K590" s="79">
        <f>IF(A590&lt;&gt;"", IF(ISBLANK(L590), TODAY(), K590), "")</f>
        <v/>
      </c>
      <c r="L590" s="78" t="n"/>
      <c r="M590" s="78">
        <f>IF(ISBLANK(L590),"",IF(D590="Stock",IF(C590="Buy",L590*G590,IF(C590="Sell",(L590*G590)-I590, X)),IF(C590="Buy",(L590*G590*100)+I590,IF(C590="Sell",(L590*G590*100)-I590, X))))</f>
        <v/>
      </c>
      <c r="N590" s="78">
        <f>IF(ISBLANK(L590),"",IF(AND(C590="Sell",D590="Stock"),M590,IF(ISBLANK(L590),"",IF(C590="Buy",M590, IF(AND(C590="Sell",J590="NA"),(E590*G590*100*0.1)+I590, IF(C590="Sell",(J590-L590)*(100*G590)+I590))))))</f>
        <v/>
      </c>
      <c r="O590" s="75" t="n"/>
      <c r="P590" s="75" t="n"/>
      <c r="Q590" s="75">
        <f>IF(ISBLANK(P590),"",IF(D590="Stock",P590*G590,IF(P590=0,"0",G590*P590*100-(G590*$AF$14))))</f>
        <v/>
      </c>
      <c r="R590" s="79">
        <f>IF(P590&lt;&gt;"", TODAY(), "")</f>
        <v/>
      </c>
      <c r="S590" s="78">
        <f>IF(AND(K590&lt;&gt;"", R590&lt;&gt;""), R590-K590, "")</f>
        <v/>
      </c>
      <c r="T590" s="78" t="n"/>
      <c r="U590" s="92">
        <f>IF(ISBLANK(P590),"",IF(C590="Buy",Q590-M590+T590, IF(C590="Sell",M590-Q590-T590, X)))</f>
        <v/>
      </c>
      <c r="V590" s="81">
        <f>IF(ISBLANK(P590),"",U590/N590)</f>
        <v/>
      </c>
      <c r="W590" s="81">
        <f>IF(ISBLANK(P590),"",IF(S590=0,(365/0.5)*V590,(365/S590)*V590))</f>
        <v/>
      </c>
      <c r="X590" s="75" t="n"/>
      <c r="Y590" s="77" t="n"/>
      <c r="Z590" s="77" t="n"/>
      <c r="AA590" s="75" t="n"/>
      <c r="AB590" s="75" t="n"/>
      <c r="AC590" s="6" t="n"/>
      <c r="AD590" s="75" t="n"/>
      <c r="AE590" s="75" t="n"/>
      <c r="AF590" s="75" t="n"/>
    </row>
    <row r="591" ht="15.75" customHeight="1" s="133">
      <c r="A591" s="75" t="n"/>
      <c r="B591" s="75" t="n"/>
      <c r="C591" s="75" t="n"/>
      <c r="D591" s="75" t="n"/>
      <c r="E591" s="76" t="n"/>
      <c r="F591" s="77" t="n"/>
      <c r="G591" s="75" t="n"/>
      <c r="H591" s="75">
        <f>IF(ISBLANK(E591),"",IF(OR(D591="Butterfly",D591="Butterfly ",D591="Iron Fly", D591="Iron Fly "),LEN(E591)-LEN(SUBSTITUTE(E591,"/",""))+2,LEN(E591)-LEN(SUBSTITUTE(E591,"/",""))+1))</f>
        <v/>
      </c>
      <c r="I591" s="78">
        <f>IF(ISBLANK(G591),"",IF(D591="Stock","0",Key!$A$3*H591*G591))</f>
        <v/>
      </c>
      <c r="J591" s="78">
        <f>IF(ISBLANK(E591),"",IF(ISNUMBER(SEARCH("/",E591)), IF(LEN(E591)-LEN(SUBSTITUTE(E591,"/",""))=1,(RIGHT(E591,LEN(E591)-FIND("/",E591)))-(LEFT(E591,FIND("/",E591)-1)),(MID(E591, SEARCH("/",E591) + 1, SEARCH("/",E591, SEARCH("/",E591)+1) - SEARCH("/",E591) - 1))-(LEFT(E591,FIND("/",E591)-1))), "NA"))</f>
        <v/>
      </c>
      <c r="K591" s="79">
        <f>IF(A591&lt;&gt;"", IF(ISBLANK(L591), TODAY(), K591), "")</f>
        <v/>
      </c>
      <c r="L591" s="78" t="n"/>
      <c r="M591" s="78">
        <f>IF(ISBLANK(L591),"",IF(D591="Stock",IF(C591="Buy",L591*G591,IF(C591="Sell",(L591*G591)-I591, X)),IF(C591="Buy",(L591*G591*100)+I591,IF(C591="Sell",(L591*G591*100)-I591, X))))</f>
        <v/>
      </c>
      <c r="N591" s="78">
        <f>IF(ISBLANK(L591),"",IF(AND(C591="Sell",D591="Stock"),M591,IF(ISBLANK(L591),"",IF(C591="Buy",M591, IF(AND(C591="Sell",J591="NA"),(E591*G591*100*0.1)+I591, IF(C591="Sell",(J591-L591)*(100*G591)+I591))))))</f>
        <v/>
      </c>
      <c r="O591" s="75" t="n"/>
      <c r="P591" s="75" t="n"/>
      <c r="Q591" s="75">
        <f>IF(ISBLANK(P591),"",IF(D591="Stock",P591*G591,IF(P591=0,"0",G591*P591*100-(G591*$AF$14))))</f>
        <v/>
      </c>
      <c r="R591" s="79">
        <f>IF(P591&lt;&gt;"", TODAY(), "")</f>
        <v/>
      </c>
      <c r="S591" s="78">
        <f>IF(AND(K591&lt;&gt;"", R591&lt;&gt;""), R591-K591, "")</f>
        <v/>
      </c>
      <c r="T591" s="78" t="n"/>
      <c r="U591" s="92">
        <f>IF(ISBLANK(P591),"",IF(C591="Buy",Q591-M591+T591, IF(C591="Sell",M591-Q591-T591, X)))</f>
        <v/>
      </c>
      <c r="V591" s="81">
        <f>IF(ISBLANK(P591),"",U591/N591)</f>
        <v/>
      </c>
      <c r="W591" s="81">
        <f>IF(ISBLANK(P591),"",IF(S591=0,(365/0.5)*V591,(365/S591)*V591))</f>
        <v/>
      </c>
      <c r="X591" s="75" t="n"/>
      <c r="Y591" s="77" t="n"/>
      <c r="Z591" s="77" t="n"/>
      <c r="AA591" s="75" t="n"/>
      <c r="AB591" s="75" t="n"/>
      <c r="AC591" s="6" t="n"/>
      <c r="AD591" s="75" t="n"/>
      <c r="AE591" s="75" t="n"/>
      <c r="AF591" s="75" t="n"/>
    </row>
    <row r="592" ht="15.75" customHeight="1" s="133">
      <c r="A592" s="75" t="n"/>
      <c r="B592" s="75" t="n"/>
      <c r="C592" s="75" t="n"/>
      <c r="D592" s="75" t="n"/>
      <c r="E592" s="76" t="n"/>
      <c r="F592" s="77" t="n"/>
      <c r="G592" s="75" t="n"/>
      <c r="H592" s="75">
        <f>IF(ISBLANK(E592),"",IF(OR(D592="Butterfly",D592="Butterfly ",D592="Iron Fly", D592="Iron Fly "),LEN(E592)-LEN(SUBSTITUTE(E592,"/",""))+2,LEN(E592)-LEN(SUBSTITUTE(E592,"/",""))+1))</f>
        <v/>
      </c>
      <c r="I592" s="78">
        <f>IF(ISBLANK(G592),"",IF(D592="Stock","0",Key!$A$3*H592*G592))</f>
        <v/>
      </c>
      <c r="J592" s="78">
        <f>IF(ISBLANK(E592),"",IF(ISNUMBER(SEARCH("/",E592)), IF(LEN(E592)-LEN(SUBSTITUTE(E592,"/",""))=1,(RIGHT(E592,LEN(E592)-FIND("/",E592)))-(LEFT(E592,FIND("/",E592)-1)),(MID(E592, SEARCH("/",E592) + 1, SEARCH("/",E592, SEARCH("/",E592)+1) - SEARCH("/",E592) - 1))-(LEFT(E592,FIND("/",E592)-1))), "NA"))</f>
        <v/>
      </c>
      <c r="K592" s="79">
        <f>IF(A592&lt;&gt;"", IF(ISBLANK(L592), TODAY(), K592), "")</f>
        <v/>
      </c>
      <c r="L592" s="78" t="n"/>
      <c r="M592" s="78">
        <f>IF(ISBLANK(L592),"",IF(D592="Stock",IF(C592="Buy",L592*G592,IF(C592="Sell",(L592*G592)-I592, X)),IF(C592="Buy",(L592*G592*100)+I592,IF(C592="Sell",(L592*G592*100)-I592, X))))</f>
        <v/>
      </c>
      <c r="N592" s="78">
        <f>IF(ISBLANK(L592),"",IF(AND(C592="Sell",D592="Stock"),M592,IF(ISBLANK(L592),"",IF(C592="Buy",M592, IF(AND(C592="Sell",J592="NA"),(E592*G592*100*0.1)+I592, IF(C592="Sell",(J592-L592)*(100*G592)+I592))))))</f>
        <v/>
      </c>
      <c r="O592" s="75" t="n"/>
      <c r="P592" s="75" t="n"/>
      <c r="Q592" s="75">
        <f>IF(ISBLANK(P592),"",IF(D592="Stock",P592*G592,IF(P592=0,"0",G592*P592*100-(G592*$AF$14))))</f>
        <v/>
      </c>
      <c r="R592" s="79">
        <f>IF(P592&lt;&gt;"", TODAY(), "")</f>
        <v/>
      </c>
      <c r="S592" s="78">
        <f>IF(AND(K592&lt;&gt;"", R592&lt;&gt;""), R592-K592, "")</f>
        <v/>
      </c>
      <c r="T592" s="78" t="n"/>
      <c r="U592" s="92">
        <f>IF(ISBLANK(P592),"",IF(C592="Buy",Q592-M592+T592, IF(C592="Sell",M592-Q592-T592, X)))</f>
        <v/>
      </c>
      <c r="V592" s="81">
        <f>IF(ISBLANK(P592),"",U592/N592)</f>
        <v/>
      </c>
      <c r="W592" s="81">
        <f>IF(ISBLANK(P592),"",IF(S592=0,(365/0.5)*V592,(365/S592)*V592))</f>
        <v/>
      </c>
      <c r="X592" s="75" t="n"/>
      <c r="Y592" s="77" t="n"/>
      <c r="Z592" s="77" t="n"/>
      <c r="AA592" s="75" t="n"/>
      <c r="AB592" s="75" t="n"/>
      <c r="AC592" s="6" t="n"/>
      <c r="AD592" s="75" t="n"/>
      <c r="AE592" s="75" t="n"/>
      <c r="AF592" s="75" t="n"/>
    </row>
    <row r="593" ht="15.75" customHeight="1" s="133">
      <c r="A593" s="75" t="n"/>
      <c r="B593" s="75" t="n"/>
      <c r="C593" s="75" t="n"/>
      <c r="D593" s="75" t="n"/>
      <c r="E593" s="76" t="n"/>
      <c r="F593" s="77" t="n"/>
      <c r="G593" s="75" t="n"/>
      <c r="H593" s="75">
        <f>IF(ISBLANK(E593),"",IF(OR(D593="Butterfly",D593="Butterfly ",D593="Iron Fly", D593="Iron Fly "),LEN(E593)-LEN(SUBSTITUTE(E593,"/",""))+2,LEN(E593)-LEN(SUBSTITUTE(E593,"/",""))+1))</f>
        <v/>
      </c>
      <c r="I593" s="78">
        <f>IF(ISBLANK(G593),"",IF(D593="Stock","0",Key!$A$3*H593*G593))</f>
        <v/>
      </c>
      <c r="J593" s="78">
        <f>IF(ISBLANK(E593),"",IF(ISNUMBER(SEARCH("/",E593)), IF(LEN(E593)-LEN(SUBSTITUTE(E593,"/",""))=1,(RIGHT(E593,LEN(E593)-FIND("/",E593)))-(LEFT(E593,FIND("/",E593)-1)),(MID(E593, SEARCH("/",E593) + 1, SEARCH("/",E593, SEARCH("/",E593)+1) - SEARCH("/",E593) - 1))-(LEFT(E593,FIND("/",E593)-1))), "NA"))</f>
        <v/>
      </c>
      <c r="K593" s="79">
        <f>IF(A593&lt;&gt;"", IF(ISBLANK(L593), TODAY(), K593), "")</f>
        <v/>
      </c>
      <c r="L593" s="78" t="n"/>
      <c r="M593" s="78">
        <f>IF(ISBLANK(L593),"",IF(D593="Stock",IF(C593="Buy",L593*G593,IF(C593="Sell",(L593*G593)-I593, X)),IF(C593="Buy",(L593*G593*100)+I593,IF(C593="Sell",(L593*G593*100)-I593, X))))</f>
        <v/>
      </c>
      <c r="N593" s="78">
        <f>IF(ISBLANK(L593),"",IF(AND(C593="Sell",D593="Stock"),M593,IF(ISBLANK(L593),"",IF(C593="Buy",M593, IF(AND(C593="Sell",J593="NA"),(E593*G593*100*0.1)+I593, IF(C593="Sell",(J593-L593)*(100*G593)+I593))))))</f>
        <v/>
      </c>
      <c r="O593" s="75" t="n"/>
      <c r="P593" s="75" t="n"/>
      <c r="Q593" s="75">
        <f>IF(ISBLANK(P593),"",IF(D593="Stock",P593*G593,IF(P593=0,"0",G593*P593*100-(G593*$AF$14))))</f>
        <v/>
      </c>
      <c r="R593" s="79">
        <f>IF(P593&lt;&gt;"", TODAY(), "")</f>
        <v/>
      </c>
      <c r="S593" s="78">
        <f>IF(AND(K593&lt;&gt;"", R593&lt;&gt;""), R593-K593, "")</f>
        <v/>
      </c>
      <c r="T593" s="78" t="n"/>
      <c r="U593" s="92">
        <f>IF(ISBLANK(P593),"",IF(C593="Buy",Q593-M593+T593, IF(C593="Sell",M593-Q593-T593, X)))</f>
        <v/>
      </c>
      <c r="V593" s="81">
        <f>IF(ISBLANK(P593),"",U593/N593)</f>
        <v/>
      </c>
      <c r="W593" s="81">
        <f>IF(ISBLANK(P593),"",IF(S593=0,(365/0.5)*V593,(365/S593)*V593))</f>
        <v/>
      </c>
      <c r="X593" s="75" t="n"/>
      <c r="Y593" s="77" t="n"/>
      <c r="Z593" s="77" t="n"/>
      <c r="AA593" s="75" t="n"/>
      <c r="AB593" s="75" t="n"/>
      <c r="AC593" s="6" t="n"/>
      <c r="AD593" s="75" t="n"/>
      <c r="AE593" s="75" t="n"/>
      <c r="AF593" s="75" t="n"/>
    </row>
    <row r="594" ht="15.75" customHeight="1" s="133">
      <c r="A594" s="75" t="n"/>
      <c r="B594" s="75" t="n"/>
      <c r="C594" s="75" t="n"/>
      <c r="D594" s="75" t="n"/>
      <c r="E594" s="76" t="n"/>
      <c r="F594" s="77" t="n"/>
      <c r="G594" s="75" t="n"/>
      <c r="H594" s="75">
        <f>IF(ISBLANK(E594),"",IF(OR(D594="Butterfly",D594="Butterfly ",D594="Iron Fly", D594="Iron Fly "),LEN(E594)-LEN(SUBSTITUTE(E594,"/",""))+2,LEN(E594)-LEN(SUBSTITUTE(E594,"/",""))+1))</f>
        <v/>
      </c>
      <c r="I594" s="78">
        <f>IF(ISBLANK(G594),"",IF(D594="Stock","0",Key!$A$3*H594*G594))</f>
        <v/>
      </c>
      <c r="J594" s="78">
        <f>IF(ISBLANK(E594),"",IF(ISNUMBER(SEARCH("/",E594)), IF(LEN(E594)-LEN(SUBSTITUTE(E594,"/",""))=1,(RIGHT(E594,LEN(E594)-FIND("/",E594)))-(LEFT(E594,FIND("/",E594)-1)),(MID(E594, SEARCH("/",E594) + 1, SEARCH("/",E594, SEARCH("/",E594)+1) - SEARCH("/",E594) - 1))-(LEFT(E594,FIND("/",E594)-1))), "NA"))</f>
        <v/>
      </c>
      <c r="K594" s="79">
        <f>IF(A594&lt;&gt;"", IF(ISBLANK(L594), TODAY(), K594), "")</f>
        <v/>
      </c>
      <c r="L594" s="78" t="n"/>
      <c r="M594" s="78">
        <f>IF(ISBLANK(L594),"",IF(D594="Stock",IF(C594="Buy",L594*G594,IF(C594="Sell",(L594*G594)-I594, X)),IF(C594="Buy",(L594*G594*100)+I594,IF(C594="Sell",(L594*G594*100)-I594, X))))</f>
        <v/>
      </c>
      <c r="N594" s="78">
        <f>IF(ISBLANK(L594),"",IF(AND(C594="Sell",D594="Stock"),M594,IF(ISBLANK(L594),"",IF(C594="Buy",M594, IF(AND(C594="Sell",J594="NA"),(E594*G594*100*0.1)+I594, IF(C594="Sell",(J594-L594)*(100*G594)+I594))))))</f>
        <v/>
      </c>
      <c r="O594" s="75" t="n"/>
      <c r="P594" s="75" t="n"/>
      <c r="Q594" s="75">
        <f>IF(ISBLANK(P594),"",IF(D594="Stock",P594*G594,IF(P594=0,"0",G594*P594*100-(G594*$AF$14))))</f>
        <v/>
      </c>
      <c r="R594" s="79">
        <f>IF(P594&lt;&gt;"", TODAY(), "")</f>
        <v/>
      </c>
      <c r="S594" s="78">
        <f>IF(AND(K594&lt;&gt;"", R594&lt;&gt;""), R594-K594, "")</f>
        <v/>
      </c>
      <c r="T594" s="78" t="n"/>
      <c r="U594" s="92">
        <f>IF(ISBLANK(P594),"",IF(C594="Buy",Q594-M594+T594, IF(C594="Sell",M594-Q594-T594, X)))</f>
        <v/>
      </c>
      <c r="V594" s="81">
        <f>IF(ISBLANK(P594),"",U594/N594)</f>
        <v/>
      </c>
      <c r="W594" s="81">
        <f>IF(ISBLANK(P594),"",IF(S594=0,(365/0.5)*V594,(365/S594)*V594))</f>
        <v/>
      </c>
      <c r="X594" s="75" t="n"/>
      <c r="Y594" s="77" t="n"/>
      <c r="Z594" s="77" t="n"/>
      <c r="AA594" s="75" t="n"/>
      <c r="AB594" s="75" t="n"/>
      <c r="AC594" s="6" t="n"/>
      <c r="AD594" s="75" t="n"/>
      <c r="AE594" s="75" t="n"/>
      <c r="AF594" s="75" t="n"/>
    </row>
    <row r="595" ht="15.75" customHeight="1" s="133">
      <c r="A595" s="75" t="n"/>
      <c r="B595" s="75" t="n"/>
      <c r="C595" s="75" t="n"/>
      <c r="D595" s="75" t="n"/>
      <c r="E595" s="76" t="n"/>
      <c r="F595" s="77" t="n"/>
      <c r="G595" s="75" t="n"/>
      <c r="H595" s="75">
        <f>IF(ISBLANK(E595),"",IF(OR(D595="Butterfly",D595="Butterfly ",D595="Iron Fly", D595="Iron Fly "),LEN(E595)-LEN(SUBSTITUTE(E595,"/",""))+2,LEN(E595)-LEN(SUBSTITUTE(E595,"/",""))+1))</f>
        <v/>
      </c>
      <c r="I595" s="78">
        <f>IF(ISBLANK(G595),"",IF(D595="Stock","0",Key!$A$3*H595*G595))</f>
        <v/>
      </c>
      <c r="J595" s="78">
        <f>IF(ISBLANK(E595),"",IF(ISNUMBER(SEARCH("/",E595)), IF(LEN(E595)-LEN(SUBSTITUTE(E595,"/",""))=1,(RIGHT(E595,LEN(E595)-FIND("/",E595)))-(LEFT(E595,FIND("/",E595)-1)),(MID(E595, SEARCH("/",E595) + 1, SEARCH("/",E595, SEARCH("/",E595)+1) - SEARCH("/",E595) - 1))-(LEFT(E595,FIND("/",E595)-1))), "NA"))</f>
        <v/>
      </c>
      <c r="K595" s="79">
        <f>IF(A595&lt;&gt;"", IF(ISBLANK(L595), TODAY(), K595), "")</f>
        <v/>
      </c>
      <c r="L595" s="78" t="n"/>
      <c r="M595" s="78">
        <f>IF(ISBLANK(L595),"",IF(D595="Stock",IF(C595="Buy",L595*G595,IF(C595="Sell",(L595*G595)-I595, X)),IF(C595="Buy",(L595*G595*100)+I595,IF(C595="Sell",(L595*G595*100)-I595, X))))</f>
        <v/>
      </c>
      <c r="N595" s="78">
        <f>IF(ISBLANK(L595),"",IF(AND(C595="Sell",D595="Stock"),M595,IF(ISBLANK(L595),"",IF(C595="Buy",M595, IF(AND(C595="Sell",J595="NA"),(E595*G595*100*0.1)+I595, IF(C595="Sell",(J595-L595)*(100*G595)+I595))))))</f>
        <v/>
      </c>
      <c r="O595" s="75" t="n"/>
      <c r="P595" s="75" t="n"/>
      <c r="Q595" s="75">
        <f>IF(ISBLANK(P595),"",IF(D595="Stock",P595*G595,IF(P595=0,"0",G595*P595*100-(G595*$AF$14))))</f>
        <v/>
      </c>
      <c r="R595" s="79">
        <f>IF(P595&lt;&gt;"", TODAY(), "")</f>
        <v/>
      </c>
      <c r="S595" s="78">
        <f>IF(AND(K595&lt;&gt;"", R595&lt;&gt;""), R595-K595, "")</f>
        <v/>
      </c>
      <c r="T595" s="78" t="n"/>
      <c r="U595" s="92">
        <f>IF(ISBLANK(P595),"",IF(C595="Buy",Q595-M595+T595, IF(C595="Sell",M595-Q595-T595, X)))</f>
        <v/>
      </c>
      <c r="V595" s="81">
        <f>IF(ISBLANK(P595),"",U595/N595)</f>
        <v/>
      </c>
      <c r="W595" s="81">
        <f>IF(ISBLANK(P595),"",IF(S595=0,(365/0.5)*V595,(365/S595)*V595))</f>
        <v/>
      </c>
      <c r="X595" s="75" t="n"/>
      <c r="Y595" s="77" t="n"/>
      <c r="Z595" s="77" t="n"/>
      <c r="AA595" s="75" t="n"/>
      <c r="AB595" s="75" t="n"/>
      <c r="AC595" s="6" t="n"/>
      <c r="AD595" s="75" t="n"/>
      <c r="AE595" s="75" t="n"/>
      <c r="AF595" s="75" t="n"/>
    </row>
    <row r="596" ht="15.75" customHeight="1" s="133">
      <c r="A596" s="75" t="n"/>
      <c r="B596" s="75" t="n"/>
      <c r="C596" s="75" t="n"/>
      <c r="D596" s="75" t="n"/>
      <c r="E596" s="76" t="n"/>
      <c r="F596" s="77" t="n"/>
      <c r="G596" s="75" t="n"/>
      <c r="H596" s="75">
        <f>IF(ISBLANK(E596),"",IF(OR(D596="Butterfly",D596="Butterfly ",D596="Iron Fly", D596="Iron Fly "),LEN(E596)-LEN(SUBSTITUTE(E596,"/",""))+2,LEN(E596)-LEN(SUBSTITUTE(E596,"/",""))+1))</f>
        <v/>
      </c>
      <c r="I596" s="78">
        <f>IF(ISBLANK(G596),"",IF(D596="Stock","0",Key!$A$3*H596*G596))</f>
        <v/>
      </c>
      <c r="J596" s="78">
        <f>IF(ISBLANK(E596),"",IF(ISNUMBER(SEARCH("/",E596)), IF(LEN(E596)-LEN(SUBSTITUTE(E596,"/",""))=1,(RIGHT(E596,LEN(E596)-FIND("/",E596)))-(LEFT(E596,FIND("/",E596)-1)),(MID(E596, SEARCH("/",E596) + 1, SEARCH("/",E596, SEARCH("/",E596)+1) - SEARCH("/",E596) - 1))-(LEFT(E596,FIND("/",E596)-1))), "NA"))</f>
        <v/>
      </c>
      <c r="K596" s="79">
        <f>IF(A596&lt;&gt;"", IF(ISBLANK(L596), TODAY(), K596), "")</f>
        <v/>
      </c>
      <c r="L596" s="78" t="n"/>
      <c r="M596" s="78">
        <f>IF(ISBLANK(L596),"",IF(D596="Stock",IF(C596="Buy",L596*G596,IF(C596="Sell",(L596*G596)-I596, X)),IF(C596="Buy",(L596*G596*100)+I596,IF(C596="Sell",(L596*G596*100)-I596, X))))</f>
        <v/>
      </c>
      <c r="N596" s="78">
        <f>IF(ISBLANK(L596),"",IF(AND(C596="Sell",D596="Stock"),M596,IF(ISBLANK(L596),"",IF(C596="Buy",M596, IF(AND(C596="Sell",J596="NA"),(E596*G596*100*0.1)+I596, IF(C596="Sell",(J596-L596)*(100*G596)+I596))))))</f>
        <v/>
      </c>
      <c r="O596" s="75" t="n"/>
      <c r="P596" s="75" t="n"/>
      <c r="Q596" s="75">
        <f>IF(ISBLANK(P596),"",IF(D596="Stock",P596*G596,IF(P596=0,"0",G596*P596*100-(G596*$AF$14))))</f>
        <v/>
      </c>
      <c r="R596" s="79">
        <f>IF(P596&lt;&gt;"", TODAY(), "")</f>
        <v/>
      </c>
      <c r="S596" s="78">
        <f>IF(AND(K596&lt;&gt;"", R596&lt;&gt;""), R596-K596, "")</f>
        <v/>
      </c>
      <c r="T596" s="78" t="n"/>
      <c r="U596" s="92">
        <f>IF(ISBLANK(P596),"",IF(C596="Buy",Q596-M596+T596, IF(C596="Sell",M596-Q596-T596, X)))</f>
        <v/>
      </c>
      <c r="V596" s="81">
        <f>IF(ISBLANK(P596),"",U596/N596)</f>
        <v/>
      </c>
      <c r="W596" s="81">
        <f>IF(ISBLANK(P596),"",IF(S596=0,(365/0.5)*V596,(365/S596)*V596))</f>
        <v/>
      </c>
      <c r="X596" s="75" t="n"/>
      <c r="Y596" s="77" t="n"/>
      <c r="Z596" s="77" t="n"/>
      <c r="AA596" s="75" t="n"/>
      <c r="AB596" s="75" t="n"/>
      <c r="AC596" s="6" t="n"/>
      <c r="AD596" s="75" t="n"/>
      <c r="AE596" s="75" t="n"/>
      <c r="AF596" s="75" t="n"/>
    </row>
    <row r="597" ht="15.75" customHeight="1" s="133">
      <c r="A597" s="75" t="n"/>
      <c r="B597" s="75" t="n"/>
      <c r="C597" s="75" t="n"/>
      <c r="D597" s="75" t="n"/>
      <c r="E597" s="76" t="n"/>
      <c r="F597" s="77" t="n"/>
      <c r="G597" s="75" t="n"/>
      <c r="H597" s="75">
        <f>IF(ISBLANK(E597),"",IF(OR(D597="Butterfly",D597="Butterfly ",D597="Iron Fly", D597="Iron Fly "),LEN(E597)-LEN(SUBSTITUTE(E597,"/",""))+2,LEN(E597)-LEN(SUBSTITUTE(E597,"/",""))+1))</f>
        <v/>
      </c>
      <c r="I597" s="78">
        <f>IF(ISBLANK(G597),"",IF(D597="Stock","0",Key!$A$3*H597*G597))</f>
        <v/>
      </c>
      <c r="J597" s="78">
        <f>IF(ISBLANK(E597),"",IF(ISNUMBER(SEARCH("/",E597)), IF(LEN(E597)-LEN(SUBSTITUTE(E597,"/",""))=1,(RIGHT(E597,LEN(E597)-FIND("/",E597)))-(LEFT(E597,FIND("/",E597)-1)),(MID(E597, SEARCH("/",E597) + 1, SEARCH("/",E597, SEARCH("/",E597)+1) - SEARCH("/",E597) - 1))-(LEFT(E597,FIND("/",E597)-1))), "NA"))</f>
        <v/>
      </c>
      <c r="K597" s="79">
        <f>IF(A597&lt;&gt;"", IF(ISBLANK(L597), TODAY(), K597), "")</f>
        <v/>
      </c>
      <c r="L597" s="78" t="n"/>
      <c r="M597" s="78">
        <f>IF(ISBLANK(L597),"",IF(D597="Stock",IF(C597="Buy",L597*G597,IF(C597="Sell",(L597*G597)-I597, X)),IF(C597="Buy",(L597*G597*100)+I597,IF(C597="Sell",(L597*G597*100)-I597, X))))</f>
        <v/>
      </c>
      <c r="N597" s="78">
        <f>IF(ISBLANK(L597),"",IF(AND(C597="Sell",D597="Stock"),M597,IF(ISBLANK(L597),"",IF(C597="Buy",M597, IF(AND(C597="Sell",J597="NA"),(E597*G597*100*0.1)+I597, IF(C597="Sell",(J597-L597)*(100*G597)+I597))))))</f>
        <v/>
      </c>
      <c r="O597" s="75" t="n"/>
      <c r="P597" s="75" t="n"/>
      <c r="Q597" s="75">
        <f>IF(ISBLANK(P597),"",IF(D597="Stock",P597*G597,IF(P597=0,"0",G597*P597*100-(G597*$AF$14))))</f>
        <v/>
      </c>
      <c r="R597" s="79">
        <f>IF(P597&lt;&gt;"", TODAY(), "")</f>
        <v/>
      </c>
      <c r="S597" s="78">
        <f>IF(AND(K597&lt;&gt;"", R597&lt;&gt;""), R597-K597, "")</f>
        <v/>
      </c>
      <c r="T597" s="78" t="n"/>
      <c r="U597" s="92">
        <f>IF(ISBLANK(P597),"",IF(C597="Buy",Q597-M597+T597, IF(C597="Sell",M597-Q597-T597, X)))</f>
        <v/>
      </c>
      <c r="V597" s="81">
        <f>IF(ISBLANK(P597),"",U597/N597)</f>
        <v/>
      </c>
      <c r="W597" s="81">
        <f>IF(ISBLANK(P597),"",IF(S597=0,(365/0.5)*V597,(365/S597)*V597))</f>
        <v/>
      </c>
      <c r="X597" s="75" t="n"/>
      <c r="Y597" s="77" t="n"/>
      <c r="Z597" s="77" t="n"/>
      <c r="AA597" s="75" t="n"/>
      <c r="AB597" s="75" t="n"/>
      <c r="AC597" s="6" t="n"/>
      <c r="AD597" s="75" t="n"/>
      <c r="AE597" s="75" t="n"/>
      <c r="AF597" s="75" t="n"/>
    </row>
    <row r="598" ht="15.75" customHeight="1" s="133">
      <c r="A598" s="75" t="n"/>
      <c r="B598" s="75" t="n"/>
      <c r="C598" s="75" t="n"/>
      <c r="D598" s="75" t="n"/>
      <c r="E598" s="76" t="n"/>
      <c r="F598" s="77" t="n"/>
      <c r="G598" s="75" t="n"/>
      <c r="H598" s="75">
        <f>IF(ISBLANK(E598),"",IF(OR(D598="Butterfly",D598="Butterfly ",D598="Iron Fly", D598="Iron Fly "),LEN(E598)-LEN(SUBSTITUTE(E598,"/",""))+2,LEN(E598)-LEN(SUBSTITUTE(E598,"/",""))+1))</f>
        <v/>
      </c>
      <c r="I598" s="78">
        <f>IF(ISBLANK(G598),"",IF(D598="Stock","0",Key!$A$3*H598*G598))</f>
        <v/>
      </c>
      <c r="J598" s="78">
        <f>IF(ISBLANK(E598),"",IF(ISNUMBER(SEARCH("/",E598)), IF(LEN(E598)-LEN(SUBSTITUTE(E598,"/",""))=1,(RIGHT(E598,LEN(E598)-FIND("/",E598)))-(LEFT(E598,FIND("/",E598)-1)),(MID(E598, SEARCH("/",E598) + 1, SEARCH("/",E598, SEARCH("/",E598)+1) - SEARCH("/",E598) - 1))-(LEFT(E598,FIND("/",E598)-1))), "NA"))</f>
        <v/>
      </c>
      <c r="K598" s="79">
        <f>IF(A598&lt;&gt;"", IF(ISBLANK(L598), TODAY(), K598), "")</f>
        <v/>
      </c>
      <c r="L598" s="78" t="n"/>
      <c r="M598" s="78">
        <f>IF(ISBLANK(L598),"",IF(D598="Stock",IF(C598="Buy",L598*G598,IF(C598="Sell",(L598*G598)-I598, X)),IF(C598="Buy",(L598*G598*100)+I598,IF(C598="Sell",(L598*G598*100)-I598, X))))</f>
        <v/>
      </c>
      <c r="N598" s="78">
        <f>IF(ISBLANK(L598),"",IF(AND(C598="Sell",D598="Stock"),M598,IF(ISBLANK(L598),"",IF(C598="Buy",M598, IF(AND(C598="Sell",J598="NA"),(E598*G598*100*0.1)+I598, IF(C598="Sell",(J598-L598)*(100*G598)+I598))))))</f>
        <v/>
      </c>
      <c r="O598" s="75" t="n"/>
      <c r="P598" s="75" t="n"/>
      <c r="Q598" s="75">
        <f>IF(ISBLANK(P598),"",IF(D598="Stock",P598*G598,IF(P598=0,"0",G598*P598*100-(G598*$AF$14))))</f>
        <v/>
      </c>
      <c r="R598" s="79">
        <f>IF(P598&lt;&gt;"", TODAY(), "")</f>
        <v/>
      </c>
      <c r="S598" s="78">
        <f>IF(AND(K598&lt;&gt;"", R598&lt;&gt;""), R598-K598, "")</f>
        <v/>
      </c>
      <c r="T598" s="78" t="n"/>
      <c r="U598" s="92">
        <f>IF(ISBLANK(P598),"",IF(C598="Buy",Q598-M598+T598, IF(C598="Sell",M598-Q598-T598, X)))</f>
        <v/>
      </c>
      <c r="V598" s="81">
        <f>IF(ISBLANK(P598),"",U598/N598)</f>
        <v/>
      </c>
      <c r="W598" s="81">
        <f>IF(ISBLANK(P598),"",IF(S598=0,(365/0.5)*V598,(365/S598)*V598))</f>
        <v/>
      </c>
      <c r="X598" s="75" t="n"/>
      <c r="Y598" s="77" t="n"/>
      <c r="Z598" s="77" t="n"/>
      <c r="AA598" s="75" t="n"/>
      <c r="AB598" s="75" t="n"/>
      <c r="AC598" s="6" t="n"/>
      <c r="AD598" s="75" t="n"/>
      <c r="AE598" s="75" t="n"/>
      <c r="AF598" s="75" t="n"/>
    </row>
    <row r="599" ht="15.75" customHeight="1" s="133">
      <c r="A599" s="75" t="n"/>
      <c r="B599" s="75" t="n"/>
      <c r="C599" s="75" t="n"/>
      <c r="D599" s="75" t="n"/>
      <c r="E599" s="76" t="n"/>
      <c r="F599" s="77" t="n"/>
      <c r="G599" s="75" t="n"/>
      <c r="H599" s="75">
        <f>IF(ISBLANK(E599),"",IF(OR(D599="Butterfly",D599="Butterfly ",D599="Iron Fly", D599="Iron Fly "),LEN(E599)-LEN(SUBSTITUTE(E599,"/",""))+2,LEN(E599)-LEN(SUBSTITUTE(E599,"/",""))+1))</f>
        <v/>
      </c>
      <c r="I599" s="78">
        <f>IF(ISBLANK(G599),"",IF(D599="Stock","0",Key!$A$3*H599*G599))</f>
        <v/>
      </c>
      <c r="J599" s="78">
        <f>IF(ISBLANK(E599),"",IF(ISNUMBER(SEARCH("/",E599)), IF(LEN(E599)-LEN(SUBSTITUTE(E599,"/",""))=1,(RIGHT(E599,LEN(E599)-FIND("/",E599)))-(LEFT(E599,FIND("/",E599)-1)),(MID(E599, SEARCH("/",E599) + 1, SEARCH("/",E599, SEARCH("/",E599)+1) - SEARCH("/",E599) - 1))-(LEFT(E599,FIND("/",E599)-1))), "NA"))</f>
        <v/>
      </c>
      <c r="K599" s="79">
        <f>IF(A599&lt;&gt;"", IF(ISBLANK(L599), TODAY(), K599), "")</f>
        <v/>
      </c>
      <c r="L599" s="78" t="n"/>
      <c r="M599" s="78">
        <f>IF(ISBLANK(L599),"",IF(D599="Stock",IF(C599="Buy",L599*G599,IF(C599="Sell",(L599*G599)-I599, X)),IF(C599="Buy",(L599*G599*100)+I599,IF(C599="Sell",(L599*G599*100)-I599, X))))</f>
        <v/>
      </c>
      <c r="N599" s="78">
        <f>IF(ISBLANK(L599),"",IF(AND(C599="Sell",D599="Stock"),M599,IF(ISBLANK(L599),"",IF(C599="Buy",M599, IF(AND(C599="Sell",J599="NA"),(E599*G599*100*0.1)+I599, IF(C599="Sell",(J599-L599)*(100*G599)+I599))))))</f>
        <v/>
      </c>
      <c r="O599" s="75" t="n"/>
      <c r="P599" s="75" t="n"/>
      <c r="Q599" s="75">
        <f>IF(ISBLANK(P599),"",IF(D599="Stock",P599*G599,IF(P599=0,"0",G599*P599*100-(G599*$AF$14))))</f>
        <v/>
      </c>
      <c r="R599" s="79">
        <f>IF(P599&lt;&gt;"", TODAY(), "")</f>
        <v/>
      </c>
      <c r="S599" s="78">
        <f>IF(AND(K599&lt;&gt;"", R599&lt;&gt;""), R599-K599, "")</f>
        <v/>
      </c>
      <c r="T599" s="78" t="n"/>
      <c r="U599" s="92">
        <f>IF(ISBLANK(P599),"",IF(C599="Buy",Q599-M599+T599, IF(C599="Sell",M599-Q599-T599, X)))</f>
        <v/>
      </c>
      <c r="V599" s="81">
        <f>IF(ISBLANK(P599),"",U599/N599)</f>
        <v/>
      </c>
      <c r="W599" s="81">
        <f>IF(ISBLANK(P599),"",IF(S599=0,(365/0.5)*V599,(365/S599)*V599))</f>
        <v/>
      </c>
      <c r="X599" s="75" t="n"/>
      <c r="Y599" s="77" t="n"/>
      <c r="Z599" s="77" t="n"/>
      <c r="AA599" s="75" t="n"/>
      <c r="AB599" s="75" t="n"/>
      <c r="AC599" s="6" t="n"/>
      <c r="AD599" s="75" t="n"/>
      <c r="AE599" s="75" t="n"/>
      <c r="AF599" s="75" t="n"/>
    </row>
    <row r="600" ht="15.75" customHeight="1" s="133">
      <c r="A600" s="75" t="n"/>
      <c r="B600" s="75" t="n"/>
      <c r="C600" s="75" t="n"/>
      <c r="D600" s="75" t="n"/>
      <c r="E600" s="76" t="n"/>
      <c r="F600" s="77" t="n"/>
      <c r="G600" s="75" t="n"/>
      <c r="H600" s="75">
        <f>IF(ISBLANK(E600),"",IF(OR(D600="Butterfly",D600="Butterfly ",D600="Iron Fly", D600="Iron Fly "),LEN(E600)-LEN(SUBSTITUTE(E600,"/",""))+2,LEN(E600)-LEN(SUBSTITUTE(E600,"/",""))+1))</f>
        <v/>
      </c>
      <c r="I600" s="78">
        <f>IF(ISBLANK(G600),"",IF(D600="Stock","0",Key!$A$3*H600*G600))</f>
        <v/>
      </c>
      <c r="J600" s="78">
        <f>IF(ISBLANK(E600),"",IF(ISNUMBER(SEARCH("/",E600)), IF(LEN(E600)-LEN(SUBSTITUTE(E600,"/",""))=1,(RIGHT(E600,LEN(E600)-FIND("/",E600)))-(LEFT(E600,FIND("/",E600)-1)),(MID(E600, SEARCH("/",E600) + 1, SEARCH("/",E600, SEARCH("/",E600)+1) - SEARCH("/",E600) - 1))-(LEFT(E600,FIND("/",E600)-1))), "NA"))</f>
        <v/>
      </c>
      <c r="K600" s="79">
        <f>IF(A600&lt;&gt;"", IF(ISBLANK(L600), TODAY(), K600), "")</f>
        <v/>
      </c>
      <c r="L600" s="78" t="n"/>
      <c r="M600" s="78">
        <f>IF(ISBLANK(L600),"",IF(D600="Stock",IF(C600="Buy",L600*G600,IF(C600="Sell",(L600*G600)-I600, X)),IF(C600="Buy",(L600*G600*100)+I600,IF(C600="Sell",(L600*G600*100)-I600, X))))</f>
        <v/>
      </c>
      <c r="N600" s="78">
        <f>IF(ISBLANK(L600),"",IF(AND(C600="Sell",D600="Stock"),M600,IF(ISBLANK(L600),"",IF(C600="Buy",M600, IF(AND(C600="Sell",J600="NA"),(E600*G600*100*0.1)+I600, IF(C600="Sell",(J600-L600)*(100*G600)+I600))))))</f>
        <v/>
      </c>
      <c r="O600" s="75" t="n"/>
      <c r="P600" s="75" t="n"/>
      <c r="Q600" s="75">
        <f>IF(ISBLANK(P600),"",IF(D600="Stock",P600*G600,IF(P600=0,"0",G600*P600*100-(G600*$AF$14))))</f>
        <v/>
      </c>
      <c r="R600" s="79">
        <f>IF(P600&lt;&gt;"", TODAY(), "")</f>
        <v/>
      </c>
      <c r="S600" s="78">
        <f>IF(AND(K600&lt;&gt;"", R600&lt;&gt;""), R600-K600, "")</f>
        <v/>
      </c>
      <c r="T600" s="78" t="n"/>
      <c r="U600" s="92">
        <f>IF(ISBLANK(P600),"",IF(C600="Buy",Q600-M600+T600, IF(C600="Sell",M600-Q600-T600, X)))</f>
        <v/>
      </c>
      <c r="V600" s="81">
        <f>IF(ISBLANK(P600),"",U600/N600)</f>
        <v/>
      </c>
      <c r="W600" s="81">
        <f>IF(ISBLANK(P600),"",IF(S600=0,(365/0.5)*V600,(365/S600)*V600))</f>
        <v/>
      </c>
      <c r="X600" s="75" t="n"/>
      <c r="Y600" s="77" t="n"/>
      <c r="Z600" s="77" t="n"/>
      <c r="AA600" s="75" t="n"/>
      <c r="AB600" s="75" t="n"/>
      <c r="AC600" s="6" t="n"/>
      <c r="AD600" s="75" t="n"/>
      <c r="AE600" s="75" t="n"/>
      <c r="AF600" s="75" t="n"/>
    </row>
    <row r="601" ht="15.75" customHeight="1" s="133">
      <c r="A601" s="75" t="n"/>
      <c r="B601" s="75" t="n"/>
      <c r="C601" s="75" t="n"/>
      <c r="D601" s="75" t="n"/>
      <c r="E601" s="76" t="n"/>
      <c r="F601" s="77" t="n"/>
      <c r="G601" s="75" t="n"/>
      <c r="H601" s="75">
        <f>IF(ISBLANK(E601),"",IF(OR(D601="Butterfly",D601="Butterfly ",D601="Iron Fly", D601="Iron Fly "),LEN(E601)-LEN(SUBSTITUTE(E601,"/",""))+2,LEN(E601)-LEN(SUBSTITUTE(E601,"/",""))+1))</f>
        <v/>
      </c>
      <c r="I601" s="78">
        <f>IF(ISBLANK(G601),"",IF(D601="Stock","0",Key!$A$3*H601*G601))</f>
        <v/>
      </c>
      <c r="J601" s="78">
        <f>IF(ISBLANK(E601),"",IF(ISNUMBER(SEARCH("/",E601)), IF(LEN(E601)-LEN(SUBSTITUTE(E601,"/",""))=1,(RIGHT(E601,LEN(E601)-FIND("/",E601)))-(LEFT(E601,FIND("/",E601)-1)),(MID(E601, SEARCH("/",E601) + 1, SEARCH("/",E601, SEARCH("/",E601)+1) - SEARCH("/",E601) - 1))-(LEFT(E601,FIND("/",E601)-1))), "NA"))</f>
        <v/>
      </c>
      <c r="K601" s="79">
        <f>IF(A601&lt;&gt;"", IF(ISBLANK(L601), TODAY(), K601), "")</f>
        <v/>
      </c>
      <c r="L601" s="78" t="n"/>
      <c r="M601" s="78">
        <f>IF(ISBLANK(L601),"",IF(D601="Stock",IF(C601="Buy",L601*G601,IF(C601="Sell",(L601*G601)-I601, X)),IF(C601="Buy",(L601*G601*100)+I601,IF(C601="Sell",(L601*G601*100)-I601, X))))</f>
        <v/>
      </c>
      <c r="N601" s="78">
        <f>IF(ISBLANK(L601),"",IF(AND(C601="Sell",D601="Stock"),M601,IF(ISBLANK(L601),"",IF(C601="Buy",M601, IF(AND(C601="Sell",J601="NA"),(E601*G601*100*0.1)+I601, IF(C601="Sell",(J601-L601)*(100*G601)+I601))))))</f>
        <v/>
      </c>
      <c r="O601" s="75" t="n"/>
      <c r="P601" s="75" t="n"/>
      <c r="Q601" s="75">
        <f>IF(ISBLANK(P601),"",IF(D601="Stock",P601*G601,IF(P601=0,"0",G601*P601*100-(G601*$AF$14))))</f>
        <v/>
      </c>
      <c r="R601" s="79">
        <f>IF(P601&lt;&gt;"", TODAY(), "")</f>
        <v/>
      </c>
      <c r="S601" s="78">
        <f>IF(AND(K601&lt;&gt;"", R601&lt;&gt;""), R601-K601, "")</f>
        <v/>
      </c>
      <c r="T601" s="78" t="n"/>
      <c r="U601" s="92">
        <f>IF(ISBLANK(P601),"",IF(C601="Buy",Q601-M601+T601, IF(C601="Sell",M601-Q601-T601, X)))</f>
        <v/>
      </c>
      <c r="V601" s="81">
        <f>IF(ISBLANK(P601),"",U601/N601)</f>
        <v/>
      </c>
      <c r="W601" s="81">
        <f>IF(ISBLANK(P601),"",IF(S601=0,(365/0.5)*V601,(365/S601)*V601))</f>
        <v/>
      </c>
      <c r="X601" s="75" t="n"/>
      <c r="Y601" s="77" t="n"/>
      <c r="Z601" s="77" t="n"/>
      <c r="AA601" s="75" t="n"/>
      <c r="AB601" s="75" t="n"/>
      <c r="AC601" s="6" t="n"/>
      <c r="AD601" s="75" t="n"/>
      <c r="AE601" s="75" t="n"/>
      <c r="AF601" s="75" t="n"/>
    </row>
    <row r="602" ht="15.75" customHeight="1" s="133">
      <c r="A602" s="75" t="n"/>
      <c r="B602" s="75" t="n"/>
      <c r="C602" s="75" t="n"/>
      <c r="D602" s="75" t="n"/>
      <c r="E602" s="76" t="n"/>
      <c r="F602" s="77" t="n"/>
      <c r="G602" s="75" t="n"/>
      <c r="H602" s="75">
        <f>IF(ISBLANK(E602),"",IF(OR(D602="Butterfly",D602="Butterfly ",D602="Iron Fly", D602="Iron Fly "),LEN(E602)-LEN(SUBSTITUTE(E602,"/",""))+2,LEN(E602)-LEN(SUBSTITUTE(E602,"/",""))+1))</f>
        <v/>
      </c>
      <c r="I602" s="78">
        <f>IF(ISBLANK(G602),"",IF(D602="Stock","0",Key!$A$3*H602*G602))</f>
        <v/>
      </c>
      <c r="J602" s="78">
        <f>IF(ISBLANK(E602),"",IF(ISNUMBER(SEARCH("/",E602)), IF(LEN(E602)-LEN(SUBSTITUTE(E602,"/",""))=1,(RIGHT(E602,LEN(E602)-FIND("/",E602)))-(LEFT(E602,FIND("/",E602)-1)),(MID(E602, SEARCH("/",E602) + 1, SEARCH("/",E602, SEARCH("/",E602)+1) - SEARCH("/",E602) - 1))-(LEFT(E602,FIND("/",E602)-1))), "NA"))</f>
        <v/>
      </c>
      <c r="K602" s="79">
        <f>IF(A602&lt;&gt;"", IF(ISBLANK(L602), TODAY(), K602), "")</f>
        <v/>
      </c>
      <c r="L602" s="78" t="n"/>
      <c r="M602" s="78">
        <f>IF(ISBLANK(L602),"",IF(D602="Stock",IF(C602="Buy",L602*G602,IF(C602="Sell",(L602*G602)-I602, X)),IF(C602="Buy",(L602*G602*100)+I602,IF(C602="Sell",(L602*G602*100)-I602, X))))</f>
        <v/>
      </c>
      <c r="N602" s="78">
        <f>IF(ISBLANK(L602),"",IF(AND(C602="Sell",D602="Stock"),M602,IF(ISBLANK(L602),"",IF(C602="Buy",M602, IF(AND(C602="Sell",J602="NA"),(E602*G602*100*0.1)+I602, IF(C602="Sell",(J602-L602)*(100*G602)+I602))))))</f>
        <v/>
      </c>
      <c r="O602" s="75" t="n"/>
      <c r="P602" s="75" t="n"/>
      <c r="Q602" s="75">
        <f>IF(ISBLANK(P602),"",IF(D602="Stock",P602*G602,IF(P602=0,"0",G602*P602*100-(G602*$AF$14))))</f>
        <v/>
      </c>
      <c r="R602" s="79">
        <f>IF(P602&lt;&gt;"", TODAY(), "")</f>
        <v/>
      </c>
      <c r="S602" s="78">
        <f>IF(AND(K602&lt;&gt;"", R602&lt;&gt;""), R602-K602, "")</f>
        <v/>
      </c>
      <c r="T602" s="78" t="n"/>
      <c r="U602" s="92">
        <f>IF(ISBLANK(P602),"",IF(C602="Buy",Q602-M602+T602, IF(C602="Sell",M602-Q602-T602, X)))</f>
        <v/>
      </c>
      <c r="V602" s="81">
        <f>IF(ISBLANK(P602),"",U602/N602)</f>
        <v/>
      </c>
      <c r="W602" s="81">
        <f>IF(ISBLANK(P602),"",IF(S602=0,(365/0.5)*V602,(365/S602)*V602))</f>
        <v/>
      </c>
      <c r="X602" s="75" t="n"/>
      <c r="Y602" s="77" t="n"/>
      <c r="Z602" s="77" t="n"/>
      <c r="AA602" s="75" t="n"/>
      <c r="AB602" s="75" t="n"/>
      <c r="AC602" s="6" t="n"/>
      <c r="AD602" s="75" t="n"/>
      <c r="AE602" s="75" t="n"/>
      <c r="AF602" s="75" t="n"/>
    </row>
    <row r="603" ht="15.75" customHeight="1" s="133">
      <c r="A603" s="75" t="n"/>
      <c r="B603" s="75" t="n"/>
      <c r="C603" s="75" t="n"/>
      <c r="D603" s="75" t="n"/>
      <c r="E603" s="76" t="n"/>
      <c r="F603" s="77" t="n"/>
      <c r="G603" s="75" t="n"/>
      <c r="H603" s="75">
        <f>IF(ISBLANK(E603),"",IF(OR(D603="Butterfly",D603="Butterfly ",D603="Iron Fly", D603="Iron Fly "),LEN(E603)-LEN(SUBSTITUTE(E603,"/",""))+2,LEN(E603)-LEN(SUBSTITUTE(E603,"/",""))+1))</f>
        <v/>
      </c>
      <c r="I603" s="78">
        <f>IF(ISBLANK(G603),"",IF(D603="Stock","0",Key!$A$3*H603*G603))</f>
        <v/>
      </c>
      <c r="J603" s="78">
        <f>IF(ISBLANK(E603),"",IF(ISNUMBER(SEARCH("/",E603)), IF(LEN(E603)-LEN(SUBSTITUTE(E603,"/",""))=1,(RIGHT(E603,LEN(E603)-FIND("/",E603)))-(LEFT(E603,FIND("/",E603)-1)),(MID(E603, SEARCH("/",E603) + 1, SEARCH("/",E603, SEARCH("/",E603)+1) - SEARCH("/",E603) - 1))-(LEFT(E603,FIND("/",E603)-1))), "NA"))</f>
        <v/>
      </c>
      <c r="K603" s="79">
        <f>IF(A603&lt;&gt;"", IF(ISBLANK(L603), TODAY(), K603), "")</f>
        <v/>
      </c>
      <c r="L603" s="78" t="n"/>
      <c r="M603" s="78">
        <f>IF(ISBLANK(L603),"",IF(D603="Stock",IF(C603="Buy",L603*G603,IF(C603="Sell",(L603*G603)-I603, X)),IF(C603="Buy",(L603*G603*100)+I603,IF(C603="Sell",(L603*G603*100)-I603, X))))</f>
        <v/>
      </c>
      <c r="N603" s="78">
        <f>IF(ISBLANK(L603),"",IF(AND(C603="Sell",D603="Stock"),M603,IF(ISBLANK(L603),"",IF(C603="Buy",M603, IF(AND(C603="Sell",J603="NA"),(E603*G603*100*0.1)+I603, IF(C603="Sell",(J603-L603)*(100*G603)+I603))))))</f>
        <v/>
      </c>
      <c r="O603" s="75" t="n"/>
      <c r="P603" s="75" t="n"/>
      <c r="Q603" s="75">
        <f>IF(ISBLANK(P603),"",IF(D603="Stock",P603*G603,IF(P603=0,"0",G603*P603*100-(G603*$AF$14))))</f>
        <v/>
      </c>
      <c r="R603" s="79">
        <f>IF(P603&lt;&gt;"", TODAY(), "")</f>
        <v/>
      </c>
      <c r="S603" s="78">
        <f>IF(AND(K603&lt;&gt;"", R603&lt;&gt;""), R603-K603, "")</f>
        <v/>
      </c>
      <c r="T603" s="78" t="n"/>
      <c r="U603" s="92">
        <f>IF(ISBLANK(P603),"",IF(C603="Buy",Q603-M603+T603, IF(C603="Sell",M603-Q603-T603, X)))</f>
        <v/>
      </c>
      <c r="V603" s="81">
        <f>IF(ISBLANK(P603),"",U603/N603)</f>
        <v/>
      </c>
      <c r="W603" s="81">
        <f>IF(ISBLANK(P603),"",IF(S603=0,(365/0.5)*V603,(365/S603)*V603))</f>
        <v/>
      </c>
      <c r="X603" s="75" t="n"/>
      <c r="Y603" s="77" t="n"/>
      <c r="Z603" s="77" t="n"/>
      <c r="AA603" s="75" t="n"/>
      <c r="AB603" s="75" t="n"/>
      <c r="AC603" s="6" t="n"/>
      <c r="AD603" s="75" t="n"/>
      <c r="AE603" s="75" t="n"/>
      <c r="AF603" s="75" t="n"/>
    </row>
    <row r="604" ht="15.75" customHeight="1" s="133">
      <c r="A604" s="75" t="n"/>
      <c r="B604" s="75" t="n"/>
      <c r="C604" s="75" t="n"/>
      <c r="D604" s="75" t="n"/>
      <c r="E604" s="76" t="n"/>
      <c r="F604" s="77" t="n"/>
      <c r="G604" s="75" t="n"/>
      <c r="H604" s="75">
        <f>IF(ISBLANK(E604),"",IF(OR(D604="Butterfly",D604="Butterfly ",D604="Iron Fly", D604="Iron Fly "),LEN(E604)-LEN(SUBSTITUTE(E604,"/",""))+2,LEN(E604)-LEN(SUBSTITUTE(E604,"/",""))+1))</f>
        <v/>
      </c>
      <c r="I604" s="78">
        <f>IF(ISBLANK(G604),"",IF(D604="Stock","0",Key!$A$3*H604*G604))</f>
        <v/>
      </c>
      <c r="J604" s="78">
        <f>IF(ISBLANK(E604),"",IF(ISNUMBER(SEARCH("/",E604)), IF(LEN(E604)-LEN(SUBSTITUTE(E604,"/",""))=1,(RIGHT(E604,LEN(E604)-FIND("/",E604)))-(LEFT(E604,FIND("/",E604)-1)),(MID(E604, SEARCH("/",E604) + 1, SEARCH("/",E604, SEARCH("/",E604)+1) - SEARCH("/",E604) - 1))-(LEFT(E604,FIND("/",E604)-1))), "NA"))</f>
        <v/>
      </c>
      <c r="K604" s="79">
        <f>IF(A604&lt;&gt;"", IF(ISBLANK(L604), TODAY(), K604), "")</f>
        <v/>
      </c>
      <c r="L604" s="78" t="n"/>
      <c r="M604" s="78">
        <f>IF(ISBLANK(L604),"",IF(D604="Stock",IF(C604="Buy",L604*G604,IF(C604="Sell",(L604*G604)-I604, X)),IF(C604="Buy",(L604*G604*100)+I604,IF(C604="Sell",(L604*G604*100)-I604, X))))</f>
        <v/>
      </c>
      <c r="N604" s="78">
        <f>IF(ISBLANK(L604),"",IF(AND(C604="Sell",D604="Stock"),M604,IF(ISBLANK(L604),"",IF(C604="Buy",M604, IF(AND(C604="Sell",J604="NA"),(E604*G604*100*0.1)+I604, IF(C604="Sell",(J604-L604)*(100*G604)+I604))))))</f>
        <v/>
      </c>
      <c r="O604" s="75" t="n"/>
      <c r="P604" s="75" t="n"/>
      <c r="Q604" s="75">
        <f>IF(ISBLANK(P604),"",IF(D604="Stock",P604*G604,IF(P604=0,"0",G604*P604*100-(G604*$AF$14))))</f>
        <v/>
      </c>
      <c r="R604" s="79">
        <f>IF(P604&lt;&gt;"", TODAY(), "")</f>
        <v/>
      </c>
      <c r="S604" s="78">
        <f>IF(AND(K604&lt;&gt;"", R604&lt;&gt;""), R604-K604, "")</f>
        <v/>
      </c>
      <c r="T604" s="78" t="n"/>
      <c r="U604" s="92">
        <f>IF(ISBLANK(P604),"",IF(C604="Buy",Q604-M604+T604, IF(C604="Sell",M604-Q604-T604, X)))</f>
        <v/>
      </c>
      <c r="V604" s="81">
        <f>IF(ISBLANK(P604),"",U604/N604)</f>
        <v/>
      </c>
      <c r="W604" s="81">
        <f>IF(ISBLANK(P604),"",IF(S604=0,(365/0.5)*V604,(365/S604)*V604))</f>
        <v/>
      </c>
      <c r="X604" s="75" t="n"/>
      <c r="Y604" s="77" t="n"/>
      <c r="Z604" s="77" t="n"/>
      <c r="AA604" s="75" t="n"/>
      <c r="AB604" s="75" t="n"/>
      <c r="AC604" s="6" t="n"/>
      <c r="AD604" s="75" t="n"/>
      <c r="AE604" s="75" t="n"/>
      <c r="AF604" s="75" t="n"/>
    </row>
    <row r="605" ht="15.75" customHeight="1" s="133">
      <c r="A605" s="75" t="n"/>
      <c r="B605" s="75" t="n"/>
      <c r="C605" s="75" t="n"/>
      <c r="D605" s="75" t="n"/>
      <c r="E605" s="76" t="n"/>
      <c r="F605" s="77" t="n"/>
      <c r="G605" s="75" t="n"/>
      <c r="H605" s="75">
        <f>IF(ISBLANK(E605),"",IF(OR(D605="Butterfly",D605="Butterfly ",D605="Iron Fly", D605="Iron Fly "),LEN(E605)-LEN(SUBSTITUTE(E605,"/",""))+2,LEN(E605)-LEN(SUBSTITUTE(E605,"/",""))+1))</f>
        <v/>
      </c>
      <c r="I605" s="78">
        <f>IF(ISBLANK(G605),"",IF(D605="Stock","0",Key!$A$3*H605*G605))</f>
        <v/>
      </c>
      <c r="J605" s="78">
        <f>IF(ISBLANK(E605),"",IF(ISNUMBER(SEARCH("/",E605)), IF(LEN(E605)-LEN(SUBSTITUTE(E605,"/",""))=1,(RIGHT(E605,LEN(E605)-FIND("/",E605)))-(LEFT(E605,FIND("/",E605)-1)),(MID(E605, SEARCH("/",E605) + 1, SEARCH("/",E605, SEARCH("/",E605)+1) - SEARCH("/",E605) - 1))-(LEFT(E605,FIND("/",E605)-1))), "NA"))</f>
        <v/>
      </c>
      <c r="K605" s="79">
        <f>IF(A605&lt;&gt;"", IF(ISBLANK(L605), TODAY(), K605), "")</f>
        <v/>
      </c>
      <c r="L605" s="78" t="n"/>
      <c r="M605" s="78">
        <f>IF(ISBLANK(L605),"",IF(D605="Stock",IF(C605="Buy",L605*G605,IF(C605="Sell",(L605*G605)-I605, X)),IF(C605="Buy",(L605*G605*100)+I605,IF(C605="Sell",(L605*G605*100)-I605, X))))</f>
        <v/>
      </c>
      <c r="N605" s="78">
        <f>IF(ISBLANK(L605),"",IF(AND(C605="Sell",D605="Stock"),M605,IF(ISBLANK(L605),"",IF(C605="Buy",M605, IF(AND(C605="Sell",J605="NA"),(E605*G605*100*0.1)+I605, IF(C605="Sell",(J605-L605)*(100*G605)+I605))))))</f>
        <v/>
      </c>
      <c r="O605" s="75" t="n"/>
      <c r="P605" s="75" t="n"/>
      <c r="Q605" s="75">
        <f>IF(ISBLANK(P605),"",IF(D605="Stock",P605*G605,IF(P605=0,"0",G605*P605*100-(G605*$AF$14))))</f>
        <v/>
      </c>
      <c r="R605" s="79">
        <f>IF(P605&lt;&gt;"", TODAY(), "")</f>
        <v/>
      </c>
      <c r="S605" s="78">
        <f>IF(AND(K605&lt;&gt;"", R605&lt;&gt;""), R605-K605, "")</f>
        <v/>
      </c>
      <c r="T605" s="78" t="n"/>
      <c r="U605" s="92">
        <f>IF(ISBLANK(P605),"",IF(C605="Buy",Q605-M605+T605, IF(C605="Sell",M605-Q605-T605, X)))</f>
        <v/>
      </c>
      <c r="V605" s="81">
        <f>IF(ISBLANK(P605),"",U605/N605)</f>
        <v/>
      </c>
      <c r="W605" s="81">
        <f>IF(ISBLANK(P605),"",IF(S605=0,(365/0.5)*V605,(365/S605)*V605))</f>
        <v/>
      </c>
      <c r="X605" s="75" t="n"/>
      <c r="Y605" s="77" t="n"/>
      <c r="Z605" s="77" t="n"/>
      <c r="AA605" s="75" t="n"/>
      <c r="AB605" s="75" t="n"/>
      <c r="AC605" s="6" t="n"/>
      <c r="AD605" s="75" t="n"/>
      <c r="AE605" s="75" t="n"/>
      <c r="AF605" s="75" t="n"/>
    </row>
    <row r="606" ht="15.75" customHeight="1" s="133">
      <c r="A606" s="75" t="n"/>
      <c r="B606" s="75" t="n"/>
      <c r="C606" s="75" t="n"/>
      <c r="D606" s="75" t="n"/>
      <c r="E606" s="76" t="n"/>
      <c r="F606" s="77" t="n"/>
      <c r="G606" s="75" t="n"/>
      <c r="H606" s="75">
        <f>IF(ISBLANK(E606),"",IF(OR(D606="Butterfly",D606="Butterfly ",D606="Iron Fly", D606="Iron Fly "),LEN(E606)-LEN(SUBSTITUTE(E606,"/",""))+2,LEN(E606)-LEN(SUBSTITUTE(E606,"/",""))+1))</f>
        <v/>
      </c>
      <c r="I606" s="78">
        <f>IF(ISBLANK(G606),"",IF(D606="Stock","0",Key!$A$3*H606*G606))</f>
        <v/>
      </c>
      <c r="J606" s="78">
        <f>IF(ISBLANK(E606),"",IF(ISNUMBER(SEARCH("/",E606)), IF(LEN(E606)-LEN(SUBSTITUTE(E606,"/",""))=1,(RIGHT(E606,LEN(E606)-FIND("/",E606)))-(LEFT(E606,FIND("/",E606)-1)),(MID(E606, SEARCH("/",E606) + 1, SEARCH("/",E606, SEARCH("/",E606)+1) - SEARCH("/",E606) - 1))-(LEFT(E606,FIND("/",E606)-1))), "NA"))</f>
        <v/>
      </c>
      <c r="K606" s="79">
        <f>IF(A606&lt;&gt;"", IF(ISBLANK(L606), TODAY(), K606), "")</f>
        <v/>
      </c>
      <c r="L606" s="78" t="n"/>
      <c r="M606" s="78">
        <f>IF(ISBLANK(L606),"",IF(D606="Stock",IF(C606="Buy",L606*G606,IF(C606="Sell",(L606*G606)-I606, X)),IF(C606="Buy",(L606*G606*100)+I606,IF(C606="Sell",(L606*G606*100)-I606, X))))</f>
        <v/>
      </c>
      <c r="N606" s="78">
        <f>IF(ISBLANK(L606),"",IF(AND(C606="Sell",D606="Stock"),M606,IF(ISBLANK(L606),"",IF(C606="Buy",M606, IF(AND(C606="Sell",J606="NA"),(E606*G606*100*0.1)+I606, IF(C606="Sell",(J606-L606)*(100*G606)+I606))))))</f>
        <v/>
      </c>
      <c r="O606" s="75" t="n"/>
      <c r="P606" s="75" t="n"/>
      <c r="Q606" s="75">
        <f>IF(ISBLANK(P606),"",IF(D606="Stock",P606*G606,IF(P606=0,"0",G606*P606*100-(G606*$AF$14))))</f>
        <v/>
      </c>
      <c r="R606" s="79">
        <f>IF(P606&lt;&gt;"", TODAY(), "")</f>
        <v/>
      </c>
      <c r="S606" s="78">
        <f>IF(AND(K606&lt;&gt;"", R606&lt;&gt;""), R606-K606, "")</f>
        <v/>
      </c>
      <c r="T606" s="78" t="n"/>
      <c r="U606" s="92">
        <f>IF(ISBLANK(P606),"",IF(C606="Buy",Q606-M606+T606, IF(C606="Sell",M606-Q606-T606, X)))</f>
        <v/>
      </c>
      <c r="V606" s="81">
        <f>IF(ISBLANK(P606),"",U606/N606)</f>
        <v/>
      </c>
      <c r="W606" s="81">
        <f>IF(ISBLANK(P606),"",IF(S606=0,(365/0.5)*V606,(365/S606)*V606))</f>
        <v/>
      </c>
      <c r="X606" s="75" t="n"/>
      <c r="Y606" s="77" t="n"/>
      <c r="Z606" s="77" t="n"/>
      <c r="AA606" s="75" t="n"/>
      <c r="AB606" s="75" t="n"/>
      <c r="AC606" s="6" t="n"/>
      <c r="AD606" s="75" t="n"/>
      <c r="AE606" s="75" t="n"/>
      <c r="AF606" s="75" t="n"/>
    </row>
    <row r="607" ht="15.75" customHeight="1" s="133">
      <c r="A607" s="75" t="n"/>
      <c r="B607" s="75" t="n"/>
      <c r="C607" s="75" t="n"/>
      <c r="D607" s="75" t="n"/>
      <c r="E607" s="76" t="n"/>
      <c r="F607" s="77" t="n"/>
      <c r="G607" s="75" t="n"/>
      <c r="H607" s="75">
        <f>IF(ISBLANK(E607),"",IF(OR(D607="Butterfly",D607="Butterfly ",D607="Iron Fly", D607="Iron Fly "),LEN(E607)-LEN(SUBSTITUTE(E607,"/",""))+2,LEN(E607)-LEN(SUBSTITUTE(E607,"/",""))+1))</f>
        <v/>
      </c>
      <c r="I607" s="78">
        <f>IF(ISBLANK(G607),"",IF(D607="Stock","0",Key!$A$3*H607*G607))</f>
        <v/>
      </c>
      <c r="J607" s="78">
        <f>IF(ISBLANK(E607),"",IF(ISNUMBER(SEARCH("/",E607)), IF(LEN(E607)-LEN(SUBSTITUTE(E607,"/",""))=1,(RIGHT(E607,LEN(E607)-FIND("/",E607)))-(LEFT(E607,FIND("/",E607)-1)),(MID(E607, SEARCH("/",E607) + 1, SEARCH("/",E607, SEARCH("/",E607)+1) - SEARCH("/",E607) - 1))-(LEFT(E607,FIND("/",E607)-1))), "NA"))</f>
        <v/>
      </c>
      <c r="K607" s="79">
        <f>IF(A607&lt;&gt;"", IF(ISBLANK(L607), TODAY(), K607), "")</f>
        <v/>
      </c>
      <c r="L607" s="78" t="n"/>
      <c r="M607" s="78">
        <f>IF(ISBLANK(L607),"",IF(D607="Stock",IF(C607="Buy",L607*G607,IF(C607="Sell",(L607*G607)-I607, X)),IF(C607="Buy",(L607*G607*100)+I607,IF(C607="Sell",(L607*G607*100)-I607, X))))</f>
        <v/>
      </c>
      <c r="N607" s="78">
        <f>IF(ISBLANK(L607),"",IF(AND(C607="Sell",D607="Stock"),M607,IF(ISBLANK(L607),"",IF(C607="Buy",M607, IF(AND(C607="Sell",J607="NA"),(E607*G607*100*0.1)+I607, IF(C607="Sell",(J607-L607)*(100*G607)+I607))))))</f>
        <v/>
      </c>
      <c r="O607" s="75" t="n"/>
      <c r="P607" s="75" t="n"/>
      <c r="Q607" s="75">
        <f>IF(ISBLANK(P607),"",IF(D607="Stock",P607*G607,IF(P607=0,"0",G607*P607*100-(G607*$AF$14))))</f>
        <v/>
      </c>
      <c r="R607" s="79">
        <f>IF(P607&lt;&gt;"", TODAY(), "")</f>
        <v/>
      </c>
      <c r="S607" s="78">
        <f>IF(AND(K607&lt;&gt;"", R607&lt;&gt;""), R607-K607, "")</f>
        <v/>
      </c>
      <c r="T607" s="78" t="n"/>
      <c r="U607" s="92">
        <f>IF(ISBLANK(P607),"",IF(C607="Buy",Q607-M607+T607, IF(C607="Sell",M607-Q607-T607, X)))</f>
        <v/>
      </c>
      <c r="V607" s="81">
        <f>IF(ISBLANK(P607),"",U607/N607)</f>
        <v/>
      </c>
      <c r="W607" s="81">
        <f>IF(ISBLANK(P607),"",IF(S607=0,(365/0.5)*V607,(365/S607)*V607))</f>
        <v/>
      </c>
      <c r="X607" s="75" t="n"/>
      <c r="Y607" s="77" t="n"/>
      <c r="Z607" s="77" t="n"/>
      <c r="AA607" s="75" t="n"/>
      <c r="AB607" s="75" t="n"/>
      <c r="AC607" s="6" t="n"/>
      <c r="AD607" s="75" t="n"/>
      <c r="AE607" s="75" t="n"/>
      <c r="AF607" s="75" t="n"/>
    </row>
    <row r="608" ht="15.75" customHeight="1" s="133">
      <c r="A608" s="75" t="n"/>
      <c r="B608" s="75" t="n"/>
      <c r="C608" s="75" t="n"/>
      <c r="D608" s="75" t="n"/>
      <c r="E608" s="76" t="n"/>
      <c r="F608" s="77" t="n"/>
      <c r="G608" s="75" t="n"/>
      <c r="H608" s="75">
        <f>IF(ISBLANK(E608),"",IF(OR(D608="Butterfly",D608="Butterfly ",D608="Iron Fly", D608="Iron Fly "),LEN(E608)-LEN(SUBSTITUTE(E608,"/",""))+2,LEN(E608)-LEN(SUBSTITUTE(E608,"/",""))+1))</f>
        <v/>
      </c>
      <c r="I608" s="78">
        <f>IF(ISBLANK(G608),"",IF(D608="Stock","0",Key!$A$3*H608*G608))</f>
        <v/>
      </c>
      <c r="J608" s="78">
        <f>IF(ISBLANK(E608),"",IF(ISNUMBER(SEARCH("/",E608)), IF(LEN(E608)-LEN(SUBSTITUTE(E608,"/",""))=1,(RIGHT(E608,LEN(E608)-FIND("/",E608)))-(LEFT(E608,FIND("/",E608)-1)),(MID(E608, SEARCH("/",E608) + 1, SEARCH("/",E608, SEARCH("/",E608)+1) - SEARCH("/",E608) - 1))-(LEFT(E608,FIND("/",E608)-1))), "NA"))</f>
        <v/>
      </c>
      <c r="K608" s="79">
        <f>IF(A608&lt;&gt;"", IF(ISBLANK(L608), TODAY(), K608), "")</f>
        <v/>
      </c>
      <c r="L608" s="78" t="n"/>
      <c r="M608" s="78">
        <f>IF(ISBLANK(L608),"",IF(D608="Stock",IF(C608="Buy",L608*G608,IF(C608="Sell",(L608*G608)-I608, X)),IF(C608="Buy",(L608*G608*100)+I608,IF(C608="Sell",(L608*G608*100)-I608, X))))</f>
        <v/>
      </c>
      <c r="N608" s="78">
        <f>IF(ISBLANK(L608),"",IF(AND(C608="Sell",D608="Stock"),M608,IF(ISBLANK(L608),"",IF(C608="Buy",M608, IF(AND(C608="Sell",J608="NA"),(E608*G608*100*0.1)+I608, IF(C608="Sell",(J608-L608)*(100*G608)+I608))))))</f>
        <v/>
      </c>
      <c r="O608" s="75" t="n"/>
      <c r="P608" s="75" t="n"/>
      <c r="Q608" s="75">
        <f>IF(ISBLANK(P608),"",IF(D608="Stock",P608*G608,IF(P608=0,"0",G608*P608*100-(G608*$AF$14))))</f>
        <v/>
      </c>
      <c r="R608" s="79">
        <f>IF(P608&lt;&gt;"", TODAY(), "")</f>
        <v/>
      </c>
      <c r="S608" s="78">
        <f>IF(AND(K608&lt;&gt;"", R608&lt;&gt;""), R608-K608, "")</f>
        <v/>
      </c>
      <c r="T608" s="78" t="n"/>
      <c r="U608" s="92">
        <f>IF(ISBLANK(P608),"",IF(C608="Buy",Q608-M608+T608, IF(C608="Sell",M608-Q608-T608, X)))</f>
        <v/>
      </c>
      <c r="V608" s="81">
        <f>IF(ISBLANK(P608),"",U608/N608)</f>
        <v/>
      </c>
      <c r="W608" s="81">
        <f>IF(ISBLANK(P608),"",IF(S608=0,(365/0.5)*V608,(365/S608)*V608))</f>
        <v/>
      </c>
      <c r="X608" s="75" t="n"/>
      <c r="Y608" s="77" t="n"/>
      <c r="Z608" s="77" t="n"/>
      <c r="AA608" s="75" t="n"/>
      <c r="AB608" s="75" t="n"/>
      <c r="AC608" s="6" t="n"/>
      <c r="AD608" s="75" t="n"/>
      <c r="AE608" s="75" t="n"/>
      <c r="AF608" s="75" t="n"/>
    </row>
    <row r="609" ht="15.75" customHeight="1" s="133">
      <c r="A609" s="75" t="n"/>
      <c r="B609" s="75" t="n"/>
      <c r="C609" s="75" t="n"/>
      <c r="D609" s="75" t="n"/>
      <c r="E609" s="76" t="n"/>
      <c r="F609" s="77" t="n"/>
      <c r="G609" s="75" t="n"/>
      <c r="H609" s="75">
        <f>IF(ISBLANK(E609),"",IF(OR(D609="Butterfly",D609="Butterfly ",D609="Iron Fly", D609="Iron Fly "),LEN(E609)-LEN(SUBSTITUTE(E609,"/",""))+2,LEN(E609)-LEN(SUBSTITUTE(E609,"/",""))+1))</f>
        <v/>
      </c>
      <c r="I609" s="78">
        <f>IF(ISBLANK(G609),"",IF(D609="Stock","0",Key!$A$3*H609*G609))</f>
        <v/>
      </c>
      <c r="J609" s="78">
        <f>IF(ISBLANK(E609),"",IF(ISNUMBER(SEARCH("/",E609)), IF(LEN(E609)-LEN(SUBSTITUTE(E609,"/",""))=1,(RIGHT(E609,LEN(E609)-FIND("/",E609)))-(LEFT(E609,FIND("/",E609)-1)),(MID(E609, SEARCH("/",E609) + 1, SEARCH("/",E609, SEARCH("/",E609)+1) - SEARCH("/",E609) - 1))-(LEFT(E609,FIND("/",E609)-1))), "NA"))</f>
        <v/>
      </c>
      <c r="K609" s="79">
        <f>IF(A609&lt;&gt;"", IF(ISBLANK(L609), TODAY(), K609), "")</f>
        <v/>
      </c>
      <c r="L609" s="78" t="n"/>
      <c r="M609" s="78">
        <f>IF(ISBLANK(L609),"",IF(D609="Stock",IF(C609="Buy",L609*G609,IF(C609="Sell",(L609*G609)-I609, X)),IF(C609="Buy",(L609*G609*100)+I609,IF(C609="Sell",(L609*G609*100)-I609, X))))</f>
        <v/>
      </c>
      <c r="N609" s="78">
        <f>IF(ISBLANK(L609),"",IF(AND(C609="Sell",D609="Stock"),M609,IF(ISBLANK(L609),"",IF(C609="Buy",M609, IF(AND(C609="Sell",J609="NA"),(E609*G609*100*0.1)+I609, IF(C609="Sell",(J609-L609)*(100*G609)+I609))))))</f>
        <v/>
      </c>
      <c r="O609" s="75" t="n"/>
      <c r="P609" s="75" t="n"/>
      <c r="Q609" s="75">
        <f>IF(ISBLANK(P609),"",IF(D609="Stock",P609*G609,IF(P609=0,"0",G609*P609*100-(G609*$AF$14))))</f>
        <v/>
      </c>
      <c r="R609" s="79">
        <f>IF(P609&lt;&gt;"", TODAY(), "")</f>
        <v/>
      </c>
      <c r="S609" s="78">
        <f>IF(AND(K609&lt;&gt;"", R609&lt;&gt;""), R609-K609, "")</f>
        <v/>
      </c>
      <c r="T609" s="78" t="n"/>
      <c r="U609" s="92">
        <f>IF(ISBLANK(P609),"",IF(C609="Buy",Q609-M609+T609, IF(C609="Sell",M609-Q609-T609, X)))</f>
        <v/>
      </c>
      <c r="V609" s="81">
        <f>IF(ISBLANK(P609),"",U609/N609)</f>
        <v/>
      </c>
      <c r="W609" s="81">
        <f>IF(ISBLANK(P609),"",IF(S609=0,(365/0.5)*V609,(365/S609)*V609))</f>
        <v/>
      </c>
      <c r="X609" s="75" t="n"/>
      <c r="Y609" s="77" t="n"/>
      <c r="Z609" s="77" t="n"/>
      <c r="AA609" s="75" t="n"/>
      <c r="AB609" s="75" t="n"/>
      <c r="AC609" s="6" t="n"/>
      <c r="AD609" s="75" t="n"/>
      <c r="AE609" s="75" t="n"/>
      <c r="AF609" s="75" t="n"/>
    </row>
    <row r="610" ht="15.75" customHeight="1" s="133">
      <c r="A610" s="75" t="n"/>
      <c r="B610" s="75" t="n"/>
      <c r="C610" s="75" t="n"/>
      <c r="D610" s="75" t="n"/>
      <c r="E610" s="76" t="n"/>
      <c r="F610" s="77" t="n"/>
      <c r="G610" s="75" t="n"/>
      <c r="H610" s="75">
        <f>IF(ISBLANK(E610),"",IF(OR(D610="Butterfly",D610="Butterfly ",D610="Iron Fly", D610="Iron Fly "),LEN(E610)-LEN(SUBSTITUTE(E610,"/",""))+2,LEN(E610)-LEN(SUBSTITUTE(E610,"/",""))+1))</f>
        <v/>
      </c>
      <c r="I610" s="78">
        <f>IF(ISBLANK(G610),"",IF(D610="Stock","0",Key!$A$3*H610*G610))</f>
        <v/>
      </c>
      <c r="J610" s="78">
        <f>IF(ISBLANK(E610),"",IF(ISNUMBER(SEARCH("/",E610)), IF(LEN(E610)-LEN(SUBSTITUTE(E610,"/",""))=1,(RIGHT(E610,LEN(E610)-FIND("/",E610)))-(LEFT(E610,FIND("/",E610)-1)),(MID(E610, SEARCH("/",E610) + 1, SEARCH("/",E610, SEARCH("/",E610)+1) - SEARCH("/",E610) - 1))-(LEFT(E610,FIND("/",E610)-1))), "NA"))</f>
        <v/>
      </c>
      <c r="K610" s="79">
        <f>IF(A610&lt;&gt;"", IF(ISBLANK(L610), TODAY(), K610), "")</f>
        <v/>
      </c>
      <c r="L610" s="78" t="n"/>
      <c r="M610" s="78">
        <f>IF(ISBLANK(L610),"",IF(D610="Stock",IF(C610="Buy",L610*G610,IF(C610="Sell",(L610*G610)-I610, X)),IF(C610="Buy",(L610*G610*100)+I610,IF(C610="Sell",(L610*G610*100)-I610, X))))</f>
        <v/>
      </c>
      <c r="N610" s="78">
        <f>IF(ISBLANK(L610),"",IF(AND(C610="Sell",D610="Stock"),M610,IF(ISBLANK(L610),"",IF(C610="Buy",M610, IF(AND(C610="Sell",J610="NA"),(E610*G610*100*0.1)+I610, IF(C610="Sell",(J610-L610)*(100*G610)+I610))))))</f>
        <v/>
      </c>
      <c r="O610" s="75" t="n"/>
      <c r="P610" s="75" t="n"/>
      <c r="Q610" s="75">
        <f>IF(ISBLANK(P610),"",IF(D610="Stock",P610*G610,IF(P610=0,"0",G610*P610*100-(G610*$AF$14))))</f>
        <v/>
      </c>
      <c r="R610" s="79">
        <f>IF(P610&lt;&gt;"", TODAY(), "")</f>
        <v/>
      </c>
      <c r="S610" s="78">
        <f>IF(AND(K610&lt;&gt;"", R610&lt;&gt;""), R610-K610, "")</f>
        <v/>
      </c>
      <c r="T610" s="78" t="n"/>
      <c r="U610" s="92">
        <f>IF(ISBLANK(P610),"",IF(C610="Buy",Q610-M610+T610, IF(C610="Sell",M610-Q610-T610, X)))</f>
        <v/>
      </c>
      <c r="V610" s="81">
        <f>IF(ISBLANK(P610),"",U610/N610)</f>
        <v/>
      </c>
      <c r="W610" s="81">
        <f>IF(ISBLANK(P610),"",IF(S610=0,(365/0.5)*V610,(365/S610)*V610))</f>
        <v/>
      </c>
      <c r="X610" s="75" t="n"/>
      <c r="Y610" s="77" t="n"/>
      <c r="Z610" s="77" t="n"/>
      <c r="AA610" s="75" t="n"/>
      <c r="AB610" s="75" t="n"/>
      <c r="AC610" s="6" t="n"/>
      <c r="AD610" s="75" t="n"/>
      <c r="AE610" s="75" t="n"/>
      <c r="AF610" s="75" t="n"/>
    </row>
    <row r="611" ht="15.75" customHeight="1" s="133">
      <c r="A611" s="75" t="n"/>
      <c r="B611" s="75" t="n"/>
      <c r="C611" s="75" t="n"/>
      <c r="D611" s="75" t="n"/>
      <c r="E611" s="76" t="n"/>
      <c r="F611" s="77" t="n"/>
      <c r="G611" s="75" t="n"/>
      <c r="H611" s="75">
        <f>IF(ISBLANK(E611),"",IF(OR(D611="Butterfly",D611="Butterfly ",D611="Iron Fly", D611="Iron Fly "),LEN(E611)-LEN(SUBSTITUTE(E611,"/",""))+2,LEN(E611)-LEN(SUBSTITUTE(E611,"/",""))+1))</f>
        <v/>
      </c>
      <c r="I611" s="78">
        <f>IF(ISBLANK(G611),"",IF(D611="Stock","0",Key!$A$3*H611*G611))</f>
        <v/>
      </c>
      <c r="J611" s="78">
        <f>IF(ISBLANK(E611),"",IF(ISNUMBER(SEARCH("/",E611)), IF(LEN(E611)-LEN(SUBSTITUTE(E611,"/",""))=1,(RIGHT(E611,LEN(E611)-FIND("/",E611)))-(LEFT(E611,FIND("/",E611)-1)),(MID(E611, SEARCH("/",E611) + 1, SEARCH("/",E611, SEARCH("/",E611)+1) - SEARCH("/",E611) - 1))-(LEFT(E611,FIND("/",E611)-1))), "NA"))</f>
        <v/>
      </c>
      <c r="K611" s="79">
        <f>IF(A611&lt;&gt;"", IF(ISBLANK(L611), TODAY(), K611), "")</f>
        <v/>
      </c>
      <c r="L611" s="78" t="n"/>
      <c r="M611" s="78">
        <f>IF(ISBLANK(L611),"",IF(D611="Stock",IF(C611="Buy",L611*G611,IF(C611="Sell",(L611*G611)-I611, X)),IF(C611="Buy",(L611*G611*100)+I611,IF(C611="Sell",(L611*G611*100)-I611, X))))</f>
        <v/>
      </c>
      <c r="N611" s="78">
        <f>IF(ISBLANK(L611),"",IF(AND(C611="Sell",D611="Stock"),M611,IF(ISBLANK(L611),"",IF(C611="Buy",M611, IF(AND(C611="Sell",J611="NA"),(E611*G611*100*0.1)+I611, IF(C611="Sell",(J611-L611)*(100*G611)+I611))))))</f>
        <v/>
      </c>
      <c r="O611" s="75" t="n"/>
      <c r="P611" s="75" t="n"/>
      <c r="Q611" s="75">
        <f>IF(ISBLANK(P611),"",IF(D611="Stock",P611*G611,IF(P611=0,"0",G611*P611*100-(G611*$AF$14))))</f>
        <v/>
      </c>
      <c r="R611" s="79">
        <f>IF(P611&lt;&gt;"", TODAY(), "")</f>
        <v/>
      </c>
      <c r="S611" s="78">
        <f>IF(AND(K611&lt;&gt;"", R611&lt;&gt;""), R611-K611, "")</f>
        <v/>
      </c>
      <c r="T611" s="78" t="n"/>
      <c r="U611" s="92">
        <f>IF(ISBLANK(P611),"",IF(C611="Buy",Q611-M611+T611, IF(C611="Sell",M611-Q611-T611, X)))</f>
        <v/>
      </c>
      <c r="V611" s="81">
        <f>IF(ISBLANK(P611),"",U611/N611)</f>
        <v/>
      </c>
      <c r="W611" s="81">
        <f>IF(ISBLANK(P611),"",IF(S611=0,(365/0.5)*V611,(365/S611)*V611))</f>
        <v/>
      </c>
      <c r="X611" s="75" t="n"/>
      <c r="Y611" s="77" t="n"/>
      <c r="Z611" s="77" t="n"/>
      <c r="AA611" s="75" t="n"/>
      <c r="AB611" s="75" t="n"/>
      <c r="AC611" s="6" t="n"/>
      <c r="AD611" s="75" t="n"/>
      <c r="AE611" s="75" t="n"/>
      <c r="AF611" s="75" t="n"/>
    </row>
    <row r="612" ht="15.75" customHeight="1" s="133">
      <c r="A612" s="75" t="n"/>
      <c r="B612" s="75" t="n"/>
      <c r="C612" s="75" t="n"/>
      <c r="D612" s="75" t="n"/>
      <c r="E612" s="76" t="n"/>
      <c r="F612" s="77" t="n"/>
      <c r="G612" s="75" t="n"/>
      <c r="H612" s="75">
        <f>IF(ISBLANK(E612),"",IF(OR(D612="Butterfly",D612="Butterfly ",D612="Iron Fly", D612="Iron Fly "),LEN(E612)-LEN(SUBSTITUTE(E612,"/",""))+2,LEN(E612)-LEN(SUBSTITUTE(E612,"/",""))+1))</f>
        <v/>
      </c>
      <c r="I612" s="78">
        <f>IF(ISBLANK(G612),"",IF(D612="Stock","0",Key!$A$3*H612*G612))</f>
        <v/>
      </c>
      <c r="J612" s="78">
        <f>IF(ISBLANK(E612),"",IF(ISNUMBER(SEARCH("/",E612)), IF(LEN(E612)-LEN(SUBSTITUTE(E612,"/",""))=1,(RIGHT(E612,LEN(E612)-FIND("/",E612)))-(LEFT(E612,FIND("/",E612)-1)),(MID(E612, SEARCH("/",E612) + 1, SEARCH("/",E612, SEARCH("/",E612)+1) - SEARCH("/",E612) - 1))-(LEFT(E612,FIND("/",E612)-1))), "NA"))</f>
        <v/>
      </c>
      <c r="K612" s="79">
        <f>IF(A612&lt;&gt;"", IF(ISBLANK(L612), TODAY(), K612), "")</f>
        <v/>
      </c>
      <c r="L612" s="78" t="n"/>
      <c r="M612" s="78">
        <f>IF(ISBLANK(L612),"",IF(D612="Stock",IF(C612="Buy",L612*G612,IF(C612="Sell",(L612*G612)-I612, X)),IF(C612="Buy",(L612*G612*100)+I612,IF(C612="Sell",(L612*G612*100)-I612, X))))</f>
        <v/>
      </c>
      <c r="N612" s="78">
        <f>IF(ISBLANK(L612),"",IF(AND(C612="Sell",D612="Stock"),M612,IF(ISBLANK(L612),"",IF(C612="Buy",M612, IF(AND(C612="Sell",J612="NA"),(E612*G612*100*0.1)+I612, IF(C612="Sell",(J612-L612)*(100*G612)+I612))))))</f>
        <v/>
      </c>
      <c r="O612" s="75" t="n"/>
      <c r="P612" s="75" t="n"/>
      <c r="Q612" s="75">
        <f>IF(ISBLANK(P612),"",IF(D612="Stock",P612*G612,IF(P612=0,"0",G612*P612*100-(G612*$AF$14))))</f>
        <v/>
      </c>
      <c r="R612" s="79">
        <f>IF(P612&lt;&gt;"", TODAY(), "")</f>
        <v/>
      </c>
      <c r="S612" s="78">
        <f>IF(AND(K612&lt;&gt;"", R612&lt;&gt;""), R612-K612, "")</f>
        <v/>
      </c>
      <c r="T612" s="78" t="n"/>
      <c r="U612" s="92">
        <f>IF(ISBLANK(P612),"",IF(C612="Buy",Q612-M612+T612, IF(C612="Sell",M612-Q612-T612, X)))</f>
        <v/>
      </c>
      <c r="V612" s="81">
        <f>IF(ISBLANK(P612),"",U612/N612)</f>
        <v/>
      </c>
      <c r="W612" s="81">
        <f>IF(ISBLANK(P612),"",IF(S612=0,(365/0.5)*V612,(365/S612)*V612))</f>
        <v/>
      </c>
      <c r="X612" s="75" t="n"/>
      <c r="Y612" s="77" t="n"/>
      <c r="Z612" s="77" t="n"/>
      <c r="AA612" s="75" t="n"/>
      <c r="AB612" s="75" t="n"/>
      <c r="AC612" s="6" t="n"/>
      <c r="AD612" s="75" t="n"/>
      <c r="AE612" s="75" t="n"/>
      <c r="AF612" s="75" t="n"/>
    </row>
    <row r="613" ht="15.75" customHeight="1" s="133">
      <c r="A613" s="75" t="n"/>
      <c r="B613" s="75" t="n"/>
      <c r="C613" s="75" t="n"/>
      <c r="D613" s="75" t="n"/>
      <c r="E613" s="76" t="n"/>
      <c r="F613" s="77" t="n"/>
      <c r="G613" s="75" t="n"/>
      <c r="H613" s="75">
        <f>IF(ISBLANK(E613),"",IF(OR(D613="Butterfly",D613="Butterfly ",D613="Iron Fly", D613="Iron Fly "),LEN(E613)-LEN(SUBSTITUTE(E613,"/",""))+2,LEN(E613)-LEN(SUBSTITUTE(E613,"/",""))+1))</f>
        <v/>
      </c>
      <c r="I613" s="78">
        <f>IF(ISBLANK(G613),"",IF(D613="Stock","0",Key!$A$3*H613*G613))</f>
        <v/>
      </c>
      <c r="J613" s="78">
        <f>IF(ISBLANK(E613),"",IF(ISNUMBER(SEARCH("/",E613)), IF(LEN(E613)-LEN(SUBSTITUTE(E613,"/",""))=1,(RIGHT(E613,LEN(E613)-FIND("/",E613)))-(LEFT(E613,FIND("/",E613)-1)),(MID(E613, SEARCH("/",E613) + 1, SEARCH("/",E613, SEARCH("/",E613)+1) - SEARCH("/",E613) - 1))-(LEFT(E613,FIND("/",E613)-1))), "NA"))</f>
        <v/>
      </c>
      <c r="K613" s="79">
        <f>IF(A613&lt;&gt;"", IF(ISBLANK(L613), TODAY(), K613), "")</f>
        <v/>
      </c>
      <c r="L613" s="78" t="n"/>
      <c r="M613" s="78">
        <f>IF(ISBLANK(L613),"",IF(D613="Stock",IF(C613="Buy",L613*G613,IF(C613="Sell",(L613*G613)-I613, X)),IF(C613="Buy",(L613*G613*100)+I613,IF(C613="Sell",(L613*G613*100)-I613, X))))</f>
        <v/>
      </c>
      <c r="N613" s="78">
        <f>IF(ISBLANK(L613),"",IF(AND(C613="Sell",D613="Stock"),M613,IF(ISBLANK(L613),"",IF(C613="Buy",M613, IF(AND(C613="Sell",J613="NA"),(E613*G613*100*0.1)+I613, IF(C613="Sell",(J613-L613)*(100*G613)+I613))))))</f>
        <v/>
      </c>
      <c r="O613" s="75" t="n"/>
      <c r="P613" s="75" t="n"/>
      <c r="Q613" s="75">
        <f>IF(ISBLANK(P613),"",IF(D613="Stock",P613*G613,IF(P613=0,"0",G613*P613*100-(G613*$AF$14))))</f>
        <v/>
      </c>
      <c r="R613" s="79">
        <f>IF(P613&lt;&gt;"", TODAY(), "")</f>
        <v/>
      </c>
      <c r="S613" s="78">
        <f>IF(AND(K613&lt;&gt;"", R613&lt;&gt;""), R613-K613, "")</f>
        <v/>
      </c>
      <c r="T613" s="78" t="n"/>
      <c r="U613" s="92">
        <f>IF(ISBLANK(P613),"",IF(C613="Buy",Q613-M613+T613, IF(C613="Sell",M613-Q613-T613, X)))</f>
        <v/>
      </c>
      <c r="V613" s="81">
        <f>IF(ISBLANK(P613),"",U613/N613)</f>
        <v/>
      </c>
      <c r="W613" s="81">
        <f>IF(ISBLANK(P613),"",IF(S613=0,(365/0.5)*V613,(365/S613)*V613))</f>
        <v/>
      </c>
      <c r="X613" s="75" t="n"/>
      <c r="Y613" s="77" t="n"/>
      <c r="Z613" s="77" t="n"/>
      <c r="AA613" s="75" t="n"/>
      <c r="AB613" s="75" t="n"/>
      <c r="AC613" s="6" t="n"/>
      <c r="AD613" s="75" t="n"/>
      <c r="AE613" s="75" t="n"/>
      <c r="AF613" s="75" t="n"/>
    </row>
    <row r="614" ht="15.75" customHeight="1" s="133">
      <c r="A614" s="75" t="n"/>
      <c r="B614" s="75" t="n"/>
      <c r="C614" s="75" t="n"/>
      <c r="D614" s="75" t="n"/>
      <c r="E614" s="76" t="n"/>
      <c r="F614" s="77" t="n"/>
      <c r="G614" s="75" t="n"/>
      <c r="H614" s="75">
        <f>IF(ISBLANK(E614),"",IF(OR(D614="Butterfly",D614="Butterfly ",D614="Iron Fly", D614="Iron Fly "),LEN(E614)-LEN(SUBSTITUTE(E614,"/",""))+2,LEN(E614)-LEN(SUBSTITUTE(E614,"/",""))+1))</f>
        <v/>
      </c>
      <c r="I614" s="78">
        <f>IF(ISBLANK(G614),"",IF(D614="Stock","0",Key!$A$3*H614*G614))</f>
        <v/>
      </c>
      <c r="J614" s="78">
        <f>IF(ISBLANK(E614),"",IF(ISNUMBER(SEARCH("/",E614)), IF(LEN(E614)-LEN(SUBSTITUTE(E614,"/",""))=1,(RIGHT(E614,LEN(E614)-FIND("/",E614)))-(LEFT(E614,FIND("/",E614)-1)),(MID(E614, SEARCH("/",E614) + 1, SEARCH("/",E614, SEARCH("/",E614)+1) - SEARCH("/",E614) - 1))-(LEFT(E614,FIND("/",E614)-1))), "NA"))</f>
        <v/>
      </c>
      <c r="K614" s="79">
        <f>IF(A614&lt;&gt;"", IF(ISBLANK(L614), TODAY(), K614), "")</f>
        <v/>
      </c>
      <c r="L614" s="78" t="n"/>
      <c r="M614" s="78">
        <f>IF(ISBLANK(L614),"",IF(D614="Stock",IF(C614="Buy",L614*G614,IF(C614="Sell",(L614*G614)-I614, X)),IF(C614="Buy",(L614*G614*100)+I614,IF(C614="Sell",(L614*G614*100)-I614, X))))</f>
        <v/>
      </c>
      <c r="N614" s="78">
        <f>IF(ISBLANK(L614),"",IF(AND(C614="Sell",D614="Stock"),M614,IF(ISBLANK(L614),"",IF(C614="Buy",M614, IF(AND(C614="Sell",J614="NA"),(E614*G614*100*0.1)+I614, IF(C614="Sell",(J614-L614)*(100*G614)+I614))))))</f>
        <v/>
      </c>
      <c r="O614" s="75" t="n"/>
      <c r="P614" s="75" t="n"/>
      <c r="Q614" s="75">
        <f>IF(ISBLANK(P614),"",IF(D614="Stock",P614*G614,IF(P614=0,"0",G614*P614*100-(G614*$AF$14))))</f>
        <v/>
      </c>
      <c r="R614" s="79">
        <f>IF(P614&lt;&gt;"", TODAY(), "")</f>
        <v/>
      </c>
      <c r="S614" s="78">
        <f>IF(AND(K614&lt;&gt;"", R614&lt;&gt;""), R614-K614, "")</f>
        <v/>
      </c>
      <c r="T614" s="78" t="n"/>
      <c r="U614" s="92">
        <f>IF(ISBLANK(P614),"",IF(C614="Buy",Q614-M614+T614, IF(C614="Sell",M614-Q614-T614, X)))</f>
        <v/>
      </c>
      <c r="V614" s="81">
        <f>IF(ISBLANK(P614),"",U614/N614)</f>
        <v/>
      </c>
      <c r="W614" s="81">
        <f>IF(ISBLANK(P614),"",IF(S614=0,(365/0.5)*V614,(365/S614)*V614))</f>
        <v/>
      </c>
      <c r="X614" s="75" t="n"/>
      <c r="Y614" s="77" t="n"/>
      <c r="Z614" s="77" t="n"/>
      <c r="AA614" s="75" t="n"/>
      <c r="AB614" s="75" t="n"/>
      <c r="AC614" s="6" t="n"/>
      <c r="AD614" s="75" t="n"/>
      <c r="AE614" s="75" t="n"/>
      <c r="AF614" s="75" t="n"/>
    </row>
    <row r="615" ht="15.75" customHeight="1" s="133">
      <c r="A615" s="75" t="n"/>
      <c r="B615" s="75" t="n"/>
      <c r="C615" s="75" t="n"/>
      <c r="D615" s="75" t="n"/>
      <c r="E615" s="76" t="n"/>
      <c r="F615" s="77" t="n"/>
      <c r="G615" s="75" t="n"/>
      <c r="H615" s="75">
        <f>IF(ISBLANK(E615),"",IF(OR(D615="Butterfly",D615="Butterfly ",D615="Iron Fly", D615="Iron Fly "),LEN(E615)-LEN(SUBSTITUTE(E615,"/",""))+2,LEN(E615)-LEN(SUBSTITUTE(E615,"/",""))+1))</f>
        <v/>
      </c>
      <c r="I615" s="78">
        <f>IF(ISBLANK(G615),"",IF(D615="Stock","0",Key!$A$3*H615*G615))</f>
        <v/>
      </c>
      <c r="J615" s="78">
        <f>IF(ISBLANK(E615),"",IF(ISNUMBER(SEARCH("/",E615)), IF(LEN(E615)-LEN(SUBSTITUTE(E615,"/",""))=1,(RIGHT(E615,LEN(E615)-FIND("/",E615)))-(LEFT(E615,FIND("/",E615)-1)),(MID(E615, SEARCH("/",E615) + 1, SEARCH("/",E615, SEARCH("/",E615)+1) - SEARCH("/",E615) - 1))-(LEFT(E615,FIND("/",E615)-1))), "NA"))</f>
        <v/>
      </c>
      <c r="K615" s="79">
        <f>IF(A615&lt;&gt;"", IF(ISBLANK(L615), TODAY(), K615), "")</f>
        <v/>
      </c>
      <c r="L615" s="78" t="n"/>
      <c r="M615" s="78">
        <f>IF(ISBLANK(L615),"",IF(D615="Stock",IF(C615="Buy",L615*G615,IF(C615="Sell",(L615*G615)-I615, X)),IF(C615="Buy",(L615*G615*100)+I615,IF(C615="Sell",(L615*G615*100)-I615, X))))</f>
        <v/>
      </c>
      <c r="N615" s="78">
        <f>IF(ISBLANK(L615),"",IF(AND(C615="Sell",D615="Stock"),M615,IF(ISBLANK(L615),"",IF(C615="Buy",M615, IF(AND(C615="Sell",J615="NA"),(E615*G615*100*0.1)+I615, IF(C615="Sell",(J615-L615)*(100*G615)+I615))))))</f>
        <v/>
      </c>
      <c r="O615" s="75" t="n"/>
      <c r="P615" s="75" t="n"/>
      <c r="Q615" s="75">
        <f>IF(ISBLANK(P615),"",IF(D615="Stock",P615*G615,IF(P615=0,"0",G615*P615*100-(G615*$AF$14))))</f>
        <v/>
      </c>
      <c r="R615" s="79">
        <f>IF(P615&lt;&gt;"", TODAY(), "")</f>
        <v/>
      </c>
      <c r="S615" s="78">
        <f>IF(AND(K615&lt;&gt;"", R615&lt;&gt;""), R615-K615, "")</f>
        <v/>
      </c>
      <c r="T615" s="78" t="n"/>
      <c r="U615" s="92">
        <f>IF(ISBLANK(P615),"",IF(C615="Buy",Q615-M615+T615, IF(C615="Sell",M615-Q615-T615, X)))</f>
        <v/>
      </c>
      <c r="V615" s="81">
        <f>IF(ISBLANK(P615),"",U615/N615)</f>
        <v/>
      </c>
      <c r="W615" s="81">
        <f>IF(ISBLANK(P615),"",IF(S615=0,(365/0.5)*V615,(365/S615)*V615))</f>
        <v/>
      </c>
      <c r="X615" s="75" t="n"/>
      <c r="Y615" s="77" t="n"/>
      <c r="Z615" s="77" t="n"/>
      <c r="AA615" s="75" t="n"/>
      <c r="AB615" s="75" t="n"/>
      <c r="AC615" s="6" t="n"/>
      <c r="AD615" s="75" t="n"/>
      <c r="AE615" s="75" t="n"/>
      <c r="AF615" s="75" t="n"/>
    </row>
    <row r="616" ht="15.75" customHeight="1" s="133">
      <c r="A616" s="75" t="n"/>
      <c r="B616" s="75" t="n"/>
      <c r="C616" s="75" t="n"/>
      <c r="D616" s="75" t="n"/>
      <c r="E616" s="76" t="n"/>
      <c r="F616" s="77" t="n"/>
      <c r="G616" s="75" t="n"/>
      <c r="H616" s="75">
        <f>IF(ISBLANK(E616),"",IF(OR(D616="Butterfly",D616="Butterfly ",D616="Iron Fly", D616="Iron Fly "),LEN(E616)-LEN(SUBSTITUTE(E616,"/",""))+2,LEN(E616)-LEN(SUBSTITUTE(E616,"/",""))+1))</f>
        <v/>
      </c>
      <c r="I616" s="78">
        <f>IF(ISBLANK(G616),"",IF(D616="Stock","0",Key!$A$3*H616*G616))</f>
        <v/>
      </c>
      <c r="J616" s="78">
        <f>IF(ISBLANK(E616),"",IF(ISNUMBER(SEARCH("/",E616)), IF(LEN(E616)-LEN(SUBSTITUTE(E616,"/",""))=1,(RIGHT(E616,LEN(E616)-FIND("/",E616)))-(LEFT(E616,FIND("/",E616)-1)),(MID(E616, SEARCH("/",E616) + 1, SEARCH("/",E616, SEARCH("/",E616)+1) - SEARCH("/",E616) - 1))-(LEFT(E616,FIND("/",E616)-1))), "NA"))</f>
        <v/>
      </c>
      <c r="K616" s="79">
        <f>IF(A616&lt;&gt;"", IF(ISBLANK(L616), TODAY(), K616), "")</f>
        <v/>
      </c>
      <c r="L616" s="78" t="n"/>
      <c r="M616" s="78">
        <f>IF(ISBLANK(L616),"",IF(D616="Stock",IF(C616="Buy",L616*G616,IF(C616="Sell",(L616*G616)-I616, X)),IF(C616="Buy",(L616*G616*100)+I616,IF(C616="Sell",(L616*G616*100)-I616, X))))</f>
        <v/>
      </c>
      <c r="N616" s="78">
        <f>IF(ISBLANK(L616),"",IF(AND(C616="Sell",D616="Stock"),M616,IF(ISBLANK(L616),"",IF(C616="Buy",M616, IF(AND(C616="Sell",J616="NA"),(E616*G616*100*0.1)+I616, IF(C616="Sell",(J616-L616)*(100*G616)+I616))))))</f>
        <v/>
      </c>
      <c r="O616" s="75" t="n"/>
      <c r="P616" s="75" t="n"/>
      <c r="Q616" s="75">
        <f>IF(ISBLANK(P616),"",IF(D616="Stock",P616*G616,IF(P616=0,"0",G616*P616*100-(G616*$AF$14))))</f>
        <v/>
      </c>
      <c r="R616" s="79">
        <f>IF(P616&lt;&gt;"", TODAY(), "")</f>
        <v/>
      </c>
      <c r="S616" s="78">
        <f>IF(AND(K616&lt;&gt;"", R616&lt;&gt;""), R616-K616, "")</f>
        <v/>
      </c>
      <c r="T616" s="78" t="n"/>
      <c r="U616" s="92">
        <f>IF(ISBLANK(P616),"",IF(C616="Buy",Q616-M616+T616, IF(C616="Sell",M616-Q616-T616, X)))</f>
        <v/>
      </c>
      <c r="V616" s="81">
        <f>IF(ISBLANK(P616),"",U616/N616)</f>
        <v/>
      </c>
      <c r="W616" s="81">
        <f>IF(ISBLANK(P616),"",IF(S616=0,(365/0.5)*V616,(365/S616)*V616))</f>
        <v/>
      </c>
      <c r="X616" s="75" t="n"/>
      <c r="Y616" s="77" t="n"/>
      <c r="Z616" s="77" t="n"/>
      <c r="AA616" s="75" t="n"/>
      <c r="AB616" s="75" t="n"/>
      <c r="AC616" s="6" t="n"/>
      <c r="AD616" s="75" t="n"/>
      <c r="AE616" s="75" t="n"/>
      <c r="AF616" s="75" t="n"/>
    </row>
    <row r="617" ht="15.75" customHeight="1" s="133">
      <c r="A617" s="75" t="n"/>
      <c r="B617" s="75" t="n"/>
      <c r="C617" s="75" t="n"/>
      <c r="D617" s="75" t="n"/>
      <c r="E617" s="76" t="n"/>
      <c r="F617" s="77" t="n"/>
      <c r="G617" s="75" t="n"/>
      <c r="H617" s="75">
        <f>IF(ISBLANK(E617),"",IF(OR(D617="Butterfly",D617="Butterfly ",D617="Iron Fly", D617="Iron Fly "),LEN(E617)-LEN(SUBSTITUTE(E617,"/",""))+2,LEN(E617)-LEN(SUBSTITUTE(E617,"/",""))+1))</f>
        <v/>
      </c>
      <c r="I617" s="78">
        <f>IF(ISBLANK(G617),"",IF(D617="Stock","0",Key!$A$3*H617*G617))</f>
        <v/>
      </c>
      <c r="J617" s="78">
        <f>IF(ISBLANK(E617),"",IF(ISNUMBER(SEARCH("/",E617)), IF(LEN(E617)-LEN(SUBSTITUTE(E617,"/",""))=1,(RIGHT(E617,LEN(E617)-FIND("/",E617)))-(LEFT(E617,FIND("/",E617)-1)),(MID(E617, SEARCH("/",E617) + 1, SEARCH("/",E617, SEARCH("/",E617)+1) - SEARCH("/",E617) - 1))-(LEFT(E617,FIND("/",E617)-1))), "NA"))</f>
        <v/>
      </c>
      <c r="K617" s="79">
        <f>IF(A617&lt;&gt;"", IF(ISBLANK(L617), TODAY(), K617), "")</f>
        <v/>
      </c>
      <c r="L617" s="78" t="n"/>
      <c r="M617" s="78">
        <f>IF(ISBLANK(L617),"",IF(D617="Stock",IF(C617="Buy",L617*G617,IF(C617="Sell",(L617*G617)-I617, X)),IF(C617="Buy",(L617*G617*100)+I617,IF(C617="Sell",(L617*G617*100)-I617, X))))</f>
        <v/>
      </c>
      <c r="N617" s="78">
        <f>IF(ISBLANK(L617),"",IF(AND(C617="Sell",D617="Stock"),M617,IF(ISBLANK(L617),"",IF(C617="Buy",M617, IF(AND(C617="Sell",J617="NA"),(E617*G617*100*0.1)+I617, IF(C617="Sell",(J617-L617)*(100*G617)+I617))))))</f>
        <v/>
      </c>
      <c r="O617" s="75" t="n"/>
      <c r="P617" s="75" t="n"/>
      <c r="Q617" s="75">
        <f>IF(ISBLANK(P617),"",IF(D617="Stock",P617*G617,IF(P617=0,"0",G617*P617*100-(G617*$AF$14))))</f>
        <v/>
      </c>
      <c r="R617" s="79">
        <f>IF(P617&lt;&gt;"", TODAY(), "")</f>
        <v/>
      </c>
      <c r="S617" s="78">
        <f>IF(AND(K617&lt;&gt;"", R617&lt;&gt;""), R617-K617, "")</f>
        <v/>
      </c>
      <c r="T617" s="78" t="n"/>
      <c r="U617" s="92">
        <f>IF(ISBLANK(P617),"",IF(C617="Buy",Q617-M617+T617, IF(C617="Sell",M617-Q617-T617, X)))</f>
        <v/>
      </c>
      <c r="V617" s="81">
        <f>IF(ISBLANK(P617),"",U617/N617)</f>
        <v/>
      </c>
      <c r="W617" s="81">
        <f>IF(ISBLANK(P617),"",IF(S617=0,(365/0.5)*V617,(365/S617)*V617))</f>
        <v/>
      </c>
      <c r="X617" s="75" t="n"/>
      <c r="Y617" s="77" t="n"/>
      <c r="Z617" s="77" t="n"/>
      <c r="AA617" s="75" t="n"/>
      <c r="AB617" s="75" t="n"/>
      <c r="AC617" s="6" t="n"/>
      <c r="AD617" s="75" t="n"/>
      <c r="AE617" s="75" t="n"/>
      <c r="AF617" s="75" t="n"/>
    </row>
    <row r="618" ht="15.75" customHeight="1" s="133">
      <c r="A618" s="75" t="n"/>
      <c r="B618" s="75" t="n"/>
      <c r="C618" s="75" t="n"/>
      <c r="D618" s="75" t="n"/>
      <c r="E618" s="76" t="n"/>
      <c r="F618" s="77" t="n"/>
      <c r="G618" s="75" t="n"/>
      <c r="H618" s="75">
        <f>IF(ISBLANK(E618),"",IF(OR(D618="Butterfly",D618="Butterfly ",D618="Iron Fly", D618="Iron Fly "),LEN(E618)-LEN(SUBSTITUTE(E618,"/",""))+2,LEN(E618)-LEN(SUBSTITUTE(E618,"/",""))+1))</f>
        <v/>
      </c>
      <c r="I618" s="78">
        <f>IF(ISBLANK(G618),"",IF(D618="Stock","0",Key!$A$3*H618*G618))</f>
        <v/>
      </c>
      <c r="J618" s="78">
        <f>IF(ISBLANK(E618),"",IF(ISNUMBER(SEARCH("/",E618)), IF(LEN(E618)-LEN(SUBSTITUTE(E618,"/",""))=1,(RIGHT(E618,LEN(E618)-FIND("/",E618)))-(LEFT(E618,FIND("/",E618)-1)),(MID(E618, SEARCH("/",E618) + 1, SEARCH("/",E618, SEARCH("/",E618)+1) - SEARCH("/",E618) - 1))-(LEFT(E618,FIND("/",E618)-1))), "NA"))</f>
        <v/>
      </c>
      <c r="K618" s="79">
        <f>IF(A618&lt;&gt;"", IF(ISBLANK(L618), TODAY(), K618), "")</f>
        <v/>
      </c>
      <c r="L618" s="78" t="n"/>
      <c r="M618" s="78">
        <f>IF(ISBLANK(L618),"",IF(D618="Stock",IF(C618="Buy",L618*G618,IF(C618="Sell",(L618*G618)-I618, X)),IF(C618="Buy",(L618*G618*100)+I618,IF(C618="Sell",(L618*G618*100)-I618, X))))</f>
        <v/>
      </c>
      <c r="N618" s="78">
        <f>IF(ISBLANK(L618),"",IF(AND(C618="Sell",D618="Stock"),M618,IF(ISBLANK(L618),"",IF(C618="Buy",M618, IF(AND(C618="Sell",J618="NA"),(E618*G618*100*0.1)+I618, IF(C618="Sell",(J618-L618)*(100*G618)+I618))))))</f>
        <v/>
      </c>
      <c r="O618" s="75" t="n"/>
      <c r="P618" s="75" t="n"/>
      <c r="Q618" s="75">
        <f>IF(ISBLANK(P618),"",IF(D618="Stock",P618*G618,IF(P618=0,"0",G618*P618*100-(G618*$AF$14))))</f>
        <v/>
      </c>
      <c r="R618" s="79">
        <f>IF(P618&lt;&gt;"", TODAY(), "")</f>
        <v/>
      </c>
      <c r="S618" s="78">
        <f>IF(AND(K618&lt;&gt;"", R618&lt;&gt;""), R618-K618, "")</f>
        <v/>
      </c>
      <c r="T618" s="78" t="n"/>
      <c r="U618" s="92">
        <f>IF(ISBLANK(P618),"",IF(C618="Buy",Q618-M618+T618, IF(C618="Sell",M618-Q618-T618, X)))</f>
        <v/>
      </c>
      <c r="V618" s="81">
        <f>IF(ISBLANK(P618),"",U618/N618)</f>
        <v/>
      </c>
      <c r="W618" s="81">
        <f>IF(ISBLANK(P618),"",IF(S618=0,(365/0.5)*V618,(365/S618)*V618))</f>
        <v/>
      </c>
      <c r="X618" s="75" t="n"/>
      <c r="Y618" s="77" t="n"/>
      <c r="Z618" s="77" t="n"/>
      <c r="AA618" s="75" t="n"/>
      <c r="AB618" s="75" t="n"/>
      <c r="AC618" s="6" t="n"/>
      <c r="AD618" s="75" t="n"/>
      <c r="AE618" s="75" t="n"/>
      <c r="AF618" s="75" t="n"/>
    </row>
    <row r="619" ht="15.75" customHeight="1" s="133">
      <c r="A619" s="75" t="n"/>
      <c r="B619" s="75" t="n"/>
      <c r="C619" s="75" t="n"/>
      <c r="D619" s="75" t="n"/>
      <c r="E619" s="76" t="n"/>
      <c r="F619" s="77" t="n"/>
      <c r="G619" s="75" t="n"/>
      <c r="H619" s="75">
        <f>IF(ISBLANK(E619),"",IF(OR(D619="Butterfly",D619="Butterfly ",D619="Iron Fly", D619="Iron Fly "),LEN(E619)-LEN(SUBSTITUTE(E619,"/",""))+2,LEN(E619)-LEN(SUBSTITUTE(E619,"/",""))+1))</f>
        <v/>
      </c>
      <c r="I619" s="78">
        <f>IF(ISBLANK(G619),"",IF(D619="Stock","0",Key!$A$3*H619*G619))</f>
        <v/>
      </c>
      <c r="J619" s="78">
        <f>IF(ISBLANK(E619),"",IF(ISNUMBER(SEARCH("/",E619)), IF(LEN(E619)-LEN(SUBSTITUTE(E619,"/",""))=1,(RIGHT(E619,LEN(E619)-FIND("/",E619)))-(LEFT(E619,FIND("/",E619)-1)),(MID(E619, SEARCH("/",E619) + 1, SEARCH("/",E619, SEARCH("/",E619)+1) - SEARCH("/",E619) - 1))-(LEFT(E619,FIND("/",E619)-1))), "NA"))</f>
        <v/>
      </c>
      <c r="K619" s="79">
        <f>IF(A619&lt;&gt;"", IF(ISBLANK(L619), TODAY(), K619), "")</f>
        <v/>
      </c>
      <c r="L619" s="78" t="n"/>
      <c r="M619" s="78">
        <f>IF(ISBLANK(L619),"",IF(D619="Stock",IF(C619="Buy",L619*G619,IF(C619="Sell",(L619*G619)-I619, X)),IF(C619="Buy",(L619*G619*100)+I619,IF(C619="Sell",(L619*G619*100)-I619, X))))</f>
        <v/>
      </c>
      <c r="N619" s="78">
        <f>IF(ISBLANK(L619),"",IF(AND(C619="Sell",D619="Stock"),M619,IF(ISBLANK(L619),"",IF(C619="Buy",M619, IF(AND(C619="Sell",J619="NA"),(E619*G619*100*0.1)+I619, IF(C619="Sell",(J619-L619)*(100*G619)+I619))))))</f>
        <v/>
      </c>
      <c r="O619" s="75" t="n"/>
      <c r="P619" s="75" t="n"/>
      <c r="Q619" s="75">
        <f>IF(ISBLANK(P619),"",IF(D619="Stock",P619*G619,IF(P619=0,"0",G619*P619*100-(G619*$AF$14))))</f>
        <v/>
      </c>
      <c r="R619" s="79">
        <f>IF(P619&lt;&gt;"", TODAY(), "")</f>
        <v/>
      </c>
      <c r="S619" s="78">
        <f>IF(AND(K619&lt;&gt;"", R619&lt;&gt;""), R619-K619, "")</f>
        <v/>
      </c>
      <c r="T619" s="78" t="n"/>
      <c r="U619" s="92">
        <f>IF(ISBLANK(P619),"",IF(C619="Buy",Q619-M619+T619, IF(C619="Sell",M619-Q619-T619, X)))</f>
        <v/>
      </c>
      <c r="V619" s="81">
        <f>IF(ISBLANK(P619),"",U619/N619)</f>
        <v/>
      </c>
      <c r="W619" s="81">
        <f>IF(ISBLANK(P619),"",IF(S619=0,(365/0.5)*V619,(365/S619)*V619))</f>
        <v/>
      </c>
      <c r="X619" s="75" t="n"/>
      <c r="Y619" s="77" t="n"/>
      <c r="Z619" s="77" t="n"/>
      <c r="AA619" s="75" t="n"/>
      <c r="AB619" s="75" t="n"/>
      <c r="AC619" s="6" t="n"/>
      <c r="AD619" s="75" t="n"/>
      <c r="AE619" s="75" t="n"/>
      <c r="AF619" s="75" t="n"/>
    </row>
    <row r="620" ht="15.75" customHeight="1" s="133">
      <c r="A620" s="75" t="n"/>
      <c r="B620" s="75" t="n"/>
      <c r="C620" s="75" t="n"/>
      <c r="D620" s="75" t="n"/>
      <c r="E620" s="76" t="n"/>
      <c r="F620" s="77" t="n"/>
      <c r="G620" s="75" t="n"/>
      <c r="H620" s="75">
        <f>IF(ISBLANK(E620),"",IF(OR(D620="Butterfly",D620="Butterfly ",D620="Iron Fly", D620="Iron Fly "),LEN(E620)-LEN(SUBSTITUTE(E620,"/",""))+2,LEN(E620)-LEN(SUBSTITUTE(E620,"/",""))+1))</f>
        <v/>
      </c>
      <c r="I620" s="78">
        <f>IF(ISBLANK(G620),"",IF(D620="Stock","0",Key!$A$3*H620*G620))</f>
        <v/>
      </c>
      <c r="J620" s="78">
        <f>IF(ISBLANK(E620),"",IF(ISNUMBER(SEARCH("/",E620)), IF(LEN(E620)-LEN(SUBSTITUTE(E620,"/",""))=1,(RIGHT(E620,LEN(E620)-FIND("/",E620)))-(LEFT(E620,FIND("/",E620)-1)),(MID(E620, SEARCH("/",E620) + 1, SEARCH("/",E620, SEARCH("/",E620)+1) - SEARCH("/",E620) - 1))-(LEFT(E620,FIND("/",E620)-1))), "NA"))</f>
        <v/>
      </c>
      <c r="K620" s="79">
        <f>IF(A620&lt;&gt;"", IF(ISBLANK(L620), TODAY(), K620), "")</f>
        <v/>
      </c>
      <c r="L620" s="78" t="n"/>
      <c r="M620" s="78">
        <f>IF(ISBLANK(L620),"",IF(D620="Stock",IF(C620="Buy",L620*G620,IF(C620="Sell",(L620*G620)-I620, X)),IF(C620="Buy",(L620*G620*100)+I620,IF(C620="Sell",(L620*G620*100)-I620, X))))</f>
        <v/>
      </c>
      <c r="N620" s="78">
        <f>IF(ISBLANK(L620),"",IF(AND(C620="Sell",D620="Stock"),M620,IF(ISBLANK(L620),"",IF(C620="Buy",M620, IF(AND(C620="Sell",J620="NA"),(E620*G620*100*0.1)+I620, IF(C620="Sell",(J620-L620)*(100*G620)+I620))))))</f>
        <v/>
      </c>
      <c r="O620" s="75" t="n"/>
      <c r="P620" s="75" t="n"/>
      <c r="Q620" s="75">
        <f>IF(ISBLANK(P620),"",IF(D620="Stock",P620*G620,IF(P620=0,"0",G620*P620*100-(G620*$AF$14))))</f>
        <v/>
      </c>
      <c r="R620" s="79">
        <f>IF(P620&lt;&gt;"", TODAY(), "")</f>
        <v/>
      </c>
      <c r="S620" s="78">
        <f>IF(AND(K620&lt;&gt;"", R620&lt;&gt;""), R620-K620, "")</f>
        <v/>
      </c>
      <c r="T620" s="78" t="n"/>
      <c r="U620" s="92">
        <f>IF(ISBLANK(P620),"",IF(C620="Buy",Q620-M620+T620, IF(C620="Sell",M620-Q620-T620, X)))</f>
        <v/>
      </c>
      <c r="V620" s="81">
        <f>IF(ISBLANK(P620),"",U620/N620)</f>
        <v/>
      </c>
      <c r="W620" s="81">
        <f>IF(ISBLANK(P620),"",IF(S620=0,(365/0.5)*V620,(365/S620)*V620))</f>
        <v/>
      </c>
      <c r="X620" s="75" t="n"/>
      <c r="Y620" s="77" t="n"/>
      <c r="Z620" s="77" t="n"/>
      <c r="AA620" s="75" t="n"/>
      <c r="AB620" s="75" t="n"/>
      <c r="AC620" s="6" t="n"/>
      <c r="AD620" s="75" t="n"/>
      <c r="AE620" s="75" t="n"/>
      <c r="AF620" s="75" t="n"/>
    </row>
    <row r="621" ht="15.75" customHeight="1" s="133">
      <c r="A621" s="75" t="n"/>
      <c r="B621" s="75" t="n"/>
      <c r="C621" s="75" t="n"/>
      <c r="D621" s="75" t="n"/>
      <c r="E621" s="76" t="n"/>
      <c r="F621" s="77" t="n"/>
      <c r="G621" s="75" t="n"/>
      <c r="H621" s="75">
        <f>IF(ISBLANK(E621),"",IF(OR(D621="Butterfly",D621="Butterfly ",D621="Iron Fly", D621="Iron Fly "),LEN(E621)-LEN(SUBSTITUTE(E621,"/",""))+2,LEN(E621)-LEN(SUBSTITUTE(E621,"/",""))+1))</f>
        <v/>
      </c>
      <c r="I621" s="78">
        <f>IF(ISBLANK(G621),"",IF(D621="Stock","0",Key!$A$3*H621*G621))</f>
        <v/>
      </c>
      <c r="J621" s="78">
        <f>IF(ISBLANK(E621),"",IF(ISNUMBER(SEARCH("/",E621)), IF(LEN(E621)-LEN(SUBSTITUTE(E621,"/",""))=1,(RIGHT(E621,LEN(E621)-FIND("/",E621)))-(LEFT(E621,FIND("/",E621)-1)),(MID(E621, SEARCH("/",E621) + 1, SEARCH("/",E621, SEARCH("/",E621)+1) - SEARCH("/",E621) - 1))-(LEFT(E621,FIND("/",E621)-1))), "NA"))</f>
        <v/>
      </c>
      <c r="K621" s="79">
        <f>IF(A621&lt;&gt;"", IF(ISBLANK(L621), TODAY(), K621), "")</f>
        <v/>
      </c>
      <c r="L621" s="78" t="n"/>
      <c r="M621" s="78">
        <f>IF(ISBLANK(L621),"",IF(D621="Stock",IF(C621="Buy",L621*G621,IF(C621="Sell",(L621*G621)-I621, X)),IF(C621="Buy",(L621*G621*100)+I621,IF(C621="Sell",(L621*G621*100)-I621, X))))</f>
        <v/>
      </c>
      <c r="N621" s="78">
        <f>IF(ISBLANK(L621),"",IF(AND(C621="Sell",D621="Stock"),M621,IF(ISBLANK(L621),"",IF(C621="Buy",M621, IF(AND(C621="Sell",J621="NA"),(E621*G621*100*0.1)+I621, IF(C621="Sell",(J621-L621)*(100*G621)+I621))))))</f>
        <v/>
      </c>
      <c r="O621" s="75" t="n"/>
      <c r="P621" s="75" t="n"/>
      <c r="Q621" s="75">
        <f>IF(ISBLANK(P621),"",IF(D621="Stock",P621*G621,IF(P621=0,"0",G621*P621*100-(G621*$AF$14))))</f>
        <v/>
      </c>
      <c r="R621" s="79">
        <f>IF(P621&lt;&gt;"", TODAY(), "")</f>
        <v/>
      </c>
      <c r="S621" s="78">
        <f>IF(AND(K621&lt;&gt;"", R621&lt;&gt;""), R621-K621, "")</f>
        <v/>
      </c>
      <c r="T621" s="78" t="n"/>
      <c r="U621" s="92">
        <f>IF(ISBLANK(P621),"",IF(C621="Buy",Q621-M621+T621, IF(C621="Sell",M621-Q621-T621, X)))</f>
        <v/>
      </c>
      <c r="V621" s="81">
        <f>IF(ISBLANK(P621),"",U621/N621)</f>
        <v/>
      </c>
      <c r="W621" s="81">
        <f>IF(ISBLANK(P621),"",IF(S621=0,(365/0.5)*V621,(365/S621)*V621))</f>
        <v/>
      </c>
      <c r="X621" s="75" t="n"/>
      <c r="Y621" s="77" t="n"/>
      <c r="Z621" s="77" t="n"/>
      <c r="AA621" s="75" t="n"/>
      <c r="AB621" s="75" t="n"/>
      <c r="AC621" s="6" t="n"/>
      <c r="AD621" s="75" t="n"/>
      <c r="AE621" s="75" t="n"/>
      <c r="AF621" s="75" t="n"/>
    </row>
    <row r="622" ht="15.75" customHeight="1" s="133">
      <c r="A622" s="75" t="n"/>
      <c r="B622" s="75" t="n"/>
      <c r="C622" s="75" t="n"/>
      <c r="D622" s="75" t="n"/>
      <c r="E622" s="76" t="n"/>
      <c r="F622" s="77" t="n"/>
      <c r="G622" s="75" t="n"/>
      <c r="H622" s="75">
        <f>IF(ISBLANK(E622),"",IF(OR(D622="Butterfly",D622="Butterfly ",D622="Iron Fly", D622="Iron Fly "),LEN(E622)-LEN(SUBSTITUTE(E622,"/",""))+2,LEN(E622)-LEN(SUBSTITUTE(E622,"/",""))+1))</f>
        <v/>
      </c>
      <c r="I622" s="78">
        <f>IF(ISBLANK(G622),"",IF(D622="Stock","0",Key!$A$3*H622*G622))</f>
        <v/>
      </c>
      <c r="J622" s="78">
        <f>IF(ISBLANK(E622),"",IF(ISNUMBER(SEARCH("/",E622)), IF(LEN(E622)-LEN(SUBSTITUTE(E622,"/",""))=1,(RIGHT(E622,LEN(E622)-FIND("/",E622)))-(LEFT(E622,FIND("/",E622)-1)),(MID(E622, SEARCH("/",E622) + 1, SEARCH("/",E622, SEARCH("/",E622)+1) - SEARCH("/",E622) - 1))-(LEFT(E622,FIND("/",E622)-1))), "NA"))</f>
        <v/>
      </c>
      <c r="K622" s="79">
        <f>IF(A622&lt;&gt;"", IF(ISBLANK(L622), TODAY(), K622), "")</f>
        <v/>
      </c>
      <c r="L622" s="78" t="n"/>
      <c r="M622" s="78">
        <f>IF(ISBLANK(L622),"",IF(D622="Stock",IF(C622="Buy",L622*G622,IF(C622="Sell",(L622*G622)-I622, X)),IF(C622="Buy",(L622*G622*100)+I622,IF(C622="Sell",(L622*G622*100)-I622, X))))</f>
        <v/>
      </c>
      <c r="N622" s="78">
        <f>IF(ISBLANK(L622),"",IF(AND(C622="Sell",D622="Stock"),M622,IF(ISBLANK(L622),"",IF(C622="Buy",M622, IF(AND(C622="Sell",J622="NA"),(E622*G622*100*0.1)+I622, IF(C622="Sell",(J622-L622)*(100*G622)+I622))))))</f>
        <v/>
      </c>
      <c r="O622" s="75" t="n"/>
      <c r="P622" s="75" t="n"/>
      <c r="Q622" s="75">
        <f>IF(ISBLANK(P622),"",IF(D622="Stock",P622*G622,IF(P622=0,"0",G622*P622*100-(G622*$AF$14))))</f>
        <v/>
      </c>
      <c r="R622" s="79">
        <f>IF(P622&lt;&gt;"", TODAY(), "")</f>
        <v/>
      </c>
      <c r="S622" s="78">
        <f>IF(AND(K622&lt;&gt;"", R622&lt;&gt;""), R622-K622, "")</f>
        <v/>
      </c>
      <c r="T622" s="78" t="n"/>
      <c r="U622" s="92">
        <f>IF(ISBLANK(P622),"",IF(C622="Buy",Q622-M622+T622, IF(C622="Sell",M622-Q622-T622, X)))</f>
        <v/>
      </c>
      <c r="V622" s="81">
        <f>IF(ISBLANK(P622),"",U622/N622)</f>
        <v/>
      </c>
      <c r="W622" s="81">
        <f>IF(ISBLANK(P622),"",IF(S622=0,(365/0.5)*V622,(365/S622)*V622))</f>
        <v/>
      </c>
      <c r="X622" s="75" t="n"/>
      <c r="Y622" s="77" t="n"/>
      <c r="Z622" s="77" t="n"/>
      <c r="AA622" s="75" t="n"/>
      <c r="AB622" s="75" t="n"/>
      <c r="AC622" s="6" t="n"/>
      <c r="AD622" s="75" t="n"/>
      <c r="AE622" s="75" t="n"/>
      <c r="AF622" s="75" t="n"/>
    </row>
    <row r="623" ht="15.75" customHeight="1" s="133">
      <c r="A623" s="75" t="n"/>
      <c r="B623" s="75" t="n"/>
      <c r="C623" s="75" t="n"/>
      <c r="D623" s="75" t="n"/>
      <c r="E623" s="76" t="n"/>
      <c r="F623" s="77" t="n"/>
      <c r="G623" s="75" t="n"/>
      <c r="H623" s="75">
        <f>IF(ISBLANK(E623),"",IF(OR(D623="Butterfly",D623="Butterfly ",D623="Iron Fly", D623="Iron Fly "),LEN(E623)-LEN(SUBSTITUTE(E623,"/",""))+2,LEN(E623)-LEN(SUBSTITUTE(E623,"/",""))+1))</f>
        <v/>
      </c>
      <c r="I623" s="78">
        <f>IF(ISBLANK(G623),"",IF(D623="Stock","0",Key!$A$3*H623*G623))</f>
        <v/>
      </c>
      <c r="J623" s="78">
        <f>IF(ISBLANK(E623),"",IF(ISNUMBER(SEARCH("/",E623)), IF(LEN(E623)-LEN(SUBSTITUTE(E623,"/",""))=1,(RIGHT(E623,LEN(E623)-FIND("/",E623)))-(LEFT(E623,FIND("/",E623)-1)),(MID(E623, SEARCH("/",E623) + 1, SEARCH("/",E623, SEARCH("/",E623)+1) - SEARCH("/",E623) - 1))-(LEFT(E623,FIND("/",E623)-1))), "NA"))</f>
        <v/>
      </c>
      <c r="K623" s="79">
        <f>IF(A623&lt;&gt;"", IF(ISBLANK(L623), TODAY(), K623), "")</f>
        <v/>
      </c>
      <c r="L623" s="78" t="n"/>
      <c r="M623" s="78">
        <f>IF(ISBLANK(L623),"",IF(D623="Stock",IF(C623="Buy",L623*G623,IF(C623="Sell",(L623*G623)-I623, X)),IF(C623="Buy",(L623*G623*100)+I623,IF(C623="Sell",(L623*G623*100)-I623, X))))</f>
        <v/>
      </c>
      <c r="N623" s="78">
        <f>IF(ISBLANK(L623),"",IF(AND(C623="Sell",D623="Stock"),M623,IF(ISBLANK(L623),"",IF(C623="Buy",M623, IF(AND(C623="Sell",J623="NA"),(E623*G623*100*0.1)+I623, IF(C623="Sell",(J623-L623)*(100*G623)+I623))))))</f>
        <v/>
      </c>
      <c r="O623" s="75" t="n"/>
      <c r="P623" s="75" t="n"/>
      <c r="Q623" s="75">
        <f>IF(ISBLANK(P623),"",IF(D623="Stock",P623*G623,IF(P623=0,"0",G623*P623*100-(G623*$AF$14))))</f>
        <v/>
      </c>
      <c r="R623" s="79">
        <f>IF(P623&lt;&gt;"", TODAY(), "")</f>
        <v/>
      </c>
      <c r="S623" s="78">
        <f>IF(AND(K623&lt;&gt;"", R623&lt;&gt;""), R623-K623, "")</f>
        <v/>
      </c>
      <c r="T623" s="78" t="n"/>
      <c r="U623" s="92">
        <f>IF(ISBLANK(P623),"",IF(C623="Buy",Q623-M623+T623, IF(C623="Sell",M623-Q623-T623, X)))</f>
        <v/>
      </c>
      <c r="V623" s="81">
        <f>IF(ISBLANK(P623),"",U623/N623)</f>
        <v/>
      </c>
      <c r="W623" s="81">
        <f>IF(ISBLANK(P623),"",IF(S623=0,(365/0.5)*V623,(365/S623)*V623))</f>
        <v/>
      </c>
      <c r="X623" s="75" t="n"/>
      <c r="Y623" s="77" t="n"/>
      <c r="Z623" s="77" t="n"/>
      <c r="AA623" s="75" t="n"/>
      <c r="AB623" s="75" t="n"/>
      <c r="AC623" s="6" t="n"/>
      <c r="AD623" s="75" t="n"/>
      <c r="AE623" s="75" t="n"/>
      <c r="AF623" s="75" t="n"/>
    </row>
    <row r="624" ht="15.75" customHeight="1" s="133">
      <c r="A624" s="75" t="n"/>
      <c r="B624" s="75" t="n"/>
      <c r="C624" s="75" t="n"/>
      <c r="D624" s="75" t="n"/>
      <c r="E624" s="76" t="n"/>
      <c r="F624" s="77" t="n"/>
      <c r="G624" s="75" t="n"/>
      <c r="H624" s="75">
        <f>IF(ISBLANK(E624),"",IF(OR(D624="Butterfly",D624="Butterfly ",D624="Iron Fly", D624="Iron Fly "),LEN(E624)-LEN(SUBSTITUTE(E624,"/",""))+2,LEN(E624)-LEN(SUBSTITUTE(E624,"/",""))+1))</f>
        <v/>
      </c>
      <c r="I624" s="78">
        <f>IF(ISBLANK(G624),"",IF(D624="Stock","0",Key!$A$3*H624*G624))</f>
        <v/>
      </c>
      <c r="J624" s="78">
        <f>IF(ISBLANK(E624),"",IF(ISNUMBER(SEARCH("/",E624)), IF(LEN(E624)-LEN(SUBSTITUTE(E624,"/",""))=1,(RIGHT(E624,LEN(E624)-FIND("/",E624)))-(LEFT(E624,FIND("/",E624)-1)),(MID(E624, SEARCH("/",E624) + 1, SEARCH("/",E624, SEARCH("/",E624)+1) - SEARCH("/",E624) - 1))-(LEFT(E624,FIND("/",E624)-1))), "NA"))</f>
        <v/>
      </c>
      <c r="K624" s="79">
        <f>IF(A624&lt;&gt;"", IF(ISBLANK(L624), TODAY(), K624), "")</f>
        <v/>
      </c>
      <c r="L624" s="78" t="n"/>
      <c r="M624" s="78">
        <f>IF(ISBLANK(L624),"",IF(D624="Stock",IF(C624="Buy",L624*G624,IF(C624="Sell",(L624*G624)-I624, X)),IF(C624="Buy",(L624*G624*100)+I624,IF(C624="Sell",(L624*G624*100)-I624, X))))</f>
        <v/>
      </c>
      <c r="N624" s="78">
        <f>IF(ISBLANK(L624),"",IF(AND(C624="Sell",D624="Stock"),M624,IF(ISBLANK(L624),"",IF(C624="Buy",M624, IF(AND(C624="Sell",J624="NA"),(E624*G624*100*0.1)+I624, IF(C624="Sell",(J624-L624)*(100*G624)+I624))))))</f>
        <v/>
      </c>
      <c r="O624" s="75" t="n"/>
      <c r="P624" s="75" t="n"/>
      <c r="Q624" s="75">
        <f>IF(ISBLANK(P624),"",IF(D624="Stock",P624*G624,IF(P624=0,"0",G624*P624*100-(G624*$AF$14))))</f>
        <v/>
      </c>
      <c r="R624" s="79">
        <f>IF(P624&lt;&gt;"", TODAY(), "")</f>
        <v/>
      </c>
      <c r="S624" s="78">
        <f>IF(AND(K624&lt;&gt;"", R624&lt;&gt;""), R624-K624, "")</f>
        <v/>
      </c>
      <c r="T624" s="78" t="n"/>
      <c r="U624" s="92">
        <f>IF(ISBLANK(P624),"",IF(C624="Buy",Q624-M624+T624, IF(C624="Sell",M624-Q624-T624, X)))</f>
        <v/>
      </c>
      <c r="V624" s="81">
        <f>IF(ISBLANK(P624),"",U624/N624)</f>
        <v/>
      </c>
      <c r="W624" s="81">
        <f>IF(ISBLANK(P624),"",IF(S624=0,(365/0.5)*V624,(365/S624)*V624))</f>
        <v/>
      </c>
      <c r="X624" s="75" t="n"/>
      <c r="Y624" s="77" t="n"/>
      <c r="Z624" s="77" t="n"/>
      <c r="AA624" s="75" t="n"/>
      <c r="AB624" s="75" t="n"/>
      <c r="AC624" s="6" t="n"/>
      <c r="AD624" s="75" t="n"/>
      <c r="AE624" s="75" t="n"/>
      <c r="AF624" s="75" t="n"/>
    </row>
    <row r="625" ht="15.75" customHeight="1" s="133">
      <c r="A625" s="75" t="n"/>
      <c r="B625" s="75" t="n"/>
      <c r="C625" s="75" t="n"/>
      <c r="D625" s="75" t="n"/>
      <c r="E625" s="76" t="n"/>
      <c r="F625" s="77" t="n"/>
      <c r="G625" s="75" t="n"/>
      <c r="H625" s="75">
        <f>IF(ISBLANK(E625),"",IF(OR(D625="Butterfly",D625="Butterfly ",D625="Iron Fly", D625="Iron Fly "),LEN(E625)-LEN(SUBSTITUTE(E625,"/",""))+2,LEN(E625)-LEN(SUBSTITUTE(E625,"/",""))+1))</f>
        <v/>
      </c>
      <c r="I625" s="78">
        <f>IF(ISBLANK(G625),"",IF(D625="Stock","0",Key!$A$3*H625*G625))</f>
        <v/>
      </c>
      <c r="J625" s="78">
        <f>IF(ISBLANK(E625),"",IF(ISNUMBER(SEARCH("/",E625)), IF(LEN(E625)-LEN(SUBSTITUTE(E625,"/",""))=1,(RIGHT(E625,LEN(E625)-FIND("/",E625)))-(LEFT(E625,FIND("/",E625)-1)),(MID(E625, SEARCH("/",E625) + 1, SEARCH("/",E625, SEARCH("/",E625)+1) - SEARCH("/",E625) - 1))-(LEFT(E625,FIND("/",E625)-1))), "NA"))</f>
        <v/>
      </c>
      <c r="K625" s="79">
        <f>IF(A625&lt;&gt;"", IF(ISBLANK(L625), TODAY(), K625), "")</f>
        <v/>
      </c>
      <c r="L625" s="78" t="n"/>
      <c r="M625" s="78">
        <f>IF(ISBLANK(L625),"",IF(D625="Stock",IF(C625="Buy",L625*G625,IF(C625="Sell",(L625*G625)-I625, X)),IF(C625="Buy",(L625*G625*100)+I625,IF(C625="Sell",(L625*G625*100)-I625, X))))</f>
        <v/>
      </c>
      <c r="N625" s="78">
        <f>IF(ISBLANK(L625),"",IF(AND(C625="Sell",D625="Stock"),M625,IF(ISBLANK(L625),"",IF(C625="Buy",M625, IF(AND(C625="Sell",J625="NA"),(E625*G625*100*0.1)+I625, IF(C625="Sell",(J625-L625)*(100*G625)+I625))))))</f>
        <v/>
      </c>
      <c r="O625" s="75" t="n"/>
      <c r="P625" s="75" t="n"/>
      <c r="Q625" s="75">
        <f>IF(ISBLANK(P625),"",IF(D625="Stock",P625*G625,IF(P625=0,"0",G625*P625*100-(G625*$AF$14))))</f>
        <v/>
      </c>
      <c r="R625" s="79">
        <f>IF(P625&lt;&gt;"", TODAY(), "")</f>
        <v/>
      </c>
      <c r="S625" s="78">
        <f>IF(AND(K625&lt;&gt;"", R625&lt;&gt;""), R625-K625, "")</f>
        <v/>
      </c>
      <c r="T625" s="78" t="n"/>
      <c r="U625" s="92">
        <f>IF(ISBLANK(P625),"",IF(C625="Buy",Q625-M625+T625, IF(C625="Sell",M625-Q625-T625, X)))</f>
        <v/>
      </c>
      <c r="V625" s="81">
        <f>IF(ISBLANK(P625),"",U625/N625)</f>
        <v/>
      </c>
      <c r="W625" s="81">
        <f>IF(ISBLANK(P625),"",IF(S625=0,(365/0.5)*V625,(365/S625)*V625))</f>
        <v/>
      </c>
      <c r="X625" s="75" t="n"/>
      <c r="Y625" s="77" t="n"/>
      <c r="Z625" s="77" t="n"/>
      <c r="AA625" s="75" t="n"/>
      <c r="AB625" s="75" t="n"/>
      <c r="AC625" s="6" t="n"/>
      <c r="AD625" s="75" t="n"/>
      <c r="AE625" s="75" t="n"/>
      <c r="AF625" s="75" t="n"/>
    </row>
    <row r="626" ht="15.75" customHeight="1" s="133">
      <c r="A626" s="75" t="n"/>
      <c r="B626" s="75" t="n"/>
      <c r="C626" s="75" t="n"/>
      <c r="D626" s="75" t="n"/>
      <c r="E626" s="76" t="n"/>
      <c r="F626" s="77" t="n"/>
      <c r="G626" s="75" t="n"/>
      <c r="H626" s="75">
        <f>IF(ISBLANK(E626),"",IF(OR(D626="Butterfly",D626="Butterfly ",D626="Iron Fly", D626="Iron Fly "),LEN(E626)-LEN(SUBSTITUTE(E626,"/",""))+2,LEN(E626)-LEN(SUBSTITUTE(E626,"/",""))+1))</f>
        <v/>
      </c>
      <c r="I626" s="78">
        <f>IF(ISBLANK(G626),"",IF(D626="Stock","0",Key!$A$3*H626*G626))</f>
        <v/>
      </c>
      <c r="J626" s="78">
        <f>IF(ISBLANK(E626),"",IF(ISNUMBER(SEARCH("/",E626)), IF(LEN(E626)-LEN(SUBSTITUTE(E626,"/",""))=1,(RIGHT(E626,LEN(E626)-FIND("/",E626)))-(LEFT(E626,FIND("/",E626)-1)),(MID(E626, SEARCH("/",E626) + 1, SEARCH("/",E626, SEARCH("/",E626)+1) - SEARCH("/",E626) - 1))-(LEFT(E626,FIND("/",E626)-1))), "NA"))</f>
        <v/>
      </c>
      <c r="K626" s="79">
        <f>IF(A626&lt;&gt;"", IF(ISBLANK(L626), TODAY(), K626), "")</f>
        <v/>
      </c>
      <c r="L626" s="78" t="n"/>
      <c r="M626" s="78">
        <f>IF(ISBLANK(L626),"",IF(D626="Stock",IF(C626="Buy",L626*G626,IF(C626="Sell",(L626*G626)-I626, X)),IF(C626="Buy",(L626*G626*100)+I626,IF(C626="Sell",(L626*G626*100)-I626, X))))</f>
        <v/>
      </c>
      <c r="N626" s="78">
        <f>IF(ISBLANK(L626),"",IF(AND(C626="Sell",D626="Stock"),M626,IF(ISBLANK(L626),"",IF(C626="Buy",M626, IF(AND(C626="Sell",J626="NA"),(E626*G626*100*0.1)+I626, IF(C626="Sell",(J626-L626)*(100*G626)+I626))))))</f>
        <v/>
      </c>
      <c r="O626" s="75" t="n"/>
      <c r="P626" s="75" t="n"/>
      <c r="Q626" s="75">
        <f>IF(ISBLANK(P626),"",IF(D626="Stock",P626*G626,IF(P626=0,"0",G626*P626*100-(G626*$AF$14))))</f>
        <v/>
      </c>
      <c r="R626" s="79">
        <f>IF(P626&lt;&gt;"", TODAY(), "")</f>
        <v/>
      </c>
      <c r="S626" s="78">
        <f>IF(AND(K626&lt;&gt;"", R626&lt;&gt;""), R626-K626, "")</f>
        <v/>
      </c>
      <c r="T626" s="78" t="n"/>
      <c r="U626" s="92">
        <f>IF(ISBLANK(P626),"",IF(C626="Buy",Q626-M626+T626, IF(C626="Sell",M626-Q626-T626, X)))</f>
        <v/>
      </c>
      <c r="V626" s="81">
        <f>IF(ISBLANK(P626),"",U626/N626)</f>
        <v/>
      </c>
      <c r="W626" s="81">
        <f>IF(ISBLANK(P626),"",IF(S626=0,(365/0.5)*V626,(365/S626)*V626))</f>
        <v/>
      </c>
      <c r="X626" s="75" t="n"/>
      <c r="Y626" s="77" t="n"/>
      <c r="Z626" s="77" t="n"/>
      <c r="AA626" s="75" t="n"/>
      <c r="AB626" s="75" t="n"/>
      <c r="AC626" s="6" t="n"/>
      <c r="AD626" s="75" t="n"/>
      <c r="AE626" s="75" t="n"/>
      <c r="AF626" s="75" t="n"/>
    </row>
    <row r="627" ht="15.75" customHeight="1" s="133">
      <c r="A627" s="75" t="n"/>
      <c r="B627" s="75" t="n"/>
      <c r="C627" s="75" t="n"/>
      <c r="D627" s="75" t="n"/>
      <c r="E627" s="76" t="n"/>
      <c r="F627" s="77" t="n"/>
      <c r="G627" s="75" t="n"/>
      <c r="H627" s="75">
        <f>IF(ISBLANK(E627),"",IF(OR(D627="Butterfly",D627="Butterfly ",D627="Iron Fly", D627="Iron Fly "),LEN(E627)-LEN(SUBSTITUTE(E627,"/",""))+2,LEN(E627)-LEN(SUBSTITUTE(E627,"/",""))+1))</f>
        <v/>
      </c>
      <c r="I627" s="78">
        <f>IF(ISBLANK(G627),"",IF(D627="Stock","0",Key!$A$3*H627*G627))</f>
        <v/>
      </c>
      <c r="J627" s="78">
        <f>IF(ISBLANK(E627),"",IF(ISNUMBER(SEARCH("/",E627)), IF(LEN(E627)-LEN(SUBSTITUTE(E627,"/",""))=1,(RIGHT(E627,LEN(E627)-FIND("/",E627)))-(LEFT(E627,FIND("/",E627)-1)),(MID(E627, SEARCH("/",E627) + 1, SEARCH("/",E627, SEARCH("/",E627)+1) - SEARCH("/",E627) - 1))-(LEFT(E627,FIND("/",E627)-1))), "NA"))</f>
        <v/>
      </c>
      <c r="K627" s="79">
        <f>IF(A627&lt;&gt;"", IF(ISBLANK(L627), TODAY(), K627), "")</f>
        <v/>
      </c>
      <c r="L627" s="78" t="n"/>
      <c r="M627" s="78">
        <f>IF(ISBLANK(L627),"",IF(D627="Stock",IF(C627="Buy",L627*G627,IF(C627="Sell",(L627*G627)-I627, X)),IF(C627="Buy",(L627*G627*100)+I627,IF(C627="Sell",(L627*G627*100)-I627, X))))</f>
        <v/>
      </c>
      <c r="N627" s="78">
        <f>IF(ISBLANK(L627),"",IF(AND(C627="Sell",D627="Stock"),M627,IF(ISBLANK(L627),"",IF(C627="Buy",M627, IF(AND(C627="Sell",J627="NA"),(E627*G627*100*0.1)+I627, IF(C627="Sell",(J627-L627)*(100*G627)+I627))))))</f>
        <v/>
      </c>
      <c r="O627" s="75" t="n"/>
      <c r="P627" s="75" t="n"/>
      <c r="Q627" s="75">
        <f>IF(ISBLANK(P627),"",IF(D627="Stock",P627*G627,IF(P627=0,"0",G627*P627*100-(G627*$AF$14))))</f>
        <v/>
      </c>
      <c r="R627" s="79">
        <f>IF(P627&lt;&gt;"", TODAY(), "")</f>
        <v/>
      </c>
      <c r="S627" s="78">
        <f>IF(AND(K627&lt;&gt;"", R627&lt;&gt;""), R627-K627, "")</f>
        <v/>
      </c>
      <c r="T627" s="78" t="n"/>
      <c r="U627" s="92">
        <f>IF(ISBLANK(P627),"",IF(C627="Buy",Q627-M627+T627, IF(C627="Sell",M627-Q627-T627, X)))</f>
        <v/>
      </c>
      <c r="V627" s="81">
        <f>IF(ISBLANK(P627),"",U627/N627)</f>
        <v/>
      </c>
      <c r="W627" s="81">
        <f>IF(ISBLANK(P627),"",IF(S627=0,(365/0.5)*V627,(365/S627)*V627))</f>
        <v/>
      </c>
      <c r="X627" s="75" t="n"/>
      <c r="Y627" s="77" t="n"/>
      <c r="Z627" s="77" t="n"/>
      <c r="AA627" s="75" t="n"/>
      <c r="AB627" s="75" t="n"/>
      <c r="AC627" s="6" t="n"/>
      <c r="AD627" s="75" t="n"/>
      <c r="AE627" s="75" t="n"/>
      <c r="AF627" s="75" t="n"/>
    </row>
    <row r="628" ht="15.75" customHeight="1" s="133">
      <c r="A628" s="75" t="n"/>
      <c r="B628" s="75" t="n"/>
      <c r="C628" s="75" t="n"/>
      <c r="D628" s="75" t="n"/>
      <c r="E628" s="76" t="n"/>
      <c r="F628" s="77" t="n"/>
      <c r="G628" s="75" t="n"/>
      <c r="H628" s="75">
        <f>IF(ISBLANK(E628),"",IF(OR(D628="Butterfly",D628="Butterfly ",D628="Iron Fly", D628="Iron Fly "),LEN(E628)-LEN(SUBSTITUTE(E628,"/",""))+2,LEN(E628)-LEN(SUBSTITUTE(E628,"/",""))+1))</f>
        <v/>
      </c>
      <c r="I628" s="78">
        <f>IF(ISBLANK(G628),"",IF(D628="Stock","0",Key!$A$3*H628*G628))</f>
        <v/>
      </c>
      <c r="J628" s="78">
        <f>IF(ISBLANK(E628),"",IF(ISNUMBER(SEARCH("/",E628)), IF(LEN(E628)-LEN(SUBSTITUTE(E628,"/",""))=1,(RIGHT(E628,LEN(E628)-FIND("/",E628)))-(LEFT(E628,FIND("/",E628)-1)),(MID(E628, SEARCH("/",E628) + 1, SEARCH("/",E628, SEARCH("/",E628)+1) - SEARCH("/",E628) - 1))-(LEFT(E628,FIND("/",E628)-1))), "NA"))</f>
        <v/>
      </c>
      <c r="K628" s="79">
        <f>IF(A628&lt;&gt;"", IF(ISBLANK(L628), TODAY(), K628), "")</f>
        <v/>
      </c>
      <c r="L628" s="78" t="n"/>
      <c r="M628" s="78">
        <f>IF(ISBLANK(L628),"",IF(D628="Stock",IF(C628="Buy",L628*G628,IF(C628="Sell",(L628*G628)-I628, X)),IF(C628="Buy",(L628*G628*100)+I628,IF(C628="Sell",(L628*G628*100)-I628, X))))</f>
        <v/>
      </c>
      <c r="N628" s="78">
        <f>IF(ISBLANK(L628),"",IF(AND(C628="Sell",D628="Stock"),M628,IF(ISBLANK(L628),"",IF(C628="Buy",M628, IF(AND(C628="Sell",J628="NA"),(E628*G628*100*0.1)+I628, IF(C628="Sell",(J628-L628)*(100*G628)+I628))))))</f>
        <v/>
      </c>
      <c r="O628" s="75" t="n"/>
      <c r="P628" s="75" t="n"/>
      <c r="Q628" s="75">
        <f>IF(ISBLANK(P628),"",IF(D628="Stock",P628*G628,IF(P628=0,"0",G628*P628*100-(G628*$AF$14))))</f>
        <v/>
      </c>
      <c r="R628" s="79">
        <f>IF(P628&lt;&gt;"", TODAY(), "")</f>
        <v/>
      </c>
      <c r="S628" s="78">
        <f>IF(AND(K628&lt;&gt;"", R628&lt;&gt;""), R628-K628, "")</f>
        <v/>
      </c>
      <c r="T628" s="78" t="n"/>
      <c r="U628" s="92">
        <f>IF(ISBLANK(P628),"",IF(C628="Buy",Q628-M628+T628, IF(C628="Sell",M628-Q628-T628, X)))</f>
        <v/>
      </c>
      <c r="V628" s="81">
        <f>IF(ISBLANK(P628),"",U628/N628)</f>
        <v/>
      </c>
      <c r="W628" s="81">
        <f>IF(ISBLANK(P628),"",IF(S628=0,(365/0.5)*V628,(365/S628)*V628))</f>
        <v/>
      </c>
      <c r="X628" s="75" t="n"/>
      <c r="Y628" s="77" t="n"/>
      <c r="Z628" s="77" t="n"/>
      <c r="AA628" s="75" t="n"/>
      <c r="AB628" s="75" t="n"/>
      <c r="AC628" s="6" t="n"/>
      <c r="AD628" s="75" t="n"/>
      <c r="AE628" s="75" t="n"/>
      <c r="AF628" s="75" t="n"/>
    </row>
    <row r="629" ht="15.75" customHeight="1" s="133">
      <c r="A629" s="75" t="n"/>
      <c r="B629" s="75" t="n"/>
      <c r="C629" s="75" t="n"/>
      <c r="D629" s="75" t="n"/>
      <c r="E629" s="76" t="n"/>
      <c r="F629" s="77" t="n"/>
      <c r="G629" s="75" t="n"/>
      <c r="H629" s="75">
        <f>IF(ISBLANK(E629),"",IF(OR(D629="Butterfly",D629="Butterfly ",D629="Iron Fly", D629="Iron Fly "),LEN(E629)-LEN(SUBSTITUTE(E629,"/",""))+2,LEN(E629)-LEN(SUBSTITUTE(E629,"/",""))+1))</f>
        <v/>
      </c>
      <c r="I629" s="78">
        <f>IF(ISBLANK(G629),"",IF(D629="Stock","0",Key!$A$3*H629*G629))</f>
        <v/>
      </c>
      <c r="J629" s="78">
        <f>IF(ISBLANK(E629),"",IF(ISNUMBER(SEARCH("/",E629)), IF(LEN(E629)-LEN(SUBSTITUTE(E629,"/",""))=1,(RIGHT(E629,LEN(E629)-FIND("/",E629)))-(LEFT(E629,FIND("/",E629)-1)),(MID(E629, SEARCH("/",E629) + 1, SEARCH("/",E629, SEARCH("/",E629)+1) - SEARCH("/",E629) - 1))-(LEFT(E629,FIND("/",E629)-1))), "NA"))</f>
        <v/>
      </c>
      <c r="K629" s="79">
        <f>IF(A629&lt;&gt;"", IF(ISBLANK(L629), TODAY(), K629), "")</f>
        <v/>
      </c>
      <c r="L629" s="78" t="n"/>
      <c r="M629" s="78">
        <f>IF(ISBLANK(L629),"",IF(D629="Stock",IF(C629="Buy",L629*G629,IF(C629="Sell",(L629*G629)-I629, X)),IF(C629="Buy",(L629*G629*100)+I629,IF(C629="Sell",(L629*G629*100)-I629, X))))</f>
        <v/>
      </c>
      <c r="N629" s="78">
        <f>IF(ISBLANK(L629),"",IF(AND(C629="Sell",D629="Stock"),M629,IF(ISBLANK(L629),"",IF(C629="Buy",M629, IF(AND(C629="Sell",J629="NA"),(E629*G629*100*0.1)+I629, IF(C629="Sell",(J629-L629)*(100*G629)+I629))))))</f>
        <v/>
      </c>
      <c r="O629" s="75" t="n"/>
      <c r="P629" s="75" t="n"/>
      <c r="Q629" s="75">
        <f>IF(ISBLANK(P629),"",IF(D629="Stock",P629*G629,IF(P629=0,"0",G629*P629*100-(G629*$AF$14))))</f>
        <v/>
      </c>
      <c r="R629" s="79">
        <f>IF(P629&lt;&gt;"", TODAY(), "")</f>
        <v/>
      </c>
      <c r="S629" s="78">
        <f>IF(AND(K629&lt;&gt;"", R629&lt;&gt;""), R629-K629, "")</f>
        <v/>
      </c>
      <c r="T629" s="78" t="n"/>
      <c r="U629" s="92">
        <f>IF(ISBLANK(P629),"",IF(C629="Buy",Q629-M629+T629, IF(C629="Sell",M629-Q629-T629, X)))</f>
        <v/>
      </c>
      <c r="V629" s="81">
        <f>IF(ISBLANK(P629),"",U629/N629)</f>
        <v/>
      </c>
      <c r="W629" s="81">
        <f>IF(ISBLANK(P629),"",IF(S629=0,(365/0.5)*V629,(365/S629)*V629))</f>
        <v/>
      </c>
      <c r="X629" s="75" t="n"/>
      <c r="Y629" s="77" t="n"/>
      <c r="Z629" s="77" t="n"/>
      <c r="AA629" s="75" t="n"/>
      <c r="AB629" s="75" t="n"/>
      <c r="AC629" s="6" t="n"/>
      <c r="AD629" s="75" t="n"/>
      <c r="AE629" s="75" t="n"/>
      <c r="AF629" s="75" t="n"/>
    </row>
    <row r="630" ht="15.75" customHeight="1" s="133">
      <c r="A630" s="75" t="n"/>
      <c r="B630" s="75" t="n"/>
      <c r="C630" s="75" t="n"/>
      <c r="D630" s="75" t="n"/>
      <c r="E630" s="76" t="n"/>
      <c r="F630" s="77" t="n"/>
      <c r="G630" s="75" t="n"/>
      <c r="H630" s="75">
        <f>IF(ISBLANK(E630),"",IF(OR(D630="Butterfly",D630="Butterfly ",D630="Iron Fly", D630="Iron Fly "),LEN(E630)-LEN(SUBSTITUTE(E630,"/",""))+2,LEN(E630)-LEN(SUBSTITUTE(E630,"/",""))+1))</f>
        <v/>
      </c>
      <c r="I630" s="78">
        <f>IF(ISBLANK(G630),"",IF(D630="Stock","0",Key!$A$3*H630*G630))</f>
        <v/>
      </c>
      <c r="J630" s="78">
        <f>IF(ISBLANK(E630),"",IF(ISNUMBER(SEARCH("/",E630)), IF(LEN(E630)-LEN(SUBSTITUTE(E630,"/",""))=1,(RIGHT(E630,LEN(E630)-FIND("/",E630)))-(LEFT(E630,FIND("/",E630)-1)),(MID(E630, SEARCH("/",E630) + 1, SEARCH("/",E630, SEARCH("/",E630)+1) - SEARCH("/",E630) - 1))-(LEFT(E630,FIND("/",E630)-1))), "NA"))</f>
        <v/>
      </c>
      <c r="K630" s="79">
        <f>IF(A630&lt;&gt;"", IF(ISBLANK(L630), TODAY(), K630), "")</f>
        <v/>
      </c>
      <c r="L630" s="78" t="n"/>
      <c r="M630" s="78">
        <f>IF(ISBLANK(L630),"",IF(D630="Stock",IF(C630="Buy",L630*G630,IF(C630="Sell",(L630*G630)-I630, X)),IF(C630="Buy",(L630*G630*100)+I630,IF(C630="Sell",(L630*G630*100)-I630, X))))</f>
        <v/>
      </c>
      <c r="N630" s="78">
        <f>IF(ISBLANK(L630),"",IF(AND(C630="Sell",D630="Stock"),M630,IF(ISBLANK(L630),"",IF(C630="Buy",M630, IF(AND(C630="Sell",J630="NA"),(E630*G630*100*0.1)+I630, IF(C630="Sell",(J630-L630)*(100*G630)+I630))))))</f>
        <v/>
      </c>
      <c r="O630" s="75" t="n"/>
      <c r="P630" s="75" t="n"/>
      <c r="Q630" s="75">
        <f>IF(ISBLANK(P630),"",IF(D630="Stock",P630*G630,IF(P630=0,"0",G630*P630*100-(G630*$AF$14))))</f>
        <v/>
      </c>
      <c r="R630" s="79">
        <f>IF(P630&lt;&gt;"", TODAY(), "")</f>
        <v/>
      </c>
      <c r="S630" s="78">
        <f>IF(AND(K630&lt;&gt;"", R630&lt;&gt;""), R630-K630, "")</f>
        <v/>
      </c>
      <c r="T630" s="78" t="n"/>
      <c r="U630" s="92">
        <f>IF(ISBLANK(P630),"",IF(C630="Buy",Q630-M630+T630, IF(C630="Sell",M630-Q630-T630, X)))</f>
        <v/>
      </c>
      <c r="V630" s="81">
        <f>IF(ISBLANK(P630),"",U630/N630)</f>
        <v/>
      </c>
      <c r="W630" s="81">
        <f>IF(ISBLANK(P630),"",IF(S630=0,(365/0.5)*V630,(365/S630)*V630))</f>
        <v/>
      </c>
      <c r="X630" s="75" t="n"/>
      <c r="Y630" s="77" t="n"/>
      <c r="Z630" s="77" t="n"/>
      <c r="AA630" s="75" t="n"/>
      <c r="AB630" s="75" t="n"/>
      <c r="AC630" s="6" t="n"/>
      <c r="AD630" s="75" t="n"/>
      <c r="AE630" s="75" t="n"/>
      <c r="AF630" s="75" t="n"/>
    </row>
    <row r="631" ht="15.75" customHeight="1" s="133">
      <c r="A631" s="75" t="n"/>
      <c r="B631" s="75" t="n"/>
      <c r="C631" s="75" t="n"/>
      <c r="D631" s="75" t="n"/>
      <c r="E631" s="76" t="n"/>
      <c r="F631" s="77" t="n"/>
      <c r="G631" s="75" t="n"/>
      <c r="H631" s="75">
        <f>IF(ISBLANK(E631),"",IF(OR(D631="Butterfly",D631="Butterfly ",D631="Iron Fly", D631="Iron Fly "),LEN(E631)-LEN(SUBSTITUTE(E631,"/",""))+2,LEN(E631)-LEN(SUBSTITUTE(E631,"/",""))+1))</f>
        <v/>
      </c>
      <c r="I631" s="78">
        <f>IF(ISBLANK(G631),"",IF(D631="Stock","0",Key!$A$3*H631*G631))</f>
        <v/>
      </c>
      <c r="J631" s="78">
        <f>IF(ISBLANK(E631),"",IF(ISNUMBER(SEARCH("/",E631)), IF(LEN(E631)-LEN(SUBSTITUTE(E631,"/",""))=1,(RIGHT(E631,LEN(E631)-FIND("/",E631)))-(LEFT(E631,FIND("/",E631)-1)),(MID(E631, SEARCH("/",E631) + 1, SEARCH("/",E631, SEARCH("/",E631)+1) - SEARCH("/",E631) - 1))-(LEFT(E631,FIND("/",E631)-1))), "NA"))</f>
        <v/>
      </c>
      <c r="K631" s="79">
        <f>IF(A631&lt;&gt;"", IF(ISBLANK(L631), TODAY(), K631), "")</f>
        <v/>
      </c>
      <c r="L631" s="78" t="n"/>
      <c r="M631" s="78">
        <f>IF(ISBLANK(L631),"",IF(D631="Stock",IF(C631="Buy",L631*G631,IF(C631="Sell",(L631*G631)-I631, X)),IF(C631="Buy",(L631*G631*100)+I631,IF(C631="Sell",(L631*G631*100)-I631, X))))</f>
        <v/>
      </c>
      <c r="N631" s="78">
        <f>IF(ISBLANK(L631),"",IF(AND(C631="Sell",D631="Stock"),M631,IF(ISBLANK(L631),"",IF(C631="Buy",M631, IF(AND(C631="Sell",J631="NA"),(E631*G631*100*0.1)+I631, IF(C631="Sell",(J631-L631)*(100*G631)+I631))))))</f>
        <v/>
      </c>
      <c r="O631" s="75" t="n"/>
      <c r="P631" s="75" t="n"/>
      <c r="Q631" s="75">
        <f>IF(ISBLANK(P631),"",IF(D631="Stock",P631*G631,IF(P631=0,"0",G631*P631*100-(G631*$AF$14))))</f>
        <v/>
      </c>
      <c r="R631" s="79">
        <f>IF(P631&lt;&gt;"", TODAY(), "")</f>
        <v/>
      </c>
      <c r="S631" s="78">
        <f>IF(AND(K631&lt;&gt;"", R631&lt;&gt;""), R631-K631, "")</f>
        <v/>
      </c>
      <c r="T631" s="78" t="n"/>
      <c r="U631" s="92">
        <f>IF(ISBLANK(P631),"",IF(C631="Buy",Q631-M631+T631, IF(C631="Sell",M631-Q631-T631, X)))</f>
        <v/>
      </c>
      <c r="V631" s="81">
        <f>IF(ISBLANK(P631),"",U631/N631)</f>
        <v/>
      </c>
      <c r="W631" s="81">
        <f>IF(ISBLANK(P631),"",IF(S631=0,(365/0.5)*V631,(365/S631)*V631))</f>
        <v/>
      </c>
      <c r="X631" s="75" t="n"/>
      <c r="Y631" s="77" t="n"/>
      <c r="Z631" s="77" t="n"/>
      <c r="AA631" s="75" t="n"/>
      <c r="AB631" s="75" t="n"/>
      <c r="AC631" s="6" t="n"/>
      <c r="AD631" s="75" t="n"/>
      <c r="AE631" s="75" t="n"/>
      <c r="AF631" s="75" t="n"/>
    </row>
    <row r="632" ht="15.75" customHeight="1" s="133">
      <c r="A632" s="75" t="n"/>
      <c r="B632" s="75" t="n"/>
      <c r="C632" s="75" t="n"/>
      <c r="D632" s="75" t="n"/>
      <c r="E632" s="76" t="n"/>
      <c r="F632" s="77" t="n"/>
      <c r="G632" s="75" t="n"/>
      <c r="H632" s="75">
        <f>IF(ISBLANK(E632),"",IF(OR(D632="Butterfly",D632="Butterfly ",D632="Iron Fly", D632="Iron Fly "),LEN(E632)-LEN(SUBSTITUTE(E632,"/",""))+2,LEN(E632)-LEN(SUBSTITUTE(E632,"/",""))+1))</f>
        <v/>
      </c>
      <c r="I632" s="78">
        <f>IF(ISBLANK(G632),"",IF(D632="Stock","0",Key!$A$3*H632*G632))</f>
        <v/>
      </c>
      <c r="J632" s="78">
        <f>IF(ISBLANK(E632),"",IF(ISNUMBER(SEARCH("/",E632)), IF(LEN(E632)-LEN(SUBSTITUTE(E632,"/",""))=1,(RIGHT(E632,LEN(E632)-FIND("/",E632)))-(LEFT(E632,FIND("/",E632)-1)),(MID(E632, SEARCH("/",E632) + 1, SEARCH("/",E632, SEARCH("/",E632)+1) - SEARCH("/",E632) - 1))-(LEFT(E632,FIND("/",E632)-1))), "NA"))</f>
        <v/>
      </c>
      <c r="K632" s="79">
        <f>IF(A632&lt;&gt;"", IF(ISBLANK(L632), TODAY(), K632), "")</f>
        <v/>
      </c>
      <c r="L632" s="78" t="n"/>
      <c r="M632" s="78">
        <f>IF(ISBLANK(L632),"",IF(D632="Stock",IF(C632="Buy",L632*G632,IF(C632="Sell",(L632*G632)-I632, X)),IF(C632="Buy",(L632*G632*100)+I632,IF(C632="Sell",(L632*G632*100)-I632, X))))</f>
        <v/>
      </c>
      <c r="N632" s="78">
        <f>IF(ISBLANK(L632),"",IF(AND(C632="Sell",D632="Stock"),M632,IF(ISBLANK(L632),"",IF(C632="Buy",M632, IF(AND(C632="Sell",J632="NA"),(E632*G632*100*0.1)+I632, IF(C632="Sell",(J632-L632)*(100*G632)+I632))))))</f>
        <v/>
      </c>
      <c r="O632" s="75" t="n"/>
      <c r="P632" s="75" t="n"/>
      <c r="Q632" s="75">
        <f>IF(ISBLANK(P632),"",IF(D632="Stock",P632*G632,IF(P632=0,"0",G632*P632*100-(G632*$AF$14))))</f>
        <v/>
      </c>
      <c r="R632" s="79">
        <f>IF(P632&lt;&gt;"", TODAY(), "")</f>
        <v/>
      </c>
      <c r="S632" s="78">
        <f>IF(AND(K632&lt;&gt;"", R632&lt;&gt;""), R632-K632, "")</f>
        <v/>
      </c>
      <c r="T632" s="78" t="n"/>
      <c r="U632" s="92">
        <f>IF(ISBLANK(P632),"",IF(C632="Buy",Q632-M632+T632, IF(C632="Sell",M632-Q632-T632, X)))</f>
        <v/>
      </c>
      <c r="V632" s="81">
        <f>IF(ISBLANK(P632),"",U632/N632)</f>
        <v/>
      </c>
      <c r="W632" s="81">
        <f>IF(ISBLANK(P632),"",IF(S632=0,(365/0.5)*V632,(365/S632)*V632))</f>
        <v/>
      </c>
      <c r="X632" s="75" t="n"/>
      <c r="Y632" s="77" t="n"/>
      <c r="Z632" s="77" t="n"/>
      <c r="AA632" s="75" t="n"/>
      <c r="AB632" s="75" t="n"/>
      <c r="AC632" s="6" t="n"/>
      <c r="AD632" s="75" t="n"/>
      <c r="AE632" s="75" t="n"/>
      <c r="AF632" s="75" t="n"/>
    </row>
    <row r="633" ht="15.75" customHeight="1" s="133">
      <c r="A633" s="75" t="n"/>
      <c r="B633" s="75" t="n"/>
      <c r="C633" s="75" t="n"/>
      <c r="D633" s="75" t="n"/>
      <c r="E633" s="76" t="n"/>
      <c r="F633" s="77" t="n"/>
      <c r="G633" s="75" t="n"/>
      <c r="H633" s="75">
        <f>IF(ISBLANK(E633),"",IF(OR(D633="Butterfly",D633="Butterfly ",D633="Iron Fly", D633="Iron Fly "),LEN(E633)-LEN(SUBSTITUTE(E633,"/",""))+2,LEN(E633)-LEN(SUBSTITUTE(E633,"/",""))+1))</f>
        <v/>
      </c>
      <c r="I633" s="78">
        <f>IF(ISBLANK(G633),"",IF(D633="Stock","0",Key!$A$3*H633*G633))</f>
        <v/>
      </c>
      <c r="J633" s="78">
        <f>IF(ISBLANK(E633),"",IF(ISNUMBER(SEARCH("/",E633)), IF(LEN(E633)-LEN(SUBSTITUTE(E633,"/",""))=1,(RIGHT(E633,LEN(E633)-FIND("/",E633)))-(LEFT(E633,FIND("/",E633)-1)),(MID(E633, SEARCH("/",E633) + 1, SEARCH("/",E633, SEARCH("/",E633)+1) - SEARCH("/",E633) - 1))-(LEFT(E633,FIND("/",E633)-1))), "NA"))</f>
        <v/>
      </c>
      <c r="K633" s="79">
        <f>IF(A633&lt;&gt;"", IF(ISBLANK(L633), TODAY(), K633), "")</f>
        <v/>
      </c>
      <c r="L633" s="78" t="n"/>
      <c r="M633" s="78">
        <f>IF(ISBLANK(L633),"",IF(D633="Stock",IF(C633="Buy",L633*G633,IF(C633="Sell",(L633*G633)-I633, X)),IF(C633="Buy",(L633*G633*100)+I633,IF(C633="Sell",(L633*G633*100)-I633, X))))</f>
        <v/>
      </c>
      <c r="N633" s="78">
        <f>IF(ISBLANK(L633),"",IF(AND(C633="Sell",D633="Stock"),M633,IF(ISBLANK(L633),"",IF(C633="Buy",M633, IF(AND(C633="Sell",J633="NA"),(E633*G633*100*0.1)+I633, IF(C633="Sell",(J633-L633)*(100*G633)+I633))))))</f>
        <v/>
      </c>
      <c r="O633" s="75" t="n"/>
      <c r="P633" s="75" t="n"/>
      <c r="Q633" s="75">
        <f>IF(ISBLANK(P633),"",IF(D633="Stock",P633*G633,IF(P633=0,"0",G633*P633*100-(G633*$AF$14))))</f>
        <v/>
      </c>
      <c r="R633" s="79">
        <f>IF(P633&lt;&gt;"", TODAY(), "")</f>
        <v/>
      </c>
      <c r="S633" s="78">
        <f>IF(AND(K633&lt;&gt;"", R633&lt;&gt;""), R633-K633, "")</f>
        <v/>
      </c>
      <c r="T633" s="78" t="n"/>
      <c r="U633" s="92">
        <f>IF(ISBLANK(P633),"",IF(C633="Buy",Q633-M633+T633, IF(C633="Sell",M633-Q633-T633, X)))</f>
        <v/>
      </c>
      <c r="V633" s="81">
        <f>IF(ISBLANK(P633),"",U633/N633)</f>
        <v/>
      </c>
      <c r="W633" s="81">
        <f>IF(ISBLANK(P633),"",IF(S633=0,(365/0.5)*V633,(365/S633)*V633))</f>
        <v/>
      </c>
      <c r="X633" s="75" t="n"/>
      <c r="Y633" s="77" t="n"/>
      <c r="Z633" s="77" t="n"/>
      <c r="AA633" s="75" t="n"/>
      <c r="AB633" s="75" t="n"/>
      <c r="AC633" s="6" t="n"/>
      <c r="AD633" s="75" t="n"/>
      <c r="AE633" s="75" t="n"/>
      <c r="AF633" s="75" t="n"/>
    </row>
    <row r="634" ht="15.75" customHeight="1" s="133">
      <c r="A634" s="75" t="n"/>
      <c r="B634" s="75" t="n"/>
      <c r="C634" s="75" t="n"/>
      <c r="D634" s="75" t="n"/>
      <c r="E634" s="76" t="n"/>
      <c r="F634" s="77" t="n"/>
      <c r="G634" s="75" t="n"/>
      <c r="H634" s="75">
        <f>IF(ISBLANK(E634),"",IF(OR(D634="Butterfly",D634="Butterfly ",D634="Iron Fly", D634="Iron Fly "),LEN(E634)-LEN(SUBSTITUTE(E634,"/",""))+2,LEN(E634)-LEN(SUBSTITUTE(E634,"/",""))+1))</f>
        <v/>
      </c>
      <c r="I634" s="78">
        <f>IF(ISBLANK(G634),"",IF(D634="Stock","0",Key!$A$3*H634*G634))</f>
        <v/>
      </c>
      <c r="J634" s="78">
        <f>IF(ISBLANK(E634),"",IF(ISNUMBER(SEARCH("/",E634)), IF(LEN(E634)-LEN(SUBSTITUTE(E634,"/",""))=1,(RIGHT(E634,LEN(E634)-FIND("/",E634)))-(LEFT(E634,FIND("/",E634)-1)),(MID(E634, SEARCH("/",E634) + 1, SEARCH("/",E634, SEARCH("/",E634)+1) - SEARCH("/",E634) - 1))-(LEFT(E634,FIND("/",E634)-1))), "NA"))</f>
        <v/>
      </c>
      <c r="K634" s="79">
        <f>IF(A634&lt;&gt;"", IF(ISBLANK(L634), TODAY(), K634), "")</f>
        <v/>
      </c>
      <c r="L634" s="78" t="n"/>
      <c r="M634" s="78">
        <f>IF(ISBLANK(L634),"",IF(D634="Stock",IF(C634="Buy",L634*G634,IF(C634="Sell",(L634*G634)-I634, X)),IF(C634="Buy",(L634*G634*100)+I634,IF(C634="Sell",(L634*G634*100)-I634, X))))</f>
        <v/>
      </c>
      <c r="N634" s="78">
        <f>IF(ISBLANK(L634),"",IF(AND(C634="Sell",D634="Stock"),M634,IF(ISBLANK(L634),"",IF(C634="Buy",M634, IF(AND(C634="Sell",J634="NA"),(E634*G634*100*0.1)+I634, IF(C634="Sell",(J634-L634)*(100*G634)+I634))))))</f>
        <v/>
      </c>
      <c r="O634" s="75" t="n"/>
      <c r="P634" s="75" t="n"/>
      <c r="Q634" s="75">
        <f>IF(ISBLANK(P634),"",IF(D634="Stock",P634*G634,IF(P634=0,"0",G634*P634*100-(G634*$AF$14))))</f>
        <v/>
      </c>
      <c r="R634" s="79">
        <f>IF(P634&lt;&gt;"", TODAY(), "")</f>
        <v/>
      </c>
      <c r="S634" s="78">
        <f>IF(AND(K634&lt;&gt;"", R634&lt;&gt;""), R634-K634, "")</f>
        <v/>
      </c>
      <c r="T634" s="78" t="n"/>
      <c r="U634" s="92">
        <f>IF(ISBLANK(P634),"",IF(C634="Buy",Q634-M634+T634, IF(C634="Sell",M634-Q634-T634, X)))</f>
        <v/>
      </c>
      <c r="V634" s="81">
        <f>IF(ISBLANK(P634),"",U634/N634)</f>
        <v/>
      </c>
      <c r="W634" s="81">
        <f>IF(ISBLANK(P634),"",IF(S634=0,(365/0.5)*V634,(365/S634)*V634))</f>
        <v/>
      </c>
      <c r="X634" s="75" t="n"/>
      <c r="Y634" s="77" t="n"/>
      <c r="Z634" s="77" t="n"/>
      <c r="AA634" s="75" t="n"/>
      <c r="AB634" s="75" t="n"/>
      <c r="AC634" s="6" t="n"/>
      <c r="AD634" s="75" t="n"/>
      <c r="AE634" s="75" t="n"/>
      <c r="AF634" s="75" t="n"/>
    </row>
    <row r="635" ht="15.75" customHeight="1" s="133">
      <c r="A635" s="75" t="n"/>
      <c r="B635" s="75" t="n"/>
      <c r="C635" s="75" t="n"/>
      <c r="D635" s="75" t="n"/>
      <c r="E635" s="76" t="n"/>
      <c r="F635" s="77" t="n"/>
      <c r="G635" s="75" t="n"/>
      <c r="H635" s="75">
        <f>IF(ISBLANK(E635),"",IF(OR(D635="Butterfly",D635="Butterfly ",D635="Iron Fly", D635="Iron Fly "),LEN(E635)-LEN(SUBSTITUTE(E635,"/",""))+2,LEN(E635)-LEN(SUBSTITUTE(E635,"/",""))+1))</f>
        <v/>
      </c>
      <c r="I635" s="78">
        <f>IF(ISBLANK(G635),"",IF(D635="Stock","0",Key!$A$3*H635*G635))</f>
        <v/>
      </c>
      <c r="J635" s="78">
        <f>IF(ISBLANK(E635),"",IF(ISNUMBER(SEARCH("/",E635)), IF(LEN(E635)-LEN(SUBSTITUTE(E635,"/",""))=1,(RIGHT(E635,LEN(E635)-FIND("/",E635)))-(LEFT(E635,FIND("/",E635)-1)),(MID(E635, SEARCH("/",E635) + 1, SEARCH("/",E635, SEARCH("/",E635)+1) - SEARCH("/",E635) - 1))-(LEFT(E635,FIND("/",E635)-1))), "NA"))</f>
        <v/>
      </c>
      <c r="K635" s="79">
        <f>IF(A635&lt;&gt;"", IF(ISBLANK(L635), TODAY(), K635), "")</f>
        <v/>
      </c>
      <c r="L635" s="78" t="n"/>
      <c r="M635" s="78">
        <f>IF(ISBLANK(L635),"",IF(D635="Stock",IF(C635="Buy",L635*G635,IF(C635="Sell",(L635*G635)-I635, X)),IF(C635="Buy",(L635*G635*100)+I635,IF(C635="Sell",(L635*G635*100)-I635, X))))</f>
        <v/>
      </c>
      <c r="N635" s="78">
        <f>IF(ISBLANK(L635),"",IF(AND(C635="Sell",D635="Stock"),M635,IF(ISBLANK(L635),"",IF(C635="Buy",M635, IF(AND(C635="Sell",J635="NA"),(E635*G635*100*0.1)+I635, IF(C635="Sell",(J635-L635)*(100*G635)+I635))))))</f>
        <v/>
      </c>
      <c r="O635" s="75" t="n"/>
      <c r="P635" s="75" t="n"/>
      <c r="Q635" s="75">
        <f>IF(ISBLANK(P635),"",IF(D635="Stock",P635*G635,IF(P635=0,"0",G635*P635*100-(G635*$AF$14))))</f>
        <v/>
      </c>
      <c r="R635" s="79">
        <f>IF(P635&lt;&gt;"", TODAY(), "")</f>
        <v/>
      </c>
      <c r="S635" s="78">
        <f>IF(AND(K635&lt;&gt;"", R635&lt;&gt;""), R635-K635, "")</f>
        <v/>
      </c>
      <c r="T635" s="78" t="n"/>
      <c r="U635" s="92">
        <f>IF(ISBLANK(P635),"",IF(C635="Buy",Q635-M635+T635, IF(C635="Sell",M635-Q635-T635, X)))</f>
        <v/>
      </c>
      <c r="V635" s="81">
        <f>IF(ISBLANK(P635),"",U635/N635)</f>
        <v/>
      </c>
      <c r="W635" s="81">
        <f>IF(ISBLANK(P635),"",IF(S635=0,(365/0.5)*V635,(365/S635)*V635))</f>
        <v/>
      </c>
      <c r="X635" s="75" t="n"/>
      <c r="Y635" s="77" t="n"/>
      <c r="Z635" s="77" t="n"/>
      <c r="AA635" s="75" t="n"/>
      <c r="AB635" s="75" t="n"/>
      <c r="AC635" s="6" t="n"/>
      <c r="AD635" s="75" t="n"/>
      <c r="AE635" s="75" t="n"/>
      <c r="AF635" s="75" t="n"/>
    </row>
    <row r="636" ht="15.75" customHeight="1" s="133">
      <c r="A636" s="75" t="n"/>
      <c r="B636" s="75" t="n"/>
      <c r="C636" s="75" t="n"/>
      <c r="D636" s="75" t="n"/>
      <c r="E636" s="76" t="n"/>
      <c r="F636" s="77" t="n"/>
      <c r="G636" s="75" t="n"/>
      <c r="H636" s="75">
        <f>IF(ISBLANK(E636),"",IF(OR(D636="Butterfly",D636="Butterfly ",D636="Iron Fly", D636="Iron Fly "),LEN(E636)-LEN(SUBSTITUTE(E636,"/",""))+2,LEN(E636)-LEN(SUBSTITUTE(E636,"/",""))+1))</f>
        <v/>
      </c>
      <c r="I636" s="78">
        <f>IF(ISBLANK(G636),"",IF(D636="Stock","0",Key!$A$3*H636*G636))</f>
        <v/>
      </c>
      <c r="J636" s="78">
        <f>IF(ISBLANK(E636),"",IF(ISNUMBER(SEARCH("/",E636)), IF(LEN(E636)-LEN(SUBSTITUTE(E636,"/",""))=1,(RIGHT(E636,LEN(E636)-FIND("/",E636)))-(LEFT(E636,FIND("/",E636)-1)),(MID(E636, SEARCH("/",E636) + 1, SEARCH("/",E636, SEARCH("/",E636)+1) - SEARCH("/",E636) - 1))-(LEFT(E636,FIND("/",E636)-1))), "NA"))</f>
        <v/>
      </c>
      <c r="K636" s="79">
        <f>IF(A636&lt;&gt;"", IF(ISBLANK(L636), TODAY(), K636), "")</f>
        <v/>
      </c>
      <c r="L636" s="78" t="n"/>
      <c r="M636" s="78">
        <f>IF(ISBLANK(L636),"",IF(D636="Stock",IF(C636="Buy",L636*G636,IF(C636="Sell",(L636*G636)-I636, X)),IF(C636="Buy",(L636*G636*100)+I636,IF(C636="Sell",(L636*G636*100)-I636, X))))</f>
        <v/>
      </c>
      <c r="N636" s="78">
        <f>IF(ISBLANK(L636),"",IF(AND(C636="Sell",D636="Stock"),M636,IF(ISBLANK(L636),"",IF(C636="Buy",M636, IF(AND(C636="Sell",J636="NA"),(E636*G636*100*0.1)+I636, IF(C636="Sell",(J636-L636)*(100*G636)+I636))))))</f>
        <v/>
      </c>
      <c r="O636" s="75" t="n"/>
      <c r="P636" s="75" t="n"/>
      <c r="Q636" s="75">
        <f>IF(ISBLANK(P636),"",IF(D636="Stock",P636*G636,IF(P636=0,"0",G636*P636*100-(G636*$AF$14))))</f>
        <v/>
      </c>
      <c r="R636" s="79">
        <f>IF(P636&lt;&gt;"", TODAY(), "")</f>
        <v/>
      </c>
      <c r="S636" s="78">
        <f>IF(AND(K636&lt;&gt;"", R636&lt;&gt;""), R636-K636, "")</f>
        <v/>
      </c>
      <c r="T636" s="78" t="n"/>
      <c r="U636" s="92">
        <f>IF(ISBLANK(P636),"",IF(C636="Buy",Q636-M636+T636, IF(C636="Sell",M636-Q636-T636, X)))</f>
        <v/>
      </c>
      <c r="V636" s="81">
        <f>IF(ISBLANK(P636),"",U636/N636)</f>
        <v/>
      </c>
      <c r="W636" s="81">
        <f>IF(ISBLANK(P636),"",IF(S636=0,(365/0.5)*V636,(365/S636)*V636))</f>
        <v/>
      </c>
      <c r="X636" s="75" t="n"/>
      <c r="Y636" s="77" t="n"/>
      <c r="Z636" s="77" t="n"/>
      <c r="AA636" s="75" t="n"/>
      <c r="AB636" s="75" t="n"/>
      <c r="AC636" s="6" t="n"/>
      <c r="AD636" s="75" t="n"/>
      <c r="AE636" s="75" t="n"/>
      <c r="AF636" s="75" t="n"/>
    </row>
    <row r="637" ht="15.75" customHeight="1" s="133">
      <c r="A637" s="75" t="n"/>
      <c r="B637" s="75" t="n"/>
      <c r="C637" s="75" t="n"/>
      <c r="D637" s="75" t="n"/>
      <c r="E637" s="76" t="n"/>
      <c r="F637" s="77" t="n"/>
      <c r="G637" s="75" t="n"/>
      <c r="H637" s="75">
        <f>IF(ISBLANK(E637),"",IF(OR(D637="Butterfly",D637="Butterfly ",D637="Iron Fly", D637="Iron Fly "),LEN(E637)-LEN(SUBSTITUTE(E637,"/",""))+2,LEN(E637)-LEN(SUBSTITUTE(E637,"/",""))+1))</f>
        <v/>
      </c>
      <c r="I637" s="78">
        <f>IF(ISBLANK(G637),"",IF(D637="Stock","0",Key!$A$3*H637*G637))</f>
        <v/>
      </c>
      <c r="J637" s="78">
        <f>IF(ISBLANK(E637),"",IF(ISNUMBER(SEARCH("/",E637)), IF(LEN(E637)-LEN(SUBSTITUTE(E637,"/",""))=1,(RIGHT(E637,LEN(E637)-FIND("/",E637)))-(LEFT(E637,FIND("/",E637)-1)),(MID(E637, SEARCH("/",E637) + 1, SEARCH("/",E637, SEARCH("/",E637)+1) - SEARCH("/",E637) - 1))-(LEFT(E637,FIND("/",E637)-1))), "NA"))</f>
        <v/>
      </c>
      <c r="K637" s="79">
        <f>IF(A637&lt;&gt;"", IF(ISBLANK(L637), TODAY(), K637), "")</f>
        <v/>
      </c>
      <c r="L637" s="78" t="n"/>
      <c r="M637" s="78">
        <f>IF(ISBLANK(L637),"",IF(D637="Stock",IF(C637="Buy",L637*G637,IF(C637="Sell",(L637*G637)-I637, X)),IF(C637="Buy",(L637*G637*100)+I637,IF(C637="Sell",(L637*G637*100)-I637, X))))</f>
        <v/>
      </c>
      <c r="N637" s="78">
        <f>IF(ISBLANK(L637),"",IF(AND(C637="Sell",D637="Stock"),M637,IF(ISBLANK(L637),"",IF(C637="Buy",M637, IF(AND(C637="Sell",J637="NA"),(E637*G637*100*0.1)+I637, IF(C637="Sell",(J637-L637)*(100*G637)+I637))))))</f>
        <v/>
      </c>
      <c r="O637" s="75" t="n"/>
      <c r="P637" s="75" t="n"/>
      <c r="Q637" s="75">
        <f>IF(ISBLANK(P637),"",IF(D637="Stock",P637*G637,IF(P637=0,"0",G637*P637*100-(G637*$AF$14))))</f>
        <v/>
      </c>
      <c r="R637" s="79">
        <f>IF(P637&lt;&gt;"", TODAY(), "")</f>
        <v/>
      </c>
      <c r="S637" s="78">
        <f>IF(AND(K637&lt;&gt;"", R637&lt;&gt;""), R637-K637, "")</f>
        <v/>
      </c>
      <c r="T637" s="78" t="n"/>
      <c r="U637" s="92">
        <f>IF(ISBLANK(P637),"",IF(C637="Buy",Q637-M637+T637, IF(C637="Sell",M637-Q637-T637, X)))</f>
        <v/>
      </c>
      <c r="V637" s="81">
        <f>IF(ISBLANK(P637),"",U637/N637)</f>
        <v/>
      </c>
      <c r="W637" s="81">
        <f>IF(ISBLANK(P637),"",IF(S637=0,(365/0.5)*V637,(365/S637)*V637))</f>
        <v/>
      </c>
      <c r="X637" s="75" t="n"/>
      <c r="Y637" s="77" t="n"/>
      <c r="Z637" s="77" t="n"/>
      <c r="AA637" s="75" t="n"/>
      <c r="AB637" s="75" t="n"/>
      <c r="AC637" s="6" t="n"/>
      <c r="AD637" s="75" t="n"/>
      <c r="AE637" s="75" t="n"/>
      <c r="AF637" s="75" t="n"/>
    </row>
    <row r="638" ht="15.75" customHeight="1" s="133">
      <c r="A638" s="75" t="n"/>
      <c r="B638" s="75" t="n"/>
      <c r="C638" s="75" t="n"/>
      <c r="D638" s="75" t="n"/>
      <c r="E638" s="76" t="n"/>
      <c r="F638" s="77" t="n"/>
      <c r="G638" s="75" t="n"/>
      <c r="H638" s="75">
        <f>IF(ISBLANK(E638),"",IF(OR(D638="Butterfly",D638="Butterfly ",D638="Iron Fly", D638="Iron Fly "),LEN(E638)-LEN(SUBSTITUTE(E638,"/",""))+2,LEN(E638)-LEN(SUBSTITUTE(E638,"/",""))+1))</f>
        <v/>
      </c>
      <c r="I638" s="78">
        <f>IF(ISBLANK(G638),"",IF(D638="Stock","0",Key!$A$3*H638*G638))</f>
        <v/>
      </c>
      <c r="J638" s="78">
        <f>IF(ISBLANK(E638),"",IF(ISNUMBER(SEARCH("/",E638)), IF(LEN(E638)-LEN(SUBSTITUTE(E638,"/",""))=1,(RIGHT(E638,LEN(E638)-FIND("/",E638)))-(LEFT(E638,FIND("/",E638)-1)),(MID(E638, SEARCH("/",E638) + 1, SEARCH("/",E638, SEARCH("/",E638)+1) - SEARCH("/",E638) - 1))-(LEFT(E638,FIND("/",E638)-1))), "NA"))</f>
        <v/>
      </c>
      <c r="K638" s="79">
        <f>IF(A638&lt;&gt;"", IF(ISBLANK(L638), TODAY(), K638), "")</f>
        <v/>
      </c>
      <c r="L638" s="78" t="n"/>
      <c r="M638" s="78">
        <f>IF(ISBLANK(L638),"",IF(D638="Stock",IF(C638="Buy",L638*G638,IF(C638="Sell",(L638*G638)-I638, X)),IF(C638="Buy",(L638*G638*100)+I638,IF(C638="Sell",(L638*G638*100)-I638, X))))</f>
        <v/>
      </c>
      <c r="N638" s="78">
        <f>IF(ISBLANK(L638),"",IF(AND(C638="Sell",D638="Stock"),M638,IF(ISBLANK(L638),"",IF(C638="Buy",M638, IF(AND(C638="Sell",J638="NA"),(E638*G638*100*0.1)+I638, IF(C638="Sell",(J638-L638)*(100*G638)+I638))))))</f>
        <v/>
      </c>
      <c r="O638" s="75" t="n"/>
      <c r="P638" s="75" t="n"/>
      <c r="Q638" s="75">
        <f>IF(ISBLANK(P638),"",IF(D638="Stock",P638*G638,IF(P638=0,"0",G638*P638*100-(G638*$AF$14))))</f>
        <v/>
      </c>
      <c r="R638" s="79">
        <f>IF(P638&lt;&gt;"", TODAY(), "")</f>
        <v/>
      </c>
      <c r="S638" s="78">
        <f>IF(AND(K638&lt;&gt;"", R638&lt;&gt;""), R638-K638, "")</f>
        <v/>
      </c>
      <c r="T638" s="78" t="n"/>
      <c r="U638" s="92">
        <f>IF(ISBLANK(P638),"",IF(C638="Buy",Q638-M638+T638, IF(C638="Sell",M638-Q638-T638, X)))</f>
        <v/>
      </c>
      <c r="V638" s="81">
        <f>IF(ISBLANK(P638),"",U638/N638)</f>
        <v/>
      </c>
      <c r="W638" s="81">
        <f>IF(ISBLANK(P638),"",IF(S638=0,(365/0.5)*V638,(365/S638)*V638))</f>
        <v/>
      </c>
      <c r="X638" s="75" t="n"/>
      <c r="Y638" s="77" t="n"/>
      <c r="Z638" s="77" t="n"/>
      <c r="AA638" s="75" t="n"/>
      <c r="AB638" s="75" t="n"/>
      <c r="AC638" s="6" t="n"/>
      <c r="AD638" s="75" t="n"/>
      <c r="AE638" s="75" t="n"/>
      <c r="AF638" s="75" t="n"/>
    </row>
    <row r="639" ht="15.75" customHeight="1" s="133">
      <c r="A639" s="75" t="n"/>
      <c r="B639" s="75" t="n"/>
      <c r="C639" s="75" t="n"/>
      <c r="D639" s="75" t="n"/>
      <c r="E639" s="76" t="n"/>
      <c r="F639" s="77" t="n"/>
      <c r="G639" s="75" t="n"/>
      <c r="H639" s="75">
        <f>IF(ISBLANK(E639),"",IF(OR(D639="Butterfly",D639="Butterfly ",D639="Iron Fly", D639="Iron Fly "),LEN(E639)-LEN(SUBSTITUTE(E639,"/",""))+2,LEN(E639)-LEN(SUBSTITUTE(E639,"/",""))+1))</f>
        <v/>
      </c>
      <c r="I639" s="78">
        <f>IF(ISBLANK(G639),"",IF(D639="Stock","0",Key!$A$3*H639*G639))</f>
        <v/>
      </c>
      <c r="J639" s="78">
        <f>IF(ISBLANK(E639),"",IF(ISNUMBER(SEARCH("/",E639)), IF(LEN(E639)-LEN(SUBSTITUTE(E639,"/",""))=1,(RIGHT(E639,LEN(E639)-FIND("/",E639)))-(LEFT(E639,FIND("/",E639)-1)),(MID(E639, SEARCH("/",E639) + 1, SEARCH("/",E639, SEARCH("/",E639)+1) - SEARCH("/",E639) - 1))-(LEFT(E639,FIND("/",E639)-1))), "NA"))</f>
        <v/>
      </c>
      <c r="K639" s="79">
        <f>IF(A639&lt;&gt;"", IF(ISBLANK(L639), TODAY(), K639), "")</f>
        <v/>
      </c>
      <c r="L639" s="78" t="n"/>
      <c r="M639" s="78">
        <f>IF(ISBLANK(L639),"",IF(D639="Stock",IF(C639="Buy",L639*G639,IF(C639="Sell",(L639*G639)-I639, X)),IF(C639="Buy",(L639*G639*100)+I639,IF(C639="Sell",(L639*G639*100)-I639, X))))</f>
        <v/>
      </c>
      <c r="N639" s="78">
        <f>IF(ISBLANK(L639),"",IF(AND(C639="Sell",D639="Stock"),M639,IF(ISBLANK(L639),"",IF(C639="Buy",M639, IF(AND(C639="Sell",J639="NA"),(E639*G639*100*0.1)+I639, IF(C639="Sell",(J639-L639)*(100*G639)+I639))))))</f>
        <v/>
      </c>
      <c r="O639" s="75" t="n"/>
      <c r="P639" s="75" t="n"/>
      <c r="Q639" s="75">
        <f>IF(ISBLANK(P639),"",IF(D639="Stock",P639*G639,IF(P639=0,"0",G639*P639*100-(G639*$AF$14))))</f>
        <v/>
      </c>
      <c r="R639" s="79">
        <f>IF(P639&lt;&gt;"", TODAY(), "")</f>
        <v/>
      </c>
      <c r="S639" s="78">
        <f>IF(AND(K639&lt;&gt;"", R639&lt;&gt;""), R639-K639, "")</f>
        <v/>
      </c>
      <c r="T639" s="78" t="n"/>
      <c r="U639" s="92">
        <f>IF(ISBLANK(P639),"",IF(C639="Buy",Q639-M639+T639, IF(C639="Sell",M639-Q639-T639, X)))</f>
        <v/>
      </c>
      <c r="V639" s="81">
        <f>IF(ISBLANK(P639),"",U639/N639)</f>
        <v/>
      </c>
      <c r="W639" s="81">
        <f>IF(ISBLANK(P639),"",IF(S639=0,(365/0.5)*V639,(365/S639)*V639))</f>
        <v/>
      </c>
      <c r="X639" s="75" t="n"/>
      <c r="Y639" s="77" t="n"/>
      <c r="Z639" s="77" t="n"/>
      <c r="AA639" s="75" t="n"/>
      <c r="AB639" s="75" t="n"/>
      <c r="AC639" s="6" t="n"/>
      <c r="AD639" s="75" t="n"/>
      <c r="AE639" s="75" t="n"/>
      <c r="AF639" s="75" t="n"/>
    </row>
    <row r="640" ht="15.75" customHeight="1" s="133">
      <c r="A640" s="75" t="n"/>
      <c r="B640" s="75" t="n"/>
      <c r="C640" s="75" t="n"/>
      <c r="D640" s="75" t="n"/>
      <c r="E640" s="76" t="n"/>
      <c r="F640" s="77" t="n"/>
      <c r="G640" s="75" t="n"/>
      <c r="H640" s="75">
        <f>IF(ISBLANK(E640),"",IF(OR(D640="Butterfly",D640="Butterfly ",D640="Iron Fly", D640="Iron Fly "),LEN(E640)-LEN(SUBSTITUTE(E640,"/",""))+2,LEN(E640)-LEN(SUBSTITUTE(E640,"/",""))+1))</f>
        <v/>
      </c>
      <c r="I640" s="78">
        <f>IF(ISBLANK(G640),"",IF(D640="Stock","0",Key!$A$3*H640*G640))</f>
        <v/>
      </c>
      <c r="J640" s="78">
        <f>IF(ISBLANK(E640),"",IF(ISNUMBER(SEARCH("/",E640)), IF(LEN(E640)-LEN(SUBSTITUTE(E640,"/",""))=1,(RIGHT(E640,LEN(E640)-FIND("/",E640)))-(LEFT(E640,FIND("/",E640)-1)),(MID(E640, SEARCH("/",E640) + 1, SEARCH("/",E640, SEARCH("/",E640)+1) - SEARCH("/",E640) - 1))-(LEFT(E640,FIND("/",E640)-1))), "NA"))</f>
        <v/>
      </c>
      <c r="K640" s="79">
        <f>IF(A640&lt;&gt;"", IF(ISBLANK(L640), TODAY(), K640), "")</f>
        <v/>
      </c>
      <c r="L640" s="78" t="n"/>
      <c r="M640" s="78">
        <f>IF(ISBLANK(L640),"",IF(D640="Stock",IF(C640="Buy",L640*G640,IF(C640="Sell",(L640*G640)-I640, X)),IF(C640="Buy",(L640*G640*100)+I640,IF(C640="Sell",(L640*G640*100)-I640, X))))</f>
        <v/>
      </c>
      <c r="N640" s="78">
        <f>IF(ISBLANK(L640),"",IF(AND(C640="Sell",D640="Stock"),M640,IF(ISBLANK(L640),"",IF(C640="Buy",M640, IF(AND(C640="Sell",J640="NA"),(E640*G640*100*0.1)+I640, IF(C640="Sell",(J640-L640)*(100*G640)+I640))))))</f>
        <v/>
      </c>
      <c r="O640" s="75" t="n"/>
      <c r="P640" s="75" t="n"/>
      <c r="Q640" s="75">
        <f>IF(ISBLANK(P640),"",IF(D640="Stock",P640*G640,IF(P640=0,"0",G640*P640*100-(G640*$AF$14))))</f>
        <v/>
      </c>
      <c r="R640" s="79">
        <f>IF(P640&lt;&gt;"", TODAY(), "")</f>
        <v/>
      </c>
      <c r="S640" s="78">
        <f>IF(AND(K640&lt;&gt;"", R640&lt;&gt;""), R640-K640, "")</f>
        <v/>
      </c>
      <c r="T640" s="78" t="n"/>
      <c r="U640" s="92">
        <f>IF(ISBLANK(P640),"",IF(C640="Buy",Q640-M640+T640, IF(C640="Sell",M640-Q640-T640, X)))</f>
        <v/>
      </c>
      <c r="V640" s="81">
        <f>IF(ISBLANK(P640),"",U640/N640)</f>
        <v/>
      </c>
      <c r="W640" s="81">
        <f>IF(ISBLANK(P640),"",IF(S640=0,(365/0.5)*V640,(365/S640)*V640))</f>
        <v/>
      </c>
      <c r="X640" s="75" t="n"/>
      <c r="Y640" s="77" t="n"/>
      <c r="Z640" s="77" t="n"/>
      <c r="AA640" s="75" t="n"/>
      <c r="AB640" s="75" t="n"/>
      <c r="AC640" s="6" t="n"/>
      <c r="AD640" s="75" t="n"/>
      <c r="AE640" s="75" t="n"/>
      <c r="AF640" s="75" t="n"/>
    </row>
    <row r="641" ht="15.75" customHeight="1" s="133">
      <c r="A641" s="75" t="n"/>
      <c r="B641" s="75" t="n"/>
      <c r="C641" s="75" t="n"/>
      <c r="D641" s="75" t="n"/>
      <c r="E641" s="76" t="n"/>
      <c r="F641" s="77" t="n"/>
      <c r="G641" s="75" t="n"/>
      <c r="H641" s="75">
        <f>IF(ISBLANK(E641),"",IF(OR(D641="Butterfly",D641="Butterfly ",D641="Iron Fly", D641="Iron Fly "),LEN(E641)-LEN(SUBSTITUTE(E641,"/",""))+2,LEN(E641)-LEN(SUBSTITUTE(E641,"/",""))+1))</f>
        <v/>
      </c>
      <c r="I641" s="78">
        <f>IF(ISBLANK(G641),"",IF(D641="Stock","0",Key!$A$3*H641*G641))</f>
        <v/>
      </c>
      <c r="J641" s="78">
        <f>IF(ISBLANK(E641),"",IF(ISNUMBER(SEARCH("/",E641)), IF(LEN(E641)-LEN(SUBSTITUTE(E641,"/",""))=1,(RIGHT(E641,LEN(E641)-FIND("/",E641)))-(LEFT(E641,FIND("/",E641)-1)),(MID(E641, SEARCH("/",E641) + 1, SEARCH("/",E641, SEARCH("/",E641)+1) - SEARCH("/",E641) - 1))-(LEFT(E641,FIND("/",E641)-1))), "NA"))</f>
        <v/>
      </c>
      <c r="K641" s="79">
        <f>IF(A641&lt;&gt;"", IF(ISBLANK(L641), TODAY(), K641), "")</f>
        <v/>
      </c>
      <c r="L641" s="78" t="n"/>
      <c r="M641" s="78">
        <f>IF(ISBLANK(L641),"",IF(D641="Stock",IF(C641="Buy",L641*G641,IF(C641="Sell",(L641*G641)-I641, X)),IF(C641="Buy",(L641*G641*100)+I641,IF(C641="Sell",(L641*G641*100)-I641, X))))</f>
        <v/>
      </c>
      <c r="N641" s="78">
        <f>IF(ISBLANK(L641),"",IF(AND(C641="Sell",D641="Stock"),M641,IF(ISBLANK(L641),"",IF(C641="Buy",M641, IF(AND(C641="Sell",J641="NA"),(E641*G641*100*0.1)+I641, IF(C641="Sell",(J641-L641)*(100*G641)+I641))))))</f>
        <v/>
      </c>
      <c r="O641" s="75" t="n"/>
      <c r="P641" s="75" t="n"/>
      <c r="Q641" s="75">
        <f>IF(ISBLANK(P641),"",IF(D641="Stock",P641*G641,IF(P641=0,"0",G641*P641*100-(G641*$AF$14))))</f>
        <v/>
      </c>
      <c r="R641" s="79">
        <f>IF(P641&lt;&gt;"", TODAY(), "")</f>
        <v/>
      </c>
      <c r="S641" s="78">
        <f>IF(AND(K641&lt;&gt;"", R641&lt;&gt;""), R641-K641, "")</f>
        <v/>
      </c>
      <c r="T641" s="78" t="n"/>
      <c r="U641" s="92">
        <f>IF(ISBLANK(P641),"",IF(C641="Buy",Q641-M641+T641, IF(C641="Sell",M641-Q641-T641, X)))</f>
        <v/>
      </c>
      <c r="V641" s="81">
        <f>IF(ISBLANK(P641),"",U641/N641)</f>
        <v/>
      </c>
      <c r="W641" s="81">
        <f>IF(ISBLANK(P641),"",IF(S641=0,(365/0.5)*V641,(365/S641)*V641))</f>
        <v/>
      </c>
      <c r="X641" s="75" t="n"/>
      <c r="Y641" s="77" t="n"/>
      <c r="Z641" s="77" t="n"/>
      <c r="AA641" s="75" t="n"/>
      <c r="AB641" s="75" t="n"/>
      <c r="AC641" s="6" t="n"/>
      <c r="AD641" s="75" t="n"/>
      <c r="AE641" s="75" t="n"/>
      <c r="AF641" s="75" t="n"/>
    </row>
    <row r="642" ht="15.75" customHeight="1" s="133">
      <c r="A642" s="75" t="n"/>
      <c r="B642" s="75" t="n"/>
      <c r="C642" s="75" t="n"/>
      <c r="D642" s="75" t="n"/>
      <c r="E642" s="76" t="n"/>
      <c r="F642" s="77" t="n"/>
      <c r="G642" s="75" t="n"/>
      <c r="H642" s="75">
        <f>IF(ISBLANK(E642),"",IF(OR(D642="Butterfly",D642="Butterfly ",D642="Iron Fly", D642="Iron Fly "),LEN(E642)-LEN(SUBSTITUTE(E642,"/",""))+2,LEN(E642)-LEN(SUBSTITUTE(E642,"/",""))+1))</f>
        <v/>
      </c>
      <c r="I642" s="78">
        <f>IF(ISBLANK(G642),"",IF(D642="Stock","0",Key!$A$3*H642*G642))</f>
        <v/>
      </c>
      <c r="J642" s="78">
        <f>IF(ISBLANK(E642),"",IF(ISNUMBER(SEARCH("/",E642)), IF(LEN(E642)-LEN(SUBSTITUTE(E642,"/",""))=1,(RIGHT(E642,LEN(E642)-FIND("/",E642)))-(LEFT(E642,FIND("/",E642)-1)),(MID(E642, SEARCH("/",E642) + 1, SEARCH("/",E642, SEARCH("/",E642)+1) - SEARCH("/",E642) - 1))-(LEFT(E642,FIND("/",E642)-1))), "NA"))</f>
        <v/>
      </c>
      <c r="K642" s="79">
        <f>IF(A642&lt;&gt;"", IF(ISBLANK(L642), TODAY(), K642), "")</f>
        <v/>
      </c>
      <c r="L642" s="78" t="n"/>
      <c r="M642" s="78">
        <f>IF(ISBLANK(L642),"",IF(D642="Stock",IF(C642="Buy",L642*G642,IF(C642="Sell",(L642*G642)-I642, X)),IF(C642="Buy",(L642*G642*100)+I642,IF(C642="Sell",(L642*G642*100)-I642, X))))</f>
        <v/>
      </c>
      <c r="N642" s="78">
        <f>IF(ISBLANK(L642),"",IF(AND(C642="Sell",D642="Stock"),M642,IF(ISBLANK(L642),"",IF(C642="Buy",M642, IF(AND(C642="Sell",J642="NA"),(E642*G642*100*0.1)+I642, IF(C642="Sell",(J642-L642)*(100*G642)+I642))))))</f>
        <v/>
      </c>
      <c r="O642" s="75" t="n"/>
      <c r="P642" s="75" t="n"/>
      <c r="Q642" s="75">
        <f>IF(ISBLANK(P642),"",IF(D642="Stock",P642*G642,IF(P642=0,"0",G642*P642*100-(G642*$AF$14))))</f>
        <v/>
      </c>
      <c r="R642" s="79">
        <f>IF(P642&lt;&gt;"", TODAY(), "")</f>
        <v/>
      </c>
      <c r="S642" s="78">
        <f>IF(AND(K642&lt;&gt;"", R642&lt;&gt;""), R642-K642, "")</f>
        <v/>
      </c>
      <c r="T642" s="78" t="n"/>
      <c r="U642" s="92">
        <f>IF(ISBLANK(P642),"",IF(C642="Buy",Q642-M642+T642, IF(C642="Sell",M642-Q642-T642, X)))</f>
        <v/>
      </c>
      <c r="V642" s="81">
        <f>IF(ISBLANK(P642),"",U642/N642)</f>
        <v/>
      </c>
      <c r="W642" s="81">
        <f>IF(ISBLANK(P642),"",IF(S642=0,(365/0.5)*V642,(365/S642)*V642))</f>
        <v/>
      </c>
      <c r="X642" s="75" t="n"/>
      <c r="Y642" s="77" t="n"/>
      <c r="Z642" s="77" t="n"/>
      <c r="AA642" s="75" t="n"/>
      <c r="AB642" s="75" t="n"/>
      <c r="AC642" s="6" t="n"/>
      <c r="AD642" s="75" t="n"/>
      <c r="AE642" s="75" t="n"/>
      <c r="AF642" s="75" t="n"/>
    </row>
    <row r="643" ht="15.75" customHeight="1" s="133">
      <c r="A643" s="75" t="n"/>
      <c r="B643" s="75" t="n"/>
      <c r="C643" s="75" t="n"/>
      <c r="D643" s="75" t="n"/>
      <c r="E643" s="76" t="n"/>
      <c r="F643" s="77" t="n"/>
      <c r="G643" s="75" t="n"/>
      <c r="H643" s="75">
        <f>IF(ISBLANK(E643),"",IF(OR(D643="Butterfly",D643="Butterfly ",D643="Iron Fly", D643="Iron Fly "),LEN(E643)-LEN(SUBSTITUTE(E643,"/",""))+2,LEN(E643)-LEN(SUBSTITUTE(E643,"/",""))+1))</f>
        <v/>
      </c>
      <c r="I643" s="78">
        <f>IF(ISBLANK(G643),"",IF(D643="Stock","0",Key!$A$3*H643*G643))</f>
        <v/>
      </c>
      <c r="J643" s="78">
        <f>IF(ISBLANK(E643),"",IF(ISNUMBER(SEARCH("/",E643)), IF(LEN(E643)-LEN(SUBSTITUTE(E643,"/",""))=1,(RIGHT(E643,LEN(E643)-FIND("/",E643)))-(LEFT(E643,FIND("/",E643)-1)),(MID(E643, SEARCH("/",E643) + 1, SEARCH("/",E643, SEARCH("/",E643)+1) - SEARCH("/",E643) - 1))-(LEFT(E643,FIND("/",E643)-1))), "NA"))</f>
        <v/>
      </c>
      <c r="K643" s="79">
        <f>IF(A643&lt;&gt;"", IF(ISBLANK(L643), TODAY(), K643), "")</f>
        <v/>
      </c>
      <c r="L643" s="78" t="n"/>
      <c r="M643" s="78">
        <f>IF(ISBLANK(L643),"",IF(D643="Stock",IF(C643="Buy",L643*G643,IF(C643="Sell",(L643*G643)-I643, X)),IF(C643="Buy",(L643*G643*100)+I643,IF(C643="Sell",(L643*G643*100)-I643, X))))</f>
        <v/>
      </c>
      <c r="N643" s="78">
        <f>IF(ISBLANK(L643),"",IF(AND(C643="Sell",D643="Stock"),M643,IF(ISBLANK(L643),"",IF(C643="Buy",M643, IF(AND(C643="Sell",J643="NA"),(E643*G643*100*0.1)+I643, IF(C643="Sell",(J643-L643)*(100*G643)+I643))))))</f>
        <v/>
      </c>
      <c r="O643" s="75" t="n"/>
      <c r="P643" s="75" t="n"/>
      <c r="Q643" s="75">
        <f>IF(ISBLANK(P643),"",IF(D643="Stock",P643*G643,IF(P643=0,"0",G643*P643*100-(G643*$AF$14))))</f>
        <v/>
      </c>
      <c r="R643" s="79">
        <f>IF(P643&lt;&gt;"", TODAY(), "")</f>
        <v/>
      </c>
      <c r="S643" s="78">
        <f>IF(AND(K643&lt;&gt;"", R643&lt;&gt;""), R643-K643, "")</f>
        <v/>
      </c>
      <c r="T643" s="78" t="n"/>
      <c r="U643" s="92">
        <f>IF(ISBLANK(P643),"",IF(C643="Buy",Q643-M643+T643, IF(C643="Sell",M643-Q643-T643, X)))</f>
        <v/>
      </c>
      <c r="V643" s="81">
        <f>IF(ISBLANK(P643),"",U643/N643)</f>
        <v/>
      </c>
      <c r="W643" s="81">
        <f>IF(ISBLANK(P643),"",IF(S643=0,(365/0.5)*V643,(365/S643)*V643))</f>
        <v/>
      </c>
      <c r="X643" s="75" t="n"/>
      <c r="Y643" s="77" t="n"/>
      <c r="Z643" s="77" t="n"/>
      <c r="AA643" s="75" t="n"/>
      <c r="AB643" s="75" t="n"/>
      <c r="AC643" s="6" t="n"/>
      <c r="AD643" s="75" t="n"/>
      <c r="AE643" s="75" t="n"/>
      <c r="AF643" s="75" t="n"/>
    </row>
    <row r="644" ht="15.75" customHeight="1" s="133">
      <c r="A644" s="75" t="n"/>
      <c r="B644" s="75" t="n"/>
      <c r="C644" s="75" t="n"/>
      <c r="D644" s="75" t="n"/>
      <c r="E644" s="76" t="n"/>
      <c r="F644" s="77" t="n"/>
      <c r="G644" s="75" t="n"/>
      <c r="H644" s="75">
        <f>IF(ISBLANK(E644),"",IF(OR(D644="Butterfly",D644="Butterfly ",D644="Iron Fly", D644="Iron Fly "),LEN(E644)-LEN(SUBSTITUTE(E644,"/",""))+2,LEN(E644)-LEN(SUBSTITUTE(E644,"/",""))+1))</f>
        <v/>
      </c>
      <c r="I644" s="78">
        <f>IF(ISBLANK(G644),"",IF(D644="Stock","0",Key!$A$3*H644*G644))</f>
        <v/>
      </c>
      <c r="J644" s="78">
        <f>IF(ISBLANK(E644),"",IF(ISNUMBER(SEARCH("/",E644)), IF(LEN(E644)-LEN(SUBSTITUTE(E644,"/",""))=1,(RIGHT(E644,LEN(E644)-FIND("/",E644)))-(LEFT(E644,FIND("/",E644)-1)),(MID(E644, SEARCH("/",E644) + 1, SEARCH("/",E644, SEARCH("/",E644)+1) - SEARCH("/",E644) - 1))-(LEFT(E644,FIND("/",E644)-1))), "NA"))</f>
        <v/>
      </c>
      <c r="K644" s="79">
        <f>IF(A644&lt;&gt;"", IF(ISBLANK(L644), TODAY(), K644), "")</f>
        <v/>
      </c>
      <c r="L644" s="78" t="n"/>
      <c r="M644" s="78">
        <f>IF(ISBLANK(L644),"",IF(D644="Stock",IF(C644="Buy",L644*G644,IF(C644="Sell",(L644*G644)-I644, X)),IF(C644="Buy",(L644*G644*100)+I644,IF(C644="Sell",(L644*G644*100)-I644, X))))</f>
        <v/>
      </c>
      <c r="N644" s="78">
        <f>IF(ISBLANK(L644),"",IF(AND(C644="Sell",D644="Stock"),M644,IF(ISBLANK(L644),"",IF(C644="Buy",M644, IF(AND(C644="Sell",J644="NA"),(E644*G644*100*0.1)+I644, IF(C644="Sell",(J644-L644)*(100*G644)+I644))))))</f>
        <v/>
      </c>
      <c r="O644" s="75" t="n"/>
      <c r="P644" s="75" t="n"/>
      <c r="Q644" s="75">
        <f>IF(ISBLANK(P644),"",IF(D644="Stock",P644*G644,IF(P644=0,"0",G644*P644*100-(G644*$AF$14))))</f>
        <v/>
      </c>
      <c r="R644" s="79">
        <f>IF(P644&lt;&gt;"", TODAY(), "")</f>
        <v/>
      </c>
      <c r="S644" s="78">
        <f>IF(AND(K644&lt;&gt;"", R644&lt;&gt;""), R644-K644, "")</f>
        <v/>
      </c>
      <c r="T644" s="78" t="n"/>
      <c r="U644" s="92">
        <f>IF(ISBLANK(P644),"",IF(C644="Buy",Q644-M644+T644, IF(C644="Sell",M644-Q644-T644, X)))</f>
        <v/>
      </c>
      <c r="V644" s="81">
        <f>IF(ISBLANK(P644),"",U644/N644)</f>
        <v/>
      </c>
      <c r="W644" s="81">
        <f>IF(ISBLANK(P644),"",IF(S644=0,(365/0.5)*V644,(365/S644)*V644))</f>
        <v/>
      </c>
      <c r="X644" s="75" t="n"/>
      <c r="Y644" s="77" t="n"/>
      <c r="Z644" s="77" t="n"/>
      <c r="AA644" s="75" t="n"/>
      <c r="AB644" s="75" t="n"/>
      <c r="AC644" s="6" t="n"/>
      <c r="AD644" s="75" t="n"/>
      <c r="AE644" s="75" t="n"/>
      <c r="AF644" s="75" t="n"/>
    </row>
    <row r="645" ht="15.75" customHeight="1" s="133">
      <c r="A645" s="75" t="n"/>
      <c r="B645" s="75" t="n"/>
      <c r="C645" s="75" t="n"/>
      <c r="D645" s="75" t="n"/>
      <c r="E645" s="76" t="n"/>
      <c r="F645" s="77" t="n"/>
      <c r="G645" s="75" t="n"/>
      <c r="H645" s="75">
        <f>IF(ISBLANK(E645),"",IF(OR(D645="Butterfly",D645="Butterfly ",D645="Iron Fly", D645="Iron Fly "),LEN(E645)-LEN(SUBSTITUTE(E645,"/",""))+2,LEN(E645)-LEN(SUBSTITUTE(E645,"/",""))+1))</f>
        <v/>
      </c>
      <c r="I645" s="78">
        <f>IF(ISBLANK(G645),"",IF(D645="Stock","0",Key!$A$3*H645*G645))</f>
        <v/>
      </c>
      <c r="J645" s="78">
        <f>IF(ISBLANK(E645),"",IF(ISNUMBER(SEARCH("/",E645)), IF(LEN(E645)-LEN(SUBSTITUTE(E645,"/",""))=1,(RIGHT(E645,LEN(E645)-FIND("/",E645)))-(LEFT(E645,FIND("/",E645)-1)),(MID(E645, SEARCH("/",E645) + 1, SEARCH("/",E645, SEARCH("/",E645)+1) - SEARCH("/",E645) - 1))-(LEFT(E645,FIND("/",E645)-1))), "NA"))</f>
        <v/>
      </c>
      <c r="K645" s="79">
        <f>IF(A645&lt;&gt;"", IF(ISBLANK(L645), TODAY(), K645), "")</f>
        <v/>
      </c>
      <c r="L645" s="78" t="n"/>
      <c r="M645" s="78">
        <f>IF(ISBLANK(L645),"",IF(D645="Stock",IF(C645="Buy",L645*G645,IF(C645="Sell",(L645*G645)-I645, X)),IF(C645="Buy",(L645*G645*100)+I645,IF(C645="Sell",(L645*G645*100)-I645, X))))</f>
        <v/>
      </c>
      <c r="N645" s="78">
        <f>IF(ISBLANK(L645),"",IF(AND(C645="Sell",D645="Stock"),M645,IF(ISBLANK(L645),"",IF(C645="Buy",M645, IF(AND(C645="Sell",J645="NA"),(E645*G645*100*0.1)+I645, IF(C645="Sell",(J645-L645)*(100*G645)+I645))))))</f>
        <v/>
      </c>
      <c r="O645" s="75" t="n"/>
      <c r="P645" s="75" t="n"/>
      <c r="Q645" s="75">
        <f>IF(ISBLANK(P645),"",IF(D645="Stock",P645*G645,IF(P645=0,"0",G645*P645*100-(G645*$AF$14))))</f>
        <v/>
      </c>
      <c r="R645" s="79">
        <f>IF(P645&lt;&gt;"", TODAY(), "")</f>
        <v/>
      </c>
      <c r="S645" s="78">
        <f>IF(AND(K645&lt;&gt;"", R645&lt;&gt;""), R645-K645, "")</f>
        <v/>
      </c>
      <c r="T645" s="78" t="n"/>
      <c r="U645" s="92">
        <f>IF(ISBLANK(P645),"",IF(C645="Buy",Q645-M645+T645, IF(C645="Sell",M645-Q645-T645, X)))</f>
        <v/>
      </c>
      <c r="V645" s="81">
        <f>IF(ISBLANK(P645),"",U645/N645)</f>
        <v/>
      </c>
      <c r="W645" s="81">
        <f>IF(ISBLANK(P645),"",IF(S645=0,(365/0.5)*V645,(365/S645)*V645))</f>
        <v/>
      </c>
      <c r="X645" s="75" t="n"/>
      <c r="Y645" s="77" t="n"/>
      <c r="Z645" s="77" t="n"/>
      <c r="AA645" s="75" t="n"/>
      <c r="AB645" s="75" t="n"/>
      <c r="AC645" s="6" t="n"/>
      <c r="AD645" s="75" t="n"/>
      <c r="AE645" s="75" t="n"/>
      <c r="AF645" s="75" t="n"/>
    </row>
    <row r="646" ht="15.75" customHeight="1" s="133">
      <c r="A646" s="75" t="n"/>
      <c r="B646" s="75" t="n"/>
      <c r="C646" s="75" t="n"/>
      <c r="D646" s="75" t="n"/>
      <c r="E646" s="76" t="n"/>
      <c r="F646" s="77" t="n"/>
      <c r="G646" s="75" t="n"/>
      <c r="H646" s="75">
        <f>IF(ISBLANK(E646),"",IF(OR(D646="Butterfly",D646="Butterfly ",D646="Iron Fly", D646="Iron Fly "),LEN(E646)-LEN(SUBSTITUTE(E646,"/",""))+2,LEN(E646)-LEN(SUBSTITUTE(E646,"/",""))+1))</f>
        <v/>
      </c>
      <c r="I646" s="78">
        <f>IF(ISBLANK(G646),"",IF(D646="Stock","0",Key!$A$3*H646*G646))</f>
        <v/>
      </c>
      <c r="J646" s="78">
        <f>IF(ISBLANK(E646),"",IF(ISNUMBER(SEARCH("/",E646)), IF(LEN(E646)-LEN(SUBSTITUTE(E646,"/",""))=1,(RIGHT(E646,LEN(E646)-FIND("/",E646)))-(LEFT(E646,FIND("/",E646)-1)),(MID(E646, SEARCH("/",E646) + 1, SEARCH("/",E646, SEARCH("/",E646)+1) - SEARCH("/",E646) - 1))-(LEFT(E646,FIND("/",E646)-1))), "NA"))</f>
        <v/>
      </c>
      <c r="K646" s="79">
        <f>IF(A646&lt;&gt;"", IF(ISBLANK(L646), TODAY(), K646), "")</f>
        <v/>
      </c>
      <c r="L646" s="78" t="n"/>
      <c r="M646" s="78">
        <f>IF(ISBLANK(L646),"",IF(D646="Stock",IF(C646="Buy",L646*G646,IF(C646="Sell",(L646*G646)-I646, X)),IF(C646="Buy",(L646*G646*100)+I646,IF(C646="Sell",(L646*G646*100)-I646, X))))</f>
        <v/>
      </c>
      <c r="N646" s="78">
        <f>IF(ISBLANK(L646),"",IF(AND(C646="Sell",D646="Stock"),M646,IF(ISBLANK(L646),"",IF(C646="Buy",M646, IF(AND(C646="Sell",J646="NA"),(E646*G646*100*0.1)+I646, IF(C646="Sell",(J646-L646)*(100*G646)+I646))))))</f>
        <v/>
      </c>
      <c r="O646" s="75" t="n"/>
      <c r="P646" s="75" t="n"/>
      <c r="Q646" s="75">
        <f>IF(ISBLANK(P646),"",IF(D646="Stock",P646*G646,IF(P646=0,"0",G646*P646*100-(G646*$AF$14))))</f>
        <v/>
      </c>
      <c r="R646" s="79">
        <f>IF(P646&lt;&gt;"", TODAY(), "")</f>
        <v/>
      </c>
      <c r="S646" s="78">
        <f>IF(AND(K646&lt;&gt;"", R646&lt;&gt;""), R646-K646, "")</f>
        <v/>
      </c>
      <c r="T646" s="78" t="n"/>
      <c r="U646" s="92">
        <f>IF(ISBLANK(P646),"",IF(C646="Buy",Q646-M646+T646, IF(C646="Sell",M646-Q646-T646, X)))</f>
        <v/>
      </c>
      <c r="V646" s="81">
        <f>IF(ISBLANK(P646),"",U646/N646)</f>
        <v/>
      </c>
      <c r="W646" s="81">
        <f>IF(ISBLANK(P646),"",IF(S646=0,(365/0.5)*V646,(365/S646)*V646))</f>
        <v/>
      </c>
      <c r="X646" s="75" t="n"/>
      <c r="Y646" s="77" t="n"/>
      <c r="Z646" s="77" t="n"/>
      <c r="AA646" s="75" t="n"/>
      <c r="AB646" s="75" t="n"/>
      <c r="AC646" s="6" t="n"/>
      <c r="AD646" s="75" t="n"/>
      <c r="AE646" s="75" t="n"/>
      <c r="AF646" s="75" t="n"/>
    </row>
    <row r="647" ht="15.75" customHeight="1" s="133">
      <c r="A647" s="75" t="n"/>
      <c r="B647" s="75" t="n"/>
      <c r="C647" s="75" t="n"/>
      <c r="D647" s="75" t="n"/>
      <c r="E647" s="76" t="n"/>
      <c r="F647" s="77" t="n"/>
      <c r="G647" s="75" t="n"/>
      <c r="H647" s="75">
        <f>IF(ISBLANK(E647),"",IF(OR(D647="Butterfly",D647="Butterfly ",D647="Iron Fly", D647="Iron Fly "),LEN(E647)-LEN(SUBSTITUTE(E647,"/",""))+2,LEN(E647)-LEN(SUBSTITUTE(E647,"/",""))+1))</f>
        <v/>
      </c>
      <c r="I647" s="78">
        <f>IF(ISBLANK(G647),"",IF(D647="Stock","0",Key!$A$3*H647*G647))</f>
        <v/>
      </c>
      <c r="J647" s="78">
        <f>IF(ISBLANK(E647),"",IF(ISNUMBER(SEARCH("/",E647)), IF(LEN(E647)-LEN(SUBSTITUTE(E647,"/",""))=1,(RIGHT(E647,LEN(E647)-FIND("/",E647)))-(LEFT(E647,FIND("/",E647)-1)),(MID(E647, SEARCH("/",E647) + 1, SEARCH("/",E647, SEARCH("/",E647)+1) - SEARCH("/",E647) - 1))-(LEFT(E647,FIND("/",E647)-1))), "NA"))</f>
        <v/>
      </c>
      <c r="K647" s="79">
        <f>IF(A647&lt;&gt;"", IF(ISBLANK(L647), TODAY(), K647), "")</f>
        <v/>
      </c>
      <c r="L647" s="78" t="n"/>
      <c r="M647" s="78">
        <f>IF(ISBLANK(L647),"",IF(D647="Stock",IF(C647="Buy",L647*G647,IF(C647="Sell",(L647*G647)-I647, X)),IF(C647="Buy",(L647*G647*100)+I647,IF(C647="Sell",(L647*G647*100)-I647, X))))</f>
        <v/>
      </c>
      <c r="N647" s="78">
        <f>IF(ISBLANK(L647),"",IF(AND(C647="Sell",D647="Stock"),M647,IF(ISBLANK(L647),"",IF(C647="Buy",M647, IF(AND(C647="Sell",J647="NA"),(E647*G647*100*0.1)+I647, IF(C647="Sell",(J647-L647)*(100*G647)+I647))))))</f>
        <v/>
      </c>
      <c r="O647" s="75" t="n"/>
      <c r="P647" s="75" t="n"/>
      <c r="Q647" s="75">
        <f>IF(ISBLANK(P647),"",IF(D647="Stock",P647*G647,IF(P647=0,"0",G647*P647*100-(G647*$AF$14))))</f>
        <v/>
      </c>
      <c r="R647" s="79">
        <f>IF(P647&lt;&gt;"", TODAY(), "")</f>
        <v/>
      </c>
      <c r="S647" s="78">
        <f>IF(AND(K647&lt;&gt;"", R647&lt;&gt;""), R647-K647, "")</f>
        <v/>
      </c>
      <c r="T647" s="78" t="n"/>
      <c r="U647" s="92">
        <f>IF(ISBLANK(P647),"",IF(C647="Buy",Q647-M647+T647, IF(C647="Sell",M647-Q647-T647, X)))</f>
        <v/>
      </c>
      <c r="V647" s="81">
        <f>IF(ISBLANK(P647),"",U647/N647)</f>
        <v/>
      </c>
      <c r="W647" s="81">
        <f>IF(ISBLANK(P647),"",IF(S647=0,(365/0.5)*V647,(365/S647)*V647))</f>
        <v/>
      </c>
      <c r="X647" s="75" t="n"/>
      <c r="Y647" s="77" t="n"/>
      <c r="Z647" s="77" t="n"/>
      <c r="AA647" s="75" t="n"/>
      <c r="AB647" s="75" t="n"/>
      <c r="AC647" s="6" t="n"/>
      <c r="AD647" s="75" t="n"/>
      <c r="AE647" s="75" t="n"/>
      <c r="AF647" s="75" t="n"/>
    </row>
    <row r="648" ht="15.75" customHeight="1" s="133">
      <c r="A648" s="75" t="n"/>
      <c r="B648" s="75" t="n"/>
      <c r="C648" s="75" t="n"/>
      <c r="D648" s="75" t="n"/>
      <c r="E648" s="76" t="n"/>
      <c r="F648" s="77" t="n"/>
      <c r="G648" s="75" t="n"/>
      <c r="H648" s="75">
        <f>IF(ISBLANK(E648),"",IF(OR(D648="Butterfly",D648="Butterfly ",D648="Iron Fly", D648="Iron Fly "),LEN(E648)-LEN(SUBSTITUTE(E648,"/",""))+2,LEN(E648)-LEN(SUBSTITUTE(E648,"/",""))+1))</f>
        <v/>
      </c>
      <c r="I648" s="78">
        <f>IF(ISBLANK(G648),"",IF(D648="Stock","0",Key!$A$3*H648*G648))</f>
        <v/>
      </c>
      <c r="J648" s="78">
        <f>IF(ISBLANK(E648),"",IF(ISNUMBER(SEARCH("/",E648)), IF(LEN(E648)-LEN(SUBSTITUTE(E648,"/",""))=1,(RIGHT(E648,LEN(E648)-FIND("/",E648)))-(LEFT(E648,FIND("/",E648)-1)),(MID(E648, SEARCH("/",E648) + 1, SEARCH("/",E648, SEARCH("/",E648)+1) - SEARCH("/",E648) - 1))-(LEFT(E648,FIND("/",E648)-1))), "NA"))</f>
        <v/>
      </c>
      <c r="K648" s="79">
        <f>IF(A648&lt;&gt;"", IF(ISBLANK(L648), TODAY(), K648), "")</f>
        <v/>
      </c>
      <c r="L648" s="78" t="n"/>
      <c r="M648" s="78">
        <f>IF(ISBLANK(L648),"",IF(D648="Stock",IF(C648="Buy",L648*G648,IF(C648="Sell",(L648*G648)-I648, X)),IF(C648="Buy",(L648*G648*100)+I648,IF(C648="Sell",(L648*G648*100)-I648, X))))</f>
        <v/>
      </c>
      <c r="N648" s="78">
        <f>IF(ISBLANK(L648),"",IF(AND(C648="Sell",D648="Stock"),M648,IF(ISBLANK(L648),"",IF(C648="Buy",M648, IF(AND(C648="Sell",J648="NA"),(E648*G648*100*0.1)+I648, IF(C648="Sell",(J648-L648)*(100*G648)+I648))))))</f>
        <v/>
      </c>
      <c r="O648" s="75" t="n"/>
      <c r="P648" s="75" t="n"/>
      <c r="Q648" s="75">
        <f>IF(ISBLANK(P648),"",IF(D648="Stock",P648*G648,IF(P648=0,"0",G648*P648*100-(G648*$AF$14))))</f>
        <v/>
      </c>
      <c r="R648" s="79">
        <f>IF(P648&lt;&gt;"", TODAY(), "")</f>
        <v/>
      </c>
      <c r="S648" s="78">
        <f>IF(AND(K648&lt;&gt;"", R648&lt;&gt;""), R648-K648, "")</f>
        <v/>
      </c>
      <c r="T648" s="78" t="n"/>
      <c r="U648" s="92">
        <f>IF(ISBLANK(P648),"",IF(C648="Buy",Q648-M648+T648, IF(C648="Sell",M648-Q648-T648, X)))</f>
        <v/>
      </c>
      <c r="V648" s="81">
        <f>IF(ISBLANK(P648),"",U648/N648)</f>
        <v/>
      </c>
      <c r="W648" s="81">
        <f>IF(ISBLANK(P648),"",IF(S648=0,(365/0.5)*V648,(365/S648)*V648))</f>
        <v/>
      </c>
      <c r="X648" s="75" t="n"/>
      <c r="Y648" s="77" t="n"/>
      <c r="Z648" s="77" t="n"/>
      <c r="AA648" s="75" t="n"/>
      <c r="AB648" s="75" t="n"/>
      <c r="AC648" s="6" t="n"/>
      <c r="AD648" s="75" t="n"/>
      <c r="AE648" s="75" t="n"/>
      <c r="AF648" s="75" t="n"/>
    </row>
    <row r="649" ht="15.75" customHeight="1" s="133">
      <c r="A649" s="75" t="n"/>
      <c r="B649" s="75" t="n"/>
      <c r="C649" s="75" t="n"/>
      <c r="D649" s="75" t="n"/>
      <c r="E649" s="76" t="n"/>
      <c r="F649" s="77" t="n"/>
      <c r="G649" s="75" t="n"/>
      <c r="H649" s="75">
        <f>IF(ISBLANK(E649),"",IF(OR(D649="Butterfly",D649="Butterfly ",D649="Iron Fly", D649="Iron Fly "),LEN(E649)-LEN(SUBSTITUTE(E649,"/",""))+2,LEN(E649)-LEN(SUBSTITUTE(E649,"/",""))+1))</f>
        <v/>
      </c>
      <c r="I649" s="78">
        <f>IF(ISBLANK(G649),"",IF(D649="Stock","0",Key!$A$3*H649*G649))</f>
        <v/>
      </c>
      <c r="J649" s="78">
        <f>IF(ISBLANK(E649),"",IF(ISNUMBER(SEARCH("/",E649)), IF(LEN(E649)-LEN(SUBSTITUTE(E649,"/",""))=1,(RIGHT(E649,LEN(E649)-FIND("/",E649)))-(LEFT(E649,FIND("/",E649)-1)),(MID(E649, SEARCH("/",E649) + 1, SEARCH("/",E649, SEARCH("/",E649)+1) - SEARCH("/",E649) - 1))-(LEFT(E649,FIND("/",E649)-1))), "NA"))</f>
        <v/>
      </c>
      <c r="K649" s="79">
        <f>IF(A649&lt;&gt;"", IF(ISBLANK(L649), TODAY(), K649), "")</f>
        <v/>
      </c>
      <c r="L649" s="78" t="n"/>
      <c r="M649" s="78">
        <f>IF(ISBLANK(L649),"",IF(D649="Stock",IF(C649="Buy",L649*G649,IF(C649="Sell",(L649*G649)-I649, X)),IF(C649="Buy",(L649*G649*100)+I649,IF(C649="Sell",(L649*G649*100)-I649, X))))</f>
        <v/>
      </c>
      <c r="N649" s="78">
        <f>IF(ISBLANK(L649),"",IF(AND(C649="Sell",D649="Stock"),M649,IF(ISBLANK(L649),"",IF(C649="Buy",M649, IF(AND(C649="Sell",J649="NA"),(E649*G649*100*0.1)+I649, IF(C649="Sell",(J649-L649)*(100*G649)+I649))))))</f>
        <v/>
      </c>
      <c r="O649" s="75" t="n"/>
      <c r="P649" s="75" t="n"/>
      <c r="Q649" s="75">
        <f>IF(ISBLANK(P649),"",IF(D649="Stock",P649*G649,IF(P649=0,"0",G649*P649*100-(G649*$AF$14))))</f>
        <v/>
      </c>
      <c r="R649" s="79">
        <f>IF(P649&lt;&gt;"", TODAY(), "")</f>
        <v/>
      </c>
      <c r="S649" s="78">
        <f>IF(AND(K649&lt;&gt;"", R649&lt;&gt;""), R649-K649, "")</f>
        <v/>
      </c>
      <c r="T649" s="78" t="n"/>
      <c r="U649" s="92">
        <f>IF(ISBLANK(P649),"",IF(C649="Buy",Q649-M649+T649, IF(C649="Sell",M649-Q649-T649, X)))</f>
        <v/>
      </c>
      <c r="V649" s="81">
        <f>IF(ISBLANK(P649),"",U649/N649)</f>
        <v/>
      </c>
      <c r="W649" s="81">
        <f>IF(ISBLANK(P649),"",IF(S649=0,(365/0.5)*V649,(365/S649)*V649))</f>
        <v/>
      </c>
      <c r="X649" s="75" t="n"/>
      <c r="Y649" s="77" t="n"/>
      <c r="Z649" s="77" t="n"/>
      <c r="AA649" s="75" t="n"/>
      <c r="AB649" s="75" t="n"/>
      <c r="AC649" s="6" t="n"/>
      <c r="AD649" s="75" t="n"/>
      <c r="AE649" s="75" t="n"/>
      <c r="AF649" s="75" t="n"/>
    </row>
    <row r="650" ht="15.75" customHeight="1" s="133">
      <c r="A650" s="75" t="n"/>
      <c r="B650" s="75" t="n"/>
      <c r="C650" s="75" t="n"/>
      <c r="D650" s="75" t="n"/>
      <c r="E650" s="76" t="n"/>
      <c r="F650" s="77" t="n"/>
      <c r="G650" s="75" t="n"/>
      <c r="H650" s="75">
        <f>IF(ISBLANK(E650),"",IF(OR(D650="Butterfly",D650="Butterfly ",D650="Iron Fly", D650="Iron Fly "),LEN(E650)-LEN(SUBSTITUTE(E650,"/",""))+2,LEN(E650)-LEN(SUBSTITUTE(E650,"/",""))+1))</f>
        <v/>
      </c>
      <c r="I650" s="78">
        <f>IF(ISBLANK(G650),"",IF(D650="Stock","0",Key!$A$3*H650*G650))</f>
        <v/>
      </c>
      <c r="J650" s="78">
        <f>IF(ISBLANK(E650),"",IF(ISNUMBER(SEARCH("/",E650)), IF(LEN(E650)-LEN(SUBSTITUTE(E650,"/",""))=1,(RIGHT(E650,LEN(E650)-FIND("/",E650)))-(LEFT(E650,FIND("/",E650)-1)),(MID(E650, SEARCH("/",E650) + 1, SEARCH("/",E650, SEARCH("/",E650)+1) - SEARCH("/",E650) - 1))-(LEFT(E650,FIND("/",E650)-1))), "NA"))</f>
        <v/>
      </c>
      <c r="K650" s="79">
        <f>IF(A650&lt;&gt;"", IF(ISBLANK(L650), TODAY(), K650), "")</f>
        <v/>
      </c>
      <c r="L650" s="78" t="n"/>
      <c r="M650" s="78">
        <f>IF(ISBLANK(L650),"",IF(D650="Stock",IF(C650="Buy",L650*G650,IF(C650="Sell",(L650*G650)-I650, X)),IF(C650="Buy",(L650*G650*100)+I650,IF(C650="Sell",(L650*G650*100)-I650, X))))</f>
        <v/>
      </c>
      <c r="N650" s="78">
        <f>IF(ISBLANK(L650),"",IF(AND(C650="Sell",D650="Stock"),M650,IF(ISBLANK(L650),"",IF(C650="Buy",M650, IF(AND(C650="Sell",J650="NA"),(E650*G650*100*0.1)+I650, IF(C650="Sell",(J650-L650)*(100*G650)+I650))))))</f>
        <v/>
      </c>
      <c r="O650" s="75" t="n"/>
      <c r="P650" s="75" t="n"/>
      <c r="Q650" s="75">
        <f>IF(ISBLANK(P650),"",IF(D650="Stock",P650*G650,IF(P650=0,"0",G650*P650*100-(G650*$AF$14))))</f>
        <v/>
      </c>
      <c r="R650" s="79">
        <f>IF(P650&lt;&gt;"", TODAY(), "")</f>
        <v/>
      </c>
      <c r="S650" s="78">
        <f>IF(AND(K650&lt;&gt;"", R650&lt;&gt;""), R650-K650, "")</f>
        <v/>
      </c>
      <c r="T650" s="78" t="n"/>
      <c r="U650" s="92">
        <f>IF(ISBLANK(P650),"",IF(C650="Buy",Q650-M650+T650, IF(C650="Sell",M650-Q650-T650, X)))</f>
        <v/>
      </c>
      <c r="V650" s="81">
        <f>IF(ISBLANK(P650),"",U650/N650)</f>
        <v/>
      </c>
      <c r="W650" s="81">
        <f>IF(ISBLANK(P650),"",IF(S650=0,(365/0.5)*V650,(365/S650)*V650))</f>
        <v/>
      </c>
      <c r="X650" s="75" t="n"/>
      <c r="Y650" s="77" t="n"/>
      <c r="Z650" s="77" t="n"/>
      <c r="AA650" s="75" t="n"/>
      <c r="AB650" s="75" t="n"/>
      <c r="AC650" s="6" t="n"/>
      <c r="AD650" s="75" t="n"/>
      <c r="AE650" s="75" t="n"/>
      <c r="AF650" s="75" t="n"/>
    </row>
    <row r="651" ht="15.75" customHeight="1" s="133">
      <c r="A651" s="75" t="n"/>
      <c r="B651" s="75" t="n"/>
      <c r="C651" s="75" t="n"/>
      <c r="D651" s="75" t="n"/>
      <c r="E651" s="76" t="n"/>
      <c r="F651" s="77" t="n"/>
      <c r="G651" s="75" t="n"/>
      <c r="H651" s="75">
        <f>IF(ISBLANK(E651),"",IF(OR(D651="Butterfly",D651="Butterfly ",D651="Iron Fly", D651="Iron Fly "),LEN(E651)-LEN(SUBSTITUTE(E651,"/",""))+2,LEN(E651)-LEN(SUBSTITUTE(E651,"/",""))+1))</f>
        <v/>
      </c>
      <c r="I651" s="78">
        <f>IF(ISBLANK(G651),"",IF(D651="Stock","0",Key!$A$3*H651*G651))</f>
        <v/>
      </c>
      <c r="J651" s="78">
        <f>IF(ISBLANK(E651),"",IF(ISNUMBER(SEARCH("/",E651)), IF(LEN(E651)-LEN(SUBSTITUTE(E651,"/",""))=1,(RIGHT(E651,LEN(E651)-FIND("/",E651)))-(LEFT(E651,FIND("/",E651)-1)),(MID(E651, SEARCH("/",E651) + 1, SEARCH("/",E651, SEARCH("/",E651)+1) - SEARCH("/",E651) - 1))-(LEFT(E651,FIND("/",E651)-1))), "NA"))</f>
        <v/>
      </c>
      <c r="K651" s="79">
        <f>IF(A651&lt;&gt;"", IF(ISBLANK(L651), TODAY(), K651), "")</f>
        <v/>
      </c>
      <c r="L651" s="78" t="n"/>
      <c r="M651" s="78">
        <f>IF(ISBLANK(L651),"",IF(D651="Stock",IF(C651="Buy",L651*G651,IF(C651="Sell",(L651*G651)-I651, X)),IF(C651="Buy",(L651*G651*100)+I651,IF(C651="Sell",(L651*G651*100)-I651, X))))</f>
        <v/>
      </c>
      <c r="N651" s="78">
        <f>IF(ISBLANK(L651),"",IF(AND(C651="Sell",D651="Stock"),M651,IF(ISBLANK(L651),"",IF(C651="Buy",M651, IF(AND(C651="Sell",J651="NA"),(E651*G651*100*0.1)+I651, IF(C651="Sell",(J651-L651)*(100*G651)+I651))))))</f>
        <v/>
      </c>
      <c r="O651" s="75" t="n"/>
      <c r="P651" s="75" t="n"/>
      <c r="Q651" s="75">
        <f>IF(ISBLANK(P651),"",IF(D651="Stock",P651*G651,IF(P651=0,"0",G651*P651*100-(G651*$AF$14))))</f>
        <v/>
      </c>
      <c r="R651" s="79">
        <f>IF(P651&lt;&gt;"", TODAY(), "")</f>
        <v/>
      </c>
      <c r="S651" s="78">
        <f>IF(AND(K651&lt;&gt;"", R651&lt;&gt;""), R651-K651, "")</f>
        <v/>
      </c>
      <c r="T651" s="78" t="n"/>
      <c r="U651" s="92">
        <f>IF(ISBLANK(P651),"",IF(C651="Buy",Q651-M651+T651, IF(C651="Sell",M651-Q651-T651, X)))</f>
        <v/>
      </c>
      <c r="V651" s="81">
        <f>IF(ISBLANK(P651),"",U651/N651)</f>
        <v/>
      </c>
      <c r="W651" s="81">
        <f>IF(ISBLANK(P651),"",IF(S651=0,(365/0.5)*V651,(365/S651)*V651))</f>
        <v/>
      </c>
      <c r="X651" s="75" t="n"/>
      <c r="Y651" s="77" t="n"/>
      <c r="Z651" s="77" t="n"/>
      <c r="AA651" s="75" t="n"/>
      <c r="AB651" s="75" t="n"/>
      <c r="AC651" s="6" t="n"/>
      <c r="AD651" s="75" t="n"/>
      <c r="AE651" s="75" t="n"/>
      <c r="AF651" s="75" t="n"/>
    </row>
    <row r="652" ht="15.75" customHeight="1" s="133">
      <c r="A652" s="75" t="n"/>
      <c r="B652" s="75" t="n"/>
      <c r="C652" s="75" t="n"/>
      <c r="D652" s="75" t="n"/>
      <c r="E652" s="76" t="n"/>
      <c r="F652" s="77" t="n"/>
      <c r="G652" s="75" t="n"/>
      <c r="H652" s="75">
        <f>IF(ISBLANK(E652),"",IF(OR(D652="Butterfly",D652="Butterfly ",D652="Iron Fly", D652="Iron Fly "),LEN(E652)-LEN(SUBSTITUTE(E652,"/",""))+2,LEN(E652)-LEN(SUBSTITUTE(E652,"/",""))+1))</f>
        <v/>
      </c>
      <c r="I652" s="78">
        <f>IF(ISBLANK(G652),"",IF(D652="Stock","0",Key!$A$3*H652*G652))</f>
        <v/>
      </c>
      <c r="J652" s="78">
        <f>IF(ISBLANK(E652),"",IF(ISNUMBER(SEARCH("/",E652)), IF(LEN(E652)-LEN(SUBSTITUTE(E652,"/",""))=1,(RIGHT(E652,LEN(E652)-FIND("/",E652)))-(LEFT(E652,FIND("/",E652)-1)),(MID(E652, SEARCH("/",E652) + 1, SEARCH("/",E652, SEARCH("/",E652)+1) - SEARCH("/",E652) - 1))-(LEFT(E652,FIND("/",E652)-1))), "NA"))</f>
        <v/>
      </c>
      <c r="K652" s="79">
        <f>IF(A652&lt;&gt;"", IF(ISBLANK(L652), TODAY(), K652), "")</f>
        <v/>
      </c>
      <c r="L652" s="78" t="n"/>
      <c r="M652" s="78">
        <f>IF(ISBLANK(L652),"",IF(D652="Stock",IF(C652="Buy",L652*G652,IF(C652="Sell",(L652*G652)-I652, X)),IF(C652="Buy",(L652*G652*100)+I652,IF(C652="Sell",(L652*G652*100)-I652, X))))</f>
        <v/>
      </c>
      <c r="N652" s="78">
        <f>IF(ISBLANK(L652),"",IF(AND(C652="Sell",D652="Stock"),M652,IF(ISBLANK(L652),"",IF(C652="Buy",M652, IF(AND(C652="Sell",J652="NA"),(E652*G652*100*0.1)+I652, IF(C652="Sell",(J652-L652)*(100*G652)+I652))))))</f>
        <v/>
      </c>
      <c r="O652" s="75" t="n"/>
      <c r="P652" s="75" t="n"/>
      <c r="Q652" s="75">
        <f>IF(ISBLANK(P652),"",IF(D652="Stock",P652*G652,IF(P652=0,"0",G652*P652*100-(G652*$AF$14))))</f>
        <v/>
      </c>
      <c r="R652" s="79">
        <f>IF(P652&lt;&gt;"", TODAY(), "")</f>
        <v/>
      </c>
      <c r="S652" s="78">
        <f>IF(AND(K652&lt;&gt;"", R652&lt;&gt;""), R652-K652, "")</f>
        <v/>
      </c>
      <c r="T652" s="78" t="n"/>
      <c r="U652" s="92">
        <f>IF(ISBLANK(P652),"",IF(C652="Buy",Q652-M652+T652, IF(C652="Sell",M652-Q652-T652, X)))</f>
        <v/>
      </c>
      <c r="V652" s="81">
        <f>IF(ISBLANK(P652),"",U652/N652)</f>
        <v/>
      </c>
      <c r="W652" s="81">
        <f>IF(ISBLANK(P652),"",IF(S652=0,(365/0.5)*V652,(365/S652)*V652))</f>
        <v/>
      </c>
      <c r="X652" s="75" t="n"/>
      <c r="Y652" s="77" t="n"/>
      <c r="Z652" s="77" t="n"/>
      <c r="AA652" s="75" t="n"/>
      <c r="AB652" s="75" t="n"/>
      <c r="AC652" s="6" t="n"/>
      <c r="AD652" s="75" t="n"/>
      <c r="AE652" s="75" t="n"/>
      <c r="AF652" s="75" t="n"/>
    </row>
    <row r="653" ht="15.75" customHeight="1" s="133">
      <c r="A653" s="75" t="n"/>
      <c r="B653" s="75" t="n"/>
      <c r="C653" s="75" t="n"/>
      <c r="D653" s="75" t="n"/>
      <c r="E653" s="76" t="n"/>
      <c r="F653" s="77" t="n"/>
      <c r="G653" s="75" t="n"/>
      <c r="H653" s="75">
        <f>IF(ISBLANK(E653),"",IF(OR(D653="Butterfly",D653="Butterfly ",D653="Iron Fly", D653="Iron Fly "),LEN(E653)-LEN(SUBSTITUTE(E653,"/",""))+2,LEN(E653)-LEN(SUBSTITUTE(E653,"/",""))+1))</f>
        <v/>
      </c>
      <c r="I653" s="78">
        <f>IF(ISBLANK(G653),"",IF(D653="Stock","0",Key!$A$3*H653*G653))</f>
        <v/>
      </c>
      <c r="J653" s="78">
        <f>IF(ISBLANK(E653),"",IF(ISNUMBER(SEARCH("/",E653)), IF(LEN(E653)-LEN(SUBSTITUTE(E653,"/",""))=1,(RIGHT(E653,LEN(E653)-FIND("/",E653)))-(LEFT(E653,FIND("/",E653)-1)),(MID(E653, SEARCH("/",E653) + 1, SEARCH("/",E653, SEARCH("/",E653)+1) - SEARCH("/",E653) - 1))-(LEFT(E653,FIND("/",E653)-1))), "NA"))</f>
        <v/>
      </c>
      <c r="K653" s="79">
        <f>IF(A653&lt;&gt;"", IF(ISBLANK(L653), TODAY(), K653), "")</f>
        <v/>
      </c>
      <c r="L653" s="78" t="n"/>
      <c r="M653" s="78">
        <f>IF(ISBLANK(L653),"",IF(D653="Stock",IF(C653="Buy",L653*G653,IF(C653="Sell",(L653*G653)-I653, X)),IF(C653="Buy",(L653*G653*100)+I653,IF(C653="Sell",(L653*G653*100)-I653, X))))</f>
        <v/>
      </c>
      <c r="N653" s="78">
        <f>IF(ISBLANK(L653),"",IF(AND(C653="Sell",D653="Stock"),M653,IF(ISBLANK(L653),"",IF(C653="Buy",M653, IF(AND(C653="Sell",J653="NA"),(E653*G653*100*0.1)+I653, IF(C653="Sell",(J653-L653)*(100*G653)+I653))))))</f>
        <v/>
      </c>
      <c r="O653" s="75" t="n"/>
      <c r="P653" s="75" t="n"/>
      <c r="Q653" s="75">
        <f>IF(ISBLANK(P653),"",IF(D653="Stock",P653*G653,IF(P653=0,"0",G653*P653*100-(G653*$AF$14))))</f>
        <v/>
      </c>
      <c r="R653" s="79">
        <f>IF(P653&lt;&gt;"", TODAY(), "")</f>
        <v/>
      </c>
      <c r="S653" s="78">
        <f>IF(AND(K653&lt;&gt;"", R653&lt;&gt;""), R653-K653, "")</f>
        <v/>
      </c>
      <c r="T653" s="78" t="n"/>
      <c r="U653" s="92">
        <f>IF(ISBLANK(P653),"",IF(C653="Buy",Q653-M653+T653, IF(C653="Sell",M653-Q653-T653, X)))</f>
        <v/>
      </c>
      <c r="V653" s="81">
        <f>IF(ISBLANK(P653),"",U653/N653)</f>
        <v/>
      </c>
      <c r="W653" s="81">
        <f>IF(ISBLANK(P653),"",IF(S653=0,(365/0.5)*V653,(365/S653)*V653))</f>
        <v/>
      </c>
      <c r="X653" s="75" t="n"/>
      <c r="Y653" s="77" t="n"/>
      <c r="Z653" s="77" t="n"/>
      <c r="AA653" s="75" t="n"/>
      <c r="AB653" s="75" t="n"/>
      <c r="AC653" s="6" t="n"/>
      <c r="AD653" s="75" t="n"/>
      <c r="AE653" s="75" t="n"/>
      <c r="AF653" s="75" t="n"/>
    </row>
    <row r="654" ht="15.75" customHeight="1" s="133">
      <c r="A654" s="75" t="n"/>
      <c r="B654" s="75" t="n"/>
      <c r="C654" s="75" t="n"/>
      <c r="D654" s="75" t="n"/>
      <c r="E654" s="76" t="n"/>
      <c r="F654" s="77" t="n"/>
      <c r="G654" s="75" t="n"/>
      <c r="H654" s="75">
        <f>IF(ISBLANK(E654),"",IF(OR(D654="Butterfly",D654="Butterfly ",D654="Iron Fly", D654="Iron Fly "),LEN(E654)-LEN(SUBSTITUTE(E654,"/",""))+2,LEN(E654)-LEN(SUBSTITUTE(E654,"/",""))+1))</f>
        <v/>
      </c>
      <c r="I654" s="78">
        <f>IF(ISBLANK(G654),"",IF(D654="Stock","0",Key!$A$3*H654*G654))</f>
        <v/>
      </c>
      <c r="J654" s="78">
        <f>IF(ISBLANK(E654),"",IF(ISNUMBER(SEARCH("/",E654)), IF(LEN(E654)-LEN(SUBSTITUTE(E654,"/",""))=1,(RIGHT(E654,LEN(E654)-FIND("/",E654)))-(LEFT(E654,FIND("/",E654)-1)),(MID(E654, SEARCH("/",E654) + 1, SEARCH("/",E654, SEARCH("/",E654)+1) - SEARCH("/",E654) - 1))-(LEFT(E654,FIND("/",E654)-1))), "NA"))</f>
        <v/>
      </c>
      <c r="K654" s="79">
        <f>IF(A654&lt;&gt;"", IF(ISBLANK(L654), TODAY(), K654), "")</f>
        <v/>
      </c>
      <c r="L654" s="78" t="n"/>
      <c r="M654" s="78">
        <f>IF(ISBLANK(L654),"",IF(D654="Stock",IF(C654="Buy",L654*G654,IF(C654="Sell",(L654*G654)-I654, X)),IF(C654="Buy",(L654*G654*100)+I654,IF(C654="Sell",(L654*G654*100)-I654, X))))</f>
        <v/>
      </c>
      <c r="N654" s="78">
        <f>IF(ISBLANK(L654),"",IF(AND(C654="Sell",D654="Stock"),M654,IF(ISBLANK(L654),"",IF(C654="Buy",M654, IF(AND(C654="Sell",J654="NA"),(E654*G654*100*0.1)+I654, IF(C654="Sell",(J654-L654)*(100*G654)+I654))))))</f>
        <v/>
      </c>
      <c r="O654" s="75" t="n"/>
      <c r="P654" s="75" t="n"/>
      <c r="Q654" s="75">
        <f>IF(ISBLANK(P654),"",IF(D654="Stock",P654*G654,IF(P654=0,"0",G654*P654*100-(G654*$AF$14))))</f>
        <v/>
      </c>
      <c r="R654" s="79">
        <f>IF(P654&lt;&gt;"", TODAY(), "")</f>
        <v/>
      </c>
      <c r="S654" s="78">
        <f>IF(AND(K654&lt;&gt;"", R654&lt;&gt;""), R654-K654, "")</f>
        <v/>
      </c>
      <c r="T654" s="78" t="n"/>
      <c r="U654" s="92">
        <f>IF(ISBLANK(P654),"",IF(C654="Buy",Q654-M654+T654, IF(C654="Sell",M654-Q654-T654, X)))</f>
        <v/>
      </c>
      <c r="V654" s="81">
        <f>IF(ISBLANK(P654),"",U654/N654)</f>
        <v/>
      </c>
      <c r="W654" s="81">
        <f>IF(ISBLANK(P654),"",IF(S654=0,(365/0.5)*V654,(365/S654)*V654))</f>
        <v/>
      </c>
      <c r="X654" s="75" t="n"/>
      <c r="Y654" s="77" t="n"/>
      <c r="Z654" s="77" t="n"/>
      <c r="AA654" s="75" t="n"/>
      <c r="AB654" s="75" t="n"/>
      <c r="AC654" s="6" t="n"/>
      <c r="AD654" s="75" t="n"/>
      <c r="AE654" s="75" t="n"/>
      <c r="AF654" s="75" t="n"/>
    </row>
    <row r="655" ht="15.75" customHeight="1" s="133">
      <c r="A655" s="75" t="n"/>
      <c r="B655" s="75" t="n"/>
      <c r="C655" s="75" t="n"/>
      <c r="D655" s="75" t="n"/>
      <c r="E655" s="76" t="n"/>
      <c r="F655" s="77" t="n"/>
      <c r="G655" s="75" t="n"/>
      <c r="H655" s="75">
        <f>IF(ISBLANK(E655),"",IF(OR(D655="Butterfly",D655="Butterfly ",D655="Iron Fly", D655="Iron Fly "),LEN(E655)-LEN(SUBSTITUTE(E655,"/",""))+2,LEN(E655)-LEN(SUBSTITUTE(E655,"/",""))+1))</f>
        <v/>
      </c>
      <c r="I655" s="78">
        <f>IF(ISBLANK(G655),"",IF(D655="Stock","0",Key!$A$3*H655*G655))</f>
        <v/>
      </c>
      <c r="J655" s="78">
        <f>IF(ISBLANK(E655),"",IF(ISNUMBER(SEARCH("/",E655)), IF(LEN(E655)-LEN(SUBSTITUTE(E655,"/",""))=1,(RIGHT(E655,LEN(E655)-FIND("/",E655)))-(LEFT(E655,FIND("/",E655)-1)),(MID(E655, SEARCH("/",E655) + 1, SEARCH("/",E655, SEARCH("/",E655)+1) - SEARCH("/",E655) - 1))-(LEFT(E655,FIND("/",E655)-1))), "NA"))</f>
        <v/>
      </c>
      <c r="K655" s="79">
        <f>IF(A655&lt;&gt;"", IF(ISBLANK(L655), TODAY(), K655), "")</f>
        <v/>
      </c>
      <c r="L655" s="78" t="n"/>
      <c r="M655" s="78">
        <f>IF(ISBLANK(L655),"",IF(D655="Stock",IF(C655="Buy",L655*G655,IF(C655="Sell",(L655*G655)-I655, X)),IF(C655="Buy",(L655*G655*100)+I655,IF(C655="Sell",(L655*G655*100)-I655, X))))</f>
        <v/>
      </c>
      <c r="N655" s="78">
        <f>IF(ISBLANK(L655),"",IF(AND(C655="Sell",D655="Stock"),M655,IF(ISBLANK(L655),"",IF(C655="Buy",M655, IF(AND(C655="Sell",J655="NA"),(E655*G655*100*0.1)+I655, IF(C655="Sell",(J655-L655)*(100*G655)+I655))))))</f>
        <v/>
      </c>
      <c r="O655" s="75" t="n"/>
      <c r="P655" s="75" t="n"/>
      <c r="Q655" s="75">
        <f>IF(ISBLANK(P655),"",IF(D655="Stock",P655*G655,IF(P655=0,"0",G655*P655*100-(G655*$AF$14))))</f>
        <v/>
      </c>
      <c r="R655" s="79">
        <f>IF(P655&lt;&gt;"", TODAY(), "")</f>
        <v/>
      </c>
      <c r="S655" s="78">
        <f>IF(AND(K655&lt;&gt;"", R655&lt;&gt;""), R655-K655, "")</f>
        <v/>
      </c>
      <c r="T655" s="78" t="n"/>
      <c r="U655" s="92">
        <f>IF(ISBLANK(P655),"",IF(C655="Buy",Q655-M655+T655, IF(C655="Sell",M655-Q655-T655, X)))</f>
        <v/>
      </c>
      <c r="V655" s="81">
        <f>IF(ISBLANK(P655),"",U655/N655)</f>
        <v/>
      </c>
      <c r="W655" s="81">
        <f>IF(ISBLANK(P655),"",IF(S655=0,(365/0.5)*V655,(365/S655)*V655))</f>
        <v/>
      </c>
      <c r="X655" s="75" t="n"/>
      <c r="Y655" s="77" t="n"/>
      <c r="Z655" s="77" t="n"/>
      <c r="AA655" s="75" t="n"/>
      <c r="AB655" s="75" t="n"/>
      <c r="AC655" s="6" t="n"/>
      <c r="AD655" s="75" t="n"/>
      <c r="AE655" s="75" t="n"/>
      <c r="AF655" s="75" t="n"/>
    </row>
    <row r="656" ht="15.75" customHeight="1" s="133">
      <c r="A656" s="75" t="n"/>
      <c r="B656" s="75" t="n"/>
      <c r="C656" s="75" t="n"/>
      <c r="D656" s="75" t="n"/>
      <c r="E656" s="76" t="n"/>
      <c r="F656" s="77" t="n"/>
      <c r="G656" s="75" t="n"/>
      <c r="H656" s="75">
        <f>IF(ISBLANK(E656),"",IF(OR(D656="Butterfly",D656="Butterfly ",D656="Iron Fly", D656="Iron Fly "),LEN(E656)-LEN(SUBSTITUTE(E656,"/",""))+2,LEN(E656)-LEN(SUBSTITUTE(E656,"/",""))+1))</f>
        <v/>
      </c>
      <c r="I656" s="78">
        <f>IF(ISBLANK(G656),"",IF(D656="Stock","0",Key!$A$3*H656*G656))</f>
        <v/>
      </c>
      <c r="J656" s="78">
        <f>IF(ISBLANK(E656),"",IF(ISNUMBER(SEARCH("/",E656)), IF(LEN(E656)-LEN(SUBSTITUTE(E656,"/",""))=1,(RIGHT(E656,LEN(E656)-FIND("/",E656)))-(LEFT(E656,FIND("/",E656)-1)),(MID(E656, SEARCH("/",E656) + 1, SEARCH("/",E656, SEARCH("/",E656)+1) - SEARCH("/",E656) - 1))-(LEFT(E656,FIND("/",E656)-1))), "NA"))</f>
        <v/>
      </c>
      <c r="K656" s="79">
        <f>IF(A656&lt;&gt;"", IF(ISBLANK(L656), TODAY(), K656), "")</f>
        <v/>
      </c>
      <c r="L656" s="78" t="n"/>
      <c r="M656" s="78">
        <f>IF(ISBLANK(L656),"",IF(D656="Stock",IF(C656="Buy",L656*G656,IF(C656="Sell",(L656*G656)-I656, X)),IF(C656="Buy",(L656*G656*100)+I656,IF(C656="Sell",(L656*G656*100)-I656, X))))</f>
        <v/>
      </c>
      <c r="N656" s="78">
        <f>IF(ISBLANK(L656),"",IF(AND(C656="Sell",D656="Stock"),M656,IF(ISBLANK(L656),"",IF(C656="Buy",M656, IF(AND(C656="Sell",J656="NA"),(E656*G656*100*0.1)+I656, IF(C656="Sell",(J656-L656)*(100*G656)+I656))))))</f>
        <v/>
      </c>
      <c r="O656" s="75" t="n"/>
      <c r="P656" s="75" t="n"/>
      <c r="Q656" s="75">
        <f>IF(ISBLANK(P656),"",IF(D656="Stock",P656*G656,IF(P656=0,"0",G656*P656*100-(G656*$AF$14))))</f>
        <v/>
      </c>
      <c r="R656" s="79">
        <f>IF(P656&lt;&gt;"", TODAY(), "")</f>
        <v/>
      </c>
      <c r="S656" s="78">
        <f>IF(AND(K656&lt;&gt;"", R656&lt;&gt;""), R656-K656, "")</f>
        <v/>
      </c>
      <c r="T656" s="78" t="n"/>
      <c r="U656" s="92">
        <f>IF(ISBLANK(P656),"",IF(C656="Buy",Q656-M656+T656, IF(C656="Sell",M656-Q656-T656, X)))</f>
        <v/>
      </c>
      <c r="V656" s="81">
        <f>IF(ISBLANK(P656),"",U656/N656)</f>
        <v/>
      </c>
      <c r="W656" s="81">
        <f>IF(ISBLANK(P656),"",IF(S656=0,(365/0.5)*V656,(365/S656)*V656))</f>
        <v/>
      </c>
      <c r="X656" s="75" t="n"/>
      <c r="Y656" s="77" t="n"/>
      <c r="Z656" s="77" t="n"/>
      <c r="AA656" s="75" t="n"/>
      <c r="AB656" s="75" t="n"/>
      <c r="AC656" s="6" t="n"/>
      <c r="AD656" s="75" t="n"/>
      <c r="AE656" s="75" t="n"/>
      <c r="AF656" s="75" t="n"/>
    </row>
    <row r="657" ht="15.75" customHeight="1" s="133">
      <c r="A657" s="75" t="n"/>
      <c r="B657" s="75" t="n"/>
      <c r="C657" s="75" t="n"/>
      <c r="D657" s="75" t="n"/>
      <c r="E657" s="76" t="n"/>
      <c r="F657" s="77" t="n"/>
      <c r="G657" s="75" t="n"/>
      <c r="H657" s="75">
        <f>IF(ISBLANK(E657),"",IF(OR(D657="Butterfly",D657="Butterfly ",D657="Iron Fly", D657="Iron Fly "),LEN(E657)-LEN(SUBSTITUTE(E657,"/",""))+2,LEN(E657)-LEN(SUBSTITUTE(E657,"/",""))+1))</f>
        <v/>
      </c>
      <c r="I657" s="78">
        <f>IF(ISBLANK(G657),"",IF(D657="Stock","0",Key!$A$3*H657*G657))</f>
        <v/>
      </c>
      <c r="J657" s="78">
        <f>IF(ISBLANK(E657),"",IF(ISNUMBER(SEARCH("/",E657)), IF(LEN(E657)-LEN(SUBSTITUTE(E657,"/",""))=1,(RIGHT(E657,LEN(E657)-FIND("/",E657)))-(LEFT(E657,FIND("/",E657)-1)),(MID(E657, SEARCH("/",E657) + 1, SEARCH("/",E657, SEARCH("/",E657)+1) - SEARCH("/",E657) - 1))-(LEFT(E657,FIND("/",E657)-1))), "NA"))</f>
        <v/>
      </c>
      <c r="K657" s="79">
        <f>IF(A657&lt;&gt;"", IF(ISBLANK(L657), TODAY(), K657), "")</f>
        <v/>
      </c>
      <c r="L657" s="78" t="n"/>
      <c r="M657" s="78">
        <f>IF(ISBLANK(L657),"",IF(D657="Stock",IF(C657="Buy",L657*G657,IF(C657="Sell",(L657*G657)-I657, X)),IF(C657="Buy",(L657*G657*100)+I657,IF(C657="Sell",(L657*G657*100)-I657, X))))</f>
        <v/>
      </c>
      <c r="N657" s="78">
        <f>IF(ISBLANK(L657),"",IF(AND(C657="Sell",D657="Stock"),M657,IF(ISBLANK(L657),"",IF(C657="Buy",M657, IF(AND(C657="Sell",J657="NA"),(E657*G657*100*0.1)+I657, IF(C657="Sell",(J657-L657)*(100*G657)+I657))))))</f>
        <v/>
      </c>
      <c r="O657" s="75" t="n"/>
      <c r="P657" s="75" t="n"/>
      <c r="Q657" s="75">
        <f>IF(ISBLANK(P657),"",IF(D657="Stock",P657*G657,IF(P657=0,"0",G657*P657*100-(G657*$AF$14))))</f>
        <v/>
      </c>
      <c r="R657" s="79">
        <f>IF(P657&lt;&gt;"", TODAY(), "")</f>
        <v/>
      </c>
      <c r="S657" s="78">
        <f>IF(AND(K657&lt;&gt;"", R657&lt;&gt;""), R657-K657, "")</f>
        <v/>
      </c>
      <c r="T657" s="78" t="n"/>
      <c r="U657" s="92">
        <f>IF(ISBLANK(P657),"",IF(C657="Buy",Q657-M657+T657, IF(C657="Sell",M657-Q657-T657, X)))</f>
        <v/>
      </c>
      <c r="V657" s="81">
        <f>IF(ISBLANK(P657),"",U657/N657)</f>
        <v/>
      </c>
      <c r="W657" s="81">
        <f>IF(ISBLANK(P657),"",IF(S657=0,(365/0.5)*V657,(365/S657)*V657))</f>
        <v/>
      </c>
      <c r="X657" s="75" t="n"/>
      <c r="Y657" s="77" t="n"/>
      <c r="Z657" s="77" t="n"/>
      <c r="AA657" s="75" t="n"/>
      <c r="AB657" s="75" t="n"/>
      <c r="AC657" s="6" t="n"/>
      <c r="AD657" s="75" t="n"/>
      <c r="AE657" s="75" t="n"/>
      <c r="AF657" s="75" t="n"/>
    </row>
    <row r="658" ht="15.75" customHeight="1" s="133">
      <c r="A658" s="75" t="n"/>
      <c r="B658" s="75" t="n"/>
      <c r="C658" s="75" t="n"/>
      <c r="D658" s="75" t="n"/>
      <c r="E658" s="76" t="n"/>
      <c r="F658" s="77" t="n"/>
      <c r="G658" s="75" t="n"/>
      <c r="H658" s="75">
        <f>IF(ISBLANK(E658),"",IF(OR(D658="Butterfly",D658="Butterfly ",D658="Iron Fly", D658="Iron Fly "),LEN(E658)-LEN(SUBSTITUTE(E658,"/",""))+2,LEN(E658)-LEN(SUBSTITUTE(E658,"/",""))+1))</f>
        <v/>
      </c>
      <c r="I658" s="78">
        <f>IF(ISBLANK(G658),"",IF(D658="Stock","0",Key!$A$3*H658*G658))</f>
        <v/>
      </c>
      <c r="J658" s="78">
        <f>IF(ISBLANK(E658),"",IF(ISNUMBER(SEARCH("/",E658)), IF(LEN(E658)-LEN(SUBSTITUTE(E658,"/",""))=1,(RIGHT(E658,LEN(E658)-FIND("/",E658)))-(LEFT(E658,FIND("/",E658)-1)),(MID(E658, SEARCH("/",E658) + 1, SEARCH("/",E658, SEARCH("/",E658)+1) - SEARCH("/",E658) - 1))-(LEFT(E658,FIND("/",E658)-1))), "NA"))</f>
        <v/>
      </c>
      <c r="K658" s="79">
        <f>IF(A658&lt;&gt;"", IF(ISBLANK(L658), TODAY(), K658), "")</f>
        <v/>
      </c>
      <c r="L658" s="78" t="n"/>
      <c r="M658" s="78">
        <f>IF(ISBLANK(L658),"",IF(D658="Stock",IF(C658="Buy",L658*G658,IF(C658="Sell",(L658*G658)-I658, X)),IF(C658="Buy",(L658*G658*100)+I658,IF(C658="Sell",(L658*G658*100)-I658, X))))</f>
        <v/>
      </c>
      <c r="N658" s="78">
        <f>IF(ISBLANK(L658),"",IF(AND(C658="Sell",D658="Stock"),M658,IF(ISBLANK(L658),"",IF(C658="Buy",M658, IF(AND(C658="Sell",J658="NA"),(E658*G658*100*0.1)+I658, IF(C658="Sell",(J658-L658)*(100*G658)+I658))))))</f>
        <v/>
      </c>
      <c r="O658" s="75" t="n"/>
      <c r="P658" s="75" t="n"/>
      <c r="Q658" s="75">
        <f>IF(ISBLANK(P658),"",IF(D658="Stock",P658*G658,IF(P658=0,"0",G658*P658*100-(G658*$AF$14))))</f>
        <v/>
      </c>
      <c r="R658" s="79">
        <f>IF(P658&lt;&gt;"", TODAY(), "")</f>
        <v/>
      </c>
      <c r="S658" s="78">
        <f>IF(AND(K658&lt;&gt;"", R658&lt;&gt;""), R658-K658, "")</f>
        <v/>
      </c>
      <c r="T658" s="78" t="n"/>
      <c r="U658" s="92">
        <f>IF(ISBLANK(P658),"",IF(C658="Buy",Q658-M658+T658, IF(C658="Sell",M658-Q658-T658, X)))</f>
        <v/>
      </c>
      <c r="V658" s="81">
        <f>IF(ISBLANK(P658),"",U658/N658)</f>
        <v/>
      </c>
      <c r="W658" s="81">
        <f>IF(ISBLANK(P658),"",IF(S658=0,(365/0.5)*V658,(365/S658)*V658))</f>
        <v/>
      </c>
      <c r="X658" s="75" t="n"/>
      <c r="Y658" s="77" t="n"/>
      <c r="Z658" s="77" t="n"/>
      <c r="AA658" s="75" t="n"/>
      <c r="AB658" s="75" t="n"/>
      <c r="AC658" s="6" t="n"/>
      <c r="AD658" s="75" t="n"/>
      <c r="AE658" s="75" t="n"/>
      <c r="AF658" s="75" t="n"/>
    </row>
    <row r="659" ht="15.75" customHeight="1" s="133">
      <c r="A659" s="75" t="n"/>
      <c r="B659" s="75" t="n"/>
      <c r="C659" s="75" t="n"/>
      <c r="D659" s="75" t="n"/>
      <c r="E659" s="76" t="n"/>
      <c r="F659" s="77" t="n"/>
      <c r="G659" s="75" t="n"/>
      <c r="H659" s="75">
        <f>IF(ISBLANK(E659),"",IF(OR(D659="Butterfly",D659="Butterfly ",D659="Iron Fly", D659="Iron Fly "),LEN(E659)-LEN(SUBSTITUTE(E659,"/",""))+2,LEN(E659)-LEN(SUBSTITUTE(E659,"/",""))+1))</f>
        <v/>
      </c>
      <c r="I659" s="78">
        <f>IF(ISBLANK(G659),"",IF(D659="Stock","0",Key!$A$3*H659*G659))</f>
        <v/>
      </c>
      <c r="J659" s="78">
        <f>IF(ISBLANK(E659),"",IF(ISNUMBER(SEARCH("/",E659)), IF(LEN(E659)-LEN(SUBSTITUTE(E659,"/",""))=1,(RIGHT(E659,LEN(E659)-FIND("/",E659)))-(LEFT(E659,FIND("/",E659)-1)),(MID(E659, SEARCH("/",E659) + 1, SEARCH("/",E659, SEARCH("/",E659)+1) - SEARCH("/",E659) - 1))-(LEFT(E659,FIND("/",E659)-1))), "NA"))</f>
        <v/>
      </c>
      <c r="K659" s="79">
        <f>IF(A659&lt;&gt;"", IF(ISBLANK(L659), TODAY(), K659), "")</f>
        <v/>
      </c>
      <c r="L659" s="78" t="n"/>
      <c r="M659" s="78">
        <f>IF(ISBLANK(L659),"",IF(D659="Stock",IF(C659="Buy",L659*G659,IF(C659="Sell",(L659*G659)-I659, X)),IF(C659="Buy",(L659*G659*100)+I659,IF(C659="Sell",(L659*G659*100)-I659, X))))</f>
        <v/>
      </c>
      <c r="N659" s="78">
        <f>IF(ISBLANK(L659),"",IF(AND(C659="Sell",D659="Stock"),M659,IF(ISBLANK(L659),"",IF(C659="Buy",M659, IF(AND(C659="Sell",J659="NA"),(E659*G659*100*0.1)+I659, IF(C659="Sell",(J659-L659)*(100*G659)+I659))))))</f>
        <v/>
      </c>
      <c r="O659" s="75" t="n"/>
      <c r="P659" s="75" t="n"/>
      <c r="Q659" s="75">
        <f>IF(ISBLANK(P659),"",IF(D659="Stock",P659*G659,IF(P659=0,"0",G659*P659*100-(G659*$AF$14))))</f>
        <v/>
      </c>
      <c r="R659" s="79">
        <f>IF(P659&lt;&gt;"", TODAY(), "")</f>
        <v/>
      </c>
      <c r="S659" s="78">
        <f>IF(AND(K659&lt;&gt;"", R659&lt;&gt;""), R659-K659, "")</f>
        <v/>
      </c>
      <c r="T659" s="78" t="n"/>
      <c r="U659" s="92">
        <f>IF(ISBLANK(P659),"",IF(C659="Buy",Q659-M659+T659, IF(C659="Sell",M659-Q659-T659, X)))</f>
        <v/>
      </c>
      <c r="V659" s="81">
        <f>IF(ISBLANK(P659),"",U659/N659)</f>
        <v/>
      </c>
      <c r="W659" s="81">
        <f>IF(ISBLANK(P659),"",IF(S659=0,(365/0.5)*V659,(365/S659)*V659))</f>
        <v/>
      </c>
      <c r="X659" s="75" t="n"/>
      <c r="Y659" s="77" t="n"/>
      <c r="Z659" s="77" t="n"/>
      <c r="AA659" s="75" t="n"/>
      <c r="AB659" s="75" t="n"/>
      <c r="AC659" s="6" t="n"/>
      <c r="AD659" s="75" t="n"/>
      <c r="AE659" s="75" t="n"/>
      <c r="AF659" s="75" t="n"/>
    </row>
    <row r="660" ht="15.75" customHeight="1" s="133">
      <c r="A660" s="75" t="n"/>
      <c r="B660" s="75" t="n"/>
      <c r="C660" s="75" t="n"/>
      <c r="D660" s="75" t="n"/>
      <c r="E660" s="76" t="n"/>
      <c r="F660" s="77" t="n"/>
      <c r="G660" s="75" t="n"/>
      <c r="H660" s="75">
        <f>IF(ISBLANK(E660),"",IF(OR(D660="Butterfly",D660="Butterfly ",D660="Iron Fly", D660="Iron Fly "),LEN(E660)-LEN(SUBSTITUTE(E660,"/",""))+2,LEN(E660)-LEN(SUBSTITUTE(E660,"/",""))+1))</f>
        <v/>
      </c>
      <c r="I660" s="78">
        <f>IF(ISBLANK(G660),"",IF(D660="Stock","0",Key!$A$3*H660*G660))</f>
        <v/>
      </c>
      <c r="J660" s="78">
        <f>IF(ISBLANK(E660),"",IF(ISNUMBER(SEARCH("/",E660)), IF(LEN(E660)-LEN(SUBSTITUTE(E660,"/",""))=1,(RIGHT(E660,LEN(E660)-FIND("/",E660)))-(LEFT(E660,FIND("/",E660)-1)),(MID(E660, SEARCH("/",E660) + 1, SEARCH("/",E660, SEARCH("/",E660)+1) - SEARCH("/",E660) - 1))-(LEFT(E660,FIND("/",E660)-1))), "NA"))</f>
        <v/>
      </c>
      <c r="K660" s="79">
        <f>IF(A660&lt;&gt;"", IF(ISBLANK(L660), TODAY(), K660), "")</f>
        <v/>
      </c>
      <c r="L660" s="78" t="n"/>
      <c r="M660" s="78">
        <f>IF(ISBLANK(L660),"",IF(D660="Stock",IF(C660="Buy",L660*G660,IF(C660="Sell",(L660*G660)-I660, X)),IF(C660="Buy",(L660*G660*100)+I660,IF(C660="Sell",(L660*G660*100)-I660, X))))</f>
        <v/>
      </c>
      <c r="N660" s="78">
        <f>IF(ISBLANK(L660),"",IF(AND(C660="Sell",D660="Stock"),M660,IF(ISBLANK(L660),"",IF(C660="Buy",M660, IF(AND(C660="Sell",J660="NA"),(E660*G660*100*0.1)+I660, IF(C660="Sell",(J660-L660)*(100*G660)+I660))))))</f>
        <v/>
      </c>
      <c r="O660" s="75" t="n"/>
      <c r="P660" s="75" t="n"/>
      <c r="Q660" s="75">
        <f>IF(ISBLANK(P660),"",IF(D660="Stock",P660*G660,IF(P660=0,"0",G660*P660*100-(G660*$AF$14))))</f>
        <v/>
      </c>
      <c r="R660" s="79">
        <f>IF(P660&lt;&gt;"", TODAY(), "")</f>
        <v/>
      </c>
      <c r="S660" s="78">
        <f>IF(AND(K660&lt;&gt;"", R660&lt;&gt;""), R660-K660, "")</f>
        <v/>
      </c>
      <c r="T660" s="78" t="n"/>
      <c r="U660" s="92">
        <f>IF(ISBLANK(P660),"",IF(C660="Buy",Q660-M660+T660, IF(C660="Sell",M660-Q660-T660, X)))</f>
        <v/>
      </c>
      <c r="V660" s="81">
        <f>IF(ISBLANK(P660),"",U660/N660)</f>
        <v/>
      </c>
      <c r="W660" s="81">
        <f>IF(ISBLANK(P660),"",IF(S660=0,(365/0.5)*V660,(365/S660)*V660))</f>
        <v/>
      </c>
      <c r="X660" s="75" t="n"/>
      <c r="Y660" s="77" t="n"/>
      <c r="Z660" s="77" t="n"/>
      <c r="AA660" s="75" t="n"/>
      <c r="AB660" s="75" t="n"/>
      <c r="AC660" s="6" t="n"/>
      <c r="AD660" s="75" t="n"/>
      <c r="AE660" s="75" t="n"/>
      <c r="AF660" s="75" t="n"/>
    </row>
    <row r="661" ht="15.75" customHeight="1" s="133">
      <c r="A661" s="75" t="n"/>
      <c r="B661" s="75" t="n"/>
      <c r="C661" s="75" t="n"/>
      <c r="D661" s="75" t="n"/>
      <c r="E661" s="76" t="n"/>
      <c r="F661" s="77" t="n"/>
      <c r="G661" s="75" t="n"/>
      <c r="H661" s="75">
        <f>IF(ISBLANK(E661),"",IF(OR(D661="Butterfly",D661="Butterfly ",D661="Iron Fly", D661="Iron Fly "),LEN(E661)-LEN(SUBSTITUTE(E661,"/",""))+2,LEN(E661)-LEN(SUBSTITUTE(E661,"/",""))+1))</f>
        <v/>
      </c>
      <c r="I661" s="78">
        <f>IF(ISBLANK(G661),"",IF(D661="Stock","0",Key!$A$3*H661*G661))</f>
        <v/>
      </c>
      <c r="J661" s="78">
        <f>IF(ISBLANK(E661),"",IF(ISNUMBER(SEARCH("/",E661)), IF(LEN(E661)-LEN(SUBSTITUTE(E661,"/",""))=1,(RIGHT(E661,LEN(E661)-FIND("/",E661)))-(LEFT(E661,FIND("/",E661)-1)),(MID(E661, SEARCH("/",E661) + 1, SEARCH("/",E661, SEARCH("/",E661)+1) - SEARCH("/",E661) - 1))-(LEFT(E661,FIND("/",E661)-1))), "NA"))</f>
        <v/>
      </c>
      <c r="K661" s="79">
        <f>IF(A661&lt;&gt;"", IF(ISBLANK(L661), TODAY(), K661), "")</f>
        <v/>
      </c>
      <c r="L661" s="78" t="n"/>
      <c r="M661" s="78">
        <f>IF(ISBLANK(L661),"",IF(D661="Stock",IF(C661="Buy",L661*G661,IF(C661="Sell",(L661*G661)-I661, X)),IF(C661="Buy",(L661*G661*100)+I661,IF(C661="Sell",(L661*G661*100)-I661, X))))</f>
        <v/>
      </c>
      <c r="N661" s="78">
        <f>IF(ISBLANK(L661),"",IF(AND(C661="Sell",D661="Stock"),M661,IF(ISBLANK(L661),"",IF(C661="Buy",M661, IF(AND(C661="Sell",J661="NA"),(E661*G661*100*0.1)+I661, IF(C661="Sell",(J661-L661)*(100*G661)+I661))))))</f>
        <v/>
      </c>
      <c r="O661" s="75" t="n"/>
      <c r="P661" s="75" t="n"/>
      <c r="Q661" s="75">
        <f>IF(ISBLANK(P661),"",IF(D661="Stock",P661*G661,IF(P661=0,"0",G661*P661*100-(G661*$AF$14))))</f>
        <v/>
      </c>
      <c r="R661" s="79">
        <f>IF(P661&lt;&gt;"", TODAY(), "")</f>
        <v/>
      </c>
      <c r="S661" s="78">
        <f>IF(AND(K661&lt;&gt;"", R661&lt;&gt;""), R661-K661, "")</f>
        <v/>
      </c>
      <c r="T661" s="78" t="n"/>
      <c r="U661" s="92">
        <f>IF(ISBLANK(P661),"",IF(C661="Buy",Q661-M661+T661, IF(C661="Sell",M661-Q661-T661, X)))</f>
        <v/>
      </c>
      <c r="V661" s="81">
        <f>IF(ISBLANK(P661),"",U661/N661)</f>
        <v/>
      </c>
      <c r="W661" s="81">
        <f>IF(ISBLANK(P661),"",IF(S661=0,(365/0.5)*V661,(365/S661)*V661))</f>
        <v/>
      </c>
      <c r="X661" s="75" t="n"/>
      <c r="Y661" s="77" t="n"/>
      <c r="Z661" s="77" t="n"/>
      <c r="AA661" s="75" t="n"/>
      <c r="AB661" s="75" t="n"/>
      <c r="AC661" s="6" t="n"/>
      <c r="AD661" s="75" t="n"/>
      <c r="AE661" s="75" t="n"/>
      <c r="AF661" s="75" t="n"/>
    </row>
    <row r="662" ht="15.75" customHeight="1" s="133">
      <c r="A662" s="75" t="n"/>
      <c r="B662" s="75" t="n"/>
      <c r="C662" s="75" t="n"/>
      <c r="D662" s="75" t="n"/>
      <c r="E662" s="76" t="n"/>
      <c r="F662" s="77" t="n"/>
      <c r="G662" s="75" t="n"/>
      <c r="H662" s="75">
        <f>IF(ISBLANK(E662),"",IF(OR(D662="Butterfly",D662="Butterfly ",D662="Iron Fly", D662="Iron Fly "),LEN(E662)-LEN(SUBSTITUTE(E662,"/",""))+2,LEN(E662)-LEN(SUBSTITUTE(E662,"/",""))+1))</f>
        <v/>
      </c>
      <c r="I662" s="78">
        <f>IF(ISBLANK(G662),"",IF(D662="Stock","0",Key!$A$3*H662*G662))</f>
        <v/>
      </c>
      <c r="J662" s="78">
        <f>IF(ISBLANK(E662),"",IF(ISNUMBER(SEARCH("/",E662)), IF(LEN(E662)-LEN(SUBSTITUTE(E662,"/",""))=1,(RIGHT(E662,LEN(E662)-FIND("/",E662)))-(LEFT(E662,FIND("/",E662)-1)),(MID(E662, SEARCH("/",E662) + 1, SEARCH("/",E662, SEARCH("/",E662)+1) - SEARCH("/",E662) - 1))-(LEFT(E662,FIND("/",E662)-1))), "NA"))</f>
        <v/>
      </c>
      <c r="K662" s="79">
        <f>IF(A662&lt;&gt;"", IF(ISBLANK(L662), TODAY(), K662), "")</f>
        <v/>
      </c>
      <c r="L662" s="78" t="n"/>
      <c r="M662" s="78">
        <f>IF(ISBLANK(L662),"",IF(D662="Stock",IF(C662="Buy",L662*G662,IF(C662="Sell",(L662*G662)-I662, X)),IF(C662="Buy",(L662*G662*100)+I662,IF(C662="Sell",(L662*G662*100)-I662, X))))</f>
        <v/>
      </c>
      <c r="N662" s="78">
        <f>IF(ISBLANK(L662),"",IF(AND(C662="Sell",D662="Stock"),M662,IF(ISBLANK(L662),"",IF(C662="Buy",M662, IF(AND(C662="Sell",J662="NA"),(E662*G662*100*0.1)+I662, IF(C662="Sell",(J662-L662)*(100*G662)+I662))))))</f>
        <v/>
      </c>
      <c r="O662" s="75" t="n"/>
      <c r="P662" s="75" t="n"/>
      <c r="Q662" s="75">
        <f>IF(ISBLANK(P662),"",IF(D662="Stock",P662*G662,IF(P662=0,"0",G662*P662*100-(G662*$AF$14))))</f>
        <v/>
      </c>
      <c r="R662" s="79">
        <f>IF(P662&lt;&gt;"", TODAY(), "")</f>
        <v/>
      </c>
      <c r="S662" s="78">
        <f>IF(AND(K662&lt;&gt;"", R662&lt;&gt;""), R662-K662, "")</f>
        <v/>
      </c>
      <c r="T662" s="78" t="n"/>
      <c r="U662" s="92">
        <f>IF(ISBLANK(P662),"",IF(C662="Buy",Q662-M662+T662, IF(C662="Sell",M662-Q662-T662, X)))</f>
        <v/>
      </c>
      <c r="V662" s="81">
        <f>IF(ISBLANK(P662),"",U662/N662)</f>
        <v/>
      </c>
      <c r="W662" s="81">
        <f>IF(ISBLANK(P662),"",IF(S662=0,(365/0.5)*V662,(365/S662)*V662))</f>
        <v/>
      </c>
      <c r="X662" s="75" t="n"/>
      <c r="Y662" s="77" t="n"/>
      <c r="Z662" s="77" t="n"/>
      <c r="AA662" s="75" t="n"/>
      <c r="AB662" s="75" t="n"/>
      <c r="AC662" s="6" t="n"/>
      <c r="AD662" s="75" t="n"/>
      <c r="AE662" s="75" t="n"/>
      <c r="AF662" s="75" t="n"/>
    </row>
    <row r="663" ht="15.75" customHeight="1" s="133">
      <c r="A663" s="75" t="n"/>
      <c r="B663" s="75" t="n"/>
      <c r="C663" s="75" t="n"/>
      <c r="D663" s="75" t="n"/>
      <c r="E663" s="76" t="n"/>
      <c r="F663" s="77" t="n"/>
      <c r="G663" s="75" t="n"/>
      <c r="H663" s="75">
        <f>IF(ISBLANK(E663),"",IF(OR(D663="Butterfly",D663="Butterfly ",D663="Iron Fly", D663="Iron Fly "),LEN(E663)-LEN(SUBSTITUTE(E663,"/",""))+2,LEN(E663)-LEN(SUBSTITUTE(E663,"/",""))+1))</f>
        <v/>
      </c>
      <c r="I663" s="78">
        <f>IF(ISBLANK(G663),"",IF(D663="Stock","0",Key!$A$3*H663*G663))</f>
        <v/>
      </c>
      <c r="J663" s="78">
        <f>IF(ISBLANK(E663),"",IF(ISNUMBER(SEARCH("/",E663)), IF(LEN(E663)-LEN(SUBSTITUTE(E663,"/",""))=1,(RIGHT(E663,LEN(E663)-FIND("/",E663)))-(LEFT(E663,FIND("/",E663)-1)),(MID(E663, SEARCH("/",E663) + 1, SEARCH("/",E663, SEARCH("/",E663)+1) - SEARCH("/",E663) - 1))-(LEFT(E663,FIND("/",E663)-1))), "NA"))</f>
        <v/>
      </c>
      <c r="K663" s="79">
        <f>IF(A663&lt;&gt;"", IF(ISBLANK(L663), TODAY(), K663), "")</f>
        <v/>
      </c>
      <c r="L663" s="78" t="n"/>
      <c r="M663" s="78">
        <f>IF(ISBLANK(L663),"",IF(D663="Stock",IF(C663="Buy",L663*G663,IF(C663="Sell",(L663*G663)-I663, X)),IF(C663="Buy",(L663*G663*100)+I663,IF(C663="Sell",(L663*G663*100)-I663, X))))</f>
        <v/>
      </c>
      <c r="N663" s="78">
        <f>IF(ISBLANK(L663),"",IF(AND(C663="Sell",D663="Stock"),M663,IF(ISBLANK(L663),"",IF(C663="Buy",M663, IF(AND(C663="Sell",J663="NA"),(E663*G663*100*0.1)+I663, IF(C663="Sell",(J663-L663)*(100*G663)+I663))))))</f>
        <v/>
      </c>
      <c r="O663" s="75" t="n"/>
      <c r="P663" s="75" t="n"/>
      <c r="Q663" s="75">
        <f>IF(ISBLANK(P663),"",IF(D663="Stock",P663*G663,IF(P663=0,"0",G663*P663*100-(G663*$AF$14))))</f>
        <v/>
      </c>
      <c r="R663" s="79">
        <f>IF(P663&lt;&gt;"", TODAY(), "")</f>
        <v/>
      </c>
      <c r="S663" s="78">
        <f>IF(AND(K663&lt;&gt;"", R663&lt;&gt;""), R663-K663, "")</f>
        <v/>
      </c>
      <c r="T663" s="78" t="n"/>
      <c r="U663" s="92">
        <f>IF(ISBLANK(P663),"",IF(C663="Buy",Q663-M663+T663, IF(C663="Sell",M663-Q663-T663, X)))</f>
        <v/>
      </c>
      <c r="V663" s="81">
        <f>IF(ISBLANK(P663),"",U663/N663)</f>
        <v/>
      </c>
      <c r="W663" s="81">
        <f>IF(ISBLANK(P663),"",IF(S663=0,(365/0.5)*V663,(365/S663)*V663))</f>
        <v/>
      </c>
      <c r="X663" s="75" t="n"/>
      <c r="Y663" s="77" t="n"/>
      <c r="Z663" s="77" t="n"/>
      <c r="AA663" s="75" t="n"/>
      <c r="AB663" s="75" t="n"/>
      <c r="AC663" s="6" t="n"/>
      <c r="AD663" s="75" t="n"/>
      <c r="AE663" s="75" t="n"/>
      <c r="AF663" s="75" t="n"/>
    </row>
    <row r="664" ht="15.75" customHeight="1" s="133">
      <c r="A664" s="75" t="n"/>
      <c r="B664" s="75" t="n"/>
      <c r="C664" s="75" t="n"/>
      <c r="D664" s="75" t="n"/>
      <c r="E664" s="76" t="n"/>
      <c r="F664" s="77" t="n"/>
      <c r="G664" s="75" t="n"/>
      <c r="H664" s="75">
        <f>IF(ISBLANK(E664),"",IF(OR(D664="Butterfly",D664="Butterfly ",D664="Iron Fly", D664="Iron Fly "),LEN(E664)-LEN(SUBSTITUTE(E664,"/",""))+2,LEN(E664)-LEN(SUBSTITUTE(E664,"/",""))+1))</f>
        <v/>
      </c>
      <c r="I664" s="78">
        <f>IF(ISBLANK(G664),"",IF(D664="Stock","0",Key!$A$3*H664*G664))</f>
        <v/>
      </c>
      <c r="J664" s="78">
        <f>IF(ISBLANK(E664),"",IF(ISNUMBER(SEARCH("/",E664)), IF(LEN(E664)-LEN(SUBSTITUTE(E664,"/",""))=1,(RIGHT(E664,LEN(E664)-FIND("/",E664)))-(LEFT(E664,FIND("/",E664)-1)),(MID(E664, SEARCH("/",E664) + 1, SEARCH("/",E664, SEARCH("/",E664)+1) - SEARCH("/",E664) - 1))-(LEFT(E664,FIND("/",E664)-1))), "NA"))</f>
        <v/>
      </c>
      <c r="K664" s="79">
        <f>IF(A664&lt;&gt;"", IF(ISBLANK(L664), TODAY(), K664), "")</f>
        <v/>
      </c>
      <c r="L664" s="78" t="n"/>
      <c r="M664" s="78">
        <f>IF(ISBLANK(L664),"",IF(D664="Stock",IF(C664="Buy",L664*G664,IF(C664="Sell",(L664*G664)-I664, X)),IF(C664="Buy",(L664*G664*100)+I664,IF(C664="Sell",(L664*G664*100)-I664, X))))</f>
        <v/>
      </c>
      <c r="N664" s="78">
        <f>IF(ISBLANK(L664),"",IF(AND(C664="Sell",D664="Stock"),M664,IF(ISBLANK(L664),"",IF(C664="Buy",M664, IF(AND(C664="Sell",J664="NA"),(E664*G664*100*0.1)+I664, IF(C664="Sell",(J664-L664)*(100*G664)+I664))))))</f>
        <v/>
      </c>
      <c r="O664" s="75" t="n"/>
      <c r="P664" s="75" t="n"/>
      <c r="Q664" s="75">
        <f>IF(ISBLANK(P664),"",IF(D664="Stock",P664*G664,IF(P664=0,"0",G664*P664*100-(G664*$AF$14))))</f>
        <v/>
      </c>
      <c r="R664" s="79">
        <f>IF(P664&lt;&gt;"", TODAY(), "")</f>
        <v/>
      </c>
      <c r="S664" s="78">
        <f>IF(AND(K664&lt;&gt;"", R664&lt;&gt;""), R664-K664, "")</f>
        <v/>
      </c>
      <c r="T664" s="78" t="n"/>
      <c r="U664" s="92">
        <f>IF(ISBLANK(P664),"",IF(C664="Buy",Q664-M664+T664, IF(C664="Sell",M664-Q664-T664, X)))</f>
        <v/>
      </c>
      <c r="V664" s="81">
        <f>IF(ISBLANK(P664),"",U664/N664)</f>
        <v/>
      </c>
      <c r="W664" s="81">
        <f>IF(ISBLANK(P664),"",IF(S664=0,(365/0.5)*V664,(365/S664)*V664))</f>
        <v/>
      </c>
      <c r="X664" s="75" t="n"/>
      <c r="Y664" s="77" t="n"/>
      <c r="Z664" s="77" t="n"/>
      <c r="AA664" s="75" t="n"/>
      <c r="AB664" s="75" t="n"/>
      <c r="AC664" s="6" t="n"/>
      <c r="AD664" s="75" t="n"/>
      <c r="AE664" s="75" t="n"/>
      <c r="AF664" s="75" t="n"/>
    </row>
    <row r="665" ht="15.75" customHeight="1" s="133">
      <c r="A665" s="75" t="n"/>
      <c r="B665" s="75" t="n"/>
      <c r="C665" s="75" t="n"/>
      <c r="D665" s="75" t="n"/>
      <c r="E665" s="76" t="n"/>
      <c r="F665" s="77" t="n"/>
      <c r="G665" s="75" t="n"/>
      <c r="H665" s="75">
        <f>IF(ISBLANK(E665),"",IF(OR(D665="Butterfly",D665="Butterfly ",D665="Iron Fly", D665="Iron Fly "),LEN(E665)-LEN(SUBSTITUTE(E665,"/",""))+2,LEN(E665)-LEN(SUBSTITUTE(E665,"/",""))+1))</f>
        <v/>
      </c>
      <c r="I665" s="78">
        <f>IF(ISBLANK(G665),"",IF(D665="Stock","0",Key!$A$3*H665*G665))</f>
        <v/>
      </c>
      <c r="J665" s="78">
        <f>IF(ISBLANK(E665),"",IF(ISNUMBER(SEARCH("/",E665)), IF(LEN(E665)-LEN(SUBSTITUTE(E665,"/",""))=1,(RIGHT(E665,LEN(E665)-FIND("/",E665)))-(LEFT(E665,FIND("/",E665)-1)),(MID(E665, SEARCH("/",E665) + 1, SEARCH("/",E665, SEARCH("/",E665)+1) - SEARCH("/",E665) - 1))-(LEFT(E665,FIND("/",E665)-1))), "NA"))</f>
        <v/>
      </c>
      <c r="K665" s="79">
        <f>IF(A665&lt;&gt;"", IF(ISBLANK(L665), TODAY(), K665), "")</f>
        <v/>
      </c>
      <c r="L665" s="78" t="n"/>
      <c r="M665" s="78">
        <f>IF(ISBLANK(L665),"",IF(D665="Stock",IF(C665="Buy",L665*G665,IF(C665="Sell",(L665*G665)-I665, X)),IF(C665="Buy",(L665*G665*100)+I665,IF(C665="Sell",(L665*G665*100)-I665, X))))</f>
        <v/>
      </c>
      <c r="N665" s="78">
        <f>IF(ISBLANK(L665),"",IF(AND(C665="Sell",D665="Stock"),M665,IF(ISBLANK(L665),"",IF(C665="Buy",M665, IF(AND(C665="Sell",J665="NA"),(E665*G665*100*0.1)+I665, IF(C665="Sell",(J665-L665)*(100*G665)+I665))))))</f>
        <v/>
      </c>
      <c r="O665" s="75" t="n"/>
      <c r="P665" s="75" t="n"/>
      <c r="Q665" s="75">
        <f>IF(ISBLANK(P665),"",IF(D665="Stock",P665*G665,IF(P665=0,"0",G665*P665*100-(G665*$AF$14))))</f>
        <v/>
      </c>
      <c r="R665" s="79">
        <f>IF(P665&lt;&gt;"", TODAY(), "")</f>
        <v/>
      </c>
      <c r="S665" s="78">
        <f>IF(AND(K665&lt;&gt;"", R665&lt;&gt;""), R665-K665, "")</f>
        <v/>
      </c>
      <c r="T665" s="78" t="n"/>
      <c r="U665" s="92">
        <f>IF(ISBLANK(P665),"",IF(C665="Buy",Q665-M665+T665, IF(C665="Sell",M665-Q665-T665, X)))</f>
        <v/>
      </c>
      <c r="V665" s="81">
        <f>IF(ISBLANK(P665),"",U665/N665)</f>
        <v/>
      </c>
      <c r="W665" s="81">
        <f>IF(ISBLANK(P665),"",IF(S665=0,(365/0.5)*V665,(365/S665)*V665))</f>
        <v/>
      </c>
      <c r="X665" s="75" t="n"/>
      <c r="Y665" s="77" t="n"/>
      <c r="Z665" s="77" t="n"/>
      <c r="AA665" s="75" t="n"/>
      <c r="AB665" s="75" t="n"/>
      <c r="AC665" s="6" t="n"/>
      <c r="AD665" s="75" t="n"/>
      <c r="AE665" s="75" t="n"/>
      <c r="AF665" s="75" t="n"/>
    </row>
    <row r="666" ht="15.75" customHeight="1" s="133">
      <c r="A666" s="75" t="n"/>
      <c r="B666" s="75" t="n"/>
      <c r="C666" s="75" t="n"/>
      <c r="D666" s="75" t="n"/>
      <c r="E666" s="76" t="n"/>
      <c r="F666" s="77" t="n"/>
      <c r="G666" s="75" t="n"/>
      <c r="H666" s="75">
        <f>IF(ISBLANK(E666),"",IF(OR(D666="Butterfly",D666="Butterfly ",D666="Iron Fly", D666="Iron Fly "),LEN(E666)-LEN(SUBSTITUTE(E666,"/",""))+2,LEN(E666)-LEN(SUBSTITUTE(E666,"/",""))+1))</f>
        <v/>
      </c>
      <c r="I666" s="78">
        <f>IF(ISBLANK(G666),"",IF(D666="Stock","0",Key!$A$3*H666*G666))</f>
        <v/>
      </c>
      <c r="J666" s="78">
        <f>IF(ISBLANK(E666),"",IF(ISNUMBER(SEARCH("/",E666)), IF(LEN(E666)-LEN(SUBSTITUTE(E666,"/",""))=1,(RIGHT(E666,LEN(E666)-FIND("/",E666)))-(LEFT(E666,FIND("/",E666)-1)),(MID(E666, SEARCH("/",E666) + 1, SEARCH("/",E666, SEARCH("/",E666)+1) - SEARCH("/",E666) - 1))-(LEFT(E666,FIND("/",E666)-1))), "NA"))</f>
        <v/>
      </c>
      <c r="K666" s="79">
        <f>IF(A666&lt;&gt;"", IF(ISBLANK(L666), TODAY(), K666), "")</f>
        <v/>
      </c>
      <c r="L666" s="78" t="n"/>
      <c r="M666" s="78">
        <f>IF(ISBLANK(L666),"",IF(D666="Stock",IF(C666="Buy",L666*G666,IF(C666="Sell",(L666*G666)-I666, X)),IF(C666="Buy",(L666*G666*100)+I666,IF(C666="Sell",(L666*G666*100)-I666, X))))</f>
        <v/>
      </c>
      <c r="N666" s="78">
        <f>IF(ISBLANK(L666),"",IF(AND(C666="Sell",D666="Stock"),M666,IF(ISBLANK(L666),"",IF(C666="Buy",M666, IF(AND(C666="Sell",J666="NA"),(E666*G666*100*0.1)+I666, IF(C666="Sell",(J666-L666)*(100*G666)+I666))))))</f>
        <v/>
      </c>
      <c r="O666" s="75" t="n"/>
      <c r="P666" s="75" t="n"/>
      <c r="Q666" s="75">
        <f>IF(ISBLANK(P666),"",IF(D666="Stock",P666*G666,IF(P666=0,"0",G666*P666*100-(G666*$AF$14))))</f>
        <v/>
      </c>
      <c r="R666" s="79">
        <f>IF(P666&lt;&gt;"", TODAY(), "")</f>
        <v/>
      </c>
      <c r="S666" s="78">
        <f>IF(AND(K666&lt;&gt;"", R666&lt;&gt;""), R666-K666, "")</f>
        <v/>
      </c>
      <c r="T666" s="78" t="n"/>
      <c r="U666" s="92">
        <f>IF(ISBLANK(P666),"",IF(C666="Buy",Q666-M666+T666, IF(C666="Sell",M666-Q666-T666, X)))</f>
        <v/>
      </c>
      <c r="V666" s="81">
        <f>IF(ISBLANK(P666),"",U666/N666)</f>
        <v/>
      </c>
      <c r="W666" s="81">
        <f>IF(ISBLANK(P666),"",IF(S666=0,(365/0.5)*V666,(365/S666)*V666))</f>
        <v/>
      </c>
      <c r="X666" s="75" t="n"/>
      <c r="Y666" s="77" t="n"/>
      <c r="Z666" s="77" t="n"/>
      <c r="AA666" s="75" t="n"/>
      <c r="AB666" s="75" t="n"/>
      <c r="AC666" s="6" t="n"/>
      <c r="AD666" s="75" t="n"/>
      <c r="AE666" s="75" t="n"/>
      <c r="AF666" s="75" t="n"/>
    </row>
    <row r="667" ht="15.75" customHeight="1" s="133">
      <c r="A667" s="75" t="n"/>
      <c r="B667" s="75" t="n"/>
      <c r="C667" s="75" t="n"/>
      <c r="D667" s="75" t="n"/>
      <c r="E667" s="76" t="n"/>
      <c r="F667" s="77" t="n"/>
      <c r="G667" s="75" t="n"/>
      <c r="H667" s="75">
        <f>IF(ISBLANK(E667),"",IF(OR(D667="Butterfly",D667="Butterfly ",D667="Iron Fly", D667="Iron Fly "),LEN(E667)-LEN(SUBSTITUTE(E667,"/",""))+2,LEN(E667)-LEN(SUBSTITUTE(E667,"/",""))+1))</f>
        <v/>
      </c>
      <c r="I667" s="78">
        <f>IF(ISBLANK(G667),"",IF(D667="Stock","0",Key!$A$3*H667*G667))</f>
        <v/>
      </c>
      <c r="J667" s="78">
        <f>IF(ISBLANK(E667),"",IF(ISNUMBER(SEARCH("/",E667)), IF(LEN(E667)-LEN(SUBSTITUTE(E667,"/",""))=1,(RIGHT(E667,LEN(E667)-FIND("/",E667)))-(LEFT(E667,FIND("/",E667)-1)),(MID(E667, SEARCH("/",E667) + 1, SEARCH("/",E667, SEARCH("/",E667)+1) - SEARCH("/",E667) - 1))-(LEFT(E667,FIND("/",E667)-1))), "NA"))</f>
        <v/>
      </c>
      <c r="K667" s="79">
        <f>IF(A667&lt;&gt;"", IF(ISBLANK(L667), TODAY(), K667), "")</f>
        <v/>
      </c>
      <c r="L667" s="78" t="n"/>
      <c r="M667" s="78">
        <f>IF(ISBLANK(L667),"",IF(D667="Stock",IF(C667="Buy",L667*G667,IF(C667="Sell",(L667*G667)-I667, X)),IF(C667="Buy",(L667*G667*100)+I667,IF(C667="Sell",(L667*G667*100)-I667, X))))</f>
        <v/>
      </c>
      <c r="N667" s="78">
        <f>IF(ISBLANK(L667),"",IF(AND(C667="Sell",D667="Stock"),M667,IF(ISBLANK(L667),"",IF(C667="Buy",M667, IF(AND(C667="Sell",J667="NA"),(E667*G667*100*0.1)+I667, IF(C667="Sell",(J667-L667)*(100*G667)+I667))))))</f>
        <v/>
      </c>
      <c r="O667" s="75" t="n"/>
      <c r="P667" s="75" t="n"/>
      <c r="Q667" s="75">
        <f>IF(ISBLANK(P667),"",IF(D667="Stock",P667*G667,IF(P667=0,"0",G667*P667*100-(G667*$AF$14))))</f>
        <v/>
      </c>
      <c r="R667" s="79">
        <f>IF(P667&lt;&gt;"", TODAY(), "")</f>
        <v/>
      </c>
      <c r="S667" s="78">
        <f>IF(AND(K667&lt;&gt;"", R667&lt;&gt;""), R667-K667, "")</f>
        <v/>
      </c>
      <c r="T667" s="78" t="n"/>
      <c r="U667" s="92">
        <f>IF(ISBLANK(P667),"",IF(C667="Buy",Q667-M667+T667, IF(C667="Sell",M667-Q667-T667, X)))</f>
        <v/>
      </c>
      <c r="V667" s="81">
        <f>IF(ISBLANK(P667),"",U667/N667)</f>
        <v/>
      </c>
      <c r="W667" s="81">
        <f>IF(ISBLANK(P667),"",IF(S667=0,(365/0.5)*V667,(365/S667)*V667))</f>
        <v/>
      </c>
      <c r="X667" s="75" t="n"/>
      <c r="Y667" s="77" t="n"/>
      <c r="Z667" s="77" t="n"/>
      <c r="AA667" s="75" t="n"/>
      <c r="AB667" s="75" t="n"/>
      <c r="AC667" s="6" t="n"/>
      <c r="AD667" s="75" t="n"/>
      <c r="AE667" s="75" t="n"/>
      <c r="AF667" s="75" t="n"/>
    </row>
    <row r="668" ht="15.75" customHeight="1" s="133">
      <c r="A668" s="75" t="n"/>
      <c r="B668" s="75" t="n"/>
      <c r="C668" s="75" t="n"/>
      <c r="D668" s="75" t="n"/>
      <c r="E668" s="76" t="n"/>
      <c r="F668" s="77" t="n"/>
      <c r="G668" s="75" t="n"/>
      <c r="H668" s="75">
        <f>IF(ISBLANK(E668),"",IF(OR(D668="Butterfly",D668="Butterfly ",D668="Iron Fly", D668="Iron Fly "),LEN(E668)-LEN(SUBSTITUTE(E668,"/",""))+2,LEN(E668)-LEN(SUBSTITUTE(E668,"/",""))+1))</f>
        <v/>
      </c>
      <c r="I668" s="78">
        <f>IF(ISBLANK(G668),"",IF(D668="Stock","0",Key!$A$3*H668*G668))</f>
        <v/>
      </c>
      <c r="J668" s="78">
        <f>IF(ISBLANK(E668),"",IF(ISNUMBER(SEARCH("/",E668)), IF(LEN(E668)-LEN(SUBSTITUTE(E668,"/",""))=1,(RIGHT(E668,LEN(E668)-FIND("/",E668)))-(LEFT(E668,FIND("/",E668)-1)),(MID(E668, SEARCH("/",E668) + 1, SEARCH("/",E668, SEARCH("/",E668)+1) - SEARCH("/",E668) - 1))-(LEFT(E668,FIND("/",E668)-1))), "NA"))</f>
        <v/>
      </c>
      <c r="K668" s="79">
        <f>IF(A668&lt;&gt;"", IF(ISBLANK(L668), TODAY(), K668), "")</f>
        <v/>
      </c>
      <c r="L668" s="78" t="n"/>
      <c r="M668" s="78">
        <f>IF(ISBLANK(L668),"",IF(D668="Stock",IF(C668="Buy",L668*G668,IF(C668="Sell",(L668*G668)-I668, X)),IF(C668="Buy",(L668*G668*100)+I668,IF(C668="Sell",(L668*G668*100)-I668, X))))</f>
        <v/>
      </c>
      <c r="N668" s="78">
        <f>IF(ISBLANK(L668),"",IF(AND(C668="Sell",D668="Stock"),M668,IF(ISBLANK(L668),"",IF(C668="Buy",M668, IF(AND(C668="Sell",J668="NA"),(E668*G668*100*0.1)+I668, IF(C668="Sell",(J668-L668)*(100*G668)+I668))))))</f>
        <v/>
      </c>
      <c r="O668" s="75" t="n"/>
      <c r="P668" s="75" t="n"/>
      <c r="Q668" s="75">
        <f>IF(ISBLANK(P668),"",IF(D668="Stock",P668*G668,IF(P668=0,"0",G668*P668*100-(G668*$AF$14))))</f>
        <v/>
      </c>
      <c r="R668" s="79">
        <f>IF(P668&lt;&gt;"", TODAY(), "")</f>
        <v/>
      </c>
      <c r="S668" s="78">
        <f>IF(AND(K668&lt;&gt;"", R668&lt;&gt;""), R668-K668, "")</f>
        <v/>
      </c>
      <c r="T668" s="78" t="n"/>
      <c r="U668" s="92">
        <f>IF(ISBLANK(P668),"",IF(C668="Buy",Q668-M668+T668, IF(C668="Sell",M668-Q668-T668, X)))</f>
        <v/>
      </c>
      <c r="V668" s="81">
        <f>IF(ISBLANK(P668),"",U668/N668)</f>
        <v/>
      </c>
      <c r="W668" s="81">
        <f>IF(ISBLANK(P668),"",IF(S668=0,(365/0.5)*V668,(365/S668)*V668))</f>
        <v/>
      </c>
      <c r="X668" s="75" t="n"/>
      <c r="Y668" s="77" t="n"/>
      <c r="Z668" s="77" t="n"/>
      <c r="AA668" s="75" t="n"/>
      <c r="AB668" s="75" t="n"/>
      <c r="AC668" s="6" t="n"/>
      <c r="AD668" s="75" t="n"/>
      <c r="AE668" s="75" t="n"/>
      <c r="AF668" s="75" t="n"/>
    </row>
    <row r="669" ht="15.75" customHeight="1" s="133">
      <c r="A669" s="75" t="n"/>
      <c r="B669" s="75" t="n"/>
      <c r="C669" s="75" t="n"/>
      <c r="D669" s="75" t="n"/>
      <c r="E669" s="76" t="n"/>
      <c r="F669" s="77" t="n"/>
      <c r="G669" s="75" t="n"/>
      <c r="H669" s="75">
        <f>IF(ISBLANK(E669),"",IF(OR(D669="Butterfly",D669="Butterfly ",D669="Iron Fly", D669="Iron Fly "),LEN(E669)-LEN(SUBSTITUTE(E669,"/",""))+2,LEN(E669)-LEN(SUBSTITUTE(E669,"/",""))+1))</f>
        <v/>
      </c>
      <c r="I669" s="78">
        <f>IF(ISBLANK(G669),"",IF(D669="Stock","0",Key!$A$3*H669*G669))</f>
        <v/>
      </c>
      <c r="J669" s="78">
        <f>IF(ISBLANK(E669),"",IF(ISNUMBER(SEARCH("/",E669)), IF(LEN(E669)-LEN(SUBSTITUTE(E669,"/",""))=1,(RIGHT(E669,LEN(E669)-FIND("/",E669)))-(LEFT(E669,FIND("/",E669)-1)),(MID(E669, SEARCH("/",E669) + 1, SEARCH("/",E669, SEARCH("/",E669)+1) - SEARCH("/",E669) - 1))-(LEFT(E669,FIND("/",E669)-1))), "NA"))</f>
        <v/>
      </c>
      <c r="K669" s="79">
        <f>IF(A669&lt;&gt;"", IF(ISBLANK(L669), TODAY(), K669), "")</f>
        <v/>
      </c>
      <c r="L669" s="78" t="n"/>
      <c r="M669" s="78">
        <f>IF(ISBLANK(L669),"",IF(D669="Stock",IF(C669="Buy",L669*G669,IF(C669="Sell",(L669*G669)-I669, X)),IF(C669="Buy",(L669*G669*100)+I669,IF(C669="Sell",(L669*G669*100)-I669, X))))</f>
        <v/>
      </c>
      <c r="N669" s="78">
        <f>IF(ISBLANK(L669),"",IF(AND(C669="Sell",D669="Stock"),M669,IF(ISBLANK(L669),"",IF(C669="Buy",M669, IF(AND(C669="Sell",J669="NA"),(E669*G669*100*0.1)+I669, IF(C669="Sell",(J669-L669)*(100*G669)+I669))))))</f>
        <v/>
      </c>
      <c r="O669" s="75" t="n"/>
      <c r="P669" s="75" t="n"/>
      <c r="Q669" s="75">
        <f>IF(ISBLANK(P669),"",IF(D669="Stock",P669*G669,IF(P669=0,"0",G669*P669*100-(G669*$AF$14))))</f>
        <v/>
      </c>
      <c r="R669" s="79">
        <f>IF(P669&lt;&gt;"", TODAY(), "")</f>
        <v/>
      </c>
      <c r="S669" s="78">
        <f>IF(AND(K669&lt;&gt;"", R669&lt;&gt;""), R669-K669, "")</f>
        <v/>
      </c>
      <c r="T669" s="78" t="n"/>
      <c r="U669" s="92">
        <f>IF(ISBLANK(P669),"",IF(C669="Buy",Q669-M669+T669, IF(C669="Sell",M669-Q669-T669, X)))</f>
        <v/>
      </c>
      <c r="V669" s="81">
        <f>IF(ISBLANK(P669),"",U669/N669)</f>
        <v/>
      </c>
      <c r="W669" s="81">
        <f>IF(ISBLANK(P669),"",IF(S669=0,(365/0.5)*V669,(365/S669)*V669))</f>
        <v/>
      </c>
      <c r="X669" s="75" t="n"/>
      <c r="Y669" s="77" t="n"/>
      <c r="Z669" s="77" t="n"/>
      <c r="AA669" s="75" t="n"/>
      <c r="AB669" s="75" t="n"/>
      <c r="AC669" s="6" t="n"/>
      <c r="AD669" s="75" t="n"/>
      <c r="AE669" s="75" t="n"/>
      <c r="AF669" s="75" t="n"/>
    </row>
    <row r="670" ht="15.75" customHeight="1" s="133">
      <c r="A670" s="75" t="n"/>
      <c r="B670" s="75" t="n"/>
      <c r="C670" s="75" t="n"/>
      <c r="D670" s="75" t="n"/>
      <c r="E670" s="76" t="n"/>
      <c r="F670" s="77" t="n"/>
      <c r="G670" s="75" t="n"/>
      <c r="H670" s="75">
        <f>IF(ISBLANK(E670),"",IF(OR(D670="Butterfly",D670="Butterfly ",D670="Iron Fly", D670="Iron Fly "),LEN(E670)-LEN(SUBSTITUTE(E670,"/",""))+2,LEN(E670)-LEN(SUBSTITUTE(E670,"/",""))+1))</f>
        <v/>
      </c>
      <c r="I670" s="78">
        <f>IF(ISBLANK(G670),"",IF(D670="Stock","0",Key!$A$3*H670*G670))</f>
        <v/>
      </c>
      <c r="J670" s="78">
        <f>IF(ISBLANK(E670),"",IF(ISNUMBER(SEARCH("/",E670)), IF(LEN(E670)-LEN(SUBSTITUTE(E670,"/",""))=1,(RIGHT(E670,LEN(E670)-FIND("/",E670)))-(LEFT(E670,FIND("/",E670)-1)),(MID(E670, SEARCH("/",E670) + 1, SEARCH("/",E670, SEARCH("/",E670)+1) - SEARCH("/",E670) - 1))-(LEFT(E670,FIND("/",E670)-1))), "NA"))</f>
        <v/>
      </c>
      <c r="K670" s="79">
        <f>IF(A670&lt;&gt;"", IF(ISBLANK(L670), TODAY(), K670), "")</f>
        <v/>
      </c>
      <c r="L670" s="78" t="n"/>
      <c r="M670" s="78">
        <f>IF(ISBLANK(L670),"",IF(D670="Stock",IF(C670="Buy",L670*G670,IF(C670="Sell",(L670*G670)-I670, X)),IF(C670="Buy",(L670*G670*100)+I670,IF(C670="Sell",(L670*G670*100)-I670, X))))</f>
        <v/>
      </c>
      <c r="N670" s="78">
        <f>IF(ISBLANK(L670),"",IF(AND(C670="Sell",D670="Stock"),M670,IF(ISBLANK(L670),"",IF(C670="Buy",M670, IF(AND(C670="Sell",J670="NA"),(E670*G670*100*0.1)+I670, IF(C670="Sell",(J670-L670)*(100*G670)+I670))))))</f>
        <v/>
      </c>
      <c r="O670" s="75" t="n"/>
      <c r="P670" s="75" t="n"/>
      <c r="Q670" s="75">
        <f>IF(ISBLANK(P670),"",IF(D670="Stock",P670*G670,IF(P670=0,"0",G670*P670*100-(G670*$AF$14))))</f>
        <v/>
      </c>
      <c r="R670" s="79">
        <f>IF(P670&lt;&gt;"", TODAY(), "")</f>
        <v/>
      </c>
      <c r="S670" s="78">
        <f>IF(AND(K670&lt;&gt;"", R670&lt;&gt;""), R670-K670, "")</f>
        <v/>
      </c>
      <c r="T670" s="78" t="n"/>
      <c r="U670" s="92">
        <f>IF(ISBLANK(P670),"",IF(C670="Buy",Q670-M670+T670, IF(C670="Sell",M670-Q670-T670, X)))</f>
        <v/>
      </c>
      <c r="V670" s="81">
        <f>IF(ISBLANK(P670),"",U670/N670)</f>
        <v/>
      </c>
      <c r="W670" s="81">
        <f>IF(ISBLANK(P670),"",IF(S670=0,(365/0.5)*V670,(365/S670)*V670))</f>
        <v/>
      </c>
      <c r="X670" s="75" t="n"/>
      <c r="Y670" s="77" t="n"/>
      <c r="Z670" s="77" t="n"/>
      <c r="AA670" s="75" t="n"/>
      <c r="AB670" s="75" t="n"/>
      <c r="AC670" s="6" t="n"/>
      <c r="AD670" s="75" t="n"/>
      <c r="AE670" s="75" t="n"/>
      <c r="AF670" s="75" t="n"/>
    </row>
    <row r="671" ht="15.75" customHeight="1" s="133">
      <c r="A671" s="75" t="n"/>
      <c r="B671" s="75" t="n"/>
      <c r="C671" s="75" t="n"/>
      <c r="D671" s="75" t="n"/>
      <c r="E671" s="76" t="n"/>
      <c r="F671" s="77" t="n"/>
      <c r="G671" s="75" t="n"/>
      <c r="H671" s="75">
        <f>IF(ISBLANK(E671),"",IF(OR(D671="Butterfly",D671="Butterfly ",D671="Iron Fly", D671="Iron Fly "),LEN(E671)-LEN(SUBSTITUTE(E671,"/",""))+2,LEN(E671)-LEN(SUBSTITUTE(E671,"/",""))+1))</f>
        <v/>
      </c>
      <c r="I671" s="78">
        <f>IF(ISBLANK(G671),"",IF(D671="Stock","0",Key!$A$3*H671*G671))</f>
        <v/>
      </c>
      <c r="J671" s="78">
        <f>IF(ISBLANK(E671),"",IF(ISNUMBER(SEARCH("/",E671)), IF(LEN(E671)-LEN(SUBSTITUTE(E671,"/",""))=1,(RIGHT(E671,LEN(E671)-FIND("/",E671)))-(LEFT(E671,FIND("/",E671)-1)),(MID(E671, SEARCH("/",E671) + 1, SEARCH("/",E671, SEARCH("/",E671)+1) - SEARCH("/",E671) - 1))-(LEFT(E671,FIND("/",E671)-1))), "NA"))</f>
        <v/>
      </c>
      <c r="K671" s="79">
        <f>IF(A671&lt;&gt;"", IF(ISBLANK(L671), TODAY(), K671), "")</f>
        <v/>
      </c>
      <c r="L671" s="78" t="n"/>
      <c r="M671" s="78">
        <f>IF(ISBLANK(L671),"",IF(D671="Stock",IF(C671="Buy",L671*G671,IF(C671="Sell",(L671*G671)-I671, X)),IF(C671="Buy",(L671*G671*100)+I671,IF(C671="Sell",(L671*G671*100)-I671, X))))</f>
        <v/>
      </c>
      <c r="N671" s="78">
        <f>IF(ISBLANK(L671),"",IF(AND(C671="Sell",D671="Stock"),M671,IF(ISBLANK(L671),"",IF(C671="Buy",M671, IF(AND(C671="Sell",J671="NA"),(E671*G671*100*0.1)+I671, IF(C671="Sell",(J671-L671)*(100*G671)+I671))))))</f>
        <v/>
      </c>
      <c r="O671" s="75" t="n"/>
      <c r="P671" s="75" t="n"/>
      <c r="Q671" s="75">
        <f>IF(ISBLANK(P671),"",IF(D671="Stock",P671*G671,IF(P671=0,"0",G671*P671*100-(G671*$AF$14))))</f>
        <v/>
      </c>
      <c r="R671" s="79">
        <f>IF(P671&lt;&gt;"", TODAY(), "")</f>
        <v/>
      </c>
      <c r="S671" s="78">
        <f>IF(AND(K671&lt;&gt;"", R671&lt;&gt;""), R671-K671, "")</f>
        <v/>
      </c>
      <c r="T671" s="78" t="n"/>
      <c r="U671" s="92">
        <f>IF(ISBLANK(P671),"",IF(C671="Buy",Q671-M671+T671, IF(C671="Sell",M671-Q671-T671, X)))</f>
        <v/>
      </c>
      <c r="V671" s="81">
        <f>IF(ISBLANK(P671),"",U671/N671)</f>
        <v/>
      </c>
      <c r="W671" s="81">
        <f>IF(ISBLANK(P671),"",IF(S671=0,(365/0.5)*V671,(365/S671)*V671))</f>
        <v/>
      </c>
      <c r="X671" s="75" t="n"/>
      <c r="Y671" s="77" t="n"/>
      <c r="Z671" s="77" t="n"/>
      <c r="AA671" s="75" t="n"/>
      <c r="AB671" s="75" t="n"/>
      <c r="AC671" s="6" t="n"/>
      <c r="AD671" s="75" t="n"/>
      <c r="AE671" s="75" t="n"/>
      <c r="AF671" s="75" t="n"/>
    </row>
    <row r="672" ht="15.75" customHeight="1" s="133">
      <c r="A672" s="75" t="n"/>
      <c r="B672" s="75" t="n"/>
      <c r="C672" s="75" t="n"/>
      <c r="D672" s="75" t="n"/>
      <c r="E672" s="76" t="n"/>
      <c r="F672" s="77" t="n"/>
      <c r="G672" s="75" t="n"/>
      <c r="H672" s="75">
        <f>IF(ISBLANK(E672),"",IF(OR(D672="Butterfly",D672="Butterfly ",D672="Iron Fly", D672="Iron Fly "),LEN(E672)-LEN(SUBSTITUTE(E672,"/",""))+2,LEN(E672)-LEN(SUBSTITUTE(E672,"/",""))+1))</f>
        <v/>
      </c>
      <c r="I672" s="78">
        <f>IF(ISBLANK(G672),"",IF(D672="Stock","0",Key!$A$3*H672*G672))</f>
        <v/>
      </c>
      <c r="J672" s="78">
        <f>IF(ISBLANK(E672),"",IF(ISNUMBER(SEARCH("/",E672)), IF(LEN(E672)-LEN(SUBSTITUTE(E672,"/",""))=1,(RIGHT(E672,LEN(E672)-FIND("/",E672)))-(LEFT(E672,FIND("/",E672)-1)),(MID(E672, SEARCH("/",E672) + 1, SEARCH("/",E672, SEARCH("/",E672)+1) - SEARCH("/",E672) - 1))-(LEFT(E672,FIND("/",E672)-1))), "NA"))</f>
        <v/>
      </c>
      <c r="K672" s="79">
        <f>IF(A672&lt;&gt;"", IF(ISBLANK(L672), TODAY(), K672), "")</f>
        <v/>
      </c>
      <c r="L672" s="78" t="n"/>
      <c r="M672" s="78">
        <f>IF(ISBLANK(L672),"",IF(D672="Stock",IF(C672="Buy",L672*G672,IF(C672="Sell",(L672*G672)-I672, X)),IF(C672="Buy",(L672*G672*100)+I672,IF(C672="Sell",(L672*G672*100)-I672, X))))</f>
        <v/>
      </c>
      <c r="N672" s="78">
        <f>IF(ISBLANK(L672),"",IF(AND(C672="Sell",D672="Stock"),M672,IF(ISBLANK(L672),"",IF(C672="Buy",M672, IF(AND(C672="Sell",J672="NA"),(E672*G672*100*0.1)+I672, IF(C672="Sell",(J672-L672)*(100*G672)+I672))))))</f>
        <v/>
      </c>
      <c r="O672" s="75" t="n"/>
      <c r="P672" s="75" t="n"/>
      <c r="Q672" s="75">
        <f>IF(ISBLANK(P672),"",IF(D672="Stock",P672*G672,IF(P672=0,"0",G672*P672*100-(G672*$AF$14))))</f>
        <v/>
      </c>
      <c r="R672" s="79">
        <f>IF(P672&lt;&gt;"", TODAY(), "")</f>
        <v/>
      </c>
      <c r="S672" s="78">
        <f>IF(AND(K672&lt;&gt;"", R672&lt;&gt;""), R672-K672, "")</f>
        <v/>
      </c>
      <c r="T672" s="78" t="n"/>
      <c r="U672" s="92">
        <f>IF(ISBLANK(P672),"",IF(C672="Buy",Q672-M672+T672, IF(C672="Sell",M672-Q672-T672, X)))</f>
        <v/>
      </c>
      <c r="V672" s="81">
        <f>IF(ISBLANK(P672),"",U672/N672)</f>
        <v/>
      </c>
      <c r="W672" s="81">
        <f>IF(ISBLANK(P672),"",IF(S672=0,(365/0.5)*V672,(365/S672)*V672))</f>
        <v/>
      </c>
      <c r="X672" s="75" t="n"/>
      <c r="Y672" s="77" t="n"/>
      <c r="Z672" s="77" t="n"/>
      <c r="AA672" s="75" t="n"/>
      <c r="AB672" s="75" t="n"/>
      <c r="AC672" s="6" t="n"/>
      <c r="AD672" s="75" t="n"/>
      <c r="AE672" s="75" t="n"/>
      <c r="AF672" s="75" t="n"/>
    </row>
    <row r="673" ht="15.75" customHeight="1" s="133">
      <c r="A673" s="75" t="n"/>
      <c r="B673" s="75" t="n"/>
      <c r="C673" s="75" t="n"/>
      <c r="D673" s="75" t="n"/>
      <c r="E673" s="76" t="n"/>
      <c r="F673" s="77" t="n"/>
      <c r="G673" s="75" t="n"/>
      <c r="H673" s="75">
        <f>IF(ISBLANK(E673),"",IF(OR(D673="Butterfly",D673="Butterfly ",D673="Iron Fly", D673="Iron Fly "),LEN(E673)-LEN(SUBSTITUTE(E673,"/",""))+2,LEN(E673)-LEN(SUBSTITUTE(E673,"/",""))+1))</f>
        <v/>
      </c>
      <c r="I673" s="78">
        <f>IF(ISBLANK(G673),"",IF(D673="Stock","0",Key!$A$3*H673*G673))</f>
        <v/>
      </c>
      <c r="J673" s="78">
        <f>IF(ISBLANK(E673),"",IF(ISNUMBER(SEARCH("/",E673)), IF(LEN(E673)-LEN(SUBSTITUTE(E673,"/",""))=1,(RIGHT(E673,LEN(E673)-FIND("/",E673)))-(LEFT(E673,FIND("/",E673)-1)),(MID(E673, SEARCH("/",E673) + 1, SEARCH("/",E673, SEARCH("/",E673)+1) - SEARCH("/",E673) - 1))-(LEFT(E673,FIND("/",E673)-1))), "NA"))</f>
        <v/>
      </c>
      <c r="K673" s="79">
        <f>IF(A673&lt;&gt;"", IF(ISBLANK(L673), TODAY(), K673), "")</f>
        <v/>
      </c>
      <c r="L673" s="78" t="n"/>
      <c r="M673" s="78">
        <f>IF(ISBLANK(L673),"",IF(D673="Stock",IF(C673="Buy",L673*G673,IF(C673="Sell",(L673*G673)-I673, X)),IF(C673="Buy",(L673*G673*100)+I673,IF(C673="Sell",(L673*G673*100)-I673, X))))</f>
        <v/>
      </c>
      <c r="N673" s="78">
        <f>IF(ISBLANK(L673),"",IF(AND(C673="Sell",D673="Stock"),M673,IF(ISBLANK(L673),"",IF(C673="Buy",M673, IF(AND(C673="Sell",J673="NA"),(E673*G673*100*0.1)+I673, IF(C673="Sell",(J673-L673)*(100*G673)+I673))))))</f>
        <v/>
      </c>
      <c r="O673" s="75" t="n"/>
      <c r="P673" s="75" t="n"/>
      <c r="Q673" s="75">
        <f>IF(ISBLANK(P673),"",IF(D673="Stock",P673*G673,IF(P673=0,"0",G673*P673*100-(G673*$AF$14))))</f>
        <v/>
      </c>
      <c r="R673" s="79">
        <f>IF(P673&lt;&gt;"", TODAY(), "")</f>
        <v/>
      </c>
      <c r="S673" s="78">
        <f>IF(AND(K673&lt;&gt;"", R673&lt;&gt;""), R673-K673, "")</f>
        <v/>
      </c>
      <c r="T673" s="78" t="n"/>
      <c r="U673" s="92">
        <f>IF(ISBLANK(P673),"",IF(C673="Buy",Q673-M673+T673, IF(C673="Sell",M673-Q673-T673, X)))</f>
        <v/>
      </c>
      <c r="V673" s="81">
        <f>IF(ISBLANK(P673),"",U673/N673)</f>
        <v/>
      </c>
      <c r="W673" s="81">
        <f>IF(ISBLANK(P673),"",IF(S673=0,(365/0.5)*V673,(365/S673)*V673))</f>
        <v/>
      </c>
      <c r="X673" s="75" t="n"/>
      <c r="Y673" s="77" t="n"/>
      <c r="Z673" s="77" t="n"/>
      <c r="AA673" s="75" t="n"/>
      <c r="AB673" s="75" t="n"/>
      <c r="AC673" s="6" t="n"/>
      <c r="AD673" s="75" t="n"/>
      <c r="AE673" s="75" t="n"/>
      <c r="AF673" s="75" t="n"/>
    </row>
    <row r="674" ht="15.75" customHeight="1" s="133">
      <c r="A674" s="75" t="n"/>
      <c r="B674" s="75" t="n"/>
      <c r="C674" s="75" t="n"/>
      <c r="D674" s="75" t="n"/>
      <c r="E674" s="76" t="n"/>
      <c r="F674" s="77" t="n"/>
      <c r="G674" s="75" t="n"/>
      <c r="H674" s="75">
        <f>IF(ISBLANK(E674),"",IF(OR(D674="Butterfly",D674="Butterfly ",D674="Iron Fly", D674="Iron Fly "),LEN(E674)-LEN(SUBSTITUTE(E674,"/",""))+2,LEN(E674)-LEN(SUBSTITUTE(E674,"/",""))+1))</f>
        <v/>
      </c>
      <c r="I674" s="78">
        <f>IF(ISBLANK(G674),"",IF(D674="Stock","0",Key!$A$3*H674*G674))</f>
        <v/>
      </c>
      <c r="J674" s="78">
        <f>IF(ISBLANK(E674),"",IF(ISNUMBER(SEARCH("/",E674)), IF(LEN(E674)-LEN(SUBSTITUTE(E674,"/",""))=1,(RIGHT(E674,LEN(E674)-FIND("/",E674)))-(LEFT(E674,FIND("/",E674)-1)),(MID(E674, SEARCH("/",E674) + 1, SEARCH("/",E674, SEARCH("/",E674)+1) - SEARCH("/",E674) - 1))-(LEFT(E674,FIND("/",E674)-1))), "NA"))</f>
        <v/>
      </c>
      <c r="K674" s="79">
        <f>IF(A674&lt;&gt;"", IF(ISBLANK(L674), TODAY(), K674), "")</f>
        <v/>
      </c>
      <c r="L674" s="78" t="n"/>
      <c r="M674" s="78">
        <f>IF(ISBLANK(L674),"",IF(D674="Stock",IF(C674="Buy",L674*G674,IF(C674="Sell",(L674*G674)-I674, X)),IF(C674="Buy",(L674*G674*100)+I674,IF(C674="Sell",(L674*G674*100)-I674, X))))</f>
        <v/>
      </c>
      <c r="N674" s="78">
        <f>IF(ISBLANK(L674),"",IF(AND(C674="Sell",D674="Stock"),M674,IF(ISBLANK(L674),"",IF(C674="Buy",M674, IF(AND(C674="Sell",J674="NA"),(E674*G674*100*0.1)+I674, IF(C674="Sell",(J674-L674)*(100*G674)+I674))))))</f>
        <v/>
      </c>
      <c r="O674" s="75" t="n"/>
      <c r="P674" s="75" t="n"/>
      <c r="Q674" s="75">
        <f>IF(ISBLANK(P674),"",IF(D674="Stock",P674*G674,IF(P674=0,"0",G674*P674*100-(G674*$AF$14))))</f>
        <v/>
      </c>
      <c r="R674" s="79">
        <f>IF(P674&lt;&gt;"", TODAY(), "")</f>
        <v/>
      </c>
      <c r="S674" s="78">
        <f>IF(AND(K674&lt;&gt;"", R674&lt;&gt;""), R674-K674, "")</f>
        <v/>
      </c>
      <c r="T674" s="78" t="n"/>
      <c r="U674" s="92">
        <f>IF(ISBLANK(P674),"",IF(C674="Buy",Q674-M674+T674, IF(C674="Sell",M674-Q674-T674, X)))</f>
        <v/>
      </c>
      <c r="V674" s="81">
        <f>IF(ISBLANK(P674),"",U674/N674)</f>
        <v/>
      </c>
      <c r="W674" s="81">
        <f>IF(ISBLANK(P674),"",IF(S674=0,(365/0.5)*V674,(365/S674)*V674))</f>
        <v/>
      </c>
      <c r="X674" s="75" t="n"/>
      <c r="Y674" s="77" t="n"/>
      <c r="Z674" s="77" t="n"/>
      <c r="AA674" s="75" t="n"/>
      <c r="AB674" s="75" t="n"/>
      <c r="AC674" s="6" t="n"/>
      <c r="AD674" s="75" t="n"/>
      <c r="AE674" s="75" t="n"/>
      <c r="AF674" s="75" t="n"/>
    </row>
    <row r="675" ht="15.75" customHeight="1" s="133">
      <c r="A675" s="75" t="n"/>
      <c r="B675" s="75" t="n"/>
      <c r="C675" s="75" t="n"/>
      <c r="D675" s="75" t="n"/>
      <c r="E675" s="76" t="n"/>
      <c r="F675" s="77" t="n"/>
      <c r="G675" s="75" t="n"/>
      <c r="H675" s="75">
        <f>IF(ISBLANK(E675),"",IF(OR(D675="Butterfly",D675="Butterfly ",D675="Iron Fly", D675="Iron Fly "),LEN(E675)-LEN(SUBSTITUTE(E675,"/",""))+2,LEN(E675)-LEN(SUBSTITUTE(E675,"/",""))+1))</f>
        <v/>
      </c>
      <c r="I675" s="78">
        <f>IF(ISBLANK(G675),"",IF(D675="Stock","0",Key!$A$3*H675*G675))</f>
        <v/>
      </c>
      <c r="J675" s="78">
        <f>IF(ISBLANK(E675),"",IF(ISNUMBER(SEARCH("/",E675)), IF(LEN(E675)-LEN(SUBSTITUTE(E675,"/",""))=1,(RIGHT(E675,LEN(E675)-FIND("/",E675)))-(LEFT(E675,FIND("/",E675)-1)),(MID(E675, SEARCH("/",E675) + 1, SEARCH("/",E675, SEARCH("/",E675)+1) - SEARCH("/",E675) - 1))-(LEFT(E675,FIND("/",E675)-1))), "NA"))</f>
        <v/>
      </c>
      <c r="K675" s="79">
        <f>IF(A675&lt;&gt;"", IF(ISBLANK(L675), TODAY(), K675), "")</f>
        <v/>
      </c>
      <c r="L675" s="78" t="n"/>
      <c r="M675" s="78">
        <f>IF(ISBLANK(L675),"",IF(D675="Stock",IF(C675="Buy",L675*G675,IF(C675="Sell",(L675*G675)-I675, X)),IF(C675="Buy",(L675*G675*100)+I675,IF(C675="Sell",(L675*G675*100)-I675, X))))</f>
        <v/>
      </c>
      <c r="N675" s="78">
        <f>IF(ISBLANK(L675),"",IF(AND(C675="Sell",D675="Stock"),M675,IF(ISBLANK(L675),"",IF(C675="Buy",M675, IF(AND(C675="Sell",J675="NA"),(E675*G675*100*0.1)+I675, IF(C675="Sell",(J675-L675)*(100*G675)+I675))))))</f>
        <v/>
      </c>
      <c r="O675" s="75" t="n"/>
      <c r="P675" s="75" t="n"/>
      <c r="Q675" s="75">
        <f>IF(ISBLANK(P675),"",IF(D675="Stock",P675*G675,IF(P675=0,"0",G675*P675*100-(G675*$AF$14))))</f>
        <v/>
      </c>
      <c r="R675" s="79">
        <f>IF(P675&lt;&gt;"", TODAY(), "")</f>
        <v/>
      </c>
      <c r="S675" s="78">
        <f>IF(AND(K675&lt;&gt;"", R675&lt;&gt;""), R675-K675, "")</f>
        <v/>
      </c>
      <c r="T675" s="78" t="n"/>
      <c r="U675" s="92">
        <f>IF(ISBLANK(P675),"",IF(C675="Buy",Q675-M675+T675, IF(C675="Sell",M675-Q675-T675, X)))</f>
        <v/>
      </c>
      <c r="V675" s="81">
        <f>IF(ISBLANK(P675),"",U675/N675)</f>
        <v/>
      </c>
      <c r="W675" s="81">
        <f>IF(ISBLANK(P675),"",IF(S675=0,(365/0.5)*V675,(365/S675)*V675))</f>
        <v/>
      </c>
      <c r="X675" s="75" t="n"/>
      <c r="Y675" s="77" t="n"/>
      <c r="Z675" s="77" t="n"/>
      <c r="AA675" s="75" t="n"/>
      <c r="AB675" s="75" t="n"/>
      <c r="AC675" s="6" t="n"/>
      <c r="AD675" s="75" t="n"/>
      <c r="AE675" s="75" t="n"/>
      <c r="AF675" s="75" t="n"/>
    </row>
    <row r="676" ht="15.75" customHeight="1" s="133">
      <c r="A676" s="75" t="n"/>
      <c r="B676" s="75" t="n"/>
      <c r="C676" s="75" t="n"/>
      <c r="D676" s="75" t="n"/>
      <c r="E676" s="76" t="n"/>
      <c r="F676" s="77" t="n"/>
      <c r="G676" s="75" t="n"/>
      <c r="H676" s="75">
        <f>IF(ISBLANK(E676),"",IF(OR(D676="Butterfly",D676="Butterfly ",D676="Iron Fly", D676="Iron Fly "),LEN(E676)-LEN(SUBSTITUTE(E676,"/",""))+2,LEN(E676)-LEN(SUBSTITUTE(E676,"/",""))+1))</f>
        <v/>
      </c>
      <c r="I676" s="78">
        <f>IF(ISBLANK(G676),"",IF(D676="Stock","0",Key!$A$3*H676*G676))</f>
        <v/>
      </c>
      <c r="J676" s="78">
        <f>IF(ISBLANK(E676),"",IF(ISNUMBER(SEARCH("/",E676)), IF(LEN(E676)-LEN(SUBSTITUTE(E676,"/",""))=1,(RIGHT(E676,LEN(E676)-FIND("/",E676)))-(LEFT(E676,FIND("/",E676)-1)),(MID(E676, SEARCH("/",E676) + 1, SEARCH("/",E676, SEARCH("/",E676)+1) - SEARCH("/",E676) - 1))-(LEFT(E676,FIND("/",E676)-1))), "NA"))</f>
        <v/>
      </c>
      <c r="K676" s="79">
        <f>IF(A676&lt;&gt;"", IF(ISBLANK(L676), TODAY(), K676), "")</f>
        <v/>
      </c>
      <c r="L676" s="78" t="n"/>
      <c r="M676" s="78">
        <f>IF(ISBLANK(L676),"",IF(D676="Stock",IF(C676="Buy",L676*G676,IF(C676="Sell",(L676*G676)-I676, X)),IF(C676="Buy",(L676*G676*100)+I676,IF(C676="Sell",(L676*G676*100)-I676, X))))</f>
        <v/>
      </c>
      <c r="N676" s="78">
        <f>IF(ISBLANK(L676),"",IF(AND(C676="Sell",D676="Stock"),M676,IF(ISBLANK(L676),"",IF(C676="Buy",M676, IF(AND(C676="Sell",J676="NA"),(E676*G676*100*0.1)+I676, IF(C676="Sell",(J676-L676)*(100*G676)+I676))))))</f>
        <v/>
      </c>
      <c r="O676" s="75" t="n"/>
      <c r="P676" s="75" t="n"/>
      <c r="Q676" s="75">
        <f>IF(ISBLANK(P676),"",IF(D676="Stock",P676*G676,IF(P676=0,"0",G676*P676*100-(G676*$AF$14))))</f>
        <v/>
      </c>
      <c r="R676" s="79">
        <f>IF(P676&lt;&gt;"", TODAY(), "")</f>
        <v/>
      </c>
      <c r="S676" s="78">
        <f>IF(AND(K676&lt;&gt;"", R676&lt;&gt;""), R676-K676, "")</f>
        <v/>
      </c>
      <c r="T676" s="78" t="n"/>
      <c r="U676" s="92">
        <f>IF(ISBLANK(P676),"",IF(C676="Buy",Q676-M676+T676, IF(C676="Sell",M676-Q676-T676, X)))</f>
        <v/>
      </c>
      <c r="V676" s="81">
        <f>IF(ISBLANK(P676),"",U676/N676)</f>
        <v/>
      </c>
      <c r="W676" s="81">
        <f>IF(ISBLANK(P676),"",IF(S676=0,(365/0.5)*V676,(365/S676)*V676))</f>
        <v/>
      </c>
      <c r="X676" s="75" t="n"/>
      <c r="Y676" s="77" t="n"/>
      <c r="Z676" s="77" t="n"/>
      <c r="AA676" s="75" t="n"/>
      <c r="AB676" s="75" t="n"/>
      <c r="AC676" s="6" t="n"/>
      <c r="AD676" s="75" t="n"/>
      <c r="AE676" s="75" t="n"/>
      <c r="AF676" s="75" t="n"/>
    </row>
    <row r="677" ht="15.75" customHeight="1" s="133">
      <c r="A677" s="75" t="n"/>
      <c r="B677" s="75" t="n"/>
      <c r="C677" s="75" t="n"/>
      <c r="D677" s="75" t="n"/>
      <c r="E677" s="76" t="n"/>
      <c r="F677" s="77" t="n"/>
      <c r="G677" s="75" t="n"/>
      <c r="H677" s="75">
        <f>IF(ISBLANK(E677),"",IF(OR(D677="Butterfly",D677="Butterfly ",D677="Iron Fly", D677="Iron Fly "),LEN(E677)-LEN(SUBSTITUTE(E677,"/",""))+2,LEN(E677)-LEN(SUBSTITUTE(E677,"/",""))+1))</f>
        <v/>
      </c>
      <c r="I677" s="78">
        <f>IF(ISBLANK(G677),"",IF(D677="Stock","0",Key!$A$3*H677*G677))</f>
        <v/>
      </c>
      <c r="J677" s="78">
        <f>IF(ISBLANK(E677),"",IF(ISNUMBER(SEARCH("/",E677)), IF(LEN(E677)-LEN(SUBSTITUTE(E677,"/",""))=1,(RIGHT(E677,LEN(E677)-FIND("/",E677)))-(LEFT(E677,FIND("/",E677)-1)),(MID(E677, SEARCH("/",E677) + 1, SEARCH("/",E677, SEARCH("/",E677)+1) - SEARCH("/",E677) - 1))-(LEFT(E677,FIND("/",E677)-1))), "NA"))</f>
        <v/>
      </c>
      <c r="K677" s="79">
        <f>IF(A677&lt;&gt;"", IF(ISBLANK(L677), TODAY(), K677), "")</f>
        <v/>
      </c>
      <c r="L677" s="78" t="n"/>
      <c r="M677" s="78">
        <f>IF(ISBLANK(L677),"",IF(D677="Stock",IF(C677="Buy",L677*G677,IF(C677="Sell",(L677*G677)-I677, X)),IF(C677="Buy",(L677*G677*100)+I677,IF(C677="Sell",(L677*G677*100)-I677, X))))</f>
        <v/>
      </c>
      <c r="N677" s="78">
        <f>IF(ISBLANK(L677),"",IF(AND(C677="Sell",D677="Stock"),M677,IF(ISBLANK(L677),"",IF(C677="Buy",M677, IF(AND(C677="Sell",J677="NA"),(E677*G677*100*0.1)+I677, IF(C677="Sell",(J677-L677)*(100*G677)+I677))))))</f>
        <v/>
      </c>
      <c r="O677" s="75" t="n"/>
      <c r="P677" s="75" t="n"/>
      <c r="Q677" s="75">
        <f>IF(ISBLANK(P677),"",IF(D677="Stock",P677*G677,IF(P677=0,"0",G677*P677*100-(G677*$AF$14))))</f>
        <v/>
      </c>
      <c r="R677" s="79">
        <f>IF(P677&lt;&gt;"", TODAY(), "")</f>
        <v/>
      </c>
      <c r="S677" s="78">
        <f>IF(AND(K677&lt;&gt;"", R677&lt;&gt;""), R677-K677, "")</f>
        <v/>
      </c>
      <c r="T677" s="78" t="n"/>
      <c r="U677" s="92">
        <f>IF(ISBLANK(P677),"",IF(C677="Buy",Q677-M677+T677, IF(C677="Sell",M677-Q677-T677, X)))</f>
        <v/>
      </c>
      <c r="V677" s="81">
        <f>IF(ISBLANK(P677),"",U677/N677)</f>
        <v/>
      </c>
      <c r="W677" s="81">
        <f>IF(ISBLANK(P677),"",IF(S677=0,(365/0.5)*V677,(365/S677)*V677))</f>
        <v/>
      </c>
      <c r="X677" s="75" t="n"/>
      <c r="Y677" s="77" t="n"/>
      <c r="Z677" s="77" t="n"/>
      <c r="AA677" s="75" t="n"/>
      <c r="AB677" s="75" t="n"/>
      <c r="AC677" s="6" t="n"/>
      <c r="AD677" s="75" t="n"/>
      <c r="AE677" s="75" t="n"/>
      <c r="AF677" s="75" t="n"/>
    </row>
    <row r="678" ht="15.75" customHeight="1" s="133">
      <c r="A678" s="75" t="n"/>
      <c r="B678" s="75" t="n"/>
      <c r="C678" s="75" t="n"/>
      <c r="D678" s="75" t="n"/>
      <c r="E678" s="76" t="n"/>
      <c r="F678" s="77" t="n"/>
      <c r="G678" s="75" t="n"/>
      <c r="H678" s="75">
        <f>IF(ISBLANK(E678),"",IF(OR(D678="Butterfly",D678="Butterfly ",D678="Iron Fly", D678="Iron Fly "),LEN(E678)-LEN(SUBSTITUTE(E678,"/",""))+2,LEN(E678)-LEN(SUBSTITUTE(E678,"/",""))+1))</f>
        <v/>
      </c>
      <c r="I678" s="78">
        <f>IF(ISBLANK(G678),"",IF(D678="Stock","0",Key!$A$3*H678*G678))</f>
        <v/>
      </c>
      <c r="J678" s="78">
        <f>IF(ISBLANK(E678),"",IF(ISNUMBER(SEARCH("/",E678)), IF(LEN(E678)-LEN(SUBSTITUTE(E678,"/",""))=1,(RIGHT(E678,LEN(E678)-FIND("/",E678)))-(LEFT(E678,FIND("/",E678)-1)),(MID(E678, SEARCH("/",E678) + 1, SEARCH("/",E678, SEARCH("/",E678)+1) - SEARCH("/",E678) - 1))-(LEFT(E678,FIND("/",E678)-1))), "NA"))</f>
        <v/>
      </c>
      <c r="K678" s="79">
        <f>IF(A678&lt;&gt;"", IF(ISBLANK(L678), TODAY(), K678), "")</f>
        <v/>
      </c>
      <c r="L678" s="78" t="n"/>
      <c r="M678" s="78">
        <f>IF(ISBLANK(L678),"",IF(D678="Stock",IF(C678="Buy",L678*G678,IF(C678="Sell",(L678*G678)-I678, X)),IF(C678="Buy",(L678*G678*100)+I678,IF(C678="Sell",(L678*G678*100)-I678, X))))</f>
        <v/>
      </c>
      <c r="N678" s="78">
        <f>IF(ISBLANK(L678),"",IF(AND(C678="Sell",D678="Stock"),M678,IF(ISBLANK(L678),"",IF(C678="Buy",M678, IF(AND(C678="Sell",J678="NA"),(E678*G678*100*0.1)+I678, IF(C678="Sell",(J678-L678)*(100*G678)+I678))))))</f>
        <v/>
      </c>
      <c r="O678" s="75" t="n"/>
      <c r="P678" s="75" t="n"/>
      <c r="Q678" s="75">
        <f>IF(ISBLANK(P678),"",IF(D678="Stock",P678*G678,IF(P678=0,"0",G678*P678*100-(G678*$AF$14))))</f>
        <v/>
      </c>
      <c r="R678" s="79">
        <f>IF(P678&lt;&gt;"", TODAY(), "")</f>
        <v/>
      </c>
      <c r="S678" s="78">
        <f>IF(AND(K678&lt;&gt;"", R678&lt;&gt;""), R678-K678, "")</f>
        <v/>
      </c>
      <c r="T678" s="78" t="n"/>
      <c r="U678" s="92">
        <f>IF(ISBLANK(P678),"",IF(C678="Buy",Q678-M678+T678, IF(C678="Sell",M678-Q678-T678, X)))</f>
        <v/>
      </c>
      <c r="V678" s="81">
        <f>IF(ISBLANK(P678),"",U678/N678)</f>
        <v/>
      </c>
      <c r="W678" s="81">
        <f>IF(ISBLANK(P678),"",IF(S678=0,(365/0.5)*V678,(365/S678)*V678))</f>
        <v/>
      </c>
      <c r="X678" s="75" t="n"/>
      <c r="Y678" s="77" t="n"/>
      <c r="Z678" s="77" t="n"/>
      <c r="AA678" s="75" t="n"/>
      <c r="AB678" s="75" t="n"/>
      <c r="AC678" s="6" t="n"/>
      <c r="AD678" s="75" t="n"/>
      <c r="AE678" s="75" t="n"/>
      <c r="AF678" s="75" t="n"/>
    </row>
    <row r="679" ht="15.75" customHeight="1" s="133">
      <c r="A679" s="75" t="n"/>
      <c r="B679" s="75" t="n"/>
      <c r="C679" s="75" t="n"/>
      <c r="D679" s="75" t="n"/>
      <c r="E679" s="76" t="n"/>
      <c r="F679" s="77" t="n"/>
      <c r="G679" s="75" t="n"/>
      <c r="H679" s="75">
        <f>IF(ISBLANK(E679),"",IF(OR(D679="Butterfly",D679="Butterfly ",D679="Iron Fly", D679="Iron Fly "),LEN(E679)-LEN(SUBSTITUTE(E679,"/",""))+2,LEN(E679)-LEN(SUBSTITUTE(E679,"/",""))+1))</f>
        <v/>
      </c>
      <c r="I679" s="78">
        <f>IF(ISBLANK(G679),"",IF(D679="Stock","0",Key!$A$3*H679*G679))</f>
        <v/>
      </c>
      <c r="J679" s="78">
        <f>IF(ISBLANK(E679),"",IF(ISNUMBER(SEARCH("/",E679)), IF(LEN(E679)-LEN(SUBSTITUTE(E679,"/",""))=1,(RIGHT(E679,LEN(E679)-FIND("/",E679)))-(LEFT(E679,FIND("/",E679)-1)),(MID(E679, SEARCH("/",E679) + 1, SEARCH("/",E679, SEARCH("/",E679)+1) - SEARCH("/",E679) - 1))-(LEFT(E679,FIND("/",E679)-1))), "NA"))</f>
        <v/>
      </c>
      <c r="K679" s="79">
        <f>IF(A679&lt;&gt;"", IF(ISBLANK(L679), TODAY(), K679), "")</f>
        <v/>
      </c>
      <c r="L679" s="78" t="n"/>
      <c r="M679" s="78">
        <f>IF(ISBLANK(L679),"",IF(D679="Stock",IF(C679="Buy",L679*G679,IF(C679="Sell",(L679*G679)-I679, X)),IF(C679="Buy",(L679*G679*100)+I679,IF(C679="Sell",(L679*G679*100)-I679, X))))</f>
        <v/>
      </c>
      <c r="N679" s="78">
        <f>IF(ISBLANK(L679),"",IF(AND(C679="Sell",D679="Stock"),M679,IF(ISBLANK(L679),"",IF(C679="Buy",M679, IF(AND(C679="Sell",J679="NA"),(E679*G679*100*0.1)+I679, IF(C679="Sell",(J679-L679)*(100*G679)+I679))))))</f>
        <v/>
      </c>
      <c r="O679" s="75" t="n"/>
      <c r="P679" s="75" t="n"/>
      <c r="Q679" s="75">
        <f>IF(ISBLANK(P679),"",IF(D679="Stock",P679*G679,IF(P679=0,"0",G679*P679*100-(G679*$AF$14))))</f>
        <v/>
      </c>
      <c r="R679" s="79">
        <f>IF(P679&lt;&gt;"", TODAY(), "")</f>
        <v/>
      </c>
      <c r="S679" s="78">
        <f>IF(AND(K679&lt;&gt;"", R679&lt;&gt;""), R679-K679, "")</f>
        <v/>
      </c>
      <c r="T679" s="78" t="n"/>
      <c r="U679" s="92">
        <f>IF(ISBLANK(P679),"",IF(C679="Buy",Q679-M679+T679, IF(C679="Sell",M679-Q679-T679, X)))</f>
        <v/>
      </c>
      <c r="V679" s="81">
        <f>IF(ISBLANK(P679),"",U679/N679)</f>
        <v/>
      </c>
      <c r="W679" s="81">
        <f>IF(ISBLANK(P679),"",IF(S679=0,(365/0.5)*V679,(365/S679)*V679))</f>
        <v/>
      </c>
      <c r="X679" s="75" t="n"/>
      <c r="Y679" s="77" t="n"/>
      <c r="Z679" s="77" t="n"/>
      <c r="AA679" s="75" t="n"/>
      <c r="AB679" s="75" t="n"/>
      <c r="AC679" s="6" t="n"/>
      <c r="AD679" s="75" t="n"/>
      <c r="AE679" s="75" t="n"/>
      <c r="AF679" s="75" t="n"/>
    </row>
    <row r="680" ht="15.75" customHeight="1" s="133">
      <c r="A680" s="75" t="n"/>
      <c r="B680" s="75" t="n"/>
      <c r="C680" s="75" t="n"/>
      <c r="D680" s="75" t="n"/>
      <c r="E680" s="76" t="n"/>
      <c r="F680" s="77" t="n"/>
      <c r="G680" s="75" t="n"/>
      <c r="H680" s="75">
        <f>IF(ISBLANK(E680),"",IF(OR(D680="Butterfly",D680="Butterfly ",D680="Iron Fly", D680="Iron Fly "),LEN(E680)-LEN(SUBSTITUTE(E680,"/",""))+2,LEN(E680)-LEN(SUBSTITUTE(E680,"/",""))+1))</f>
        <v/>
      </c>
      <c r="I680" s="78">
        <f>IF(ISBLANK(G680),"",IF(D680="Stock","0",Key!$A$3*H680*G680))</f>
        <v/>
      </c>
      <c r="J680" s="78">
        <f>IF(ISBLANK(E680),"",IF(ISNUMBER(SEARCH("/",E680)), IF(LEN(E680)-LEN(SUBSTITUTE(E680,"/",""))=1,(RIGHT(E680,LEN(E680)-FIND("/",E680)))-(LEFT(E680,FIND("/",E680)-1)),(MID(E680, SEARCH("/",E680) + 1, SEARCH("/",E680, SEARCH("/",E680)+1) - SEARCH("/",E680) - 1))-(LEFT(E680,FIND("/",E680)-1))), "NA"))</f>
        <v/>
      </c>
      <c r="K680" s="79">
        <f>IF(A680&lt;&gt;"", IF(ISBLANK(L680), TODAY(), K680), "")</f>
        <v/>
      </c>
      <c r="L680" s="78" t="n"/>
      <c r="M680" s="78">
        <f>IF(ISBLANK(L680),"",IF(D680="Stock",IF(C680="Buy",L680*G680,IF(C680="Sell",(L680*G680)-I680, X)),IF(C680="Buy",(L680*G680*100)+I680,IF(C680="Sell",(L680*G680*100)-I680, X))))</f>
        <v/>
      </c>
      <c r="N680" s="78">
        <f>IF(ISBLANK(L680),"",IF(AND(C680="Sell",D680="Stock"),M680,IF(ISBLANK(L680),"",IF(C680="Buy",M680, IF(AND(C680="Sell",J680="NA"),(E680*G680*100*0.1)+I680, IF(C680="Sell",(J680-L680)*(100*G680)+I680))))))</f>
        <v/>
      </c>
      <c r="O680" s="75" t="n"/>
      <c r="P680" s="75" t="n"/>
      <c r="Q680" s="75">
        <f>IF(ISBLANK(P680),"",IF(D680="Stock",P680*G680,IF(P680=0,"0",G680*P680*100-(G680*$AF$14))))</f>
        <v/>
      </c>
      <c r="R680" s="79">
        <f>IF(P680&lt;&gt;"", TODAY(), "")</f>
        <v/>
      </c>
      <c r="S680" s="78">
        <f>IF(AND(K680&lt;&gt;"", R680&lt;&gt;""), R680-K680, "")</f>
        <v/>
      </c>
      <c r="T680" s="78" t="n"/>
      <c r="U680" s="92">
        <f>IF(ISBLANK(P680),"",IF(C680="Buy",Q680-M680+T680, IF(C680="Sell",M680-Q680-T680, X)))</f>
        <v/>
      </c>
      <c r="V680" s="81">
        <f>IF(ISBLANK(P680),"",U680/N680)</f>
        <v/>
      </c>
      <c r="W680" s="81">
        <f>IF(ISBLANK(P680),"",IF(S680=0,(365/0.5)*V680,(365/S680)*V680))</f>
        <v/>
      </c>
      <c r="X680" s="75" t="n"/>
      <c r="Y680" s="77" t="n"/>
      <c r="Z680" s="77" t="n"/>
      <c r="AA680" s="75" t="n"/>
      <c r="AB680" s="75" t="n"/>
      <c r="AC680" s="6" t="n"/>
      <c r="AD680" s="75" t="n"/>
      <c r="AE680" s="75" t="n"/>
      <c r="AF680" s="75" t="n"/>
    </row>
    <row r="681" ht="15.75" customHeight="1" s="133">
      <c r="A681" s="75" t="n"/>
      <c r="B681" s="75" t="n"/>
      <c r="C681" s="75" t="n"/>
      <c r="D681" s="75" t="n"/>
      <c r="E681" s="76" t="n"/>
      <c r="F681" s="77" t="n"/>
      <c r="G681" s="75" t="n"/>
      <c r="H681" s="75">
        <f>IF(ISBLANK(E681),"",IF(OR(D681="Butterfly",D681="Butterfly ",D681="Iron Fly", D681="Iron Fly "),LEN(E681)-LEN(SUBSTITUTE(E681,"/",""))+2,LEN(E681)-LEN(SUBSTITUTE(E681,"/",""))+1))</f>
        <v/>
      </c>
      <c r="I681" s="78">
        <f>IF(ISBLANK(G681),"",IF(D681="Stock","0",Key!$A$3*H681*G681))</f>
        <v/>
      </c>
      <c r="J681" s="78">
        <f>IF(ISBLANK(E681),"",IF(ISNUMBER(SEARCH("/",E681)), IF(LEN(E681)-LEN(SUBSTITUTE(E681,"/",""))=1,(RIGHT(E681,LEN(E681)-FIND("/",E681)))-(LEFT(E681,FIND("/",E681)-1)),(MID(E681, SEARCH("/",E681) + 1, SEARCH("/",E681, SEARCH("/",E681)+1) - SEARCH("/",E681) - 1))-(LEFT(E681,FIND("/",E681)-1))), "NA"))</f>
        <v/>
      </c>
      <c r="K681" s="79">
        <f>IF(A681&lt;&gt;"", IF(ISBLANK(L681), TODAY(), K681), "")</f>
        <v/>
      </c>
      <c r="L681" s="78" t="n"/>
      <c r="M681" s="78">
        <f>IF(ISBLANK(L681),"",IF(D681="Stock",IF(C681="Buy",L681*G681,IF(C681="Sell",(L681*G681)-I681, X)),IF(C681="Buy",(L681*G681*100)+I681,IF(C681="Sell",(L681*G681*100)-I681, X))))</f>
        <v/>
      </c>
      <c r="N681" s="78">
        <f>IF(ISBLANK(L681),"",IF(AND(C681="Sell",D681="Stock"),M681,IF(ISBLANK(L681),"",IF(C681="Buy",M681, IF(AND(C681="Sell",J681="NA"),(E681*G681*100*0.1)+I681, IF(C681="Sell",(J681-L681)*(100*G681)+I681))))))</f>
        <v/>
      </c>
      <c r="O681" s="75" t="n"/>
      <c r="P681" s="75" t="n"/>
      <c r="Q681" s="75">
        <f>IF(ISBLANK(P681),"",IF(D681="Stock",P681*G681,IF(P681=0,"0",G681*P681*100-(G681*$AF$14))))</f>
        <v/>
      </c>
      <c r="R681" s="79">
        <f>IF(P681&lt;&gt;"", TODAY(), "")</f>
        <v/>
      </c>
      <c r="S681" s="78">
        <f>IF(AND(K681&lt;&gt;"", R681&lt;&gt;""), R681-K681, "")</f>
        <v/>
      </c>
      <c r="T681" s="78" t="n"/>
      <c r="U681" s="92">
        <f>IF(ISBLANK(P681),"",IF(C681="Buy",Q681-M681+T681, IF(C681="Sell",M681-Q681-T681, X)))</f>
        <v/>
      </c>
      <c r="V681" s="81">
        <f>IF(ISBLANK(P681),"",U681/N681)</f>
        <v/>
      </c>
      <c r="W681" s="81">
        <f>IF(ISBLANK(P681),"",IF(S681=0,(365/0.5)*V681,(365/S681)*V681))</f>
        <v/>
      </c>
      <c r="X681" s="75" t="n"/>
      <c r="Y681" s="77" t="n"/>
      <c r="Z681" s="77" t="n"/>
      <c r="AA681" s="75" t="n"/>
      <c r="AB681" s="75" t="n"/>
      <c r="AC681" s="6" t="n"/>
      <c r="AD681" s="75" t="n"/>
      <c r="AE681" s="75" t="n"/>
      <c r="AF681" s="75" t="n"/>
    </row>
    <row r="682" ht="15.75" customHeight="1" s="133">
      <c r="A682" s="75" t="n"/>
      <c r="B682" s="75" t="n"/>
      <c r="C682" s="75" t="n"/>
      <c r="D682" s="75" t="n"/>
      <c r="E682" s="76" t="n"/>
      <c r="F682" s="77" t="n"/>
      <c r="G682" s="75" t="n"/>
      <c r="H682" s="75">
        <f>IF(ISBLANK(E682),"",IF(OR(D682="Butterfly",D682="Butterfly ",D682="Iron Fly", D682="Iron Fly "),LEN(E682)-LEN(SUBSTITUTE(E682,"/",""))+2,LEN(E682)-LEN(SUBSTITUTE(E682,"/",""))+1))</f>
        <v/>
      </c>
      <c r="I682" s="78">
        <f>IF(ISBLANK(G682),"",IF(D682="Stock","0",Key!$A$3*H682*G682))</f>
        <v/>
      </c>
      <c r="J682" s="78">
        <f>IF(ISBLANK(E682),"",IF(ISNUMBER(SEARCH("/",E682)), IF(LEN(E682)-LEN(SUBSTITUTE(E682,"/",""))=1,(RIGHT(E682,LEN(E682)-FIND("/",E682)))-(LEFT(E682,FIND("/",E682)-1)),(MID(E682, SEARCH("/",E682) + 1, SEARCH("/",E682, SEARCH("/",E682)+1) - SEARCH("/",E682) - 1))-(LEFT(E682,FIND("/",E682)-1))), "NA"))</f>
        <v/>
      </c>
      <c r="K682" s="79">
        <f>IF(A682&lt;&gt;"", IF(ISBLANK(L682), TODAY(), K682), "")</f>
        <v/>
      </c>
      <c r="L682" s="78" t="n"/>
      <c r="M682" s="78">
        <f>IF(ISBLANK(L682),"",IF(D682="Stock",IF(C682="Buy",L682*G682,IF(C682="Sell",(L682*G682)-I682, X)),IF(C682="Buy",(L682*G682*100)+I682,IF(C682="Sell",(L682*G682*100)-I682, X))))</f>
        <v/>
      </c>
      <c r="N682" s="78">
        <f>IF(ISBLANK(L682),"",IF(AND(C682="Sell",D682="Stock"),M682,IF(ISBLANK(L682),"",IF(C682="Buy",M682, IF(AND(C682="Sell",J682="NA"),(E682*G682*100*0.1)+I682, IF(C682="Sell",(J682-L682)*(100*G682)+I682))))))</f>
        <v/>
      </c>
      <c r="O682" s="75" t="n"/>
      <c r="P682" s="75" t="n"/>
      <c r="Q682" s="75">
        <f>IF(ISBLANK(P682),"",IF(D682="Stock",P682*G682,IF(P682=0,"0",G682*P682*100-(G682*$AF$14))))</f>
        <v/>
      </c>
      <c r="R682" s="79">
        <f>IF(P682&lt;&gt;"", TODAY(), "")</f>
        <v/>
      </c>
      <c r="S682" s="78">
        <f>IF(AND(K682&lt;&gt;"", R682&lt;&gt;""), R682-K682, "")</f>
        <v/>
      </c>
      <c r="T682" s="78" t="n"/>
      <c r="U682" s="92">
        <f>IF(ISBLANK(P682),"",IF(C682="Buy",Q682-M682+T682, IF(C682="Sell",M682-Q682-T682, X)))</f>
        <v/>
      </c>
      <c r="V682" s="81">
        <f>IF(ISBLANK(P682),"",U682/N682)</f>
        <v/>
      </c>
      <c r="W682" s="81">
        <f>IF(ISBLANK(P682),"",IF(S682=0,(365/0.5)*V682,(365/S682)*V682))</f>
        <v/>
      </c>
      <c r="X682" s="75" t="n"/>
      <c r="Y682" s="77" t="n"/>
      <c r="Z682" s="77" t="n"/>
      <c r="AA682" s="75" t="n"/>
      <c r="AB682" s="75" t="n"/>
      <c r="AC682" s="6" t="n"/>
      <c r="AD682" s="75" t="n"/>
      <c r="AE682" s="75" t="n"/>
      <c r="AF682" s="75" t="n"/>
    </row>
    <row r="683" ht="15.75" customHeight="1" s="133">
      <c r="A683" s="75" t="n"/>
      <c r="B683" s="75" t="n"/>
      <c r="C683" s="75" t="n"/>
      <c r="D683" s="75" t="n"/>
      <c r="E683" s="76" t="n"/>
      <c r="F683" s="77" t="n"/>
      <c r="G683" s="75" t="n"/>
      <c r="H683" s="75">
        <f>IF(ISBLANK(E683),"",IF(OR(D683="Butterfly",D683="Butterfly ",D683="Iron Fly", D683="Iron Fly "),LEN(E683)-LEN(SUBSTITUTE(E683,"/",""))+2,LEN(E683)-LEN(SUBSTITUTE(E683,"/",""))+1))</f>
        <v/>
      </c>
      <c r="I683" s="78">
        <f>IF(ISBLANK(G683),"",IF(D683="Stock","0",Key!$A$3*H683*G683))</f>
        <v/>
      </c>
      <c r="J683" s="78">
        <f>IF(ISBLANK(E683),"",IF(ISNUMBER(SEARCH("/",E683)), IF(LEN(E683)-LEN(SUBSTITUTE(E683,"/",""))=1,(RIGHT(E683,LEN(E683)-FIND("/",E683)))-(LEFT(E683,FIND("/",E683)-1)),(MID(E683, SEARCH("/",E683) + 1, SEARCH("/",E683, SEARCH("/",E683)+1) - SEARCH("/",E683) - 1))-(LEFT(E683,FIND("/",E683)-1))), "NA"))</f>
        <v/>
      </c>
      <c r="K683" s="79">
        <f>IF(A683&lt;&gt;"", IF(ISBLANK(L683), TODAY(), K683), "")</f>
        <v/>
      </c>
      <c r="L683" s="78" t="n"/>
      <c r="M683" s="78">
        <f>IF(ISBLANK(L683),"",IF(D683="Stock",IF(C683="Buy",L683*G683,IF(C683="Sell",(L683*G683)-I683, X)),IF(C683="Buy",(L683*G683*100)+I683,IF(C683="Sell",(L683*G683*100)-I683, X))))</f>
        <v/>
      </c>
      <c r="N683" s="78">
        <f>IF(ISBLANK(L683),"",IF(AND(C683="Sell",D683="Stock"),M683,IF(ISBLANK(L683),"",IF(C683="Buy",M683, IF(AND(C683="Sell",J683="NA"),(E683*G683*100*0.1)+I683, IF(C683="Sell",(J683-L683)*(100*G683)+I683))))))</f>
        <v/>
      </c>
      <c r="O683" s="75" t="n"/>
      <c r="P683" s="75" t="n"/>
      <c r="Q683" s="75">
        <f>IF(ISBLANK(P683),"",IF(D683="Stock",P683*G683,IF(P683=0,"0",G683*P683*100-(G683*$AF$14))))</f>
        <v/>
      </c>
      <c r="R683" s="79">
        <f>IF(P683&lt;&gt;"", TODAY(), "")</f>
        <v/>
      </c>
      <c r="S683" s="78">
        <f>IF(AND(K683&lt;&gt;"", R683&lt;&gt;""), R683-K683, "")</f>
        <v/>
      </c>
      <c r="T683" s="78" t="n"/>
      <c r="U683" s="92">
        <f>IF(ISBLANK(P683),"",IF(C683="Buy",Q683-M683+T683, IF(C683="Sell",M683-Q683-T683, X)))</f>
        <v/>
      </c>
      <c r="V683" s="81">
        <f>IF(ISBLANK(P683),"",U683/N683)</f>
        <v/>
      </c>
      <c r="W683" s="81">
        <f>IF(ISBLANK(P683),"",IF(S683=0,(365/0.5)*V683,(365/S683)*V683))</f>
        <v/>
      </c>
      <c r="X683" s="75" t="n"/>
      <c r="Y683" s="77" t="n"/>
      <c r="Z683" s="77" t="n"/>
      <c r="AA683" s="75" t="n"/>
      <c r="AB683" s="75" t="n"/>
      <c r="AC683" s="6" t="n"/>
      <c r="AD683" s="75" t="n"/>
      <c r="AE683" s="75" t="n"/>
      <c r="AF683" s="75" t="n"/>
    </row>
    <row r="684" ht="15.75" customHeight="1" s="133">
      <c r="A684" s="75" t="n"/>
      <c r="B684" s="75" t="n"/>
      <c r="C684" s="75" t="n"/>
      <c r="D684" s="75" t="n"/>
      <c r="E684" s="76" t="n"/>
      <c r="F684" s="77" t="n"/>
      <c r="G684" s="75" t="n"/>
      <c r="H684" s="75">
        <f>IF(ISBLANK(E684),"",IF(OR(D684="Butterfly",D684="Butterfly ",D684="Iron Fly", D684="Iron Fly "),LEN(E684)-LEN(SUBSTITUTE(E684,"/",""))+2,LEN(E684)-LEN(SUBSTITUTE(E684,"/",""))+1))</f>
        <v/>
      </c>
      <c r="I684" s="78">
        <f>IF(ISBLANK(G684),"",IF(D684="Stock","0",Key!$A$3*H684*G684))</f>
        <v/>
      </c>
      <c r="J684" s="78">
        <f>IF(ISBLANK(E684),"",IF(ISNUMBER(SEARCH("/",E684)), IF(LEN(E684)-LEN(SUBSTITUTE(E684,"/",""))=1,(RIGHT(E684,LEN(E684)-FIND("/",E684)))-(LEFT(E684,FIND("/",E684)-1)),(MID(E684, SEARCH("/",E684) + 1, SEARCH("/",E684, SEARCH("/",E684)+1) - SEARCH("/",E684) - 1))-(LEFT(E684,FIND("/",E684)-1))), "NA"))</f>
        <v/>
      </c>
      <c r="K684" s="79">
        <f>IF(A684&lt;&gt;"", IF(ISBLANK(L684), TODAY(), K684), "")</f>
        <v/>
      </c>
      <c r="L684" s="78" t="n"/>
      <c r="M684" s="78">
        <f>IF(ISBLANK(L684),"",IF(D684="Stock",IF(C684="Buy",L684*G684,IF(C684="Sell",(L684*G684)-I684, X)),IF(C684="Buy",(L684*G684*100)+I684,IF(C684="Sell",(L684*G684*100)-I684, X))))</f>
        <v/>
      </c>
      <c r="N684" s="78">
        <f>IF(ISBLANK(L684),"",IF(AND(C684="Sell",D684="Stock"),M684,IF(ISBLANK(L684),"",IF(C684="Buy",M684, IF(AND(C684="Sell",J684="NA"),(E684*G684*100*0.1)+I684, IF(C684="Sell",(J684-L684)*(100*G684)+I684))))))</f>
        <v/>
      </c>
      <c r="O684" s="75" t="n"/>
      <c r="P684" s="75" t="n"/>
      <c r="Q684" s="75">
        <f>IF(ISBLANK(P684),"",IF(D684="Stock",P684*G684,IF(P684=0,"0",G684*P684*100-(G684*$AF$14))))</f>
        <v/>
      </c>
      <c r="R684" s="79">
        <f>IF(P684&lt;&gt;"", TODAY(), "")</f>
        <v/>
      </c>
      <c r="S684" s="78">
        <f>IF(AND(K684&lt;&gt;"", R684&lt;&gt;""), R684-K684, "")</f>
        <v/>
      </c>
      <c r="T684" s="78" t="n"/>
      <c r="U684" s="92">
        <f>IF(ISBLANK(P684),"",IF(C684="Buy",Q684-M684+T684, IF(C684="Sell",M684-Q684-T684, X)))</f>
        <v/>
      </c>
      <c r="V684" s="81">
        <f>IF(ISBLANK(P684),"",U684/N684)</f>
        <v/>
      </c>
      <c r="W684" s="81">
        <f>IF(ISBLANK(P684),"",IF(S684=0,(365/0.5)*V684,(365/S684)*V684))</f>
        <v/>
      </c>
      <c r="X684" s="75" t="n"/>
      <c r="Y684" s="77" t="n"/>
      <c r="Z684" s="77" t="n"/>
      <c r="AA684" s="75" t="n"/>
      <c r="AB684" s="75" t="n"/>
      <c r="AC684" s="6" t="n"/>
      <c r="AD684" s="75" t="n"/>
      <c r="AE684" s="75" t="n"/>
      <c r="AF684" s="75" t="n"/>
    </row>
    <row r="685" ht="15.75" customHeight="1" s="133">
      <c r="A685" s="75" t="n"/>
      <c r="B685" s="75" t="n"/>
      <c r="C685" s="75" t="n"/>
      <c r="D685" s="75" t="n"/>
      <c r="E685" s="76" t="n"/>
      <c r="F685" s="77" t="n"/>
      <c r="G685" s="75" t="n"/>
      <c r="H685" s="75">
        <f>IF(ISBLANK(E685),"",IF(OR(D685="Butterfly",D685="Butterfly ",D685="Iron Fly", D685="Iron Fly "),LEN(E685)-LEN(SUBSTITUTE(E685,"/",""))+2,LEN(E685)-LEN(SUBSTITUTE(E685,"/",""))+1))</f>
        <v/>
      </c>
      <c r="I685" s="78">
        <f>IF(ISBLANK(G685),"",IF(D685="Stock","0",Key!$A$3*H685*G685))</f>
        <v/>
      </c>
      <c r="J685" s="78">
        <f>IF(ISBLANK(E685),"",IF(ISNUMBER(SEARCH("/",E685)), IF(LEN(E685)-LEN(SUBSTITUTE(E685,"/",""))=1,(RIGHT(E685,LEN(E685)-FIND("/",E685)))-(LEFT(E685,FIND("/",E685)-1)),(MID(E685, SEARCH("/",E685) + 1, SEARCH("/",E685, SEARCH("/",E685)+1) - SEARCH("/",E685) - 1))-(LEFT(E685,FIND("/",E685)-1))), "NA"))</f>
        <v/>
      </c>
      <c r="K685" s="79">
        <f>IF(A685&lt;&gt;"", IF(ISBLANK(L685), TODAY(), K685), "")</f>
        <v/>
      </c>
      <c r="L685" s="78" t="n"/>
      <c r="M685" s="78">
        <f>IF(ISBLANK(L685),"",IF(D685="Stock",IF(C685="Buy",L685*G685,IF(C685="Sell",(L685*G685)-I685, X)),IF(C685="Buy",(L685*G685*100)+I685,IF(C685="Sell",(L685*G685*100)-I685, X))))</f>
        <v/>
      </c>
      <c r="N685" s="78">
        <f>IF(ISBLANK(L685),"",IF(AND(C685="Sell",D685="Stock"),M685,IF(ISBLANK(L685),"",IF(C685="Buy",M685, IF(AND(C685="Sell",J685="NA"),(E685*G685*100*0.1)+I685, IF(C685="Sell",(J685-L685)*(100*G685)+I685))))))</f>
        <v/>
      </c>
      <c r="O685" s="75" t="n"/>
      <c r="P685" s="75" t="n"/>
      <c r="Q685" s="75">
        <f>IF(ISBLANK(P685),"",IF(D685="Stock",P685*G685,IF(P685=0,"0",G685*P685*100-(G685*$AF$14))))</f>
        <v/>
      </c>
      <c r="R685" s="79">
        <f>IF(P685&lt;&gt;"", TODAY(), "")</f>
        <v/>
      </c>
      <c r="S685" s="78">
        <f>IF(AND(K685&lt;&gt;"", R685&lt;&gt;""), R685-K685, "")</f>
        <v/>
      </c>
      <c r="T685" s="78" t="n"/>
      <c r="U685" s="92">
        <f>IF(ISBLANK(P685),"",IF(C685="Buy",Q685-M685+T685, IF(C685="Sell",M685-Q685-T685, X)))</f>
        <v/>
      </c>
      <c r="V685" s="81">
        <f>IF(ISBLANK(P685),"",U685/N685)</f>
        <v/>
      </c>
      <c r="W685" s="81">
        <f>IF(ISBLANK(P685),"",IF(S685=0,(365/0.5)*V685,(365/S685)*V685))</f>
        <v/>
      </c>
      <c r="X685" s="75" t="n"/>
      <c r="Y685" s="77" t="n"/>
      <c r="Z685" s="77" t="n"/>
      <c r="AA685" s="75" t="n"/>
      <c r="AB685" s="75" t="n"/>
      <c r="AC685" s="6" t="n"/>
      <c r="AD685" s="75" t="n"/>
      <c r="AE685" s="75" t="n"/>
      <c r="AF685" s="75" t="n"/>
    </row>
    <row r="686" ht="15.75" customHeight="1" s="133">
      <c r="A686" s="75" t="n"/>
      <c r="B686" s="75" t="n"/>
      <c r="C686" s="75" t="n"/>
      <c r="D686" s="75" t="n"/>
      <c r="E686" s="76" t="n"/>
      <c r="F686" s="77" t="n"/>
      <c r="G686" s="75" t="n"/>
      <c r="H686" s="75">
        <f>IF(ISBLANK(E686),"",IF(OR(D686="Butterfly",D686="Butterfly ",D686="Iron Fly", D686="Iron Fly "),LEN(E686)-LEN(SUBSTITUTE(E686,"/",""))+2,LEN(E686)-LEN(SUBSTITUTE(E686,"/",""))+1))</f>
        <v/>
      </c>
      <c r="I686" s="78">
        <f>IF(ISBLANK(G686),"",IF(D686="Stock","0",Key!$A$3*H686*G686))</f>
        <v/>
      </c>
      <c r="J686" s="78">
        <f>IF(ISBLANK(E686),"",IF(ISNUMBER(SEARCH("/",E686)), IF(LEN(E686)-LEN(SUBSTITUTE(E686,"/",""))=1,(RIGHT(E686,LEN(E686)-FIND("/",E686)))-(LEFT(E686,FIND("/",E686)-1)),(MID(E686, SEARCH("/",E686) + 1, SEARCH("/",E686, SEARCH("/",E686)+1) - SEARCH("/",E686) - 1))-(LEFT(E686,FIND("/",E686)-1))), "NA"))</f>
        <v/>
      </c>
      <c r="K686" s="79">
        <f>IF(A686&lt;&gt;"", IF(ISBLANK(L686), TODAY(), K686), "")</f>
        <v/>
      </c>
      <c r="L686" s="78" t="n"/>
      <c r="M686" s="78">
        <f>IF(ISBLANK(L686),"",IF(D686="Stock",IF(C686="Buy",L686*G686,IF(C686="Sell",(L686*G686)-I686, X)),IF(C686="Buy",(L686*G686*100)+I686,IF(C686="Sell",(L686*G686*100)-I686, X))))</f>
        <v/>
      </c>
      <c r="N686" s="78">
        <f>IF(ISBLANK(L686),"",IF(AND(C686="Sell",D686="Stock"),M686,IF(ISBLANK(L686),"",IF(C686="Buy",M686, IF(AND(C686="Sell",J686="NA"),(E686*G686*100*0.1)+I686, IF(C686="Sell",(J686-L686)*(100*G686)+I686))))))</f>
        <v/>
      </c>
      <c r="O686" s="75" t="n"/>
      <c r="P686" s="75" t="n"/>
      <c r="Q686" s="75">
        <f>IF(ISBLANK(P686),"",IF(D686="Stock",P686*G686,IF(P686=0,"0",G686*P686*100-(G686*$AF$14))))</f>
        <v/>
      </c>
      <c r="R686" s="79">
        <f>IF(P686&lt;&gt;"", TODAY(), "")</f>
        <v/>
      </c>
      <c r="S686" s="78">
        <f>IF(AND(K686&lt;&gt;"", R686&lt;&gt;""), R686-K686, "")</f>
        <v/>
      </c>
      <c r="T686" s="78" t="n"/>
      <c r="U686" s="92">
        <f>IF(ISBLANK(P686),"",IF(C686="Buy",Q686-M686+T686, IF(C686="Sell",M686-Q686-T686, X)))</f>
        <v/>
      </c>
      <c r="V686" s="81">
        <f>IF(ISBLANK(P686),"",U686/N686)</f>
        <v/>
      </c>
      <c r="W686" s="81">
        <f>IF(ISBLANK(P686),"",IF(S686=0,(365/0.5)*V686,(365/S686)*V686))</f>
        <v/>
      </c>
      <c r="X686" s="75" t="n"/>
      <c r="Y686" s="77" t="n"/>
      <c r="Z686" s="77" t="n"/>
      <c r="AA686" s="75" t="n"/>
      <c r="AB686" s="75" t="n"/>
      <c r="AC686" s="6" t="n"/>
      <c r="AD686" s="75" t="n"/>
      <c r="AE686" s="75" t="n"/>
      <c r="AF686" s="75" t="n"/>
    </row>
    <row r="687" ht="15.75" customHeight="1" s="133">
      <c r="A687" s="75" t="n"/>
      <c r="B687" s="75" t="n"/>
      <c r="C687" s="75" t="n"/>
      <c r="D687" s="75" t="n"/>
      <c r="E687" s="76" t="n"/>
      <c r="F687" s="77" t="n"/>
      <c r="G687" s="75" t="n"/>
      <c r="H687" s="75">
        <f>IF(ISBLANK(E687),"",IF(OR(D687="Butterfly",D687="Butterfly ",D687="Iron Fly", D687="Iron Fly "),LEN(E687)-LEN(SUBSTITUTE(E687,"/",""))+2,LEN(E687)-LEN(SUBSTITUTE(E687,"/",""))+1))</f>
        <v/>
      </c>
      <c r="I687" s="78">
        <f>IF(ISBLANK(G687),"",IF(D687="Stock","0",Key!$A$3*H687*G687))</f>
        <v/>
      </c>
      <c r="J687" s="78">
        <f>IF(ISBLANK(E687),"",IF(ISNUMBER(SEARCH("/",E687)), IF(LEN(E687)-LEN(SUBSTITUTE(E687,"/",""))=1,(RIGHT(E687,LEN(E687)-FIND("/",E687)))-(LEFT(E687,FIND("/",E687)-1)),(MID(E687, SEARCH("/",E687) + 1, SEARCH("/",E687, SEARCH("/",E687)+1) - SEARCH("/",E687) - 1))-(LEFT(E687,FIND("/",E687)-1))), "NA"))</f>
        <v/>
      </c>
      <c r="K687" s="79">
        <f>IF(A687&lt;&gt;"", IF(ISBLANK(L687), TODAY(), K687), "")</f>
        <v/>
      </c>
      <c r="L687" s="78" t="n"/>
      <c r="M687" s="78">
        <f>IF(ISBLANK(L687),"",IF(D687="Stock",IF(C687="Buy",L687*G687,IF(C687="Sell",(L687*G687)-I687, X)),IF(C687="Buy",(L687*G687*100)+I687,IF(C687="Sell",(L687*G687*100)-I687, X))))</f>
        <v/>
      </c>
      <c r="N687" s="78">
        <f>IF(ISBLANK(L687),"",IF(AND(C687="Sell",D687="Stock"),M687,IF(ISBLANK(L687),"",IF(C687="Buy",M687, IF(AND(C687="Sell",J687="NA"),(E687*G687*100*0.1)+I687, IF(C687="Sell",(J687-L687)*(100*G687)+I687))))))</f>
        <v/>
      </c>
      <c r="O687" s="75" t="n"/>
      <c r="P687" s="75" t="n"/>
      <c r="Q687" s="75">
        <f>IF(ISBLANK(P687),"",IF(D687="Stock",P687*G687,IF(P687=0,"0",G687*P687*100-(G687*$AF$14))))</f>
        <v/>
      </c>
      <c r="R687" s="79">
        <f>IF(P687&lt;&gt;"", TODAY(), "")</f>
        <v/>
      </c>
      <c r="S687" s="78">
        <f>IF(AND(K687&lt;&gt;"", R687&lt;&gt;""), R687-K687, "")</f>
        <v/>
      </c>
      <c r="T687" s="78" t="n"/>
      <c r="U687" s="92">
        <f>IF(ISBLANK(P687),"",IF(C687="Buy",Q687-M687+T687, IF(C687="Sell",M687-Q687-T687, X)))</f>
        <v/>
      </c>
      <c r="V687" s="81">
        <f>IF(ISBLANK(P687),"",U687/N687)</f>
        <v/>
      </c>
      <c r="W687" s="81">
        <f>IF(ISBLANK(P687),"",IF(S687=0,(365/0.5)*V687,(365/S687)*V687))</f>
        <v/>
      </c>
      <c r="X687" s="75" t="n"/>
      <c r="Y687" s="77" t="n"/>
      <c r="Z687" s="77" t="n"/>
      <c r="AA687" s="75" t="n"/>
      <c r="AB687" s="75" t="n"/>
      <c r="AC687" s="6" t="n"/>
      <c r="AD687" s="75" t="n"/>
      <c r="AE687" s="75" t="n"/>
      <c r="AF687" s="75" t="n"/>
    </row>
    <row r="688" ht="15.75" customHeight="1" s="133">
      <c r="A688" s="75" t="n"/>
      <c r="B688" s="75" t="n"/>
      <c r="C688" s="75" t="n"/>
      <c r="D688" s="75" t="n"/>
      <c r="E688" s="76" t="n"/>
      <c r="F688" s="77" t="n"/>
      <c r="G688" s="75" t="n"/>
      <c r="H688" s="75">
        <f>IF(ISBLANK(E688),"",IF(OR(D688="Butterfly",D688="Butterfly ",D688="Iron Fly", D688="Iron Fly "),LEN(E688)-LEN(SUBSTITUTE(E688,"/",""))+2,LEN(E688)-LEN(SUBSTITUTE(E688,"/",""))+1))</f>
        <v/>
      </c>
      <c r="I688" s="78">
        <f>IF(ISBLANK(G688),"",IF(D688="Stock","0",Key!$A$3*H688*G688))</f>
        <v/>
      </c>
      <c r="J688" s="78">
        <f>IF(ISBLANK(E688),"",IF(ISNUMBER(SEARCH("/",E688)), IF(LEN(E688)-LEN(SUBSTITUTE(E688,"/",""))=1,(RIGHT(E688,LEN(E688)-FIND("/",E688)))-(LEFT(E688,FIND("/",E688)-1)),(MID(E688, SEARCH("/",E688) + 1, SEARCH("/",E688, SEARCH("/",E688)+1) - SEARCH("/",E688) - 1))-(LEFT(E688,FIND("/",E688)-1))), "NA"))</f>
        <v/>
      </c>
      <c r="K688" s="79">
        <f>IF(A688&lt;&gt;"", IF(ISBLANK(L688), TODAY(), K688), "")</f>
        <v/>
      </c>
      <c r="L688" s="78" t="n"/>
      <c r="M688" s="78">
        <f>IF(ISBLANK(L688),"",IF(D688="Stock",IF(C688="Buy",L688*G688,IF(C688="Sell",(L688*G688)-I688, X)),IF(C688="Buy",(L688*G688*100)+I688,IF(C688="Sell",(L688*G688*100)-I688, X))))</f>
        <v/>
      </c>
      <c r="N688" s="78">
        <f>IF(ISBLANK(L688),"",IF(AND(C688="Sell",D688="Stock"),M688,IF(ISBLANK(L688),"",IF(C688="Buy",M688, IF(AND(C688="Sell",J688="NA"),(E688*G688*100*0.1)+I688, IF(C688="Sell",(J688-L688)*(100*G688)+I688))))))</f>
        <v/>
      </c>
      <c r="O688" s="75" t="n"/>
      <c r="P688" s="75" t="n"/>
      <c r="Q688" s="75">
        <f>IF(ISBLANK(P688),"",IF(D688="Stock",P688*G688,IF(P688=0,"0",G688*P688*100-(G688*$AF$14))))</f>
        <v/>
      </c>
      <c r="R688" s="79">
        <f>IF(P688&lt;&gt;"", TODAY(), "")</f>
        <v/>
      </c>
      <c r="S688" s="78">
        <f>IF(AND(K688&lt;&gt;"", R688&lt;&gt;""), R688-K688, "")</f>
        <v/>
      </c>
      <c r="T688" s="78" t="n"/>
      <c r="U688" s="92">
        <f>IF(ISBLANK(P688),"",IF(C688="Buy",Q688-M688+T688, IF(C688="Sell",M688-Q688-T688, X)))</f>
        <v/>
      </c>
      <c r="V688" s="81">
        <f>IF(ISBLANK(P688),"",U688/N688)</f>
        <v/>
      </c>
      <c r="W688" s="81">
        <f>IF(ISBLANK(P688),"",IF(S688=0,(365/0.5)*V688,(365/S688)*V688))</f>
        <v/>
      </c>
      <c r="X688" s="75" t="n"/>
      <c r="Y688" s="77" t="n"/>
      <c r="Z688" s="77" t="n"/>
      <c r="AA688" s="75" t="n"/>
      <c r="AB688" s="75" t="n"/>
      <c r="AC688" s="6" t="n"/>
      <c r="AD688" s="75" t="n"/>
      <c r="AE688" s="75" t="n"/>
      <c r="AF688" s="75" t="n"/>
    </row>
    <row r="689" ht="15.75" customHeight="1" s="133">
      <c r="A689" s="75" t="n"/>
      <c r="B689" s="75" t="n"/>
      <c r="C689" s="75" t="n"/>
      <c r="D689" s="75" t="n"/>
      <c r="E689" s="76" t="n"/>
      <c r="F689" s="77" t="n"/>
      <c r="G689" s="75" t="n"/>
      <c r="H689" s="75">
        <f>IF(ISBLANK(E689),"",IF(OR(D689="Butterfly",D689="Butterfly ",D689="Iron Fly", D689="Iron Fly "),LEN(E689)-LEN(SUBSTITUTE(E689,"/",""))+2,LEN(E689)-LEN(SUBSTITUTE(E689,"/",""))+1))</f>
        <v/>
      </c>
      <c r="I689" s="78">
        <f>IF(ISBLANK(G689),"",IF(D689="Stock","0",Key!$A$3*H689*G689))</f>
        <v/>
      </c>
      <c r="J689" s="78">
        <f>IF(ISBLANK(E689),"",IF(ISNUMBER(SEARCH("/",E689)), IF(LEN(E689)-LEN(SUBSTITUTE(E689,"/",""))=1,(RIGHT(E689,LEN(E689)-FIND("/",E689)))-(LEFT(E689,FIND("/",E689)-1)),(MID(E689, SEARCH("/",E689) + 1, SEARCH("/",E689, SEARCH("/",E689)+1) - SEARCH("/",E689) - 1))-(LEFT(E689,FIND("/",E689)-1))), "NA"))</f>
        <v/>
      </c>
      <c r="K689" s="79">
        <f>IF(A689&lt;&gt;"", IF(ISBLANK(L689), TODAY(), K689), "")</f>
        <v/>
      </c>
      <c r="L689" s="78" t="n"/>
      <c r="M689" s="78">
        <f>IF(ISBLANK(L689),"",IF(D689="Stock",IF(C689="Buy",L689*G689,IF(C689="Sell",(L689*G689)-I689, X)),IF(C689="Buy",(L689*G689*100)+I689,IF(C689="Sell",(L689*G689*100)-I689, X))))</f>
        <v/>
      </c>
      <c r="N689" s="78">
        <f>IF(ISBLANK(L689),"",IF(AND(C689="Sell",D689="Stock"),M689,IF(ISBLANK(L689),"",IF(C689="Buy",M689, IF(AND(C689="Sell",J689="NA"),(E689*G689*100*0.1)+I689, IF(C689="Sell",(J689-L689)*(100*G689)+I689))))))</f>
        <v/>
      </c>
      <c r="O689" s="75" t="n"/>
      <c r="P689" s="75" t="n"/>
      <c r="Q689" s="75">
        <f>IF(ISBLANK(P689),"",IF(D689="Stock",P689*G689,IF(P689=0,"0",G689*P689*100-(G689*$AF$14))))</f>
        <v/>
      </c>
      <c r="R689" s="79">
        <f>IF(P689&lt;&gt;"", TODAY(), "")</f>
        <v/>
      </c>
      <c r="S689" s="78">
        <f>IF(AND(K689&lt;&gt;"", R689&lt;&gt;""), R689-K689, "")</f>
        <v/>
      </c>
      <c r="T689" s="78" t="n"/>
      <c r="U689" s="92">
        <f>IF(ISBLANK(P689),"",IF(C689="Buy",Q689-M689+T689, IF(C689="Sell",M689-Q689-T689, X)))</f>
        <v/>
      </c>
      <c r="V689" s="81">
        <f>IF(ISBLANK(P689),"",U689/N689)</f>
        <v/>
      </c>
      <c r="W689" s="81">
        <f>IF(ISBLANK(P689),"",IF(S689=0,(365/0.5)*V689,(365/S689)*V689))</f>
        <v/>
      </c>
      <c r="X689" s="75" t="n"/>
      <c r="Y689" s="77" t="n"/>
      <c r="Z689" s="77" t="n"/>
      <c r="AA689" s="75" t="n"/>
      <c r="AB689" s="75" t="n"/>
      <c r="AC689" s="6" t="n"/>
      <c r="AD689" s="75" t="n"/>
      <c r="AE689" s="75" t="n"/>
      <c r="AF689" s="75" t="n"/>
    </row>
    <row r="690" ht="15.75" customHeight="1" s="133">
      <c r="A690" s="75" t="n"/>
      <c r="B690" s="75" t="n"/>
      <c r="C690" s="75" t="n"/>
      <c r="D690" s="75" t="n"/>
      <c r="E690" s="76" t="n"/>
      <c r="F690" s="77" t="n"/>
      <c r="G690" s="75" t="n"/>
      <c r="H690" s="75">
        <f>IF(ISBLANK(E690),"",IF(OR(D690="Butterfly",D690="Butterfly ",D690="Iron Fly", D690="Iron Fly "),LEN(E690)-LEN(SUBSTITUTE(E690,"/",""))+2,LEN(E690)-LEN(SUBSTITUTE(E690,"/",""))+1))</f>
        <v/>
      </c>
      <c r="I690" s="78">
        <f>IF(ISBLANK(G690),"",IF(D690="Stock","0",Key!$A$3*H690*G690))</f>
        <v/>
      </c>
      <c r="J690" s="78">
        <f>IF(ISBLANK(E690),"",IF(ISNUMBER(SEARCH("/",E690)), IF(LEN(E690)-LEN(SUBSTITUTE(E690,"/",""))=1,(RIGHT(E690,LEN(E690)-FIND("/",E690)))-(LEFT(E690,FIND("/",E690)-1)),(MID(E690, SEARCH("/",E690) + 1, SEARCH("/",E690, SEARCH("/",E690)+1) - SEARCH("/",E690) - 1))-(LEFT(E690,FIND("/",E690)-1))), "NA"))</f>
        <v/>
      </c>
      <c r="K690" s="79">
        <f>IF(A690&lt;&gt;"", IF(ISBLANK(L690), TODAY(), K690), "")</f>
        <v/>
      </c>
      <c r="L690" s="78" t="n"/>
      <c r="M690" s="78">
        <f>IF(ISBLANK(L690),"",IF(D690="Stock",IF(C690="Buy",L690*G690,IF(C690="Sell",(L690*G690)-I690, X)),IF(C690="Buy",(L690*G690*100)+I690,IF(C690="Sell",(L690*G690*100)-I690, X))))</f>
        <v/>
      </c>
      <c r="N690" s="78">
        <f>IF(ISBLANK(L690),"",IF(AND(C690="Sell",D690="Stock"),M690,IF(ISBLANK(L690),"",IF(C690="Buy",M690, IF(AND(C690="Sell",J690="NA"),(E690*G690*100*0.1)+I690, IF(C690="Sell",(J690-L690)*(100*G690)+I690))))))</f>
        <v/>
      </c>
      <c r="O690" s="75" t="n"/>
      <c r="P690" s="75" t="n"/>
      <c r="Q690" s="75">
        <f>IF(ISBLANK(P690),"",IF(D690="Stock",P690*G690,IF(P690=0,"0",G690*P690*100-(G690*$AF$14))))</f>
        <v/>
      </c>
      <c r="R690" s="79">
        <f>IF(P690&lt;&gt;"", TODAY(), "")</f>
        <v/>
      </c>
      <c r="S690" s="78">
        <f>IF(AND(K690&lt;&gt;"", R690&lt;&gt;""), R690-K690, "")</f>
        <v/>
      </c>
      <c r="T690" s="78" t="n"/>
      <c r="U690" s="92">
        <f>IF(ISBLANK(P690),"",IF(C690="Buy",Q690-M690+T690, IF(C690="Sell",M690-Q690-T690, X)))</f>
        <v/>
      </c>
      <c r="V690" s="81">
        <f>IF(ISBLANK(P690),"",U690/N690)</f>
        <v/>
      </c>
      <c r="W690" s="81">
        <f>IF(ISBLANK(P690),"",IF(S690=0,(365/0.5)*V690,(365/S690)*V690))</f>
        <v/>
      </c>
      <c r="X690" s="75" t="n"/>
      <c r="Y690" s="77" t="n"/>
      <c r="Z690" s="77" t="n"/>
      <c r="AA690" s="75" t="n"/>
      <c r="AB690" s="75" t="n"/>
      <c r="AC690" s="6" t="n"/>
      <c r="AD690" s="75" t="n"/>
      <c r="AE690" s="75" t="n"/>
      <c r="AF690" s="75" t="n"/>
    </row>
    <row r="691" ht="15.75" customHeight="1" s="133">
      <c r="A691" s="75" t="n"/>
      <c r="B691" s="75" t="n"/>
      <c r="C691" s="75" t="n"/>
      <c r="D691" s="75" t="n"/>
      <c r="E691" s="76" t="n"/>
      <c r="F691" s="77" t="n"/>
      <c r="G691" s="75" t="n"/>
      <c r="H691" s="75">
        <f>IF(ISBLANK(E691),"",IF(OR(D691="Butterfly",D691="Butterfly ",D691="Iron Fly", D691="Iron Fly "),LEN(E691)-LEN(SUBSTITUTE(E691,"/",""))+2,LEN(E691)-LEN(SUBSTITUTE(E691,"/",""))+1))</f>
        <v/>
      </c>
      <c r="I691" s="78">
        <f>IF(ISBLANK(G691),"",IF(D691="Stock","0",Key!$A$3*H691*G691))</f>
        <v/>
      </c>
      <c r="J691" s="78">
        <f>IF(ISBLANK(E691),"",IF(ISNUMBER(SEARCH("/",E691)), IF(LEN(E691)-LEN(SUBSTITUTE(E691,"/",""))=1,(RIGHT(E691,LEN(E691)-FIND("/",E691)))-(LEFT(E691,FIND("/",E691)-1)),(MID(E691, SEARCH("/",E691) + 1, SEARCH("/",E691, SEARCH("/",E691)+1) - SEARCH("/",E691) - 1))-(LEFT(E691,FIND("/",E691)-1))), "NA"))</f>
        <v/>
      </c>
      <c r="K691" s="79">
        <f>IF(A691&lt;&gt;"", IF(ISBLANK(L691), TODAY(), K691), "")</f>
        <v/>
      </c>
      <c r="L691" s="78" t="n"/>
      <c r="M691" s="78">
        <f>IF(ISBLANK(L691),"",IF(D691="Stock",IF(C691="Buy",L691*G691,IF(C691="Sell",(L691*G691)-I691, X)),IF(C691="Buy",(L691*G691*100)+I691,IF(C691="Sell",(L691*G691*100)-I691, X))))</f>
        <v/>
      </c>
      <c r="N691" s="78">
        <f>IF(ISBLANK(L691),"",IF(AND(C691="Sell",D691="Stock"),M691,IF(ISBLANK(L691),"",IF(C691="Buy",M691, IF(AND(C691="Sell",J691="NA"),(E691*G691*100*0.1)+I691, IF(C691="Sell",(J691-L691)*(100*G691)+I691))))))</f>
        <v/>
      </c>
      <c r="O691" s="75" t="n"/>
      <c r="P691" s="75" t="n"/>
      <c r="Q691" s="75">
        <f>IF(ISBLANK(P691),"",IF(D691="Stock",P691*G691,IF(P691=0,"0",G691*P691*100-(G691*$AF$14))))</f>
        <v/>
      </c>
      <c r="R691" s="79">
        <f>IF(P691&lt;&gt;"", TODAY(), "")</f>
        <v/>
      </c>
      <c r="S691" s="78">
        <f>IF(AND(K691&lt;&gt;"", R691&lt;&gt;""), R691-K691, "")</f>
        <v/>
      </c>
      <c r="T691" s="78" t="n"/>
      <c r="U691" s="92">
        <f>IF(ISBLANK(P691),"",IF(C691="Buy",Q691-M691+T691, IF(C691="Sell",M691-Q691-T691, X)))</f>
        <v/>
      </c>
      <c r="V691" s="81">
        <f>IF(ISBLANK(P691),"",U691/N691)</f>
        <v/>
      </c>
      <c r="W691" s="81">
        <f>IF(ISBLANK(P691),"",IF(S691=0,(365/0.5)*V691,(365/S691)*V691))</f>
        <v/>
      </c>
      <c r="X691" s="75" t="n"/>
      <c r="Y691" s="77" t="n"/>
      <c r="Z691" s="77" t="n"/>
      <c r="AA691" s="75" t="n"/>
      <c r="AB691" s="75" t="n"/>
      <c r="AC691" s="6" t="n"/>
      <c r="AD691" s="75" t="n"/>
      <c r="AE691" s="75" t="n"/>
      <c r="AF691" s="75" t="n"/>
    </row>
    <row r="692" ht="15.75" customHeight="1" s="133">
      <c r="A692" s="75" t="n"/>
      <c r="B692" s="75" t="n"/>
      <c r="C692" s="75" t="n"/>
      <c r="D692" s="75" t="n"/>
      <c r="E692" s="76" t="n"/>
      <c r="F692" s="77" t="n"/>
      <c r="G692" s="75" t="n"/>
      <c r="H692" s="75">
        <f>IF(ISBLANK(E692),"",IF(OR(D692="Butterfly",D692="Butterfly ",D692="Iron Fly", D692="Iron Fly "),LEN(E692)-LEN(SUBSTITUTE(E692,"/",""))+2,LEN(E692)-LEN(SUBSTITUTE(E692,"/",""))+1))</f>
        <v/>
      </c>
      <c r="I692" s="78">
        <f>IF(ISBLANK(G692),"",IF(D692="Stock","0",Key!$A$3*H692*G692))</f>
        <v/>
      </c>
      <c r="J692" s="78">
        <f>IF(ISBLANK(E692),"",IF(ISNUMBER(SEARCH("/",E692)), IF(LEN(E692)-LEN(SUBSTITUTE(E692,"/",""))=1,(RIGHT(E692,LEN(E692)-FIND("/",E692)))-(LEFT(E692,FIND("/",E692)-1)),(MID(E692, SEARCH("/",E692) + 1, SEARCH("/",E692, SEARCH("/",E692)+1) - SEARCH("/",E692) - 1))-(LEFT(E692,FIND("/",E692)-1))), "NA"))</f>
        <v/>
      </c>
      <c r="K692" s="79">
        <f>IF(A692&lt;&gt;"", IF(ISBLANK(L692), TODAY(), K692), "")</f>
        <v/>
      </c>
      <c r="L692" s="78" t="n"/>
      <c r="M692" s="78">
        <f>IF(ISBLANK(L692),"",IF(D692="Stock",IF(C692="Buy",L692*G692,IF(C692="Sell",(L692*G692)-I692, X)),IF(C692="Buy",(L692*G692*100)+I692,IF(C692="Sell",(L692*G692*100)-I692, X))))</f>
        <v/>
      </c>
      <c r="N692" s="78">
        <f>IF(ISBLANK(L692),"",IF(AND(C692="Sell",D692="Stock"),M692,IF(ISBLANK(L692),"",IF(C692="Buy",M692, IF(AND(C692="Sell",J692="NA"),(E692*G692*100*0.1)+I692, IF(C692="Sell",(J692-L692)*(100*G692)+I692))))))</f>
        <v/>
      </c>
      <c r="O692" s="75" t="n"/>
      <c r="P692" s="75" t="n"/>
      <c r="Q692" s="75">
        <f>IF(ISBLANK(P692),"",IF(D692="Stock",P692*G692,IF(P692=0,"0",G692*P692*100-(G692*$AF$14))))</f>
        <v/>
      </c>
      <c r="R692" s="79">
        <f>IF(P692&lt;&gt;"", TODAY(), "")</f>
        <v/>
      </c>
      <c r="S692" s="78">
        <f>IF(AND(K692&lt;&gt;"", R692&lt;&gt;""), R692-K692, "")</f>
        <v/>
      </c>
      <c r="T692" s="78" t="n"/>
      <c r="U692" s="92">
        <f>IF(ISBLANK(P692),"",IF(C692="Buy",Q692-M692+T692, IF(C692="Sell",M692-Q692-T692, X)))</f>
        <v/>
      </c>
      <c r="V692" s="81">
        <f>IF(ISBLANK(P692),"",U692/N692)</f>
        <v/>
      </c>
      <c r="W692" s="81">
        <f>IF(ISBLANK(P692),"",IF(S692=0,(365/0.5)*V692,(365/S692)*V692))</f>
        <v/>
      </c>
      <c r="X692" s="75" t="n"/>
      <c r="Y692" s="77" t="n"/>
      <c r="Z692" s="77" t="n"/>
      <c r="AA692" s="75" t="n"/>
      <c r="AB692" s="75" t="n"/>
      <c r="AC692" s="6" t="n"/>
      <c r="AD692" s="75" t="n"/>
      <c r="AE692" s="75" t="n"/>
      <c r="AF692" s="75" t="n"/>
    </row>
    <row r="693" ht="15.75" customHeight="1" s="133">
      <c r="A693" s="75" t="n"/>
      <c r="B693" s="75" t="n"/>
      <c r="C693" s="75" t="n"/>
      <c r="D693" s="75" t="n"/>
      <c r="E693" s="76" t="n"/>
      <c r="F693" s="77" t="n"/>
      <c r="G693" s="75" t="n"/>
      <c r="H693" s="75">
        <f>IF(ISBLANK(E693),"",IF(OR(D693="Butterfly",D693="Butterfly ",D693="Iron Fly", D693="Iron Fly "),LEN(E693)-LEN(SUBSTITUTE(E693,"/",""))+2,LEN(E693)-LEN(SUBSTITUTE(E693,"/",""))+1))</f>
        <v/>
      </c>
      <c r="I693" s="78">
        <f>IF(ISBLANK(G693),"",IF(D693="Stock","0",Key!$A$3*H693*G693))</f>
        <v/>
      </c>
      <c r="J693" s="78">
        <f>IF(ISBLANK(E693),"",IF(ISNUMBER(SEARCH("/",E693)), IF(LEN(E693)-LEN(SUBSTITUTE(E693,"/",""))=1,(RIGHT(E693,LEN(E693)-FIND("/",E693)))-(LEFT(E693,FIND("/",E693)-1)),(MID(E693, SEARCH("/",E693) + 1, SEARCH("/",E693, SEARCH("/",E693)+1) - SEARCH("/",E693) - 1))-(LEFT(E693,FIND("/",E693)-1))), "NA"))</f>
        <v/>
      </c>
      <c r="K693" s="79">
        <f>IF(A693&lt;&gt;"", IF(ISBLANK(L693), TODAY(), K693), "")</f>
        <v/>
      </c>
      <c r="L693" s="78" t="n"/>
      <c r="M693" s="78">
        <f>IF(ISBLANK(L693),"",IF(D693="Stock",IF(C693="Buy",L693*G693,IF(C693="Sell",(L693*G693)-I693, X)),IF(C693="Buy",(L693*G693*100)+I693,IF(C693="Sell",(L693*G693*100)-I693, X))))</f>
        <v/>
      </c>
      <c r="N693" s="78">
        <f>IF(ISBLANK(L693),"",IF(AND(C693="Sell",D693="Stock"),M693,IF(ISBLANK(L693),"",IF(C693="Buy",M693, IF(AND(C693="Sell",J693="NA"),(E693*G693*100*0.1)+I693, IF(C693="Sell",(J693-L693)*(100*G693)+I693))))))</f>
        <v/>
      </c>
      <c r="O693" s="75" t="n"/>
      <c r="P693" s="75" t="n"/>
      <c r="Q693" s="75">
        <f>IF(ISBLANK(P693),"",IF(D693="Stock",P693*G693,IF(P693=0,"0",G693*P693*100-(G693*$AF$14))))</f>
        <v/>
      </c>
      <c r="R693" s="79">
        <f>IF(P693&lt;&gt;"", TODAY(), "")</f>
        <v/>
      </c>
      <c r="S693" s="78">
        <f>IF(AND(K693&lt;&gt;"", R693&lt;&gt;""), R693-K693, "")</f>
        <v/>
      </c>
      <c r="T693" s="78" t="n"/>
      <c r="U693" s="92">
        <f>IF(ISBLANK(P693),"",IF(C693="Buy",Q693-M693+T693, IF(C693="Sell",M693-Q693-T693, X)))</f>
        <v/>
      </c>
      <c r="V693" s="81">
        <f>IF(ISBLANK(P693),"",U693/N693)</f>
        <v/>
      </c>
      <c r="W693" s="81">
        <f>IF(ISBLANK(P693),"",IF(S693=0,(365/0.5)*V693,(365/S693)*V693))</f>
        <v/>
      </c>
      <c r="X693" s="75" t="n"/>
      <c r="Y693" s="77" t="n"/>
      <c r="Z693" s="77" t="n"/>
      <c r="AA693" s="75" t="n"/>
      <c r="AB693" s="75" t="n"/>
      <c r="AC693" s="6" t="n"/>
      <c r="AD693" s="75" t="n"/>
      <c r="AE693" s="75" t="n"/>
      <c r="AF693" s="75" t="n"/>
    </row>
    <row r="694" ht="15.75" customHeight="1" s="133">
      <c r="A694" s="75" t="n"/>
      <c r="B694" s="75" t="n"/>
      <c r="C694" s="75" t="n"/>
      <c r="D694" s="75" t="n"/>
      <c r="E694" s="76" t="n"/>
      <c r="F694" s="77" t="n"/>
      <c r="G694" s="75" t="n"/>
      <c r="H694" s="75">
        <f>IF(ISBLANK(E694),"",IF(OR(D694="Butterfly",D694="Butterfly ",D694="Iron Fly", D694="Iron Fly "),LEN(E694)-LEN(SUBSTITUTE(E694,"/",""))+2,LEN(E694)-LEN(SUBSTITUTE(E694,"/",""))+1))</f>
        <v/>
      </c>
      <c r="I694" s="78">
        <f>IF(ISBLANK(G694),"",IF(D694="Stock","0",Key!$A$3*H694*G694))</f>
        <v/>
      </c>
      <c r="J694" s="78">
        <f>IF(ISBLANK(E694),"",IF(ISNUMBER(SEARCH("/",E694)), IF(LEN(E694)-LEN(SUBSTITUTE(E694,"/",""))=1,(RIGHT(E694,LEN(E694)-FIND("/",E694)))-(LEFT(E694,FIND("/",E694)-1)),(MID(E694, SEARCH("/",E694) + 1, SEARCH("/",E694, SEARCH("/",E694)+1) - SEARCH("/",E694) - 1))-(LEFT(E694,FIND("/",E694)-1))), "NA"))</f>
        <v/>
      </c>
      <c r="K694" s="79">
        <f>IF(A694&lt;&gt;"", IF(ISBLANK(L694), TODAY(), K694), "")</f>
        <v/>
      </c>
      <c r="L694" s="78" t="n"/>
      <c r="M694" s="78">
        <f>IF(ISBLANK(L694),"",IF(D694="Stock",IF(C694="Buy",L694*G694,IF(C694="Sell",(L694*G694)-I694, X)),IF(C694="Buy",(L694*G694*100)+I694,IF(C694="Sell",(L694*G694*100)-I694, X))))</f>
        <v/>
      </c>
      <c r="N694" s="78">
        <f>IF(ISBLANK(L694),"",IF(AND(C694="Sell",D694="Stock"),M694,IF(ISBLANK(L694),"",IF(C694="Buy",M694, IF(AND(C694="Sell",J694="NA"),(E694*G694*100*0.1)+I694, IF(C694="Sell",(J694-L694)*(100*G694)+I694))))))</f>
        <v/>
      </c>
      <c r="O694" s="75" t="n"/>
      <c r="P694" s="75" t="n"/>
      <c r="Q694" s="75">
        <f>IF(ISBLANK(P694),"",IF(D694="Stock",P694*G694,IF(P694=0,"0",G694*P694*100-(G694*$AF$14))))</f>
        <v/>
      </c>
      <c r="R694" s="79">
        <f>IF(P694&lt;&gt;"", TODAY(), "")</f>
        <v/>
      </c>
      <c r="S694" s="78">
        <f>IF(AND(K694&lt;&gt;"", R694&lt;&gt;""), R694-K694, "")</f>
        <v/>
      </c>
      <c r="T694" s="78" t="n"/>
      <c r="U694" s="92">
        <f>IF(ISBLANK(P694),"",IF(C694="Buy",Q694-M694+T694, IF(C694="Sell",M694-Q694-T694, X)))</f>
        <v/>
      </c>
      <c r="V694" s="81">
        <f>IF(ISBLANK(P694),"",U694/N694)</f>
        <v/>
      </c>
      <c r="W694" s="81">
        <f>IF(ISBLANK(P694),"",IF(S694=0,(365/0.5)*V694,(365/S694)*V694))</f>
        <v/>
      </c>
      <c r="X694" s="75" t="n"/>
      <c r="Y694" s="77" t="n"/>
      <c r="Z694" s="77" t="n"/>
      <c r="AA694" s="75" t="n"/>
      <c r="AB694" s="75" t="n"/>
      <c r="AC694" s="6" t="n"/>
      <c r="AD694" s="75" t="n"/>
      <c r="AE694" s="75" t="n"/>
      <c r="AF694" s="75" t="n"/>
    </row>
    <row r="695" ht="15.75" customHeight="1" s="133">
      <c r="A695" s="75" t="n"/>
      <c r="B695" s="75" t="n"/>
      <c r="C695" s="75" t="n"/>
      <c r="D695" s="75" t="n"/>
      <c r="E695" s="76" t="n"/>
      <c r="F695" s="77" t="n"/>
      <c r="G695" s="75" t="n"/>
      <c r="H695" s="75">
        <f>IF(ISBLANK(E695),"",IF(OR(D695="Butterfly",D695="Butterfly ",D695="Iron Fly", D695="Iron Fly "),LEN(E695)-LEN(SUBSTITUTE(E695,"/",""))+2,LEN(E695)-LEN(SUBSTITUTE(E695,"/",""))+1))</f>
        <v/>
      </c>
      <c r="I695" s="78">
        <f>IF(ISBLANK(G695),"",IF(D695="Stock","0",Key!$A$3*H695*G695))</f>
        <v/>
      </c>
      <c r="J695" s="78">
        <f>IF(ISBLANK(E695),"",IF(ISNUMBER(SEARCH("/",E695)), IF(LEN(E695)-LEN(SUBSTITUTE(E695,"/",""))=1,(RIGHT(E695,LEN(E695)-FIND("/",E695)))-(LEFT(E695,FIND("/",E695)-1)),(MID(E695, SEARCH("/",E695) + 1, SEARCH("/",E695, SEARCH("/",E695)+1) - SEARCH("/",E695) - 1))-(LEFT(E695,FIND("/",E695)-1))), "NA"))</f>
        <v/>
      </c>
      <c r="K695" s="79">
        <f>IF(A695&lt;&gt;"", IF(ISBLANK(L695), TODAY(), K695), "")</f>
        <v/>
      </c>
      <c r="L695" s="78" t="n"/>
      <c r="M695" s="78">
        <f>IF(ISBLANK(L695),"",IF(D695="Stock",IF(C695="Buy",L695*G695,IF(C695="Sell",(L695*G695)-I695, X)),IF(C695="Buy",(L695*G695*100)+I695,IF(C695="Sell",(L695*G695*100)-I695, X))))</f>
        <v/>
      </c>
      <c r="N695" s="78">
        <f>IF(ISBLANK(L695),"",IF(AND(C695="Sell",D695="Stock"),M695,IF(ISBLANK(L695),"",IF(C695="Buy",M695, IF(AND(C695="Sell",J695="NA"),(E695*G695*100*0.1)+I695, IF(C695="Sell",(J695-L695)*(100*G695)+I695))))))</f>
        <v/>
      </c>
      <c r="O695" s="75" t="n"/>
      <c r="P695" s="75" t="n"/>
      <c r="Q695" s="75">
        <f>IF(ISBLANK(P695),"",IF(D695="Stock",P695*G695,IF(P695=0,"0",G695*P695*100-(G695*$AF$14))))</f>
        <v/>
      </c>
      <c r="R695" s="79">
        <f>IF(P695&lt;&gt;"", TODAY(), "")</f>
        <v/>
      </c>
      <c r="S695" s="78">
        <f>IF(AND(K695&lt;&gt;"", R695&lt;&gt;""), R695-K695, "")</f>
        <v/>
      </c>
      <c r="T695" s="78" t="n"/>
      <c r="U695" s="92">
        <f>IF(ISBLANK(P695),"",IF(C695="Buy",Q695-M695+T695, IF(C695="Sell",M695-Q695-T695, X)))</f>
        <v/>
      </c>
      <c r="V695" s="81">
        <f>IF(ISBLANK(P695),"",U695/N695)</f>
        <v/>
      </c>
      <c r="W695" s="81">
        <f>IF(ISBLANK(P695),"",IF(S695=0,(365/0.5)*V695,(365/S695)*V695))</f>
        <v/>
      </c>
      <c r="X695" s="75" t="n"/>
      <c r="Y695" s="77" t="n"/>
      <c r="Z695" s="77" t="n"/>
      <c r="AA695" s="75" t="n"/>
      <c r="AB695" s="75" t="n"/>
      <c r="AC695" s="6" t="n"/>
      <c r="AD695" s="75" t="n"/>
      <c r="AE695" s="75" t="n"/>
      <c r="AF695" s="75" t="n"/>
    </row>
    <row r="696" ht="15.75" customHeight="1" s="133">
      <c r="A696" s="75" t="n"/>
      <c r="B696" s="75" t="n"/>
      <c r="C696" s="75" t="n"/>
      <c r="D696" s="75" t="n"/>
      <c r="E696" s="76" t="n"/>
      <c r="F696" s="77" t="n"/>
      <c r="G696" s="75" t="n"/>
      <c r="H696" s="75">
        <f>IF(ISBLANK(E696),"",IF(OR(D696="Butterfly",D696="Butterfly ",D696="Iron Fly", D696="Iron Fly "),LEN(E696)-LEN(SUBSTITUTE(E696,"/",""))+2,LEN(E696)-LEN(SUBSTITUTE(E696,"/",""))+1))</f>
        <v/>
      </c>
      <c r="I696" s="78">
        <f>IF(ISBLANK(G696),"",IF(D696="Stock","0",Key!$A$3*H696*G696))</f>
        <v/>
      </c>
      <c r="J696" s="78">
        <f>IF(ISBLANK(E696),"",IF(ISNUMBER(SEARCH("/",E696)), IF(LEN(E696)-LEN(SUBSTITUTE(E696,"/",""))=1,(RIGHT(E696,LEN(E696)-FIND("/",E696)))-(LEFT(E696,FIND("/",E696)-1)),(MID(E696, SEARCH("/",E696) + 1, SEARCH("/",E696, SEARCH("/",E696)+1) - SEARCH("/",E696) - 1))-(LEFT(E696,FIND("/",E696)-1))), "NA"))</f>
        <v/>
      </c>
      <c r="K696" s="79">
        <f>IF(A696&lt;&gt;"", IF(ISBLANK(L696), TODAY(), K696), "")</f>
        <v/>
      </c>
      <c r="L696" s="78" t="n"/>
      <c r="M696" s="78">
        <f>IF(ISBLANK(L696),"",IF(D696="Stock",IF(C696="Buy",L696*G696,IF(C696="Sell",(L696*G696)-I696, X)),IF(C696="Buy",(L696*G696*100)+I696,IF(C696="Sell",(L696*G696*100)-I696, X))))</f>
        <v/>
      </c>
      <c r="N696" s="78">
        <f>IF(ISBLANK(L696),"",IF(AND(C696="Sell",D696="Stock"),M696,IF(ISBLANK(L696),"",IF(C696="Buy",M696, IF(AND(C696="Sell",J696="NA"),(E696*G696*100*0.1)+I696, IF(C696="Sell",(J696-L696)*(100*G696)+I696))))))</f>
        <v/>
      </c>
      <c r="O696" s="75" t="n"/>
      <c r="P696" s="75" t="n"/>
      <c r="Q696" s="75">
        <f>IF(ISBLANK(P696),"",IF(D696="Stock",P696*G696,IF(P696=0,"0",G696*P696*100-(G696*$AF$14))))</f>
        <v/>
      </c>
      <c r="R696" s="79">
        <f>IF(P696&lt;&gt;"", TODAY(), "")</f>
        <v/>
      </c>
      <c r="S696" s="78">
        <f>IF(AND(K696&lt;&gt;"", R696&lt;&gt;""), R696-K696, "")</f>
        <v/>
      </c>
      <c r="T696" s="78" t="n"/>
      <c r="U696" s="92">
        <f>IF(ISBLANK(P696),"",IF(C696="Buy",Q696-M696+T696, IF(C696="Sell",M696-Q696-T696, X)))</f>
        <v/>
      </c>
      <c r="V696" s="81">
        <f>IF(ISBLANK(P696),"",U696/N696)</f>
        <v/>
      </c>
      <c r="W696" s="81">
        <f>IF(ISBLANK(P696),"",IF(S696=0,(365/0.5)*V696,(365/S696)*V696))</f>
        <v/>
      </c>
      <c r="X696" s="75" t="n"/>
      <c r="Y696" s="77" t="n"/>
      <c r="Z696" s="77" t="n"/>
      <c r="AA696" s="75" t="n"/>
      <c r="AB696" s="75" t="n"/>
      <c r="AC696" s="6" t="n"/>
      <c r="AD696" s="75" t="n"/>
      <c r="AE696" s="75" t="n"/>
      <c r="AF696" s="75" t="n"/>
    </row>
    <row r="697" ht="15.75" customHeight="1" s="133">
      <c r="A697" s="75" t="n"/>
      <c r="B697" s="75" t="n"/>
      <c r="C697" s="75" t="n"/>
      <c r="D697" s="75" t="n"/>
      <c r="E697" s="76" t="n"/>
      <c r="F697" s="77" t="n"/>
      <c r="G697" s="75" t="n"/>
      <c r="H697" s="75">
        <f>IF(ISBLANK(E697),"",IF(OR(D697="Butterfly",D697="Butterfly ",D697="Iron Fly", D697="Iron Fly "),LEN(E697)-LEN(SUBSTITUTE(E697,"/",""))+2,LEN(E697)-LEN(SUBSTITUTE(E697,"/",""))+1))</f>
        <v/>
      </c>
      <c r="I697" s="78">
        <f>IF(ISBLANK(G697),"",IF(D697="Stock","0",Key!$A$3*H697*G697))</f>
        <v/>
      </c>
      <c r="J697" s="78">
        <f>IF(ISBLANK(E697),"",IF(ISNUMBER(SEARCH("/",E697)), IF(LEN(E697)-LEN(SUBSTITUTE(E697,"/",""))=1,(RIGHT(E697,LEN(E697)-FIND("/",E697)))-(LEFT(E697,FIND("/",E697)-1)),(MID(E697, SEARCH("/",E697) + 1, SEARCH("/",E697, SEARCH("/",E697)+1) - SEARCH("/",E697) - 1))-(LEFT(E697,FIND("/",E697)-1))), "NA"))</f>
        <v/>
      </c>
      <c r="K697" s="79">
        <f>IF(A697&lt;&gt;"", IF(ISBLANK(L697), TODAY(), K697), "")</f>
        <v/>
      </c>
      <c r="L697" s="78" t="n"/>
      <c r="M697" s="78">
        <f>IF(ISBLANK(L697),"",IF(D697="Stock",IF(C697="Buy",L697*G697,IF(C697="Sell",(L697*G697)-I697, X)),IF(C697="Buy",(L697*G697*100)+I697,IF(C697="Sell",(L697*G697*100)-I697, X))))</f>
        <v/>
      </c>
      <c r="N697" s="78">
        <f>IF(ISBLANK(L697),"",IF(AND(C697="Sell",D697="Stock"),M697,IF(ISBLANK(L697),"",IF(C697="Buy",M697, IF(AND(C697="Sell",J697="NA"),(E697*G697*100*0.1)+I697, IF(C697="Sell",(J697-L697)*(100*G697)+I697))))))</f>
        <v/>
      </c>
      <c r="O697" s="75" t="n"/>
      <c r="P697" s="75" t="n"/>
      <c r="Q697" s="75">
        <f>IF(ISBLANK(P697),"",IF(D697="Stock",P697*G697,IF(P697=0,"0",G697*P697*100-(G697*$AF$14))))</f>
        <v/>
      </c>
      <c r="R697" s="79">
        <f>IF(P697&lt;&gt;"", TODAY(), "")</f>
        <v/>
      </c>
      <c r="S697" s="78">
        <f>IF(AND(K697&lt;&gt;"", R697&lt;&gt;""), R697-K697, "")</f>
        <v/>
      </c>
      <c r="T697" s="78" t="n"/>
      <c r="U697" s="92">
        <f>IF(ISBLANK(P697),"",IF(C697="Buy",Q697-M697+T697, IF(C697="Sell",M697-Q697-T697, X)))</f>
        <v/>
      </c>
      <c r="V697" s="81">
        <f>IF(ISBLANK(P697),"",U697/N697)</f>
        <v/>
      </c>
      <c r="W697" s="81">
        <f>IF(ISBLANK(P697),"",IF(S697=0,(365/0.5)*V697,(365/S697)*V697))</f>
        <v/>
      </c>
      <c r="X697" s="75" t="n"/>
      <c r="Y697" s="77" t="n"/>
      <c r="Z697" s="77" t="n"/>
      <c r="AA697" s="75" t="n"/>
      <c r="AB697" s="75" t="n"/>
      <c r="AC697" s="6" t="n"/>
      <c r="AD697" s="75" t="n"/>
      <c r="AE697" s="75" t="n"/>
      <c r="AF697" s="75" t="n"/>
    </row>
    <row r="698" ht="15.75" customHeight="1" s="133">
      <c r="A698" s="75" t="n"/>
      <c r="B698" s="75" t="n"/>
      <c r="C698" s="75" t="n"/>
      <c r="D698" s="75" t="n"/>
      <c r="E698" s="76" t="n"/>
      <c r="F698" s="77" t="n"/>
      <c r="G698" s="75" t="n"/>
      <c r="H698" s="75">
        <f>IF(ISBLANK(E698),"",IF(OR(D698="Butterfly",D698="Butterfly ",D698="Iron Fly", D698="Iron Fly "),LEN(E698)-LEN(SUBSTITUTE(E698,"/",""))+2,LEN(E698)-LEN(SUBSTITUTE(E698,"/",""))+1))</f>
        <v/>
      </c>
      <c r="I698" s="78">
        <f>IF(ISBLANK(G698),"",IF(D698="Stock","0",Key!$A$3*H698*G698))</f>
        <v/>
      </c>
      <c r="J698" s="78">
        <f>IF(ISBLANK(E698),"",IF(ISNUMBER(SEARCH("/",E698)), IF(LEN(E698)-LEN(SUBSTITUTE(E698,"/",""))=1,(RIGHT(E698,LEN(E698)-FIND("/",E698)))-(LEFT(E698,FIND("/",E698)-1)),(MID(E698, SEARCH("/",E698) + 1, SEARCH("/",E698, SEARCH("/",E698)+1) - SEARCH("/",E698) - 1))-(LEFT(E698,FIND("/",E698)-1))), "NA"))</f>
        <v/>
      </c>
      <c r="K698" s="79">
        <f>IF(A698&lt;&gt;"", IF(ISBLANK(L698), TODAY(), K698), "")</f>
        <v/>
      </c>
      <c r="L698" s="78" t="n"/>
      <c r="M698" s="78">
        <f>IF(ISBLANK(L698),"",IF(D698="Stock",IF(C698="Buy",L698*G698,IF(C698="Sell",(L698*G698)-I698, X)),IF(C698="Buy",(L698*G698*100)+I698,IF(C698="Sell",(L698*G698*100)-I698, X))))</f>
        <v/>
      </c>
      <c r="N698" s="78">
        <f>IF(ISBLANK(L698),"",IF(AND(C698="Sell",D698="Stock"),M698,IF(ISBLANK(L698),"",IF(C698="Buy",M698, IF(AND(C698="Sell",J698="NA"),(E698*G698*100*0.1)+I698, IF(C698="Sell",(J698-L698)*(100*G698)+I698))))))</f>
        <v/>
      </c>
      <c r="O698" s="75" t="n"/>
      <c r="P698" s="75" t="n"/>
      <c r="Q698" s="75">
        <f>IF(ISBLANK(P698),"",IF(D698="Stock",P698*G698,IF(P698=0,"0",G698*P698*100-(G698*$AF$14))))</f>
        <v/>
      </c>
      <c r="R698" s="79">
        <f>IF(P698&lt;&gt;"", TODAY(), "")</f>
        <v/>
      </c>
      <c r="S698" s="78">
        <f>IF(AND(K698&lt;&gt;"", R698&lt;&gt;""), R698-K698, "")</f>
        <v/>
      </c>
      <c r="T698" s="78" t="n"/>
      <c r="U698" s="92">
        <f>IF(ISBLANK(P698),"",IF(C698="Buy",Q698-M698+T698, IF(C698="Sell",M698-Q698-T698, X)))</f>
        <v/>
      </c>
      <c r="V698" s="81">
        <f>IF(ISBLANK(P698),"",U698/N698)</f>
        <v/>
      </c>
      <c r="W698" s="81">
        <f>IF(ISBLANK(P698),"",IF(S698=0,(365/0.5)*V698,(365/S698)*V698))</f>
        <v/>
      </c>
      <c r="X698" s="75" t="n"/>
      <c r="Y698" s="77" t="n"/>
      <c r="Z698" s="77" t="n"/>
      <c r="AA698" s="75" t="n"/>
      <c r="AB698" s="75" t="n"/>
      <c r="AC698" s="6" t="n"/>
      <c r="AD698" s="75" t="n"/>
      <c r="AE698" s="75" t="n"/>
      <c r="AF698" s="75" t="n"/>
    </row>
    <row r="699" ht="15.75" customHeight="1" s="133">
      <c r="A699" s="75" t="n"/>
      <c r="B699" s="75" t="n"/>
      <c r="C699" s="75" t="n"/>
      <c r="D699" s="75" t="n"/>
      <c r="E699" s="76" t="n"/>
      <c r="F699" s="77" t="n"/>
      <c r="G699" s="75" t="n"/>
      <c r="H699" s="75">
        <f>IF(ISBLANK(E699),"",IF(OR(D699="Butterfly",D699="Butterfly ",D699="Iron Fly", D699="Iron Fly "),LEN(E699)-LEN(SUBSTITUTE(E699,"/",""))+2,LEN(E699)-LEN(SUBSTITUTE(E699,"/",""))+1))</f>
        <v/>
      </c>
      <c r="I699" s="78">
        <f>IF(ISBLANK(G699),"",IF(D699="Stock","0",Key!$A$3*H699*G699))</f>
        <v/>
      </c>
      <c r="J699" s="78">
        <f>IF(ISBLANK(E699),"",IF(ISNUMBER(SEARCH("/",E699)), IF(LEN(E699)-LEN(SUBSTITUTE(E699,"/",""))=1,(RIGHT(E699,LEN(E699)-FIND("/",E699)))-(LEFT(E699,FIND("/",E699)-1)),(MID(E699, SEARCH("/",E699) + 1, SEARCH("/",E699, SEARCH("/",E699)+1) - SEARCH("/",E699) - 1))-(LEFT(E699,FIND("/",E699)-1))), "NA"))</f>
        <v/>
      </c>
      <c r="K699" s="79">
        <f>IF(A699&lt;&gt;"", IF(ISBLANK(L699), TODAY(), K699), "")</f>
        <v/>
      </c>
      <c r="L699" s="78" t="n"/>
      <c r="M699" s="78">
        <f>IF(ISBLANK(L699),"",IF(D699="Stock",IF(C699="Buy",L699*G699,IF(C699="Sell",(L699*G699)-I699, X)),IF(C699="Buy",(L699*G699*100)+I699,IF(C699="Sell",(L699*G699*100)-I699, X))))</f>
        <v/>
      </c>
      <c r="N699" s="78">
        <f>IF(ISBLANK(L699),"",IF(AND(C699="Sell",D699="Stock"),M699,IF(ISBLANK(L699),"",IF(C699="Buy",M699, IF(AND(C699="Sell",J699="NA"),(E699*G699*100*0.1)+I699, IF(C699="Sell",(J699-L699)*(100*G699)+I699))))))</f>
        <v/>
      </c>
      <c r="O699" s="75" t="n"/>
      <c r="P699" s="75" t="n"/>
      <c r="Q699" s="75">
        <f>IF(ISBLANK(P699),"",IF(D699="Stock",P699*G699,IF(P699=0,"0",G699*P699*100-(G699*$AF$14))))</f>
        <v/>
      </c>
      <c r="R699" s="79">
        <f>IF(P699&lt;&gt;"", TODAY(), "")</f>
        <v/>
      </c>
      <c r="S699" s="78">
        <f>IF(AND(K699&lt;&gt;"", R699&lt;&gt;""), R699-K699, "")</f>
        <v/>
      </c>
      <c r="T699" s="78" t="n"/>
      <c r="U699" s="92">
        <f>IF(ISBLANK(P699),"",IF(C699="Buy",Q699-M699+T699, IF(C699="Sell",M699-Q699-T699, X)))</f>
        <v/>
      </c>
      <c r="V699" s="81">
        <f>IF(ISBLANK(P699),"",U699/N699)</f>
        <v/>
      </c>
      <c r="W699" s="81">
        <f>IF(ISBLANK(P699),"",IF(S699=0,(365/0.5)*V699,(365/S699)*V699))</f>
        <v/>
      </c>
      <c r="X699" s="75" t="n"/>
      <c r="Y699" s="77" t="n"/>
      <c r="Z699" s="77" t="n"/>
      <c r="AA699" s="75" t="n"/>
      <c r="AB699" s="75" t="n"/>
      <c r="AC699" s="6" t="n"/>
      <c r="AD699" s="75" t="n"/>
      <c r="AE699" s="75" t="n"/>
      <c r="AF699" s="75" t="n"/>
    </row>
    <row r="700" ht="15.75" customHeight="1" s="133">
      <c r="A700" s="75" t="n"/>
      <c r="B700" s="75" t="n"/>
      <c r="C700" s="75" t="n"/>
      <c r="D700" s="75" t="n"/>
      <c r="E700" s="76" t="n"/>
      <c r="F700" s="77" t="n"/>
      <c r="G700" s="75" t="n"/>
      <c r="H700" s="75">
        <f>IF(ISBLANK(E700),"",IF(OR(D700="Butterfly",D700="Butterfly ",D700="Iron Fly", D700="Iron Fly "),LEN(E700)-LEN(SUBSTITUTE(E700,"/",""))+2,LEN(E700)-LEN(SUBSTITUTE(E700,"/",""))+1))</f>
        <v/>
      </c>
      <c r="I700" s="78">
        <f>IF(ISBLANK(G700),"",IF(D700="Stock","0",Key!$A$3*H700*G700))</f>
        <v/>
      </c>
      <c r="J700" s="78">
        <f>IF(ISBLANK(E700),"",IF(ISNUMBER(SEARCH("/",E700)), IF(LEN(E700)-LEN(SUBSTITUTE(E700,"/",""))=1,(RIGHT(E700,LEN(E700)-FIND("/",E700)))-(LEFT(E700,FIND("/",E700)-1)),(MID(E700, SEARCH("/",E700) + 1, SEARCH("/",E700, SEARCH("/",E700)+1) - SEARCH("/",E700) - 1))-(LEFT(E700,FIND("/",E700)-1))), "NA"))</f>
        <v/>
      </c>
      <c r="K700" s="79">
        <f>IF(A700&lt;&gt;"", IF(ISBLANK(L700), TODAY(), K700), "")</f>
        <v/>
      </c>
      <c r="L700" s="78" t="n"/>
      <c r="M700" s="78">
        <f>IF(ISBLANK(L700),"",IF(D700="Stock",IF(C700="Buy",L700*G700,IF(C700="Sell",(L700*G700)-I700, X)),IF(C700="Buy",(L700*G700*100)+I700,IF(C700="Sell",(L700*G700*100)-I700, X))))</f>
        <v/>
      </c>
      <c r="N700" s="78">
        <f>IF(ISBLANK(L700),"",IF(AND(C700="Sell",D700="Stock"),M700,IF(ISBLANK(L700),"",IF(C700="Buy",M700, IF(AND(C700="Sell",J700="NA"),(E700*G700*100*0.1)+I700, IF(C700="Sell",(J700-L700)*(100*G700)+I700))))))</f>
        <v/>
      </c>
      <c r="O700" s="75" t="n"/>
      <c r="P700" s="75" t="n"/>
      <c r="Q700" s="75">
        <f>IF(ISBLANK(P700),"",IF(D700="Stock",P700*G700,IF(P700=0,"0",G700*P700*100-(G700*$AF$14))))</f>
        <v/>
      </c>
      <c r="R700" s="79">
        <f>IF(P700&lt;&gt;"", TODAY(), "")</f>
        <v/>
      </c>
      <c r="S700" s="78">
        <f>IF(AND(K700&lt;&gt;"", R700&lt;&gt;""), R700-K700, "")</f>
        <v/>
      </c>
      <c r="T700" s="78" t="n"/>
      <c r="U700" s="92">
        <f>IF(ISBLANK(P700),"",IF(C700="Buy",Q700-M700+T700, IF(C700="Sell",M700-Q700-T700, X)))</f>
        <v/>
      </c>
      <c r="V700" s="81">
        <f>IF(ISBLANK(P700),"",U700/N700)</f>
        <v/>
      </c>
      <c r="W700" s="81">
        <f>IF(ISBLANK(P700),"",IF(S700=0,(365/0.5)*V700,(365/S700)*V700))</f>
        <v/>
      </c>
      <c r="X700" s="75" t="n"/>
      <c r="Y700" s="77" t="n"/>
      <c r="Z700" s="77" t="n"/>
      <c r="AA700" s="75" t="n"/>
      <c r="AB700" s="75" t="n"/>
      <c r="AC700" s="6" t="n"/>
      <c r="AD700" s="75" t="n"/>
      <c r="AE700" s="75" t="n"/>
      <c r="AF700" s="75" t="n"/>
    </row>
    <row r="701" ht="15.75" customHeight="1" s="133">
      <c r="A701" s="75" t="n"/>
      <c r="B701" s="75" t="n"/>
      <c r="C701" s="75" t="n"/>
      <c r="D701" s="75" t="n"/>
      <c r="E701" s="76" t="n"/>
      <c r="F701" s="77" t="n"/>
      <c r="G701" s="75" t="n"/>
      <c r="H701" s="75">
        <f>IF(ISBLANK(E701),"",IF(OR(D701="Butterfly",D701="Butterfly ",D701="Iron Fly", D701="Iron Fly "),LEN(E701)-LEN(SUBSTITUTE(E701,"/",""))+2,LEN(E701)-LEN(SUBSTITUTE(E701,"/",""))+1))</f>
        <v/>
      </c>
      <c r="I701" s="78">
        <f>IF(ISBLANK(G701),"",IF(D701="Stock","0",Key!$A$3*H701*G701))</f>
        <v/>
      </c>
      <c r="J701" s="78">
        <f>IF(ISBLANK(E701),"",IF(ISNUMBER(SEARCH("/",E701)), IF(LEN(E701)-LEN(SUBSTITUTE(E701,"/",""))=1,(RIGHT(E701,LEN(E701)-FIND("/",E701)))-(LEFT(E701,FIND("/",E701)-1)),(MID(E701, SEARCH("/",E701) + 1, SEARCH("/",E701, SEARCH("/",E701)+1) - SEARCH("/",E701) - 1))-(LEFT(E701,FIND("/",E701)-1))), "NA"))</f>
        <v/>
      </c>
      <c r="K701" s="79">
        <f>IF(A701&lt;&gt;"", IF(ISBLANK(L701), TODAY(), K701), "")</f>
        <v/>
      </c>
      <c r="L701" s="78" t="n"/>
      <c r="M701" s="78">
        <f>IF(ISBLANK(L701),"",IF(D701="Stock",IF(C701="Buy",L701*G701,IF(C701="Sell",(L701*G701)-I701, X)),IF(C701="Buy",(L701*G701*100)+I701,IF(C701="Sell",(L701*G701*100)-I701, X))))</f>
        <v/>
      </c>
      <c r="N701" s="78">
        <f>IF(ISBLANK(L701),"",IF(AND(C701="Sell",D701="Stock"),M701,IF(ISBLANK(L701),"",IF(C701="Buy",M701, IF(AND(C701="Sell",J701="NA"),(E701*G701*100*0.1)+I701, IF(C701="Sell",(J701-L701)*(100*G701)+I701))))))</f>
        <v/>
      </c>
      <c r="O701" s="75" t="n"/>
      <c r="P701" s="75" t="n"/>
      <c r="Q701" s="75">
        <f>IF(ISBLANK(P701),"",IF(D701="Stock",P701*G701,IF(P701=0,"0",G701*P701*100-(G701*$AF$14))))</f>
        <v/>
      </c>
      <c r="R701" s="79">
        <f>IF(P701&lt;&gt;"", TODAY(), "")</f>
        <v/>
      </c>
      <c r="S701" s="78">
        <f>IF(AND(K701&lt;&gt;"", R701&lt;&gt;""), R701-K701, "")</f>
        <v/>
      </c>
      <c r="T701" s="78" t="n"/>
      <c r="U701" s="92">
        <f>IF(ISBLANK(P701),"",IF(C701="Buy",Q701-M701+T701, IF(C701="Sell",M701-Q701-T701, X)))</f>
        <v/>
      </c>
      <c r="V701" s="81">
        <f>IF(ISBLANK(P701),"",U701/N701)</f>
        <v/>
      </c>
      <c r="W701" s="81">
        <f>IF(ISBLANK(P701),"",IF(S701=0,(365/0.5)*V701,(365/S701)*V701))</f>
        <v/>
      </c>
      <c r="X701" s="75" t="n"/>
      <c r="Y701" s="77" t="n"/>
      <c r="Z701" s="77" t="n"/>
      <c r="AA701" s="75" t="n"/>
      <c r="AB701" s="75" t="n"/>
      <c r="AC701" s="6" t="n"/>
      <c r="AD701" s="75" t="n"/>
      <c r="AE701" s="75" t="n"/>
      <c r="AF701" s="75" t="n"/>
    </row>
    <row r="702" ht="15.75" customHeight="1" s="133">
      <c r="A702" s="75" t="n"/>
      <c r="B702" s="75" t="n"/>
      <c r="C702" s="75" t="n"/>
      <c r="D702" s="75" t="n"/>
      <c r="E702" s="76" t="n"/>
      <c r="F702" s="77" t="n"/>
      <c r="G702" s="75" t="n"/>
      <c r="H702" s="75">
        <f>IF(ISBLANK(E702),"",IF(OR(D702="Butterfly",D702="Butterfly ",D702="Iron Fly", D702="Iron Fly "),LEN(E702)-LEN(SUBSTITUTE(E702,"/",""))+2,LEN(E702)-LEN(SUBSTITUTE(E702,"/",""))+1))</f>
        <v/>
      </c>
      <c r="I702" s="78">
        <f>IF(ISBLANK(G702),"",IF(D702="Stock","0",Key!$A$3*H702*G702))</f>
        <v/>
      </c>
      <c r="J702" s="78">
        <f>IF(ISBLANK(E702),"",IF(ISNUMBER(SEARCH("/",E702)), IF(LEN(E702)-LEN(SUBSTITUTE(E702,"/",""))=1,(RIGHT(E702,LEN(E702)-FIND("/",E702)))-(LEFT(E702,FIND("/",E702)-1)),(MID(E702, SEARCH("/",E702) + 1, SEARCH("/",E702, SEARCH("/",E702)+1) - SEARCH("/",E702) - 1))-(LEFT(E702,FIND("/",E702)-1))), "NA"))</f>
        <v/>
      </c>
      <c r="K702" s="79">
        <f>IF(A702&lt;&gt;"", IF(ISBLANK(L702), TODAY(), K702), "")</f>
        <v/>
      </c>
      <c r="L702" s="78" t="n"/>
      <c r="M702" s="78">
        <f>IF(ISBLANK(L702),"",IF(D702="Stock",IF(C702="Buy",L702*G702,IF(C702="Sell",(L702*G702)-I702, X)),IF(C702="Buy",(L702*G702*100)+I702,IF(C702="Sell",(L702*G702*100)-I702, X))))</f>
        <v/>
      </c>
      <c r="N702" s="78">
        <f>IF(ISBLANK(L702),"",IF(AND(C702="Sell",D702="Stock"),M702,IF(ISBLANK(L702),"",IF(C702="Buy",M702, IF(AND(C702="Sell",J702="NA"),(E702*G702*100*0.1)+I702, IF(C702="Sell",(J702-L702)*(100*G702)+I702))))))</f>
        <v/>
      </c>
      <c r="O702" s="75" t="n"/>
      <c r="P702" s="75" t="n"/>
      <c r="Q702" s="75">
        <f>IF(ISBLANK(P702),"",IF(D702="Stock",P702*G702,IF(P702=0,"0",G702*P702*100-(G702*$AF$14))))</f>
        <v/>
      </c>
      <c r="R702" s="79">
        <f>IF(P702&lt;&gt;"", TODAY(), "")</f>
        <v/>
      </c>
      <c r="S702" s="78">
        <f>IF(AND(K702&lt;&gt;"", R702&lt;&gt;""), R702-K702, "")</f>
        <v/>
      </c>
      <c r="T702" s="78" t="n"/>
      <c r="U702" s="92">
        <f>IF(ISBLANK(P702),"",IF(C702="Buy",Q702-M702+T702, IF(C702="Sell",M702-Q702-T702, X)))</f>
        <v/>
      </c>
      <c r="V702" s="81">
        <f>IF(ISBLANK(P702),"",U702/N702)</f>
        <v/>
      </c>
      <c r="W702" s="81">
        <f>IF(ISBLANK(P702),"",IF(S702=0,(365/0.5)*V702,(365/S702)*V702))</f>
        <v/>
      </c>
      <c r="X702" s="75" t="n"/>
      <c r="Y702" s="77" t="n"/>
      <c r="Z702" s="77" t="n"/>
      <c r="AA702" s="75" t="n"/>
      <c r="AB702" s="75" t="n"/>
      <c r="AC702" s="6" t="n"/>
      <c r="AD702" s="75" t="n"/>
      <c r="AE702" s="75" t="n"/>
      <c r="AF702" s="75" t="n"/>
    </row>
    <row r="703" ht="15.75" customHeight="1" s="133">
      <c r="A703" s="75" t="n"/>
      <c r="B703" s="75" t="n"/>
      <c r="C703" s="75" t="n"/>
      <c r="D703" s="75" t="n"/>
      <c r="E703" s="76" t="n"/>
      <c r="F703" s="77" t="n"/>
      <c r="G703" s="75" t="n"/>
      <c r="H703" s="75">
        <f>IF(ISBLANK(E703),"",IF(OR(D703="Butterfly",D703="Butterfly ",D703="Iron Fly", D703="Iron Fly "),LEN(E703)-LEN(SUBSTITUTE(E703,"/",""))+2,LEN(E703)-LEN(SUBSTITUTE(E703,"/",""))+1))</f>
        <v/>
      </c>
      <c r="I703" s="78">
        <f>IF(ISBLANK(G703),"",IF(D703="Stock","0",Key!$A$3*H703*G703))</f>
        <v/>
      </c>
      <c r="J703" s="78">
        <f>IF(ISBLANK(E703),"",IF(ISNUMBER(SEARCH("/",E703)), IF(LEN(E703)-LEN(SUBSTITUTE(E703,"/",""))=1,(RIGHT(E703,LEN(E703)-FIND("/",E703)))-(LEFT(E703,FIND("/",E703)-1)),(MID(E703, SEARCH("/",E703) + 1, SEARCH("/",E703, SEARCH("/",E703)+1) - SEARCH("/",E703) - 1))-(LEFT(E703,FIND("/",E703)-1))), "NA"))</f>
        <v/>
      </c>
      <c r="K703" s="79">
        <f>IF(A703&lt;&gt;"", IF(ISBLANK(L703), TODAY(), K703), "")</f>
        <v/>
      </c>
      <c r="L703" s="78" t="n"/>
      <c r="M703" s="78">
        <f>IF(ISBLANK(L703),"",IF(D703="Stock",IF(C703="Buy",L703*G703,IF(C703="Sell",(L703*G703)-I703, X)),IF(C703="Buy",(L703*G703*100)+I703,IF(C703="Sell",(L703*G703*100)-I703, X))))</f>
        <v/>
      </c>
      <c r="N703" s="78">
        <f>IF(ISBLANK(L703),"",IF(AND(C703="Sell",D703="Stock"),M703,IF(ISBLANK(L703),"",IF(C703="Buy",M703, IF(AND(C703="Sell",J703="NA"),(E703*G703*100*0.1)+I703, IF(C703="Sell",(J703-L703)*(100*G703)+I703))))))</f>
        <v/>
      </c>
      <c r="O703" s="75" t="n"/>
      <c r="P703" s="75" t="n"/>
      <c r="Q703" s="75">
        <f>IF(ISBLANK(P703),"",IF(D703="Stock",P703*G703,IF(P703=0,"0",G703*P703*100-(G703*$AF$14))))</f>
        <v/>
      </c>
      <c r="R703" s="79">
        <f>IF(P703&lt;&gt;"", TODAY(), "")</f>
        <v/>
      </c>
      <c r="S703" s="78">
        <f>IF(AND(K703&lt;&gt;"", R703&lt;&gt;""), R703-K703, "")</f>
        <v/>
      </c>
      <c r="T703" s="78" t="n"/>
      <c r="U703" s="92">
        <f>IF(ISBLANK(P703),"",IF(C703="Buy",Q703-M703+T703, IF(C703="Sell",M703-Q703-T703, X)))</f>
        <v/>
      </c>
      <c r="V703" s="81">
        <f>IF(ISBLANK(P703),"",U703/N703)</f>
        <v/>
      </c>
      <c r="W703" s="81">
        <f>IF(ISBLANK(P703),"",IF(S703=0,(365/0.5)*V703,(365/S703)*V703))</f>
        <v/>
      </c>
      <c r="X703" s="75" t="n"/>
      <c r="Y703" s="77" t="n"/>
      <c r="Z703" s="77" t="n"/>
      <c r="AA703" s="75" t="n"/>
      <c r="AB703" s="75" t="n"/>
      <c r="AC703" s="6" t="n"/>
      <c r="AD703" s="75" t="n"/>
      <c r="AE703" s="75" t="n"/>
      <c r="AF703" s="75" t="n"/>
    </row>
    <row r="704" ht="15.75" customHeight="1" s="133">
      <c r="A704" s="75" t="n"/>
      <c r="B704" s="75" t="n"/>
      <c r="C704" s="75" t="n"/>
      <c r="D704" s="75" t="n"/>
      <c r="E704" s="76" t="n"/>
      <c r="F704" s="77" t="n"/>
      <c r="G704" s="75" t="n"/>
      <c r="H704" s="75">
        <f>IF(ISBLANK(E704),"",IF(OR(D704="Butterfly",D704="Butterfly ",D704="Iron Fly", D704="Iron Fly "),LEN(E704)-LEN(SUBSTITUTE(E704,"/",""))+2,LEN(E704)-LEN(SUBSTITUTE(E704,"/",""))+1))</f>
        <v/>
      </c>
      <c r="I704" s="78">
        <f>IF(ISBLANK(G704),"",IF(D704="Stock","0",Key!$A$3*H704*G704))</f>
        <v/>
      </c>
      <c r="J704" s="78">
        <f>IF(ISBLANK(E704),"",IF(ISNUMBER(SEARCH("/",E704)), IF(LEN(E704)-LEN(SUBSTITUTE(E704,"/",""))=1,(RIGHT(E704,LEN(E704)-FIND("/",E704)))-(LEFT(E704,FIND("/",E704)-1)),(MID(E704, SEARCH("/",E704) + 1, SEARCH("/",E704, SEARCH("/",E704)+1) - SEARCH("/",E704) - 1))-(LEFT(E704,FIND("/",E704)-1))), "NA"))</f>
        <v/>
      </c>
      <c r="K704" s="79">
        <f>IF(A704&lt;&gt;"", IF(ISBLANK(L704), TODAY(), K704), "")</f>
        <v/>
      </c>
      <c r="L704" s="78" t="n"/>
      <c r="M704" s="78">
        <f>IF(ISBLANK(L704),"",IF(D704="Stock",IF(C704="Buy",L704*G704,IF(C704="Sell",(L704*G704)-I704, X)),IF(C704="Buy",(L704*G704*100)+I704,IF(C704="Sell",(L704*G704*100)-I704, X))))</f>
        <v/>
      </c>
      <c r="N704" s="78">
        <f>IF(ISBLANK(L704),"",IF(AND(C704="Sell",D704="Stock"),M704,IF(ISBLANK(L704),"",IF(C704="Buy",M704, IF(AND(C704="Sell",J704="NA"),(E704*G704*100*0.1)+I704, IF(C704="Sell",(J704-L704)*(100*G704)+I704))))))</f>
        <v/>
      </c>
      <c r="O704" s="75" t="n"/>
      <c r="P704" s="75" t="n"/>
      <c r="Q704" s="75">
        <f>IF(ISBLANK(P704),"",IF(D704="Stock",P704*G704,IF(P704=0,"0",G704*P704*100-(G704*$AF$14))))</f>
        <v/>
      </c>
      <c r="R704" s="79">
        <f>IF(P704&lt;&gt;"", TODAY(), "")</f>
        <v/>
      </c>
      <c r="S704" s="78">
        <f>IF(AND(K704&lt;&gt;"", R704&lt;&gt;""), R704-K704, "")</f>
        <v/>
      </c>
      <c r="T704" s="78" t="n"/>
      <c r="U704" s="92">
        <f>IF(ISBLANK(P704),"",IF(C704="Buy",Q704-M704+T704, IF(C704="Sell",M704-Q704-T704, X)))</f>
        <v/>
      </c>
      <c r="V704" s="81">
        <f>IF(ISBLANK(P704),"",U704/N704)</f>
        <v/>
      </c>
      <c r="W704" s="81">
        <f>IF(ISBLANK(P704),"",IF(S704=0,(365/0.5)*V704,(365/S704)*V704))</f>
        <v/>
      </c>
      <c r="X704" s="75" t="n"/>
      <c r="Y704" s="77" t="n"/>
      <c r="Z704" s="77" t="n"/>
      <c r="AA704" s="75" t="n"/>
      <c r="AB704" s="75" t="n"/>
      <c r="AC704" s="6" t="n"/>
      <c r="AD704" s="75" t="n"/>
      <c r="AE704" s="75" t="n"/>
      <c r="AF704" s="75" t="n"/>
    </row>
    <row r="705" ht="15.75" customHeight="1" s="133">
      <c r="A705" s="75" t="n"/>
      <c r="B705" s="75" t="n"/>
      <c r="C705" s="75" t="n"/>
      <c r="D705" s="75" t="n"/>
      <c r="E705" s="76" t="n"/>
      <c r="F705" s="77" t="n"/>
      <c r="G705" s="75" t="n"/>
      <c r="H705" s="75">
        <f>IF(ISBLANK(E705),"",IF(OR(D705="Butterfly",D705="Butterfly ",D705="Iron Fly", D705="Iron Fly "),LEN(E705)-LEN(SUBSTITUTE(E705,"/",""))+2,LEN(E705)-LEN(SUBSTITUTE(E705,"/",""))+1))</f>
        <v/>
      </c>
      <c r="I705" s="78">
        <f>IF(ISBLANK(G705),"",IF(D705="Stock","0",Key!$A$3*H705*G705))</f>
        <v/>
      </c>
      <c r="J705" s="78">
        <f>IF(ISBLANK(E705),"",IF(ISNUMBER(SEARCH("/",E705)), IF(LEN(E705)-LEN(SUBSTITUTE(E705,"/",""))=1,(RIGHT(E705,LEN(E705)-FIND("/",E705)))-(LEFT(E705,FIND("/",E705)-1)),(MID(E705, SEARCH("/",E705) + 1, SEARCH("/",E705, SEARCH("/",E705)+1) - SEARCH("/",E705) - 1))-(LEFT(E705,FIND("/",E705)-1))), "NA"))</f>
        <v/>
      </c>
      <c r="K705" s="79">
        <f>IF(A705&lt;&gt;"", IF(ISBLANK(L705), TODAY(), K705), "")</f>
        <v/>
      </c>
      <c r="L705" s="78" t="n"/>
      <c r="M705" s="78">
        <f>IF(ISBLANK(L705),"",IF(D705="Stock",IF(C705="Buy",L705*G705,IF(C705="Sell",(L705*G705)-I705, X)),IF(C705="Buy",(L705*G705*100)+I705,IF(C705="Sell",(L705*G705*100)-I705, X))))</f>
        <v/>
      </c>
      <c r="N705" s="78">
        <f>IF(ISBLANK(L705),"",IF(AND(C705="Sell",D705="Stock"),M705,IF(ISBLANK(L705),"",IF(C705="Buy",M705, IF(AND(C705="Sell",J705="NA"),(E705*G705*100*0.1)+I705, IF(C705="Sell",(J705-L705)*(100*G705)+I705))))))</f>
        <v/>
      </c>
      <c r="O705" s="75" t="n"/>
      <c r="P705" s="75" t="n"/>
      <c r="Q705" s="75">
        <f>IF(ISBLANK(P705),"",IF(D705="Stock",P705*G705,IF(P705=0,"0",G705*P705*100-(G705*$AF$14))))</f>
        <v/>
      </c>
      <c r="R705" s="79">
        <f>IF(P705&lt;&gt;"", TODAY(), "")</f>
        <v/>
      </c>
      <c r="S705" s="78">
        <f>IF(AND(K705&lt;&gt;"", R705&lt;&gt;""), R705-K705, "")</f>
        <v/>
      </c>
      <c r="T705" s="78" t="n"/>
      <c r="U705" s="92">
        <f>IF(ISBLANK(P705),"",IF(C705="Buy",Q705-M705+T705, IF(C705="Sell",M705-Q705-T705, X)))</f>
        <v/>
      </c>
      <c r="V705" s="81">
        <f>IF(ISBLANK(P705),"",U705/N705)</f>
        <v/>
      </c>
      <c r="W705" s="81">
        <f>IF(ISBLANK(P705),"",IF(S705=0,(365/0.5)*V705,(365/S705)*V705))</f>
        <v/>
      </c>
      <c r="X705" s="75" t="n"/>
      <c r="Y705" s="77" t="n"/>
      <c r="Z705" s="77" t="n"/>
      <c r="AA705" s="75" t="n"/>
      <c r="AB705" s="75" t="n"/>
      <c r="AC705" s="6" t="n"/>
      <c r="AD705" s="75" t="n"/>
      <c r="AE705" s="75" t="n"/>
      <c r="AF705" s="75" t="n"/>
    </row>
    <row r="706" ht="15.75" customHeight="1" s="133">
      <c r="A706" s="75" t="n"/>
      <c r="B706" s="75" t="n"/>
      <c r="C706" s="75" t="n"/>
      <c r="D706" s="75" t="n"/>
      <c r="E706" s="76" t="n"/>
      <c r="F706" s="77" t="n"/>
      <c r="G706" s="75" t="n"/>
      <c r="H706" s="75">
        <f>IF(ISBLANK(E706),"",IF(OR(D706="Butterfly",D706="Butterfly ",D706="Iron Fly", D706="Iron Fly "),LEN(E706)-LEN(SUBSTITUTE(E706,"/",""))+2,LEN(E706)-LEN(SUBSTITUTE(E706,"/",""))+1))</f>
        <v/>
      </c>
      <c r="I706" s="78">
        <f>IF(ISBLANK(G706),"",IF(D706="Stock","0",Key!$A$3*H706*G706))</f>
        <v/>
      </c>
      <c r="J706" s="78">
        <f>IF(ISBLANK(E706),"",IF(ISNUMBER(SEARCH("/",E706)), IF(LEN(E706)-LEN(SUBSTITUTE(E706,"/",""))=1,(RIGHT(E706,LEN(E706)-FIND("/",E706)))-(LEFT(E706,FIND("/",E706)-1)),(MID(E706, SEARCH("/",E706) + 1, SEARCH("/",E706, SEARCH("/",E706)+1) - SEARCH("/",E706) - 1))-(LEFT(E706,FIND("/",E706)-1))), "NA"))</f>
        <v/>
      </c>
      <c r="K706" s="79">
        <f>IF(A706&lt;&gt;"", IF(ISBLANK(L706), TODAY(), K706), "")</f>
        <v/>
      </c>
      <c r="L706" s="78" t="n"/>
      <c r="M706" s="78">
        <f>IF(ISBLANK(L706),"",IF(D706="Stock",IF(C706="Buy",L706*G706,IF(C706="Sell",(L706*G706)-I706, X)),IF(C706="Buy",(L706*G706*100)+I706,IF(C706="Sell",(L706*G706*100)-I706, X))))</f>
        <v/>
      </c>
      <c r="N706" s="78">
        <f>IF(ISBLANK(L706),"",IF(AND(C706="Sell",D706="Stock"),M706,IF(ISBLANK(L706),"",IF(C706="Buy",M706, IF(AND(C706="Sell",J706="NA"),(E706*G706*100*0.1)+I706, IF(C706="Sell",(J706-L706)*(100*G706)+I706))))))</f>
        <v/>
      </c>
      <c r="O706" s="75" t="n"/>
      <c r="P706" s="75" t="n"/>
      <c r="Q706" s="75">
        <f>IF(ISBLANK(P706),"",IF(D706="Stock",P706*G706,IF(P706=0,"0",G706*P706*100-(G706*$AF$14))))</f>
        <v/>
      </c>
      <c r="R706" s="79">
        <f>IF(P706&lt;&gt;"", TODAY(), "")</f>
        <v/>
      </c>
      <c r="S706" s="78">
        <f>IF(AND(K706&lt;&gt;"", R706&lt;&gt;""), R706-K706, "")</f>
        <v/>
      </c>
      <c r="T706" s="78" t="n"/>
      <c r="U706" s="92">
        <f>IF(ISBLANK(P706),"",IF(C706="Buy",Q706-M706+T706, IF(C706="Sell",M706-Q706-T706, X)))</f>
        <v/>
      </c>
      <c r="V706" s="81">
        <f>IF(ISBLANK(P706),"",U706/N706)</f>
        <v/>
      </c>
      <c r="W706" s="81">
        <f>IF(ISBLANK(P706),"",IF(S706=0,(365/0.5)*V706,(365/S706)*V706))</f>
        <v/>
      </c>
      <c r="X706" s="75" t="n"/>
      <c r="Y706" s="77" t="n"/>
      <c r="Z706" s="77" t="n"/>
      <c r="AA706" s="75" t="n"/>
      <c r="AB706" s="75" t="n"/>
      <c r="AC706" s="6" t="n"/>
      <c r="AD706" s="75" t="n"/>
      <c r="AE706" s="75" t="n"/>
      <c r="AF706" s="75" t="n"/>
    </row>
    <row r="707" ht="15.75" customHeight="1" s="133">
      <c r="A707" s="75" t="n"/>
      <c r="B707" s="75" t="n"/>
      <c r="C707" s="75" t="n"/>
      <c r="D707" s="75" t="n"/>
      <c r="E707" s="76" t="n"/>
      <c r="F707" s="77" t="n"/>
      <c r="G707" s="75" t="n"/>
      <c r="H707" s="75">
        <f>IF(ISBLANK(E707),"",IF(OR(D707="Butterfly",D707="Butterfly ",D707="Iron Fly", D707="Iron Fly "),LEN(E707)-LEN(SUBSTITUTE(E707,"/",""))+2,LEN(E707)-LEN(SUBSTITUTE(E707,"/",""))+1))</f>
        <v/>
      </c>
      <c r="I707" s="78">
        <f>IF(ISBLANK(G707),"",IF(D707="Stock","0",Key!$A$3*H707*G707))</f>
        <v/>
      </c>
      <c r="J707" s="78">
        <f>IF(ISBLANK(E707),"",IF(ISNUMBER(SEARCH("/",E707)), IF(LEN(E707)-LEN(SUBSTITUTE(E707,"/",""))=1,(RIGHT(E707,LEN(E707)-FIND("/",E707)))-(LEFT(E707,FIND("/",E707)-1)),(MID(E707, SEARCH("/",E707) + 1, SEARCH("/",E707, SEARCH("/",E707)+1) - SEARCH("/",E707) - 1))-(LEFT(E707,FIND("/",E707)-1))), "NA"))</f>
        <v/>
      </c>
      <c r="K707" s="79">
        <f>IF(A707&lt;&gt;"", IF(ISBLANK(L707), TODAY(), K707), "")</f>
        <v/>
      </c>
      <c r="L707" s="78" t="n"/>
      <c r="M707" s="78">
        <f>IF(ISBLANK(L707),"",IF(D707="Stock",IF(C707="Buy",L707*G707,IF(C707="Sell",(L707*G707)-I707, X)),IF(C707="Buy",(L707*G707*100)+I707,IF(C707="Sell",(L707*G707*100)-I707, X))))</f>
        <v/>
      </c>
      <c r="N707" s="78">
        <f>IF(ISBLANK(L707),"",IF(AND(C707="Sell",D707="Stock"),M707,IF(ISBLANK(L707),"",IF(C707="Buy",M707, IF(AND(C707="Sell",J707="NA"),(E707*G707*100*0.1)+I707, IF(C707="Sell",(J707-L707)*(100*G707)+I707))))))</f>
        <v/>
      </c>
      <c r="O707" s="75" t="n"/>
      <c r="P707" s="75" t="n"/>
      <c r="Q707" s="75">
        <f>IF(ISBLANK(P707),"",IF(D707="Stock",P707*G707,IF(P707=0,"0",G707*P707*100-(G707*$AF$14))))</f>
        <v/>
      </c>
      <c r="R707" s="79">
        <f>IF(P707&lt;&gt;"", TODAY(), "")</f>
        <v/>
      </c>
      <c r="S707" s="78">
        <f>IF(AND(K707&lt;&gt;"", R707&lt;&gt;""), R707-K707, "")</f>
        <v/>
      </c>
      <c r="T707" s="78" t="n"/>
      <c r="U707" s="92">
        <f>IF(ISBLANK(P707),"",IF(C707="Buy",Q707-M707+T707, IF(C707="Sell",M707-Q707-T707, X)))</f>
        <v/>
      </c>
      <c r="V707" s="81">
        <f>IF(ISBLANK(P707),"",U707/N707)</f>
        <v/>
      </c>
      <c r="W707" s="81">
        <f>IF(ISBLANK(P707),"",IF(S707=0,(365/0.5)*V707,(365/S707)*V707))</f>
        <v/>
      </c>
      <c r="X707" s="75" t="n"/>
      <c r="Y707" s="77" t="n"/>
      <c r="Z707" s="77" t="n"/>
      <c r="AA707" s="75" t="n"/>
      <c r="AB707" s="75" t="n"/>
      <c r="AC707" s="6" t="n"/>
      <c r="AD707" s="75" t="n"/>
      <c r="AE707" s="75" t="n"/>
      <c r="AF707" s="75" t="n"/>
    </row>
    <row r="708" ht="15.75" customHeight="1" s="133">
      <c r="A708" s="75" t="n"/>
      <c r="B708" s="75" t="n"/>
      <c r="C708" s="75" t="n"/>
      <c r="D708" s="75" t="n"/>
      <c r="E708" s="76" t="n"/>
      <c r="F708" s="77" t="n"/>
      <c r="G708" s="75" t="n"/>
      <c r="H708" s="75">
        <f>IF(ISBLANK(E708),"",IF(OR(D708="Butterfly",D708="Butterfly ",D708="Iron Fly", D708="Iron Fly "),LEN(E708)-LEN(SUBSTITUTE(E708,"/",""))+2,LEN(E708)-LEN(SUBSTITUTE(E708,"/",""))+1))</f>
        <v/>
      </c>
      <c r="I708" s="78">
        <f>IF(ISBLANK(G708),"",IF(D708="Stock","0",Key!$A$3*H708*G708))</f>
        <v/>
      </c>
      <c r="J708" s="78">
        <f>IF(ISBLANK(E708),"",IF(ISNUMBER(SEARCH("/",E708)), IF(LEN(E708)-LEN(SUBSTITUTE(E708,"/",""))=1,(RIGHT(E708,LEN(E708)-FIND("/",E708)))-(LEFT(E708,FIND("/",E708)-1)),(MID(E708, SEARCH("/",E708) + 1, SEARCH("/",E708, SEARCH("/",E708)+1) - SEARCH("/",E708) - 1))-(LEFT(E708,FIND("/",E708)-1))), "NA"))</f>
        <v/>
      </c>
      <c r="K708" s="79">
        <f>IF(A708&lt;&gt;"", IF(ISBLANK(L708), TODAY(), K708), "")</f>
        <v/>
      </c>
      <c r="L708" s="78" t="n"/>
      <c r="M708" s="78">
        <f>IF(ISBLANK(L708),"",IF(D708="Stock",IF(C708="Buy",L708*G708,IF(C708="Sell",(L708*G708)-I708, X)),IF(C708="Buy",(L708*G708*100)+I708,IF(C708="Sell",(L708*G708*100)-I708, X))))</f>
        <v/>
      </c>
      <c r="N708" s="78">
        <f>IF(ISBLANK(L708),"",IF(AND(C708="Sell",D708="Stock"),M708,IF(ISBLANK(L708),"",IF(C708="Buy",M708, IF(AND(C708="Sell",J708="NA"),(E708*G708*100*0.1)+I708, IF(C708="Sell",(J708-L708)*(100*G708)+I708))))))</f>
        <v/>
      </c>
      <c r="O708" s="75" t="n"/>
      <c r="P708" s="75" t="n"/>
      <c r="Q708" s="75">
        <f>IF(ISBLANK(P708),"",IF(D708="Stock",P708*G708,IF(P708=0,"0",G708*P708*100-(G708*$AF$14))))</f>
        <v/>
      </c>
      <c r="R708" s="79">
        <f>IF(P708&lt;&gt;"", TODAY(), "")</f>
        <v/>
      </c>
      <c r="S708" s="78">
        <f>IF(AND(K708&lt;&gt;"", R708&lt;&gt;""), R708-K708, "")</f>
        <v/>
      </c>
      <c r="T708" s="78" t="n"/>
      <c r="U708" s="92">
        <f>IF(ISBLANK(P708),"",IF(C708="Buy",Q708-M708+T708, IF(C708="Sell",M708-Q708-T708, X)))</f>
        <v/>
      </c>
      <c r="V708" s="81">
        <f>IF(ISBLANK(P708),"",U708/N708)</f>
        <v/>
      </c>
      <c r="W708" s="81">
        <f>IF(ISBLANK(P708),"",IF(S708=0,(365/0.5)*V708,(365/S708)*V708))</f>
        <v/>
      </c>
      <c r="X708" s="75" t="n"/>
      <c r="Y708" s="77" t="n"/>
      <c r="Z708" s="77" t="n"/>
      <c r="AA708" s="75" t="n"/>
      <c r="AB708" s="75" t="n"/>
      <c r="AC708" s="6" t="n"/>
      <c r="AD708" s="75" t="n"/>
      <c r="AE708" s="75" t="n"/>
      <c r="AF708" s="75" t="n"/>
    </row>
    <row r="709" ht="15.75" customHeight="1" s="133">
      <c r="A709" s="75" t="n"/>
      <c r="B709" s="75" t="n"/>
      <c r="C709" s="75" t="n"/>
      <c r="D709" s="75" t="n"/>
      <c r="E709" s="76" t="n"/>
      <c r="F709" s="77" t="n"/>
      <c r="G709" s="75" t="n"/>
      <c r="H709" s="75">
        <f>IF(ISBLANK(E709),"",IF(OR(D709="Butterfly",D709="Butterfly ",D709="Iron Fly", D709="Iron Fly "),LEN(E709)-LEN(SUBSTITUTE(E709,"/",""))+2,LEN(E709)-LEN(SUBSTITUTE(E709,"/",""))+1))</f>
        <v/>
      </c>
      <c r="I709" s="78">
        <f>IF(ISBLANK(G709),"",IF(D709="Stock","0",Key!$A$3*H709*G709))</f>
        <v/>
      </c>
      <c r="J709" s="78">
        <f>IF(ISBLANK(E709),"",IF(ISNUMBER(SEARCH("/",E709)), IF(LEN(E709)-LEN(SUBSTITUTE(E709,"/",""))=1,(RIGHT(E709,LEN(E709)-FIND("/",E709)))-(LEFT(E709,FIND("/",E709)-1)),(MID(E709, SEARCH("/",E709) + 1, SEARCH("/",E709, SEARCH("/",E709)+1) - SEARCH("/",E709) - 1))-(LEFT(E709,FIND("/",E709)-1))), "NA"))</f>
        <v/>
      </c>
      <c r="K709" s="79">
        <f>IF(A709&lt;&gt;"", IF(ISBLANK(L709), TODAY(), K709), "")</f>
        <v/>
      </c>
      <c r="L709" s="78" t="n"/>
      <c r="M709" s="78">
        <f>IF(ISBLANK(L709),"",IF(D709="Stock",IF(C709="Buy",L709*G709,IF(C709="Sell",(L709*G709)-I709, X)),IF(C709="Buy",(L709*G709*100)+I709,IF(C709="Sell",(L709*G709*100)-I709, X))))</f>
        <v/>
      </c>
      <c r="N709" s="78">
        <f>IF(ISBLANK(L709),"",IF(AND(C709="Sell",D709="Stock"),M709,IF(ISBLANK(L709),"",IF(C709="Buy",M709, IF(AND(C709="Sell",J709="NA"),(E709*G709*100*0.1)+I709, IF(C709="Sell",(J709-L709)*(100*G709)+I709))))))</f>
        <v/>
      </c>
      <c r="O709" s="75" t="n"/>
      <c r="P709" s="75" t="n"/>
      <c r="Q709" s="75">
        <f>IF(ISBLANK(P709),"",IF(D709="Stock",P709*G709,IF(P709=0,"0",G709*P709*100-(G709*$AF$14))))</f>
        <v/>
      </c>
      <c r="R709" s="79">
        <f>IF(P709&lt;&gt;"", TODAY(), "")</f>
        <v/>
      </c>
      <c r="S709" s="78">
        <f>IF(AND(K709&lt;&gt;"", R709&lt;&gt;""), R709-K709, "")</f>
        <v/>
      </c>
      <c r="T709" s="78" t="n"/>
      <c r="U709" s="92">
        <f>IF(ISBLANK(P709),"",IF(C709="Buy",Q709-M709+T709, IF(C709="Sell",M709-Q709-T709, X)))</f>
        <v/>
      </c>
      <c r="V709" s="81">
        <f>IF(ISBLANK(P709),"",U709/N709)</f>
        <v/>
      </c>
      <c r="W709" s="81">
        <f>IF(ISBLANK(P709),"",IF(S709=0,(365/0.5)*V709,(365/S709)*V709))</f>
        <v/>
      </c>
      <c r="X709" s="75" t="n"/>
      <c r="Y709" s="77" t="n"/>
      <c r="Z709" s="77" t="n"/>
      <c r="AA709" s="75" t="n"/>
      <c r="AB709" s="75" t="n"/>
      <c r="AC709" s="6" t="n"/>
      <c r="AD709" s="75" t="n"/>
      <c r="AE709" s="75" t="n"/>
      <c r="AF709" s="75" t="n"/>
    </row>
    <row r="710" ht="15.75" customHeight="1" s="133">
      <c r="A710" s="75" t="n"/>
      <c r="B710" s="75" t="n"/>
      <c r="C710" s="75" t="n"/>
      <c r="D710" s="75" t="n"/>
      <c r="E710" s="76" t="n"/>
      <c r="F710" s="77" t="n"/>
      <c r="G710" s="75" t="n"/>
      <c r="H710" s="75">
        <f>IF(ISBLANK(E710),"",IF(OR(D710="Butterfly",D710="Butterfly ",D710="Iron Fly", D710="Iron Fly "),LEN(E710)-LEN(SUBSTITUTE(E710,"/",""))+2,LEN(E710)-LEN(SUBSTITUTE(E710,"/",""))+1))</f>
        <v/>
      </c>
      <c r="I710" s="78">
        <f>IF(ISBLANK(G710),"",IF(D710="Stock","0",Key!$A$3*H710*G710))</f>
        <v/>
      </c>
      <c r="J710" s="78">
        <f>IF(ISBLANK(E710),"",IF(ISNUMBER(SEARCH("/",E710)), IF(LEN(E710)-LEN(SUBSTITUTE(E710,"/",""))=1,(RIGHT(E710,LEN(E710)-FIND("/",E710)))-(LEFT(E710,FIND("/",E710)-1)),(MID(E710, SEARCH("/",E710) + 1, SEARCH("/",E710, SEARCH("/",E710)+1) - SEARCH("/",E710) - 1))-(LEFT(E710,FIND("/",E710)-1))), "NA"))</f>
        <v/>
      </c>
      <c r="K710" s="79">
        <f>IF(A710&lt;&gt;"", IF(ISBLANK(L710), TODAY(), K710), "")</f>
        <v/>
      </c>
      <c r="L710" s="78" t="n"/>
      <c r="M710" s="78">
        <f>IF(ISBLANK(L710),"",IF(D710="Stock",IF(C710="Buy",L710*G710,IF(C710="Sell",(L710*G710)-I710, X)),IF(C710="Buy",(L710*G710*100)+I710,IF(C710="Sell",(L710*G710*100)-I710, X))))</f>
        <v/>
      </c>
      <c r="N710" s="78">
        <f>IF(ISBLANK(L710),"",IF(AND(C710="Sell",D710="Stock"),M710,IF(ISBLANK(L710),"",IF(C710="Buy",M710, IF(AND(C710="Sell",J710="NA"),(E710*G710*100*0.1)+I710, IF(C710="Sell",(J710-L710)*(100*G710)+I710))))))</f>
        <v/>
      </c>
      <c r="O710" s="75" t="n"/>
      <c r="P710" s="75" t="n"/>
      <c r="Q710" s="75">
        <f>IF(ISBLANK(P710),"",IF(D710="Stock",P710*G710,IF(P710=0,"0",G710*P710*100-(G710*$AF$14))))</f>
        <v/>
      </c>
      <c r="R710" s="79">
        <f>IF(P710&lt;&gt;"", TODAY(), "")</f>
        <v/>
      </c>
      <c r="S710" s="78">
        <f>IF(AND(K710&lt;&gt;"", R710&lt;&gt;""), R710-K710, "")</f>
        <v/>
      </c>
      <c r="T710" s="78" t="n"/>
      <c r="U710" s="92">
        <f>IF(ISBLANK(P710),"",IF(C710="Buy",Q710-M710+T710, IF(C710="Sell",M710-Q710-T710, X)))</f>
        <v/>
      </c>
      <c r="V710" s="81">
        <f>IF(ISBLANK(P710),"",U710/N710)</f>
        <v/>
      </c>
      <c r="W710" s="81">
        <f>IF(ISBLANK(P710),"",IF(S710=0,(365/0.5)*V710,(365/S710)*V710))</f>
        <v/>
      </c>
      <c r="X710" s="75" t="n"/>
      <c r="Y710" s="77" t="n"/>
      <c r="Z710" s="77" t="n"/>
      <c r="AA710" s="75" t="n"/>
      <c r="AB710" s="75" t="n"/>
      <c r="AC710" s="6" t="n"/>
      <c r="AD710" s="75" t="n"/>
      <c r="AE710" s="75" t="n"/>
      <c r="AF710" s="75" t="n"/>
    </row>
    <row r="711" ht="15.75" customHeight="1" s="133">
      <c r="A711" s="75" t="n"/>
      <c r="B711" s="75" t="n"/>
      <c r="C711" s="75" t="n"/>
      <c r="D711" s="75" t="n"/>
      <c r="E711" s="76" t="n"/>
      <c r="F711" s="77" t="n"/>
      <c r="G711" s="75" t="n"/>
      <c r="H711" s="75">
        <f>IF(ISBLANK(E711),"",IF(OR(D711="Butterfly",D711="Butterfly ",D711="Iron Fly", D711="Iron Fly "),LEN(E711)-LEN(SUBSTITUTE(E711,"/",""))+2,LEN(E711)-LEN(SUBSTITUTE(E711,"/",""))+1))</f>
        <v/>
      </c>
      <c r="I711" s="78">
        <f>IF(ISBLANK(G711),"",IF(D711="Stock","0",Key!$A$3*H711*G711))</f>
        <v/>
      </c>
      <c r="J711" s="78">
        <f>IF(ISBLANK(E711),"",IF(ISNUMBER(SEARCH("/",E711)), IF(LEN(E711)-LEN(SUBSTITUTE(E711,"/",""))=1,(RIGHT(E711,LEN(E711)-FIND("/",E711)))-(LEFT(E711,FIND("/",E711)-1)),(MID(E711, SEARCH("/",E711) + 1, SEARCH("/",E711, SEARCH("/",E711)+1) - SEARCH("/",E711) - 1))-(LEFT(E711,FIND("/",E711)-1))), "NA"))</f>
        <v/>
      </c>
      <c r="K711" s="79">
        <f>IF(A711&lt;&gt;"", IF(ISBLANK(L711), TODAY(), K711), "")</f>
        <v/>
      </c>
      <c r="L711" s="78" t="n"/>
      <c r="M711" s="78">
        <f>IF(ISBLANK(L711),"",IF(D711="Stock",IF(C711="Buy",L711*G711,IF(C711="Sell",(L711*G711)-I711, X)),IF(C711="Buy",(L711*G711*100)+I711,IF(C711="Sell",(L711*G711*100)-I711, X))))</f>
        <v/>
      </c>
      <c r="N711" s="78">
        <f>IF(ISBLANK(L711),"",IF(AND(C711="Sell",D711="Stock"),M711,IF(ISBLANK(L711),"",IF(C711="Buy",M711, IF(AND(C711="Sell",J711="NA"),(E711*G711*100*0.1)+I711, IF(C711="Sell",(J711-L711)*(100*G711)+I711))))))</f>
        <v/>
      </c>
      <c r="O711" s="75" t="n"/>
      <c r="P711" s="75" t="n"/>
      <c r="Q711" s="75">
        <f>IF(ISBLANK(P711),"",IF(D711="Stock",P711*G711,IF(P711=0,"0",G711*P711*100-(G711*$AF$14))))</f>
        <v/>
      </c>
      <c r="R711" s="79">
        <f>IF(P711&lt;&gt;"", TODAY(), "")</f>
        <v/>
      </c>
      <c r="S711" s="78">
        <f>IF(AND(K711&lt;&gt;"", R711&lt;&gt;""), R711-K711, "")</f>
        <v/>
      </c>
      <c r="T711" s="78" t="n"/>
      <c r="U711" s="92">
        <f>IF(ISBLANK(P711),"",IF(C711="Buy",Q711-M711+T711, IF(C711="Sell",M711-Q711-T711, X)))</f>
        <v/>
      </c>
      <c r="V711" s="81">
        <f>IF(ISBLANK(P711),"",U711/N711)</f>
        <v/>
      </c>
      <c r="W711" s="81">
        <f>IF(ISBLANK(P711),"",IF(S711=0,(365/0.5)*V711,(365/S711)*V711))</f>
        <v/>
      </c>
      <c r="X711" s="75" t="n"/>
      <c r="Y711" s="77" t="n"/>
      <c r="Z711" s="77" t="n"/>
      <c r="AA711" s="75" t="n"/>
      <c r="AB711" s="75" t="n"/>
      <c r="AC711" s="6" t="n"/>
      <c r="AD711" s="75" t="n"/>
      <c r="AE711" s="75" t="n"/>
      <c r="AF711" s="75" t="n"/>
    </row>
    <row r="712" ht="15.75" customHeight="1" s="133">
      <c r="A712" s="75" t="n"/>
      <c r="B712" s="75" t="n"/>
      <c r="C712" s="75" t="n"/>
      <c r="D712" s="75" t="n"/>
      <c r="E712" s="76" t="n"/>
      <c r="F712" s="77" t="n"/>
      <c r="G712" s="75" t="n"/>
      <c r="H712" s="75">
        <f>IF(ISBLANK(E712),"",IF(OR(D712="Butterfly",D712="Butterfly ",D712="Iron Fly", D712="Iron Fly "),LEN(E712)-LEN(SUBSTITUTE(E712,"/",""))+2,LEN(E712)-LEN(SUBSTITUTE(E712,"/",""))+1))</f>
        <v/>
      </c>
      <c r="I712" s="78">
        <f>IF(ISBLANK(G712),"",IF(D712="Stock","0",Key!$A$3*H712*G712))</f>
        <v/>
      </c>
      <c r="J712" s="78">
        <f>IF(ISBLANK(E712),"",IF(ISNUMBER(SEARCH("/",E712)), IF(LEN(E712)-LEN(SUBSTITUTE(E712,"/",""))=1,(RIGHT(E712,LEN(E712)-FIND("/",E712)))-(LEFT(E712,FIND("/",E712)-1)),(MID(E712, SEARCH("/",E712) + 1, SEARCH("/",E712, SEARCH("/",E712)+1) - SEARCH("/",E712) - 1))-(LEFT(E712,FIND("/",E712)-1))), "NA"))</f>
        <v/>
      </c>
      <c r="K712" s="79">
        <f>IF(A712&lt;&gt;"", IF(ISBLANK(L712), TODAY(), K712), "")</f>
        <v/>
      </c>
      <c r="L712" s="78" t="n"/>
      <c r="M712" s="78">
        <f>IF(ISBLANK(L712),"",IF(D712="Stock",IF(C712="Buy",L712*G712,IF(C712="Sell",(L712*G712)-I712, X)),IF(C712="Buy",(L712*G712*100)+I712,IF(C712="Sell",(L712*G712*100)-I712, X))))</f>
        <v/>
      </c>
      <c r="N712" s="78">
        <f>IF(ISBLANK(L712),"",IF(AND(C712="Sell",D712="Stock"),M712,IF(ISBLANK(L712),"",IF(C712="Buy",M712, IF(AND(C712="Sell",J712="NA"),(E712*G712*100*0.1)+I712, IF(C712="Sell",(J712-L712)*(100*G712)+I712))))))</f>
        <v/>
      </c>
      <c r="O712" s="75" t="n"/>
      <c r="P712" s="75" t="n"/>
      <c r="Q712" s="75">
        <f>IF(ISBLANK(P712),"",IF(D712="Stock",P712*G712,IF(P712=0,"0",G712*P712*100-(G712*$AF$14))))</f>
        <v/>
      </c>
      <c r="R712" s="79">
        <f>IF(P712&lt;&gt;"", TODAY(), "")</f>
        <v/>
      </c>
      <c r="S712" s="78">
        <f>IF(AND(K712&lt;&gt;"", R712&lt;&gt;""), R712-K712, "")</f>
        <v/>
      </c>
      <c r="T712" s="78" t="n"/>
      <c r="U712" s="92">
        <f>IF(ISBLANK(P712),"",IF(C712="Buy",Q712-M712+T712, IF(C712="Sell",M712-Q712-T712, X)))</f>
        <v/>
      </c>
      <c r="V712" s="81">
        <f>IF(ISBLANK(P712),"",U712/N712)</f>
        <v/>
      </c>
      <c r="W712" s="81">
        <f>IF(ISBLANK(P712),"",IF(S712=0,(365/0.5)*V712,(365/S712)*V712))</f>
        <v/>
      </c>
      <c r="X712" s="75" t="n"/>
      <c r="Y712" s="77" t="n"/>
      <c r="Z712" s="77" t="n"/>
      <c r="AA712" s="75" t="n"/>
      <c r="AB712" s="75" t="n"/>
      <c r="AC712" s="6" t="n"/>
      <c r="AD712" s="75" t="n"/>
      <c r="AE712" s="75" t="n"/>
      <c r="AF712" s="75" t="n"/>
    </row>
    <row r="713" ht="15.75" customHeight="1" s="133">
      <c r="A713" s="75" t="n"/>
      <c r="B713" s="75" t="n"/>
      <c r="C713" s="75" t="n"/>
      <c r="D713" s="75" t="n"/>
      <c r="E713" s="76" t="n"/>
      <c r="F713" s="77" t="n"/>
      <c r="G713" s="75" t="n"/>
      <c r="H713" s="75">
        <f>IF(ISBLANK(E713),"",IF(OR(D713="Butterfly",D713="Butterfly ",D713="Iron Fly", D713="Iron Fly "),LEN(E713)-LEN(SUBSTITUTE(E713,"/",""))+2,LEN(E713)-LEN(SUBSTITUTE(E713,"/",""))+1))</f>
        <v/>
      </c>
      <c r="I713" s="78">
        <f>IF(ISBLANK(G713),"",IF(D713="Stock","0",Key!$A$3*H713*G713))</f>
        <v/>
      </c>
      <c r="J713" s="78">
        <f>IF(ISBLANK(E713),"",IF(ISNUMBER(SEARCH("/",E713)), IF(LEN(E713)-LEN(SUBSTITUTE(E713,"/",""))=1,(RIGHT(E713,LEN(E713)-FIND("/",E713)))-(LEFT(E713,FIND("/",E713)-1)),(MID(E713, SEARCH("/",E713) + 1, SEARCH("/",E713, SEARCH("/",E713)+1) - SEARCH("/",E713) - 1))-(LEFT(E713,FIND("/",E713)-1))), "NA"))</f>
        <v/>
      </c>
      <c r="K713" s="79">
        <f>IF(A713&lt;&gt;"", IF(ISBLANK(L713), TODAY(), K713), "")</f>
        <v/>
      </c>
      <c r="L713" s="78" t="n"/>
      <c r="M713" s="78">
        <f>IF(ISBLANK(L713),"",IF(D713="Stock",IF(C713="Buy",L713*G713,IF(C713="Sell",(L713*G713)-I713, X)),IF(C713="Buy",(L713*G713*100)+I713,IF(C713="Sell",(L713*G713*100)-I713, X))))</f>
        <v/>
      </c>
      <c r="N713" s="78">
        <f>IF(ISBLANK(L713),"",IF(AND(C713="Sell",D713="Stock"),M713,IF(ISBLANK(L713),"",IF(C713="Buy",M713, IF(AND(C713="Sell",J713="NA"),(E713*G713*100*0.1)+I713, IF(C713="Sell",(J713-L713)*(100*G713)+I713))))))</f>
        <v/>
      </c>
      <c r="O713" s="75" t="n"/>
      <c r="P713" s="75" t="n"/>
      <c r="Q713" s="75">
        <f>IF(ISBLANK(P713),"",IF(D713="Stock",P713*G713,IF(P713=0,"0",G713*P713*100-(G713*$AF$14))))</f>
        <v/>
      </c>
      <c r="R713" s="79">
        <f>IF(P713&lt;&gt;"", TODAY(), "")</f>
        <v/>
      </c>
      <c r="S713" s="78">
        <f>IF(AND(K713&lt;&gt;"", R713&lt;&gt;""), R713-K713, "")</f>
        <v/>
      </c>
      <c r="T713" s="78" t="n"/>
      <c r="U713" s="92">
        <f>IF(ISBLANK(P713),"",IF(C713="Buy",Q713-M713+T713, IF(C713="Sell",M713-Q713-T713, X)))</f>
        <v/>
      </c>
      <c r="V713" s="81">
        <f>IF(ISBLANK(P713),"",U713/N713)</f>
        <v/>
      </c>
      <c r="W713" s="81">
        <f>IF(ISBLANK(P713),"",IF(S713=0,(365/0.5)*V713,(365/S713)*V713))</f>
        <v/>
      </c>
      <c r="X713" s="75" t="n"/>
      <c r="Y713" s="77" t="n"/>
      <c r="Z713" s="77" t="n"/>
      <c r="AA713" s="75" t="n"/>
      <c r="AB713" s="75" t="n"/>
      <c r="AC713" s="6" t="n"/>
      <c r="AD713" s="75" t="n"/>
      <c r="AE713" s="75" t="n"/>
      <c r="AF713" s="75" t="n"/>
    </row>
    <row r="714" ht="15.75" customHeight="1" s="133">
      <c r="A714" s="75" t="n"/>
      <c r="B714" s="75" t="n"/>
      <c r="C714" s="75" t="n"/>
      <c r="D714" s="75" t="n"/>
      <c r="E714" s="76" t="n"/>
      <c r="F714" s="77" t="n"/>
      <c r="G714" s="75" t="n"/>
      <c r="H714" s="75">
        <f>IF(ISBLANK(E714),"",IF(OR(D714="Butterfly",D714="Butterfly ",D714="Iron Fly", D714="Iron Fly "),LEN(E714)-LEN(SUBSTITUTE(E714,"/",""))+2,LEN(E714)-LEN(SUBSTITUTE(E714,"/",""))+1))</f>
        <v/>
      </c>
      <c r="I714" s="78">
        <f>IF(ISBLANK(G714),"",IF(D714="Stock","0",Key!$A$3*H714*G714))</f>
        <v/>
      </c>
      <c r="J714" s="78">
        <f>IF(ISBLANK(E714),"",IF(ISNUMBER(SEARCH("/",E714)), IF(LEN(E714)-LEN(SUBSTITUTE(E714,"/",""))=1,(RIGHT(E714,LEN(E714)-FIND("/",E714)))-(LEFT(E714,FIND("/",E714)-1)),(MID(E714, SEARCH("/",E714) + 1, SEARCH("/",E714, SEARCH("/",E714)+1) - SEARCH("/",E714) - 1))-(LEFT(E714,FIND("/",E714)-1))), "NA"))</f>
        <v/>
      </c>
      <c r="K714" s="79">
        <f>IF(A714&lt;&gt;"", IF(ISBLANK(L714), TODAY(), K714), "")</f>
        <v/>
      </c>
      <c r="L714" s="78" t="n"/>
      <c r="M714" s="78">
        <f>IF(ISBLANK(L714),"",IF(D714="Stock",IF(C714="Buy",L714*G714,IF(C714="Sell",(L714*G714)-I714, X)),IF(C714="Buy",(L714*G714*100)+I714,IF(C714="Sell",(L714*G714*100)-I714, X))))</f>
        <v/>
      </c>
      <c r="N714" s="78">
        <f>IF(ISBLANK(L714),"",IF(AND(C714="Sell",D714="Stock"),M714,IF(ISBLANK(L714),"",IF(C714="Buy",M714, IF(AND(C714="Sell",J714="NA"),(E714*G714*100*0.1)+I714, IF(C714="Sell",(J714-L714)*(100*G714)+I714))))))</f>
        <v/>
      </c>
      <c r="O714" s="75" t="n"/>
      <c r="P714" s="75" t="n"/>
      <c r="Q714" s="75">
        <f>IF(ISBLANK(P714),"",IF(D714="Stock",P714*G714,IF(P714=0,"0",G714*P714*100-(G714*$AF$14))))</f>
        <v/>
      </c>
      <c r="R714" s="79">
        <f>IF(P714&lt;&gt;"", TODAY(), "")</f>
        <v/>
      </c>
      <c r="S714" s="78">
        <f>IF(AND(K714&lt;&gt;"", R714&lt;&gt;""), R714-K714, "")</f>
        <v/>
      </c>
      <c r="T714" s="78" t="n"/>
      <c r="U714" s="92">
        <f>IF(ISBLANK(P714),"",IF(C714="Buy",Q714-M714+T714, IF(C714="Sell",M714-Q714-T714, X)))</f>
        <v/>
      </c>
      <c r="V714" s="81">
        <f>IF(ISBLANK(P714),"",U714/N714)</f>
        <v/>
      </c>
      <c r="W714" s="81">
        <f>IF(ISBLANK(P714),"",IF(S714=0,(365/0.5)*V714,(365/S714)*V714))</f>
        <v/>
      </c>
      <c r="X714" s="75" t="n"/>
      <c r="Y714" s="77" t="n"/>
      <c r="Z714" s="77" t="n"/>
      <c r="AA714" s="75" t="n"/>
      <c r="AB714" s="75" t="n"/>
      <c r="AC714" s="6" t="n"/>
      <c r="AD714" s="75" t="n"/>
      <c r="AE714" s="75" t="n"/>
      <c r="AF714" s="75" t="n"/>
    </row>
    <row r="715" ht="15.75" customHeight="1" s="133">
      <c r="A715" s="75" t="n"/>
      <c r="B715" s="75" t="n"/>
      <c r="C715" s="75" t="n"/>
      <c r="D715" s="75" t="n"/>
      <c r="E715" s="76" t="n"/>
      <c r="F715" s="77" t="n"/>
      <c r="G715" s="75" t="n"/>
      <c r="H715" s="75">
        <f>IF(ISBLANK(E715),"",IF(OR(D715="Butterfly",D715="Butterfly ",D715="Iron Fly", D715="Iron Fly "),LEN(E715)-LEN(SUBSTITUTE(E715,"/",""))+2,LEN(E715)-LEN(SUBSTITUTE(E715,"/",""))+1))</f>
        <v/>
      </c>
      <c r="I715" s="78">
        <f>IF(ISBLANK(G715),"",IF(D715="Stock","0",Key!$A$3*H715*G715))</f>
        <v/>
      </c>
      <c r="J715" s="78">
        <f>IF(ISBLANK(E715),"",IF(ISNUMBER(SEARCH("/",E715)), IF(LEN(E715)-LEN(SUBSTITUTE(E715,"/",""))=1,(RIGHT(E715,LEN(E715)-FIND("/",E715)))-(LEFT(E715,FIND("/",E715)-1)),(MID(E715, SEARCH("/",E715) + 1, SEARCH("/",E715, SEARCH("/",E715)+1) - SEARCH("/",E715) - 1))-(LEFT(E715,FIND("/",E715)-1))), "NA"))</f>
        <v/>
      </c>
      <c r="K715" s="79">
        <f>IF(A715&lt;&gt;"", IF(ISBLANK(L715), TODAY(), K715), "")</f>
        <v/>
      </c>
      <c r="L715" s="78" t="n"/>
      <c r="M715" s="78">
        <f>IF(ISBLANK(L715),"",IF(D715="Stock",IF(C715="Buy",L715*G715,IF(C715="Sell",(L715*G715)-I715, X)),IF(C715="Buy",(L715*G715*100)+I715,IF(C715="Sell",(L715*G715*100)-I715, X))))</f>
        <v/>
      </c>
      <c r="N715" s="78">
        <f>IF(ISBLANK(L715),"",IF(AND(C715="Sell",D715="Stock"),M715,IF(ISBLANK(L715),"",IF(C715="Buy",M715, IF(AND(C715="Sell",J715="NA"),(E715*G715*100*0.1)+I715, IF(C715="Sell",(J715-L715)*(100*G715)+I715))))))</f>
        <v/>
      </c>
      <c r="O715" s="75" t="n"/>
      <c r="P715" s="75" t="n"/>
      <c r="Q715" s="75">
        <f>IF(ISBLANK(P715),"",IF(D715="Stock",P715*G715,IF(P715=0,"0",G715*P715*100-(G715*$AF$14))))</f>
        <v/>
      </c>
      <c r="R715" s="79">
        <f>IF(P715&lt;&gt;"", TODAY(), "")</f>
        <v/>
      </c>
      <c r="S715" s="78">
        <f>IF(AND(K715&lt;&gt;"", R715&lt;&gt;""), R715-K715, "")</f>
        <v/>
      </c>
      <c r="T715" s="78" t="n"/>
      <c r="U715" s="92">
        <f>IF(ISBLANK(P715),"",IF(C715="Buy",Q715-M715+T715, IF(C715="Sell",M715-Q715-T715, X)))</f>
        <v/>
      </c>
      <c r="V715" s="81">
        <f>IF(ISBLANK(P715),"",U715/N715)</f>
        <v/>
      </c>
      <c r="W715" s="81">
        <f>IF(ISBLANK(P715),"",IF(S715=0,(365/0.5)*V715,(365/S715)*V715))</f>
        <v/>
      </c>
      <c r="X715" s="75" t="n"/>
      <c r="Y715" s="77" t="n"/>
      <c r="Z715" s="77" t="n"/>
      <c r="AA715" s="75" t="n"/>
      <c r="AB715" s="75" t="n"/>
      <c r="AC715" s="6" t="n"/>
      <c r="AD715" s="75" t="n"/>
      <c r="AE715" s="75" t="n"/>
      <c r="AF715" s="75" t="n"/>
    </row>
    <row r="716" ht="15.75" customHeight="1" s="133">
      <c r="A716" s="75" t="n"/>
      <c r="B716" s="75" t="n"/>
      <c r="C716" s="75" t="n"/>
      <c r="D716" s="75" t="n"/>
      <c r="E716" s="76" t="n"/>
      <c r="F716" s="77" t="n"/>
      <c r="G716" s="75" t="n"/>
      <c r="H716" s="75">
        <f>IF(ISBLANK(E716),"",IF(OR(D716="Butterfly",D716="Butterfly ",D716="Iron Fly", D716="Iron Fly "),LEN(E716)-LEN(SUBSTITUTE(E716,"/",""))+2,LEN(E716)-LEN(SUBSTITUTE(E716,"/",""))+1))</f>
        <v/>
      </c>
      <c r="I716" s="78">
        <f>IF(ISBLANK(G716),"",IF(D716="Stock","0",Key!$A$3*H716*G716))</f>
        <v/>
      </c>
      <c r="J716" s="78">
        <f>IF(ISBLANK(E716),"",IF(ISNUMBER(SEARCH("/",E716)), IF(LEN(E716)-LEN(SUBSTITUTE(E716,"/",""))=1,(RIGHT(E716,LEN(E716)-FIND("/",E716)))-(LEFT(E716,FIND("/",E716)-1)),(MID(E716, SEARCH("/",E716) + 1, SEARCH("/",E716, SEARCH("/",E716)+1) - SEARCH("/",E716) - 1))-(LEFT(E716,FIND("/",E716)-1))), "NA"))</f>
        <v/>
      </c>
      <c r="K716" s="79">
        <f>IF(A716&lt;&gt;"", IF(ISBLANK(L716), TODAY(), K716), "")</f>
        <v/>
      </c>
      <c r="L716" s="78" t="n"/>
      <c r="M716" s="78">
        <f>IF(ISBLANK(L716),"",IF(D716="Stock",IF(C716="Buy",L716*G716,IF(C716="Sell",(L716*G716)-I716, X)),IF(C716="Buy",(L716*G716*100)+I716,IF(C716="Sell",(L716*G716*100)-I716, X))))</f>
        <v/>
      </c>
      <c r="N716" s="78">
        <f>IF(ISBLANK(L716),"",IF(AND(C716="Sell",D716="Stock"),M716,IF(ISBLANK(L716),"",IF(C716="Buy",M716, IF(AND(C716="Sell",J716="NA"),(E716*G716*100*0.1)+I716, IF(C716="Sell",(J716-L716)*(100*G716)+I716))))))</f>
        <v/>
      </c>
      <c r="O716" s="75" t="n"/>
      <c r="P716" s="75" t="n"/>
      <c r="Q716" s="75">
        <f>IF(ISBLANK(P716),"",IF(D716="Stock",P716*G716,IF(P716=0,"0",G716*P716*100-(G716*$AF$14))))</f>
        <v/>
      </c>
      <c r="R716" s="79">
        <f>IF(P716&lt;&gt;"", TODAY(), "")</f>
        <v/>
      </c>
      <c r="S716" s="78">
        <f>IF(AND(K716&lt;&gt;"", R716&lt;&gt;""), R716-K716, "")</f>
        <v/>
      </c>
      <c r="T716" s="78" t="n"/>
      <c r="U716" s="92">
        <f>IF(ISBLANK(P716),"",IF(C716="Buy",Q716-M716+T716, IF(C716="Sell",M716-Q716-T716, X)))</f>
        <v/>
      </c>
      <c r="V716" s="81">
        <f>IF(ISBLANK(P716),"",U716/N716)</f>
        <v/>
      </c>
      <c r="W716" s="81">
        <f>IF(ISBLANK(P716),"",IF(S716=0,(365/0.5)*V716,(365/S716)*V716))</f>
        <v/>
      </c>
      <c r="X716" s="75" t="n"/>
      <c r="Y716" s="77" t="n"/>
      <c r="Z716" s="77" t="n"/>
      <c r="AA716" s="75" t="n"/>
      <c r="AB716" s="75" t="n"/>
      <c r="AC716" s="6" t="n"/>
      <c r="AD716" s="75" t="n"/>
      <c r="AE716" s="75" t="n"/>
      <c r="AF716" s="75" t="n"/>
    </row>
    <row r="717" ht="15.75" customHeight="1" s="133">
      <c r="A717" s="75" t="n"/>
      <c r="B717" s="75" t="n"/>
      <c r="C717" s="75" t="n"/>
      <c r="D717" s="75" t="n"/>
      <c r="E717" s="76" t="n"/>
      <c r="F717" s="77" t="n"/>
      <c r="G717" s="75" t="n"/>
      <c r="H717" s="75">
        <f>IF(ISBLANK(E717),"",IF(OR(D717="Butterfly",D717="Butterfly ",D717="Iron Fly", D717="Iron Fly "),LEN(E717)-LEN(SUBSTITUTE(E717,"/",""))+2,LEN(E717)-LEN(SUBSTITUTE(E717,"/",""))+1))</f>
        <v/>
      </c>
      <c r="I717" s="78">
        <f>IF(ISBLANK(G717),"",IF(D717="Stock","0",Key!$A$3*H717*G717))</f>
        <v/>
      </c>
      <c r="J717" s="78">
        <f>IF(ISBLANK(E717),"",IF(ISNUMBER(SEARCH("/",E717)), IF(LEN(E717)-LEN(SUBSTITUTE(E717,"/",""))=1,(RIGHT(E717,LEN(E717)-FIND("/",E717)))-(LEFT(E717,FIND("/",E717)-1)),(MID(E717, SEARCH("/",E717) + 1, SEARCH("/",E717, SEARCH("/",E717)+1) - SEARCH("/",E717) - 1))-(LEFT(E717,FIND("/",E717)-1))), "NA"))</f>
        <v/>
      </c>
      <c r="K717" s="79">
        <f>IF(A717&lt;&gt;"", IF(ISBLANK(L717), TODAY(), K717), "")</f>
        <v/>
      </c>
      <c r="L717" s="78" t="n"/>
      <c r="M717" s="78">
        <f>IF(ISBLANK(L717),"",IF(D717="Stock",IF(C717="Buy",L717*G717,IF(C717="Sell",(L717*G717)-I717, X)),IF(C717="Buy",(L717*G717*100)+I717,IF(C717="Sell",(L717*G717*100)-I717, X))))</f>
        <v/>
      </c>
      <c r="N717" s="78">
        <f>IF(ISBLANK(L717),"",IF(AND(C717="Sell",D717="Stock"),M717,IF(ISBLANK(L717),"",IF(C717="Buy",M717, IF(AND(C717="Sell",J717="NA"),(E717*G717*100*0.1)+I717, IF(C717="Sell",(J717-L717)*(100*G717)+I717))))))</f>
        <v/>
      </c>
      <c r="O717" s="75" t="n"/>
      <c r="P717" s="75" t="n"/>
      <c r="Q717" s="75">
        <f>IF(ISBLANK(P717),"",IF(D717="Stock",P717*G717,IF(P717=0,"0",G717*P717*100-(G717*$AF$14))))</f>
        <v/>
      </c>
      <c r="R717" s="79">
        <f>IF(P717&lt;&gt;"", TODAY(), "")</f>
        <v/>
      </c>
      <c r="S717" s="78">
        <f>IF(AND(K717&lt;&gt;"", R717&lt;&gt;""), R717-K717, "")</f>
        <v/>
      </c>
      <c r="T717" s="78" t="n"/>
      <c r="U717" s="92">
        <f>IF(ISBLANK(P717),"",IF(C717="Buy",Q717-M717+T717, IF(C717="Sell",M717-Q717-T717, X)))</f>
        <v/>
      </c>
      <c r="V717" s="81">
        <f>IF(ISBLANK(P717),"",U717/N717)</f>
        <v/>
      </c>
      <c r="W717" s="81">
        <f>IF(ISBLANK(P717),"",IF(S717=0,(365/0.5)*V717,(365/S717)*V717))</f>
        <v/>
      </c>
      <c r="X717" s="75" t="n"/>
      <c r="Y717" s="77" t="n"/>
      <c r="Z717" s="77" t="n"/>
      <c r="AA717" s="75" t="n"/>
      <c r="AB717" s="75" t="n"/>
      <c r="AC717" s="6" t="n"/>
      <c r="AD717" s="75" t="n"/>
      <c r="AE717" s="75" t="n"/>
      <c r="AF717" s="75" t="n"/>
    </row>
    <row r="718" ht="15.75" customHeight="1" s="133">
      <c r="A718" s="75" t="n"/>
      <c r="B718" s="75" t="n"/>
      <c r="C718" s="75" t="n"/>
      <c r="D718" s="75" t="n"/>
      <c r="E718" s="76" t="n"/>
      <c r="F718" s="77" t="n"/>
      <c r="G718" s="75" t="n"/>
      <c r="H718" s="75">
        <f>IF(ISBLANK(E718),"",IF(OR(D718="Butterfly",D718="Butterfly ",D718="Iron Fly", D718="Iron Fly "),LEN(E718)-LEN(SUBSTITUTE(E718,"/",""))+2,LEN(E718)-LEN(SUBSTITUTE(E718,"/",""))+1))</f>
        <v/>
      </c>
      <c r="I718" s="78">
        <f>IF(ISBLANK(G718),"",IF(D718="Stock","0",Key!$A$3*H718*G718))</f>
        <v/>
      </c>
      <c r="J718" s="78">
        <f>IF(ISBLANK(E718),"",IF(ISNUMBER(SEARCH("/",E718)), IF(LEN(E718)-LEN(SUBSTITUTE(E718,"/",""))=1,(RIGHT(E718,LEN(E718)-FIND("/",E718)))-(LEFT(E718,FIND("/",E718)-1)),(MID(E718, SEARCH("/",E718) + 1, SEARCH("/",E718, SEARCH("/",E718)+1) - SEARCH("/",E718) - 1))-(LEFT(E718,FIND("/",E718)-1))), "NA"))</f>
        <v/>
      </c>
      <c r="K718" s="79">
        <f>IF(A718&lt;&gt;"", IF(ISBLANK(L718), TODAY(), K718), "")</f>
        <v/>
      </c>
      <c r="L718" s="78" t="n"/>
      <c r="M718" s="78">
        <f>IF(ISBLANK(L718),"",IF(D718="Stock",IF(C718="Buy",L718*G718,IF(C718="Sell",(L718*G718)-I718, X)),IF(C718="Buy",(L718*G718*100)+I718,IF(C718="Sell",(L718*G718*100)-I718, X))))</f>
        <v/>
      </c>
      <c r="N718" s="78">
        <f>IF(ISBLANK(L718),"",IF(AND(C718="Sell",D718="Stock"),M718,IF(ISBLANK(L718),"",IF(C718="Buy",M718, IF(AND(C718="Sell",J718="NA"),(E718*G718*100*0.1)+I718, IF(C718="Sell",(J718-L718)*(100*G718)+I718))))))</f>
        <v/>
      </c>
      <c r="O718" s="75" t="n"/>
      <c r="P718" s="75" t="n"/>
      <c r="Q718" s="75">
        <f>IF(ISBLANK(P718),"",IF(D718="Stock",P718*G718,IF(P718=0,"0",G718*P718*100-(G718*$AF$14))))</f>
        <v/>
      </c>
      <c r="R718" s="79">
        <f>IF(P718&lt;&gt;"", TODAY(), "")</f>
        <v/>
      </c>
      <c r="S718" s="78">
        <f>IF(AND(K718&lt;&gt;"", R718&lt;&gt;""), R718-K718, "")</f>
        <v/>
      </c>
      <c r="T718" s="78" t="n"/>
      <c r="U718" s="92">
        <f>IF(ISBLANK(P718),"",IF(C718="Buy",Q718-M718+T718, IF(C718="Sell",M718-Q718-T718, X)))</f>
        <v/>
      </c>
      <c r="V718" s="81">
        <f>IF(ISBLANK(P718),"",U718/N718)</f>
        <v/>
      </c>
      <c r="W718" s="81">
        <f>IF(ISBLANK(P718),"",IF(S718=0,(365/0.5)*V718,(365/S718)*V718))</f>
        <v/>
      </c>
      <c r="X718" s="75" t="n"/>
      <c r="Y718" s="77" t="n"/>
      <c r="Z718" s="77" t="n"/>
      <c r="AA718" s="75" t="n"/>
      <c r="AB718" s="75" t="n"/>
      <c r="AC718" s="6" t="n"/>
      <c r="AD718" s="75" t="n"/>
      <c r="AE718" s="75" t="n"/>
      <c r="AF718" s="75" t="n"/>
    </row>
    <row r="719" ht="15.75" customHeight="1" s="133">
      <c r="A719" s="75" t="n"/>
      <c r="B719" s="75" t="n"/>
      <c r="C719" s="75" t="n"/>
      <c r="D719" s="75" t="n"/>
      <c r="E719" s="76" t="n"/>
      <c r="F719" s="77" t="n"/>
      <c r="G719" s="75" t="n"/>
      <c r="H719" s="75">
        <f>IF(ISBLANK(E719),"",IF(OR(D719="Butterfly",D719="Butterfly ",D719="Iron Fly", D719="Iron Fly "),LEN(E719)-LEN(SUBSTITUTE(E719,"/",""))+2,LEN(E719)-LEN(SUBSTITUTE(E719,"/",""))+1))</f>
        <v/>
      </c>
      <c r="I719" s="78">
        <f>IF(ISBLANK(G719),"",IF(D719="Stock","0",Key!$A$3*H719*G719))</f>
        <v/>
      </c>
      <c r="J719" s="78">
        <f>IF(ISBLANK(E719),"",IF(ISNUMBER(SEARCH("/",E719)), IF(LEN(E719)-LEN(SUBSTITUTE(E719,"/",""))=1,(RIGHT(E719,LEN(E719)-FIND("/",E719)))-(LEFT(E719,FIND("/",E719)-1)),(MID(E719, SEARCH("/",E719) + 1, SEARCH("/",E719, SEARCH("/",E719)+1) - SEARCH("/",E719) - 1))-(LEFT(E719,FIND("/",E719)-1))), "NA"))</f>
        <v/>
      </c>
      <c r="K719" s="79">
        <f>IF(A719&lt;&gt;"", IF(ISBLANK(L719), TODAY(), K719), "")</f>
        <v/>
      </c>
      <c r="L719" s="78" t="n"/>
      <c r="M719" s="78">
        <f>IF(ISBLANK(L719),"",IF(D719="Stock",IF(C719="Buy",L719*G719,IF(C719="Sell",(L719*G719)-I719, X)),IF(C719="Buy",(L719*G719*100)+I719,IF(C719="Sell",(L719*G719*100)-I719, X))))</f>
        <v/>
      </c>
      <c r="N719" s="78">
        <f>IF(ISBLANK(L719),"",IF(AND(C719="Sell",D719="Stock"),M719,IF(ISBLANK(L719),"",IF(C719="Buy",M719, IF(AND(C719="Sell",J719="NA"),(E719*G719*100*0.1)+I719, IF(C719="Sell",(J719-L719)*(100*G719)+I719))))))</f>
        <v/>
      </c>
      <c r="O719" s="75" t="n"/>
      <c r="P719" s="75" t="n"/>
      <c r="Q719" s="75">
        <f>IF(ISBLANK(P719),"",IF(D719="Stock",P719*G719,IF(P719=0,"0",G719*P719*100-(G719*$AF$14))))</f>
        <v/>
      </c>
      <c r="R719" s="79">
        <f>IF(P719&lt;&gt;"", TODAY(), "")</f>
        <v/>
      </c>
      <c r="S719" s="78">
        <f>IF(AND(K719&lt;&gt;"", R719&lt;&gt;""), R719-K719, "")</f>
        <v/>
      </c>
      <c r="T719" s="78" t="n"/>
      <c r="U719" s="92">
        <f>IF(ISBLANK(P719),"",IF(C719="Buy",Q719-M719+T719, IF(C719="Sell",M719-Q719-T719, X)))</f>
        <v/>
      </c>
      <c r="V719" s="81">
        <f>IF(ISBLANK(P719),"",U719/N719)</f>
        <v/>
      </c>
      <c r="W719" s="81">
        <f>IF(ISBLANK(P719),"",IF(S719=0,(365/0.5)*V719,(365/S719)*V719))</f>
        <v/>
      </c>
      <c r="X719" s="75" t="n"/>
      <c r="Y719" s="77" t="n"/>
      <c r="Z719" s="77" t="n"/>
      <c r="AA719" s="75" t="n"/>
      <c r="AB719" s="75" t="n"/>
      <c r="AC719" s="6" t="n"/>
      <c r="AD719" s="75" t="n"/>
      <c r="AE719" s="75" t="n"/>
      <c r="AF719" s="75" t="n"/>
    </row>
    <row r="720" ht="15.75" customHeight="1" s="133">
      <c r="A720" s="75" t="n"/>
      <c r="B720" s="75" t="n"/>
      <c r="C720" s="75" t="n"/>
      <c r="D720" s="75" t="n"/>
      <c r="E720" s="76" t="n"/>
      <c r="F720" s="77" t="n"/>
      <c r="G720" s="75" t="n"/>
      <c r="H720" s="75">
        <f>IF(ISBLANK(E720),"",IF(OR(D720="Butterfly",D720="Butterfly ",D720="Iron Fly", D720="Iron Fly "),LEN(E720)-LEN(SUBSTITUTE(E720,"/",""))+2,LEN(E720)-LEN(SUBSTITUTE(E720,"/",""))+1))</f>
        <v/>
      </c>
      <c r="I720" s="78">
        <f>IF(ISBLANK(G720),"",IF(D720="Stock","0",Key!$A$3*H720*G720))</f>
        <v/>
      </c>
      <c r="J720" s="78">
        <f>IF(ISBLANK(E720),"",IF(ISNUMBER(SEARCH("/",E720)), IF(LEN(E720)-LEN(SUBSTITUTE(E720,"/",""))=1,(RIGHT(E720,LEN(E720)-FIND("/",E720)))-(LEFT(E720,FIND("/",E720)-1)),(MID(E720, SEARCH("/",E720) + 1, SEARCH("/",E720, SEARCH("/",E720)+1) - SEARCH("/",E720) - 1))-(LEFT(E720,FIND("/",E720)-1))), "NA"))</f>
        <v/>
      </c>
      <c r="K720" s="79">
        <f>IF(A720&lt;&gt;"", IF(ISBLANK(L720), TODAY(), K720), "")</f>
        <v/>
      </c>
      <c r="L720" s="78" t="n"/>
      <c r="M720" s="78">
        <f>IF(ISBLANK(L720),"",IF(D720="Stock",IF(C720="Buy",L720*G720,IF(C720="Sell",(L720*G720)-I720, X)),IF(C720="Buy",(L720*G720*100)+I720,IF(C720="Sell",(L720*G720*100)-I720, X))))</f>
        <v/>
      </c>
      <c r="N720" s="78">
        <f>IF(ISBLANK(L720),"",IF(AND(C720="Sell",D720="Stock"),M720,IF(ISBLANK(L720),"",IF(C720="Buy",M720, IF(AND(C720="Sell",J720="NA"),(E720*G720*100*0.1)+I720, IF(C720="Sell",(J720-L720)*(100*G720)+I720))))))</f>
        <v/>
      </c>
      <c r="O720" s="75" t="n"/>
      <c r="P720" s="75" t="n"/>
      <c r="Q720" s="75">
        <f>IF(ISBLANK(P720),"",IF(D720="Stock",P720*G720,IF(P720=0,"0",G720*P720*100-(G720*$AF$14))))</f>
        <v/>
      </c>
      <c r="R720" s="79">
        <f>IF(P720&lt;&gt;"", TODAY(), "")</f>
        <v/>
      </c>
      <c r="S720" s="78">
        <f>IF(AND(K720&lt;&gt;"", R720&lt;&gt;""), R720-K720, "")</f>
        <v/>
      </c>
      <c r="T720" s="78" t="n"/>
      <c r="U720" s="92">
        <f>IF(ISBLANK(P720),"",IF(C720="Buy",Q720-M720+T720, IF(C720="Sell",M720-Q720-T720, X)))</f>
        <v/>
      </c>
      <c r="V720" s="81">
        <f>IF(ISBLANK(P720),"",U720/N720)</f>
        <v/>
      </c>
      <c r="W720" s="81">
        <f>IF(ISBLANK(P720),"",IF(S720=0,(365/0.5)*V720,(365/S720)*V720))</f>
        <v/>
      </c>
      <c r="X720" s="75" t="n"/>
      <c r="Y720" s="77" t="n"/>
      <c r="Z720" s="77" t="n"/>
      <c r="AA720" s="75" t="n"/>
      <c r="AB720" s="75" t="n"/>
      <c r="AC720" s="6" t="n"/>
      <c r="AD720" s="75" t="n"/>
      <c r="AE720" s="75" t="n"/>
      <c r="AF720" s="75" t="n"/>
    </row>
    <row r="721" ht="15.75" customHeight="1" s="133">
      <c r="A721" s="75" t="n"/>
      <c r="B721" s="75" t="n"/>
      <c r="C721" s="75" t="n"/>
      <c r="D721" s="75" t="n"/>
      <c r="E721" s="76" t="n"/>
      <c r="F721" s="77" t="n"/>
      <c r="G721" s="75" t="n"/>
      <c r="H721" s="75">
        <f>IF(ISBLANK(E721),"",IF(OR(D721="Butterfly",D721="Butterfly ",D721="Iron Fly", D721="Iron Fly "),LEN(E721)-LEN(SUBSTITUTE(E721,"/",""))+2,LEN(E721)-LEN(SUBSTITUTE(E721,"/",""))+1))</f>
        <v/>
      </c>
      <c r="I721" s="78">
        <f>IF(ISBLANK(G721),"",IF(D721="Stock","0",Key!$A$3*H721*G721))</f>
        <v/>
      </c>
      <c r="J721" s="78">
        <f>IF(ISBLANK(E721),"",IF(ISNUMBER(SEARCH("/",E721)), IF(LEN(E721)-LEN(SUBSTITUTE(E721,"/",""))=1,(RIGHT(E721,LEN(E721)-FIND("/",E721)))-(LEFT(E721,FIND("/",E721)-1)),(MID(E721, SEARCH("/",E721) + 1, SEARCH("/",E721, SEARCH("/",E721)+1) - SEARCH("/",E721) - 1))-(LEFT(E721,FIND("/",E721)-1))), "NA"))</f>
        <v/>
      </c>
      <c r="K721" s="79">
        <f>IF(A721&lt;&gt;"", IF(ISBLANK(L721), TODAY(), K721), "")</f>
        <v/>
      </c>
      <c r="L721" s="78" t="n"/>
      <c r="M721" s="78">
        <f>IF(ISBLANK(L721),"",IF(D721="Stock",IF(C721="Buy",L721*G721,IF(C721="Sell",(L721*G721)-I721, X)),IF(C721="Buy",(L721*G721*100)+I721,IF(C721="Sell",(L721*G721*100)-I721, X))))</f>
        <v/>
      </c>
      <c r="N721" s="78">
        <f>IF(ISBLANK(L721),"",IF(AND(C721="Sell",D721="Stock"),M721,IF(ISBLANK(L721),"",IF(C721="Buy",M721, IF(AND(C721="Sell",J721="NA"),(E721*G721*100*0.1)+I721, IF(C721="Sell",(J721-L721)*(100*G721)+I721))))))</f>
        <v/>
      </c>
      <c r="O721" s="75" t="n"/>
      <c r="P721" s="75" t="n"/>
      <c r="Q721" s="75">
        <f>IF(ISBLANK(P721),"",IF(D721="Stock",P721*G721,IF(P721=0,"0",G721*P721*100-(G721*$AF$14))))</f>
        <v/>
      </c>
      <c r="R721" s="79">
        <f>IF(P721&lt;&gt;"", TODAY(), "")</f>
        <v/>
      </c>
      <c r="S721" s="78">
        <f>IF(AND(K721&lt;&gt;"", R721&lt;&gt;""), R721-K721, "")</f>
        <v/>
      </c>
      <c r="T721" s="78" t="n"/>
      <c r="U721" s="92">
        <f>IF(ISBLANK(P721),"",IF(C721="Buy",Q721-M721+T721, IF(C721="Sell",M721-Q721-T721, X)))</f>
        <v/>
      </c>
      <c r="V721" s="81">
        <f>IF(ISBLANK(P721),"",U721/N721)</f>
        <v/>
      </c>
      <c r="W721" s="81">
        <f>IF(ISBLANK(P721),"",IF(S721=0,(365/0.5)*V721,(365/S721)*V721))</f>
        <v/>
      </c>
      <c r="X721" s="75" t="n"/>
      <c r="Y721" s="77" t="n"/>
      <c r="Z721" s="77" t="n"/>
      <c r="AA721" s="75" t="n"/>
      <c r="AB721" s="75" t="n"/>
      <c r="AC721" s="6" t="n"/>
      <c r="AD721" s="75" t="n"/>
      <c r="AE721" s="75" t="n"/>
      <c r="AF721" s="75" t="n"/>
    </row>
    <row r="722" ht="15.75" customHeight="1" s="133">
      <c r="A722" s="75" t="n"/>
      <c r="B722" s="75" t="n"/>
      <c r="C722" s="75" t="n"/>
      <c r="D722" s="75" t="n"/>
      <c r="E722" s="76" t="n"/>
      <c r="F722" s="77" t="n"/>
      <c r="G722" s="75" t="n"/>
      <c r="H722" s="75">
        <f>IF(ISBLANK(E722),"",IF(OR(D722="Butterfly",D722="Butterfly ",D722="Iron Fly", D722="Iron Fly "),LEN(E722)-LEN(SUBSTITUTE(E722,"/",""))+2,LEN(E722)-LEN(SUBSTITUTE(E722,"/",""))+1))</f>
        <v/>
      </c>
      <c r="I722" s="78">
        <f>IF(ISBLANK(G722),"",IF(D722="Stock","0",Key!$A$3*H722*G722))</f>
        <v/>
      </c>
      <c r="J722" s="78">
        <f>IF(ISBLANK(E722),"",IF(ISNUMBER(SEARCH("/",E722)), IF(LEN(E722)-LEN(SUBSTITUTE(E722,"/",""))=1,(RIGHT(E722,LEN(E722)-FIND("/",E722)))-(LEFT(E722,FIND("/",E722)-1)),(MID(E722, SEARCH("/",E722) + 1, SEARCH("/",E722, SEARCH("/",E722)+1) - SEARCH("/",E722) - 1))-(LEFT(E722,FIND("/",E722)-1))), "NA"))</f>
        <v/>
      </c>
      <c r="K722" s="79">
        <f>IF(A722&lt;&gt;"", IF(ISBLANK(L722), TODAY(), K722), "")</f>
        <v/>
      </c>
      <c r="L722" s="78" t="n"/>
      <c r="M722" s="78">
        <f>IF(ISBLANK(L722),"",IF(D722="Stock",IF(C722="Buy",L722*G722,IF(C722="Sell",(L722*G722)-I722, X)),IF(C722="Buy",(L722*G722*100)+I722,IF(C722="Sell",(L722*G722*100)-I722, X))))</f>
        <v/>
      </c>
      <c r="N722" s="78">
        <f>IF(ISBLANK(L722),"",IF(AND(C722="Sell",D722="Stock"),M722,IF(ISBLANK(L722),"",IF(C722="Buy",M722, IF(AND(C722="Sell",J722="NA"),(E722*G722*100*0.1)+I722, IF(C722="Sell",(J722-L722)*(100*G722)+I722))))))</f>
        <v/>
      </c>
      <c r="O722" s="75" t="n"/>
      <c r="P722" s="75" t="n"/>
      <c r="Q722" s="75">
        <f>IF(ISBLANK(P722),"",IF(D722="Stock",P722*G722,IF(P722=0,"0",G722*P722*100-(G722*$AF$14))))</f>
        <v/>
      </c>
      <c r="R722" s="79">
        <f>IF(P722&lt;&gt;"", TODAY(), "")</f>
        <v/>
      </c>
      <c r="S722" s="78">
        <f>IF(AND(K722&lt;&gt;"", R722&lt;&gt;""), R722-K722, "")</f>
        <v/>
      </c>
      <c r="T722" s="78" t="n"/>
      <c r="U722" s="92">
        <f>IF(ISBLANK(P722),"",IF(C722="Buy",Q722-M722+T722, IF(C722="Sell",M722-Q722-T722, X)))</f>
        <v/>
      </c>
      <c r="V722" s="81">
        <f>IF(ISBLANK(P722),"",U722/N722)</f>
        <v/>
      </c>
      <c r="W722" s="81">
        <f>IF(ISBLANK(P722),"",IF(S722=0,(365/0.5)*V722,(365/S722)*V722))</f>
        <v/>
      </c>
      <c r="X722" s="75" t="n"/>
      <c r="Y722" s="77" t="n"/>
      <c r="Z722" s="77" t="n"/>
      <c r="AA722" s="75" t="n"/>
      <c r="AB722" s="75" t="n"/>
      <c r="AC722" s="6" t="n"/>
      <c r="AD722" s="75" t="n"/>
      <c r="AE722" s="75" t="n"/>
      <c r="AF722" s="75" t="n"/>
    </row>
    <row r="723" ht="15.75" customHeight="1" s="133">
      <c r="A723" s="75" t="n"/>
      <c r="B723" s="75" t="n"/>
      <c r="C723" s="75" t="n"/>
      <c r="D723" s="75" t="n"/>
      <c r="E723" s="76" t="n"/>
      <c r="F723" s="77" t="n"/>
      <c r="G723" s="75" t="n"/>
      <c r="H723" s="75">
        <f>IF(ISBLANK(E723),"",IF(OR(D723="Butterfly",D723="Butterfly ",D723="Iron Fly", D723="Iron Fly "),LEN(E723)-LEN(SUBSTITUTE(E723,"/",""))+2,LEN(E723)-LEN(SUBSTITUTE(E723,"/",""))+1))</f>
        <v/>
      </c>
      <c r="I723" s="78">
        <f>IF(ISBLANK(G723),"",IF(D723="Stock","0",Key!$A$3*H723*G723))</f>
        <v/>
      </c>
      <c r="J723" s="78">
        <f>IF(ISBLANK(E723),"",IF(ISNUMBER(SEARCH("/",E723)), IF(LEN(E723)-LEN(SUBSTITUTE(E723,"/",""))=1,(RIGHT(E723,LEN(E723)-FIND("/",E723)))-(LEFT(E723,FIND("/",E723)-1)),(MID(E723, SEARCH("/",E723) + 1, SEARCH("/",E723, SEARCH("/",E723)+1) - SEARCH("/",E723) - 1))-(LEFT(E723,FIND("/",E723)-1))), "NA"))</f>
        <v/>
      </c>
      <c r="K723" s="79">
        <f>IF(A723&lt;&gt;"", IF(ISBLANK(L723), TODAY(), K723), "")</f>
        <v/>
      </c>
      <c r="L723" s="78" t="n"/>
      <c r="M723" s="78">
        <f>IF(ISBLANK(L723),"",IF(D723="Stock",IF(C723="Buy",L723*G723,IF(C723="Sell",(L723*G723)-I723, X)),IF(C723="Buy",(L723*G723*100)+I723,IF(C723="Sell",(L723*G723*100)-I723, X))))</f>
        <v/>
      </c>
      <c r="N723" s="78">
        <f>IF(ISBLANK(L723),"",IF(AND(C723="Sell",D723="Stock"),M723,IF(ISBLANK(L723),"",IF(C723="Buy",M723, IF(AND(C723="Sell",J723="NA"),(E723*G723*100*0.1)+I723, IF(C723="Sell",(J723-L723)*(100*G723)+I723))))))</f>
        <v/>
      </c>
      <c r="O723" s="75" t="n"/>
      <c r="P723" s="75" t="n"/>
      <c r="Q723" s="75">
        <f>IF(ISBLANK(P723),"",IF(D723="Stock",P723*G723,IF(P723=0,"0",G723*P723*100-(G723*$AF$14))))</f>
        <v/>
      </c>
      <c r="R723" s="79">
        <f>IF(P723&lt;&gt;"", TODAY(), "")</f>
        <v/>
      </c>
      <c r="S723" s="78">
        <f>IF(AND(K723&lt;&gt;"", R723&lt;&gt;""), R723-K723, "")</f>
        <v/>
      </c>
      <c r="T723" s="78" t="n"/>
      <c r="U723" s="92">
        <f>IF(ISBLANK(P723),"",IF(C723="Buy",Q723-M723+T723, IF(C723="Sell",M723-Q723-T723, X)))</f>
        <v/>
      </c>
      <c r="V723" s="81">
        <f>IF(ISBLANK(P723),"",U723/N723)</f>
        <v/>
      </c>
      <c r="W723" s="81">
        <f>IF(ISBLANK(P723),"",IF(S723=0,(365/0.5)*V723,(365/S723)*V723))</f>
        <v/>
      </c>
      <c r="X723" s="75" t="n"/>
      <c r="Y723" s="77" t="n"/>
      <c r="Z723" s="77" t="n"/>
      <c r="AA723" s="75" t="n"/>
      <c r="AB723" s="75" t="n"/>
      <c r="AC723" s="6" t="n"/>
      <c r="AD723" s="75" t="n"/>
      <c r="AE723" s="75" t="n"/>
      <c r="AF723" s="75" t="n"/>
    </row>
    <row r="724" ht="15.75" customHeight="1" s="133">
      <c r="A724" s="75" t="n"/>
      <c r="B724" s="75" t="n"/>
      <c r="C724" s="75" t="n"/>
      <c r="D724" s="75" t="n"/>
      <c r="E724" s="76" t="n"/>
      <c r="F724" s="77" t="n"/>
      <c r="G724" s="75" t="n"/>
      <c r="H724" s="75">
        <f>IF(ISBLANK(E724),"",IF(OR(D724="Butterfly",D724="Butterfly ",D724="Iron Fly", D724="Iron Fly "),LEN(E724)-LEN(SUBSTITUTE(E724,"/",""))+2,LEN(E724)-LEN(SUBSTITUTE(E724,"/",""))+1))</f>
        <v/>
      </c>
      <c r="I724" s="78">
        <f>IF(ISBLANK(G724),"",IF(D724="Stock","0",Key!$A$3*H724*G724))</f>
        <v/>
      </c>
      <c r="J724" s="78">
        <f>IF(ISBLANK(E724),"",IF(ISNUMBER(SEARCH("/",E724)), IF(LEN(E724)-LEN(SUBSTITUTE(E724,"/",""))=1,(RIGHT(E724,LEN(E724)-FIND("/",E724)))-(LEFT(E724,FIND("/",E724)-1)),(MID(E724, SEARCH("/",E724) + 1, SEARCH("/",E724, SEARCH("/",E724)+1) - SEARCH("/",E724) - 1))-(LEFT(E724,FIND("/",E724)-1))), "NA"))</f>
        <v/>
      </c>
      <c r="K724" s="79">
        <f>IF(A724&lt;&gt;"", IF(ISBLANK(L724), TODAY(), K724), "")</f>
        <v/>
      </c>
      <c r="L724" s="78" t="n"/>
      <c r="M724" s="78">
        <f>IF(ISBLANK(L724),"",IF(D724="Stock",IF(C724="Buy",L724*G724,IF(C724="Sell",(L724*G724)-I724, X)),IF(C724="Buy",(L724*G724*100)+I724,IF(C724="Sell",(L724*G724*100)-I724, X))))</f>
        <v/>
      </c>
      <c r="N724" s="78">
        <f>IF(ISBLANK(L724),"",IF(AND(C724="Sell",D724="Stock"),M724,IF(ISBLANK(L724),"",IF(C724="Buy",M724, IF(AND(C724="Sell",J724="NA"),(E724*G724*100*0.1)+I724, IF(C724="Sell",(J724-L724)*(100*G724)+I724))))))</f>
        <v/>
      </c>
      <c r="O724" s="75" t="n"/>
      <c r="P724" s="75" t="n"/>
      <c r="Q724" s="75">
        <f>IF(ISBLANK(P724),"",IF(D724="Stock",P724*G724,IF(P724=0,"0",G724*P724*100-(G724*$AF$14))))</f>
        <v/>
      </c>
      <c r="R724" s="79">
        <f>IF(P724&lt;&gt;"", TODAY(), "")</f>
        <v/>
      </c>
      <c r="S724" s="78">
        <f>IF(AND(K724&lt;&gt;"", R724&lt;&gt;""), R724-K724, "")</f>
        <v/>
      </c>
      <c r="T724" s="78" t="n"/>
      <c r="U724" s="92">
        <f>IF(ISBLANK(P724),"",IF(C724="Buy",Q724-M724+T724, IF(C724="Sell",M724-Q724-T724, X)))</f>
        <v/>
      </c>
      <c r="V724" s="81">
        <f>IF(ISBLANK(P724),"",U724/N724)</f>
        <v/>
      </c>
      <c r="W724" s="81">
        <f>IF(ISBLANK(P724),"",IF(S724=0,(365/0.5)*V724,(365/S724)*V724))</f>
        <v/>
      </c>
      <c r="X724" s="75" t="n"/>
      <c r="Y724" s="77" t="n"/>
      <c r="Z724" s="77" t="n"/>
      <c r="AA724" s="75" t="n"/>
      <c r="AB724" s="75" t="n"/>
      <c r="AC724" s="6" t="n"/>
      <c r="AD724" s="75" t="n"/>
      <c r="AE724" s="75" t="n"/>
      <c r="AF724" s="75" t="n"/>
    </row>
    <row r="725" ht="15.75" customHeight="1" s="133">
      <c r="A725" s="75" t="n"/>
      <c r="B725" s="75" t="n"/>
      <c r="C725" s="75" t="n"/>
      <c r="D725" s="75" t="n"/>
      <c r="E725" s="76" t="n"/>
      <c r="F725" s="77" t="n"/>
      <c r="G725" s="75" t="n"/>
      <c r="H725" s="75">
        <f>IF(ISBLANK(E725),"",IF(OR(D725="Butterfly",D725="Butterfly ",D725="Iron Fly", D725="Iron Fly "),LEN(E725)-LEN(SUBSTITUTE(E725,"/",""))+2,LEN(E725)-LEN(SUBSTITUTE(E725,"/",""))+1))</f>
        <v/>
      </c>
      <c r="I725" s="78">
        <f>IF(ISBLANK(G725),"",IF(D725="Stock","0",Key!$A$3*H725*G725))</f>
        <v/>
      </c>
      <c r="J725" s="78">
        <f>IF(ISBLANK(E725),"",IF(ISNUMBER(SEARCH("/",E725)), IF(LEN(E725)-LEN(SUBSTITUTE(E725,"/",""))=1,(RIGHT(E725,LEN(E725)-FIND("/",E725)))-(LEFT(E725,FIND("/",E725)-1)),(MID(E725, SEARCH("/",E725) + 1, SEARCH("/",E725, SEARCH("/",E725)+1) - SEARCH("/",E725) - 1))-(LEFT(E725,FIND("/",E725)-1))), "NA"))</f>
        <v/>
      </c>
      <c r="K725" s="79">
        <f>IF(A725&lt;&gt;"", IF(ISBLANK(L725), TODAY(), K725), "")</f>
        <v/>
      </c>
      <c r="L725" s="78" t="n"/>
      <c r="M725" s="78">
        <f>IF(ISBLANK(L725),"",IF(D725="Stock",IF(C725="Buy",L725*G725,IF(C725="Sell",(L725*G725)-I725, X)),IF(C725="Buy",(L725*G725*100)+I725,IF(C725="Sell",(L725*G725*100)-I725, X))))</f>
        <v/>
      </c>
      <c r="N725" s="78">
        <f>IF(ISBLANK(L725),"",IF(AND(C725="Sell",D725="Stock"),M725,IF(ISBLANK(L725),"",IF(C725="Buy",M725, IF(AND(C725="Sell",J725="NA"),(E725*G725*100*0.1)+I725, IF(C725="Sell",(J725-L725)*(100*G725)+I725))))))</f>
        <v/>
      </c>
      <c r="O725" s="75" t="n"/>
      <c r="P725" s="75" t="n"/>
      <c r="Q725" s="75">
        <f>IF(ISBLANK(P725),"",IF(D725="Stock",P725*G725,IF(P725=0,"0",G725*P725*100-(G725*$AF$14))))</f>
        <v/>
      </c>
      <c r="R725" s="79">
        <f>IF(P725&lt;&gt;"", TODAY(), "")</f>
        <v/>
      </c>
      <c r="S725" s="78">
        <f>IF(AND(K725&lt;&gt;"", R725&lt;&gt;""), R725-K725, "")</f>
        <v/>
      </c>
      <c r="T725" s="78" t="n"/>
      <c r="U725" s="92">
        <f>IF(ISBLANK(P725),"",IF(C725="Buy",Q725-M725+T725, IF(C725="Sell",M725-Q725-T725, X)))</f>
        <v/>
      </c>
      <c r="V725" s="81">
        <f>IF(ISBLANK(P725),"",U725/N725)</f>
        <v/>
      </c>
      <c r="W725" s="81">
        <f>IF(ISBLANK(P725),"",IF(S725=0,(365/0.5)*V725,(365/S725)*V725))</f>
        <v/>
      </c>
      <c r="X725" s="75" t="n"/>
      <c r="Y725" s="77" t="n"/>
      <c r="Z725" s="77" t="n"/>
      <c r="AA725" s="75" t="n"/>
      <c r="AB725" s="75" t="n"/>
      <c r="AC725" s="6" t="n"/>
      <c r="AD725" s="75" t="n"/>
      <c r="AE725" s="75" t="n"/>
      <c r="AF725" s="75" t="n"/>
    </row>
    <row r="726" ht="15.75" customHeight="1" s="133">
      <c r="A726" s="75" t="n"/>
      <c r="B726" s="75" t="n"/>
      <c r="C726" s="75" t="n"/>
      <c r="D726" s="75" t="n"/>
      <c r="E726" s="76" t="n"/>
      <c r="F726" s="77" t="n"/>
      <c r="G726" s="75" t="n"/>
      <c r="H726" s="75">
        <f>IF(ISBLANK(E726),"",IF(OR(D726="Butterfly",D726="Butterfly ",D726="Iron Fly", D726="Iron Fly "),LEN(E726)-LEN(SUBSTITUTE(E726,"/",""))+2,LEN(E726)-LEN(SUBSTITUTE(E726,"/",""))+1))</f>
        <v/>
      </c>
      <c r="I726" s="78">
        <f>IF(ISBLANK(G726),"",IF(D726="Stock","0",Key!$A$3*H726*G726))</f>
        <v/>
      </c>
      <c r="J726" s="78">
        <f>IF(ISBLANK(E726),"",IF(ISNUMBER(SEARCH("/",E726)), IF(LEN(E726)-LEN(SUBSTITUTE(E726,"/",""))=1,(RIGHT(E726,LEN(E726)-FIND("/",E726)))-(LEFT(E726,FIND("/",E726)-1)),(MID(E726, SEARCH("/",E726) + 1, SEARCH("/",E726, SEARCH("/",E726)+1) - SEARCH("/",E726) - 1))-(LEFT(E726,FIND("/",E726)-1))), "NA"))</f>
        <v/>
      </c>
      <c r="K726" s="79">
        <f>IF(A726&lt;&gt;"", IF(ISBLANK(L726), TODAY(), K726), "")</f>
        <v/>
      </c>
      <c r="L726" s="78" t="n"/>
      <c r="M726" s="78">
        <f>IF(ISBLANK(L726),"",IF(D726="Stock",IF(C726="Buy",L726*G726,IF(C726="Sell",(L726*G726)-I726, X)),IF(C726="Buy",(L726*G726*100)+I726,IF(C726="Sell",(L726*G726*100)-I726, X))))</f>
        <v/>
      </c>
      <c r="N726" s="78">
        <f>IF(ISBLANK(L726),"",IF(AND(C726="Sell",D726="Stock"),M726,IF(ISBLANK(L726),"",IF(C726="Buy",M726, IF(AND(C726="Sell",J726="NA"),(E726*G726*100*0.1)+I726, IF(C726="Sell",(J726-L726)*(100*G726)+I726))))))</f>
        <v/>
      </c>
      <c r="O726" s="75" t="n"/>
      <c r="P726" s="75" t="n"/>
      <c r="Q726" s="75">
        <f>IF(ISBLANK(P726),"",IF(D726="Stock",P726*G726,IF(P726=0,"0",G726*P726*100-(G726*$AF$14))))</f>
        <v/>
      </c>
      <c r="R726" s="79">
        <f>IF(P726&lt;&gt;"", TODAY(), "")</f>
        <v/>
      </c>
      <c r="S726" s="78">
        <f>IF(AND(K726&lt;&gt;"", R726&lt;&gt;""), R726-K726, "")</f>
        <v/>
      </c>
      <c r="T726" s="78" t="n"/>
      <c r="U726" s="92">
        <f>IF(ISBLANK(P726),"",IF(C726="Buy",Q726-M726+T726, IF(C726="Sell",M726-Q726-T726, X)))</f>
        <v/>
      </c>
      <c r="V726" s="81">
        <f>IF(ISBLANK(P726),"",U726/N726)</f>
        <v/>
      </c>
      <c r="W726" s="81">
        <f>IF(ISBLANK(P726),"",IF(S726=0,(365/0.5)*V726,(365/S726)*V726))</f>
        <v/>
      </c>
      <c r="X726" s="75" t="n"/>
      <c r="Y726" s="77" t="n"/>
      <c r="Z726" s="77" t="n"/>
      <c r="AA726" s="75" t="n"/>
      <c r="AB726" s="75" t="n"/>
      <c r="AC726" s="6" t="n"/>
      <c r="AD726" s="75" t="n"/>
      <c r="AE726" s="75" t="n"/>
      <c r="AF726" s="75" t="n"/>
    </row>
    <row r="727" ht="15.75" customHeight="1" s="133">
      <c r="A727" s="75" t="n"/>
      <c r="B727" s="75" t="n"/>
      <c r="C727" s="75" t="n"/>
      <c r="D727" s="75" t="n"/>
      <c r="E727" s="76" t="n"/>
      <c r="F727" s="77" t="n"/>
      <c r="G727" s="75" t="n"/>
      <c r="H727" s="75">
        <f>IF(ISBLANK(E727),"",IF(OR(D727="Butterfly",D727="Butterfly ",D727="Iron Fly", D727="Iron Fly "),LEN(E727)-LEN(SUBSTITUTE(E727,"/",""))+2,LEN(E727)-LEN(SUBSTITUTE(E727,"/",""))+1))</f>
        <v/>
      </c>
      <c r="I727" s="78">
        <f>IF(ISBLANK(G727),"",IF(D727="Stock","0",Key!$A$3*H727*G727))</f>
        <v/>
      </c>
      <c r="J727" s="78">
        <f>IF(ISBLANK(E727),"",IF(ISNUMBER(SEARCH("/",E727)), IF(LEN(E727)-LEN(SUBSTITUTE(E727,"/",""))=1,(RIGHT(E727,LEN(E727)-FIND("/",E727)))-(LEFT(E727,FIND("/",E727)-1)),(MID(E727, SEARCH("/",E727) + 1, SEARCH("/",E727, SEARCH("/",E727)+1) - SEARCH("/",E727) - 1))-(LEFT(E727,FIND("/",E727)-1))), "NA"))</f>
        <v/>
      </c>
      <c r="K727" s="79">
        <f>IF(A727&lt;&gt;"", IF(ISBLANK(L727), TODAY(), K727), "")</f>
        <v/>
      </c>
      <c r="L727" s="78" t="n"/>
      <c r="M727" s="78">
        <f>IF(ISBLANK(L727),"",IF(D727="Stock",IF(C727="Buy",L727*G727,IF(C727="Sell",(L727*G727)-I727, X)),IF(C727="Buy",(L727*G727*100)+I727,IF(C727="Sell",(L727*G727*100)-I727, X))))</f>
        <v/>
      </c>
      <c r="N727" s="78">
        <f>IF(ISBLANK(L727),"",IF(AND(C727="Sell",D727="Stock"),M727,IF(ISBLANK(L727),"",IF(C727="Buy",M727, IF(AND(C727="Sell",J727="NA"),(E727*G727*100*0.1)+I727, IF(C727="Sell",(J727-L727)*(100*G727)+I727))))))</f>
        <v/>
      </c>
      <c r="O727" s="75" t="n"/>
      <c r="P727" s="75" t="n"/>
      <c r="Q727" s="75">
        <f>IF(ISBLANK(P727),"",IF(D727="Stock",P727*G727,IF(P727=0,"0",G727*P727*100-(G727*$AF$14))))</f>
        <v/>
      </c>
      <c r="R727" s="79">
        <f>IF(P727&lt;&gt;"", TODAY(), "")</f>
        <v/>
      </c>
      <c r="S727" s="78">
        <f>IF(AND(K727&lt;&gt;"", R727&lt;&gt;""), R727-K727, "")</f>
        <v/>
      </c>
      <c r="T727" s="78" t="n"/>
      <c r="U727" s="92">
        <f>IF(ISBLANK(P727),"",IF(C727="Buy",Q727-M727+T727, IF(C727="Sell",M727-Q727-T727, X)))</f>
        <v/>
      </c>
      <c r="V727" s="81">
        <f>IF(ISBLANK(P727),"",U727/N727)</f>
        <v/>
      </c>
      <c r="W727" s="81">
        <f>IF(ISBLANK(P727),"",IF(S727=0,(365/0.5)*V727,(365/S727)*V727))</f>
        <v/>
      </c>
      <c r="X727" s="75" t="n"/>
      <c r="Y727" s="77" t="n"/>
      <c r="Z727" s="77" t="n"/>
      <c r="AA727" s="75" t="n"/>
      <c r="AB727" s="75" t="n"/>
      <c r="AC727" s="6" t="n"/>
      <c r="AD727" s="75" t="n"/>
      <c r="AE727" s="75" t="n"/>
      <c r="AF727" s="75" t="n"/>
    </row>
    <row r="728" ht="15.75" customHeight="1" s="133">
      <c r="A728" s="75" t="n"/>
      <c r="B728" s="75" t="n"/>
      <c r="C728" s="75" t="n"/>
      <c r="D728" s="75" t="n"/>
      <c r="E728" s="76" t="n"/>
      <c r="F728" s="77" t="n"/>
      <c r="G728" s="75" t="n"/>
      <c r="H728" s="75">
        <f>IF(ISBLANK(E728),"",IF(OR(D728="Butterfly",D728="Butterfly ",D728="Iron Fly", D728="Iron Fly "),LEN(E728)-LEN(SUBSTITUTE(E728,"/",""))+2,LEN(E728)-LEN(SUBSTITUTE(E728,"/",""))+1))</f>
        <v/>
      </c>
      <c r="I728" s="78">
        <f>IF(ISBLANK(G728),"",IF(D728="Stock","0",Key!$A$3*H728*G728))</f>
        <v/>
      </c>
      <c r="J728" s="78">
        <f>IF(ISBLANK(E728),"",IF(ISNUMBER(SEARCH("/",E728)), IF(LEN(E728)-LEN(SUBSTITUTE(E728,"/",""))=1,(RIGHT(E728,LEN(E728)-FIND("/",E728)))-(LEFT(E728,FIND("/",E728)-1)),(MID(E728, SEARCH("/",E728) + 1, SEARCH("/",E728, SEARCH("/",E728)+1) - SEARCH("/",E728) - 1))-(LEFT(E728,FIND("/",E728)-1))), "NA"))</f>
        <v/>
      </c>
      <c r="K728" s="79">
        <f>IF(A728&lt;&gt;"", IF(ISBLANK(L728), TODAY(), K728), "")</f>
        <v/>
      </c>
      <c r="L728" s="78" t="n"/>
      <c r="M728" s="78">
        <f>IF(ISBLANK(L728),"",IF(D728="Stock",IF(C728="Buy",L728*G728,IF(C728="Sell",(L728*G728)-I728, X)),IF(C728="Buy",(L728*G728*100)+I728,IF(C728="Sell",(L728*G728*100)-I728, X))))</f>
        <v/>
      </c>
      <c r="N728" s="78">
        <f>IF(ISBLANK(L728),"",IF(AND(C728="Sell",D728="Stock"),M728,IF(ISBLANK(L728),"",IF(C728="Buy",M728, IF(AND(C728="Sell",J728="NA"),(E728*G728*100*0.1)+I728, IF(C728="Sell",(J728-L728)*(100*G728)+I728))))))</f>
        <v/>
      </c>
      <c r="O728" s="75" t="n"/>
      <c r="P728" s="75" t="n"/>
      <c r="Q728" s="75">
        <f>IF(ISBLANK(P728),"",IF(D728="Stock",P728*G728,IF(P728=0,"0",G728*P728*100-(G728*$AF$14))))</f>
        <v/>
      </c>
      <c r="R728" s="79">
        <f>IF(P728&lt;&gt;"", TODAY(), "")</f>
        <v/>
      </c>
      <c r="S728" s="78">
        <f>IF(AND(K728&lt;&gt;"", R728&lt;&gt;""), R728-K728, "")</f>
        <v/>
      </c>
      <c r="T728" s="78" t="n"/>
      <c r="U728" s="92">
        <f>IF(ISBLANK(P728),"",IF(C728="Buy",Q728-M728+T728, IF(C728="Sell",M728-Q728-T728, X)))</f>
        <v/>
      </c>
      <c r="V728" s="81">
        <f>IF(ISBLANK(P728),"",U728/N728)</f>
        <v/>
      </c>
      <c r="W728" s="81">
        <f>IF(ISBLANK(P728),"",IF(S728=0,(365/0.5)*V728,(365/S728)*V728))</f>
        <v/>
      </c>
      <c r="X728" s="75" t="n"/>
      <c r="Y728" s="77" t="n"/>
      <c r="Z728" s="77" t="n"/>
      <c r="AA728" s="75" t="n"/>
      <c r="AB728" s="75" t="n"/>
      <c r="AC728" s="6" t="n"/>
      <c r="AD728" s="75" t="n"/>
      <c r="AE728" s="75" t="n"/>
      <c r="AF728" s="75" t="n"/>
    </row>
    <row r="729" ht="15.75" customHeight="1" s="133">
      <c r="A729" s="75" t="n"/>
      <c r="B729" s="75" t="n"/>
      <c r="C729" s="75" t="n"/>
      <c r="D729" s="75" t="n"/>
      <c r="E729" s="76" t="n"/>
      <c r="F729" s="77" t="n"/>
      <c r="G729" s="75" t="n"/>
      <c r="H729" s="75">
        <f>IF(ISBLANK(E729),"",IF(OR(D729="Butterfly",D729="Butterfly ",D729="Iron Fly", D729="Iron Fly "),LEN(E729)-LEN(SUBSTITUTE(E729,"/",""))+2,LEN(E729)-LEN(SUBSTITUTE(E729,"/",""))+1))</f>
        <v/>
      </c>
      <c r="I729" s="78">
        <f>IF(ISBLANK(G729),"",IF(D729="Stock","0",Key!$A$3*H729*G729))</f>
        <v/>
      </c>
      <c r="J729" s="78">
        <f>IF(ISBLANK(E729),"",IF(ISNUMBER(SEARCH("/",E729)), IF(LEN(E729)-LEN(SUBSTITUTE(E729,"/",""))=1,(RIGHT(E729,LEN(E729)-FIND("/",E729)))-(LEFT(E729,FIND("/",E729)-1)),(MID(E729, SEARCH("/",E729) + 1, SEARCH("/",E729, SEARCH("/",E729)+1) - SEARCH("/",E729) - 1))-(LEFT(E729,FIND("/",E729)-1))), "NA"))</f>
        <v/>
      </c>
      <c r="K729" s="79">
        <f>IF(A729&lt;&gt;"", IF(ISBLANK(L729), TODAY(), K729), "")</f>
        <v/>
      </c>
      <c r="L729" s="78" t="n"/>
      <c r="M729" s="78">
        <f>IF(ISBLANK(L729),"",IF(D729="Stock",IF(C729="Buy",L729*G729,IF(C729="Sell",(L729*G729)-I729, X)),IF(C729="Buy",(L729*G729*100)+I729,IF(C729="Sell",(L729*G729*100)-I729, X))))</f>
        <v/>
      </c>
      <c r="N729" s="78">
        <f>IF(ISBLANK(L729),"",IF(AND(C729="Sell",D729="Stock"),M729,IF(ISBLANK(L729),"",IF(C729="Buy",M729, IF(AND(C729="Sell",J729="NA"),(E729*G729*100*0.1)+I729, IF(C729="Sell",(J729-L729)*(100*G729)+I729))))))</f>
        <v/>
      </c>
      <c r="O729" s="75" t="n"/>
      <c r="P729" s="75" t="n"/>
      <c r="Q729" s="75">
        <f>IF(ISBLANK(P729),"",IF(D729="Stock",P729*G729,IF(P729=0,"0",G729*P729*100-(G729*$AF$14))))</f>
        <v/>
      </c>
      <c r="R729" s="79">
        <f>IF(P729&lt;&gt;"", TODAY(), "")</f>
        <v/>
      </c>
      <c r="S729" s="78">
        <f>IF(AND(K729&lt;&gt;"", R729&lt;&gt;""), R729-K729, "")</f>
        <v/>
      </c>
      <c r="T729" s="78" t="n"/>
      <c r="U729" s="92">
        <f>IF(ISBLANK(P729),"",IF(C729="Buy",Q729-M729+T729, IF(C729="Sell",M729-Q729-T729, X)))</f>
        <v/>
      </c>
      <c r="V729" s="81">
        <f>IF(ISBLANK(P729),"",U729/N729)</f>
        <v/>
      </c>
      <c r="W729" s="81">
        <f>IF(ISBLANK(P729),"",IF(S729=0,(365/0.5)*V729,(365/S729)*V729))</f>
        <v/>
      </c>
      <c r="X729" s="75" t="n"/>
      <c r="Y729" s="77" t="n"/>
      <c r="Z729" s="77" t="n"/>
      <c r="AA729" s="75" t="n"/>
      <c r="AB729" s="75" t="n"/>
      <c r="AC729" s="6" t="n"/>
      <c r="AD729" s="75" t="n"/>
      <c r="AE729" s="75" t="n"/>
      <c r="AF729" s="75" t="n"/>
    </row>
    <row r="730" ht="15.75" customHeight="1" s="133">
      <c r="A730" s="75" t="n"/>
      <c r="B730" s="75" t="n"/>
      <c r="C730" s="75" t="n"/>
      <c r="D730" s="75" t="n"/>
      <c r="E730" s="76" t="n"/>
      <c r="F730" s="77" t="n"/>
      <c r="G730" s="75" t="n"/>
      <c r="H730" s="75">
        <f>IF(ISBLANK(E730),"",IF(OR(D730="Butterfly",D730="Butterfly ",D730="Iron Fly", D730="Iron Fly "),LEN(E730)-LEN(SUBSTITUTE(E730,"/",""))+2,LEN(E730)-LEN(SUBSTITUTE(E730,"/",""))+1))</f>
        <v/>
      </c>
      <c r="I730" s="78">
        <f>IF(ISBLANK(G730),"",IF(D730="Stock","0",Key!$A$3*H730*G730))</f>
        <v/>
      </c>
      <c r="J730" s="78">
        <f>IF(ISBLANK(E730),"",IF(ISNUMBER(SEARCH("/",E730)), IF(LEN(E730)-LEN(SUBSTITUTE(E730,"/",""))=1,(RIGHT(E730,LEN(E730)-FIND("/",E730)))-(LEFT(E730,FIND("/",E730)-1)),(MID(E730, SEARCH("/",E730) + 1, SEARCH("/",E730, SEARCH("/",E730)+1) - SEARCH("/",E730) - 1))-(LEFT(E730,FIND("/",E730)-1))), "NA"))</f>
        <v/>
      </c>
      <c r="K730" s="79">
        <f>IF(A730&lt;&gt;"", IF(ISBLANK(L730), TODAY(), K730), "")</f>
        <v/>
      </c>
      <c r="L730" s="78" t="n"/>
      <c r="M730" s="78">
        <f>IF(ISBLANK(L730),"",IF(D730="Stock",IF(C730="Buy",L730*G730,IF(C730="Sell",(L730*G730)-I730, X)),IF(C730="Buy",(L730*G730*100)+I730,IF(C730="Sell",(L730*G730*100)-I730, X))))</f>
        <v/>
      </c>
      <c r="N730" s="78">
        <f>IF(ISBLANK(L730),"",IF(AND(C730="Sell",D730="Stock"),M730,IF(ISBLANK(L730),"",IF(C730="Buy",M730, IF(AND(C730="Sell",J730="NA"),(E730*G730*100*0.1)+I730, IF(C730="Sell",(J730-L730)*(100*G730)+I730))))))</f>
        <v/>
      </c>
      <c r="O730" s="75" t="n"/>
      <c r="P730" s="75" t="n"/>
      <c r="Q730" s="75">
        <f>IF(ISBLANK(P730),"",IF(D730="Stock",P730*G730,IF(P730=0,"0",G730*P730*100-(G730*$AF$14))))</f>
        <v/>
      </c>
      <c r="R730" s="79">
        <f>IF(P730&lt;&gt;"", TODAY(), "")</f>
        <v/>
      </c>
      <c r="S730" s="78">
        <f>IF(AND(K730&lt;&gt;"", R730&lt;&gt;""), R730-K730, "")</f>
        <v/>
      </c>
      <c r="T730" s="78" t="n"/>
      <c r="U730" s="92">
        <f>IF(ISBLANK(P730),"",IF(C730="Buy",Q730-M730+T730, IF(C730="Sell",M730-Q730-T730, X)))</f>
        <v/>
      </c>
      <c r="V730" s="81">
        <f>IF(ISBLANK(P730),"",U730/N730)</f>
        <v/>
      </c>
      <c r="W730" s="81">
        <f>IF(ISBLANK(P730),"",IF(S730=0,(365/0.5)*V730,(365/S730)*V730))</f>
        <v/>
      </c>
      <c r="X730" s="75" t="n"/>
      <c r="Y730" s="77" t="n"/>
      <c r="Z730" s="77" t="n"/>
      <c r="AA730" s="75" t="n"/>
      <c r="AB730" s="75" t="n"/>
      <c r="AC730" s="6" t="n"/>
      <c r="AD730" s="75" t="n"/>
      <c r="AE730" s="75" t="n"/>
      <c r="AF730" s="75" t="n"/>
    </row>
    <row r="731" ht="15.75" customHeight="1" s="133">
      <c r="A731" s="75" t="n"/>
      <c r="B731" s="75" t="n"/>
      <c r="C731" s="75" t="n"/>
      <c r="D731" s="75" t="n"/>
      <c r="E731" s="76" t="n"/>
      <c r="F731" s="77" t="n"/>
      <c r="G731" s="75" t="n"/>
      <c r="H731" s="75">
        <f>IF(ISBLANK(E731),"",IF(OR(D731="Butterfly",D731="Butterfly ",D731="Iron Fly", D731="Iron Fly "),LEN(E731)-LEN(SUBSTITUTE(E731,"/",""))+2,LEN(E731)-LEN(SUBSTITUTE(E731,"/",""))+1))</f>
        <v/>
      </c>
      <c r="I731" s="78">
        <f>IF(ISBLANK(G731),"",IF(D731="Stock","0",Key!$A$3*H731*G731))</f>
        <v/>
      </c>
      <c r="J731" s="78">
        <f>IF(ISBLANK(E731),"",IF(ISNUMBER(SEARCH("/",E731)), IF(LEN(E731)-LEN(SUBSTITUTE(E731,"/",""))=1,(RIGHT(E731,LEN(E731)-FIND("/",E731)))-(LEFT(E731,FIND("/",E731)-1)),(MID(E731, SEARCH("/",E731) + 1, SEARCH("/",E731, SEARCH("/",E731)+1) - SEARCH("/",E731) - 1))-(LEFT(E731,FIND("/",E731)-1))), "NA"))</f>
        <v/>
      </c>
      <c r="K731" s="79">
        <f>IF(A731&lt;&gt;"", IF(ISBLANK(L731), TODAY(), K731), "")</f>
        <v/>
      </c>
      <c r="L731" s="78" t="n"/>
      <c r="M731" s="78">
        <f>IF(ISBLANK(L731),"",IF(D731="Stock",IF(C731="Buy",L731*G731,IF(C731="Sell",(L731*G731)-I731, X)),IF(C731="Buy",(L731*G731*100)+I731,IF(C731="Sell",(L731*G731*100)-I731, X))))</f>
        <v/>
      </c>
      <c r="N731" s="78">
        <f>IF(ISBLANK(L731),"",IF(AND(C731="Sell",D731="Stock"),M731,IF(ISBLANK(L731),"",IF(C731="Buy",M731, IF(AND(C731="Sell",J731="NA"),(E731*G731*100*0.1)+I731, IF(C731="Sell",(J731-L731)*(100*G731)+I731))))))</f>
        <v/>
      </c>
      <c r="O731" s="75" t="n"/>
      <c r="P731" s="75" t="n"/>
      <c r="Q731" s="75">
        <f>IF(ISBLANK(P731),"",IF(D731="Stock",P731*G731,IF(P731=0,"0",G731*P731*100-(G731*$AF$14))))</f>
        <v/>
      </c>
      <c r="R731" s="79">
        <f>IF(P731&lt;&gt;"", TODAY(), "")</f>
        <v/>
      </c>
      <c r="S731" s="78">
        <f>IF(AND(K731&lt;&gt;"", R731&lt;&gt;""), R731-K731, "")</f>
        <v/>
      </c>
      <c r="T731" s="78" t="n"/>
      <c r="U731" s="92">
        <f>IF(ISBLANK(P731),"",IF(C731="Buy",Q731-M731+T731, IF(C731="Sell",M731-Q731-T731, X)))</f>
        <v/>
      </c>
      <c r="V731" s="81">
        <f>IF(ISBLANK(P731),"",U731/N731)</f>
        <v/>
      </c>
      <c r="W731" s="81">
        <f>IF(ISBLANK(P731),"",IF(S731=0,(365/0.5)*V731,(365/S731)*V731))</f>
        <v/>
      </c>
      <c r="X731" s="75" t="n"/>
      <c r="Y731" s="77" t="n"/>
      <c r="Z731" s="77" t="n"/>
      <c r="AA731" s="75" t="n"/>
      <c r="AB731" s="75" t="n"/>
      <c r="AC731" s="6" t="n"/>
      <c r="AD731" s="75" t="n"/>
      <c r="AE731" s="75" t="n"/>
      <c r="AF731" s="75" t="n"/>
    </row>
    <row r="732" ht="15.75" customHeight="1" s="133">
      <c r="A732" s="75" t="n"/>
      <c r="B732" s="75" t="n"/>
      <c r="C732" s="75" t="n"/>
      <c r="D732" s="75" t="n"/>
      <c r="E732" s="76" t="n"/>
      <c r="F732" s="77" t="n"/>
      <c r="G732" s="75" t="n"/>
      <c r="H732" s="75">
        <f>IF(ISBLANK(E732),"",IF(OR(D732="Butterfly",D732="Butterfly ",D732="Iron Fly", D732="Iron Fly "),LEN(E732)-LEN(SUBSTITUTE(E732,"/",""))+2,LEN(E732)-LEN(SUBSTITUTE(E732,"/",""))+1))</f>
        <v/>
      </c>
      <c r="I732" s="78">
        <f>IF(ISBLANK(G732),"",IF(D732="Stock","0",Key!$A$3*H732*G732))</f>
        <v/>
      </c>
      <c r="J732" s="78">
        <f>IF(ISBLANK(E732),"",IF(ISNUMBER(SEARCH("/",E732)), IF(LEN(E732)-LEN(SUBSTITUTE(E732,"/",""))=1,(RIGHT(E732,LEN(E732)-FIND("/",E732)))-(LEFT(E732,FIND("/",E732)-1)),(MID(E732, SEARCH("/",E732) + 1, SEARCH("/",E732, SEARCH("/",E732)+1) - SEARCH("/",E732) - 1))-(LEFT(E732,FIND("/",E732)-1))), "NA"))</f>
        <v/>
      </c>
      <c r="K732" s="79">
        <f>IF(A732&lt;&gt;"", IF(ISBLANK(L732), TODAY(), K732), "")</f>
        <v/>
      </c>
      <c r="L732" s="78" t="n"/>
      <c r="M732" s="78">
        <f>IF(ISBLANK(L732),"",IF(D732="Stock",IF(C732="Buy",L732*G732,IF(C732="Sell",(L732*G732)-I732, X)),IF(C732="Buy",(L732*G732*100)+I732,IF(C732="Sell",(L732*G732*100)-I732, X))))</f>
        <v/>
      </c>
      <c r="N732" s="78">
        <f>IF(ISBLANK(L732),"",IF(AND(C732="Sell",D732="Stock"),M732,IF(ISBLANK(L732),"",IF(C732="Buy",M732, IF(AND(C732="Sell",J732="NA"),(E732*G732*100*0.1)+I732, IF(C732="Sell",(J732-L732)*(100*G732)+I732))))))</f>
        <v/>
      </c>
      <c r="O732" s="75" t="n"/>
      <c r="P732" s="75" t="n"/>
      <c r="Q732" s="75">
        <f>IF(ISBLANK(P732),"",IF(D732="Stock",P732*G732,IF(P732=0,"0",G732*P732*100-(G732*$AF$14))))</f>
        <v/>
      </c>
      <c r="R732" s="79">
        <f>IF(P732&lt;&gt;"", TODAY(), "")</f>
        <v/>
      </c>
      <c r="S732" s="78">
        <f>IF(AND(K732&lt;&gt;"", R732&lt;&gt;""), R732-K732, "")</f>
        <v/>
      </c>
      <c r="T732" s="78" t="n"/>
      <c r="U732" s="92">
        <f>IF(ISBLANK(P732),"",IF(C732="Buy",Q732-M732+T732, IF(C732="Sell",M732-Q732-T732, X)))</f>
        <v/>
      </c>
      <c r="V732" s="81">
        <f>IF(ISBLANK(P732),"",U732/N732)</f>
        <v/>
      </c>
      <c r="W732" s="81">
        <f>IF(ISBLANK(P732),"",IF(S732=0,(365/0.5)*V732,(365/S732)*V732))</f>
        <v/>
      </c>
      <c r="X732" s="75" t="n"/>
      <c r="Y732" s="77" t="n"/>
      <c r="Z732" s="77" t="n"/>
      <c r="AA732" s="75" t="n"/>
      <c r="AB732" s="75" t="n"/>
      <c r="AC732" s="6" t="n"/>
      <c r="AD732" s="75" t="n"/>
      <c r="AE732" s="75" t="n"/>
      <c r="AF732" s="75" t="n"/>
    </row>
    <row r="733" ht="15.75" customHeight="1" s="133">
      <c r="A733" s="75" t="n"/>
      <c r="B733" s="75" t="n"/>
      <c r="C733" s="75" t="n"/>
      <c r="D733" s="75" t="n"/>
      <c r="E733" s="76" t="n"/>
      <c r="F733" s="77" t="n"/>
      <c r="G733" s="75" t="n"/>
      <c r="H733" s="75">
        <f>IF(ISBLANK(E733),"",IF(OR(D733="Butterfly",D733="Butterfly ",D733="Iron Fly", D733="Iron Fly "),LEN(E733)-LEN(SUBSTITUTE(E733,"/",""))+2,LEN(E733)-LEN(SUBSTITUTE(E733,"/",""))+1))</f>
        <v/>
      </c>
      <c r="I733" s="78">
        <f>IF(ISBLANK(G733),"",IF(D733="Stock","0",Key!$A$3*H733*G733))</f>
        <v/>
      </c>
      <c r="J733" s="78">
        <f>IF(ISBLANK(E733),"",IF(ISNUMBER(SEARCH("/",E733)), IF(LEN(E733)-LEN(SUBSTITUTE(E733,"/",""))=1,(RIGHT(E733,LEN(E733)-FIND("/",E733)))-(LEFT(E733,FIND("/",E733)-1)),(MID(E733, SEARCH("/",E733) + 1, SEARCH("/",E733, SEARCH("/",E733)+1) - SEARCH("/",E733) - 1))-(LEFT(E733,FIND("/",E733)-1))), "NA"))</f>
        <v/>
      </c>
      <c r="K733" s="79">
        <f>IF(A733&lt;&gt;"", IF(ISBLANK(L733), TODAY(), K733), "")</f>
        <v/>
      </c>
      <c r="L733" s="78" t="n"/>
      <c r="M733" s="78">
        <f>IF(ISBLANK(L733),"",IF(D733="Stock",IF(C733="Buy",L733*G733,IF(C733="Sell",(L733*G733)-I733, X)),IF(C733="Buy",(L733*G733*100)+I733,IF(C733="Sell",(L733*G733*100)-I733, X))))</f>
        <v/>
      </c>
      <c r="N733" s="78">
        <f>IF(ISBLANK(L733),"",IF(AND(C733="Sell",D733="Stock"),M733,IF(ISBLANK(L733),"",IF(C733="Buy",M733, IF(AND(C733="Sell",J733="NA"),(E733*G733*100*0.1)+I733, IF(C733="Sell",(J733-L733)*(100*G733)+I733))))))</f>
        <v/>
      </c>
      <c r="O733" s="75" t="n"/>
      <c r="P733" s="75" t="n"/>
      <c r="Q733" s="75">
        <f>IF(ISBLANK(P733),"",IF(D733="Stock",P733*G733,IF(P733=0,"0",G733*P733*100-(G733*$AF$14))))</f>
        <v/>
      </c>
      <c r="R733" s="79">
        <f>IF(P733&lt;&gt;"", TODAY(), "")</f>
        <v/>
      </c>
      <c r="S733" s="78">
        <f>IF(AND(K733&lt;&gt;"", R733&lt;&gt;""), R733-K733, "")</f>
        <v/>
      </c>
      <c r="T733" s="78" t="n"/>
      <c r="U733" s="92">
        <f>IF(ISBLANK(P733),"",IF(C733="Buy",Q733-M733+T733, IF(C733="Sell",M733-Q733-T733, X)))</f>
        <v/>
      </c>
      <c r="V733" s="81">
        <f>IF(ISBLANK(P733),"",U733/N733)</f>
        <v/>
      </c>
      <c r="W733" s="81">
        <f>IF(ISBLANK(P733),"",IF(S733=0,(365/0.5)*V733,(365/S733)*V733))</f>
        <v/>
      </c>
      <c r="X733" s="75" t="n"/>
      <c r="Y733" s="77" t="n"/>
      <c r="Z733" s="77" t="n"/>
      <c r="AA733" s="75" t="n"/>
      <c r="AB733" s="75" t="n"/>
      <c r="AC733" s="6" t="n"/>
      <c r="AD733" s="75" t="n"/>
      <c r="AE733" s="75" t="n"/>
      <c r="AF733" s="75" t="n"/>
    </row>
    <row r="734" ht="15.75" customHeight="1" s="133">
      <c r="A734" s="75" t="n"/>
      <c r="B734" s="75" t="n"/>
      <c r="C734" s="75" t="n"/>
      <c r="D734" s="75" t="n"/>
      <c r="E734" s="76" t="n"/>
      <c r="F734" s="77" t="n"/>
      <c r="G734" s="75" t="n"/>
      <c r="H734" s="75">
        <f>IF(ISBLANK(E734),"",IF(OR(D734="Butterfly",D734="Butterfly ",D734="Iron Fly", D734="Iron Fly "),LEN(E734)-LEN(SUBSTITUTE(E734,"/",""))+2,LEN(E734)-LEN(SUBSTITUTE(E734,"/",""))+1))</f>
        <v/>
      </c>
      <c r="I734" s="78">
        <f>IF(ISBLANK(G734),"",IF(D734="Stock","0",Key!$A$3*H734*G734))</f>
        <v/>
      </c>
      <c r="J734" s="78">
        <f>IF(ISBLANK(E734),"",IF(ISNUMBER(SEARCH("/",E734)), IF(LEN(E734)-LEN(SUBSTITUTE(E734,"/",""))=1,(RIGHT(E734,LEN(E734)-FIND("/",E734)))-(LEFT(E734,FIND("/",E734)-1)),(MID(E734, SEARCH("/",E734) + 1, SEARCH("/",E734, SEARCH("/",E734)+1) - SEARCH("/",E734) - 1))-(LEFT(E734,FIND("/",E734)-1))), "NA"))</f>
        <v/>
      </c>
      <c r="K734" s="79">
        <f>IF(A734&lt;&gt;"", IF(ISBLANK(L734), TODAY(), K734), "")</f>
        <v/>
      </c>
      <c r="L734" s="78" t="n"/>
      <c r="M734" s="78">
        <f>IF(ISBLANK(L734),"",IF(D734="Stock",IF(C734="Buy",L734*G734,IF(C734="Sell",(L734*G734)-I734, X)),IF(C734="Buy",(L734*G734*100)+I734,IF(C734="Sell",(L734*G734*100)-I734, X))))</f>
        <v/>
      </c>
      <c r="N734" s="78">
        <f>IF(ISBLANK(L734),"",IF(AND(C734="Sell",D734="Stock"),M734,IF(ISBLANK(L734),"",IF(C734="Buy",M734, IF(AND(C734="Sell",J734="NA"),(E734*G734*100*0.1)+I734, IF(C734="Sell",(J734-L734)*(100*G734)+I734))))))</f>
        <v/>
      </c>
      <c r="O734" s="75" t="n"/>
      <c r="P734" s="75" t="n"/>
      <c r="Q734" s="75">
        <f>IF(ISBLANK(P734),"",IF(D734="Stock",P734*G734,IF(P734=0,"0",G734*P734*100-(G734*$AF$14))))</f>
        <v/>
      </c>
      <c r="R734" s="79">
        <f>IF(P734&lt;&gt;"", TODAY(), "")</f>
        <v/>
      </c>
      <c r="S734" s="78">
        <f>IF(AND(K734&lt;&gt;"", R734&lt;&gt;""), R734-K734, "")</f>
        <v/>
      </c>
      <c r="T734" s="78" t="n"/>
      <c r="U734" s="92">
        <f>IF(ISBLANK(P734),"",IF(C734="Buy",Q734-M734+T734, IF(C734="Sell",M734-Q734-T734, X)))</f>
        <v/>
      </c>
      <c r="V734" s="81">
        <f>IF(ISBLANK(P734),"",U734/N734)</f>
        <v/>
      </c>
      <c r="W734" s="81">
        <f>IF(ISBLANK(P734),"",IF(S734=0,(365/0.5)*V734,(365/S734)*V734))</f>
        <v/>
      </c>
      <c r="X734" s="75" t="n"/>
      <c r="Y734" s="77" t="n"/>
      <c r="Z734" s="77" t="n"/>
      <c r="AA734" s="75" t="n"/>
      <c r="AB734" s="75" t="n"/>
      <c r="AC734" s="6" t="n"/>
      <c r="AD734" s="75" t="n"/>
      <c r="AE734" s="75" t="n"/>
      <c r="AF734" s="75" t="n"/>
    </row>
    <row r="735" ht="15.75" customHeight="1" s="133">
      <c r="A735" s="75" t="n"/>
      <c r="B735" s="75" t="n"/>
      <c r="C735" s="75" t="n"/>
      <c r="D735" s="75" t="n"/>
      <c r="E735" s="76" t="n"/>
      <c r="F735" s="77" t="n"/>
      <c r="G735" s="75" t="n"/>
      <c r="H735" s="75">
        <f>IF(ISBLANK(E735),"",IF(OR(D735="Butterfly",D735="Butterfly ",D735="Iron Fly", D735="Iron Fly "),LEN(E735)-LEN(SUBSTITUTE(E735,"/",""))+2,LEN(E735)-LEN(SUBSTITUTE(E735,"/",""))+1))</f>
        <v/>
      </c>
      <c r="I735" s="78">
        <f>IF(ISBLANK(G735),"",IF(D735="Stock","0",Key!$A$3*H735*G735))</f>
        <v/>
      </c>
      <c r="J735" s="78">
        <f>IF(ISBLANK(E735),"",IF(ISNUMBER(SEARCH("/",E735)), IF(LEN(E735)-LEN(SUBSTITUTE(E735,"/",""))=1,(RIGHT(E735,LEN(E735)-FIND("/",E735)))-(LEFT(E735,FIND("/",E735)-1)),(MID(E735, SEARCH("/",E735) + 1, SEARCH("/",E735, SEARCH("/",E735)+1) - SEARCH("/",E735) - 1))-(LEFT(E735,FIND("/",E735)-1))), "NA"))</f>
        <v/>
      </c>
      <c r="K735" s="79">
        <f>IF(A735&lt;&gt;"", IF(ISBLANK(L735), TODAY(), K735), "")</f>
        <v/>
      </c>
      <c r="L735" s="78" t="n"/>
      <c r="M735" s="78">
        <f>IF(ISBLANK(L735),"",IF(D735="Stock",IF(C735="Buy",L735*G735,IF(C735="Sell",(L735*G735)-I735, X)),IF(C735="Buy",(L735*G735*100)+I735,IF(C735="Sell",(L735*G735*100)-I735, X))))</f>
        <v/>
      </c>
      <c r="N735" s="78">
        <f>IF(ISBLANK(L735),"",IF(AND(C735="Sell",D735="Stock"),M735,IF(ISBLANK(L735),"",IF(C735="Buy",M735, IF(AND(C735="Sell",J735="NA"),(E735*G735*100*0.1)+I735, IF(C735="Sell",(J735-L735)*(100*G735)+I735))))))</f>
        <v/>
      </c>
      <c r="O735" s="75" t="n"/>
      <c r="P735" s="75" t="n"/>
      <c r="Q735" s="75">
        <f>IF(ISBLANK(P735),"",IF(D735="Stock",P735*G735,IF(P735=0,"0",G735*P735*100-(G735*$AF$14))))</f>
        <v/>
      </c>
      <c r="R735" s="79">
        <f>IF(P735&lt;&gt;"", TODAY(), "")</f>
        <v/>
      </c>
      <c r="S735" s="78">
        <f>IF(AND(K735&lt;&gt;"", R735&lt;&gt;""), R735-K735, "")</f>
        <v/>
      </c>
      <c r="T735" s="78" t="n"/>
      <c r="U735" s="92">
        <f>IF(ISBLANK(P735),"",IF(C735="Buy",Q735-M735+T735, IF(C735="Sell",M735-Q735-T735, X)))</f>
        <v/>
      </c>
      <c r="V735" s="81">
        <f>IF(ISBLANK(P735),"",U735/N735)</f>
        <v/>
      </c>
      <c r="W735" s="81">
        <f>IF(ISBLANK(P735),"",IF(S735=0,(365/0.5)*V735,(365/S735)*V735))</f>
        <v/>
      </c>
      <c r="X735" s="75" t="n"/>
      <c r="Y735" s="77" t="n"/>
      <c r="Z735" s="77" t="n"/>
      <c r="AA735" s="75" t="n"/>
      <c r="AB735" s="75" t="n"/>
      <c r="AC735" s="6" t="n"/>
      <c r="AD735" s="75" t="n"/>
      <c r="AE735" s="75" t="n"/>
      <c r="AF735" s="75" t="n"/>
    </row>
    <row r="736" ht="15.75" customHeight="1" s="133">
      <c r="A736" s="75" t="n"/>
      <c r="B736" s="75" t="n"/>
      <c r="C736" s="75" t="n"/>
      <c r="D736" s="75" t="n"/>
      <c r="E736" s="76" t="n"/>
      <c r="F736" s="77" t="n"/>
      <c r="G736" s="75" t="n"/>
      <c r="H736" s="75">
        <f>IF(ISBLANK(E736),"",IF(OR(D736="Butterfly",D736="Butterfly ",D736="Iron Fly", D736="Iron Fly "),LEN(E736)-LEN(SUBSTITUTE(E736,"/",""))+2,LEN(E736)-LEN(SUBSTITUTE(E736,"/",""))+1))</f>
        <v/>
      </c>
      <c r="I736" s="78">
        <f>IF(ISBLANK(G736),"",IF(D736="Stock","0",Key!$A$3*H736*G736))</f>
        <v/>
      </c>
      <c r="J736" s="78">
        <f>IF(ISBLANK(E736),"",IF(ISNUMBER(SEARCH("/",E736)), IF(LEN(E736)-LEN(SUBSTITUTE(E736,"/",""))=1,(RIGHT(E736,LEN(E736)-FIND("/",E736)))-(LEFT(E736,FIND("/",E736)-1)),(MID(E736, SEARCH("/",E736) + 1, SEARCH("/",E736, SEARCH("/",E736)+1) - SEARCH("/",E736) - 1))-(LEFT(E736,FIND("/",E736)-1))), "NA"))</f>
        <v/>
      </c>
      <c r="K736" s="79">
        <f>IF(A736&lt;&gt;"", IF(ISBLANK(L736), TODAY(), K736), "")</f>
        <v/>
      </c>
      <c r="L736" s="78" t="n"/>
      <c r="M736" s="78">
        <f>IF(ISBLANK(L736),"",IF(D736="Stock",IF(C736="Buy",L736*G736,IF(C736="Sell",(L736*G736)-I736, X)),IF(C736="Buy",(L736*G736*100)+I736,IF(C736="Sell",(L736*G736*100)-I736, X))))</f>
        <v/>
      </c>
      <c r="N736" s="78">
        <f>IF(ISBLANK(L736),"",IF(AND(C736="Sell",D736="Stock"),M736,IF(ISBLANK(L736),"",IF(C736="Buy",M736, IF(AND(C736="Sell",J736="NA"),(E736*G736*100*0.1)+I736, IF(C736="Sell",(J736-L736)*(100*G736)+I736))))))</f>
        <v/>
      </c>
      <c r="O736" s="75" t="n"/>
      <c r="P736" s="75" t="n"/>
      <c r="Q736" s="75">
        <f>IF(ISBLANK(P736),"",IF(D736="Stock",P736*G736,IF(P736=0,"0",G736*P736*100-(G736*$AF$14))))</f>
        <v/>
      </c>
      <c r="R736" s="79">
        <f>IF(P736&lt;&gt;"", TODAY(), "")</f>
        <v/>
      </c>
      <c r="S736" s="78">
        <f>IF(AND(K736&lt;&gt;"", R736&lt;&gt;""), R736-K736, "")</f>
        <v/>
      </c>
      <c r="T736" s="78" t="n"/>
      <c r="U736" s="92">
        <f>IF(ISBLANK(P736),"",IF(C736="Buy",Q736-M736+T736, IF(C736="Sell",M736-Q736-T736, X)))</f>
        <v/>
      </c>
      <c r="V736" s="81">
        <f>IF(ISBLANK(P736),"",U736/N736)</f>
        <v/>
      </c>
      <c r="W736" s="81">
        <f>IF(ISBLANK(P736),"",IF(S736=0,(365/0.5)*V736,(365/S736)*V736))</f>
        <v/>
      </c>
      <c r="X736" s="75" t="n"/>
      <c r="Y736" s="77" t="n"/>
      <c r="Z736" s="77" t="n"/>
      <c r="AA736" s="75" t="n"/>
      <c r="AB736" s="75" t="n"/>
      <c r="AC736" s="6" t="n"/>
      <c r="AD736" s="75" t="n"/>
      <c r="AE736" s="75" t="n"/>
      <c r="AF736" s="75" t="n"/>
    </row>
    <row r="737" ht="15.75" customHeight="1" s="133">
      <c r="A737" s="75" t="n"/>
      <c r="B737" s="75" t="n"/>
      <c r="C737" s="75" t="n"/>
      <c r="D737" s="75" t="n"/>
      <c r="E737" s="76" t="n"/>
      <c r="F737" s="77" t="n"/>
      <c r="G737" s="75" t="n"/>
      <c r="H737" s="75">
        <f>IF(ISBLANK(E737),"",IF(OR(D737="Butterfly",D737="Butterfly ",D737="Iron Fly", D737="Iron Fly "),LEN(E737)-LEN(SUBSTITUTE(E737,"/",""))+2,LEN(E737)-LEN(SUBSTITUTE(E737,"/",""))+1))</f>
        <v/>
      </c>
      <c r="I737" s="78">
        <f>IF(ISBLANK(G737),"",IF(D737="Stock","0",Key!$A$3*H737*G737))</f>
        <v/>
      </c>
      <c r="J737" s="78">
        <f>IF(ISBLANK(E737),"",IF(ISNUMBER(SEARCH("/",E737)), IF(LEN(E737)-LEN(SUBSTITUTE(E737,"/",""))=1,(RIGHT(E737,LEN(E737)-FIND("/",E737)))-(LEFT(E737,FIND("/",E737)-1)),(MID(E737, SEARCH("/",E737) + 1, SEARCH("/",E737, SEARCH("/",E737)+1) - SEARCH("/",E737) - 1))-(LEFT(E737,FIND("/",E737)-1))), "NA"))</f>
        <v/>
      </c>
      <c r="K737" s="79">
        <f>IF(A737&lt;&gt;"", IF(ISBLANK(L737), TODAY(), K737), "")</f>
        <v/>
      </c>
      <c r="L737" s="78" t="n"/>
      <c r="M737" s="78">
        <f>IF(ISBLANK(L737),"",IF(D737="Stock",IF(C737="Buy",L737*G737,IF(C737="Sell",(L737*G737)-I737, X)),IF(C737="Buy",(L737*G737*100)+I737,IF(C737="Sell",(L737*G737*100)-I737, X))))</f>
        <v/>
      </c>
      <c r="N737" s="78">
        <f>IF(ISBLANK(L737),"",IF(AND(C737="Sell",D737="Stock"),M737,IF(ISBLANK(L737),"",IF(C737="Buy",M737, IF(AND(C737="Sell",J737="NA"),(E737*G737*100*0.1)+I737, IF(C737="Sell",(J737-L737)*(100*G737)+I737))))))</f>
        <v/>
      </c>
      <c r="O737" s="75" t="n"/>
      <c r="P737" s="75" t="n"/>
      <c r="Q737" s="75">
        <f>IF(ISBLANK(P737),"",IF(D737="Stock",P737*G737,IF(P737=0,"0",G737*P737*100-(G737*$AF$14))))</f>
        <v/>
      </c>
      <c r="R737" s="79">
        <f>IF(P737&lt;&gt;"", TODAY(), "")</f>
        <v/>
      </c>
      <c r="S737" s="78">
        <f>IF(AND(K737&lt;&gt;"", R737&lt;&gt;""), R737-K737, "")</f>
        <v/>
      </c>
      <c r="T737" s="78" t="n"/>
      <c r="U737" s="92">
        <f>IF(ISBLANK(P737),"",IF(C737="Buy",Q737-M737+T737, IF(C737="Sell",M737-Q737-T737, X)))</f>
        <v/>
      </c>
      <c r="V737" s="81">
        <f>IF(ISBLANK(P737),"",U737/N737)</f>
        <v/>
      </c>
      <c r="W737" s="81">
        <f>IF(ISBLANK(P737),"",IF(S737=0,(365/0.5)*V737,(365/S737)*V737))</f>
        <v/>
      </c>
      <c r="X737" s="75" t="n"/>
      <c r="Y737" s="77" t="n"/>
      <c r="Z737" s="77" t="n"/>
      <c r="AA737" s="75" t="n"/>
      <c r="AB737" s="75" t="n"/>
      <c r="AC737" s="6" t="n"/>
      <c r="AD737" s="75" t="n"/>
      <c r="AE737" s="75" t="n"/>
      <c r="AF737" s="75" t="n"/>
    </row>
    <row r="738" ht="15.75" customHeight="1" s="133">
      <c r="A738" s="75" t="n"/>
      <c r="B738" s="75" t="n"/>
      <c r="C738" s="75" t="n"/>
      <c r="D738" s="75" t="n"/>
      <c r="E738" s="76" t="n"/>
      <c r="F738" s="77" t="n"/>
      <c r="G738" s="75" t="n"/>
      <c r="H738" s="75">
        <f>IF(ISBLANK(E738),"",IF(OR(D738="Butterfly",D738="Butterfly ",D738="Iron Fly", D738="Iron Fly "),LEN(E738)-LEN(SUBSTITUTE(E738,"/",""))+2,LEN(E738)-LEN(SUBSTITUTE(E738,"/",""))+1))</f>
        <v/>
      </c>
      <c r="I738" s="78">
        <f>IF(ISBLANK(G738),"",IF(D738="Stock","0",Key!$A$3*H738*G738))</f>
        <v/>
      </c>
      <c r="J738" s="78">
        <f>IF(ISBLANK(E738),"",IF(ISNUMBER(SEARCH("/",E738)), IF(LEN(E738)-LEN(SUBSTITUTE(E738,"/",""))=1,(RIGHT(E738,LEN(E738)-FIND("/",E738)))-(LEFT(E738,FIND("/",E738)-1)),(MID(E738, SEARCH("/",E738) + 1, SEARCH("/",E738, SEARCH("/",E738)+1) - SEARCH("/",E738) - 1))-(LEFT(E738,FIND("/",E738)-1))), "NA"))</f>
        <v/>
      </c>
      <c r="K738" s="79">
        <f>IF(A738&lt;&gt;"", IF(ISBLANK(L738), TODAY(), K738), "")</f>
        <v/>
      </c>
      <c r="L738" s="78" t="n"/>
      <c r="M738" s="78">
        <f>IF(ISBLANK(L738),"",IF(D738="Stock",IF(C738="Buy",L738*G738,IF(C738="Sell",(L738*G738)-I738, X)),IF(C738="Buy",(L738*G738*100)+I738,IF(C738="Sell",(L738*G738*100)-I738, X))))</f>
        <v/>
      </c>
      <c r="N738" s="78">
        <f>IF(ISBLANK(L738),"",IF(AND(C738="Sell",D738="Stock"),M738,IF(ISBLANK(L738),"",IF(C738="Buy",M738, IF(AND(C738="Sell",J738="NA"),(E738*G738*100*0.1)+I738, IF(C738="Sell",(J738-L738)*(100*G738)+I738))))))</f>
        <v/>
      </c>
      <c r="O738" s="75" t="n"/>
      <c r="P738" s="75" t="n"/>
      <c r="Q738" s="75">
        <f>IF(ISBLANK(P738),"",IF(D738="Stock",P738*G738,IF(P738=0,"0",G738*P738*100-(G738*$AF$14))))</f>
        <v/>
      </c>
      <c r="R738" s="79">
        <f>IF(P738&lt;&gt;"", TODAY(), "")</f>
        <v/>
      </c>
      <c r="S738" s="78">
        <f>IF(AND(K738&lt;&gt;"", R738&lt;&gt;""), R738-K738, "")</f>
        <v/>
      </c>
      <c r="T738" s="78" t="n"/>
      <c r="U738" s="92">
        <f>IF(ISBLANK(P738),"",IF(C738="Buy",Q738-M738+T738, IF(C738="Sell",M738-Q738-T738, X)))</f>
        <v/>
      </c>
      <c r="V738" s="81">
        <f>IF(ISBLANK(P738),"",U738/N738)</f>
        <v/>
      </c>
      <c r="W738" s="81">
        <f>IF(ISBLANK(P738),"",IF(S738=0,(365/0.5)*V738,(365/S738)*V738))</f>
        <v/>
      </c>
      <c r="X738" s="75" t="n"/>
      <c r="Y738" s="77" t="n"/>
      <c r="Z738" s="77" t="n"/>
      <c r="AA738" s="75" t="n"/>
      <c r="AB738" s="75" t="n"/>
      <c r="AC738" s="6" t="n"/>
      <c r="AD738" s="75" t="n"/>
      <c r="AE738" s="75" t="n"/>
      <c r="AF738" s="75" t="n"/>
    </row>
    <row r="739" ht="15.75" customHeight="1" s="133">
      <c r="A739" s="75" t="n"/>
      <c r="B739" s="75" t="n"/>
      <c r="C739" s="75" t="n"/>
      <c r="D739" s="75" t="n"/>
      <c r="E739" s="76" t="n"/>
      <c r="F739" s="77" t="n"/>
      <c r="G739" s="75" t="n"/>
      <c r="H739" s="75">
        <f>IF(ISBLANK(E739),"",IF(OR(D739="Butterfly",D739="Butterfly ",D739="Iron Fly", D739="Iron Fly "),LEN(E739)-LEN(SUBSTITUTE(E739,"/",""))+2,LEN(E739)-LEN(SUBSTITUTE(E739,"/",""))+1))</f>
        <v/>
      </c>
      <c r="I739" s="78">
        <f>IF(ISBLANK(G739),"",IF(D739="Stock","0",Key!$A$3*H739*G739))</f>
        <v/>
      </c>
      <c r="J739" s="78">
        <f>IF(ISBLANK(E739),"",IF(ISNUMBER(SEARCH("/",E739)), IF(LEN(E739)-LEN(SUBSTITUTE(E739,"/",""))=1,(RIGHT(E739,LEN(E739)-FIND("/",E739)))-(LEFT(E739,FIND("/",E739)-1)),(MID(E739, SEARCH("/",E739) + 1, SEARCH("/",E739, SEARCH("/",E739)+1) - SEARCH("/",E739) - 1))-(LEFT(E739,FIND("/",E739)-1))), "NA"))</f>
        <v/>
      </c>
      <c r="K739" s="79">
        <f>IF(A739&lt;&gt;"", IF(ISBLANK(L739), TODAY(), K739), "")</f>
        <v/>
      </c>
      <c r="L739" s="78" t="n"/>
      <c r="M739" s="78">
        <f>IF(ISBLANK(L739),"",IF(D739="Stock",IF(C739="Buy",L739*G739,IF(C739="Sell",(L739*G739)-I739, X)),IF(C739="Buy",(L739*G739*100)+I739,IF(C739="Sell",(L739*G739*100)-I739, X))))</f>
        <v/>
      </c>
      <c r="N739" s="78">
        <f>IF(ISBLANK(L739),"",IF(AND(C739="Sell",D739="Stock"),M739,IF(ISBLANK(L739),"",IF(C739="Buy",M739, IF(AND(C739="Sell",J739="NA"),(E739*G739*100*0.1)+I739, IF(C739="Sell",(J739-L739)*(100*G739)+I739))))))</f>
        <v/>
      </c>
      <c r="O739" s="75" t="n"/>
      <c r="P739" s="75" t="n"/>
      <c r="Q739" s="75">
        <f>IF(ISBLANK(P739),"",IF(D739="Stock",P739*G739,IF(P739=0,"0",G739*P739*100-(G739*$AF$14))))</f>
        <v/>
      </c>
      <c r="R739" s="79">
        <f>IF(P739&lt;&gt;"", TODAY(), "")</f>
        <v/>
      </c>
      <c r="S739" s="78">
        <f>IF(AND(K739&lt;&gt;"", R739&lt;&gt;""), R739-K739, "")</f>
        <v/>
      </c>
      <c r="T739" s="78" t="n"/>
      <c r="U739" s="92">
        <f>IF(ISBLANK(P739),"",IF(C739="Buy",Q739-M739+T739, IF(C739="Sell",M739-Q739-T739, X)))</f>
        <v/>
      </c>
      <c r="V739" s="81">
        <f>IF(ISBLANK(P739),"",U739/N739)</f>
        <v/>
      </c>
      <c r="W739" s="81">
        <f>IF(ISBLANK(P739),"",IF(S739=0,(365/0.5)*V739,(365/S739)*V739))</f>
        <v/>
      </c>
      <c r="X739" s="75" t="n"/>
      <c r="Y739" s="77" t="n"/>
      <c r="Z739" s="77" t="n"/>
      <c r="AA739" s="75" t="n"/>
      <c r="AB739" s="75" t="n"/>
      <c r="AC739" s="6" t="n"/>
      <c r="AD739" s="75" t="n"/>
      <c r="AE739" s="75" t="n"/>
      <c r="AF739" s="75" t="n"/>
    </row>
    <row r="740" ht="15.75" customHeight="1" s="133">
      <c r="A740" s="75" t="n"/>
      <c r="B740" s="75" t="n"/>
      <c r="C740" s="75" t="n"/>
      <c r="D740" s="75" t="n"/>
      <c r="E740" s="76" t="n"/>
      <c r="F740" s="77" t="n"/>
      <c r="G740" s="75" t="n"/>
      <c r="H740" s="75">
        <f>IF(ISBLANK(E740),"",IF(OR(D740="Butterfly",D740="Butterfly ",D740="Iron Fly", D740="Iron Fly "),LEN(E740)-LEN(SUBSTITUTE(E740,"/",""))+2,LEN(E740)-LEN(SUBSTITUTE(E740,"/",""))+1))</f>
        <v/>
      </c>
      <c r="I740" s="78">
        <f>IF(ISBLANK(G740),"",IF(D740="Stock","0",Key!$A$3*H740*G740))</f>
        <v/>
      </c>
      <c r="J740" s="78">
        <f>IF(ISBLANK(E740),"",IF(ISNUMBER(SEARCH("/",E740)), IF(LEN(E740)-LEN(SUBSTITUTE(E740,"/",""))=1,(RIGHT(E740,LEN(E740)-FIND("/",E740)))-(LEFT(E740,FIND("/",E740)-1)),(MID(E740, SEARCH("/",E740) + 1, SEARCH("/",E740, SEARCH("/",E740)+1) - SEARCH("/",E740) - 1))-(LEFT(E740,FIND("/",E740)-1))), "NA"))</f>
        <v/>
      </c>
      <c r="K740" s="79">
        <f>IF(A740&lt;&gt;"", IF(ISBLANK(L740), TODAY(), K740), "")</f>
        <v/>
      </c>
      <c r="L740" s="78" t="n"/>
      <c r="M740" s="78">
        <f>IF(ISBLANK(L740),"",IF(D740="Stock",IF(C740="Buy",L740*G740,IF(C740="Sell",(L740*G740)-I740, X)),IF(C740="Buy",(L740*G740*100)+I740,IF(C740="Sell",(L740*G740*100)-I740, X))))</f>
        <v/>
      </c>
      <c r="N740" s="78">
        <f>IF(ISBLANK(L740),"",IF(AND(C740="Sell",D740="Stock"),M740,IF(ISBLANK(L740),"",IF(C740="Buy",M740, IF(AND(C740="Sell",J740="NA"),(E740*G740*100*0.1)+I740, IF(C740="Sell",(J740-L740)*(100*G740)+I740))))))</f>
        <v/>
      </c>
      <c r="O740" s="75" t="n"/>
      <c r="P740" s="75" t="n"/>
      <c r="Q740" s="75">
        <f>IF(ISBLANK(P740),"",IF(D740="Stock",P740*G740,IF(P740=0,"0",G740*P740*100-(G740*$AF$14))))</f>
        <v/>
      </c>
      <c r="R740" s="79">
        <f>IF(P740&lt;&gt;"", TODAY(), "")</f>
        <v/>
      </c>
      <c r="S740" s="78">
        <f>IF(AND(K740&lt;&gt;"", R740&lt;&gt;""), R740-K740, "")</f>
        <v/>
      </c>
      <c r="T740" s="78" t="n"/>
      <c r="U740" s="92">
        <f>IF(ISBLANK(P740),"",IF(C740="Buy",Q740-M740+T740, IF(C740="Sell",M740-Q740-T740, X)))</f>
        <v/>
      </c>
      <c r="V740" s="81">
        <f>IF(ISBLANK(P740),"",U740/N740)</f>
        <v/>
      </c>
      <c r="W740" s="81">
        <f>IF(ISBLANK(P740),"",IF(S740=0,(365/0.5)*V740,(365/S740)*V740))</f>
        <v/>
      </c>
      <c r="X740" s="75" t="n"/>
      <c r="Y740" s="77" t="n"/>
      <c r="Z740" s="77" t="n"/>
      <c r="AA740" s="75" t="n"/>
      <c r="AB740" s="75" t="n"/>
      <c r="AC740" s="6" t="n"/>
      <c r="AD740" s="75" t="n"/>
      <c r="AE740" s="75" t="n"/>
      <c r="AF740" s="75" t="n"/>
    </row>
    <row r="741" ht="15.75" customHeight="1" s="133">
      <c r="A741" s="75" t="n"/>
      <c r="B741" s="75" t="n"/>
      <c r="C741" s="75" t="n"/>
      <c r="D741" s="75" t="n"/>
      <c r="E741" s="76" t="n"/>
      <c r="F741" s="77" t="n"/>
      <c r="G741" s="75" t="n"/>
      <c r="H741" s="75">
        <f>IF(ISBLANK(E741),"",IF(OR(D741="Butterfly",D741="Butterfly ",D741="Iron Fly", D741="Iron Fly "),LEN(E741)-LEN(SUBSTITUTE(E741,"/",""))+2,LEN(E741)-LEN(SUBSTITUTE(E741,"/",""))+1))</f>
        <v/>
      </c>
      <c r="I741" s="78">
        <f>IF(ISBLANK(G741),"",IF(D741="Stock","0",Key!$A$3*H741*G741))</f>
        <v/>
      </c>
      <c r="J741" s="78">
        <f>IF(ISBLANK(E741),"",IF(ISNUMBER(SEARCH("/",E741)), IF(LEN(E741)-LEN(SUBSTITUTE(E741,"/",""))=1,(RIGHT(E741,LEN(E741)-FIND("/",E741)))-(LEFT(E741,FIND("/",E741)-1)),(MID(E741, SEARCH("/",E741) + 1, SEARCH("/",E741, SEARCH("/",E741)+1) - SEARCH("/",E741) - 1))-(LEFT(E741,FIND("/",E741)-1))), "NA"))</f>
        <v/>
      </c>
      <c r="K741" s="79">
        <f>IF(A741&lt;&gt;"", IF(ISBLANK(L741), TODAY(), K741), "")</f>
        <v/>
      </c>
      <c r="L741" s="78" t="n"/>
      <c r="M741" s="78">
        <f>IF(ISBLANK(L741),"",IF(D741="Stock",IF(C741="Buy",L741*G741,IF(C741="Sell",(L741*G741)-I741, X)),IF(C741="Buy",(L741*G741*100)+I741,IF(C741="Sell",(L741*G741*100)-I741, X))))</f>
        <v/>
      </c>
      <c r="N741" s="78">
        <f>IF(ISBLANK(L741),"",IF(AND(C741="Sell",D741="Stock"),M741,IF(ISBLANK(L741),"",IF(C741="Buy",M741, IF(AND(C741="Sell",J741="NA"),(E741*G741*100*0.1)+I741, IF(C741="Sell",(J741-L741)*(100*G741)+I741))))))</f>
        <v/>
      </c>
      <c r="O741" s="75" t="n"/>
      <c r="P741" s="75" t="n"/>
      <c r="Q741" s="75">
        <f>IF(ISBLANK(P741),"",IF(D741="Stock",P741*G741,IF(P741=0,"0",G741*P741*100-(G741*$AF$14))))</f>
        <v/>
      </c>
      <c r="R741" s="79">
        <f>IF(P741&lt;&gt;"", TODAY(), "")</f>
        <v/>
      </c>
      <c r="S741" s="78">
        <f>IF(AND(K741&lt;&gt;"", R741&lt;&gt;""), R741-K741, "")</f>
        <v/>
      </c>
      <c r="T741" s="78" t="n"/>
      <c r="U741" s="92">
        <f>IF(ISBLANK(P741),"",IF(C741="Buy",Q741-M741+T741, IF(C741="Sell",M741-Q741-T741, X)))</f>
        <v/>
      </c>
      <c r="V741" s="81">
        <f>IF(ISBLANK(P741),"",U741/N741)</f>
        <v/>
      </c>
      <c r="W741" s="81">
        <f>IF(ISBLANK(P741),"",IF(S741=0,(365/0.5)*V741,(365/S741)*V741))</f>
        <v/>
      </c>
      <c r="X741" s="75" t="n"/>
      <c r="Y741" s="77" t="n"/>
      <c r="Z741" s="77" t="n"/>
      <c r="AA741" s="75" t="n"/>
      <c r="AB741" s="75" t="n"/>
      <c r="AC741" s="6" t="n"/>
      <c r="AD741" s="75" t="n"/>
      <c r="AE741" s="75" t="n"/>
      <c r="AF741" s="75" t="n"/>
    </row>
    <row r="742" ht="15.75" customHeight="1" s="133">
      <c r="A742" s="75" t="n"/>
      <c r="B742" s="75" t="n"/>
      <c r="C742" s="75" t="n"/>
      <c r="D742" s="75" t="n"/>
      <c r="E742" s="76" t="n"/>
      <c r="F742" s="77" t="n"/>
      <c r="G742" s="75" t="n"/>
      <c r="H742" s="75">
        <f>IF(ISBLANK(E742),"",IF(OR(D742="Butterfly",D742="Butterfly ",D742="Iron Fly", D742="Iron Fly "),LEN(E742)-LEN(SUBSTITUTE(E742,"/",""))+2,LEN(E742)-LEN(SUBSTITUTE(E742,"/",""))+1))</f>
        <v/>
      </c>
      <c r="I742" s="78">
        <f>IF(ISBLANK(G742),"",IF(D742="Stock","0",Key!$A$3*H742*G742))</f>
        <v/>
      </c>
      <c r="J742" s="78">
        <f>IF(ISBLANK(E742),"",IF(ISNUMBER(SEARCH("/",E742)), IF(LEN(E742)-LEN(SUBSTITUTE(E742,"/",""))=1,(RIGHT(E742,LEN(E742)-FIND("/",E742)))-(LEFT(E742,FIND("/",E742)-1)),(MID(E742, SEARCH("/",E742) + 1, SEARCH("/",E742, SEARCH("/",E742)+1) - SEARCH("/",E742) - 1))-(LEFT(E742,FIND("/",E742)-1))), "NA"))</f>
        <v/>
      </c>
      <c r="K742" s="79">
        <f>IF(A742&lt;&gt;"", IF(ISBLANK(L742), TODAY(), K742), "")</f>
        <v/>
      </c>
      <c r="L742" s="78" t="n"/>
      <c r="M742" s="78">
        <f>IF(ISBLANK(L742),"",IF(D742="Stock",IF(C742="Buy",L742*G742,IF(C742="Sell",(L742*G742)-I742, X)),IF(C742="Buy",(L742*G742*100)+I742,IF(C742="Sell",(L742*G742*100)-I742, X))))</f>
        <v/>
      </c>
      <c r="N742" s="78">
        <f>IF(ISBLANK(L742),"",IF(AND(C742="Sell",D742="Stock"),M742,IF(ISBLANK(L742),"",IF(C742="Buy",M742, IF(AND(C742="Sell",J742="NA"),(E742*G742*100*0.1)+I742, IF(C742="Sell",(J742-L742)*(100*G742)+I742))))))</f>
        <v/>
      </c>
      <c r="O742" s="75" t="n"/>
      <c r="P742" s="75" t="n"/>
      <c r="Q742" s="75">
        <f>IF(ISBLANK(P742),"",IF(D742="Stock",P742*G742,IF(P742=0,"0",G742*P742*100-(G742*$AF$14))))</f>
        <v/>
      </c>
      <c r="R742" s="79">
        <f>IF(P742&lt;&gt;"", TODAY(), "")</f>
        <v/>
      </c>
      <c r="S742" s="78">
        <f>IF(AND(K742&lt;&gt;"", R742&lt;&gt;""), R742-K742, "")</f>
        <v/>
      </c>
      <c r="T742" s="78" t="n"/>
      <c r="U742" s="92">
        <f>IF(ISBLANK(P742),"",IF(C742="Buy",Q742-M742+T742, IF(C742="Sell",M742-Q742-T742, X)))</f>
        <v/>
      </c>
      <c r="V742" s="81">
        <f>IF(ISBLANK(P742),"",U742/N742)</f>
        <v/>
      </c>
      <c r="W742" s="81">
        <f>IF(ISBLANK(P742),"",IF(S742=0,(365/0.5)*V742,(365/S742)*V742))</f>
        <v/>
      </c>
      <c r="X742" s="75" t="n"/>
      <c r="Y742" s="77" t="n"/>
      <c r="Z742" s="77" t="n"/>
      <c r="AA742" s="75" t="n"/>
      <c r="AB742" s="75" t="n"/>
      <c r="AC742" s="6" t="n"/>
      <c r="AD742" s="75" t="n"/>
      <c r="AE742" s="75" t="n"/>
      <c r="AF742" s="75" t="n"/>
    </row>
    <row r="743" ht="15.75" customHeight="1" s="133">
      <c r="A743" s="75" t="n"/>
      <c r="B743" s="75" t="n"/>
      <c r="C743" s="75" t="n"/>
      <c r="D743" s="75" t="n"/>
      <c r="E743" s="76" t="n"/>
      <c r="F743" s="77" t="n"/>
      <c r="G743" s="75" t="n"/>
      <c r="H743" s="75">
        <f>IF(ISBLANK(E743),"",IF(OR(D743="Butterfly",D743="Butterfly ",D743="Iron Fly", D743="Iron Fly "),LEN(E743)-LEN(SUBSTITUTE(E743,"/",""))+2,LEN(E743)-LEN(SUBSTITUTE(E743,"/",""))+1))</f>
        <v/>
      </c>
      <c r="I743" s="78">
        <f>IF(ISBLANK(G743),"",IF(D743="Stock","0",Key!$A$3*H743*G743))</f>
        <v/>
      </c>
      <c r="J743" s="78">
        <f>IF(ISBLANK(E743),"",IF(ISNUMBER(SEARCH("/",E743)), IF(LEN(E743)-LEN(SUBSTITUTE(E743,"/",""))=1,(RIGHT(E743,LEN(E743)-FIND("/",E743)))-(LEFT(E743,FIND("/",E743)-1)),(MID(E743, SEARCH("/",E743) + 1, SEARCH("/",E743, SEARCH("/",E743)+1) - SEARCH("/",E743) - 1))-(LEFT(E743,FIND("/",E743)-1))), "NA"))</f>
        <v/>
      </c>
      <c r="K743" s="79">
        <f>IF(A743&lt;&gt;"", IF(ISBLANK(L743), TODAY(), K743), "")</f>
        <v/>
      </c>
      <c r="L743" s="78" t="n"/>
      <c r="M743" s="78">
        <f>IF(ISBLANK(L743),"",IF(D743="Stock",IF(C743="Buy",L743*G743,IF(C743="Sell",(L743*G743)-I743, X)),IF(C743="Buy",(L743*G743*100)+I743,IF(C743="Sell",(L743*G743*100)-I743, X))))</f>
        <v/>
      </c>
      <c r="N743" s="78">
        <f>IF(ISBLANK(L743),"",IF(AND(C743="Sell",D743="Stock"),M743,IF(ISBLANK(L743),"",IF(C743="Buy",M743, IF(AND(C743="Sell",J743="NA"),(E743*G743*100*0.1)+I743, IF(C743="Sell",(J743-L743)*(100*G743)+I743))))))</f>
        <v/>
      </c>
      <c r="O743" s="75" t="n"/>
      <c r="P743" s="75" t="n"/>
      <c r="Q743" s="75">
        <f>IF(ISBLANK(P743),"",IF(D743="Stock",P743*G743,IF(P743=0,"0",G743*P743*100-(G743*$AF$14))))</f>
        <v/>
      </c>
      <c r="R743" s="79">
        <f>IF(P743&lt;&gt;"", TODAY(), "")</f>
        <v/>
      </c>
      <c r="S743" s="78">
        <f>IF(AND(K743&lt;&gt;"", R743&lt;&gt;""), R743-K743, "")</f>
        <v/>
      </c>
      <c r="T743" s="78" t="n"/>
      <c r="U743" s="92">
        <f>IF(ISBLANK(P743),"",IF(C743="Buy",Q743-M743+T743, IF(C743="Sell",M743-Q743-T743, X)))</f>
        <v/>
      </c>
      <c r="V743" s="81">
        <f>IF(ISBLANK(P743),"",U743/N743)</f>
        <v/>
      </c>
      <c r="W743" s="81">
        <f>IF(ISBLANK(P743),"",IF(S743=0,(365/0.5)*V743,(365/S743)*V743))</f>
        <v/>
      </c>
      <c r="X743" s="75" t="n"/>
      <c r="Y743" s="77" t="n"/>
      <c r="Z743" s="77" t="n"/>
      <c r="AA743" s="75" t="n"/>
      <c r="AB743" s="75" t="n"/>
      <c r="AC743" s="6" t="n"/>
      <c r="AD743" s="75" t="n"/>
      <c r="AE743" s="75" t="n"/>
      <c r="AF743" s="75" t="n"/>
    </row>
    <row r="744" ht="15.75" customHeight="1" s="133">
      <c r="A744" s="75" t="n"/>
      <c r="B744" s="75" t="n"/>
      <c r="C744" s="75" t="n"/>
      <c r="D744" s="75" t="n"/>
      <c r="E744" s="76" t="n"/>
      <c r="F744" s="77" t="n"/>
      <c r="G744" s="75" t="n"/>
      <c r="H744" s="75">
        <f>IF(ISBLANK(E744),"",IF(OR(D744="Butterfly",D744="Butterfly ",D744="Iron Fly", D744="Iron Fly "),LEN(E744)-LEN(SUBSTITUTE(E744,"/",""))+2,LEN(E744)-LEN(SUBSTITUTE(E744,"/",""))+1))</f>
        <v/>
      </c>
      <c r="I744" s="78">
        <f>IF(ISBLANK(G744),"",IF(D744="Stock","0",Key!$A$3*H744*G744))</f>
        <v/>
      </c>
      <c r="J744" s="78">
        <f>IF(ISBLANK(E744),"",IF(ISNUMBER(SEARCH("/",E744)), IF(LEN(E744)-LEN(SUBSTITUTE(E744,"/",""))=1,(RIGHT(E744,LEN(E744)-FIND("/",E744)))-(LEFT(E744,FIND("/",E744)-1)),(MID(E744, SEARCH("/",E744) + 1, SEARCH("/",E744, SEARCH("/",E744)+1) - SEARCH("/",E744) - 1))-(LEFT(E744,FIND("/",E744)-1))), "NA"))</f>
        <v/>
      </c>
      <c r="K744" s="79">
        <f>IF(A744&lt;&gt;"", IF(ISBLANK(L744), TODAY(), K744), "")</f>
        <v/>
      </c>
      <c r="L744" s="78" t="n"/>
      <c r="M744" s="78">
        <f>IF(ISBLANK(L744),"",IF(D744="Stock",IF(C744="Buy",L744*G744,IF(C744="Sell",(L744*G744)-I744, X)),IF(C744="Buy",(L744*G744*100)+I744,IF(C744="Sell",(L744*G744*100)-I744, X))))</f>
        <v/>
      </c>
      <c r="N744" s="78">
        <f>IF(ISBLANK(L744),"",IF(AND(C744="Sell",D744="Stock"),M744,IF(ISBLANK(L744),"",IF(C744="Buy",M744, IF(AND(C744="Sell",J744="NA"),(E744*G744*100*0.1)+I744, IF(C744="Sell",(J744-L744)*(100*G744)+I744))))))</f>
        <v/>
      </c>
      <c r="O744" s="75" t="n"/>
      <c r="P744" s="75" t="n"/>
      <c r="Q744" s="75">
        <f>IF(ISBLANK(P744),"",IF(D744="Stock",P744*G744,IF(P744=0,"0",G744*P744*100-(G744*$AF$14))))</f>
        <v/>
      </c>
      <c r="R744" s="79">
        <f>IF(P744&lt;&gt;"", TODAY(), "")</f>
        <v/>
      </c>
      <c r="S744" s="78">
        <f>IF(AND(K744&lt;&gt;"", R744&lt;&gt;""), R744-K744, "")</f>
        <v/>
      </c>
      <c r="T744" s="78" t="n"/>
      <c r="U744" s="92">
        <f>IF(ISBLANK(P744),"",IF(C744="Buy",Q744-M744+T744, IF(C744="Sell",M744-Q744-T744, X)))</f>
        <v/>
      </c>
      <c r="V744" s="81">
        <f>IF(ISBLANK(P744),"",U744/N744)</f>
        <v/>
      </c>
      <c r="W744" s="81">
        <f>IF(ISBLANK(P744),"",IF(S744=0,(365/0.5)*V744,(365/S744)*V744))</f>
        <v/>
      </c>
      <c r="X744" s="75" t="n"/>
      <c r="Y744" s="77" t="n"/>
      <c r="Z744" s="77" t="n"/>
      <c r="AA744" s="75" t="n"/>
      <c r="AB744" s="75" t="n"/>
      <c r="AC744" s="6" t="n"/>
      <c r="AD744" s="75" t="n"/>
      <c r="AE744" s="75" t="n"/>
      <c r="AF744" s="75" t="n"/>
    </row>
    <row r="745" ht="15.75" customHeight="1" s="133">
      <c r="A745" s="75" t="n"/>
      <c r="B745" s="75" t="n"/>
      <c r="C745" s="75" t="n"/>
      <c r="D745" s="75" t="n"/>
      <c r="E745" s="76" t="n"/>
      <c r="F745" s="77" t="n"/>
      <c r="G745" s="75" t="n"/>
      <c r="H745" s="75">
        <f>IF(ISBLANK(E745),"",IF(OR(D745="Butterfly",D745="Butterfly ",D745="Iron Fly", D745="Iron Fly "),LEN(E745)-LEN(SUBSTITUTE(E745,"/",""))+2,LEN(E745)-LEN(SUBSTITUTE(E745,"/",""))+1))</f>
        <v/>
      </c>
      <c r="I745" s="78">
        <f>IF(ISBLANK(G745),"",IF(D745="Stock","0",Key!$A$3*H745*G745))</f>
        <v/>
      </c>
      <c r="J745" s="78">
        <f>IF(ISBLANK(E745),"",IF(ISNUMBER(SEARCH("/",E745)), IF(LEN(E745)-LEN(SUBSTITUTE(E745,"/",""))=1,(RIGHT(E745,LEN(E745)-FIND("/",E745)))-(LEFT(E745,FIND("/",E745)-1)),(MID(E745, SEARCH("/",E745) + 1, SEARCH("/",E745, SEARCH("/",E745)+1) - SEARCH("/",E745) - 1))-(LEFT(E745,FIND("/",E745)-1))), "NA"))</f>
        <v/>
      </c>
      <c r="K745" s="79">
        <f>IF(A745&lt;&gt;"", IF(ISBLANK(L745), TODAY(), K745), "")</f>
        <v/>
      </c>
      <c r="L745" s="78" t="n"/>
      <c r="M745" s="78">
        <f>IF(ISBLANK(L745),"",IF(D745="Stock",IF(C745="Buy",L745*G745,IF(C745="Sell",(L745*G745)-I745, X)),IF(C745="Buy",(L745*G745*100)+I745,IF(C745="Sell",(L745*G745*100)-I745, X))))</f>
        <v/>
      </c>
      <c r="N745" s="78">
        <f>IF(ISBLANK(L745),"",IF(AND(C745="Sell",D745="Stock"),M745,IF(ISBLANK(L745),"",IF(C745="Buy",M745, IF(AND(C745="Sell",J745="NA"),(E745*G745*100*0.1)+I745, IF(C745="Sell",(J745-L745)*(100*G745)+I745))))))</f>
        <v/>
      </c>
      <c r="O745" s="75" t="n"/>
      <c r="P745" s="75" t="n"/>
      <c r="Q745" s="75">
        <f>IF(ISBLANK(P745),"",IF(D745="Stock",P745*G745,IF(P745=0,"0",G745*P745*100-(G745*$AF$14))))</f>
        <v/>
      </c>
      <c r="R745" s="79">
        <f>IF(P745&lt;&gt;"", TODAY(), "")</f>
        <v/>
      </c>
      <c r="S745" s="78">
        <f>IF(AND(K745&lt;&gt;"", R745&lt;&gt;""), R745-K745, "")</f>
        <v/>
      </c>
      <c r="T745" s="78" t="n"/>
      <c r="U745" s="92">
        <f>IF(ISBLANK(P745),"",IF(C745="Buy",Q745-M745+T745, IF(C745="Sell",M745-Q745-T745, X)))</f>
        <v/>
      </c>
      <c r="V745" s="81">
        <f>IF(ISBLANK(P745),"",U745/N745)</f>
        <v/>
      </c>
      <c r="W745" s="81">
        <f>IF(ISBLANK(P745),"",IF(S745=0,(365/0.5)*V745,(365/S745)*V745))</f>
        <v/>
      </c>
      <c r="X745" s="75" t="n"/>
      <c r="Y745" s="77" t="n"/>
      <c r="Z745" s="77" t="n"/>
      <c r="AA745" s="75" t="n"/>
      <c r="AB745" s="75" t="n"/>
      <c r="AC745" s="6" t="n"/>
      <c r="AD745" s="75" t="n"/>
      <c r="AE745" s="75" t="n"/>
      <c r="AF745" s="75" t="n"/>
    </row>
    <row r="746" ht="15.75" customHeight="1" s="133">
      <c r="A746" s="75" t="n"/>
      <c r="B746" s="75" t="n"/>
      <c r="C746" s="75" t="n"/>
      <c r="D746" s="75" t="n"/>
      <c r="E746" s="76" t="n"/>
      <c r="F746" s="77" t="n"/>
      <c r="G746" s="75" t="n"/>
      <c r="H746" s="75">
        <f>IF(ISBLANK(E746),"",IF(OR(D746="Butterfly",D746="Butterfly ",D746="Iron Fly", D746="Iron Fly "),LEN(E746)-LEN(SUBSTITUTE(E746,"/",""))+2,LEN(E746)-LEN(SUBSTITUTE(E746,"/",""))+1))</f>
        <v/>
      </c>
      <c r="I746" s="78">
        <f>IF(ISBLANK(G746),"",IF(D746="Stock","0",Key!$A$3*H746*G746))</f>
        <v/>
      </c>
      <c r="J746" s="78">
        <f>IF(ISBLANK(E746),"",IF(ISNUMBER(SEARCH("/",E746)), IF(LEN(E746)-LEN(SUBSTITUTE(E746,"/",""))=1,(RIGHT(E746,LEN(E746)-FIND("/",E746)))-(LEFT(E746,FIND("/",E746)-1)),(MID(E746, SEARCH("/",E746) + 1, SEARCH("/",E746, SEARCH("/",E746)+1) - SEARCH("/",E746) - 1))-(LEFT(E746,FIND("/",E746)-1))), "NA"))</f>
        <v/>
      </c>
      <c r="K746" s="79">
        <f>IF(A746&lt;&gt;"", IF(ISBLANK(L746), TODAY(), K746), "")</f>
        <v/>
      </c>
      <c r="L746" s="78" t="n"/>
      <c r="M746" s="78">
        <f>IF(ISBLANK(L746),"",IF(D746="Stock",IF(C746="Buy",L746*G746,IF(C746="Sell",(L746*G746)-I746, X)),IF(C746="Buy",(L746*G746*100)+I746,IF(C746="Sell",(L746*G746*100)-I746, X))))</f>
        <v/>
      </c>
      <c r="N746" s="78">
        <f>IF(ISBLANK(L746),"",IF(AND(C746="Sell",D746="Stock"),M746,IF(ISBLANK(L746),"",IF(C746="Buy",M746, IF(AND(C746="Sell",J746="NA"),(E746*G746*100*0.1)+I746, IF(C746="Sell",(J746-L746)*(100*G746)+I746))))))</f>
        <v/>
      </c>
      <c r="O746" s="75" t="n"/>
      <c r="P746" s="75" t="n"/>
      <c r="Q746" s="75">
        <f>IF(ISBLANK(P746),"",IF(D746="Stock",P746*G746,IF(P746=0,"0",G746*P746*100-(G746*$AF$14))))</f>
        <v/>
      </c>
      <c r="R746" s="79">
        <f>IF(P746&lt;&gt;"", TODAY(), "")</f>
        <v/>
      </c>
      <c r="S746" s="78">
        <f>IF(AND(K746&lt;&gt;"", R746&lt;&gt;""), R746-K746, "")</f>
        <v/>
      </c>
      <c r="T746" s="78" t="n"/>
      <c r="U746" s="92">
        <f>IF(ISBLANK(P746),"",IF(C746="Buy",Q746-M746+T746, IF(C746="Sell",M746-Q746-T746, X)))</f>
        <v/>
      </c>
      <c r="V746" s="81">
        <f>IF(ISBLANK(P746),"",U746/N746)</f>
        <v/>
      </c>
      <c r="W746" s="81">
        <f>IF(ISBLANK(P746),"",IF(S746=0,(365/0.5)*V746,(365/S746)*V746))</f>
        <v/>
      </c>
      <c r="X746" s="75" t="n"/>
      <c r="Y746" s="77" t="n"/>
      <c r="Z746" s="77" t="n"/>
      <c r="AA746" s="75" t="n"/>
      <c r="AB746" s="75" t="n"/>
      <c r="AC746" s="6" t="n"/>
      <c r="AD746" s="75" t="n"/>
      <c r="AE746" s="75" t="n"/>
      <c r="AF746" s="75" t="n"/>
    </row>
    <row r="747" ht="15.75" customHeight="1" s="133">
      <c r="A747" s="75" t="n"/>
      <c r="B747" s="75" t="n"/>
      <c r="C747" s="75" t="n"/>
      <c r="D747" s="75" t="n"/>
      <c r="E747" s="76" t="n"/>
      <c r="F747" s="77" t="n"/>
      <c r="G747" s="75" t="n"/>
      <c r="H747" s="75">
        <f>IF(ISBLANK(E747),"",IF(OR(D747="Butterfly",D747="Butterfly ",D747="Iron Fly", D747="Iron Fly "),LEN(E747)-LEN(SUBSTITUTE(E747,"/",""))+2,LEN(E747)-LEN(SUBSTITUTE(E747,"/",""))+1))</f>
        <v/>
      </c>
      <c r="I747" s="78">
        <f>IF(ISBLANK(G747),"",IF(D747="Stock","0",Key!$A$3*H747*G747))</f>
        <v/>
      </c>
      <c r="J747" s="78">
        <f>IF(ISBLANK(E747),"",IF(ISNUMBER(SEARCH("/",E747)), IF(LEN(E747)-LEN(SUBSTITUTE(E747,"/",""))=1,(RIGHT(E747,LEN(E747)-FIND("/",E747)))-(LEFT(E747,FIND("/",E747)-1)),(MID(E747, SEARCH("/",E747) + 1, SEARCH("/",E747, SEARCH("/",E747)+1) - SEARCH("/",E747) - 1))-(LEFT(E747,FIND("/",E747)-1))), "NA"))</f>
        <v/>
      </c>
      <c r="K747" s="79">
        <f>IF(A747&lt;&gt;"", IF(ISBLANK(L747), TODAY(), K747), "")</f>
        <v/>
      </c>
      <c r="L747" s="78" t="n"/>
      <c r="M747" s="78">
        <f>IF(ISBLANK(L747),"",IF(D747="Stock",IF(C747="Buy",L747*G747,IF(C747="Sell",(L747*G747)-I747, X)),IF(C747="Buy",(L747*G747*100)+I747,IF(C747="Sell",(L747*G747*100)-I747, X))))</f>
        <v/>
      </c>
      <c r="N747" s="78">
        <f>IF(ISBLANK(L747),"",IF(AND(C747="Sell",D747="Stock"),M747,IF(ISBLANK(L747),"",IF(C747="Buy",M747, IF(AND(C747="Sell",J747="NA"),(E747*G747*100*0.1)+I747, IF(C747="Sell",(J747-L747)*(100*G747)+I747))))))</f>
        <v/>
      </c>
      <c r="O747" s="75" t="n"/>
      <c r="P747" s="75" t="n"/>
      <c r="Q747" s="75">
        <f>IF(ISBLANK(P747),"",IF(D747="Stock",P747*G747,IF(P747=0,"0",G747*P747*100-(G747*$AF$14))))</f>
        <v/>
      </c>
      <c r="R747" s="79">
        <f>IF(P747&lt;&gt;"", TODAY(), "")</f>
        <v/>
      </c>
      <c r="S747" s="78">
        <f>IF(AND(K747&lt;&gt;"", R747&lt;&gt;""), R747-K747, "")</f>
        <v/>
      </c>
      <c r="T747" s="78" t="n"/>
      <c r="U747" s="92">
        <f>IF(ISBLANK(P747),"",IF(C747="Buy",Q747-M747+T747, IF(C747="Sell",M747-Q747-T747, X)))</f>
        <v/>
      </c>
      <c r="V747" s="81">
        <f>IF(ISBLANK(P747),"",U747/N747)</f>
        <v/>
      </c>
      <c r="W747" s="81">
        <f>IF(ISBLANK(P747),"",IF(S747=0,(365/0.5)*V747,(365/S747)*V747))</f>
        <v/>
      </c>
      <c r="X747" s="75" t="n"/>
      <c r="Y747" s="77" t="n"/>
      <c r="Z747" s="77" t="n"/>
      <c r="AA747" s="75" t="n"/>
      <c r="AB747" s="75" t="n"/>
      <c r="AC747" s="6" t="n"/>
      <c r="AD747" s="75" t="n"/>
      <c r="AE747" s="75" t="n"/>
      <c r="AF747" s="75" t="n"/>
    </row>
    <row r="748" ht="15.75" customHeight="1" s="133">
      <c r="A748" s="75" t="n"/>
      <c r="B748" s="75" t="n"/>
      <c r="C748" s="75" t="n"/>
      <c r="D748" s="75" t="n"/>
      <c r="E748" s="76" t="n"/>
      <c r="F748" s="77" t="n"/>
      <c r="G748" s="75" t="n"/>
      <c r="H748" s="75">
        <f>IF(ISBLANK(E748),"",IF(OR(D748="Butterfly",D748="Butterfly ",D748="Iron Fly", D748="Iron Fly "),LEN(E748)-LEN(SUBSTITUTE(E748,"/",""))+2,LEN(E748)-LEN(SUBSTITUTE(E748,"/",""))+1))</f>
        <v/>
      </c>
      <c r="I748" s="78">
        <f>IF(ISBLANK(G748),"",IF(D748="Stock","0",Key!$A$3*H748*G748))</f>
        <v/>
      </c>
      <c r="J748" s="78">
        <f>IF(ISBLANK(E748),"",IF(ISNUMBER(SEARCH("/",E748)), IF(LEN(E748)-LEN(SUBSTITUTE(E748,"/",""))=1,(RIGHT(E748,LEN(E748)-FIND("/",E748)))-(LEFT(E748,FIND("/",E748)-1)),(MID(E748, SEARCH("/",E748) + 1, SEARCH("/",E748, SEARCH("/",E748)+1) - SEARCH("/",E748) - 1))-(LEFT(E748,FIND("/",E748)-1))), "NA"))</f>
        <v/>
      </c>
      <c r="K748" s="79">
        <f>IF(A748&lt;&gt;"", IF(ISBLANK(L748), TODAY(), K748), "")</f>
        <v/>
      </c>
      <c r="L748" s="78" t="n"/>
      <c r="M748" s="78">
        <f>IF(ISBLANK(L748),"",IF(D748="Stock",IF(C748="Buy",L748*G748,IF(C748="Sell",(L748*G748)-I748, X)),IF(C748="Buy",(L748*G748*100)+I748,IF(C748="Sell",(L748*G748*100)-I748, X))))</f>
        <v/>
      </c>
      <c r="N748" s="78">
        <f>IF(ISBLANK(L748),"",IF(AND(C748="Sell",D748="Stock"),M748,IF(ISBLANK(L748),"",IF(C748="Buy",M748, IF(AND(C748="Sell",J748="NA"),(E748*G748*100*0.1)+I748, IF(C748="Sell",(J748-L748)*(100*G748)+I748))))))</f>
        <v/>
      </c>
      <c r="O748" s="75" t="n"/>
      <c r="P748" s="75" t="n"/>
      <c r="Q748" s="75">
        <f>IF(ISBLANK(P748),"",IF(D748="Stock",P748*G748,IF(P748=0,"0",G748*P748*100-(G748*$AF$14))))</f>
        <v/>
      </c>
      <c r="R748" s="79">
        <f>IF(P748&lt;&gt;"", TODAY(), "")</f>
        <v/>
      </c>
      <c r="S748" s="78">
        <f>IF(AND(K748&lt;&gt;"", R748&lt;&gt;""), R748-K748, "")</f>
        <v/>
      </c>
      <c r="T748" s="78" t="n"/>
      <c r="U748" s="92">
        <f>IF(ISBLANK(P748),"",IF(C748="Buy",Q748-M748+T748, IF(C748="Sell",M748-Q748-T748, X)))</f>
        <v/>
      </c>
      <c r="V748" s="81">
        <f>IF(ISBLANK(P748),"",U748/N748)</f>
        <v/>
      </c>
      <c r="W748" s="81">
        <f>IF(ISBLANK(P748),"",IF(S748=0,(365/0.5)*V748,(365/S748)*V748))</f>
        <v/>
      </c>
      <c r="X748" s="75" t="n"/>
      <c r="Y748" s="77" t="n"/>
      <c r="Z748" s="77" t="n"/>
      <c r="AA748" s="75" t="n"/>
      <c r="AB748" s="75" t="n"/>
      <c r="AC748" s="6" t="n"/>
      <c r="AD748" s="75" t="n"/>
      <c r="AE748" s="75" t="n"/>
      <c r="AF748" s="75" t="n"/>
    </row>
    <row r="749" ht="15.75" customHeight="1" s="133">
      <c r="A749" s="75" t="n"/>
      <c r="B749" s="75" t="n"/>
      <c r="C749" s="75" t="n"/>
      <c r="D749" s="75" t="n"/>
      <c r="E749" s="76" t="n"/>
      <c r="F749" s="77" t="n"/>
      <c r="G749" s="75" t="n"/>
      <c r="H749" s="75">
        <f>IF(ISBLANK(E749),"",IF(OR(D749="Butterfly",D749="Butterfly ",D749="Iron Fly", D749="Iron Fly "),LEN(E749)-LEN(SUBSTITUTE(E749,"/",""))+2,LEN(E749)-LEN(SUBSTITUTE(E749,"/",""))+1))</f>
        <v/>
      </c>
      <c r="I749" s="78">
        <f>IF(ISBLANK(G749),"",IF(D749="Stock","0",Key!$A$3*H749*G749))</f>
        <v/>
      </c>
      <c r="J749" s="78">
        <f>IF(ISBLANK(E749),"",IF(ISNUMBER(SEARCH("/",E749)), IF(LEN(E749)-LEN(SUBSTITUTE(E749,"/",""))=1,(RIGHT(E749,LEN(E749)-FIND("/",E749)))-(LEFT(E749,FIND("/",E749)-1)),(MID(E749, SEARCH("/",E749) + 1, SEARCH("/",E749, SEARCH("/",E749)+1) - SEARCH("/",E749) - 1))-(LEFT(E749,FIND("/",E749)-1))), "NA"))</f>
        <v/>
      </c>
      <c r="K749" s="79">
        <f>IF(A749&lt;&gt;"", IF(ISBLANK(L749), TODAY(), K749), "")</f>
        <v/>
      </c>
      <c r="L749" s="78" t="n"/>
      <c r="M749" s="78">
        <f>IF(ISBLANK(L749),"",IF(D749="Stock",IF(C749="Buy",L749*G749,IF(C749="Sell",(L749*G749)-I749, X)),IF(C749="Buy",(L749*G749*100)+I749,IF(C749="Sell",(L749*G749*100)-I749, X))))</f>
        <v/>
      </c>
      <c r="N749" s="78">
        <f>IF(ISBLANK(L749),"",IF(AND(C749="Sell",D749="Stock"),M749,IF(ISBLANK(L749),"",IF(C749="Buy",M749, IF(AND(C749="Sell",J749="NA"),(E749*G749*100*0.1)+I749, IF(C749="Sell",(J749-L749)*(100*G749)+I749))))))</f>
        <v/>
      </c>
      <c r="O749" s="75" t="n"/>
      <c r="P749" s="75" t="n"/>
      <c r="Q749" s="75">
        <f>IF(ISBLANK(P749),"",IF(D749="Stock",P749*G749,IF(P749=0,"0",G749*P749*100-(G749*$AF$14))))</f>
        <v/>
      </c>
      <c r="R749" s="79">
        <f>IF(P749&lt;&gt;"", TODAY(), "")</f>
        <v/>
      </c>
      <c r="S749" s="78">
        <f>IF(AND(K749&lt;&gt;"", R749&lt;&gt;""), R749-K749, "")</f>
        <v/>
      </c>
      <c r="T749" s="78" t="n"/>
      <c r="U749" s="92">
        <f>IF(ISBLANK(P749),"",IF(C749="Buy",Q749-M749+T749, IF(C749="Sell",M749-Q749-T749, X)))</f>
        <v/>
      </c>
      <c r="V749" s="81">
        <f>IF(ISBLANK(P749),"",U749/N749)</f>
        <v/>
      </c>
      <c r="W749" s="81">
        <f>IF(ISBLANK(P749),"",IF(S749=0,(365/0.5)*V749,(365/S749)*V749))</f>
        <v/>
      </c>
      <c r="X749" s="75" t="n"/>
      <c r="Y749" s="77" t="n"/>
      <c r="Z749" s="77" t="n"/>
      <c r="AA749" s="75" t="n"/>
      <c r="AB749" s="75" t="n"/>
      <c r="AC749" s="6" t="n"/>
      <c r="AD749" s="75" t="n"/>
      <c r="AE749" s="75" t="n"/>
      <c r="AF749" s="75" t="n"/>
    </row>
    <row r="750" ht="15.75" customHeight="1" s="133">
      <c r="A750" s="75" t="n"/>
      <c r="B750" s="75" t="n"/>
      <c r="C750" s="75" t="n"/>
      <c r="D750" s="75" t="n"/>
      <c r="E750" s="76" t="n"/>
      <c r="F750" s="77" t="n"/>
      <c r="G750" s="75" t="n"/>
      <c r="H750" s="75">
        <f>IF(ISBLANK(E750),"",IF(OR(D750="Butterfly",D750="Butterfly ",D750="Iron Fly", D750="Iron Fly "),LEN(E750)-LEN(SUBSTITUTE(E750,"/",""))+2,LEN(E750)-LEN(SUBSTITUTE(E750,"/",""))+1))</f>
        <v/>
      </c>
      <c r="I750" s="78">
        <f>IF(ISBLANK(G750),"",IF(D750="Stock","0",Key!$A$3*H750*G750))</f>
        <v/>
      </c>
      <c r="J750" s="78">
        <f>IF(ISBLANK(E750),"",IF(ISNUMBER(SEARCH("/",E750)), IF(LEN(E750)-LEN(SUBSTITUTE(E750,"/",""))=1,(RIGHT(E750,LEN(E750)-FIND("/",E750)))-(LEFT(E750,FIND("/",E750)-1)),(MID(E750, SEARCH("/",E750) + 1, SEARCH("/",E750, SEARCH("/",E750)+1) - SEARCH("/",E750) - 1))-(LEFT(E750,FIND("/",E750)-1))), "NA"))</f>
        <v/>
      </c>
      <c r="K750" s="79">
        <f>IF(A750&lt;&gt;"", IF(ISBLANK(L750), TODAY(), K750), "")</f>
        <v/>
      </c>
      <c r="L750" s="78" t="n"/>
      <c r="M750" s="78">
        <f>IF(ISBLANK(L750),"",IF(D750="Stock",IF(C750="Buy",L750*G750,IF(C750="Sell",(L750*G750)-I750, X)),IF(C750="Buy",(L750*G750*100)+I750,IF(C750="Sell",(L750*G750*100)-I750, X))))</f>
        <v/>
      </c>
      <c r="N750" s="78">
        <f>IF(ISBLANK(L750),"",IF(AND(C750="Sell",D750="Stock"),M750,IF(ISBLANK(L750),"",IF(C750="Buy",M750, IF(AND(C750="Sell",J750="NA"),(E750*G750*100*0.1)+I750, IF(C750="Sell",(J750-L750)*(100*G750)+I750))))))</f>
        <v/>
      </c>
      <c r="O750" s="75" t="n"/>
      <c r="P750" s="75" t="n"/>
      <c r="Q750" s="75">
        <f>IF(ISBLANK(P750),"",IF(D750="Stock",P750*G750,IF(P750=0,"0",G750*P750*100-(G750*$AF$14))))</f>
        <v/>
      </c>
      <c r="R750" s="79">
        <f>IF(P750&lt;&gt;"", TODAY(), "")</f>
        <v/>
      </c>
      <c r="S750" s="78">
        <f>IF(AND(K750&lt;&gt;"", R750&lt;&gt;""), R750-K750, "")</f>
        <v/>
      </c>
      <c r="T750" s="78" t="n"/>
      <c r="U750" s="92">
        <f>IF(ISBLANK(P750),"",IF(C750="Buy",Q750-M750+T750, IF(C750="Sell",M750-Q750-T750, X)))</f>
        <v/>
      </c>
      <c r="V750" s="81">
        <f>IF(ISBLANK(P750),"",U750/N750)</f>
        <v/>
      </c>
      <c r="W750" s="81">
        <f>IF(ISBLANK(P750),"",IF(S750=0,(365/0.5)*V750,(365/S750)*V750))</f>
        <v/>
      </c>
      <c r="X750" s="75" t="n"/>
      <c r="Y750" s="77" t="n"/>
      <c r="Z750" s="77" t="n"/>
      <c r="AA750" s="75" t="n"/>
      <c r="AB750" s="75" t="n"/>
      <c r="AC750" s="6" t="n"/>
      <c r="AD750" s="75" t="n"/>
      <c r="AE750" s="75" t="n"/>
      <c r="AF750" s="75" t="n"/>
    </row>
    <row r="751" ht="15.75" customHeight="1" s="133">
      <c r="A751" s="75" t="n"/>
      <c r="B751" s="75" t="n"/>
      <c r="C751" s="75" t="n"/>
      <c r="D751" s="75" t="n"/>
      <c r="E751" s="76" t="n"/>
      <c r="F751" s="77" t="n"/>
      <c r="G751" s="75" t="n"/>
      <c r="H751" s="75">
        <f>IF(ISBLANK(E751),"",IF(OR(D751="Butterfly",D751="Butterfly ",D751="Iron Fly", D751="Iron Fly "),LEN(E751)-LEN(SUBSTITUTE(E751,"/",""))+2,LEN(E751)-LEN(SUBSTITUTE(E751,"/",""))+1))</f>
        <v/>
      </c>
      <c r="I751" s="78">
        <f>IF(ISBLANK(G751),"",IF(D751="Stock","0",Key!$A$3*H751*G751))</f>
        <v/>
      </c>
      <c r="J751" s="78">
        <f>IF(ISBLANK(E751),"",IF(ISNUMBER(SEARCH("/",E751)), IF(LEN(E751)-LEN(SUBSTITUTE(E751,"/",""))=1,(RIGHT(E751,LEN(E751)-FIND("/",E751)))-(LEFT(E751,FIND("/",E751)-1)),(MID(E751, SEARCH("/",E751) + 1, SEARCH("/",E751, SEARCH("/",E751)+1) - SEARCH("/",E751) - 1))-(LEFT(E751,FIND("/",E751)-1))), "NA"))</f>
        <v/>
      </c>
      <c r="K751" s="79">
        <f>IF(A751&lt;&gt;"", IF(ISBLANK(L751), TODAY(), K751), "")</f>
        <v/>
      </c>
      <c r="L751" s="78" t="n"/>
      <c r="M751" s="78">
        <f>IF(ISBLANK(L751),"",IF(D751="Stock",IF(C751="Buy",L751*G751,IF(C751="Sell",(L751*G751)-I751, X)),IF(C751="Buy",(L751*G751*100)+I751,IF(C751="Sell",(L751*G751*100)-I751, X))))</f>
        <v/>
      </c>
      <c r="N751" s="78">
        <f>IF(ISBLANK(L751),"",IF(AND(C751="Sell",D751="Stock"),M751,IF(ISBLANK(L751),"",IF(C751="Buy",M751, IF(AND(C751="Sell",J751="NA"),(E751*G751*100*0.1)+I751, IF(C751="Sell",(J751-L751)*(100*G751)+I751))))))</f>
        <v/>
      </c>
      <c r="O751" s="75" t="n"/>
      <c r="P751" s="75" t="n"/>
      <c r="Q751" s="75">
        <f>IF(ISBLANK(P751),"",IF(D751="Stock",P751*G751,IF(P751=0,"0",G751*P751*100-(G751*$AF$14))))</f>
        <v/>
      </c>
      <c r="R751" s="79">
        <f>IF(P751&lt;&gt;"", TODAY(), "")</f>
        <v/>
      </c>
      <c r="S751" s="78">
        <f>IF(AND(K751&lt;&gt;"", R751&lt;&gt;""), R751-K751, "")</f>
        <v/>
      </c>
      <c r="T751" s="78" t="n"/>
      <c r="U751" s="92">
        <f>IF(ISBLANK(P751),"",IF(C751="Buy",Q751-M751+T751, IF(C751="Sell",M751-Q751-T751, X)))</f>
        <v/>
      </c>
      <c r="V751" s="81">
        <f>IF(ISBLANK(P751),"",U751/N751)</f>
        <v/>
      </c>
      <c r="W751" s="81">
        <f>IF(ISBLANK(P751),"",IF(S751=0,(365/0.5)*V751,(365/S751)*V751))</f>
        <v/>
      </c>
      <c r="X751" s="75" t="n"/>
      <c r="Y751" s="77" t="n"/>
      <c r="Z751" s="77" t="n"/>
      <c r="AA751" s="75" t="n"/>
      <c r="AB751" s="75" t="n"/>
      <c r="AC751" s="6" t="n"/>
      <c r="AD751" s="75" t="n"/>
      <c r="AE751" s="75" t="n"/>
      <c r="AF751" s="75" t="n"/>
    </row>
    <row r="752" ht="15.75" customHeight="1" s="133">
      <c r="A752" s="75" t="n"/>
      <c r="B752" s="75" t="n"/>
      <c r="C752" s="75" t="n"/>
      <c r="D752" s="75" t="n"/>
      <c r="E752" s="76" t="n"/>
      <c r="F752" s="77" t="n"/>
      <c r="G752" s="75" t="n"/>
      <c r="H752" s="75">
        <f>IF(ISBLANK(E752),"",IF(OR(D752="Butterfly",D752="Butterfly ",D752="Iron Fly", D752="Iron Fly "),LEN(E752)-LEN(SUBSTITUTE(E752,"/",""))+2,LEN(E752)-LEN(SUBSTITUTE(E752,"/",""))+1))</f>
        <v/>
      </c>
      <c r="I752" s="78">
        <f>IF(ISBLANK(G752),"",IF(D752="Stock","0",Key!$A$3*H752*G752))</f>
        <v/>
      </c>
      <c r="J752" s="78">
        <f>IF(ISBLANK(E752),"",IF(ISNUMBER(SEARCH("/",E752)), IF(LEN(E752)-LEN(SUBSTITUTE(E752,"/",""))=1,(RIGHT(E752,LEN(E752)-FIND("/",E752)))-(LEFT(E752,FIND("/",E752)-1)),(MID(E752, SEARCH("/",E752) + 1, SEARCH("/",E752, SEARCH("/",E752)+1) - SEARCH("/",E752) - 1))-(LEFT(E752,FIND("/",E752)-1))), "NA"))</f>
        <v/>
      </c>
      <c r="K752" s="79">
        <f>IF(A752&lt;&gt;"", IF(ISBLANK(L752), TODAY(), K752), "")</f>
        <v/>
      </c>
      <c r="L752" s="78" t="n"/>
      <c r="M752" s="78">
        <f>IF(ISBLANK(L752),"",IF(D752="Stock",IF(C752="Buy",L752*G752,IF(C752="Sell",(L752*G752)-I752, X)),IF(C752="Buy",(L752*G752*100)+I752,IF(C752="Sell",(L752*G752*100)-I752, X))))</f>
        <v/>
      </c>
      <c r="N752" s="78">
        <f>IF(ISBLANK(L752),"",IF(AND(C752="Sell",D752="Stock"),M752,IF(ISBLANK(L752),"",IF(C752="Buy",M752, IF(AND(C752="Sell",J752="NA"),(E752*G752*100*0.1)+I752, IF(C752="Sell",(J752-L752)*(100*G752)+I752))))))</f>
        <v/>
      </c>
      <c r="O752" s="75" t="n"/>
      <c r="P752" s="75" t="n"/>
      <c r="Q752" s="75">
        <f>IF(ISBLANK(P752),"",IF(D752="Stock",P752*G752,IF(P752=0,"0",G752*P752*100-(G752*$AF$14))))</f>
        <v/>
      </c>
      <c r="R752" s="79">
        <f>IF(P752&lt;&gt;"", TODAY(), "")</f>
        <v/>
      </c>
      <c r="S752" s="78">
        <f>IF(AND(K752&lt;&gt;"", R752&lt;&gt;""), R752-K752, "")</f>
        <v/>
      </c>
      <c r="T752" s="78" t="n"/>
      <c r="U752" s="92">
        <f>IF(ISBLANK(P752),"",IF(C752="Buy",Q752-M752+T752, IF(C752="Sell",M752-Q752-T752, X)))</f>
        <v/>
      </c>
      <c r="V752" s="81">
        <f>IF(ISBLANK(P752),"",U752/N752)</f>
        <v/>
      </c>
      <c r="W752" s="81">
        <f>IF(ISBLANK(P752),"",IF(S752=0,(365/0.5)*V752,(365/S752)*V752))</f>
        <v/>
      </c>
      <c r="X752" s="75" t="n"/>
      <c r="Y752" s="77" t="n"/>
      <c r="Z752" s="77" t="n"/>
      <c r="AA752" s="75" t="n"/>
      <c r="AB752" s="75" t="n"/>
      <c r="AC752" s="6" t="n"/>
      <c r="AD752" s="75" t="n"/>
      <c r="AE752" s="75" t="n"/>
      <c r="AF752" s="75" t="n"/>
    </row>
    <row r="753" ht="15.75" customHeight="1" s="133">
      <c r="A753" s="75" t="n"/>
      <c r="B753" s="75" t="n"/>
      <c r="C753" s="75" t="n"/>
      <c r="D753" s="75" t="n"/>
      <c r="E753" s="76" t="n"/>
      <c r="F753" s="77" t="n"/>
      <c r="G753" s="75" t="n"/>
      <c r="H753" s="75">
        <f>IF(ISBLANK(E753),"",IF(OR(D753="Butterfly",D753="Butterfly ",D753="Iron Fly", D753="Iron Fly "),LEN(E753)-LEN(SUBSTITUTE(E753,"/",""))+2,LEN(E753)-LEN(SUBSTITUTE(E753,"/",""))+1))</f>
        <v/>
      </c>
      <c r="I753" s="78">
        <f>IF(ISBLANK(G753),"",IF(D753="Stock","0",Key!$A$3*H753*G753))</f>
        <v/>
      </c>
      <c r="J753" s="78">
        <f>IF(ISBLANK(E753),"",IF(ISNUMBER(SEARCH("/",E753)), IF(LEN(E753)-LEN(SUBSTITUTE(E753,"/",""))=1,(RIGHT(E753,LEN(E753)-FIND("/",E753)))-(LEFT(E753,FIND("/",E753)-1)),(MID(E753, SEARCH("/",E753) + 1, SEARCH("/",E753, SEARCH("/",E753)+1) - SEARCH("/",E753) - 1))-(LEFT(E753,FIND("/",E753)-1))), "NA"))</f>
        <v/>
      </c>
      <c r="K753" s="79">
        <f>IF(A753&lt;&gt;"", IF(ISBLANK(L753), TODAY(), K753), "")</f>
        <v/>
      </c>
      <c r="L753" s="78" t="n"/>
      <c r="M753" s="78">
        <f>IF(ISBLANK(L753),"",IF(D753="Stock",IF(C753="Buy",L753*G753,IF(C753="Sell",(L753*G753)-I753, X)),IF(C753="Buy",(L753*G753*100)+I753,IF(C753="Sell",(L753*G753*100)-I753, X))))</f>
        <v/>
      </c>
      <c r="N753" s="78">
        <f>IF(ISBLANK(L753),"",IF(AND(C753="Sell",D753="Stock"),M753,IF(ISBLANK(L753),"",IF(C753="Buy",M753, IF(AND(C753="Sell",J753="NA"),(E753*G753*100*0.1)+I753, IF(C753="Sell",(J753-L753)*(100*G753)+I753))))))</f>
        <v/>
      </c>
      <c r="O753" s="75" t="n"/>
      <c r="P753" s="75" t="n"/>
      <c r="Q753" s="75">
        <f>IF(ISBLANK(P753),"",IF(D753="Stock",P753*G753,IF(P753=0,"0",G753*P753*100-(G753*$AF$14))))</f>
        <v/>
      </c>
      <c r="R753" s="79">
        <f>IF(P753&lt;&gt;"", TODAY(), "")</f>
        <v/>
      </c>
      <c r="S753" s="78">
        <f>IF(AND(K753&lt;&gt;"", R753&lt;&gt;""), R753-K753, "")</f>
        <v/>
      </c>
      <c r="T753" s="78" t="n"/>
      <c r="U753" s="92">
        <f>IF(ISBLANK(P753),"",IF(C753="Buy",Q753-M753+T753, IF(C753="Sell",M753-Q753-T753, X)))</f>
        <v/>
      </c>
      <c r="V753" s="81">
        <f>IF(ISBLANK(P753),"",U753/N753)</f>
        <v/>
      </c>
      <c r="W753" s="81">
        <f>IF(ISBLANK(P753),"",IF(S753=0,(365/0.5)*V753,(365/S753)*V753))</f>
        <v/>
      </c>
      <c r="X753" s="75" t="n"/>
      <c r="Y753" s="77" t="n"/>
      <c r="Z753" s="77" t="n"/>
      <c r="AA753" s="75" t="n"/>
      <c r="AB753" s="75" t="n"/>
      <c r="AC753" s="6" t="n"/>
      <c r="AD753" s="75" t="n"/>
      <c r="AE753" s="75" t="n"/>
      <c r="AF753" s="75" t="n"/>
    </row>
    <row r="754" ht="15.75" customHeight="1" s="133">
      <c r="A754" s="75" t="n"/>
      <c r="B754" s="75" t="n"/>
      <c r="C754" s="75" t="n"/>
      <c r="D754" s="75" t="n"/>
      <c r="E754" s="76" t="n"/>
      <c r="F754" s="77" t="n"/>
      <c r="G754" s="75" t="n"/>
      <c r="H754" s="75">
        <f>IF(ISBLANK(E754),"",IF(OR(D754="Butterfly",D754="Butterfly ",D754="Iron Fly", D754="Iron Fly "),LEN(E754)-LEN(SUBSTITUTE(E754,"/",""))+2,LEN(E754)-LEN(SUBSTITUTE(E754,"/",""))+1))</f>
        <v/>
      </c>
      <c r="I754" s="78">
        <f>IF(ISBLANK(G754),"",IF(D754="Stock","0",Key!$A$3*H754*G754))</f>
        <v/>
      </c>
      <c r="J754" s="78">
        <f>IF(ISBLANK(E754),"",IF(ISNUMBER(SEARCH("/",E754)), IF(LEN(E754)-LEN(SUBSTITUTE(E754,"/",""))=1,(RIGHT(E754,LEN(E754)-FIND("/",E754)))-(LEFT(E754,FIND("/",E754)-1)),(MID(E754, SEARCH("/",E754) + 1, SEARCH("/",E754, SEARCH("/",E754)+1) - SEARCH("/",E754) - 1))-(LEFT(E754,FIND("/",E754)-1))), "NA"))</f>
        <v/>
      </c>
      <c r="K754" s="79">
        <f>IF(A754&lt;&gt;"", IF(ISBLANK(L754), TODAY(), K754), "")</f>
        <v/>
      </c>
      <c r="L754" s="78" t="n"/>
      <c r="M754" s="78">
        <f>IF(ISBLANK(L754),"",IF(D754="Stock",IF(C754="Buy",L754*G754,IF(C754="Sell",(L754*G754)-I754, X)),IF(C754="Buy",(L754*G754*100)+I754,IF(C754="Sell",(L754*G754*100)-I754, X))))</f>
        <v/>
      </c>
      <c r="N754" s="78">
        <f>IF(ISBLANK(L754),"",IF(AND(C754="Sell",D754="Stock"),M754,IF(ISBLANK(L754),"",IF(C754="Buy",M754, IF(AND(C754="Sell",J754="NA"),(E754*G754*100*0.1)+I754, IF(C754="Sell",(J754-L754)*(100*G754)+I754))))))</f>
        <v/>
      </c>
      <c r="O754" s="75" t="n"/>
      <c r="P754" s="75" t="n"/>
      <c r="Q754" s="75">
        <f>IF(ISBLANK(P754),"",IF(D754="Stock",P754*G754,IF(P754=0,"0",G754*P754*100-(G754*$AF$14))))</f>
        <v/>
      </c>
      <c r="R754" s="79">
        <f>IF(P754&lt;&gt;"", TODAY(), "")</f>
        <v/>
      </c>
      <c r="S754" s="78">
        <f>IF(AND(K754&lt;&gt;"", R754&lt;&gt;""), R754-K754, "")</f>
        <v/>
      </c>
      <c r="T754" s="78" t="n"/>
      <c r="U754" s="92">
        <f>IF(ISBLANK(P754),"",IF(C754="Buy",Q754-M754+T754, IF(C754="Sell",M754-Q754-T754, X)))</f>
        <v/>
      </c>
      <c r="V754" s="81">
        <f>IF(ISBLANK(P754),"",U754/N754)</f>
        <v/>
      </c>
      <c r="W754" s="81">
        <f>IF(ISBLANK(P754),"",IF(S754=0,(365/0.5)*V754,(365/S754)*V754))</f>
        <v/>
      </c>
      <c r="X754" s="75" t="n"/>
      <c r="Y754" s="77" t="n"/>
      <c r="Z754" s="77" t="n"/>
      <c r="AA754" s="75" t="n"/>
      <c r="AB754" s="75" t="n"/>
      <c r="AC754" s="6" t="n"/>
      <c r="AD754" s="75" t="n"/>
      <c r="AE754" s="75" t="n"/>
      <c r="AF754" s="75" t="n"/>
    </row>
    <row r="755" ht="15.75" customHeight="1" s="133">
      <c r="A755" s="75" t="n"/>
      <c r="B755" s="75" t="n"/>
      <c r="C755" s="75" t="n"/>
      <c r="D755" s="75" t="n"/>
      <c r="E755" s="76" t="n"/>
      <c r="F755" s="77" t="n"/>
      <c r="G755" s="75" t="n"/>
      <c r="H755" s="75">
        <f>IF(ISBLANK(E755),"",IF(OR(D755="Butterfly",D755="Butterfly ",D755="Iron Fly", D755="Iron Fly "),LEN(E755)-LEN(SUBSTITUTE(E755,"/",""))+2,LEN(E755)-LEN(SUBSTITUTE(E755,"/",""))+1))</f>
        <v/>
      </c>
      <c r="I755" s="78">
        <f>IF(ISBLANK(G755),"",IF(D755="Stock","0",Key!$A$3*H755*G755))</f>
        <v/>
      </c>
      <c r="J755" s="78">
        <f>IF(ISBLANK(E755),"",IF(ISNUMBER(SEARCH("/",E755)), IF(LEN(E755)-LEN(SUBSTITUTE(E755,"/",""))=1,(RIGHT(E755,LEN(E755)-FIND("/",E755)))-(LEFT(E755,FIND("/",E755)-1)),(MID(E755, SEARCH("/",E755) + 1, SEARCH("/",E755, SEARCH("/",E755)+1) - SEARCH("/",E755) - 1))-(LEFT(E755,FIND("/",E755)-1))), "NA"))</f>
        <v/>
      </c>
      <c r="K755" s="79">
        <f>IF(A755&lt;&gt;"", IF(ISBLANK(L755), TODAY(), K755), "")</f>
        <v/>
      </c>
      <c r="L755" s="78" t="n"/>
      <c r="M755" s="78">
        <f>IF(ISBLANK(L755),"",IF(D755="Stock",IF(C755="Buy",L755*G755,IF(C755="Sell",(L755*G755)-I755, X)),IF(C755="Buy",(L755*G755*100)+I755,IF(C755="Sell",(L755*G755*100)-I755, X))))</f>
        <v/>
      </c>
      <c r="N755" s="78">
        <f>IF(ISBLANK(L755),"",IF(AND(C755="Sell",D755="Stock"),M755,IF(ISBLANK(L755),"",IF(C755="Buy",M755, IF(AND(C755="Sell",J755="NA"),(E755*G755*100*0.1)+I755, IF(C755="Sell",(J755-L755)*(100*G755)+I755))))))</f>
        <v/>
      </c>
      <c r="O755" s="75" t="n"/>
      <c r="P755" s="75" t="n"/>
      <c r="Q755" s="75">
        <f>IF(ISBLANK(P755),"",IF(D755="Stock",P755*G755,IF(P755=0,"0",G755*P755*100-(G755*$AF$14))))</f>
        <v/>
      </c>
      <c r="R755" s="79">
        <f>IF(P755&lt;&gt;"", TODAY(), "")</f>
        <v/>
      </c>
      <c r="S755" s="78">
        <f>IF(AND(K755&lt;&gt;"", R755&lt;&gt;""), R755-K755, "")</f>
        <v/>
      </c>
      <c r="T755" s="78" t="n"/>
      <c r="U755" s="92">
        <f>IF(ISBLANK(P755),"",IF(C755="Buy",Q755-M755+T755, IF(C755="Sell",M755-Q755-T755, X)))</f>
        <v/>
      </c>
      <c r="V755" s="81">
        <f>IF(ISBLANK(P755),"",U755/N755)</f>
        <v/>
      </c>
      <c r="W755" s="81">
        <f>IF(ISBLANK(P755),"",IF(S755=0,(365/0.5)*V755,(365/S755)*V755))</f>
        <v/>
      </c>
      <c r="X755" s="75" t="n"/>
      <c r="Y755" s="77" t="n"/>
      <c r="Z755" s="77" t="n"/>
      <c r="AA755" s="75" t="n"/>
      <c r="AB755" s="75" t="n"/>
      <c r="AC755" s="6" t="n"/>
      <c r="AD755" s="75" t="n"/>
      <c r="AE755" s="75" t="n"/>
      <c r="AF755" s="75" t="n"/>
    </row>
    <row r="756" ht="15.75" customHeight="1" s="133">
      <c r="A756" s="75" t="n"/>
      <c r="B756" s="75" t="n"/>
      <c r="C756" s="75" t="n"/>
      <c r="D756" s="75" t="n"/>
      <c r="E756" s="76" t="n"/>
      <c r="F756" s="77" t="n"/>
      <c r="G756" s="75" t="n"/>
      <c r="H756" s="75">
        <f>IF(ISBLANK(E756),"",IF(OR(D756="Butterfly",D756="Butterfly ",D756="Iron Fly", D756="Iron Fly "),LEN(E756)-LEN(SUBSTITUTE(E756,"/",""))+2,LEN(E756)-LEN(SUBSTITUTE(E756,"/",""))+1))</f>
        <v/>
      </c>
      <c r="I756" s="78">
        <f>IF(ISBLANK(G756),"",IF(D756="Stock","0",Key!$A$3*H756*G756))</f>
        <v/>
      </c>
      <c r="J756" s="78">
        <f>IF(ISBLANK(E756),"",IF(ISNUMBER(SEARCH("/",E756)), IF(LEN(E756)-LEN(SUBSTITUTE(E756,"/",""))=1,(RIGHT(E756,LEN(E756)-FIND("/",E756)))-(LEFT(E756,FIND("/",E756)-1)),(MID(E756, SEARCH("/",E756) + 1, SEARCH("/",E756, SEARCH("/",E756)+1) - SEARCH("/",E756) - 1))-(LEFT(E756,FIND("/",E756)-1))), "NA"))</f>
        <v/>
      </c>
      <c r="K756" s="79">
        <f>IF(A756&lt;&gt;"", IF(ISBLANK(L756), TODAY(), K756), "")</f>
        <v/>
      </c>
      <c r="L756" s="78" t="n"/>
      <c r="M756" s="78">
        <f>IF(ISBLANK(L756),"",IF(D756="Stock",IF(C756="Buy",L756*G756,IF(C756="Sell",(L756*G756)-I756, X)),IF(C756="Buy",(L756*G756*100)+I756,IF(C756="Sell",(L756*G756*100)-I756, X))))</f>
        <v/>
      </c>
      <c r="N756" s="78">
        <f>IF(ISBLANK(L756),"",IF(AND(C756="Sell",D756="Stock"),M756,IF(ISBLANK(L756),"",IF(C756="Buy",M756, IF(AND(C756="Sell",J756="NA"),(E756*G756*100*0.1)+I756, IF(C756="Sell",(J756-L756)*(100*G756)+I756))))))</f>
        <v/>
      </c>
      <c r="O756" s="75" t="n"/>
      <c r="P756" s="75" t="n"/>
      <c r="Q756" s="75">
        <f>IF(ISBLANK(P756),"",IF(D756="Stock",P756*G756,IF(P756=0,"0",G756*P756*100-(G756*$AF$14))))</f>
        <v/>
      </c>
      <c r="R756" s="79">
        <f>IF(P756&lt;&gt;"", TODAY(), "")</f>
        <v/>
      </c>
      <c r="S756" s="78">
        <f>IF(AND(K756&lt;&gt;"", R756&lt;&gt;""), R756-K756, "")</f>
        <v/>
      </c>
      <c r="T756" s="78" t="n"/>
      <c r="U756" s="92">
        <f>IF(ISBLANK(P756),"",IF(C756="Buy",Q756-M756+T756, IF(C756="Sell",M756-Q756-T756, X)))</f>
        <v/>
      </c>
      <c r="V756" s="81">
        <f>IF(ISBLANK(P756),"",U756/N756)</f>
        <v/>
      </c>
      <c r="W756" s="81">
        <f>IF(ISBLANK(P756),"",IF(S756=0,(365/0.5)*V756,(365/S756)*V756))</f>
        <v/>
      </c>
      <c r="X756" s="75" t="n"/>
      <c r="Y756" s="77" t="n"/>
      <c r="Z756" s="77" t="n"/>
      <c r="AA756" s="75" t="n"/>
      <c r="AB756" s="75" t="n"/>
      <c r="AC756" s="6" t="n"/>
      <c r="AD756" s="75" t="n"/>
      <c r="AE756" s="75" t="n"/>
      <c r="AF756" s="75" t="n"/>
    </row>
    <row r="757" ht="15.75" customHeight="1" s="133">
      <c r="A757" s="75" t="n"/>
      <c r="B757" s="75" t="n"/>
      <c r="C757" s="75" t="n"/>
      <c r="D757" s="75" t="n"/>
      <c r="E757" s="76" t="n"/>
      <c r="F757" s="77" t="n"/>
      <c r="G757" s="75" t="n"/>
      <c r="H757" s="75">
        <f>IF(ISBLANK(E757),"",IF(OR(D757="Butterfly",D757="Butterfly ",D757="Iron Fly", D757="Iron Fly "),LEN(E757)-LEN(SUBSTITUTE(E757,"/",""))+2,LEN(E757)-LEN(SUBSTITUTE(E757,"/",""))+1))</f>
        <v/>
      </c>
      <c r="I757" s="78">
        <f>IF(ISBLANK(G757),"",IF(D757="Stock","0",Key!$A$3*H757*G757))</f>
        <v/>
      </c>
      <c r="J757" s="78">
        <f>IF(ISBLANK(E757),"",IF(ISNUMBER(SEARCH("/",E757)), IF(LEN(E757)-LEN(SUBSTITUTE(E757,"/",""))=1,(RIGHT(E757,LEN(E757)-FIND("/",E757)))-(LEFT(E757,FIND("/",E757)-1)),(MID(E757, SEARCH("/",E757) + 1, SEARCH("/",E757, SEARCH("/",E757)+1) - SEARCH("/",E757) - 1))-(LEFT(E757,FIND("/",E757)-1))), "NA"))</f>
        <v/>
      </c>
      <c r="K757" s="79">
        <f>IF(A757&lt;&gt;"", IF(ISBLANK(L757), TODAY(), K757), "")</f>
        <v/>
      </c>
      <c r="L757" s="78" t="n"/>
      <c r="M757" s="78">
        <f>IF(ISBLANK(L757),"",IF(D757="Stock",IF(C757="Buy",L757*G757,IF(C757="Sell",(L757*G757)-I757, X)),IF(C757="Buy",(L757*G757*100)+I757,IF(C757="Sell",(L757*G757*100)-I757, X))))</f>
        <v/>
      </c>
      <c r="N757" s="78">
        <f>IF(ISBLANK(L757),"",IF(AND(C757="Sell",D757="Stock"),M757,IF(ISBLANK(L757),"",IF(C757="Buy",M757, IF(AND(C757="Sell",J757="NA"),(E757*G757*100*0.1)+I757, IF(C757="Sell",(J757-L757)*(100*G757)+I757))))))</f>
        <v/>
      </c>
      <c r="O757" s="75" t="n"/>
      <c r="P757" s="75" t="n"/>
      <c r="Q757" s="75">
        <f>IF(ISBLANK(P757),"",IF(D757="Stock",P757*G757,IF(P757=0,"0",G757*P757*100-(G757*$AF$14))))</f>
        <v/>
      </c>
      <c r="R757" s="79">
        <f>IF(P757&lt;&gt;"", TODAY(), "")</f>
        <v/>
      </c>
      <c r="S757" s="78">
        <f>IF(AND(K757&lt;&gt;"", R757&lt;&gt;""), R757-K757, "")</f>
        <v/>
      </c>
      <c r="T757" s="78" t="n"/>
      <c r="U757" s="92">
        <f>IF(ISBLANK(P757),"",IF(C757="Buy",Q757-M757+T757, IF(C757="Sell",M757-Q757-T757, X)))</f>
        <v/>
      </c>
      <c r="V757" s="81">
        <f>IF(ISBLANK(P757),"",U757/N757)</f>
        <v/>
      </c>
      <c r="W757" s="81">
        <f>IF(ISBLANK(P757),"",IF(S757=0,(365/0.5)*V757,(365/S757)*V757))</f>
        <v/>
      </c>
      <c r="X757" s="75" t="n"/>
      <c r="Y757" s="77" t="n"/>
      <c r="Z757" s="77" t="n"/>
      <c r="AA757" s="75" t="n"/>
      <c r="AB757" s="75" t="n"/>
      <c r="AC757" s="6" t="n"/>
      <c r="AD757" s="75" t="n"/>
      <c r="AE757" s="75" t="n"/>
      <c r="AF757" s="75" t="n"/>
    </row>
    <row r="758" ht="15.75" customHeight="1" s="133">
      <c r="A758" s="75" t="n"/>
      <c r="B758" s="75" t="n"/>
      <c r="C758" s="75" t="n"/>
      <c r="D758" s="75" t="n"/>
      <c r="E758" s="76" t="n"/>
      <c r="F758" s="77" t="n"/>
      <c r="G758" s="75" t="n"/>
      <c r="H758" s="75">
        <f>IF(ISBLANK(E758),"",IF(OR(D758="Butterfly",D758="Butterfly ",D758="Iron Fly", D758="Iron Fly "),LEN(E758)-LEN(SUBSTITUTE(E758,"/",""))+2,LEN(E758)-LEN(SUBSTITUTE(E758,"/",""))+1))</f>
        <v/>
      </c>
      <c r="I758" s="78">
        <f>IF(ISBLANK(G758),"",IF(D758="Stock","0",Key!$A$3*H758*G758))</f>
        <v/>
      </c>
      <c r="J758" s="78">
        <f>IF(ISBLANK(E758),"",IF(ISNUMBER(SEARCH("/",E758)), IF(LEN(E758)-LEN(SUBSTITUTE(E758,"/",""))=1,(RIGHT(E758,LEN(E758)-FIND("/",E758)))-(LEFT(E758,FIND("/",E758)-1)),(MID(E758, SEARCH("/",E758) + 1, SEARCH("/",E758, SEARCH("/",E758)+1) - SEARCH("/",E758) - 1))-(LEFT(E758,FIND("/",E758)-1))), "NA"))</f>
        <v/>
      </c>
      <c r="K758" s="79">
        <f>IF(A758&lt;&gt;"", IF(ISBLANK(L758), TODAY(), K758), "")</f>
        <v/>
      </c>
      <c r="L758" s="78" t="n"/>
      <c r="M758" s="78">
        <f>IF(ISBLANK(L758),"",IF(D758="Stock",IF(C758="Buy",L758*G758,IF(C758="Sell",(L758*G758)-I758, X)),IF(C758="Buy",(L758*G758*100)+I758,IF(C758="Sell",(L758*G758*100)-I758, X))))</f>
        <v/>
      </c>
      <c r="N758" s="78">
        <f>IF(ISBLANK(L758),"",IF(AND(C758="Sell",D758="Stock"),M758,IF(ISBLANK(L758),"",IF(C758="Buy",M758, IF(AND(C758="Sell",J758="NA"),(E758*G758*100*0.1)+I758, IF(C758="Sell",(J758-L758)*(100*G758)+I758))))))</f>
        <v/>
      </c>
      <c r="O758" s="75" t="n"/>
      <c r="P758" s="75" t="n"/>
      <c r="Q758" s="75">
        <f>IF(ISBLANK(P758),"",IF(D758="Stock",P758*G758,IF(P758=0,"0",G758*P758*100-(G758*$AF$14))))</f>
        <v/>
      </c>
      <c r="R758" s="79">
        <f>IF(P758&lt;&gt;"", TODAY(), "")</f>
        <v/>
      </c>
      <c r="S758" s="78">
        <f>IF(AND(K758&lt;&gt;"", R758&lt;&gt;""), R758-K758, "")</f>
        <v/>
      </c>
      <c r="T758" s="78" t="n"/>
      <c r="U758" s="92">
        <f>IF(ISBLANK(P758),"",IF(C758="Buy",Q758-M758+T758, IF(C758="Sell",M758-Q758-T758, X)))</f>
        <v/>
      </c>
      <c r="V758" s="81">
        <f>IF(ISBLANK(P758),"",U758/N758)</f>
        <v/>
      </c>
      <c r="W758" s="81">
        <f>IF(ISBLANK(P758),"",IF(S758=0,(365/0.5)*V758,(365/S758)*V758))</f>
        <v/>
      </c>
      <c r="X758" s="75" t="n"/>
      <c r="Y758" s="77" t="n"/>
      <c r="Z758" s="77" t="n"/>
      <c r="AA758" s="75" t="n"/>
      <c r="AB758" s="75" t="n"/>
      <c r="AC758" s="6" t="n"/>
      <c r="AD758" s="75" t="n"/>
      <c r="AE758" s="75" t="n"/>
      <c r="AF758" s="75" t="n"/>
    </row>
    <row r="759" ht="15.75" customHeight="1" s="133">
      <c r="A759" s="75" t="n"/>
      <c r="B759" s="75" t="n"/>
      <c r="C759" s="75" t="n"/>
      <c r="D759" s="75" t="n"/>
      <c r="E759" s="76" t="n"/>
      <c r="F759" s="77" t="n"/>
      <c r="G759" s="75" t="n"/>
      <c r="H759" s="75">
        <f>IF(ISBLANK(E759),"",IF(OR(D759="Butterfly",D759="Butterfly ",D759="Iron Fly", D759="Iron Fly "),LEN(E759)-LEN(SUBSTITUTE(E759,"/",""))+2,LEN(E759)-LEN(SUBSTITUTE(E759,"/",""))+1))</f>
        <v/>
      </c>
      <c r="I759" s="78">
        <f>IF(ISBLANK(G759),"",IF(D759="Stock","0",Key!$A$3*H759*G759))</f>
        <v/>
      </c>
      <c r="J759" s="78">
        <f>IF(ISBLANK(E759),"",IF(ISNUMBER(SEARCH("/",E759)), IF(LEN(E759)-LEN(SUBSTITUTE(E759,"/",""))=1,(RIGHT(E759,LEN(E759)-FIND("/",E759)))-(LEFT(E759,FIND("/",E759)-1)),(MID(E759, SEARCH("/",E759) + 1, SEARCH("/",E759, SEARCH("/",E759)+1) - SEARCH("/",E759) - 1))-(LEFT(E759,FIND("/",E759)-1))), "NA"))</f>
        <v/>
      </c>
      <c r="K759" s="79">
        <f>IF(A759&lt;&gt;"", IF(ISBLANK(L759), TODAY(), K759), "")</f>
        <v/>
      </c>
      <c r="L759" s="78" t="n"/>
      <c r="M759" s="78">
        <f>IF(ISBLANK(L759),"",IF(D759="Stock",IF(C759="Buy",L759*G759,IF(C759="Sell",(L759*G759)-I759, X)),IF(C759="Buy",(L759*G759*100)+I759,IF(C759="Sell",(L759*G759*100)-I759, X))))</f>
        <v/>
      </c>
      <c r="N759" s="78">
        <f>IF(ISBLANK(L759),"",IF(AND(C759="Sell",D759="Stock"),M759,IF(ISBLANK(L759),"",IF(C759="Buy",M759, IF(AND(C759="Sell",J759="NA"),(E759*G759*100*0.1)+I759, IF(C759="Sell",(J759-L759)*(100*G759)+I759))))))</f>
        <v/>
      </c>
      <c r="O759" s="75" t="n"/>
      <c r="P759" s="75" t="n"/>
      <c r="Q759" s="75">
        <f>IF(ISBLANK(P759),"",IF(D759="Stock",P759*G759,IF(P759=0,"0",G759*P759*100-(G759*$AF$14))))</f>
        <v/>
      </c>
      <c r="R759" s="79">
        <f>IF(P759&lt;&gt;"", TODAY(), "")</f>
        <v/>
      </c>
      <c r="S759" s="78">
        <f>IF(AND(K759&lt;&gt;"", R759&lt;&gt;""), R759-K759, "")</f>
        <v/>
      </c>
      <c r="T759" s="78" t="n"/>
      <c r="U759" s="92">
        <f>IF(ISBLANK(P759),"",IF(C759="Buy",Q759-M759+T759, IF(C759="Sell",M759-Q759-T759, X)))</f>
        <v/>
      </c>
      <c r="V759" s="81">
        <f>IF(ISBLANK(P759),"",U759/N759)</f>
        <v/>
      </c>
      <c r="W759" s="81">
        <f>IF(ISBLANK(P759),"",IF(S759=0,(365/0.5)*V759,(365/S759)*V759))</f>
        <v/>
      </c>
      <c r="X759" s="75" t="n"/>
      <c r="Y759" s="77" t="n"/>
      <c r="Z759" s="77" t="n"/>
      <c r="AA759" s="75" t="n"/>
      <c r="AB759" s="75" t="n"/>
      <c r="AC759" s="6" t="n"/>
      <c r="AD759" s="75" t="n"/>
      <c r="AE759" s="75" t="n"/>
      <c r="AF759" s="75" t="n"/>
    </row>
    <row r="760" ht="15.75" customHeight="1" s="133">
      <c r="A760" s="75" t="n"/>
      <c r="B760" s="75" t="n"/>
      <c r="C760" s="75" t="n"/>
      <c r="D760" s="75" t="n"/>
      <c r="E760" s="76" t="n"/>
      <c r="F760" s="77" t="n"/>
      <c r="G760" s="75" t="n"/>
      <c r="H760" s="75">
        <f>IF(ISBLANK(E760),"",IF(OR(D760="Butterfly",D760="Butterfly ",D760="Iron Fly", D760="Iron Fly "),LEN(E760)-LEN(SUBSTITUTE(E760,"/",""))+2,LEN(E760)-LEN(SUBSTITUTE(E760,"/",""))+1))</f>
        <v/>
      </c>
      <c r="I760" s="78">
        <f>IF(ISBLANK(G760),"",IF(D760="Stock","0",Key!$A$3*H760*G760))</f>
        <v/>
      </c>
      <c r="J760" s="78">
        <f>IF(ISBLANK(E760),"",IF(ISNUMBER(SEARCH("/",E760)), IF(LEN(E760)-LEN(SUBSTITUTE(E760,"/",""))=1,(RIGHT(E760,LEN(E760)-FIND("/",E760)))-(LEFT(E760,FIND("/",E760)-1)),(MID(E760, SEARCH("/",E760) + 1, SEARCH("/",E760, SEARCH("/",E760)+1) - SEARCH("/",E760) - 1))-(LEFT(E760,FIND("/",E760)-1))), "NA"))</f>
        <v/>
      </c>
      <c r="K760" s="79">
        <f>IF(A760&lt;&gt;"", IF(ISBLANK(L760), TODAY(), K760), "")</f>
        <v/>
      </c>
      <c r="L760" s="78" t="n"/>
      <c r="M760" s="78">
        <f>IF(ISBLANK(L760),"",IF(D760="Stock",IF(C760="Buy",L760*G760,IF(C760="Sell",(L760*G760)-I760, X)),IF(C760="Buy",(L760*G760*100)+I760,IF(C760="Sell",(L760*G760*100)-I760, X))))</f>
        <v/>
      </c>
      <c r="N760" s="78">
        <f>IF(ISBLANK(L760),"",IF(AND(C760="Sell",D760="Stock"),M760,IF(ISBLANK(L760),"",IF(C760="Buy",M760, IF(AND(C760="Sell",J760="NA"),(E760*G760*100*0.1)+I760, IF(C760="Sell",(J760-L760)*(100*G760)+I760))))))</f>
        <v/>
      </c>
      <c r="O760" s="75" t="n"/>
      <c r="P760" s="75" t="n"/>
      <c r="Q760" s="75">
        <f>IF(ISBLANK(P760),"",IF(D760="Stock",P760*G760,IF(P760=0,"0",G760*P760*100-(G760*$AF$14))))</f>
        <v/>
      </c>
      <c r="R760" s="79">
        <f>IF(P760&lt;&gt;"", TODAY(), "")</f>
        <v/>
      </c>
      <c r="S760" s="78">
        <f>IF(AND(K760&lt;&gt;"", R760&lt;&gt;""), R760-K760, "")</f>
        <v/>
      </c>
      <c r="T760" s="78" t="n"/>
      <c r="U760" s="92">
        <f>IF(ISBLANK(P760),"",IF(C760="Buy",Q760-M760+T760, IF(C760="Sell",M760-Q760-T760, X)))</f>
        <v/>
      </c>
      <c r="V760" s="81">
        <f>IF(ISBLANK(P760),"",U760/N760)</f>
        <v/>
      </c>
      <c r="W760" s="81">
        <f>IF(ISBLANK(P760),"",IF(S760=0,(365/0.5)*V760,(365/S760)*V760))</f>
        <v/>
      </c>
      <c r="X760" s="75" t="n"/>
      <c r="Y760" s="77" t="n"/>
      <c r="Z760" s="77" t="n"/>
      <c r="AA760" s="75" t="n"/>
      <c r="AB760" s="75" t="n"/>
      <c r="AC760" s="6" t="n"/>
      <c r="AD760" s="75" t="n"/>
      <c r="AE760" s="75" t="n"/>
      <c r="AF760" s="75" t="n"/>
    </row>
    <row r="761" ht="15.75" customHeight="1" s="133">
      <c r="A761" s="75" t="n"/>
      <c r="B761" s="75" t="n"/>
      <c r="C761" s="75" t="n"/>
      <c r="D761" s="75" t="n"/>
      <c r="E761" s="76" t="n"/>
      <c r="F761" s="77" t="n"/>
      <c r="G761" s="75" t="n"/>
      <c r="H761" s="75">
        <f>IF(ISBLANK(E761),"",IF(OR(D761="Butterfly",D761="Butterfly ",D761="Iron Fly", D761="Iron Fly "),LEN(E761)-LEN(SUBSTITUTE(E761,"/",""))+2,LEN(E761)-LEN(SUBSTITUTE(E761,"/",""))+1))</f>
        <v/>
      </c>
      <c r="I761" s="78">
        <f>IF(ISBLANK(G761),"",IF(D761="Stock","0",Key!$A$3*H761*G761))</f>
        <v/>
      </c>
      <c r="J761" s="78">
        <f>IF(ISBLANK(E761),"",IF(ISNUMBER(SEARCH("/",E761)), IF(LEN(E761)-LEN(SUBSTITUTE(E761,"/",""))=1,(RIGHT(E761,LEN(E761)-FIND("/",E761)))-(LEFT(E761,FIND("/",E761)-1)),(MID(E761, SEARCH("/",E761) + 1, SEARCH("/",E761, SEARCH("/",E761)+1) - SEARCH("/",E761) - 1))-(LEFT(E761,FIND("/",E761)-1))), "NA"))</f>
        <v/>
      </c>
      <c r="K761" s="79">
        <f>IF(A761&lt;&gt;"", IF(ISBLANK(L761), TODAY(), K761), "")</f>
        <v/>
      </c>
      <c r="L761" s="78" t="n"/>
      <c r="M761" s="78">
        <f>IF(ISBLANK(L761),"",IF(D761="Stock",IF(C761="Buy",L761*G761,IF(C761="Sell",(L761*G761)-I761, X)),IF(C761="Buy",(L761*G761*100)+I761,IF(C761="Sell",(L761*G761*100)-I761, X))))</f>
        <v/>
      </c>
      <c r="N761" s="78">
        <f>IF(ISBLANK(L761),"",IF(AND(C761="Sell",D761="Stock"),M761,IF(ISBLANK(L761),"",IF(C761="Buy",M761, IF(AND(C761="Sell",J761="NA"),(E761*G761*100*0.1)+I761, IF(C761="Sell",(J761-L761)*(100*G761)+I761))))))</f>
        <v/>
      </c>
      <c r="O761" s="75" t="n"/>
      <c r="P761" s="75" t="n"/>
      <c r="Q761" s="75">
        <f>IF(ISBLANK(P761),"",IF(D761="Stock",P761*G761,IF(P761=0,"0",G761*P761*100-(G761*$AF$14))))</f>
        <v/>
      </c>
      <c r="R761" s="79">
        <f>IF(P761&lt;&gt;"", TODAY(), "")</f>
        <v/>
      </c>
      <c r="S761" s="78">
        <f>IF(AND(K761&lt;&gt;"", R761&lt;&gt;""), R761-K761, "")</f>
        <v/>
      </c>
      <c r="T761" s="78" t="n"/>
      <c r="U761" s="92">
        <f>IF(ISBLANK(P761),"",IF(C761="Buy",Q761-M761+T761, IF(C761="Sell",M761-Q761-T761, X)))</f>
        <v/>
      </c>
      <c r="V761" s="81">
        <f>IF(ISBLANK(P761),"",U761/N761)</f>
        <v/>
      </c>
      <c r="W761" s="81">
        <f>IF(ISBLANK(P761),"",IF(S761=0,(365/0.5)*V761,(365/S761)*V761))</f>
        <v/>
      </c>
      <c r="X761" s="75" t="n"/>
      <c r="Y761" s="77" t="n"/>
      <c r="Z761" s="77" t="n"/>
      <c r="AA761" s="75" t="n"/>
      <c r="AB761" s="75" t="n"/>
      <c r="AC761" s="6" t="n"/>
      <c r="AD761" s="75" t="n"/>
      <c r="AE761" s="75" t="n"/>
      <c r="AF761" s="75" t="n"/>
    </row>
    <row r="762" ht="15.75" customHeight="1" s="133">
      <c r="A762" s="75" t="n"/>
      <c r="B762" s="75" t="n"/>
      <c r="C762" s="75" t="n"/>
      <c r="D762" s="75" t="n"/>
      <c r="E762" s="76" t="n"/>
      <c r="F762" s="77" t="n"/>
      <c r="G762" s="75" t="n"/>
      <c r="H762" s="75">
        <f>IF(ISBLANK(E762),"",IF(OR(D762="Butterfly",D762="Butterfly ",D762="Iron Fly", D762="Iron Fly "),LEN(E762)-LEN(SUBSTITUTE(E762,"/",""))+2,LEN(E762)-LEN(SUBSTITUTE(E762,"/",""))+1))</f>
        <v/>
      </c>
      <c r="I762" s="78">
        <f>IF(ISBLANK(G762),"",IF(D762="Stock","0",Key!$A$3*H762*G762))</f>
        <v/>
      </c>
      <c r="J762" s="78">
        <f>IF(ISBLANK(E762),"",IF(ISNUMBER(SEARCH("/",E762)), IF(LEN(E762)-LEN(SUBSTITUTE(E762,"/",""))=1,(RIGHT(E762,LEN(E762)-FIND("/",E762)))-(LEFT(E762,FIND("/",E762)-1)),(MID(E762, SEARCH("/",E762) + 1, SEARCH("/",E762, SEARCH("/",E762)+1) - SEARCH("/",E762) - 1))-(LEFT(E762,FIND("/",E762)-1))), "NA"))</f>
        <v/>
      </c>
      <c r="K762" s="79">
        <f>IF(A762&lt;&gt;"", IF(ISBLANK(L762), TODAY(), K762), "")</f>
        <v/>
      </c>
      <c r="L762" s="78" t="n"/>
      <c r="M762" s="78">
        <f>IF(ISBLANK(L762),"",IF(D762="Stock",IF(C762="Buy",L762*G762,IF(C762="Sell",(L762*G762)-I762, X)),IF(C762="Buy",(L762*G762*100)+I762,IF(C762="Sell",(L762*G762*100)-I762, X))))</f>
        <v/>
      </c>
      <c r="N762" s="78">
        <f>IF(ISBLANK(L762),"",IF(AND(C762="Sell",D762="Stock"),M762,IF(ISBLANK(L762),"",IF(C762="Buy",M762, IF(AND(C762="Sell",J762="NA"),(E762*G762*100*0.1)+I762, IF(C762="Sell",(J762-L762)*(100*G762)+I762))))))</f>
        <v/>
      </c>
      <c r="O762" s="75" t="n"/>
      <c r="P762" s="75" t="n"/>
      <c r="Q762" s="75">
        <f>IF(ISBLANK(P762),"",IF(D762="Stock",P762*G762,IF(P762=0,"0",G762*P762*100-(G762*$AF$14))))</f>
        <v/>
      </c>
      <c r="R762" s="79">
        <f>IF(P762&lt;&gt;"", TODAY(), "")</f>
        <v/>
      </c>
      <c r="S762" s="78">
        <f>IF(AND(K762&lt;&gt;"", R762&lt;&gt;""), R762-K762, "")</f>
        <v/>
      </c>
      <c r="T762" s="78" t="n"/>
      <c r="U762" s="92">
        <f>IF(ISBLANK(P762),"",IF(C762="Buy",Q762-M762+T762, IF(C762="Sell",M762-Q762-T762, X)))</f>
        <v/>
      </c>
      <c r="V762" s="81">
        <f>IF(ISBLANK(P762),"",U762/N762)</f>
        <v/>
      </c>
      <c r="W762" s="81">
        <f>IF(ISBLANK(P762),"",IF(S762=0,(365/0.5)*V762,(365/S762)*V762))</f>
        <v/>
      </c>
      <c r="X762" s="75" t="n"/>
      <c r="Y762" s="77" t="n"/>
      <c r="Z762" s="77" t="n"/>
      <c r="AA762" s="75" t="n"/>
      <c r="AB762" s="75" t="n"/>
      <c r="AC762" s="6" t="n"/>
      <c r="AD762" s="75" t="n"/>
      <c r="AE762" s="75" t="n"/>
      <c r="AF762" s="75" t="n"/>
    </row>
    <row r="763" ht="15.75" customHeight="1" s="133">
      <c r="A763" s="75" t="n"/>
      <c r="B763" s="75" t="n"/>
      <c r="C763" s="75" t="n"/>
      <c r="D763" s="75" t="n"/>
      <c r="E763" s="76" t="n"/>
      <c r="F763" s="77" t="n"/>
      <c r="G763" s="75" t="n"/>
      <c r="H763" s="75">
        <f>IF(ISBLANK(E763),"",IF(OR(D763="Butterfly",D763="Butterfly ",D763="Iron Fly", D763="Iron Fly "),LEN(E763)-LEN(SUBSTITUTE(E763,"/",""))+2,LEN(E763)-LEN(SUBSTITUTE(E763,"/",""))+1))</f>
        <v/>
      </c>
      <c r="I763" s="78">
        <f>IF(ISBLANK(G763),"",IF(D763="Stock","0",Key!$A$3*H763*G763))</f>
        <v/>
      </c>
      <c r="J763" s="78">
        <f>IF(ISBLANK(E763),"",IF(ISNUMBER(SEARCH("/",E763)), IF(LEN(E763)-LEN(SUBSTITUTE(E763,"/",""))=1,(RIGHT(E763,LEN(E763)-FIND("/",E763)))-(LEFT(E763,FIND("/",E763)-1)),(MID(E763, SEARCH("/",E763) + 1, SEARCH("/",E763, SEARCH("/",E763)+1) - SEARCH("/",E763) - 1))-(LEFT(E763,FIND("/",E763)-1))), "NA"))</f>
        <v/>
      </c>
      <c r="K763" s="79">
        <f>IF(A763&lt;&gt;"", IF(ISBLANK(L763), TODAY(), K763), "")</f>
        <v/>
      </c>
      <c r="L763" s="78" t="n"/>
      <c r="M763" s="78">
        <f>IF(ISBLANK(L763),"",IF(D763="Stock",IF(C763="Buy",L763*G763,IF(C763="Sell",(L763*G763)-I763, X)),IF(C763="Buy",(L763*G763*100)+I763,IF(C763="Sell",(L763*G763*100)-I763, X))))</f>
        <v/>
      </c>
      <c r="N763" s="78">
        <f>IF(ISBLANK(L763),"",IF(AND(C763="Sell",D763="Stock"),M763,IF(ISBLANK(L763),"",IF(C763="Buy",M763, IF(AND(C763="Sell",J763="NA"),(E763*G763*100*0.1)+I763, IF(C763="Sell",(J763-L763)*(100*G763)+I763))))))</f>
        <v/>
      </c>
      <c r="O763" s="75" t="n"/>
      <c r="P763" s="75" t="n"/>
      <c r="Q763" s="75">
        <f>IF(ISBLANK(P763),"",IF(D763="Stock",P763*G763,IF(P763=0,"0",G763*P763*100-(G763*$AF$14))))</f>
        <v/>
      </c>
      <c r="R763" s="79">
        <f>IF(P763&lt;&gt;"", TODAY(), "")</f>
        <v/>
      </c>
      <c r="S763" s="78">
        <f>IF(AND(K763&lt;&gt;"", R763&lt;&gt;""), R763-K763, "")</f>
        <v/>
      </c>
      <c r="T763" s="78" t="n"/>
      <c r="U763" s="92">
        <f>IF(ISBLANK(P763),"",IF(C763="Buy",Q763-M763+T763, IF(C763="Sell",M763-Q763-T763, X)))</f>
        <v/>
      </c>
      <c r="V763" s="81">
        <f>IF(ISBLANK(P763),"",U763/N763)</f>
        <v/>
      </c>
      <c r="W763" s="81">
        <f>IF(ISBLANK(P763),"",IF(S763=0,(365/0.5)*V763,(365/S763)*V763))</f>
        <v/>
      </c>
      <c r="X763" s="75" t="n"/>
      <c r="Y763" s="77" t="n"/>
      <c r="Z763" s="77" t="n"/>
      <c r="AA763" s="75" t="n"/>
      <c r="AB763" s="75" t="n"/>
      <c r="AC763" s="6" t="n"/>
      <c r="AD763" s="75" t="n"/>
      <c r="AE763" s="75" t="n"/>
      <c r="AF763" s="75" t="n"/>
    </row>
    <row r="764" ht="15.75" customHeight="1" s="133">
      <c r="A764" s="75" t="n"/>
      <c r="B764" s="75" t="n"/>
      <c r="C764" s="75" t="n"/>
      <c r="D764" s="75" t="n"/>
      <c r="E764" s="76" t="n"/>
      <c r="F764" s="77" t="n"/>
      <c r="G764" s="75" t="n"/>
      <c r="H764" s="75">
        <f>IF(ISBLANK(E764),"",IF(OR(D764="Butterfly",D764="Butterfly ",D764="Iron Fly", D764="Iron Fly "),LEN(E764)-LEN(SUBSTITUTE(E764,"/",""))+2,LEN(E764)-LEN(SUBSTITUTE(E764,"/",""))+1))</f>
        <v/>
      </c>
      <c r="I764" s="78">
        <f>IF(ISBLANK(G764),"",IF(D764="Stock","0",Key!$A$3*H764*G764))</f>
        <v/>
      </c>
      <c r="J764" s="78">
        <f>IF(ISBLANK(E764),"",IF(ISNUMBER(SEARCH("/",E764)), IF(LEN(E764)-LEN(SUBSTITUTE(E764,"/",""))=1,(RIGHT(E764,LEN(E764)-FIND("/",E764)))-(LEFT(E764,FIND("/",E764)-1)),(MID(E764, SEARCH("/",E764) + 1, SEARCH("/",E764, SEARCH("/",E764)+1) - SEARCH("/",E764) - 1))-(LEFT(E764,FIND("/",E764)-1))), "NA"))</f>
        <v/>
      </c>
      <c r="K764" s="79">
        <f>IF(A764&lt;&gt;"", IF(ISBLANK(L764), TODAY(), K764), "")</f>
        <v/>
      </c>
      <c r="L764" s="78" t="n"/>
      <c r="M764" s="78">
        <f>IF(ISBLANK(L764),"",IF(D764="Stock",IF(C764="Buy",L764*G764,IF(C764="Sell",(L764*G764)-I764, X)),IF(C764="Buy",(L764*G764*100)+I764,IF(C764="Sell",(L764*G764*100)-I764, X))))</f>
        <v/>
      </c>
      <c r="N764" s="78">
        <f>IF(ISBLANK(L764),"",IF(AND(C764="Sell",D764="Stock"),M764,IF(ISBLANK(L764),"",IF(C764="Buy",M764, IF(AND(C764="Sell",J764="NA"),(E764*G764*100*0.1)+I764, IF(C764="Sell",(J764-L764)*(100*G764)+I764))))))</f>
        <v/>
      </c>
      <c r="O764" s="75" t="n"/>
      <c r="P764" s="75" t="n"/>
      <c r="Q764" s="75">
        <f>IF(ISBLANK(P764),"",IF(D764="Stock",P764*G764,IF(P764=0,"0",G764*P764*100-(G764*$AF$14))))</f>
        <v/>
      </c>
      <c r="R764" s="79">
        <f>IF(P764&lt;&gt;"", TODAY(), "")</f>
        <v/>
      </c>
      <c r="S764" s="78">
        <f>IF(AND(K764&lt;&gt;"", R764&lt;&gt;""), R764-K764, "")</f>
        <v/>
      </c>
      <c r="T764" s="78" t="n"/>
      <c r="U764" s="92">
        <f>IF(ISBLANK(P764),"",IF(C764="Buy",Q764-M764+T764, IF(C764="Sell",M764-Q764-T764, X)))</f>
        <v/>
      </c>
      <c r="V764" s="81">
        <f>IF(ISBLANK(P764),"",U764/N764)</f>
        <v/>
      </c>
      <c r="W764" s="81">
        <f>IF(ISBLANK(P764),"",IF(S764=0,(365/0.5)*V764,(365/S764)*V764))</f>
        <v/>
      </c>
      <c r="X764" s="75" t="n"/>
      <c r="Y764" s="77" t="n"/>
      <c r="Z764" s="77" t="n"/>
      <c r="AA764" s="75" t="n"/>
      <c r="AB764" s="75" t="n"/>
      <c r="AC764" s="6" t="n"/>
      <c r="AD764" s="75" t="n"/>
      <c r="AE764" s="75" t="n"/>
      <c r="AF764" s="75" t="n"/>
    </row>
    <row r="765" ht="15.75" customHeight="1" s="133">
      <c r="A765" s="75" t="n"/>
      <c r="B765" s="75" t="n"/>
      <c r="C765" s="75" t="n"/>
      <c r="D765" s="75" t="n"/>
      <c r="E765" s="76" t="n"/>
      <c r="F765" s="77" t="n"/>
      <c r="G765" s="75" t="n"/>
      <c r="H765" s="75">
        <f>IF(ISBLANK(E765),"",IF(OR(D765="Butterfly",D765="Butterfly ",D765="Iron Fly", D765="Iron Fly "),LEN(E765)-LEN(SUBSTITUTE(E765,"/",""))+2,LEN(E765)-LEN(SUBSTITUTE(E765,"/",""))+1))</f>
        <v/>
      </c>
      <c r="I765" s="78">
        <f>IF(ISBLANK(G765),"",IF(D765="Stock","0",Key!$A$3*H765*G765))</f>
        <v/>
      </c>
      <c r="J765" s="78">
        <f>IF(ISBLANK(E765),"",IF(ISNUMBER(SEARCH("/",E765)), IF(LEN(E765)-LEN(SUBSTITUTE(E765,"/",""))=1,(RIGHT(E765,LEN(E765)-FIND("/",E765)))-(LEFT(E765,FIND("/",E765)-1)),(MID(E765, SEARCH("/",E765) + 1, SEARCH("/",E765, SEARCH("/",E765)+1) - SEARCH("/",E765) - 1))-(LEFT(E765,FIND("/",E765)-1))), "NA"))</f>
        <v/>
      </c>
      <c r="K765" s="79">
        <f>IF(A765&lt;&gt;"", IF(ISBLANK(L765), TODAY(), K765), "")</f>
        <v/>
      </c>
      <c r="L765" s="78" t="n"/>
      <c r="M765" s="78">
        <f>IF(ISBLANK(L765),"",IF(D765="Stock",IF(C765="Buy",L765*G765,IF(C765="Sell",(L765*G765)-I765, X)),IF(C765="Buy",(L765*G765*100)+I765,IF(C765="Sell",(L765*G765*100)-I765, X))))</f>
        <v/>
      </c>
      <c r="N765" s="78">
        <f>IF(ISBLANK(L765),"",IF(AND(C765="Sell",D765="Stock"),M765,IF(ISBLANK(L765),"",IF(C765="Buy",M765, IF(AND(C765="Sell",J765="NA"),(E765*G765*100*0.1)+I765, IF(C765="Sell",(J765-L765)*(100*G765)+I765))))))</f>
        <v/>
      </c>
      <c r="O765" s="75" t="n"/>
      <c r="P765" s="75" t="n"/>
      <c r="Q765" s="75">
        <f>IF(ISBLANK(P765),"",IF(D765="Stock",P765*G765,IF(P765=0,"0",G765*P765*100-(G765*$AF$14))))</f>
        <v/>
      </c>
      <c r="R765" s="79">
        <f>IF(P765&lt;&gt;"", TODAY(), "")</f>
        <v/>
      </c>
      <c r="S765" s="78">
        <f>IF(AND(K765&lt;&gt;"", R765&lt;&gt;""), R765-K765, "")</f>
        <v/>
      </c>
      <c r="T765" s="78" t="n"/>
      <c r="U765" s="92">
        <f>IF(ISBLANK(P765),"",IF(C765="Buy",Q765-M765+T765, IF(C765="Sell",M765-Q765-T765, X)))</f>
        <v/>
      </c>
      <c r="V765" s="81">
        <f>IF(ISBLANK(P765),"",U765/N765)</f>
        <v/>
      </c>
      <c r="W765" s="81">
        <f>IF(ISBLANK(P765),"",IF(S765=0,(365/0.5)*V765,(365/S765)*V765))</f>
        <v/>
      </c>
      <c r="X765" s="75" t="n"/>
      <c r="Y765" s="77" t="n"/>
      <c r="Z765" s="77" t="n"/>
      <c r="AA765" s="75" t="n"/>
      <c r="AB765" s="75" t="n"/>
      <c r="AC765" s="6" t="n"/>
      <c r="AD765" s="75" t="n"/>
      <c r="AE765" s="75" t="n"/>
      <c r="AF765" s="75" t="n"/>
    </row>
    <row r="766" ht="15.75" customHeight="1" s="133">
      <c r="A766" s="75" t="n"/>
      <c r="B766" s="75" t="n"/>
      <c r="C766" s="75" t="n"/>
      <c r="D766" s="75" t="n"/>
      <c r="E766" s="76" t="n"/>
      <c r="F766" s="77" t="n"/>
      <c r="G766" s="75" t="n"/>
      <c r="H766" s="75">
        <f>IF(ISBLANK(E766),"",IF(OR(D766="Butterfly",D766="Butterfly ",D766="Iron Fly", D766="Iron Fly "),LEN(E766)-LEN(SUBSTITUTE(E766,"/",""))+2,LEN(E766)-LEN(SUBSTITUTE(E766,"/",""))+1))</f>
        <v/>
      </c>
      <c r="I766" s="78">
        <f>IF(ISBLANK(G766),"",IF(D766="Stock","0",Key!$A$3*H766*G766))</f>
        <v/>
      </c>
      <c r="J766" s="78">
        <f>IF(ISBLANK(E766),"",IF(ISNUMBER(SEARCH("/",E766)), IF(LEN(E766)-LEN(SUBSTITUTE(E766,"/",""))=1,(RIGHT(E766,LEN(E766)-FIND("/",E766)))-(LEFT(E766,FIND("/",E766)-1)),(MID(E766, SEARCH("/",E766) + 1, SEARCH("/",E766, SEARCH("/",E766)+1) - SEARCH("/",E766) - 1))-(LEFT(E766,FIND("/",E766)-1))), "NA"))</f>
        <v/>
      </c>
      <c r="K766" s="79">
        <f>IF(A766&lt;&gt;"", IF(ISBLANK(L766), TODAY(), K766), "")</f>
        <v/>
      </c>
      <c r="L766" s="78" t="n"/>
      <c r="M766" s="78">
        <f>IF(ISBLANK(L766),"",IF(D766="Stock",IF(C766="Buy",L766*G766,IF(C766="Sell",(L766*G766)-I766, X)),IF(C766="Buy",(L766*G766*100)+I766,IF(C766="Sell",(L766*G766*100)-I766, X))))</f>
        <v/>
      </c>
      <c r="N766" s="78">
        <f>IF(ISBLANK(L766),"",IF(AND(C766="Sell",D766="Stock"),M766,IF(ISBLANK(L766),"",IF(C766="Buy",M766, IF(AND(C766="Sell",J766="NA"),(E766*G766*100*0.1)+I766, IF(C766="Sell",(J766-L766)*(100*G766)+I766))))))</f>
        <v/>
      </c>
      <c r="O766" s="75" t="n"/>
      <c r="P766" s="75" t="n"/>
      <c r="Q766" s="75">
        <f>IF(ISBLANK(P766),"",IF(D766="Stock",P766*G766,IF(P766=0,"0",G766*P766*100-(G766*$AF$14))))</f>
        <v/>
      </c>
      <c r="R766" s="79">
        <f>IF(P766&lt;&gt;"", TODAY(), "")</f>
        <v/>
      </c>
      <c r="S766" s="78">
        <f>IF(AND(K766&lt;&gt;"", R766&lt;&gt;""), R766-K766, "")</f>
        <v/>
      </c>
      <c r="T766" s="78" t="n"/>
      <c r="U766" s="92">
        <f>IF(ISBLANK(P766),"",IF(C766="Buy",Q766-M766+T766, IF(C766="Sell",M766-Q766-T766, X)))</f>
        <v/>
      </c>
      <c r="V766" s="81">
        <f>IF(ISBLANK(P766),"",U766/N766)</f>
        <v/>
      </c>
      <c r="W766" s="81">
        <f>IF(ISBLANK(P766),"",IF(S766=0,(365/0.5)*V766,(365/S766)*V766))</f>
        <v/>
      </c>
      <c r="X766" s="75" t="n"/>
      <c r="Y766" s="77" t="n"/>
      <c r="Z766" s="77" t="n"/>
      <c r="AA766" s="75" t="n"/>
      <c r="AB766" s="75" t="n"/>
      <c r="AC766" s="6" t="n"/>
      <c r="AD766" s="75" t="n"/>
      <c r="AE766" s="75" t="n"/>
      <c r="AF766" s="75" t="n"/>
    </row>
    <row r="767" ht="15.75" customHeight="1" s="133">
      <c r="A767" s="75" t="n"/>
      <c r="B767" s="75" t="n"/>
      <c r="C767" s="75" t="n"/>
      <c r="D767" s="75" t="n"/>
      <c r="E767" s="76" t="n"/>
      <c r="F767" s="77" t="n"/>
      <c r="G767" s="75" t="n"/>
      <c r="H767" s="75">
        <f>IF(ISBLANK(E767),"",IF(OR(D767="Butterfly",D767="Butterfly ",D767="Iron Fly", D767="Iron Fly "),LEN(E767)-LEN(SUBSTITUTE(E767,"/",""))+2,LEN(E767)-LEN(SUBSTITUTE(E767,"/",""))+1))</f>
        <v/>
      </c>
      <c r="I767" s="78">
        <f>IF(ISBLANK(G767),"",IF(D767="Stock","0",Key!$A$3*H767*G767))</f>
        <v/>
      </c>
      <c r="J767" s="78">
        <f>IF(ISBLANK(E767),"",IF(ISNUMBER(SEARCH("/",E767)), IF(LEN(E767)-LEN(SUBSTITUTE(E767,"/",""))=1,(RIGHT(E767,LEN(E767)-FIND("/",E767)))-(LEFT(E767,FIND("/",E767)-1)),(MID(E767, SEARCH("/",E767) + 1, SEARCH("/",E767, SEARCH("/",E767)+1) - SEARCH("/",E767) - 1))-(LEFT(E767,FIND("/",E767)-1))), "NA"))</f>
        <v/>
      </c>
      <c r="K767" s="79">
        <f>IF(A767&lt;&gt;"", IF(ISBLANK(L767), TODAY(), K767), "")</f>
        <v/>
      </c>
      <c r="L767" s="78" t="n"/>
      <c r="M767" s="78">
        <f>IF(ISBLANK(L767),"",IF(D767="Stock",IF(C767="Buy",L767*G767,IF(C767="Sell",(L767*G767)-I767, X)),IF(C767="Buy",(L767*G767*100)+I767,IF(C767="Sell",(L767*G767*100)-I767, X))))</f>
        <v/>
      </c>
      <c r="N767" s="78">
        <f>IF(ISBLANK(L767),"",IF(AND(C767="Sell",D767="Stock"),M767,IF(ISBLANK(L767),"",IF(C767="Buy",M767, IF(AND(C767="Sell",J767="NA"),(E767*G767*100*0.1)+I767, IF(C767="Sell",(J767-L767)*(100*G767)+I767))))))</f>
        <v/>
      </c>
      <c r="O767" s="75" t="n"/>
      <c r="P767" s="75" t="n"/>
      <c r="Q767" s="75">
        <f>IF(ISBLANK(P767),"",IF(D767="Stock",P767*G767,IF(P767=0,"0",G767*P767*100-(G767*$AF$14))))</f>
        <v/>
      </c>
      <c r="R767" s="79">
        <f>IF(P767&lt;&gt;"", TODAY(), "")</f>
        <v/>
      </c>
      <c r="S767" s="78">
        <f>IF(AND(K767&lt;&gt;"", R767&lt;&gt;""), R767-K767, "")</f>
        <v/>
      </c>
      <c r="T767" s="78" t="n"/>
      <c r="U767" s="92">
        <f>IF(ISBLANK(P767),"",IF(C767="Buy",Q767-M767+T767, IF(C767="Sell",M767-Q767-T767, X)))</f>
        <v/>
      </c>
      <c r="V767" s="81">
        <f>IF(ISBLANK(P767),"",U767/N767)</f>
        <v/>
      </c>
      <c r="W767" s="81">
        <f>IF(ISBLANK(P767),"",IF(S767=0,(365/0.5)*V767,(365/S767)*V767))</f>
        <v/>
      </c>
      <c r="X767" s="75" t="n"/>
      <c r="Y767" s="77" t="n"/>
      <c r="Z767" s="77" t="n"/>
      <c r="AA767" s="75" t="n"/>
      <c r="AB767" s="75" t="n"/>
      <c r="AC767" s="6" t="n"/>
      <c r="AD767" s="75" t="n"/>
      <c r="AE767" s="75" t="n"/>
      <c r="AF767" s="75" t="n"/>
    </row>
    <row r="768" ht="15.75" customHeight="1" s="133">
      <c r="A768" s="75" t="n"/>
      <c r="B768" s="75" t="n"/>
      <c r="C768" s="75" t="n"/>
      <c r="D768" s="75" t="n"/>
      <c r="E768" s="76" t="n"/>
      <c r="F768" s="77" t="n"/>
      <c r="G768" s="75" t="n"/>
      <c r="H768" s="75">
        <f>IF(ISBLANK(E768),"",IF(OR(D768="Butterfly",D768="Butterfly ",D768="Iron Fly", D768="Iron Fly "),LEN(E768)-LEN(SUBSTITUTE(E768,"/",""))+2,LEN(E768)-LEN(SUBSTITUTE(E768,"/",""))+1))</f>
        <v/>
      </c>
      <c r="I768" s="78">
        <f>IF(ISBLANK(G768),"",IF(D768="Stock","0",Key!$A$3*H768*G768))</f>
        <v/>
      </c>
      <c r="J768" s="78">
        <f>IF(ISBLANK(E768),"",IF(ISNUMBER(SEARCH("/",E768)), IF(LEN(E768)-LEN(SUBSTITUTE(E768,"/",""))=1,(RIGHT(E768,LEN(E768)-FIND("/",E768)))-(LEFT(E768,FIND("/",E768)-1)),(MID(E768, SEARCH("/",E768) + 1, SEARCH("/",E768, SEARCH("/",E768)+1) - SEARCH("/",E768) - 1))-(LEFT(E768,FIND("/",E768)-1))), "NA"))</f>
        <v/>
      </c>
      <c r="K768" s="79">
        <f>IF(A768&lt;&gt;"", IF(ISBLANK(L768), TODAY(), K768), "")</f>
        <v/>
      </c>
      <c r="L768" s="78" t="n"/>
      <c r="M768" s="78">
        <f>IF(ISBLANK(L768),"",IF(D768="Stock",IF(C768="Buy",L768*G768,IF(C768="Sell",(L768*G768)-I768, X)),IF(C768="Buy",(L768*G768*100)+I768,IF(C768="Sell",(L768*G768*100)-I768, X))))</f>
        <v/>
      </c>
      <c r="N768" s="78">
        <f>IF(ISBLANK(L768),"",IF(AND(C768="Sell",D768="Stock"),M768,IF(ISBLANK(L768),"",IF(C768="Buy",M768, IF(AND(C768="Sell",J768="NA"),(E768*G768*100*0.1)+I768, IF(C768="Sell",(J768-L768)*(100*G768)+I768))))))</f>
        <v/>
      </c>
      <c r="O768" s="75" t="n"/>
      <c r="P768" s="75" t="n"/>
      <c r="Q768" s="75">
        <f>IF(ISBLANK(P768),"",IF(D768="Stock",P768*G768,IF(P768=0,"0",G768*P768*100-(G768*$AF$14))))</f>
        <v/>
      </c>
      <c r="R768" s="79">
        <f>IF(P768&lt;&gt;"", TODAY(), "")</f>
        <v/>
      </c>
      <c r="S768" s="78">
        <f>IF(AND(K768&lt;&gt;"", R768&lt;&gt;""), R768-K768, "")</f>
        <v/>
      </c>
      <c r="T768" s="78" t="n"/>
      <c r="U768" s="92">
        <f>IF(ISBLANK(P768),"",IF(C768="Buy",Q768-M768+T768, IF(C768="Sell",M768-Q768-T768, X)))</f>
        <v/>
      </c>
      <c r="V768" s="81">
        <f>IF(ISBLANK(P768),"",U768/N768)</f>
        <v/>
      </c>
      <c r="W768" s="81">
        <f>IF(ISBLANK(P768),"",IF(S768=0,(365/0.5)*V768,(365/S768)*V768))</f>
        <v/>
      </c>
      <c r="X768" s="75" t="n"/>
      <c r="Y768" s="77" t="n"/>
      <c r="Z768" s="77" t="n"/>
      <c r="AA768" s="75" t="n"/>
      <c r="AB768" s="75" t="n"/>
      <c r="AC768" s="6" t="n"/>
      <c r="AD768" s="75" t="n"/>
      <c r="AE768" s="75" t="n"/>
      <c r="AF768" s="75" t="n"/>
    </row>
    <row r="769" ht="15.75" customHeight="1" s="133">
      <c r="A769" s="75" t="n"/>
      <c r="B769" s="75" t="n"/>
      <c r="C769" s="75" t="n"/>
      <c r="D769" s="75" t="n"/>
      <c r="E769" s="76" t="n"/>
      <c r="F769" s="77" t="n"/>
      <c r="G769" s="75" t="n"/>
      <c r="H769" s="75">
        <f>IF(ISBLANK(E769),"",IF(OR(D769="Butterfly",D769="Butterfly ",D769="Iron Fly", D769="Iron Fly "),LEN(E769)-LEN(SUBSTITUTE(E769,"/",""))+2,LEN(E769)-LEN(SUBSTITUTE(E769,"/",""))+1))</f>
        <v/>
      </c>
      <c r="I769" s="78">
        <f>IF(ISBLANK(G769),"",IF(D769="Stock","0",Key!$A$3*H769*G769))</f>
        <v/>
      </c>
      <c r="J769" s="78">
        <f>IF(ISBLANK(E769),"",IF(ISNUMBER(SEARCH("/",E769)), IF(LEN(E769)-LEN(SUBSTITUTE(E769,"/",""))=1,(RIGHT(E769,LEN(E769)-FIND("/",E769)))-(LEFT(E769,FIND("/",E769)-1)),(MID(E769, SEARCH("/",E769) + 1, SEARCH("/",E769, SEARCH("/",E769)+1) - SEARCH("/",E769) - 1))-(LEFT(E769,FIND("/",E769)-1))), "NA"))</f>
        <v/>
      </c>
      <c r="K769" s="79">
        <f>IF(A769&lt;&gt;"", IF(ISBLANK(L769), TODAY(), K769), "")</f>
        <v/>
      </c>
      <c r="L769" s="78" t="n"/>
      <c r="M769" s="78">
        <f>IF(ISBLANK(L769),"",IF(D769="Stock",IF(C769="Buy",L769*G769,IF(C769="Sell",(L769*G769)-I769, X)),IF(C769="Buy",(L769*G769*100)+I769,IF(C769="Sell",(L769*G769*100)-I769, X))))</f>
        <v/>
      </c>
      <c r="N769" s="78">
        <f>IF(ISBLANK(L769),"",IF(AND(C769="Sell",D769="Stock"),M769,IF(ISBLANK(L769),"",IF(C769="Buy",M769, IF(AND(C769="Sell",J769="NA"),(E769*G769*100*0.1)+I769, IF(C769="Sell",(J769-L769)*(100*G769)+I769))))))</f>
        <v/>
      </c>
      <c r="O769" s="75" t="n"/>
      <c r="P769" s="75" t="n"/>
      <c r="Q769" s="75">
        <f>IF(ISBLANK(P769),"",IF(D769="Stock",P769*G769,IF(P769=0,"0",G769*P769*100-(G769*$AF$14))))</f>
        <v/>
      </c>
      <c r="R769" s="79">
        <f>IF(P769&lt;&gt;"", TODAY(), "")</f>
        <v/>
      </c>
      <c r="S769" s="78">
        <f>IF(AND(K769&lt;&gt;"", R769&lt;&gt;""), R769-K769, "")</f>
        <v/>
      </c>
      <c r="T769" s="78" t="n"/>
      <c r="U769" s="92">
        <f>IF(ISBLANK(P769),"",IF(C769="Buy",Q769-M769+T769, IF(C769="Sell",M769-Q769-T769, X)))</f>
        <v/>
      </c>
      <c r="V769" s="81">
        <f>IF(ISBLANK(P769),"",U769/N769)</f>
        <v/>
      </c>
      <c r="W769" s="81">
        <f>IF(ISBLANK(P769),"",IF(S769=0,(365/0.5)*V769,(365/S769)*V769))</f>
        <v/>
      </c>
      <c r="X769" s="75" t="n"/>
      <c r="Y769" s="77" t="n"/>
      <c r="Z769" s="77" t="n"/>
      <c r="AA769" s="75" t="n"/>
      <c r="AB769" s="75" t="n"/>
      <c r="AC769" s="6" t="n"/>
      <c r="AD769" s="75" t="n"/>
      <c r="AE769" s="75" t="n"/>
      <c r="AF769" s="75" t="n"/>
    </row>
    <row r="770" ht="15.75" customHeight="1" s="133">
      <c r="A770" s="75" t="n"/>
      <c r="B770" s="75" t="n"/>
      <c r="C770" s="75" t="n"/>
      <c r="D770" s="75" t="n"/>
      <c r="E770" s="76" t="n"/>
      <c r="F770" s="77" t="n"/>
      <c r="G770" s="75" t="n"/>
      <c r="H770" s="75">
        <f>IF(ISBLANK(E770),"",IF(OR(D770="Butterfly",D770="Butterfly ",D770="Iron Fly", D770="Iron Fly "),LEN(E770)-LEN(SUBSTITUTE(E770,"/",""))+2,LEN(E770)-LEN(SUBSTITUTE(E770,"/",""))+1))</f>
        <v/>
      </c>
      <c r="I770" s="78">
        <f>IF(ISBLANK(G770),"",IF(D770="Stock","0",Key!$A$3*H770*G770))</f>
        <v/>
      </c>
      <c r="J770" s="78">
        <f>IF(ISBLANK(E770),"",IF(ISNUMBER(SEARCH("/",E770)), IF(LEN(E770)-LEN(SUBSTITUTE(E770,"/",""))=1,(RIGHT(E770,LEN(E770)-FIND("/",E770)))-(LEFT(E770,FIND("/",E770)-1)),(MID(E770, SEARCH("/",E770) + 1, SEARCH("/",E770, SEARCH("/",E770)+1) - SEARCH("/",E770) - 1))-(LEFT(E770,FIND("/",E770)-1))), "NA"))</f>
        <v/>
      </c>
      <c r="K770" s="79">
        <f>IF(A770&lt;&gt;"", IF(ISBLANK(L770), TODAY(), K770), "")</f>
        <v/>
      </c>
      <c r="L770" s="78" t="n"/>
      <c r="M770" s="78">
        <f>IF(ISBLANK(L770),"",IF(D770="Stock",IF(C770="Buy",L770*G770,IF(C770="Sell",(L770*G770)-I770, X)),IF(C770="Buy",(L770*G770*100)+I770,IF(C770="Sell",(L770*G770*100)-I770, X))))</f>
        <v/>
      </c>
      <c r="N770" s="78">
        <f>IF(ISBLANK(L770),"",IF(AND(C770="Sell",D770="Stock"),M770,IF(ISBLANK(L770),"",IF(C770="Buy",M770, IF(AND(C770="Sell",J770="NA"),(E770*G770*100*0.1)+I770, IF(C770="Sell",(J770-L770)*(100*G770)+I770))))))</f>
        <v/>
      </c>
      <c r="O770" s="75" t="n"/>
      <c r="P770" s="75" t="n"/>
      <c r="Q770" s="75">
        <f>IF(ISBLANK(P770),"",IF(D770="Stock",P770*G770,IF(P770=0,"0",G770*P770*100-(G770*$AF$14))))</f>
        <v/>
      </c>
      <c r="R770" s="79">
        <f>IF(P770&lt;&gt;"", TODAY(), "")</f>
        <v/>
      </c>
      <c r="S770" s="78">
        <f>IF(AND(K770&lt;&gt;"", R770&lt;&gt;""), R770-K770, "")</f>
        <v/>
      </c>
      <c r="T770" s="78" t="n"/>
      <c r="U770" s="92">
        <f>IF(ISBLANK(P770),"",IF(C770="Buy",Q770-M770+T770, IF(C770="Sell",M770-Q770-T770, X)))</f>
        <v/>
      </c>
      <c r="V770" s="81">
        <f>IF(ISBLANK(P770),"",U770/N770)</f>
        <v/>
      </c>
      <c r="W770" s="81">
        <f>IF(ISBLANK(P770),"",IF(S770=0,(365/0.5)*V770,(365/S770)*V770))</f>
        <v/>
      </c>
      <c r="X770" s="75" t="n"/>
      <c r="Y770" s="77" t="n"/>
      <c r="Z770" s="77" t="n"/>
      <c r="AA770" s="75" t="n"/>
      <c r="AB770" s="75" t="n"/>
      <c r="AC770" s="6" t="n"/>
      <c r="AD770" s="75" t="n"/>
      <c r="AE770" s="75" t="n"/>
      <c r="AF770" s="75" t="n"/>
    </row>
    <row r="771" ht="15.75" customHeight="1" s="133">
      <c r="A771" s="75" t="n"/>
      <c r="B771" s="75" t="n"/>
      <c r="C771" s="75" t="n"/>
      <c r="D771" s="75" t="n"/>
      <c r="E771" s="76" t="n"/>
      <c r="F771" s="77" t="n"/>
      <c r="G771" s="75" t="n"/>
      <c r="H771" s="75">
        <f>IF(ISBLANK(E771),"",IF(OR(D771="Butterfly",D771="Butterfly ",D771="Iron Fly", D771="Iron Fly "),LEN(E771)-LEN(SUBSTITUTE(E771,"/",""))+2,LEN(E771)-LEN(SUBSTITUTE(E771,"/",""))+1))</f>
        <v/>
      </c>
      <c r="I771" s="78">
        <f>IF(ISBLANK(G771),"",IF(D771="Stock","0",Key!$A$3*H771*G771))</f>
        <v/>
      </c>
      <c r="J771" s="78">
        <f>IF(ISBLANK(E771),"",IF(ISNUMBER(SEARCH("/",E771)), IF(LEN(E771)-LEN(SUBSTITUTE(E771,"/",""))=1,(RIGHT(E771,LEN(E771)-FIND("/",E771)))-(LEFT(E771,FIND("/",E771)-1)),(MID(E771, SEARCH("/",E771) + 1, SEARCH("/",E771, SEARCH("/",E771)+1) - SEARCH("/",E771) - 1))-(LEFT(E771,FIND("/",E771)-1))), "NA"))</f>
        <v/>
      </c>
      <c r="K771" s="79">
        <f>IF(A771&lt;&gt;"", IF(ISBLANK(L771), TODAY(), K771), "")</f>
        <v/>
      </c>
      <c r="L771" s="78" t="n"/>
      <c r="M771" s="78">
        <f>IF(ISBLANK(L771),"",IF(D771="Stock",IF(C771="Buy",L771*G771,IF(C771="Sell",(L771*G771)-I771, X)),IF(C771="Buy",(L771*G771*100)+I771,IF(C771="Sell",(L771*G771*100)-I771, X))))</f>
        <v/>
      </c>
      <c r="N771" s="78">
        <f>IF(ISBLANK(L771),"",IF(AND(C771="Sell",D771="Stock"),M771,IF(ISBLANK(L771),"",IF(C771="Buy",M771, IF(AND(C771="Sell",J771="NA"),(E771*G771*100*0.1)+I771, IF(C771="Sell",(J771-L771)*(100*G771)+I771))))))</f>
        <v/>
      </c>
      <c r="O771" s="75" t="n"/>
      <c r="P771" s="75" t="n"/>
      <c r="Q771" s="75">
        <f>IF(ISBLANK(P771),"",IF(D771="Stock",P771*G771,IF(P771=0,"0",G771*P771*100-(G771*$AF$14))))</f>
        <v/>
      </c>
      <c r="R771" s="79">
        <f>IF(P771&lt;&gt;"", TODAY(), "")</f>
        <v/>
      </c>
      <c r="S771" s="78">
        <f>IF(AND(K771&lt;&gt;"", R771&lt;&gt;""), R771-K771, "")</f>
        <v/>
      </c>
      <c r="T771" s="78" t="n"/>
      <c r="U771" s="92">
        <f>IF(ISBLANK(P771),"",IF(C771="Buy",Q771-M771+T771, IF(C771="Sell",M771-Q771-T771, X)))</f>
        <v/>
      </c>
      <c r="V771" s="81">
        <f>IF(ISBLANK(P771),"",U771/N771)</f>
        <v/>
      </c>
      <c r="W771" s="81">
        <f>IF(ISBLANK(P771),"",IF(S771=0,(365/0.5)*V771,(365/S771)*V771))</f>
        <v/>
      </c>
      <c r="X771" s="75" t="n"/>
      <c r="Y771" s="77" t="n"/>
      <c r="Z771" s="77" t="n"/>
      <c r="AA771" s="75" t="n"/>
      <c r="AB771" s="75" t="n"/>
      <c r="AC771" s="6" t="n"/>
      <c r="AD771" s="75" t="n"/>
      <c r="AE771" s="75" t="n"/>
      <c r="AF771" s="75" t="n"/>
    </row>
    <row r="772" ht="15.75" customHeight="1" s="133">
      <c r="A772" s="75" t="n"/>
      <c r="B772" s="75" t="n"/>
      <c r="C772" s="75" t="n"/>
      <c r="D772" s="75" t="n"/>
      <c r="E772" s="76" t="n"/>
      <c r="F772" s="77" t="n"/>
      <c r="G772" s="75" t="n"/>
      <c r="H772" s="75">
        <f>IF(ISBLANK(E772),"",IF(OR(D772="Butterfly",D772="Butterfly ",D772="Iron Fly", D772="Iron Fly "),LEN(E772)-LEN(SUBSTITUTE(E772,"/",""))+2,LEN(E772)-LEN(SUBSTITUTE(E772,"/",""))+1))</f>
        <v/>
      </c>
      <c r="I772" s="78">
        <f>IF(ISBLANK(G772),"",IF(D772="Stock","0",Key!$A$3*H772*G772))</f>
        <v/>
      </c>
      <c r="J772" s="78">
        <f>IF(ISBLANK(E772),"",IF(ISNUMBER(SEARCH("/",E772)), IF(LEN(E772)-LEN(SUBSTITUTE(E772,"/",""))=1,(RIGHT(E772,LEN(E772)-FIND("/",E772)))-(LEFT(E772,FIND("/",E772)-1)),(MID(E772, SEARCH("/",E772) + 1, SEARCH("/",E772, SEARCH("/",E772)+1) - SEARCH("/",E772) - 1))-(LEFT(E772,FIND("/",E772)-1))), "NA"))</f>
        <v/>
      </c>
      <c r="K772" s="79">
        <f>IF(A772&lt;&gt;"", IF(ISBLANK(L772), TODAY(), K772), "")</f>
        <v/>
      </c>
      <c r="L772" s="78" t="n"/>
      <c r="M772" s="78">
        <f>IF(ISBLANK(L772),"",IF(D772="Stock",IF(C772="Buy",L772*G772,IF(C772="Sell",(L772*G772)-I772, X)),IF(C772="Buy",(L772*G772*100)+I772,IF(C772="Sell",(L772*G772*100)-I772, X))))</f>
        <v/>
      </c>
      <c r="N772" s="78">
        <f>IF(ISBLANK(L772),"",IF(AND(C772="Sell",D772="Stock"),M772,IF(ISBLANK(L772),"",IF(C772="Buy",M772, IF(AND(C772="Sell",J772="NA"),(E772*G772*100*0.1)+I772, IF(C772="Sell",(J772-L772)*(100*G772)+I772))))))</f>
        <v/>
      </c>
      <c r="O772" s="75" t="n"/>
      <c r="P772" s="75" t="n"/>
      <c r="Q772" s="75">
        <f>IF(ISBLANK(P772),"",IF(D772="Stock",P772*G772,IF(P772=0,"0",G772*P772*100-(G772*$AF$14))))</f>
        <v/>
      </c>
      <c r="R772" s="79">
        <f>IF(P772&lt;&gt;"", TODAY(), "")</f>
        <v/>
      </c>
      <c r="S772" s="78">
        <f>IF(AND(K772&lt;&gt;"", R772&lt;&gt;""), R772-K772, "")</f>
        <v/>
      </c>
      <c r="T772" s="78" t="n"/>
      <c r="U772" s="92">
        <f>IF(ISBLANK(P772),"",IF(C772="Buy",Q772-M772+T772, IF(C772="Sell",M772-Q772-T772, X)))</f>
        <v/>
      </c>
      <c r="V772" s="81">
        <f>IF(ISBLANK(P772),"",U772/N772)</f>
        <v/>
      </c>
      <c r="W772" s="81">
        <f>IF(ISBLANK(P772),"",IF(S772=0,(365/0.5)*V772,(365/S772)*V772))</f>
        <v/>
      </c>
      <c r="X772" s="75" t="n"/>
      <c r="Y772" s="77" t="n"/>
      <c r="Z772" s="77" t="n"/>
      <c r="AA772" s="75" t="n"/>
      <c r="AB772" s="75" t="n"/>
      <c r="AC772" s="6" t="n"/>
      <c r="AD772" s="75" t="n"/>
      <c r="AE772" s="75" t="n"/>
      <c r="AF772" s="75" t="n"/>
    </row>
    <row r="773" ht="15.75" customHeight="1" s="133">
      <c r="A773" s="75" t="n"/>
      <c r="B773" s="75" t="n"/>
      <c r="C773" s="75" t="n"/>
      <c r="D773" s="75" t="n"/>
      <c r="E773" s="76" t="n"/>
      <c r="F773" s="77" t="n"/>
      <c r="G773" s="75" t="n"/>
      <c r="H773" s="75">
        <f>IF(ISBLANK(E773),"",IF(OR(D773="Butterfly",D773="Butterfly ",D773="Iron Fly", D773="Iron Fly "),LEN(E773)-LEN(SUBSTITUTE(E773,"/",""))+2,LEN(E773)-LEN(SUBSTITUTE(E773,"/",""))+1))</f>
        <v/>
      </c>
      <c r="I773" s="78">
        <f>IF(ISBLANK(G773),"",IF(D773="Stock","0",Key!$A$3*H773*G773))</f>
        <v/>
      </c>
      <c r="J773" s="78">
        <f>IF(ISBLANK(E773),"",IF(ISNUMBER(SEARCH("/",E773)), IF(LEN(E773)-LEN(SUBSTITUTE(E773,"/",""))=1,(RIGHT(E773,LEN(E773)-FIND("/",E773)))-(LEFT(E773,FIND("/",E773)-1)),(MID(E773, SEARCH("/",E773) + 1, SEARCH("/",E773, SEARCH("/",E773)+1) - SEARCH("/",E773) - 1))-(LEFT(E773,FIND("/",E773)-1))), "NA"))</f>
        <v/>
      </c>
      <c r="K773" s="79">
        <f>IF(A773&lt;&gt;"", IF(ISBLANK(L773), TODAY(), K773), "")</f>
        <v/>
      </c>
      <c r="L773" s="78" t="n"/>
      <c r="M773" s="78">
        <f>IF(ISBLANK(L773),"",IF(D773="Stock",IF(C773="Buy",L773*G773,IF(C773="Sell",(L773*G773)-I773, X)),IF(C773="Buy",(L773*G773*100)+I773,IF(C773="Sell",(L773*G773*100)-I773, X))))</f>
        <v/>
      </c>
      <c r="N773" s="78">
        <f>IF(ISBLANK(L773),"",IF(AND(C773="Sell",D773="Stock"),M773,IF(ISBLANK(L773),"",IF(C773="Buy",M773, IF(AND(C773="Sell",J773="NA"),(E773*G773*100*0.1)+I773, IF(C773="Sell",(J773-L773)*(100*G773)+I773))))))</f>
        <v/>
      </c>
      <c r="O773" s="75" t="n"/>
      <c r="P773" s="75" t="n"/>
      <c r="Q773" s="75">
        <f>IF(ISBLANK(P773),"",IF(D773="Stock",P773*G773,IF(P773=0,"0",G773*P773*100-(G773*$AF$14))))</f>
        <v/>
      </c>
      <c r="R773" s="79">
        <f>IF(P773&lt;&gt;"", TODAY(), "")</f>
        <v/>
      </c>
      <c r="S773" s="78">
        <f>IF(AND(K773&lt;&gt;"", R773&lt;&gt;""), R773-K773, "")</f>
        <v/>
      </c>
      <c r="T773" s="78" t="n"/>
      <c r="U773" s="92">
        <f>IF(ISBLANK(P773),"",IF(C773="Buy",Q773-M773+T773, IF(C773="Sell",M773-Q773-T773, X)))</f>
        <v/>
      </c>
      <c r="V773" s="81">
        <f>IF(ISBLANK(P773),"",U773/N773)</f>
        <v/>
      </c>
      <c r="W773" s="81">
        <f>IF(ISBLANK(P773),"",IF(S773=0,(365/0.5)*V773,(365/S773)*V773))</f>
        <v/>
      </c>
      <c r="X773" s="75" t="n"/>
      <c r="Y773" s="77" t="n"/>
      <c r="Z773" s="77" t="n"/>
      <c r="AA773" s="75" t="n"/>
      <c r="AB773" s="75" t="n"/>
      <c r="AC773" s="6" t="n"/>
      <c r="AD773" s="75" t="n"/>
      <c r="AE773" s="75" t="n"/>
      <c r="AF773" s="75" t="n"/>
    </row>
    <row r="774" ht="15.75" customHeight="1" s="133">
      <c r="A774" s="75" t="n"/>
      <c r="B774" s="75" t="n"/>
      <c r="C774" s="75" t="n"/>
      <c r="D774" s="75" t="n"/>
      <c r="E774" s="76" t="n"/>
      <c r="F774" s="77" t="n"/>
      <c r="G774" s="75" t="n"/>
      <c r="H774" s="75">
        <f>IF(ISBLANK(E774),"",IF(OR(D774="Butterfly",D774="Butterfly ",D774="Iron Fly", D774="Iron Fly "),LEN(E774)-LEN(SUBSTITUTE(E774,"/",""))+2,LEN(E774)-LEN(SUBSTITUTE(E774,"/",""))+1))</f>
        <v/>
      </c>
      <c r="I774" s="78">
        <f>IF(ISBLANK(G774),"",IF(D774="Stock","0",Key!$A$3*H774*G774))</f>
        <v/>
      </c>
      <c r="J774" s="78">
        <f>IF(ISBLANK(E774),"",IF(ISNUMBER(SEARCH("/",E774)), IF(LEN(E774)-LEN(SUBSTITUTE(E774,"/",""))=1,(RIGHT(E774,LEN(E774)-FIND("/",E774)))-(LEFT(E774,FIND("/",E774)-1)),(MID(E774, SEARCH("/",E774) + 1, SEARCH("/",E774, SEARCH("/",E774)+1) - SEARCH("/",E774) - 1))-(LEFT(E774,FIND("/",E774)-1))), "NA"))</f>
        <v/>
      </c>
      <c r="K774" s="79">
        <f>IF(A774&lt;&gt;"", IF(ISBLANK(L774), TODAY(), K774), "")</f>
        <v/>
      </c>
      <c r="L774" s="78" t="n"/>
      <c r="M774" s="78">
        <f>IF(ISBLANK(L774),"",IF(D774="Stock",IF(C774="Buy",L774*G774,IF(C774="Sell",(L774*G774)-I774, X)),IF(C774="Buy",(L774*G774*100)+I774,IF(C774="Sell",(L774*G774*100)-I774, X))))</f>
        <v/>
      </c>
      <c r="N774" s="78">
        <f>IF(ISBLANK(L774),"",IF(AND(C774="Sell",D774="Stock"),M774,IF(ISBLANK(L774),"",IF(C774="Buy",M774, IF(AND(C774="Sell",J774="NA"),(E774*G774*100*0.1)+I774, IF(C774="Sell",(J774-L774)*(100*G774)+I774))))))</f>
        <v/>
      </c>
      <c r="O774" s="75" t="n"/>
      <c r="P774" s="75" t="n"/>
      <c r="Q774" s="75">
        <f>IF(ISBLANK(P774),"",IF(D774="Stock",P774*G774,IF(P774=0,"0",G774*P774*100-(G774*$AF$14))))</f>
        <v/>
      </c>
      <c r="R774" s="79">
        <f>IF(P774&lt;&gt;"", TODAY(), "")</f>
        <v/>
      </c>
      <c r="S774" s="78">
        <f>IF(AND(K774&lt;&gt;"", R774&lt;&gt;""), R774-K774, "")</f>
        <v/>
      </c>
      <c r="T774" s="78" t="n"/>
      <c r="U774" s="92">
        <f>IF(ISBLANK(P774),"",IF(C774="Buy",Q774-M774+T774, IF(C774="Sell",M774-Q774-T774, X)))</f>
        <v/>
      </c>
      <c r="V774" s="81">
        <f>IF(ISBLANK(P774),"",U774/N774)</f>
        <v/>
      </c>
      <c r="W774" s="81">
        <f>IF(ISBLANK(P774),"",IF(S774=0,(365/0.5)*V774,(365/S774)*V774))</f>
        <v/>
      </c>
      <c r="X774" s="75" t="n"/>
      <c r="Y774" s="77" t="n"/>
      <c r="Z774" s="77" t="n"/>
      <c r="AA774" s="75" t="n"/>
      <c r="AB774" s="75" t="n"/>
      <c r="AC774" s="6" t="n"/>
      <c r="AD774" s="75" t="n"/>
      <c r="AE774" s="75" t="n"/>
      <c r="AF774" s="75" t="n"/>
    </row>
    <row r="775" ht="15.75" customHeight="1" s="133">
      <c r="A775" s="75" t="n"/>
      <c r="B775" s="75" t="n"/>
      <c r="C775" s="75" t="n"/>
      <c r="D775" s="75" t="n"/>
      <c r="E775" s="76" t="n"/>
      <c r="F775" s="77" t="n"/>
      <c r="G775" s="75" t="n"/>
      <c r="H775" s="75">
        <f>IF(ISBLANK(E775),"",IF(OR(D775="Butterfly",D775="Butterfly ",D775="Iron Fly", D775="Iron Fly "),LEN(E775)-LEN(SUBSTITUTE(E775,"/",""))+2,LEN(E775)-LEN(SUBSTITUTE(E775,"/",""))+1))</f>
        <v/>
      </c>
      <c r="I775" s="78">
        <f>IF(ISBLANK(G775),"",IF(D775="Stock","0",Key!$A$3*H775*G775))</f>
        <v/>
      </c>
      <c r="J775" s="78">
        <f>IF(ISBLANK(E775),"",IF(ISNUMBER(SEARCH("/",E775)), IF(LEN(E775)-LEN(SUBSTITUTE(E775,"/",""))=1,(RIGHT(E775,LEN(E775)-FIND("/",E775)))-(LEFT(E775,FIND("/",E775)-1)),(MID(E775, SEARCH("/",E775) + 1, SEARCH("/",E775, SEARCH("/",E775)+1) - SEARCH("/",E775) - 1))-(LEFT(E775,FIND("/",E775)-1))), "NA"))</f>
        <v/>
      </c>
      <c r="K775" s="79">
        <f>IF(A775&lt;&gt;"", IF(ISBLANK(L775), TODAY(), K775), "")</f>
        <v/>
      </c>
      <c r="L775" s="78" t="n"/>
      <c r="M775" s="78">
        <f>IF(ISBLANK(L775),"",IF(D775="Stock",IF(C775="Buy",L775*G775,IF(C775="Sell",(L775*G775)-I775, X)),IF(C775="Buy",(L775*G775*100)+I775,IF(C775="Sell",(L775*G775*100)-I775, X))))</f>
        <v/>
      </c>
      <c r="N775" s="78">
        <f>IF(ISBLANK(L775),"",IF(AND(C775="Sell",D775="Stock"),M775,IF(ISBLANK(L775),"",IF(C775="Buy",M775, IF(AND(C775="Sell",J775="NA"),(E775*G775*100*0.1)+I775, IF(C775="Sell",(J775-L775)*(100*G775)+I775))))))</f>
        <v/>
      </c>
      <c r="O775" s="75" t="n"/>
      <c r="P775" s="75" t="n"/>
      <c r="Q775" s="75">
        <f>IF(ISBLANK(P775),"",IF(D775="Stock",P775*G775,IF(P775=0,"0",G775*P775*100-(G775*$AF$14))))</f>
        <v/>
      </c>
      <c r="R775" s="79">
        <f>IF(P775&lt;&gt;"", TODAY(), "")</f>
        <v/>
      </c>
      <c r="S775" s="78">
        <f>IF(AND(K775&lt;&gt;"", R775&lt;&gt;""), R775-K775, "")</f>
        <v/>
      </c>
      <c r="T775" s="78" t="n"/>
      <c r="U775" s="92">
        <f>IF(ISBLANK(P775),"",IF(C775="Buy",Q775-M775+T775, IF(C775="Sell",M775-Q775-T775, X)))</f>
        <v/>
      </c>
      <c r="V775" s="81">
        <f>IF(ISBLANK(P775),"",U775/N775)</f>
        <v/>
      </c>
      <c r="W775" s="81">
        <f>IF(ISBLANK(P775),"",IF(S775=0,(365/0.5)*V775,(365/S775)*V775))</f>
        <v/>
      </c>
      <c r="X775" s="75" t="n"/>
      <c r="Y775" s="77" t="n"/>
      <c r="Z775" s="77" t="n"/>
      <c r="AA775" s="75" t="n"/>
      <c r="AB775" s="75" t="n"/>
      <c r="AC775" s="6" t="n"/>
      <c r="AD775" s="75" t="n"/>
      <c r="AE775" s="75" t="n"/>
      <c r="AF775" s="75" t="n"/>
    </row>
    <row r="776" ht="15.75" customHeight="1" s="133">
      <c r="A776" s="75" t="n"/>
      <c r="B776" s="75" t="n"/>
      <c r="C776" s="75" t="n"/>
      <c r="D776" s="75" t="n"/>
      <c r="E776" s="76" t="n"/>
      <c r="F776" s="77" t="n"/>
      <c r="G776" s="75" t="n"/>
      <c r="H776" s="75">
        <f>IF(ISBLANK(E776),"",IF(OR(D776="Butterfly",D776="Butterfly ",D776="Iron Fly", D776="Iron Fly "),LEN(E776)-LEN(SUBSTITUTE(E776,"/",""))+2,LEN(E776)-LEN(SUBSTITUTE(E776,"/",""))+1))</f>
        <v/>
      </c>
      <c r="I776" s="78">
        <f>IF(ISBLANK(G776),"",IF(D776="Stock","0",Key!$A$3*H776*G776))</f>
        <v/>
      </c>
      <c r="J776" s="78">
        <f>IF(ISBLANK(E776),"",IF(ISNUMBER(SEARCH("/",E776)), IF(LEN(E776)-LEN(SUBSTITUTE(E776,"/",""))=1,(RIGHT(E776,LEN(E776)-FIND("/",E776)))-(LEFT(E776,FIND("/",E776)-1)),(MID(E776, SEARCH("/",E776) + 1, SEARCH("/",E776, SEARCH("/",E776)+1) - SEARCH("/",E776) - 1))-(LEFT(E776,FIND("/",E776)-1))), "NA"))</f>
        <v/>
      </c>
      <c r="K776" s="79">
        <f>IF(A776&lt;&gt;"", IF(ISBLANK(L776), TODAY(), K776), "")</f>
        <v/>
      </c>
      <c r="L776" s="78" t="n"/>
      <c r="M776" s="78">
        <f>IF(ISBLANK(L776),"",IF(D776="Stock",IF(C776="Buy",L776*G776,IF(C776="Sell",(L776*G776)-I776, X)),IF(C776="Buy",(L776*G776*100)+I776,IF(C776="Sell",(L776*G776*100)-I776, X))))</f>
        <v/>
      </c>
      <c r="N776" s="78">
        <f>IF(ISBLANK(L776),"",IF(AND(C776="Sell",D776="Stock"),M776,IF(ISBLANK(L776),"",IF(C776="Buy",M776, IF(AND(C776="Sell",J776="NA"),(E776*G776*100*0.1)+I776, IF(C776="Sell",(J776-L776)*(100*G776)+I776))))))</f>
        <v/>
      </c>
      <c r="O776" s="75" t="n"/>
      <c r="P776" s="75" t="n"/>
      <c r="Q776" s="75">
        <f>IF(ISBLANK(P776),"",IF(D776="Stock",P776*G776,IF(P776=0,"0",G776*P776*100-(G776*$AF$14))))</f>
        <v/>
      </c>
      <c r="R776" s="79">
        <f>IF(P776&lt;&gt;"", TODAY(), "")</f>
        <v/>
      </c>
      <c r="S776" s="78">
        <f>IF(AND(K776&lt;&gt;"", R776&lt;&gt;""), R776-K776, "")</f>
        <v/>
      </c>
      <c r="T776" s="78" t="n"/>
      <c r="U776" s="92">
        <f>IF(ISBLANK(P776),"",IF(C776="Buy",Q776-M776+T776, IF(C776="Sell",M776-Q776-T776, X)))</f>
        <v/>
      </c>
      <c r="V776" s="81">
        <f>IF(ISBLANK(P776),"",U776/N776)</f>
        <v/>
      </c>
      <c r="W776" s="81">
        <f>IF(ISBLANK(P776),"",IF(S776=0,(365/0.5)*V776,(365/S776)*V776))</f>
        <v/>
      </c>
      <c r="X776" s="75" t="n"/>
      <c r="Y776" s="77" t="n"/>
      <c r="Z776" s="77" t="n"/>
      <c r="AA776" s="75" t="n"/>
      <c r="AB776" s="75" t="n"/>
      <c r="AC776" s="6" t="n"/>
      <c r="AD776" s="75" t="n"/>
      <c r="AE776" s="75" t="n"/>
      <c r="AF776" s="75" t="n"/>
    </row>
    <row r="777" ht="15.75" customHeight="1" s="133">
      <c r="A777" s="75" t="n"/>
      <c r="B777" s="75" t="n"/>
      <c r="C777" s="75" t="n"/>
      <c r="D777" s="75" t="n"/>
      <c r="E777" s="76" t="n"/>
      <c r="F777" s="77" t="n"/>
      <c r="G777" s="75" t="n"/>
      <c r="H777" s="75">
        <f>IF(ISBLANK(E777),"",IF(OR(D777="Butterfly",D777="Butterfly ",D777="Iron Fly", D777="Iron Fly "),LEN(E777)-LEN(SUBSTITUTE(E777,"/",""))+2,LEN(E777)-LEN(SUBSTITUTE(E777,"/",""))+1))</f>
        <v/>
      </c>
      <c r="I777" s="78">
        <f>IF(ISBLANK(G777),"",IF(D777="Stock","0",Key!$A$3*H777*G777))</f>
        <v/>
      </c>
      <c r="J777" s="78">
        <f>IF(ISBLANK(E777),"",IF(ISNUMBER(SEARCH("/",E777)), IF(LEN(E777)-LEN(SUBSTITUTE(E777,"/",""))=1,(RIGHT(E777,LEN(E777)-FIND("/",E777)))-(LEFT(E777,FIND("/",E777)-1)),(MID(E777, SEARCH("/",E777) + 1, SEARCH("/",E777, SEARCH("/",E777)+1) - SEARCH("/",E777) - 1))-(LEFT(E777,FIND("/",E777)-1))), "NA"))</f>
        <v/>
      </c>
      <c r="K777" s="79">
        <f>IF(A777&lt;&gt;"", IF(ISBLANK(L777), TODAY(), K777), "")</f>
        <v/>
      </c>
      <c r="L777" s="78" t="n"/>
      <c r="M777" s="78">
        <f>IF(ISBLANK(L777),"",IF(D777="Stock",IF(C777="Buy",L777*G777,IF(C777="Sell",(L777*G777)-I777, X)),IF(C777="Buy",(L777*G777*100)+I777,IF(C777="Sell",(L777*G777*100)-I777, X))))</f>
        <v/>
      </c>
      <c r="N777" s="78">
        <f>IF(ISBLANK(L777),"",IF(AND(C777="Sell",D777="Stock"),M777,IF(ISBLANK(L777),"",IF(C777="Buy",M777, IF(AND(C777="Sell",J777="NA"),(E777*G777*100*0.1)+I777, IF(C777="Sell",(J777-L777)*(100*G777)+I777))))))</f>
        <v/>
      </c>
      <c r="O777" s="75" t="n"/>
      <c r="P777" s="75" t="n"/>
      <c r="Q777" s="75">
        <f>IF(ISBLANK(P777),"",IF(D777="Stock",P777*G777,IF(P777=0,"0",G777*P777*100-(G777*$AF$14))))</f>
        <v/>
      </c>
      <c r="R777" s="79">
        <f>IF(P777&lt;&gt;"", TODAY(), "")</f>
        <v/>
      </c>
      <c r="S777" s="78">
        <f>IF(AND(K777&lt;&gt;"", R777&lt;&gt;""), R777-K777, "")</f>
        <v/>
      </c>
      <c r="T777" s="78" t="n"/>
      <c r="U777" s="92">
        <f>IF(ISBLANK(P777),"",IF(C777="Buy",Q777-M777+T777, IF(C777="Sell",M777-Q777-T777, X)))</f>
        <v/>
      </c>
      <c r="V777" s="81">
        <f>IF(ISBLANK(P777),"",U777/N777)</f>
        <v/>
      </c>
      <c r="W777" s="81">
        <f>IF(ISBLANK(P777),"",IF(S777=0,(365/0.5)*V777,(365/S777)*V777))</f>
        <v/>
      </c>
      <c r="X777" s="75" t="n"/>
      <c r="Y777" s="77" t="n"/>
      <c r="Z777" s="77" t="n"/>
      <c r="AA777" s="75" t="n"/>
      <c r="AB777" s="75" t="n"/>
      <c r="AC777" s="6" t="n"/>
      <c r="AD777" s="75" t="n"/>
      <c r="AE777" s="75" t="n"/>
      <c r="AF777" s="75" t="n"/>
    </row>
    <row r="778" ht="15.75" customHeight="1" s="133">
      <c r="A778" s="75" t="n"/>
      <c r="B778" s="75" t="n"/>
      <c r="C778" s="75" t="n"/>
      <c r="D778" s="75" t="n"/>
      <c r="E778" s="76" t="n"/>
      <c r="F778" s="77" t="n"/>
      <c r="G778" s="75" t="n"/>
      <c r="H778" s="75">
        <f>IF(ISBLANK(E778),"",IF(OR(D778="Butterfly",D778="Butterfly ",D778="Iron Fly", D778="Iron Fly "),LEN(E778)-LEN(SUBSTITUTE(E778,"/",""))+2,LEN(E778)-LEN(SUBSTITUTE(E778,"/",""))+1))</f>
        <v/>
      </c>
      <c r="I778" s="78">
        <f>IF(ISBLANK(G778),"",IF(D778="Stock","0",Key!$A$3*H778*G778))</f>
        <v/>
      </c>
      <c r="J778" s="78">
        <f>IF(ISBLANK(E778),"",IF(ISNUMBER(SEARCH("/",E778)), IF(LEN(E778)-LEN(SUBSTITUTE(E778,"/",""))=1,(RIGHT(E778,LEN(E778)-FIND("/",E778)))-(LEFT(E778,FIND("/",E778)-1)),(MID(E778, SEARCH("/",E778) + 1, SEARCH("/",E778, SEARCH("/",E778)+1) - SEARCH("/",E778) - 1))-(LEFT(E778,FIND("/",E778)-1))), "NA"))</f>
        <v/>
      </c>
      <c r="K778" s="79">
        <f>IF(A778&lt;&gt;"", IF(ISBLANK(L778), TODAY(), K778), "")</f>
        <v/>
      </c>
      <c r="L778" s="78" t="n"/>
      <c r="M778" s="78">
        <f>IF(ISBLANK(L778),"",IF(D778="Stock",IF(C778="Buy",L778*G778,IF(C778="Sell",(L778*G778)-I778, X)),IF(C778="Buy",(L778*G778*100)+I778,IF(C778="Sell",(L778*G778*100)-I778, X))))</f>
        <v/>
      </c>
      <c r="N778" s="78">
        <f>IF(ISBLANK(L778),"",IF(AND(C778="Sell",D778="Stock"),M778,IF(ISBLANK(L778),"",IF(C778="Buy",M778, IF(AND(C778="Sell",J778="NA"),(E778*G778*100*0.1)+I778, IF(C778="Sell",(J778-L778)*(100*G778)+I778))))))</f>
        <v/>
      </c>
      <c r="O778" s="75" t="n"/>
      <c r="P778" s="75" t="n"/>
      <c r="Q778" s="75">
        <f>IF(ISBLANK(P778),"",IF(D778="Stock",P778*G778,IF(P778=0,"0",G778*P778*100-(G778*$AF$14))))</f>
        <v/>
      </c>
      <c r="R778" s="79">
        <f>IF(P778&lt;&gt;"", TODAY(), "")</f>
        <v/>
      </c>
      <c r="S778" s="78">
        <f>IF(AND(K778&lt;&gt;"", R778&lt;&gt;""), R778-K778, "")</f>
        <v/>
      </c>
      <c r="T778" s="78" t="n"/>
      <c r="U778" s="92">
        <f>IF(ISBLANK(P778),"",IF(C778="Buy",Q778-M778+T778, IF(C778="Sell",M778-Q778-T778, X)))</f>
        <v/>
      </c>
      <c r="V778" s="81">
        <f>IF(ISBLANK(P778),"",U778/N778)</f>
        <v/>
      </c>
      <c r="W778" s="81">
        <f>IF(ISBLANK(P778),"",IF(S778=0,(365/0.5)*V778,(365/S778)*V778))</f>
        <v/>
      </c>
      <c r="X778" s="75" t="n"/>
      <c r="Y778" s="77" t="n"/>
      <c r="Z778" s="77" t="n"/>
      <c r="AA778" s="75" t="n"/>
      <c r="AB778" s="75" t="n"/>
      <c r="AC778" s="6" t="n"/>
      <c r="AD778" s="75" t="n"/>
      <c r="AE778" s="75" t="n"/>
      <c r="AF778" s="75" t="n"/>
    </row>
    <row r="779" ht="15.75" customHeight="1" s="133">
      <c r="A779" s="75" t="n"/>
      <c r="B779" s="75" t="n"/>
      <c r="C779" s="75" t="n"/>
      <c r="D779" s="75" t="n"/>
      <c r="E779" s="76" t="n"/>
      <c r="F779" s="77" t="n"/>
      <c r="G779" s="75" t="n"/>
      <c r="H779" s="75">
        <f>IF(ISBLANK(E779),"",IF(OR(D779="Butterfly",D779="Butterfly ",D779="Iron Fly", D779="Iron Fly "),LEN(E779)-LEN(SUBSTITUTE(E779,"/",""))+2,LEN(E779)-LEN(SUBSTITUTE(E779,"/",""))+1))</f>
        <v/>
      </c>
      <c r="I779" s="78">
        <f>IF(ISBLANK(G779),"",IF(D779="Stock","0",Key!$A$3*H779*G779))</f>
        <v/>
      </c>
      <c r="J779" s="78">
        <f>IF(ISBLANK(E779),"",IF(ISNUMBER(SEARCH("/",E779)), IF(LEN(E779)-LEN(SUBSTITUTE(E779,"/",""))=1,(RIGHT(E779,LEN(E779)-FIND("/",E779)))-(LEFT(E779,FIND("/",E779)-1)),(MID(E779, SEARCH("/",E779) + 1, SEARCH("/",E779, SEARCH("/",E779)+1) - SEARCH("/",E779) - 1))-(LEFT(E779,FIND("/",E779)-1))), "NA"))</f>
        <v/>
      </c>
      <c r="K779" s="79">
        <f>IF(A779&lt;&gt;"", IF(ISBLANK(L779), TODAY(), K779), "")</f>
        <v/>
      </c>
      <c r="L779" s="78" t="n"/>
      <c r="M779" s="78">
        <f>IF(ISBLANK(L779),"",IF(D779="Stock",IF(C779="Buy",L779*G779,IF(C779="Sell",(L779*G779)-I779, X)),IF(C779="Buy",(L779*G779*100)+I779,IF(C779="Sell",(L779*G779*100)-I779, X))))</f>
        <v/>
      </c>
      <c r="N779" s="78">
        <f>IF(ISBLANK(L779),"",IF(AND(C779="Sell",D779="Stock"),M779,IF(ISBLANK(L779),"",IF(C779="Buy",M779, IF(AND(C779="Sell",J779="NA"),(E779*G779*100*0.1)+I779, IF(C779="Sell",(J779-L779)*(100*G779)+I779))))))</f>
        <v/>
      </c>
      <c r="O779" s="75" t="n"/>
      <c r="P779" s="75" t="n"/>
      <c r="Q779" s="75">
        <f>IF(ISBLANK(P779),"",IF(D779="Stock",P779*G779,IF(P779=0,"0",G779*P779*100-(G779*$AF$14))))</f>
        <v/>
      </c>
      <c r="R779" s="79">
        <f>IF(P779&lt;&gt;"", TODAY(), "")</f>
        <v/>
      </c>
      <c r="S779" s="78">
        <f>IF(AND(K779&lt;&gt;"", R779&lt;&gt;""), R779-K779, "")</f>
        <v/>
      </c>
      <c r="T779" s="78" t="n"/>
      <c r="U779" s="92">
        <f>IF(ISBLANK(P779),"",IF(C779="Buy",Q779-M779+T779, IF(C779="Sell",M779-Q779-T779, X)))</f>
        <v/>
      </c>
      <c r="V779" s="81">
        <f>IF(ISBLANK(P779),"",U779/N779)</f>
        <v/>
      </c>
      <c r="W779" s="81">
        <f>IF(ISBLANK(P779),"",IF(S779=0,(365/0.5)*V779,(365/S779)*V779))</f>
        <v/>
      </c>
      <c r="X779" s="75" t="n"/>
      <c r="Y779" s="77" t="n"/>
      <c r="Z779" s="77" t="n"/>
      <c r="AA779" s="75" t="n"/>
      <c r="AB779" s="75" t="n"/>
      <c r="AC779" s="6" t="n"/>
      <c r="AD779" s="75" t="n"/>
      <c r="AE779" s="75" t="n"/>
      <c r="AF779" s="75" t="n"/>
    </row>
    <row r="780" ht="15.75" customHeight="1" s="133">
      <c r="A780" s="75" t="n"/>
      <c r="B780" s="75" t="n"/>
      <c r="C780" s="75" t="n"/>
      <c r="D780" s="75" t="n"/>
      <c r="E780" s="76" t="n"/>
      <c r="F780" s="77" t="n"/>
      <c r="G780" s="75" t="n"/>
      <c r="H780" s="75">
        <f>IF(ISBLANK(E780),"",IF(OR(D780="Butterfly",D780="Butterfly ",D780="Iron Fly", D780="Iron Fly "),LEN(E780)-LEN(SUBSTITUTE(E780,"/",""))+2,LEN(E780)-LEN(SUBSTITUTE(E780,"/",""))+1))</f>
        <v/>
      </c>
      <c r="I780" s="78">
        <f>IF(ISBLANK(G780),"",IF(D780="Stock","0",Key!$A$3*H780*G780))</f>
        <v/>
      </c>
      <c r="J780" s="78">
        <f>IF(ISBLANK(E780),"",IF(ISNUMBER(SEARCH("/",E780)), IF(LEN(E780)-LEN(SUBSTITUTE(E780,"/",""))=1,(RIGHT(E780,LEN(E780)-FIND("/",E780)))-(LEFT(E780,FIND("/",E780)-1)),(MID(E780, SEARCH("/",E780) + 1, SEARCH("/",E780, SEARCH("/",E780)+1) - SEARCH("/",E780) - 1))-(LEFT(E780,FIND("/",E780)-1))), "NA"))</f>
        <v/>
      </c>
      <c r="K780" s="79">
        <f>IF(A780&lt;&gt;"", IF(ISBLANK(L780), TODAY(), K780), "")</f>
        <v/>
      </c>
      <c r="L780" s="78" t="n"/>
      <c r="M780" s="78">
        <f>IF(ISBLANK(L780),"",IF(D780="Stock",IF(C780="Buy",L780*G780,IF(C780="Sell",(L780*G780)-I780, X)),IF(C780="Buy",(L780*G780*100)+I780,IF(C780="Sell",(L780*G780*100)-I780, X))))</f>
        <v/>
      </c>
      <c r="N780" s="78">
        <f>IF(ISBLANK(L780),"",IF(AND(C780="Sell",D780="Stock"),M780,IF(ISBLANK(L780),"",IF(C780="Buy",M780, IF(AND(C780="Sell",J780="NA"),(E780*G780*100*0.1)+I780, IF(C780="Sell",(J780-L780)*(100*G780)+I780))))))</f>
        <v/>
      </c>
      <c r="O780" s="75" t="n"/>
      <c r="P780" s="75" t="n"/>
      <c r="Q780" s="75">
        <f>IF(ISBLANK(P780),"",IF(D780="Stock",P780*G780,IF(P780=0,"0",G780*P780*100-(G780*$AF$14))))</f>
        <v/>
      </c>
      <c r="R780" s="79">
        <f>IF(P780&lt;&gt;"", TODAY(), "")</f>
        <v/>
      </c>
      <c r="S780" s="78">
        <f>IF(AND(K780&lt;&gt;"", R780&lt;&gt;""), R780-K780, "")</f>
        <v/>
      </c>
      <c r="T780" s="78" t="n"/>
      <c r="U780" s="92">
        <f>IF(ISBLANK(P780),"",IF(C780="Buy",Q780-M780+T780, IF(C780="Sell",M780-Q780-T780, X)))</f>
        <v/>
      </c>
      <c r="V780" s="81">
        <f>IF(ISBLANK(P780),"",U780/N780)</f>
        <v/>
      </c>
      <c r="W780" s="81">
        <f>IF(ISBLANK(P780),"",IF(S780=0,(365/0.5)*V780,(365/S780)*V780))</f>
        <v/>
      </c>
      <c r="X780" s="75" t="n"/>
      <c r="Y780" s="77" t="n"/>
      <c r="Z780" s="77" t="n"/>
      <c r="AA780" s="75" t="n"/>
      <c r="AB780" s="75" t="n"/>
      <c r="AC780" s="6" t="n"/>
      <c r="AD780" s="75" t="n"/>
      <c r="AE780" s="75" t="n"/>
      <c r="AF780" s="75" t="n"/>
    </row>
    <row r="781" ht="15.75" customHeight="1" s="133">
      <c r="A781" s="75" t="n"/>
      <c r="B781" s="75" t="n"/>
      <c r="C781" s="75" t="n"/>
      <c r="D781" s="75" t="n"/>
      <c r="E781" s="76" t="n"/>
      <c r="F781" s="77" t="n"/>
      <c r="G781" s="75" t="n"/>
      <c r="H781" s="75">
        <f>IF(ISBLANK(E781),"",IF(OR(D781="Butterfly",D781="Butterfly ",D781="Iron Fly", D781="Iron Fly "),LEN(E781)-LEN(SUBSTITUTE(E781,"/",""))+2,LEN(E781)-LEN(SUBSTITUTE(E781,"/",""))+1))</f>
        <v/>
      </c>
      <c r="I781" s="78">
        <f>IF(ISBLANK(G781),"",IF(D781="Stock","0",Key!$A$3*H781*G781))</f>
        <v/>
      </c>
      <c r="J781" s="78">
        <f>IF(ISBLANK(E781),"",IF(ISNUMBER(SEARCH("/",E781)), IF(LEN(E781)-LEN(SUBSTITUTE(E781,"/",""))=1,(RIGHT(E781,LEN(E781)-FIND("/",E781)))-(LEFT(E781,FIND("/",E781)-1)),(MID(E781, SEARCH("/",E781) + 1, SEARCH("/",E781, SEARCH("/",E781)+1) - SEARCH("/",E781) - 1))-(LEFT(E781,FIND("/",E781)-1))), "NA"))</f>
        <v/>
      </c>
      <c r="K781" s="79">
        <f>IF(A781&lt;&gt;"", IF(ISBLANK(L781), TODAY(), K781), "")</f>
        <v/>
      </c>
      <c r="L781" s="78" t="n"/>
      <c r="M781" s="78">
        <f>IF(ISBLANK(L781),"",IF(D781="Stock",IF(C781="Buy",L781*G781,IF(C781="Sell",(L781*G781)-I781, X)),IF(C781="Buy",(L781*G781*100)+I781,IF(C781="Sell",(L781*G781*100)-I781, X))))</f>
        <v/>
      </c>
      <c r="N781" s="78">
        <f>IF(ISBLANK(L781),"",IF(AND(C781="Sell",D781="Stock"),M781,IF(ISBLANK(L781),"",IF(C781="Buy",M781, IF(AND(C781="Sell",J781="NA"),(E781*G781*100*0.1)+I781, IF(C781="Sell",(J781-L781)*(100*G781)+I781))))))</f>
        <v/>
      </c>
      <c r="O781" s="75" t="n"/>
      <c r="P781" s="75" t="n"/>
      <c r="Q781" s="75">
        <f>IF(ISBLANK(P781),"",IF(D781="Stock",P781*G781,IF(P781=0,"0",G781*P781*100-(G781*$AF$14))))</f>
        <v/>
      </c>
      <c r="R781" s="79">
        <f>IF(P781&lt;&gt;"", TODAY(), "")</f>
        <v/>
      </c>
      <c r="S781" s="78">
        <f>IF(AND(K781&lt;&gt;"", R781&lt;&gt;""), R781-K781, "")</f>
        <v/>
      </c>
      <c r="T781" s="78" t="n"/>
      <c r="U781" s="92">
        <f>IF(ISBLANK(P781),"",IF(C781="Buy",Q781-M781+T781, IF(C781="Sell",M781-Q781-T781, X)))</f>
        <v/>
      </c>
      <c r="V781" s="81">
        <f>IF(ISBLANK(P781),"",U781/N781)</f>
        <v/>
      </c>
      <c r="W781" s="81">
        <f>IF(ISBLANK(P781),"",IF(S781=0,(365/0.5)*V781,(365/S781)*V781))</f>
        <v/>
      </c>
      <c r="X781" s="75" t="n"/>
      <c r="Y781" s="77" t="n"/>
      <c r="Z781" s="77" t="n"/>
      <c r="AA781" s="75" t="n"/>
      <c r="AB781" s="75" t="n"/>
      <c r="AC781" s="6" t="n"/>
      <c r="AD781" s="75" t="n"/>
      <c r="AE781" s="75" t="n"/>
      <c r="AF781" s="75" t="n"/>
    </row>
    <row r="782" ht="15.75" customHeight="1" s="133">
      <c r="A782" s="75" t="n"/>
      <c r="B782" s="75" t="n"/>
      <c r="C782" s="75" t="n"/>
      <c r="D782" s="75" t="n"/>
      <c r="E782" s="76" t="n"/>
      <c r="F782" s="77" t="n"/>
      <c r="G782" s="75" t="n"/>
      <c r="H782" s="75">
        <f>IF(ISBLANK(E782),"",IF(OR(D782="Butterfly",D782="Butterfly ",D782="Iron Fly", D782="Iron Fly "),LEN(E782)-LEN(SUBSTITUTE(E782,"/",""))+2,LEN(E782)-LEN(SUBSTITUTE(E782,"/",""))+1))</f>
        <v/>
      </c>
      <c r="I782" s="78">
        <f>IF(ISBLANK(G782),"",IF(D782="Stock","0",Key!$A$3*H782*G782))</f>
        <v/>
      </c>
      <c r="J782" s="78">
        <f>IF(ISBLANK(E782),"",IF(ISNUMBER(SEARCH("/",E782)), IF(LEN(E782)-LEN(SUBSTITUTE(E782,"/",""))=1,(RIGHT(E782,LEN(E782)-FIND("/",E782)))-(LEFT(E782,FIND("/",E782)-1)),(MID(E782, SEARCH("/",E782) + 1, SEARCH("/",E782, SEARCH("/",E782)+1) - SEARCH("/",E782) - 1))-(LEFT(E782,FIND("/",E782)-1))), "NA"))</f>
        <v/>
      </c>
      <c r="K782" s="79">
        <f>IF(A782&lt;&gt;"", IF(ISBLANK(L782), TODAY(), K782), "")</f>
        <v/>
      </c>
      <c r="L782" s="78" t="n"/>
      <c r="M782" s="78">
        <f>IF(ISBLANK(L782),"",IF(D782="Stock",IF(C782="Buy",L782*G782,IF(C782="Sell",(L782*G782)-I782, X)),IF(C782="Buy",(L782*G782*100)+I782,IF(C782="Sell",(L782*G782*100)-I782, X))))</f>
        <v/>
      </c>
      <c r="N782" s="78">
        <f>IF(ISBLANK(L782),"",IF(AND(C782="Sell",D782="Stock"),M782,IF(ISBLANK(L782),"",IF(C782="Buy",M782, IF(AND(C782="Sell",J782="NA"),(E782*G782*100*0.1)+I782, IF(C782="Sell",(J782-L782)*(100*G782)+I782))))))</f>
        <v/>
      </c>
      <c r="O782" s="75" t="n"/>
      <c r="P782" s="75" t="n"/>
      <c r="Q782" s="75">
        <f>IF(ISBLANK(P782),"",IF(D782="Stock",P782*G782,IF(P782=0,"0",G782*P782*100-(G782*$AF$14))))</f>
        <v/>
      </c>
      <c r="R782" s="79">
        <f>IF(P782&lt;&gt;"", TODAY(), "")</f>
        <v/>
      </c>
      <c r="S782" s="78">
        <f>IF(AND(K782&lt;&gt;"", R782&lt;&gt;""), R782-K782, "")</f>
        <v/>
      </c>
      <c r="T782" s="78" t="n"/>
      <c r="U782" s="92">
        <f>IF(ISBLANK(P782),"",IF(C782="Buy",Q782-M782+T782, IF(C782="Sell",M782-Q782-T782, X)))</f>
        <v/>
      </c>
      <c r="V782" s="81">
        <f>IF(ISBLANK(P782),"",U782/N782)</f>
        <v/>
      </c>
      <c r="W782" s="81">
        <f>IF(ISBLANK(P782),"",IF(S782=0,(365/0.5)*V782,(365/S782)*V782))</f>
        <v/>
      </c>
      <c r="X782" s="75" t="n"/>
      <c r="Y782" s="77" t="n"/>
      <c r="Z782" s="77" t="n"/>
      <c r="AA782" s="75" t="n"/>
      <c r="AB782" s="75" t="n"/>
      <c r="AC782" s="6" t="n"/>
      <c r="AD782" s="75" t="n"/>
      <c r="AE782" s="75" t="n"/>
      <c r="AF782" s="75" t="n"/>
    </row>
    <row r="783" ht="15.75" customHeight="1" s="133">
      <c r="A783" s="75" t="n"/>
      <c r="B783" s="75" t="n"/>
      <c r="C783" s="75" t="n"/>
      <c r="D783" s="75" t="n"/>
      <c r="E783" s="76" t="n"/>
      <c r="F783" s="77" t="n"/>
      <c r="G783" s="75" t="n"/>
      <c r="H783" s="75">
        <f>IF(ISBLANK(E783),"",IF(OR(D783="Butterfly",D783="Butterfly ",D783="Iron Fly", D783="Iron Fly "),LEN(E783)-LEN(SUBSTITUTE(E783,"/",""))+2,LEN(E783)-LEN(SUBSTITUTE(E783,"/",""))+1))</f>
        <v/>
      </c>
      <c r="I783" s="78">
        <f>IF(ISBLANK(G783),"",IF(D783="Stock","0",Key!$A$3*H783*G783))</f>
        <v/>
      </c>
      <c r="J783" s="78">
        <f>IF(ISBLANK(E783),"",IF(ISNUMBER(SEARCH("/",E783)), IF(LEN(E783)-LEN(SUBSTITUTE(E783,"/",""))=1,(RIGHT(E783,LEN(E783)-FIND("/",E783)))-(LEFT(E783,FIND("/",E783)-1)),(MID(E783, SEARCH("/",E783) + 1, SEARCH("/",E783, SEARCH("/",E783)+1) - SEARCH("/",E783) - 1))-(LEFT(E783,FIND("/",E783)-1))), "NA"))</f>
        <v/>
      </c>
      <c r="K783" s="79">
        <f>IF(A783&lt;&gt;"", IF(ISBLANK(L783), TODAY(), K783), "")</f>
        <v/>
      </c>
      <c r="L783" s="78" t="n"/>
      <c r="M783" s="78">
        <f>IF(ISBLANK(L783),"",IF(D783="Stock",IF(C783="Buy",L783*G783,IF(C783="Sell",(L783*G783)-I783, X)),IF(C783="Buy",(L783*G783*100)+I783,IF(C783="Sell",(L783*G783*100)-I783, X))))</f>
        <v/>
      </c>
      <c r="N783" s="78">
        <f>IF(ISBLANK(L783),"",IF(AND(C783="Sell",D783="Stock"),M783,IF(ISBLANK(L783),"",IF(C783="Buy",M783, IF(AND(C783="Sell",J783="NA"),(E783*G783*100*0.1)+I783, IF(C783="Sell",(J783-L783)*(100*G783)+I783))))))</f>
        <v/>
      </c>
      <c r="O783" s="75" t="n"/>
      <c r="P783" s="75" t="n"/>
      <c r="Q783" s="75">
        <f>IF(ISBLANK(P783),"",IF(D783="Stock",P783*G783,IF(P783=0,"0",G783*P783*100-(G783*$AF$14))))</f>
        <v/>
      </c>
      <c r="R783" s="79">
        <f>IF(P783&lt;&gt;"", TODAY(), "")</f>
        <v/>
      </c>
      <c r="S783" s="78">
        <f>IF(AND(K783&lt;&gt;"", R783&lt;&gt;""), R783-K783, "")</f>
        <v/>
      </c>
      <c r="T783" s="78" t="n"/>
      <c r="U783" s="92">
        <f>IF(ISBLANK(P783),"",IF(C783="Buy",Q783-M783+T783, IF(C783="Sell",M783-Q783-T783, X)))</f>
        <v/>
      </c>
      <c r="V783" s="81">
        <f>IF(ISBLANK(P783),"",U783/N783)</f>
        <v/>
      </c>
      <c r="W783" s="81">
        <f>IF(ISBLANK(P783),"",IF(S783=0,(365/0.5)*V783,(365/S783)*V783))</f>
        <v/>
      </c>
      <c r="X783" s="75" t="n"/>
      <c r="Y783" s="77" t="n"/>
      <c r="Z783" s="77" t="n"/>
      <c r="AA783" s="75" t="n"/>
      <c r="AB783" s="75" t="n"/>
      <c r="AC783" s="6" t="n"/>
      <c r="AD783" s="75" t="n"/>
      <c r="AE783" s="75" t="n"/>
      <c r="AF783" s="75" t="n"/>
    </row>
    <row r="784" ht="15.75" customHeight="1" s="133">
      <c r="A784" s="75" t="n"/>
      <c r="B784" s="75" t="n"/>
      <c r="C784" s="75" t="n"/>
      <c r="D784" s="75" t="n"/>
      <c r="E784" s="76" t="n"/>
      <c r="F784" s="77" t="n"/>
      <c r="G784" s="75" t="n"/>
      <c r="H784" s="75">
        <f>IF(ISBLANK(E784),"",IF(OR(D784="Butterfly",D784="Butterfly ",D784="Iron Fly", D784="Iron Fly "),LEN(E784)-LEN(SUBSTITUTE(E784,"/",""))+2,LEN(E784)-LEN(SUBSTITUTE(E784,"/",""))+1))</f>
        <v/>
      </c>
      <c r="I784" s="78">
        <f>IF(ISBLANK(G784),"",IF(D784="Stock","0",Key!$A$3*H784*G784))</f>
        <v/>
      </c>
      <c r="J784" s="78">
        <f>IF(ISBLANK(E784),"",IF(ISNUMBER(SEARCH("/",E784)), IF(LEN(E784)-LEN(SUBSTITUTE(E784,"/",""))=1,(RIGHT(E784,LEN(E784)-FIND("/",E784)))-(LEFT(E784,FIND("/",E784)-1)),(MID(E784, SEARCH("/",E784) + 1, SEARCH("/",E784, SEARCH("/",E784)+1) - SEARCH("/",E784) - 1))-(LEFT(E784,FIND("/",E784)-1))), "NA"))</f>
        <v/>
      </c>
      <c r="K784" s="79">
        <f>IF(A784&lt;&gt;"", IF(ISBLANK(L784), TODAY(), K784), "")</f>
        <v/>
      </c>
      <c r="L784" s="78" t="n"/>
      <c r="M784" s="78">
        <f>IF(ISBLANK(L784),"",IF(D784="Stock",IF(C784="Buy",L784*G784,IF(C784="Sell",(L784*G784)-I784, X)),IF(C784="Buy",(L784*G784*100)+I784,IF(C784="Sell",(L784*G784*100)-I784, X))))</f>
        <v/>
      </c>
      <c r="N784" s="78">
        <f>IF(ISBLANK(L784),"",IF(AND(C784="Sell",D784="Stock"),M784,IF(ISBLANK(L784),"",IF(C784="Buy",M784, IF(AND(C784="Sell",J784="NA"),(E784*G784*100*0.1)+I784, IF(C784="Sell",(J784-L784)*(100*G784)+I784))))))</f>
        <v/>
      </c>
      <c r="O784" s="75" t="n"/>
      <c r="P784" s="75" t="n"/>
      <c r="Q784" s="75">
        <f>IF(ISBLANK(P784),"",IF(D784="Stock",P784*G784,IF(P784=0,"0",G784*P784*100-(G784*$AF$14))))</f>
        <v/>
      </c>
      <c r="R784" s="79">
        <f>IF(P784&lt;&gt;"", TODAY(), "")</f>
        <v/>
      </c>
      <c r="S784" s="78">
        <f>IF(AND(K784&lt;&gt;"", R784&lt;&gt;""), R784-K784, "")</f>
        <v/>
      </c>
      <c r="T784" s="78" t="n"/>
      <c r="U784" s="92">
        <f>IF(ISBLANK(P784),"",IF(C784="Buy",Q784-M784+T784, IF(C784="Sell",M784-Q784-T784, X)))</f>
        <v/>
      </c>
      <c r="V784" s="81">
        <f>IF(ISBLANK(P784),"",U784/N784)</f>
        <v/>
      </c>
      <c r="W784" s="81">
        <f>IF(ISBLANK(P784),"",IF(S784=0,(365/0.5)*V784,(365/S784)*V784))</f>
        <v/>
      </c>
      <c r="X784" s="75" t="n"/>
      <c r="Y784" s="77" t="n"/>
      <c r="Z784" s="77" t="n"/>
      <c r="AA784" s="75" t="n"/>
      <c r="AB784" s="75" t="n"/>
      <c r="AC784" s="6" t="n"/>
      <c r="AD784" s="75" t="n"/>
      <c r="AE784" s="75" t="n"/>
      <c r="AF784" s="75" t="n"/>
    </row>
    <row r="785" ht="15.75" customHeight="1" s="133">
      <c r="A785" s="75" t="n"/>
      <c r="B785" s="75" t="n"/>
      <c r="C785" s="75" t="n"/>
      <c r="D785" s="75" t="n"/>
      <c r="E785" s="76" t="n"/>
      <c r="F785" s="77" t="n"/>
      <c r="G785" s="75" t="n"/>
      <c r="H785" s="75">
        <f>IF(ISBLANK(E785),"",IF(OR(D785="Butterfly",D785="Butterfly ",D785="Iron Fly", D785="Iron Fly "),LEN(E785)-LEN(SUBSTITUTE(E785,"/",""))+2,LEN(E785)-LEN(SUBSTITUTE(E785,"/",""))+1))</f>
        <v/>
      </c>
      <c r="I785" s="78">
        <f>IF(ISBLANK(G785),"",IF(D785="Stock","0",Key!$A$3*H785*G785))</f>
        <v/>
      </c>
      <c r="J785" s="78">
        <f>IF(ISBLANK(E785),"",IF(ISNUMBER(SEARCH("/",E785)), IF(LEN(E785)-LEN(SUBSTITUTE(E785,"/",""))=1,(RIGHT(E785,LEN(E785)-FIND("/",E785)))-(LEFT(E785,FIND("/",E785)-1)),(MID(E785, SEARCH("/",E785) + 1, SEARCH("/",E785, SEARCH("/",E785)+1) - SEARCH("/",E785) - 1))-(LEFT(E785,FIND("/",E785)-1))), "NA"))</f>
        <v/>
      </c>
      <c r="K785" s="79">
        <f>IF(A785&lt;&gt;"", IF(ISBLANK(L785), TODAY(), K785), "")</f>
        <v/>
      </c>
      <c r="L785" s="78" t="n"/>
      <c r="M785" s="78">
        <f>IF(ISBLANK(L785),"",IF(D785="Stock",IF(C785="Buy",L785*G785,IF(C785="Sell",(L785*G785)-I785, X)),IF(C785="Buy",(L785*G785*100)+I785,IF(C785="Sell",(L785*G785*100)-I785, X))))</f>
        <v/>
      </c>
      <c r="N785" s="78">
        <f>IF(ISBLANK(L785),"",IF(AND(C785="Sell",D785="Stock"),M785,IF(ISBLANK(L785),"",IF(C785="Buy",M785, IF(AND(C785="Sell",J785="NA"),(E785*G785*100*0.1)+I785, IF(C785="Sell",(J785-L785)*(100*G785)+I785))))))</f>
        <v/>
      </c>
      <c r="O785" s="75" t="n"/>
      <c r="P785" s="75" t="n"/>
      <c r="Q785" s="75">
        <f>IF(ISBLANK(P785),"",IF(D785="Stock",P785*G785,IF(P785=0,"0",G785*P785*100-(G785*$AF$14))))</f>
        <v/>
      </c>
      <c r="R785" s="79">
        <f>IF(P785&lt;&gt;"", TODAY(), "")</f>
        <v/>
      </c>
      <c r="S785" s="78">
        <f>IF(AND(K785&lt;&gt;"", R785&lt;&gt;""), R785-K785, "")</f>
        <v/>
      </c>
      <c r="T785" s="78" t="n"/>
      <c r="U785" s="92">
        <f>IF(ISBLANK(P785),"",IF(C785="Buy",Q785-M785+T785, IF(C785="Sell",M785-Q785-T785, X)))</f>
        <v/>
      </c>
      <c r="V785" s="81">
        <f>IF(ISBLANK(P785),"",U785/N785)</f>
        <v/>
      </c>
      <c r="W785" s="81">
        <f>IF(ISBLANK(P785),"",IF(S785=0,(365/0.5)*V785,(365/S785)*V785))</f>
        <v/>
      </c>
      <c r="X785" s="75" t="n"/>
      <c r="Y785" s="77" t="n"/>
      <c r="Z785" s="77" t="n"/>
      <c r="AA785" s="75" t="n"/>
      <c r="AB785" s="75" t="n"/>
      <c r="AC785" s="6" t="n"/>
      <c r="AD785" s="75" t="n"/>
      <c r="AE785" s="75" t="n"/>
      <c r="AF785" s="75" t="n"/>
    </row>
    <row r="786" ht="15.75" customHeight="1" s="133">
      <c r="A786" s="75" t="n"/>
      <c r="B786" s="75" t="n"/>
      <c r="C786" s="75" t="n"/>
      <c r="D786" s="75" t="n"/>
      <c r="E786" s="76" t="n"/>
      <c r="F786" s="77" t="n"/>
      <c r="G786" s="75" t="n"/>
      <c r="H786" s="75">
        <f>IF(ISBLANK(E786),"",IF(OR(D786="Butterfly",D786="Butterfly ",D786="Iron Fly", D786="Iron Fly "),LEN(E786)-LEN(SUBSTITUTE(E786,"/",""))+2,LEN(E786)-LEN(SUBSTITUTE(E786,"/",""))+1))</f>
        <v/>
      </c>
      <c r="I786" s="78">
        <f>IF(ISBLANK(G786),"",IF(D786="Stock","0",Key!$A$3*H786*G786))</f>
        <v/>
      </c>
      <c r="J786" s="78">
        <f>IF(ISBLANK(E786),"",IF(ISNUMBER(SEARCH("/",E786)), IF(LEN(E786)-LEN(SUBSTITUTE(E786,"/",""))=1,(RIGHT(E786,LEN(E786)-FIND("/",E786)))-(LEFT(E786,FIND("/",E786)-1)),(MID(E786, SEARCH("/",E786) + 1, SEARCH("/",E786, SEARCH("/",E786)+1) - SEARCH("/",E786) - 1))-(LEFT(E786,FIND("/",E786)-1))), "NA"))</f>
        <v/>
      </c>
      <c r="K786" s="79">
        <f>IF(A786&lt;&gt;"", IF(ISBLANK(L786), TODAY(), K786), "")</f>
        <v/>
      </c>
      <c r="L786" s="78" t="n"/>
      <c r="M786" s="78">
        <f>IF(ISBLANK(L786),"",IF(D786="Stock",IF(C786="Buy",L786*G786,IF(C786="Sell",(L786*G786)-I786, X)),IF(C786="Buy",(L786*G786*100)+I786,IF(C786="Sell",(L786*G786*100)-I786, X))))</f>
        <v/>
      </c>
      <c r="N786" s="78">
        <f>IF(ISBLANK(L786),"",IF(AND(C786="Sell",D786="Stock"),M786,IF(ISBLANK(L786),"",IF(C786="Buy",M786, IF(AND(C786="Sell",J786="NA"),(E786*G786*100*0.1)+I786, IF(C786="Sell",(J786-L786)*(100*G786)+I786))))))</f>
        <v/>
      </c>
      <c r="O786" s="75" t="n"/>
      <c r="P786" s="75" t="n"/>
      <c r="Q786" s="75">
        <f>IF(ISBLANK(P786),"",IF(D786="Stock",P786*G786,IF(P786=0,"0",G786*P786*100-(G786*$AF$14))))</f>
        <v/>
      </c>
      <c r="R786" s="79">
        <f>IF(P786&lt;&gt;"", TODAY(), "")</f>
        <v/>
      </c>
      <c r="S786" s="78">
        <f>IF(AND(K786&lt;&gt;"", R786&lt;&gt;""), R786-K786, "")</f>
        <v/>
      </c>
      <c r="T786" s="78" t="n"/>
      <c r="U786" s="92">
        <f>IF(ISBLANK(P786),"",IF(C786="Buy",Q786-M786+T786, IF(C786="Sell",M786-Q786-T786, X)))</f>
        <v/>
      </c>
      <c r="V786" s="81">
        <f>IF(ISBLANK(P786),"",U786/N786)</f>
        <v/>
      </c>
      <c r="W786" s="81">
        <f>IF(ISBLANK(P786),"",IF(S786=0,(365/0.5)*V786,(365/S786)*V786))</f>
        <v/>
      </c>
      <c r="X786" s="75" t="n"/>
      <c r="Y786" s="77" t="n"/>
      <c r="Z786" s="77" t="n"/>
      <c r="AA786" s="75" t="n"/>
      <c r="AB786" s="75" t="n"/>
      <c r="AC786" s="6" t="n"/>
      <c r="AD786" s="75" t="n"/>
      <c r="AE786" s="75" t="n"/>
      <c r="AF786" s="75" t="n"/>
    </row>
    <row r="787" ht="15.75" customHeight="1" s="133">
      <c r="A787" s="75" t="n"/>
      <c r="B787" s="75" t="n"/>
      <c r="C787" s="75" t="n"/>
      <c r="D787" s="75" t="n"/>
      <c r="E787" s="76" t="n"/>
      <c r="F787" s="77" t="n"/>
      <c r="G787" s="75" t="n"/>
      <c r="H787" s="75">
        <f>IF(ISBLANK(E787),"",IF(OR(D787="Butterfly",D787="Butterfly ",D787="Iron Fly", D787="Iron Fly "),LEN(E787)-LEN(SUBSTITUTE(E787,"/",""))+2,LEN(E787)-LEN(SUBSTITUTE(E787,"/",""))+1))</f>
        <v/>
      </c>
      <c r="I787" s="78">
        <f>IF(ISBLANK(G787),"",IF(D787="Stock","0",Key!$A$3*H787*G787))</f>
        <v/>
      </c>
      <c r="J787" s="78">
        <f>IF(ISBLANK(E787),"",IF(ISNUMBER(SEARCH("/",E787)), IF(LEN(E787)-LEN(SUBSTITUTE(E787,"/",""))=1,(RIGHT(E787,LEN(E787)-FIND("/",E787)))-(LEFT(E787,FIND("/",E787)-1)),(MID(E787, SEARCH("/",E787) + 1, SEARCH("/",E787, SEARCH("/",E787)+1) - SEARCH("/",E787) - 1))-(LEFT(E787,FIND("/",E787)-1))), "NA"))</f>
        <v/>
      </c>
      <c r="K787" s="79">
        <f>IF(A787&lt;&gt;"", IF(ISBLANK(L787), TODAY(), K787), "")</f>
        <v/>
      </c>
      <c r="L787" s="78" t="n"/>
      <c r="M787" s="78">
        <f>IF(ISBLANK(L787),"",IF(D787="Stock",IF(C787="Buy",L787*G787,IF(C787="Sell",(L787*G787)-I787, X)),IF(C787="Buy",(L787*G787*100)+I787,IF(C787="Sell",(L787*G787*100)-I787, X))))</f>
        <v/>
      </c>
      <c r="N787" s="78">
        <f>IF(ISBLANK(L787),"",IF(AND(C787="Sell",D787="Stock"),M787,IF(ISBLANK(L787),"",IF(C787="Buy",M787, IF(AND(C787="Sell",J787="NA"),(E787*G787*100*0.1)+I787, IF(C787="Sell",(J787-L787)*(100*G787)+I787))))))</f>
        <v/>
      </c>
      <c r="O787" s="75" t="n"/>
      <c r="P787" s="75" t="n"/>
      <c r="Q787" s="75">
        <f>IF(ISBLANK(P787),"",IF(D787="Stock",P787*G787,IF(P787=0,"0",G787*P787*100-(G787*$AF$14))))</f>
        <v/>
      </c>
      <c r="R787" s="79">
        <f>IF(P787&lt;&gt;"", TODAY(), "")</f>
        <v/>
      </c>
      <c r="S787" s="78">
        <f>IF(AND(K787&lt;&gt;"", R787&lt;&gt;""), R787-K787, "")</f>
        <v/>
      </c>
      <c r="T787" s="78" t="n"/>
      <c r="U787" s="92">
        <f>IF(ISBLANK(P787),"",IF(C787="Buy",Q787-M787+T787, IF(C787="Sell",M787-Q787-T787, X)))</f>
        <v/>
      </c>
      <c r="V787" s="81">
        <f>IF(ISBLANK(P787),"",U787/N787)</f>
        <v/>
      </c>
      <c r="W787" s="81">
        <f>IF(ISBLANK(P787),"",IF(S787=0,(365/0.5)*V787,(365/S787)*V787))</f>
        <v/>
      </c>
      <c r="X787" s="75" t="n"/>
      <c r="Y787" s="77" t="n"/>
      <c r="Z787" s="77" t="n"/>
      <c r="AA787" s="75" t="n"/>
      <c r="AB787" s="75" t="n"/>
      <c r="AC787" s="6" t="n"/>
      <c r="AD787" s="75" t="n"/>
      <c r="AE787" s="75" t="n"/>
      <c r="AF787" s="75" t="n"/>
    </row>
    <row r="788" ht="15.75" customHeight="1" s="133">
      <c r="A788" s="75" t="n"/>
      <c r="B788" s="75" t="n"/>
      <c r="C788" s="75" t="n"/>
      <c r="D788" s="75" t="n"/>
      <c r="E788" s="76" t="n"/>
      <c r="F788" s="77" t="n"/>
      <c r="G788" s="75" t="n"/>
      <c r="H788" s="75">
        <f>IF(ISBLANK(E788),"",IF(OR(D788="Butterfly",D788="Butterfly ",D788="Iron Fly", D788="Iron Fly "),LEN(E788)-LEN(SUBSTITUTE(E788,"/",""))+2,LEN(E788)-LEN(SUBSTITUTE(E788,"/",""))+1))</f>
        <v/>
      </c>
      <c r="I788" s="78">
        <f>IF(ISBLANK(G788),"",IF(D788="Stock","0",Key!$A$3*H788*G788))</f>
        <v/>
      </c>
      <c r="J788" s="78">
        <f>IF(ISBLANK(E788),"",IF(ISNUMBER(SEARCH("/",E788)), IF(LEN(E788)-LEN(SUBSTITUTE(E788,"/",""))=1,(RIGHT(E788,LEN(E788)-FIND("/",E788)))-(LEFT(E788,FIND("/",E788)-1)),(MID(E788, SEARCH("/",E788) + 1, SEARCH("/",E788, SEARCH("/",E788)+1) - SEARCH("/",E788) - 1))-(LEFT(E788,FIND("/",E788)-1))), "NA"))</f>
        <v/>
      </c>
      <c r="K788" s="79">
        <f>IF(A788&lt;&gt;"", IF(ISBLANK(L788), TODAY(), K788), "")</f>
        <v/>
      </c>
      <c r="L788" s="78" t="n"/>
      <c r="M788" s="78">
        <f>IF(ISBLANK(L788),"",IF(D788="Stock",IF(C788="Buy",L788*G788,IF(C788="Sell",(L788*G788)-I788, X)),IF(C788="Buy",(L788*G788*100)+I788,IF(C788="Sell",(L788*G788*100)-I788, X))))</f>
        <v/>
      </c>
      <c r="N788" s="78">
        <f>IF(ISBLANK(L788),"",IF(AND(C788="Sell",D788="Stock"),M788,IF(ISBLANK(L788),"",IF(C788="Buy",M788, IF(AND(C788="Sell",J788="NA"),(E788*G788*100*0.1)+I788, IF(C788="Sell",(J788-L788)*(100*G788)+I788))))))</f>
        <v/>
      </c>
      <c r="O788" s="75" t="n"/>
      <c r="P788" s="75" t="n"/>
      <c r="Q788" s="75">
        <f>IF(ISBLANK(P788),"",IF(D788="Stock",P788*G788,IF(P788=0,"0",G788*P788*100-(G788*$AF$14))))</f>
        <v/>
      </c>
      <c r="R788" s="79">
        <f>IF(P788&lt;&gt;"", TODAY(), "")</f>
        <v/>
      </c>
      <c r="S788" s="78">
        <f>IF(AND(K788&lt;&gt;"", R788&lt;&gt;""), R788-K788, "")</f>
        <v/>
      </c>
      <c r="T788" s="78" t="n"/>
      <c r="U788" s="92">
        <f>IF(ISBLANK(P788),"",IF(C788="Buy",Q788-M788+T788, IF(C788="Sell",M788-Q788-T788, X)))</f>
        <v/>
      </c>
      <c r="V788" s="81">
        <f>IF(ISBLANK(P788),"",U788/N788)</f>
        <v/>
      </c>
      <c r="W788" s="81">
        <f>IF(ISBLANK(P788),"",IF(S788=0,(365/0.5)*V788,(365/S788)*V788))</f>
        <v/>
      </c>
      <c r="X788" s="75" t="n"/>
      <c r="Y788" s="77" t="n"/>
      <c r="Z788" s="77" t="n"/>
      <c r="AA788" s="75" t="n"/>
      <c r="AB788" s="75" t="n"/>
      <c r="AC788" s="6" t="n"/>
      <c r="AD788" s="75" t="n"/>
      <c r="AE788" s="75" t="n"/>
      <c r="AF788" s="75" t="n"/>
    </row>
    <row r="789" ht="15.75" customHeight="1" s="133">
      <c r="A789" s="75" t="n"/>
      <c r="B789" s="75" t="n"/>
      <c r="C789" s="75" t="n"/>
      <c r="D789" s="75" t="n"/>
      <c r="E789" s="76" t="n"/>
      <c r="F789" s="77" t="n"/>
      <c r="G789" s="75" t="n"/>
      <c r="H789" s="75">
        <f>IF(ISBLANK(E789),"",IF(OR(D789="Butterfly",D789="Butterfly ",D789="Iron Fly", D789="Iron Fly "),LEN(E789)-LEN(SUBSTITUTE(E789,"/",""))+2,LEN(E789)-LEN(SUBSTITUTE(E789,"/",""))+1))</f>
        <v/>
      </c>
      <c r="I789" s="78">
        <f>IF(ISBLANK(G789),"",IF(D789="Stock","0",Key!$A$3*H789*G789))</f>
        <v/>
      </c>
      <c r="J789" s="78">
        <f>IF(ISBLANK(E789),"",IF(ISNUMBER(SEARCH("/",E789)), IF(LEN(E789)-LEN(SUBSTITUTE(E789,"/",""))=1,(RIGHT(E789,LEN(E789)-FIND("/",E789)))-(LEFT(E789,FIND("/",E789)-1)),(MID(E789, SEARCH("/",E789) + 1, SEARCH("/",E789, SEARCH("/",E789)+1) - SEARCH("/",E789) - 1))-(LEFT(E789,FIND("/",E789)-1))), "NA"))</f>
        <v/>
      </c>
      <c r="K789" s="79">
        <f>IF(A789&lt;&gt;"", IF(ISBLANK(L789), TODAY(), K789), "")</f>
        <v/>
      </c>
      <c r="L789" s="78" t="n"/>
      <c r="M789" s="78">
        <f>IF(ISBLANK(L789),"",IF(D789="Stock",IF(C789="Buy",L789*G789,IF(C789="Sell",(L789*G789)-I789, X)),IF(C789="Buy",(L789*G789*100)+I789,IF(C789="Sell",(L789*G789*100)-I789, X))))</f>
        <v/>
      </c>
      <c r="N789" s="78">
        <f>IF(ISBLANK(L789),"",IF(AND(C789="Sell",D789="Stock"),M789,IF(ISBLANK(L789),"",IF(C789="Buy",M789, IF(AND(C789="Sell",J789="NA"),(E789*G789*100*0.1)+I789, IF(C789="Sell",(J789-L789)*(100*G789)+I789))))))</f>
        <v/>
      </c>
      <c r="O789" s="75" t="n"/>
      <c r="P789" s="75" t="n"/>
      <c r="Q789" s="75">
        <f>IF(ISBLANK(P789),"",IF(D789="Stock",P789*G789,IF(P789=0,"0",G789*P789*100-(G789*$AF$14))))</f>
        <v/>
      </c>
      <c r="R789" s="79">
        <f>IF(P789&lt;&gt;"", TODAY(), "")</f>
        <v/>
      </c>
      <c r="S789" s="78">
        <f>IF(AND(K789&lt;&gt;"", R789&lt;&gt;""), R789-K789, "")</f>
        <v/>
      </c>
      <c r="T789" s="78" t="n"/>
      <c r="U789" s="92">
        <f>IF(ISBLANK(P789),"",IF(C789="Buy",Q789-M789+T789, IF(C789="Sell",M789-Q789-T789, X)))</f>
        <v/>
      </c>
      <c r="V789" s="81">
        <f>IF(ISBLANK(P789),"",U789/N789)</f>
        <v/>
      </c>
      <c r="W789" s="81">
        <f>IF(ISBLANK(P789),"",IF(S789=0,(365/0.5)*V789,(365/S789)*V789))</f>
        <v/>
      </c>
      <c r="X789" s="75" t="n"/>
      <c r="Y789" s="77" t="n"/>
      <c r="Z789" s="77" t="n"/>
      <c r="AA789" s="75" t="n"/>
      <c r="AB789" s="75" t="n"/>
      <c r="AC789" s="6" t="n"/>
      <c r="AD789" s="75" t="n"/>
      <c r="AE789" s="75" t="n"/>
      <c r="AF789" s="75" t="n"/>
    </row>
    <row r="790" ht="15.75" customHeight="1" s="133">
      <c r="A790" s="75" t="n"/>
      <c r="B790" s="75" t="n"/>
      <c r="C790" s="75" t="n"/>
      <c r="D790" s="75" t="n"/>
      <c r="E790" s="76" t="n"/>
      <c r="F790" s="77" t="n"/>
      <c r="G790" s="75" t="n"/>
      <c r="H790" s="75">
        <f>IF(ISBLANK(E790),"",IF(OR(D790="Butterfly",D790="Butterfly ",D790="Iron Fly", D790="Iron Fly "),LEN(E790)-LEN(SUBSTITUTE(E790,"/",""))+2,LEN(E790)-LEN(SUBSTITUTE(E790,"/",""))+1))</f>
        <v/>
      </c>
      <c r="I790" s="78">
        <f>IF(ISBLANK(G790),"",IF(D790="Stock","0",Key!$A$3*H790*G790))</f>
        <v/>
      </c>
      <c r="J790" s="78">
        <f>IF(ISBLANK(E790),"",IF(ISNUMBER(SEARCH("/",E790)), IF(LEN(E790)-LEN(SUBSTITUTE(E790,"/",""))=1,(RIGHT(E790,LEN(E790)-FIND("/",E790)))-(LEFT(E790,FIND("/",E790)-1)),(MID(E790, SEARCH("/",E790) + 1, SEARCH("/",E790, SEARCH("/",E790)+1) - SEARCH("/",E790) - 1))-(LEFT(E790,FIND("/",E790)-1))), "NA"))</f>
        <v/>
      </c>
      <c r="K790" s="79">
        <f>IF(A790&lt;&gt;"", IF(ISBLANK(L790), TODAY(), K790), "")</f>
        <v/>
      </c>
      <c r="L790" s="78" t="n"/>
      <c r="M790" s="78">
        <f>IF(ISBLANK(L790),"",IF(D790="Stock",IF(C790="Buy",L790*G790,IF(C790="Sell",(L790*G790)-I790, X)),IF(C790="Buy",(L790*G790*100)+I790,IF(C790="Sell",(L790*G790*100)-I790, X))))</f>
        <v/>
      </c>
      <c r="N790" s="78">
        <f>IF(ISBLANK(L790),"",IF(AND(C790="Sell",D790="Stock"),M790,IF(ISBLANK(L790),"",IF(C790="Buy",M790, IF(AND(C790="Sell",J790="NA"),(E790*G790*100*0.1)+I790, IF(C790="Sell",(J790-L790)*(100*G790)+I790))))))</f>
        <v/>
      </c>
      <c r="O790" s="75" t="n"/>
      <c r="P790" s="75" t="n"/>
      <c r="Q790" s="75">
        <f>IF(ISBLANK(P790),"",IF(D790="Stock",P790*G790,IF(P790=0,"0",G790*P790*100-(G790*$AF$14))))</f>
        <v/>
      </c>
      <c r="R790" s="79">
        <f>IF(P790&lt;&gt;"", TODAY(), "")</f>
        <v/>
      </c>
      <c r="S790" s="78">
        <f>IF(AND(K790&lt;&gt;"", R790&lt;&gt;""), R790-K790, "")</f>
        <v/>
      </c>
      <c r="T790" s="78" t="n"/>
      <c r="U790" s="92">
        <f>IF(ISBLANK(P790),"",IF(C790="Buy",Q790-M790+T790, IF(C790="Sell",M790-Q790-T790, X)))</f>
        <v/>
      </c>
      <c r="V790" s="81">
        <f>IF(ISBLANK(P790),"",U790/N790)</f>
        <v/>
      </c>
      <c r="W790" s="81">
        <f>IF(ISBLANK(P790),"",IF(S790=0,(365/0.5)*V790,(365/S790)*V790))</f>
        <v/>
      </c>
      <c r="X790" s="75" t="n"/>
      <c r="Y790" s="77" t="n"/>
      <c r="Z790" s="77" t="n"/>
      <c r="AA790" s="75" t="n"/>
      <c r="AB790" s="75" t="n"/>
      <c r="AC790" s="6" t="n"/>
      <c r="AD790" s="75" t="n"/>
      <c r="AE790" s="75" t="n"/>
      <c r="AF790" s="75" t="n"/>
    </row>
    <row r="791" ht="15.75" customHeight="1" s="133">
      <c r="A791" s="75" t="n"/>
      <c r="B791" s="75" t="n"/>
      <c r="C791" s="75" t="n"/>
      <c r="D791" s="75" t="n"/>
      <c r="E791" s="76" t="n"/>
      <c r="F791" s="77" t="n"/>
      <c r="G791" s="75" t="n"/>
      <c r="H791" s="75">
        <f>IF(ISBLANK(E791),"",IF(OR(D791="Butterfly",D791="Butterfly ",D791="Iron Fly", D791="Iron Fly "),LEN(E791)-LEN(SUBSTITUTE(E791,"/",""))+2,LEN(E791)-LEN(SUBSTITUTE(E791,"/",""))+1))</f>
        <v/>
      </c>
      <c r="I791" s="78">
        <f>IF(ISBLANK(G791),"",IF(D791="Stock","0",Key!$A$3*H791*G791))</f>
        <v/>
      </c>
      <c r="J791" s="78">
        <f>IF(ISBLANK(E791),"",IF(ISNUMBER(SEARCH("/",E791)), IF(LEN(E791)-LEN(SUBSTITUTE(E791,"/",""))=1,(RIGHT(E791,LEN(E791)-FIND("/",E791)))-(LEFT(E791,FIND("/",E791)-1)),(MID(E791, SEARCH("/",E791) + 1, SEARCH("/",E791, SEARCH("/",E791)+1) - SEARCH("/",E791) - 1))-(LEFT(E791,FIND("/",E791)-1))), "NA"))</f>
        <v/>
      </c>
      <c r="K791" s="79">
        <f>IF(A791&lt;&gt;"", IF(ISBLANK(L791), TODAY(), K791), "")</f>
        <v/>
      </c>
      <c r="L791" s="78" t="n"/>
      <c r="M791" s="78">
        <f>IF(ISBLANK(L791),"",IF(D791="Stock",IF(C791="Buy",L791*G791,IF(C791="Sell",(L791*G791)-I791, X)),IF(C791="Buy",(L791*G791*100)+I791,IF(C791="Sell",(L791*G791*100)-I791, X))))</f>
        <v/>
      </c>
      <c r="N791" s="78">
        <f>IF(ISBLANK(L791),"",IF(AND(C791="Sell",D791="Stock"),M791,IF(ISBLANK(L791),"",IF(C791="Buy",M791, IF(AND(C791="Sell",J791="NA"),(E791*G791*100*0.1)+I791, IF(C791="Sell",(J791-L791)*(100*G791)+I791))))))</f>
        <v/>
      </c>
      <c r="O791" s="75" t="n"/>
      <c r="P791" s="75" t="n"/>
      <c r="Q791" s="75">
        <f>IF(ISBLANK(P791),"",IF(D791="Stock",P791*G791,IF(P791=0,"0",G791*P791*100-(G791*$AF$14))))</f>
        <v/>
      </c>
      <c r="R791" s="79">
        <f>IF(P791&lt;&gt;"", TODAY(), "")</f>
        <v/>
      </c>
      <c r="S791" s="78">
        <f>IF(AND(K791&lt;&gt;"", R791&lt;&gt;""), R791-K791, "")</f>
        <v/>
      </c>
      <c r="T791" s="78" t="n"/>
      <c r="U791" s="92">
        <f>IF(ISBLANK(P791),"",IF(C791="Buy",Q791-M791+T791, IF(C791="Sell",M791-Q791-T791, X)))</f>
        <v/>
      </c>
      <c r="V791" s="81">
        <f>IF(ISBLANK(P791),"",U791/N791)</f>
        <v/>
      </c>
      <c r="W791" s="81">
        <f>IF(ISBLANK(P791),"",IF(S791=0,(365/0.5)*V791,(365/S791)*V791))</f>
        <v/>
      </c>
      <c r="X791" s="75" t="n"/>
      <c r="Y791" s="77" t="n"/>
      <c r="Z791" s="77" t="n"/>
      <c r="AA791" s="75" t="n"/>
      <c r="AB791" s="75" t="n"/>
      <c r="AC791" s="6" t="n"/>
      <c r="AD791" s="75" t="n"/>
      <c r="AE791" s="75" t="n"/>
      <c r="AF791" s="75" t="n"/>
    </row>
    <row r="792" ht="15.75" customHeight="1" s="133">
      <c r="A792" s="75" t="n"/>
      <c r="B792" s="75" t="n"/>
      <c r="C792" s="75" t="n"/>
      <c r="D792" s="75" t="n"/>
      <c r="E792" s="76" t="n"/>
      <c r="F792" s="77" t="n"/>
      <c r="G792" s="75" t="n"/>
      <c r="H792" s="75">
        <f>IF(ISBLANK(E792),"",IF(OR(D792="Butterfly",D792="Butterfly ",D792="Iron Fly", D792="Iron Fly "),LEN(E792)-LEN(SUBSTITUTE(E792,"/",""))+2,LEN(E792)-LEN(SUBSTITUTE(E792,"/",""))+1))</f>
        <v/>
      </c>
      <c r="I792" s="78">
        <f>IF(ISBLANK(G792),"",IF(D792="Stock","0",Key!$A$3*H792*G792))</f>
        <v/>
      </c>
      <c r="J792" s="78">
        <f>IF(ISBLANK(E792),"",IF(ISNUMBER(SEARCH("/",E792)), IF(LEN(E792)-LEN(SUBSTITUTE(E792,"/",""))=1,(RIGHT(E792,LEN(E792)-FIND("/",E792)))-(LEFT(E792,FIND("/",E792)-1)),(MID(E792, SEARCH("/",E792) + 1, SEARCH("/",E792, SEARCH("/",E792)+1) - SEARCH("/",E792) - 1))-(LEFT(E792,FIND("/",E792)-1))), "NA"))</f>
        <v/>
      </c>
      <c r="K792" s="79">
        <f>IF(A792&lt;&gt;"", IF(ISBLANK(L792), TODAY(), K792), "")</f>
        <v/>
      </c>
      <c r="L792" s="78" t="n"/>
      <c r="M792" s="78">
        <f>IF(ISBLANK(L792),"",IF(D792="Stock",IF(C792="Buy",L792*G792,IF(C792="Sell",(L792*G792)-I792, X)),IF(C792="Buy",(L792*G792*100)+I792,IF(C792="Sell",(L792*G792*100)-I792, X))))</f>
        <v/>
      </c>
      <c r="N792" s="78">
        <f>IF(ISBLANK(L792),"",IF(AND(C792="Sell",D792="Stock"),M792,IF(ISBLANK(L792),"",IF(C792="Buy",M792, IF(AND(C792="Sell",J792="NA"),(E792*G792*100*0.1)+I792, IF(C792="Sell",(J792-L792)*(100*G792)+I792))))))</f>
        <v/>
      </c>
      <c r="O792" s="75" t="n"/>
      <c r="P792" s="75" t="n"/>
      <c r="Q792" s="75">
        <f>IF(ISBLANK(P792),"",IF(D792="Stock",P792*G792,IF(P792=0,"0",G792*P792*100-(G792*$AF$14))))</f>
        <v/>
      </c>
      <c r="R792" s="79">
        <f>IF(P792&lt;&gt;"", TODAY(), "")</f>
        <v/>
      </c>
      <c r="S792" s="78">
        <f>IF(AND(K792&lt;&gt;"", R792&lt;&gt;""), R792-K792, "")</f>
        <v/>
      </c>
      <c r="T792" s="78" t="n"/>
      <c r="U792" s="92">
        <f>IF(ISBLANK(P792),"",IF(C792="Buy",Q792-M792+T792, IF(C792="Sell",M792-Q792-T792, X)))</f>
        <v/>
      </c>
      <c r="V792" s="81">
        <f>IF(ISBLANK(P792),"",U792/N792)</f>
        <v/>
      </c>
      <c r="W792" s="81">
        <f>IF(ISBLANK(P792),"",IF(S792=0,(365/0.5)*V792,(365/S792)*V792))</f>
        <v/>
      </c>
      <c r="X792" s="75" t="n"/>
      <c r="Y792" s="77" t="n"/>
      <c r="Z792" s="77" t="n"/>
      <c r="AA792" s="75" t="n"/>
      <c r="AB792" s="75" t="n"/>
      <c r="AC792" s="6" t="n"/>
      <c r="AD792" s="75" t="n"/>
      <c r="AE792" s="75" t="n"/>
      <c r="AF792" s="75" t="n"/>
    </row>
    <row r="793" ht="15.75" customHeight="1" s="133">
      <c r="A793" s="75" t="n"/>
      <c r="B793" s="75" t="n"/>
      <c r="C793" s="75" t="n"/>
      <c r="D793" s="75" t="n"/>
      <c r="E793" s="76" t="n"/>
      <c r="F793" s="77" t="n"/>
      <c r="G793" s="75" t="n"/>
      <c r="H793" s="75">
        <f>IF(ISBLANK(E793),"",IF(OR(D793="Butterfly",D793="Butterfly ",D793="Iron Fly", D793="Iron Fly "),LEN(E793)-LEN(SUBSTITUTE(E793,"/",""))+2,LEN(E793)-LEN(SUBSTITUTE(E793,"/",""))+1))</f>
        <v/>
      </c>
      <c r="I793" s="78">
        <f>IF(ISBLANK(G793),"",IF(D793="Stock","0",Key!$A$3*H793*G793))</f>
        <v/>
      </c>
      <c r="J793" s="78">
        <f>IF(ISBLANK(E793),"",IF(ISNUMBER(SEARCH("/",E793)), IF(LEN(E793)-LEN(SUBSTITUTE(E793,"/",""))=1,(RIGHT(E793,LEN(E793)-FIND("/",E793)))-(LEFT(E793,FIND("/",E793)-1)),(MID(E793, SEARCH("/",E793) + 1, SEARCH("/",E793, SEARCH("/",E793)+1) - SEARCH("/",E793) - 1))-(LEFT(E793,FIND("/",E793)-1))), "NA"))</f>
        <v/>
      </c>
      <c r="K793" s="79">
        <f>IF(A793&lt;&gt;"", IF(ISBLANK(L793), TODAY(), K793), "")</f>
        <v/>
      </c>
      <c r="L793" s="78" t="n"/>
      <c r="M793" s="78">
        <f>IF(ISBLANK(L793),"",IF(D793="Stock",IF(C793="Buy",L793*G793,IF(C793="Sell",(L793*G793)-I793, X)),IF(C793="Buy",(L793*G793*100)+I793,IF(C793="Sell",(L793*G793*100)-I793, X))))</f>
        <v/>
      </c>
      <c r="N793" s="78">
        <f>IF(ISBLANK(L793),"",IF(AND(C793="Sell",D793="Stock"),M793,IF(ISBLANK(L793),"",IF(C793="Buy",M793, IF(AND(C793="Sell",J793="NA"),(E793*G793*100*0.1)+I793, IF(C793="Sell",(J793-L793)*(100*G793)+I793))))))</f>
        <v/>
      </c>
      <c r="O793" s="75" t="n"/>
      <c r="P793" s="75" t="n"/>
      <c r="Q793" s="75">
        <f>IF(ISBLANK(P793),"",IF(D793="Stock",P793*G793,IF(P793=0,"0",G793*P793*100-(G793*$AF$14))))</f>
        <v/>
      </c>
      <c r="R793" s="79">
        <f>IF(P793&lt;&gt;"", TODAY(), "")</f>
        <v/>
      </c>
      <c r="S793" s="78">
        <f>IF(AND(K793&lt;&gt;"", R793&lt;&gt;""), R793-K793, "")</f>
        <v/>
      </c>
      <c r="T793" s="78" t="n"/>
      <c r="U793" s="92">
        <f>IF(ISBLANK(P793),"",IF(C793="Buy",Q793-M793+T793, IF(C793="Sell",M793-Q793-T793, X)))</f>
        <v/>
      </c>
      <c r="V793" s="81">
        <f>IF(ISBLANK(P793),"",U793/N793)</f>
        <v/>
      </c>
      <c r="W793" s="81">
        <f>IF(ISBLANK(P793),"",IF(S793=0,(365/0.5)*V793,(365/S793)*V793))</f>
        <v/>
      </c>
      <c r="X793" s="75" t="n"/>
      <c r="Y793" s="77" t="n"/>
      <c r="Z793" s="77" t="n"/>
      <c r="AA793" s="75" t="n"/>
      <c r="AB793" s="75" t="n"/>
      <c r="AC793" s="6" t="n"/>
      <c r="AD793" s="75" t="n"/>
      <c r="AE793" s="75" t="n"/>
      <c r="AF793" s="75" t="n"/>
    </row>
    <row r="794" ht="15.75" customHeight="1" s="133">
      <c r="A794" s="75" t="n"/>
      <c r="B794" s="75" t="n"/>
      <c r="C794" s="75" t="n"/>
      <c r="D794" s="75" t="n"/>
      <c r="E794" s="76" t="n"/>
      <c r="F794" s="77" t="n"/>
      <c r="G794" s="75" t="n"/>
      <c r="H794" s="75">
        <f>IF(ISBLANK(E794),"",IF(OR(D794="Butterfly",D794="Butterfly ",D794="Iron Fly", D794="Iron Fly "),LEN(E794)-LEN(SUBSTITUTE(E794,"/",""))+2,LEN(E794)-LEN(SUBSTITUTE(E794,"/",""))+1))</f>
        <v/>
      </c>
      <c r="I794" s="78">
        <f>IF(ISBLANK(G794),"",IF(D794="Stock","0",Key!$A$3*H794*G794))</f>
        <v/>
      </c>
      <c r="J794" s="78">
        <f>IF(ISBLANK(E794),"",IF(ISNUMBER(SEARCH("/",E794)), IF(LEN(E794)-LEN(SUBSTITUTE(E794,"/",""))=1,(RIGHT(E794,LEN(E794)-FIND("/",E794)))-(LEFT(E794,FIND("/",E794)-1)),(MID(E794, SEARCH("/",E794) + 1, SEARCH("/",E794, SEARCH("/",E794)+1) - SEARCH("/",E794) - 1))-(LEFT(E794,FIND("/",E794)-1))), "NA"))</f>
        <v/>
      </c>
      <c r="K794" s="79">
        <f>IF(A794&lt;&gt;"", IF(ISBLANK(L794), TODAY(), K794), "")</f>
        <v/>
      </c>
      <c r="L794" s="78" t="n"/>
      <c r="M794" s="78">
        <f>IF(ISBLANK(L794),"",IF(D794="Stock",IF(C794="Buy",L794*G794,IF(C794="Sell",(L794*G794)-I794, X)),IF(C794="Buy",(L794*G794*100)+I794,IF(C794="Sell",(L794*G794*100)-I794, X))))</f>
        <v/>
      </c>
      <c r="N794" s="78">
        <f>IF(ISBLANK(L794),"",IF(AND(C794="Sell",D794="Stock"),M794,IF(ISBLANK(L794),"",IF(C794="Buy",M794, IF(AND(C794="Sell",J794="NA"),(E794*G794*100*0.1)+I794, IF(C794="Sell",(J794-L794)*(100*G794)+I794))))))</f>
        <v/>
      </c>
      <c r="O794" s="75" t="n"/>
      <c r="P794" s="75" t="n"/>
      <c r="Q794" s="75">
        <f>IF(ISBLANK(P794),"",IF(D794="Stock",P794*G794,IF(P794=0,"0",G794*P794*100-(G794*$AF$14))))</f>
        <v/>
      </c>
      <c r="R794" s="79">
        <f>IF(P794&lt;&gt;"", TODAY(), "")</f>
        <v/>
      </c>
      <c r="S794" s="78">
        <f>IF(AND(K794&lt;&gt;"", R794&lt;&gt;""), R794-K794, "")</f>
        <v/>
      </c>
      <c r="T794" s="78" t="n"/>
      <c r="U794" s="92">
        <f>IF(ISBLANK(P794),"",IF(C794="Buy",Q794-M794+T794, IF(C794="Sell",M794-Q794-T794, X)))</f>
        <v/>
      </c>
      <c r="V794" s="81">
        <f>IF(ISBLANK(P794),"",U794/N794)</f>
        <v/>
      </c>
      <c r="W794" s="81">
        <f>IF(ISBLANK(P794),"",IF(S794=0,(365/0.5)*V794,(365/S794)*V794))</f>
        <v/>
      </c>
      <c r="X794" s="75" t="n"/>
      <c r="Y794" s="77" t="n"/>
      <c r="Z794" s="77" t="n"/>
      <c r="AA794" s="75" t="n"/>
      <c r="AB794" s="75" t="n"/>
      <c r="AC794" s="6" t="n"/>
      <c r="AD794" s="75" t="n"/>
      <c r="AE794" s="75" t="n"/>
      <c r="AF794" s="75" t="n"/>
    </row>
    <row r="795" ht="15.75" customHeight="1" s="133">
      <c r="A795" s="75" t="n"/>
      <c r="B795" s="75" t="n"/>
      <c r="C795" s="75" t="n"/>
      <c r="D795" s="75" t="n"/>
      <c r="E795" s="76" t="n"/>
      <c r="F795" s="77" t="n"/>
      <c r="G795" s="75" t="n"/>
      <c r="H795" s="75">
        <f>IF(ISBLANK(E795),"",IF(OR(D795="Butterfly",D795="Butterfly ",D795="Iron Fly", D795="Iron Fly "),LEN(E795)-LEN(SUBSTITUTE(E795,"/",""))+2,LEN(E795)-LEN(SUBSTITUTE(E795,"/",""))+1))</f>
        <v/>
      </c>
      <c r="I795" s="78">
        <f>IF(ISBLANK(G795),"",IF(D795="Stock","0",Key!$A$3*H795*G795))</f>
        <v/>
      </c>
      <c r="J795" s="78">
        <f>IF(ISBLANK(E795),"",IF(ISNUMBER(SEARCH("/",E795)), IF(LEN(E795)-LEN(SUBSTITUTE(E795,"/",""))=1,(RIGHT(E795,LEN(E795)-FIND("/",E795)))-(LEFT(E795,FIND("/",E795)-1)),(MID(E795, SEARCH("/",E795) + 1, SEARCH("/",E795, SEARCH("/",E795)+1) - SEARCH("/",E795) - 1))-(LEFT(E795,FIND("/",E795)-1))), "NA"))</f>
        <v/>
      </c>
      <c r="K795" s="79">
        <f>IF(A795&lt;&gt;"", IF(ISBLANK(L795), TODAY(), K795), "")</f>
        <v/>
      </c>
      <c r="L795" s="78" t="n"/>
      <c r="M795" s="78">
        <f>IF(ISBLANK(L795),"",IF(D795="Stock",IF(C795="Buy",L795*G795,IF(C795="Sell",(L795*G795)-I795, X)),IF(C795="Buy",(L795*G795*100)+I795,IF(C795="Sell",(L795*G795*100)-I795, X))))</f>
        <v/>
      </c>
      <c r="N795" s="78">
        <f>IF(ISBLANK(L795),"",IF(AND(C795="Sell",D795="Stock"),M795,IF(ISBLANK(L795),"",IF(C795="Buy",M795, IF(AND(C795="Sell",J795="NA"),(E795*G795*100*0.1)+I795, IF(C795="Sell",(J795-L795)*(100*G795)+I795))))))</f>
        <v/>
      </c>
      <c r="O795" s="75" t="n"/>
      <c r="P795" s="75" t="n"/>
      <c r="Q795" s="75">
        <f>IF(ISBLANK(P795),"",IF(D795="Stock",P795*G795,IF(P795=0,"0",G795*P795*100-(G795*$AF$14))))</f>
        <v/>
      </c>
      <c r="R795" s="79">
        <f>IF(P795&lt;&gt;"", TODAY(), "")</f>
        <v/>
      </c>
      <c r="S795" s="78">
        <f>IF(AND(K795&lt;&gt;"", R795&lt;&gt;""), R795-K795, "")</f>
        <v/>
      </c>
      <c r="T795" s="78" t="n"/>
      <c r="U795" s="92">
        <f>IF(ISBLANK(P795),"",IF(C795="Buy",Q795-M795+T795, IF(C795="Sell",M795-Q795-T795, X)))</f>
        <v/>
      </c>
      <c r="V795" s="81">
        <f>IF(ISBLANK(P795),"",U795/N795)</f>
        <v/>
      </c>
      <c r="W795" s="81">
        <f>IF(ISBLANK(P795),"",IF(S795=0,(365/0.5)*V795,(365/S795)*V795))</f>
        <v/>
      </c>
      <c r="X795" s="75" t="n"/>
      <c r="Y795" s="77" t="n"/>
      <c r="Z795" s="77" t="n"/>
      <c r="AA795" s="75" t="n"/>
      <c r="AB795" s="75" t="n"/>
      <c r="AC795" s="6" t="n"/>
      <c r="AD795" s="75" t="n"/>
      <c r="AE795" s="75" t="n"/>
      <c r="AF795" s="75" t="n"/>
    </row>
    <row r="796" ht="15.75" customHeight="1" s="133">
      <c r="A796" s="75" t="n"/>
      <c r="B796" s="75" t="n"/>
      <c r="C796" s="75" t="n"/>
      <c r="D796" s="75" t="n"/>
      <c r="E796" s="76" t="n"/>
      <c r="F796" s="77" t="n"/>
      <c r="G796" s="75" t="n"/>
      <c r="H796" s="75">
        <f>IF(ISBLANK(E796),"",IF(OR(D796="Butterfly",D796="Butterfly ",D796="Iron Fly", D796="Iron Fly "),LEN(E796)-LEN(SUBSTITUTE(E796,"/",""))+2,LEN(E796)-LEN(SUBSTITUTE(E796,"/",""))+1))</f>
        <v/>
      </c>
      <c r="I796" s="78">
        <f>IF(ISBLANK(G796),"",IF(D796="Stock","0",Key!$A$3*H796*G796))</f>
        <v/>
      </c>
      <c r="J796" s="78">
        <f>IF(ISBLANK(E796),"",IF(ISNUMBER(SEARCH("/",E796)), IF(LEN(E796)-LEN(SUBSTITUTE(E796,"/",""))=1,(RIGHT(E796,LEN(E796)-FIND("/",E796)))-(LEFT(E796,FIND("/",E796)-1)),(MID(E796, SEARCH("/",E796) + 1, SEARCH("/",E796, SEARCH("/",E796)+1) - SEARCH("/",E796) - 1))-(LEFT(E796,FIND("/",E796)-1))), "NA"))</f>
        <v/>
      </c>
      <c r="K796" s="79">
        <f>IF(A796&lt;&gt;"", IF(ISBLANK(L796), TODAY(), K796), "")</f>
        <v/>
      </c>
      <c r="L796" s="78" t="n"/>
      <c r="M796" s="78">
        <f>IF(ISBLANK(L796),"",IF(D796="Stock",IF(C796="Buy",L796*G796,IF(C796="Sell",(L796*G796)-I796, X)),IF(C796="Buy",(L796*G796*100)+I796,IF(C796="Sell",(L796*G796*100)-I796, X))))</f>
        <v/>
      </c>
      <c r="N796" s="78">
        <f>IF(ISBLANK(L796),"",IF(AND(C796="Sell",D796="Stock"),M796,IF(ISBLANK(L796),"",IF(C796="Buy",M796, IF(AND(C796="Sell",J796="NA"),(E796*G796*100*0.1)+I796, IF(C796="Sell",(J796-L796)*(100*G796)+I796))))))</f>
        <v/>
      </c>
      <c r="O796" s="75" t="n"/>
      <c r="P796" s="75" t="n"/>
      <c r="Q796" s="75">
        <f>IF(ISBLANK(P796),"",IF(D796="Stock",P796*G796,IF(P796=0,"0",G796*P796*100-(G796*$AF$14))))</f>
        <v/>
      </c>
      <c r="R796" s="79">
        <f>IF(P796&lt;&gt;"", TODAY(), "")</f>
        <v/>
      </c>
      <c r="S796" s="78">
        <f>IF(AND(K796&lt;&gt;"", R796&lt;&gt;""), R796-K796, "")</f>
        <v/>
      </c>
      <c r="T796" s="78" t="n"/>
      <c r="U796" s="92">
        <f>IF(ISBLANK(P796),"",IF(C796="Buy",Q796-M796+T796, IF(C796="Sell",M796-Q796-T796, X)))</f>
        <v/>
      </c>
      <c r="V796" s="81">
        <f>IF(ISBLANK(P796),"",U796/N796)</f>
        <v/>
      </c>
      <c r="W796" s="81">
        <f>IF(ISBLANK(P796),"",IF(S796=0,(365/0.5)*V796,(365/S796)*V796))</f>
        <v/>
      </c>
      <c r="X796" s="75" t="n"/>
      <c r="Y796" s="77" t="n"/>
      <c r="Z796" s="77" t="n"/>
      <c r="AA796" s="75" t="n"/>
      <c r="AB796" s="75" t="n"/>
      <c r="AC796" s="6" t="n"/>
      <c r="AD796" s="75" t="n"/>
      <c r="AE796" s="75" t="n"/>
      <c r="AF796" s="75" t="n"/>
    </row>
    <row r="797" ht="15.75" customHeight="1" s="133">
      <c r="A797" s="75" t="n"/>
      <c r="B797" s="75" t="n"/>
      <c r="C797" s="75" t="n"/>
      <c r="D797" s="75" t="n"/>
      <c r="E797" s="76" t="n"/>
      <c r="F797" s="77" t="n"/>
      <c r="G797" s="75" t="n"/>
      <c r="H797" s="75">
        <f>IF(ISBLANK(E797),"",IF(OR(D797="Butterfly",D797="Butterfly ",D797="Iron Fly", D797="Iron Fly "),LEN(E797)-LEN(SUBSTITUTE(E797,"/",""))+2,LEN(E797)-LEN(SUBSTITUTE(E797,"/",""))+1))</f>
        <v/>
      </c>
      <c r="I797" s="78">
        <f>IF(ISBLANK(G797),"",IF(D797="Stock","0",Key!$A$3*H797*G797))</f>
        <v/>
      </c>
      <c r="J797" s="78">
        <f>IF(ISBLANK(E797),"",IF(ISNUMBER(SEARCH("/",E797)), IF(LEN(E797)-LEN(SUBSTITUTE(E797,"/",""))=1,(RIGHT(E797,LEN(E797)-FIND("/",E797)))-(LEFT(E797,FIND("/",E797)-1)),(MID(E797, SEARCH("/",E797) + 1, SEARCH("/",E797, SEARCH("/",E797)+1) - SEARCH("/",E797) - 1))-(LEFT(E797,FIND("/",E797)-1))), "NA"))</f>
        <v/>
      </c>
      <c r="K797" s="79">
        <f>IF(A797&lt;&gt;"", IF(ISBLANK(L797), TODAY(), K797), "")</f>
        <v/>
      </c>
      <c r="L797" s="78" t="n"/>
      <c r="M797" s="78">
        <f>IF(ISBLANK(L797),"",IF(D797="Stock",IF(C797="Buy",L797*G797,IF(C797="Sell",(L797*G797)-I797, X)),IF(C797="Buy",(L797*G797*100)+I797,IF(C797="Sell",(L797*G797*100)-I797, X))))</f>
        <v/>
      </c>
      <c r="N797" s="78">
        <f>IF(ISBLANK(L797),"",IF(AND(C797="Sell",D797="Stock"),M797,IF(ISBLANK(L797),"",IF(C797="Buy",M797, IF(AND(C797="Sell",J797="NA"),(E797*G797*100*0.1)+I797, IF(C797="Sell",(J797-L797)*(100*G797)+I797))))))</f>
        <v/>
      </c>
      <c r="O797" s="75" t="n"/>
      <c r="P797" s="75" t="n"/>
      <c r="Q797" s="75">
        <f>IF(ISBLANK(P797),"",IF(D797="Stock",P797*G797,IF(P797=0,"0",G797*P797*100-(G797*$AF$14))))</f>
        <v/>
      </c>
      <c r="R797" s="79">
        <f>IF(P797&lt;&gt;"", TODAY(), "")</f>
        <v/>
      </c>
      <c r="S797" s="78">
        <f>IF(AND(K797&lt;&gt;"", R797&lt;&gt;""), R797-K797, "")</f>
        <v/>
      </c>
      <c r="T797" s="78" t="n"/>
      <c r="U797" s="92">
        <f>IF(ISBLANK(P797),"",IF(C797="Buy",Q797-M797+T797, IF(C797="Sell",M797-Q797-T797, X)))</f>
        <v/>
      </c>
      <c r="V797" s="81">
        <f>IF(ISBLANK(P797),"",U797/N797)</f>
        <v/>
      </c>
      <c r="W797" s="81">
        <f>IF(ISBLANK(P797),"",IF(S797=0,(365/0.5)*V797,(365/S797)*V797))</f>
        <v/>
      </c>
      <c r="X797" s="75" t="n"/>
      <c r="Y797" s="77" t="n"/>
      <c r="Z797" s="77" t="n"/>
      <c r="AA797" s="75" t="n"/>
      <c r="AB797" s="75" t="n"/>
      <c r="AC797" s="6" t="n"/>
      <c r="AD797" s="75" t="n"/>
      <c r="AE797" s="75" t="n"/>
      <c r="AF797" s="75" t="n"/>
    </row>
    <row r="798" ht="15.75" customHeight="1" s="133">
      <c r="A798" s="75" t="n"/>
      <c r="B798" s="75" t="n"/>
      <c r="C798" s="75" t="n"/>
      <c r="D798" s="75" t="n"/>
      <c r="E798" s="76" t="n"/>
      <c r="F798" s="77" t="n"/>
      <c r="G798" s="75" t="n"/>
      <c r="H798" s="75">
        <f>IF(ISBLANK(E798),"",IF(OR(D798="Butterfly",D798="Butterfly ",D798="Iron Fly", D798="Iron Fly "),LEN(E798)-LEN(SUBSTITUTE(E798,"/",""))+2,LEN(E798)-LEN(SUBSTITUTE(E798,"/",""))+1))</f>
        <v/>
      </c>
      <c r="I798" s="78">
        <f>IF(ISBLANK(G798),"",IF(D798="Stock","0",Key!$A$3*H798*G798))</f>
        <v/>
      </c>
      <c r="J798" s="78">
        <f>IF(ISBLANK(E798),"",IF(ISNUMBER(SEARCH("/",E798)), IF(LEN(E798)-LEN(SUBSTITUTE(E798,"/",""))=1,(RIGHT(E798,LEN(E798)-FIND("/",E798)))-(LEFT(E798,FIND("/",E798)-1)),(MID(E798, SEARCH("/",E798) + 1, SEARCH("/",E798, SEARCH("/",E798)+1) - SEARCH("/",E798) - 1))-(LEFT(E798,FIND("/",E798)-1))), "NA"))</f>
        <v/>
      </c>
      <c r="K798" s="79">
        <f>IF(A798&lt;&gt;"", IF(ISBLANK(L798), TODAY(), K798), "")</f>
        <v/>
      </c>
      <c r="L798" s="78" t="n"/>
      <c r="M798" s="78">
        <f>IF(ISBLANK(L798),"",IF(D798="Stock",IF(C798="Buy",L798*G798,IF(C798="Sell",(L798*G798)-I798, X)),IF(C798="Buy",(L798*G798*100)+I798,IF(C798="Sell",(L798*G798*100)-I798, X))))</f>
        <v/>
      </c>
      <c r="N798" s="78">
        <f>IF(ISBLANK(L798),"",IF(AND(C798="Sell",D798="Stock"),M798,IF(ISBLANK(L798),"",IF(C798="Buy",M798, IF(AND(C798="Sell",J798="NA"),(E798*G798*100*0.1)+I798, IF(C798="Sell",(J798-L798)*(100*G798)+I798))))))</f>
        <v/>
      </c>
      <c r="O798" s="75" t="n"/>
      <c r="P798" s="75" t="n"/>
      <c r="Q798" s="75">
        <f>IF(ISBLANK(P798),"",IF(D798="Stock",P798*G798,IF(P798=0,"0",G798*P798*100-(G798*$AF$14))))</f>
        <v/>
      </c>
      <c r="R798" s="79">
        <f>IF(P798&lt;&gt;"", TODAY(), "")</f>
        <v/>
      </c>
      <c r="S798" s="78">
        <f>IF(AND(K798&lt;&gt;"", R798&lt;&gt;""), R798-K798, "")</f>
        <v/>
      </c>
      <c r="T798" s="78" t="n"/>
      <c r="U798" s="92">
        <f>IF(ISBLANK(P798),"",IF(C798="Buy",Q798-M798+T798, IF(C798="Sell",M798-Q798-T798, X)))</f>
        <v/>
      </c>
      <c r="V798" s="81">
        <f>IF(ISBLANK(P798),"",U798/N798)</f>
        <v/>
      </c>
      <c r="W798" s="81">
        <f>IF(ISBLANK(P798),"",IF(S798=0,(365/0.5)*V798,(365/S798)*V798))</f>
        <v/>
      </c>
      <c r="X798" s="75" t="n"/>
      <c r="Y798" s="77" t="n"/>
      <c r="Z798" s="77" t="n"/>
      <c r="AA798" s="75" t="n"/>
      <c r="AB798" s="75" t="n"/>
      <c r="AC798" s="6" t="n"/>
      <c r="AD798" s="75" t="n"/>
      <c r="AE798" s="75" t="n"/>
      <c r="AF798" s="75" t="n"/>
    </row>
    <row r="799" ht="15.75" customHeight="1" s="133">
      <c r="A799" s="75" t="n"/>
      <c r="B799" s="75" t="n"/>
      <c r="C799" s="75" t="n"/>
      <c r="D799" s="75" t="n"/>
      <c r="E799" s="76" t="n"/>
      <c r="F799" s="77" t="n"/>
      <c r="G799" s="75" t="n"/>
      <c r="H799" s="75">
        <f>IF(ISBLANK(E799),"",IF(OR(D799="Butterfly",D799="Butterfly ",D799="Iron Fly", D799="Iron Fly "),LEN(E799)-LEN(SUBSTITUTE(E799,"/",""))+2,LEN(E799)-LEN(SUBSTITUTE(E799,"/",""))+1))</f>
        <v/>
      </c>
      <c r="I799" s="78">
        <f>IF(ISBLANK(G799),"",IF(D799="Stock","0",Key!$A$3*H799*G799))</f>
        <v/>
      </c>
      <c r="J799" s="78">
        <f>IF(ISBLANK(E799),"",IF(ISNUMBER(SEARCH("/",E799)), IF(LEN(E799)-LEN(SUBSTITUTE(E799,"/",""))=1,(RIGHT(E799,LEN(E799)-FIND("/",E799)))-(LEFT(E799,FIND("/",E799)-1)),(MID(E799, SEARCH("/",E799) + 1, SEARCH("/",E799, SEARCH("/",E799)+1) - SEARCH("/",E799) - 1))-(LEFT(E799,FIND("/",E799)-1))), "NA"))</f>
        <v/>
      </c>
      <c r="K799" s="79">
        <f>IF(A799&lt;&gt;"", IF(ISBLANK(L799), TODAY(), K799), "")</f>
        <v/>
      </c>
      <c r="L799" s="78" t="n"/>
      <c r="M799" s="78">
        <f>IF(ISBLANK(L799),"",IF(D799="Stock",IF(C799="Buy",L799*G799,IF(C799="Sell",(L799*G799)-I799, X)),IF(C799="Buy",(L799*G799*100)+I799,IF(C799="Sell",(L799*G799*100)-I799, X))))</f>
        <v/>
      </c>
      <c r="N799" s="78">
        <f>IF(ISBLANK(L799),"",IF(AND(C799="Sell",D799="Stock"),M799,IF(ISBLANK(L799),"",IF(C799="Buy",M799, IF(AND(C799="Sell",J799="NA"),(E799*G799*100*0.1)+I799, IF(C799="Sell",(J799-L799)*(100*G799)+I799))))))</f>
        <v/>
      </c>
      <c r="O799" s="75" t="n"/>
      <c r="P799" s="75" t="n"/>
      <c r="Q799" s="75">
        <f>IF(ISBLANK(P799),"",IF(D799="Stock",P799*G799,IF(P799=0,"0",G799*P799*100-(G799*$AF$14))))</f>
        <v/>
      </c>
      <c r="R799" s="79">
        <f>IF(P799&lt;&gt;"", TODAY(), "")</f>
        <v/>
      </c>
      <c r="S799" s="78">
        <f>IF(AND(K799&lt;&gt;"", R799&lt;&gt;""), R799-K799, "")</f>
        <v/>
      </c>
      <c r="T799" s="78" t="n"/>
      <c r="U799" s="92">
        <f>IF(ISBLANK(P799),"",IF(C799="Buy",Q799-M799+T799, IF(C799="Sell",M799-Q799-T799, X)))</f>
        <v/>
      </c>
      <c r="V799" s="81">
        <f>IF(ISBLANK(P799),"",U799/N799)</f>
        <v/>
      </c>
      <c r="W799" s="81">
        <f>IF(ISBLANK(P799),"",IF(S799=0,(365/0.5)*V799,(365/S799)*V799))</f>
        <v/>
      </c>
      <c r="X799" s="75" t="n"/>
      <c r="Y799" s="77" t="n"/>
      <c r="Z799" s="77" t="n"/>
      <c r="AA799" s="75" t="n"/>
      <c r="AB799" s="75" t="n"/>
      <c r="AC799" s="6" t="n"/>
      <c r="AD799" s="75" t="n"/>
      <c r="AE799" s="75" t="n"/>
      <c r="AF799" s="75" t="n"/>
    </row>
    <row r="800" ht="15.75" customHeight="1" s="133">
      <c r="A800" s="75" t="n"/>
      <c r="B800" s="75" t="n"/>
      <c r="C800" s="75" t="n"/>
      <c r="D800" s="75" t="n"/>
      <c r="E800" s="76" t="n"/>
      <c r="F800" s="77" t="n"/>
      <c r="G800" s="75" t="n"/>
      <c r="H800" s="75">
        <f>IF(ISBLANK(E800),"",IF(OR(D800="Butterfly",D800="Butterfly ",D800="Iron Fly", D800="Iron Fly "),LEN(E800)-LEN(SUBSTITUTE(E800,"/",""))+2,LEN(E800)-LEN(SUBSTITUTE(E800,"/",""))+1))</f>
        <v/>
      </c>
      <c r="I800" s="78">
        <f>IF(ISBLANK(G800),"",IF(D800="Stock","0",Key!$A$3*H800*G800))</f>
        <v/>
      </c>
      <c r="J800" s="78">
        <f>IF(ISBLANK(E800),"",IF(ISNUMBER(SEARCH("/",E800)), IF(LEN(E800)-LEN(SUBSTITUTE(E800,"/",""))=1,(RIGHT(E800,LEN(E800)-FIND("/",E800)))-(LEFT(E800,FIND("/",E800)-1)),(MID(E800, SEARCH("/",E800) + 1, SEARCH("/",E800, SEARCH("/",E800)+1) - SEARCH("/",E800) - 1))-(LEFT(E800,FIND("/",E800)-1))), "NA"))</f>
        <v/>
      </c>
      <c r="K800" s="79">
        <f>IF(A800&lt;&gt;"", IF(ISBLANK(L800), TODAY(), K800), "")</f>
        <v/>
      </c>
      <c r="L800" s="78" t="n"/>
      <c r="M800" s="78">
        <f>IF(ISBLANK(L800),"",IF(D800="Stock",IF(C800="Buy",L800*G800,IF(C800="Sell",(L800*G800)-I800, X)),IF(C800="Buy",(L800*G800*100)+I800,IF(C800="Sell",(L800*G800*100)-I800, X))))</f>
        <v/>
      </c>
      <c r="N800" s="78">
        <f>IF(ISBLANK(L800),"",IF(AND(C800="Sell",D800="Stock"),M800,IF(ISBLANK(L800),"",IF(C800="Buy",M800, IF(AND(C800="Sell",J800="NA"),(E800*G800*100*0.1)+I800, IF(C800="Sell",(J800-L800)*(100*G800)+I800))))))</f>
        <v/>
      </c>
      <c r="O800" s="75" t="n"/>
      <c r="P800" s="75" t="n"/>
      <c r="Q800" s="75">
        <f>IF(ISBLANK(P800),"",IF(D800="Stock",P800*G800,IF(P800=0,"0",G800*P800*100-(G800*$AF$14))))</f>
        <v/>
      </c>
      <c r="R800" s="79">
        <f>IF(P800&lt;&gt;"", TODAY(), "")</f>
        <v/>
      </c>
      <c r="S800" s="78">
        <f>IF(AND(K800&lt;&gt;"", R800&lt;&gt;""), R800-K800, "")</f>
        <v/>
      </c>
      <c r="T800" s="78" t="n"/>
      <c r="U800" s="92">
        <f>IF(ISBLANK(P800),"",IF(C800="Buy",Q800-M800+T800, IF(C800="Sell",M800-Q800-T800, X)))</f>
        <v/>
      </c>
      <c r="V800" s="81">
        <f>IF(ISBLANK(P800),"",U800/N800)</f>
        <v/>
      </c>
      <c r="W800" s="81">
        <f>IF(ISBLANK(P800),"",IF(S800=0,(365/0.5)*V800,(365/S800)*V800))</f>
        <v/>
      </c>
      <c r="X800" s="75" t="n"/>
      <c r="Y800" s="77" t="n"/>
      <c r="Z800" s="77" t="n"/>
      <c r="AA800" s="75" t="n"/>
      <c r="AB800" s="75" t="n"/>
      <c r="AC800" s="6" t="n"/>
      <c r="AD800" s="75" t="n"/>
      <c r="AE800" s="75" t="n"/>
      <c r="AF800" s="75" t="n"/>
    </row>
    <row r="801" ht="15.75" customHeight="1" s="133">
      <c r="A801" s="75" t="n"/>
      <c r="B801" s="75" t="n"/>
      <c r="C801" s="75" t="n"/>
      <c r="D801" s="75" t="n"/>
      <c r="E801" s="76" t="n"/>
      <c r="F801" s="77" t="n"/>
      <c r="G801" s="75" t="n"/>
      <c r="H801" s="75">
        <f>IF(ISBLANK(E801),"",IF(OR(D801="Butterfly",D801="Butterfly ",D801="Iron Fly", D801="Iron Fly "),LEN(E801)-LEN(SUBSTITUTE(E801,"/",""))+2,LEN(E801)-LEN(SUBSTITUTE(E801,"/",""))+1))</f>
        <v/>
      </c>
      <c r="I801" s="78">
        <f>IF(ISBLANK(G801),"",IF(D801="Stock","0",Key!$A$3*H801*G801))</f>
        <v/>
      </c>
      <c r="J801" s="78">
        <f>IF(ISBLANK(E801),"",IF(ISNUMBER(SEARCH("/",E801)), IF(LEN(E801)-LEN(SUBSTITUTE(E801,"/",""))=1,(RIGHT(E801,LEN(E801)-FIND("/",E801)))-(LEFT(E801,FIND("/",E801)-1)),(MID(E801, SEARCH("/",E801) + 1, SEARCH("/",E801, SEARCH("/",E801)+1) - SEARCH("/",E801) - 1))-(LEFT(E801,FIND("/",E801)-1))), "NA"))</f>
        <v/>
      </c>
      <c r="K801" s="79">
        <f>IF(A801&lt;&gt;"", IF(ISBLANK(L801), TODAY(), K801), "")</f>
        <v/>
      </c>
      <c r="L801" s="78" t="n"/>
      <c r="M801" s="78">
        <f>IF(ISBLANK(L801),"",IF(D801="Stock",IF(C801="Buy",L801*G801,IF(C801="Sell",(L801*G801)-I801, X)),IF(C801="Buy",(L801*G801*100)+I801,IF(C801="Sell",(L801*G801*100)-I801, X))))</f>
        <v/>
      </c>
      <c r="N801" s="78">
        <f>IF(ISBLANK(L801),"",IF(AND(C801="Sell",D801="Stock"),M801,IF(ISBLANK(L801),"",IF(C801="Buy",M801, IF(AND(C801="Sell",J801="NA"),(E801*G801*100*0.1)+I801, IF(C801="Sell",(J801-L801)*(100*G801)+I801))))))</f>
        <v/>
      </c>
      <c r="O801" s="75" t="n"/>
      <c r="P801" s="75" t="n"/>
      <c r="Q801" s="75">
        <f>IF(ISBLANK(P801),"",IF(D801="Stock",P801*G801,IF(P801=0,"0",G801*P801*100-(G801*$AF$14))))</f>
        <v/>
      </c>
      <c r="R801" s="79">
        <f>IF(P801&lt;&gt;"", TODAY(), "")</f>
        <v/>
      </c>
      <c r="S801" s="78">
        <f>IF(AND(K801&lt;&gt;"", R801&lt;&gt;""), R801-K801, "")</f>
        <v/>
      </c>
      <c r="T801" s="78" t="n"/>
      <c r="U801" s="92">
        <f>IF(ISBLANK(P801),"",IF(C801="Buy",Q801-M801+T801, IF(C801="Sell",M801-Q801-T801, X)))</f>
        <v/>
      </c>
      <c r="V801" s="81">
        <f>IF(ISBLANK(P801),"",U801/N801)</f>
        <v/>
      </c>
      <c r="W801" s="81">
        <f>IF(ISBLANK(P801),"",IF(S801=0,(365/0.5)*V801,(365/S801)*V801))</f>
        <v/>
      </c>
      <c r="X801" s="75" t="n"/>
      <c r="Y801" s="77" t="n"/>
      <c r="Z801" s="77" t="n"/>
      <c r="AA801" s="75" t="n"/>
      <c r="AB801" s="75" t="n"/>
      <c r="AC801" s="6" t="n"/>
      <c r="AD801" s="75" t="n"/>
      <c r="AE801" s="75" t="n"/>
      <c r="AF801" s="75" t="n"/>
    </row>
    <row r="802" ht="15.75" customHeight="1" s="133">
      <c r="A802" s="75" t="n"/>
      <c r="B802" s="75" t="n"/>
      <c r="C802" s="75" t="n"/>
      <c r="D802" s="75" t="n"/>
      <c r="E802" s="76" t="n"/>
      <c r="F802" s="77" t="n"/>
      <c r="G802" s="75" t="n"/>
      <c r="H802" s="75">
        <f>IF(ISBLANK(E802),"",IF(OR(D802="Butterfly",D802="Butterfly ",D802="Iron Fly", D802="Iron Fly "),LEN(E802)-LEN(SUBSTITUTE(E802,"/",""))+2,LEN(E802)-LEN(SUBSTITUTE(E802,"/",""))+1))</f>
        <v/>
      </c>
      <c r="I802" s="78">
        <f>IF(ISBLANK(G802),"",IF(D802="Stock","0",Key!$A$3*H802*G802))</f>
        <v/>
      </c>
      <c r="J802" s="78">
        <f>IF(ISBLANK(E802),"",IF(ISNUMBER(SEARCH("/",E802)), IF(LEN(E802)-LEN(SUBSTITUTE(E802,"/",""))=1,(RIGHT(E802,LEN(E802)-FIND("/",E802)))-(LEFT(E802,FIND("/",E802)-1)),(MID(E802, SEARCH("/",E802) + 1, SEARCH("/",E802, SEARCH("/",E802)+1) - SEARCH("/",E802) - 1))-(LEFT(E802,FIND("/",E802)-1))), "NA"))</f>
        <v/>
      </c>
      <c r="K802" s="79">
        <f>IF(A802&lt;&gt;"", IF(ISBLANK(L802), TODAY(), K802), "")</f>
        <v/>
      </c>
      <c r="L802" s="78" t="n"/>
      <c r="M802" s="78">
        <f>IF(ISBLANK(L802),"",IF(D802="Stock",IF(C802="Buy",L802*G802,IF(C802="Sell",(L802*G802)-I802, X)),IF(C802="Buy",(L802*G802*100)+I802,IF(C802="Sell",(L802*G802*100)-I802, X))))</f>
        <v/>
      </c>
      <c r="N802" s="78">
        <f>IF(ISBLANK(L802),"",IF(AND(C802="Sell",D802="Stock"),M802,IF(ISBLANK(L802),"",IF(C802="Buy",M802, IF(AND(C802="Sell",J802="NA"),(E802*G802*100*0.1)+I802, IF(C802="Sell",(J802-L802)*(100*G802)+I802))))))</f>
        <v/>
      </c>
      <c r="O802" s="75" t="n"/>
      <c r="P802" s="75" t="n"/>
      <c r="Q802" s="75">
        <f>IF(ISBLANK(P802),"",IF(D802="Stock",P802*G802,IF(P802=0,"0",G802*P802*100-(G802*$AF$14))))</f>
        <v/>
      </c>
      <c r="R802" s="79">
        <f>IF(P802&lt;&gt;"", TODAY(), "")</f>
        <v/>
      </c>
      <c r="S802" s="78">
        <f>IF(AND(K802&lt;&gt;"", R802&lt;&gt;""), R802-K802, "")</f>
        <v/>
      </c>
      <c r="T802" s="78" t="n"/>
      <c r="U802" s="92">
        <f>IF(ISBLANK(P802),"",IF(C802="Buy",Q802-M802+T802, IF(C802="Sell",M802-Q802-T802, X)))</f>
        <v/>
      </c>
      <c r="V802" s="81">
        <f>IF(ISBLANK(P802),"",U802/N802)</f>
        <v/>
      </c>
      <c r="W802" s="81">
        <f>IF(ISBLANK(P802),"",IF(S802=0,(365/0.5)*V802,(365/S802)*V802))</f>
        <v/>
      </c>
      <c r="X802" s="75" t="n"/>
      <c r="Y802" s="77" t="n"/>
      <c r="Z802" s="77" t="n"/>
      <c r="AA802" s="75" t="n"/>
      <c r="AB802" s="75" t="n"/>
      <c r="AC802" s="6" t="n"/>
      <c r="AD802" s="75" t="n"/>
      <c r="AE802" s="75" t="n"/>
      <c r="AF802" s="75" t="n"/>
    </row>
    <row r="803" ht="15.75" customHeight="1" s="133">
      <c r="A803" s="75" t="n"/>
      <c r="B803" s="75" t="n"/>
      <c r="C803" s="75" t="n"/>
      <c r="D803" s="75" t="n"/>
      <c r="E803" s="76" t="n"/>
      <c r="F803" s="77" t="n"/>
      <c r="G803" s="75" t="n"/>
      <c r="H803" s="75">
        <f>IF(ISBLANK(E803),"",IF(OR(D803="Butterfly",D803="Butterfly ",D803="Iron Fly", D803="Iron Fly "),LEN(E803)-LEN(SUBSTITUTE(E803,"/",""))+2,LEN(E803)-LEN(SUBSTITUTE(E803,"/",""))+1))</f>
        <v/>
      </c>
      <c r="I803" s="78">
        <f>IF(ISBLANK(G803),"",IF(D803="Stock","0",Key!$A$3*H803*G803))</f>
        <v/>
      </c>
      <c r="J803" s="78">
        <f>IF(ISBLANK(E803),"",IF(ISNUMBER(SEARCH("/",E803)), IF(LEN(E803)-LEN(SUBSTITUTE(E803,"/",""))=1,(RIGHT(E803,LEN(E803)-FIND("/",E803)))-(LEFT(E803,FIND("/",E803)-1)),(MID(E803, SEARCH("/",E803) + 1, SEARCH("/",E803, SEARCH("/",E803)+1) - SEARCH("/",E803) - 1))-(LEFT(E803,FIND("/",E803)-1))), "NA"))</f>
        <v/>
      </c>
      <c r="K803" s="79">
        <f>IF(A803&lt;&gt;"", IF(ISBLANK(L803), TODAY(), K803), "")</f>
        <v/>
      </c>
      <c r="L803" s="78" t="n"/>
      <c r="M803" s="78">
        <f>IF(ISBLANK(L803),"",IF(D803="Stock",IF(C803="Buy",L803*G803,IF(C803="Sell",(L803*G803)-I803, X)),IF(C803="Buy",(L803*G803*100)+I803,IF(C803="Sell",(L803*G803*100)-I803, X))))</f>
        <v/>
      </c>
      <c r="N803" s="78">
        <f>IF(ISBLANK(L803),"",IF(AND(C803="Sell",D803="Stock"),M803,IF(ISBLANK(L803),"",IF(C803="Buy",M803, IF(AND(C803="Sell",J803="NA"),(E803*G803*100*0.1)+I803, IF(C803="Sell",(J803-L803)*(100*G803)+I803))))))</f>
        <v/>
      </c>
      <c r="O803" s="75" t="n"/>
      <c r="P803" s="75" t="n"/>
      <c r="Q803" s="75">
        <f>IF(ISBLANK(P803),"",IF(D803="Stock",P803*G803,IF(P803=0,"0",G803*P803*100-(G803*$AF$14))))</f>
        <v/>
      </c>
      <c r="R803" s="79">
        <f>IF(P803&lt;&gt;"", TODAY(), "")</f>
        <v/>
      </c>
      <c r="S803" s="78">
        <f>IF(AND(K803&lt;&gt;"", R803&lt;&gt;""), R803-K803, "")</f>
        <v/>
      </c>
      <c r="T803" s="78" t="n"/>
      <c r="U803" s="92">
        <f>IF(ISBLANK(P803),"",IF(C803="Buy",Q803-M803+T803, IF(C803="Sell",M803-Q803-T803, X)))</f>
        <v/>
      </c>
      <c r="V803" s="81">
        <f>IF(ISBLANK(P803),"",U803/N803)</f>
        <v/>
      </c>
      <c r="W803" s="81">
        <f>IF(ISBLANK(P803),"",IF(S803=0,(365/0.5)*V803,(365/S803)*V803))</f>
        <v/>
      </c>
      <c r="X803" s="75" t="n"/>
      <c r="Y803" s="77" t="n"/>
      <c r="Z803" s="77" t="n"/>
      <c r="AA803" s="75" t="n"/>
      <c r="AB803" s="75" t="n"/>
      <c r="AC803" s="6" t="n"/>
      <c r="AD803" s="75" t="n"/>
      <c r="AE803" s="75" t="n"/>
      <c r="AF803" s="75" t="n"/>
    </row>
    <row r="804" ht="15.75" customHeight="1" s="133">
      <c r="A804" s="75" t="n"/>
      <c r="B804" s="75" t="n"/>
      <c r="C804" s="75" t="n"/>
      <c r="D804" s="75" t="n"/>
      <c r="E804" s="76" t="n"/>
      <c r="F804" s="77" t="n"/>
      <c r="G804" s="75" t="n"/>
      <c r="H804" s="75">
        <f>IF(ISBLANK(E804),"",IF(OR(D804="Butterfly",D804="Butterfly ",D804="Iron Fly", D804="Iron Fly "),LEN(E804)-LEN(SUBSTITUTE(E804,"/",""))+2,LEN(E804)-LEN(SUBSTITUTE(E804,"/",""))+1))</f>
        <v/>
      </c>
      <c r="I804" s="78">
        <f>IF(ISBLANK(G804),"",IF(D804="Stock","0",Key!$A$3*H804*G804))</f>
        <v/>
      </c>
      <c r="J804" s="78">
        <f>IF(ISBLANK(E804),"",IF(ISNUMBER(SEARCH("/",E804)), IF(LEN(E804)-LEN(SUBSTITUTE(E804,"/",""))=1,(RIGHT(E804,LEN(E804)-FIND("/",E804)))-(LEFT(E804,FIND("/",E804)-1)),(MID(E804, SEARCH("/",E804) + 1, SEARCH("/",E804, SEARCH("/",E804)+1) - SEARCH("/",E804) - 1))-(LEFT(E804,FIND("/",E804)-1))), "NA"))</f>
        <v/>
      </c>
      <c r="K804" s="79">
        <f>IF(A804&lt;&gt;"", IF(ISBLANK(L804), TODAY(), K804), "")</f>
        <v/>
      </c>
      <c r="L804" s="78" t="n"/>
      <c r="M804" s="78">
        <f>IF(ISBLANK(L804),"",IF(D804="Stock",IF(C804="Buy",L804*G804,IF(C804="Sell",(L804*G804)-I804, X)),IF(C804="Buy",(L804*G804*100)+I804,IF(C804="Sell",(L804*G804*100)-I804, X))))</f>
        <v/>
      </c>
      <c r="N804" s="78">
        <f>IF(ISBLANK(L804),"",IF(AND(C804="Sell",D804="Stock"),M804,IF(ISBLANK(L804),"",IF(C804="Buy",M804, IF(AND(C804="Sell",J804="NA"),(E804*G804*100*0.1)+I804, IF(C804="Sell",(J804-L804)*(100*G804)+I804))))))</f>
        <v/>
      </c>
      <c r="O804" s="75" t="n"/>
      <c r="P804" s="75" t="n"/>
      <c r="Q804" s="75">
        <f>IF(ISBLANK(P804),"",IF(D804="Stock",P804*G804,IF(P804=0,"0",G804*P804*100-(G804*$AF$14))))</f>
        <v/>
      </c>
      <c r="R804" s="79">
        <f>IF(P804&lt;&gt;"", TODAY(), "")</f>
        <v/>
      </c>
      <c r="S804" s="78">
        <f>IF(AND(K804&lt;&gt;"", R804&lt;&gt;""), R804-K804, "")</f>
        <v/>
      </c>
      <c r="T804" s="78" t="n"/>
      <c r="U804" s="92">
        <f>IF(ISBLANK(P804),"",IF(C804="Buy",Q804-M804+T804, IF(C804="Sell",M804-Q804-T804, X)))</f>
        <v/>
      </c>
      <c r="V804" s="81">
        <f>IF(ISBLANK(P804),"",U804/N804)</f>
        <v/>
      </c>
      <c r="W804" s="81">
        <f>IF(ISBLANK(P804),"",IF(S804=0,(365/0.5)*V804,(365/S804)*V804))</f>
        <v/>
      </c>
      <c r="X804" s="75" t="n"/>
      <c r="Y804" s="77" t="n"/>
      <c r="Z804" s="77" t="n"/>
      <c r="AA804" s="75" t="n"/>
      <c r="AB804" s="75" t="n"/>
      <c r="AC804" s="6" t="n"/>
      <c r="AD804" s="75" t="n"/>
      <c r="AE804" s="75" t="n"/>
      <c r="AF804" s="75" t="n"/>
    </row>
    <row r="805" ht="15.75" customHeight="1" s="133">
      <c r="A805" s="75" t="n"/>
      <c r="B805" s="75" t="n"/>
      <c r="C805" s="75" t="n"/>
      <c r="D805" s="75" t="n"/>
      <c r="E805" s="76" t="n"/>
      <c r="F805" s="77" t="n"/>
      <c r="G805" s="75" t="n"/>
      <c r="H805" s="75">
        <f>IF(ISBLANK(E805),"",IF(OR(D805="Butterfly",D805="Butterfly ",D805="Iron Fly", D805="Iron Fly "),LEN(E805)-LEN(SUBSTITUTE(E805,"/",""))+2,LEN(E805)-LEN(SUBSTITUTE(E805,"/",""))+1))</f>
        <v/>
      </c>
      <c r="I805" s="78">
        <f>IF(ISBLANK(G805),"",IF(D805="Stock","0",Key!$A$3*H805*G805))</f>
        <v/>
      </c>
      <c r="J805" s="78">
        <f>IF(ISBLANK(E805),"",IF(ISNUMBER(SEARCH("/",E805)), IF(LEN(E805)-LEN(SUBSTITUTE(E805,"/",""))=1,(RIGHT(E805,LEN(E805)-FIND("/",E805)))-(LEFT(E805,FIND("/",E805)-1)),(MID(E805, SEARCH("/",E805) + 1, SEARCH("/",E805, SEARCH("/",E805)+1) - SEARCH("/",E805) - 1))-(LEFT(E805,FIND("/",E805)-1))), "NA"))</f>
        <v/>
      </c>
      <c r="K805" s="79">
        <f>IF(A805&lt;&gt;"", IF(ISBLANK(L805), TODAY(), K805), "")</f>
        <v/>
      </c>
      <c r="L805" s="78" t="n"/>
      <c r="M805" s="78">
        <f>IF(ISBLANK(L805),"",IF(D805="Stock",IF(C805="Buy",L805*G805,IF(C805="Sell",(L805*G805)-I805, X)),IF(C805="Buy",(L805*G805*100)+I805,IF(C805="Sell",(L805*G805*100)-I805, X))))</f>
        <v/>
      </c>
      <c r="N805" s="78">
        <f>IF(ISBLANK(L805),"",IF(AND(C805="Sell",D805="Stock"),M805,IF(ISBLANK(L805),"",IF(C805="Buy",M805, IF(AND(C805="Sell",J805="NA"),(E805*G805*100*0.1)+I805, IF(C805="Sell",(J805-L805)*(100*G805)+I805))))))</f>
        <v/>
      </c>
      <c r="O805" s="75" t="n"/>
      <c r="P805" s="75" t="n"/>
      <c r="Q805" s="75">
        <f>IF(ISBLANK(P805),"",IF(D805="Stock",P805*G805,IF(P805=0,"0",G805*P805*100-(G805*$AF$14))))</f>
        <v/>
      </c>
      <c r="R805" s="79">
        <f>IF(P805&lt;&gt;"", TODAY(), "")</f>
        <v/>
      </c>
      <c r="S805" s="78">
        <f>IF(AND(K805&lt;&gt;"", R805&lt;&gt;""), R805-K805, "")</f>
        <v/>
      </c>
      <c r="T805" s="78" t="n"/>
      <c r="U805" s="92">
        <f>IF(ISBLANK(P805),"",IF(C805="Buy",Q805-M805+T805, IF(C805="Sell",M805-Q805-T805, X)))</f>
        <v/>
      </c>
      <c r="V805" s="81">
        <f>IF(ISBLANK(P805),"",U805/N805)</f>
        <v/>
      </c>
      <c r="W805" s="81">
        <f>IF(ISBLANK(P805),"",IF(S805=0,(365/0.5)*V805,(365/S805)*V805))</f>
        <v/>
      </c>
      <c r="X805" s="75" t="n"/>
      <c r="Y805" s="77" t="n"/>
      <c r="Z805" s="77" t="n"/>
      <c r="AA805" s="75" t="n"/>
      <c r="AB805" s="75" t="n"/>
      <c r="AC805" s="6" t="n"/>
      <c r="AD805" s="75" t="n"/>
      <c r="AE805" s="75" t="n"/>
      <c r="AF805" s="75" t="n"/>
    </row>
    <row r="806" ht="15.75" customHeight="1" s="133">
      <c r="A806" s="75" t="n"/>
      <c r="B806" s="75" t="n"/>
      <c r="C806" s="75" t="n"/>
      <c r="D806" s="75" t="n"/>
      <c r="E806" s="76" t="n"/>
      <c r="F806" s="77" t="n"/>
      <c r="G806" s="75" t="n"/>
      <c r="H806" s="75">
        <f>IF(ISBLANK(E806),"",IF(OR(D806="Butterfly",D806="Butterfly ",D806="Iron Fly", D806="Iron Fly "),LEN(E806)-LEN(SUBSTITUTE(E806,"/",""))+2,LEN(E806)-LEN(SUBSTITUTE(E806,"/",""))+1))</f>
        <v/>
      </c>
      <c r="I806" s="78">
        <f>IF(ISBLANK(G806),"",IF(D806="Stock","0",Key!$A$3*H806*G806))</f>
        <v/>
      </c>
      <c r="J806" s="78">
        <f>IF(ISBLANK(E806),"",IF(ISNUMBER(SEARCH("/",E806)), IF(LEN(E806)-LEN(SUBSTITUTE(E806,"/",""))=1,(RIGHT(E806,LEN(E806)-FIND("/",E806)))-(LEFT(E806,FIND("/",E806)-1)),(MID(E806, SEARCH("/",E806) + 1, SEARCH("/",E806, SEARCH("/",E806)+1) - SEARCH("/",E806) - 1))-(LEFT(E806,FIND("/",E806)-1))), "NA"))</f>
        <v/>
      </c>
      <c r="K806" s="79">
        <f>IF(A806&lt;&gt;"", IF(ISBLANK(L806), TODAY(), K806), "")</f>
        <v/>
      </c>
      <c r="L806" s="78" t="n"/>
      <c r="M806" s="78">
        <f>IF(ISBLANK(L806),"",IF(D806="Stock",IF(C806="Buy",L806*G806,IF(C806="Sell",(L806*G806)-I806, X)),IF(C806="Buy",(L806*G806*100)+I806,IF(C806="Sell",(L806*G806*100)-I806, X))))</f>
        <v/>
      </c>
      <c r="N806" s="78">
        <f>IF(ISBLANK(L806),"",IF(AND(C806="Sell",D806="Stock"),M806,IF(ISBLANK(L806),"",IF(C806="Buy",M806, IF(AND(C806="Sell",J806="NA"),(E806*G806*100*0.1)+I806, IF(C806="Sell",(J806-L806)*(100*G806)+I806))))))</f>
        <v/>
      </c>
      <c r="O806" s="75" t="n"/>
      <c r="P806" s="75" t="n"/>
      <c r="Q806" s="75">
        <f>IF(ISBLANK(P806),"",IF(D806="Stock",P806*G806,IF(P806=0,"0",G806*P806*100-(G806*$AF$14))))</f>
        <v/>
      </c>
      <c r="R806" s="79">
        <f>IF(P806&lt;&gt;"", TODAY(), "")</f>
        <v/>
      </c>
      <c r="S806" s="78">
        <f>IF(AND(K806&lt;&gt;"", R806&lt;&gt;""), R806-K806, "")</f>
        <v/>
      </c>
      <c r="T806" s="78" t="n"/>
      <c r="U806" s="92">
        <f>IF(ISBLANK(P806),"",IF(C806="Buy",Q806-M806+T806, IF(C806="Sell",M806-Q806-T806, X)))</f>
        <v/>
      </c>
      <c r="V806" s="81">
        <f>IF(ISBLANK(P806),"",U806/N806)</f>
        <v/>
      </c>
      <c r="W806" s="81">
        <f>IF(ISBLANK(P806),"",IF(S806=0,(365/0.5)*V806,(365/S806)*V806))</f>
        <v/>
      </c>
      <c r="X806" s="75" t="n"/>
      <c r="Y806" s="77" t="n"/>
      <c r="Z806" s="77" t="n"/>
      <c r="AA806" s="75" t="n"/>
      <c r="AB806" s="75" t="n"/>
      <c r="AC806" s="6" t="n"/>
      <c r="AD806" s="75" t="n"/>
      <c r="AE806" s="75" t="n"/>
      <c r="AF806" s="75" t="n"/>
    </row>
    <row r="807" ht="15.75" customHeight="1" s="133">
      <c r="A807" s="75" t="n"/>
      <c r="B807" s="75" t="n"/>
      <c r="C807" s="75" t="n"/>
      <c r="D807" s="75" t="n"/>
      <c r="E807" s="76" t="n"/>
      <c r="F807" s="77" t="n"/>
      <c r="G807" s="75" t="n"/>
      <c r="H807" s="75">
        <f>IF(ISBLANK(E807),"",IF(OR(D807="Butterfly",D807="Butterfly ",D807="Iron Fly", D807="Iron Fly "),LEN(E807)-LEN(SUBSTITUTE(E807,"/",""))+2,LEN(E807)-LEN(SUBSTITUTE(E807,"/",""))+1))</f>
        <v/>
      </c>
      <c r="I807" s="78">
        <f>IF(ISBLANK(G807),"",IF(D807="Stock","0",Key!$A$3*H807*G807))</f>
        <v/>
      </c>
      <c r="J807" s="78">
        <f>IF(ISBLANK(E807),"",IF(ISNUMBER(SEARCH("/",E807)), IF(LEN(E807)-LEN(SUBSTITUTE(E807,"/",""))=1,(RIGHT(E807,LEN(E807)-FIND("/",E807)))-(LEFT(E807,FIND("/",E807)-1)),(MID(E807, SEARCH("/",E807) + 1, SEARCH("/",E807, SEARCH("/",E807)+1) - SEARCH("/",E807) - 1))-(LEFT(E807,FIND("/",E807)-1))), "NA"))</f>
        <v/>
      </c>
      <c r="K807" s="79">
        <f>IF(A807&lt;&gt;"", IF(ISBLANK(L807), TODAY(), K807), "")</f>
        <v/>
      </c>
      <c r="L807" s="78" t="n"/>
      <c r="M807" s="78">
        <f>IF(ISBLANK(L807),"",IF(D807="Stock",IF(C807="Buy",L807*G807,IF(C807="Sell",(L807*G807)-I807, X)),IF(C807="Buy",(L807*G807*100)+I807,IF(C807="Sell",(L807*G807*100)-I807, X))))</f>
        <v/>
      </c>
      <c r="N807" s="78">
        <f>IF(ISBLANK(L807),"",IF(AND(C807="Sell",D807="Stock"),M807,IF(ISBLANK(L807),"",IF(C807="Buy",M807, IF(AND(C807="Sell",J807="NA"),(E807*G807*100*0.1)+I807, IF(C807="Sell",(J807-L807)*(100*G807)+I807))))))</f>
        <v/>
      </c>
      <c r="O807" s="75" t="n"/>
      <c r="P807" s="75" t="n"/>
      <c r="Q807" s="75">
        <f>IF(ISBLANK(P807),"",IF(D807="Stock",P807*G807,IF(P807=0,"0",G807*P807*100-(G807*$AF$14))))</f>
        <v/>
      </c>
      <c r="R807" s="79">
        <f>IF(P807&lt;&gt;"", TODAY(), "")</f>
        <v/>
      </c>
      <c r="S807" s="78">
        <f>IF(AND(K807&lt;&gt;"", R807&lt;&gt;""), R807-K807, "")</f>
        <v/>
      </c>
      <c r="T807" s="78" t="n"/>
      <c r="U807" s="92">
        <f>IF(ISBLANK(P807),"",IF(C807="Buy",Q807-M807+T807, IF(C807="Sell",M807-Q807-T807, X)))</f>
        <v/>
      </c>
      <c r="V807" s="81">
        <f>IF(ISBLANK(P807),"",U807/N807)</f>
        <v/>
      </c>
      <c r="W807" s="81">
        <f>IF(ISBLANK(P807),"",IF(S807=0,(365/0.5)*V807,(365/S807)*V807))</f>
        <v/>
      </c>
      <c r="X807" s="75" t="n"/>
      <c r="Y807" s="77" t="n"/>
      <c r="Z807" s="77" t="n"/>
      <c r="AA807" s="75" t="n"/>
      <c r="AB807" s="75" t="n"/>
      <c r="AC807" s="6" t="n"/>
      <c r="AD807" s="75" t="n"/>
      <c r="AE807" s="75" t="n"/>
      <c r="AF807" s="75" t="n"/>
    </row>
    <row r="808" ht="15.75" customHeight="1" s="133">
      <c r="A808" s="75" t="n"/>
      <c r="B808" s="75" t="n"/>
      <c r="C808" s="75" t="n"/>
      <c r="D808" s="75" t="n"/>
      <c r="E808" s="76" t="n"/>
      <c r="F808" s="77" t="n"/>
      <c r="G808" s="75" t="n"/>
      <c r="H808" s="75">
        <f>IF(ISBLANK(E808),"",IF(OR(D808="Butterfly",D808="Butterfly ",D808="Iron Fly", D808="Iron Fly "),LEN(E808)-LEN(SUBSTITUTE(E808,"/",""))+2,LEN(E808)-LEN(SUBSTITUTE(E808,"/",""))+1))</f>
        <v/>
      </c>
      <c r="I808" s="78">
        <f>IF(ISBLANK(G808),"",IF(D808="Stock","0",Key!$A$3*H808*G808))</f>
        <v/>
      </c>
      <c r="J808" s="78">
        <f>IF(ISBLANK(E808),"",IF(ISNUMBER(SEARCH("/",E808)), IF(LEN(E808)-LEN(SUBSTITUTE(E808,"/",""))=1,(RIGHT(E808,LEN(E808)-FIND("/",E808)))-(LEFT(E808,FIND("/",E808)-1)),(MID(E808, SEARCH("/",E808) + 1, SEARCH("/",E808, SEARCH("/",E808)+1) - SEARCH("/",E808) - 1))-(LEFT(E808,FIND("/",E808)-1))), "NA"))</f>
        <v/>
      </c>
      <c r="K808" s="79">
        <f>IF(A808&lt;&gt;"", IF(ISBLANK(L808), TODAY(), K808), "")</f>
        <v/>
      </c>
      <c r="L808" s="78" t="n"/>
      <c r="M808" s="78">
        <f>IF(ISBLANK(L808),"",IF(D808="Stock",IF(C808="Buy",L808*G808,IF(C808="Sell",(L808*G808)-I808, X)),IF(C808="Buy",(L808*G808*100)+I808,IF(C808="Sell",(L808*G808*100)-I808, X))))</f>
        <v/>
      </c>
      <c r="N808" s="78">
        <f>IF(ISBLANK(L808),"",IF(AND(C808="Sell",D808="Stock"),M808,IF(ISBLANK(L808),"",IF(C808="Buy",M808, IF(AND(C808="Sell",J808="NA"),(E808*G808*100*0.1)+I808, IF(C808="Sell",(J808-L808)*(100*G808)+I808))))))</f>
        <v/>
      </c>
      <c r="O808" s="75" t="n"/>
      <c r="P808" s="75" t="n"/>
      <c r="Q808" s="75">
        <f>IF(ISBLANK(P808),"",IF(D808="Stock",P808*G808,IF(P808=0,"0",G808*P808*100-(G808*$AF$14))))</f>
        <v/>
      </c>
      <c r="R808" s="79">
        <f>IF(P808&lt;&gt;"", TODAY(), "")</f>
        <v/>
      </c>
      <c r="S808" s="78">
        <f>IF(AND(K808&lt;&gt;"", R808&lt;&gt;""), R808-K808, "")</f>
        <v/>
      </c>
      <c r="T808" s="78" t="n"/>
      <c r="U808" s="92">
        <f>IF(ISBLANK(P808),"",IF(C808="Buy",Q808-M808+T808, IF(C808="Sell",M808-Q808-T808, X)))</f>
        <v/>
      </c>
      <c r="V808" s="81">
        <f>IF(ISBLANK(P808),"",U808/N808)</f>
        <v/>
      </c>
      <c r="W808" s="81">
        <f>IF(ISBLANK(P808),"",IF(S808=0,(365/0.5)*V808,(365/S808)*V808))</f>
        <v/>
      </c>
      <c r="X808" s="75" t="n"/>
      <c r="Y808" s="77" t="n"/>
      <c r="Z808" s="77" t="n"/>
      <c r="AA808" s="75" t="n"/>
      <c r="AB808" s="75" t="n"/>
      <c r="AC808" s="6" t="n"/>
      <c r="AD808" s="75" t="n"/>
      <c r="AE808" s="75" t="n"/>
      <c r="AF808" s="75" t="n"/>
    </row>
    <row r="809" ht="15.75" customHeight="1" s="133">
      <c r="A809" s="75" t="n"/>
      <c r="B809" s="75" t="n"/>
      <c r="C809" s="75" t="n"/>
      <c r="D809" s="75" t="n"/>
      <c r="E809" s="76" t="n"/>
      <c r="F809" s="77" t="n"/>
      <c r="G809" s="75" t="n"/>
      <c r="H809" s="75">
        <f>IF(ISBLANK(E809),"",IF(OR(D809="Butterfly",D809="Butterfly ",D809="Iron Fly", D809="Iron Fly "),LEN(E809)-LEN(SUBSTITUTE(E809,"/",""))+2,LEN(E809)-LEN(SUBSTITUTE(E809,"/",""))+1))</f>
        <v/>
      </c>
      <c r="I809" s="78">
        <f>IF(ISBLANK(G809),"",IF(D809="Stock","0",Key!$A$3*H809*G809))</f>
        <v/>
      </c>
      <c r="J809" s="78">
        <f>IF(ISBLANK(E809),"",IF(ISNUMBER(SEARCH("/",E809)), IF(LEN(E809)-LEN(SUBSTITUTE(E809,"/",""))=1,(RIGHT(E809,LEN(E809)-FIND("/",E809)))-(LEFT(E809,FIND("/",E809)-1)),(MID(E809, SEARCH("/",E809) + 1, SEARCH("/",E809, SEARCH("/",E809)+1) - SEARCH("/",E809) - 1))-(LEFT(E809,FIND("/",E809)-1))), "NA"))</f>
        <v/>
      </c>
      <c r="K809" s="79">
        <f>IF(A809&lt;&gt;"", IF(ISBLANK(L809), TODAY(), K809), "")</f>
        <v/>
      </c>
      <c r="L809" s="78" t="n"/>
      <c r="M809" s="78">
        <f>IF(ISBLANK(L809),"",IF(D809="Stock",IF(C809="Buy",L809*G809,IF(C809="Sell",(L809*G809)-I809, X)),IF(C809="Buy",(L809*G809*100)+I809,IF(C809="Sell",(L809*G809*100)-I809, X))))</f>
        <v/>
      </c>
      <c r="N809" s="78">
        <f>IF(ISBLANK(L809),"",IF(AND(C809="Sell",D809="Stock"),M809,IF(ISBLANK(L809),"",IF(C809="Buy",M809, IF(AND(C809="Sell",J809="NA"),(E809*G809*100*0.1)+I809, IF(C809="Sell",(J809-L809)*(100*G809)+I809))))))</f>
        <v/>
      </c>
      <c r="O809" s="75" t="n"/>
      <c r="P809" s="75" t="n"/>
      <c r="Q809" s="75">
        <f>IF(ISBLANK(P809),"",IF(D809="Stock",P809*G809,IF(P809=0,"0",G809*P809*100-(G809*$AF$14))))</f>
        <v/>
      </c>
      <c r="R809" s="79">
        <f>IF(P809&lt;&gt;"", TODAY(), "")</f>
        <v/>
      </c>
      <c r="S809" s="78">
        <f>IF(AND(K809&lt;&gt;"", R809&lt;&gt;""), R809-K809, "")</f>
        <v/>
      </c>
      <c r="T809" s="78" t="n"/>
      <c r="U809" s="92">
        <f>IF(ISBLANK(P809),"",IF(C809="Buy",Q809-M809+T809, IF(C809="Sell",M809-Q809-T809, X)))</f>
        <v/>
      </c>
      <c r="V809" s="81">
        <f>IF(ISBLANK(P809),"",U809/N809)</f>
        <v/>
      </c>
      <c r="W809" s="81">
        <f>IF(ISBLANK(P809),"",IF(S809=0,(365/0.5)*V809,(365/S809)*V809))</f>
        <v/>
      </c>
      <c r="X809" s="75" t="n"/>
      <c r="Y809" s="77" t="n"/>
      <c r="Z809" s="77" t="n"/>
      <c r="AA809" s="75" t="n"/>
      <c r="AB809" s="75" t="n"/>
      <c r="AC809" s="6" t="n"/>
      <c r="AD809" s="75" t="n"/>
      <c r="AE809" s="75" t="n"/>
      <c r="AF809" s="75" t="n"/>
    </row>
    <row r="810" ht="15.75" customHeight="1" s="133">
      <c r="A810" s="75" t="n"/>
      <c r="B810" s="75" t="n"/>
      <c r="C810" s="75" t="n"/>
      <c r="D810" s="75" t="n"/>
      <c r="E810" s="76" t="n"/>
      <c r="F810" s="77" t="n"/>
      <c r="G810" s="75" t="n"/>
      <c r="H810" s="75">
        <f>IF(ISBLANK(E810),"",IF(OR(D810="Butterfly",D810="Butterfly ",D810="Iron Fly", D810="Iron Fly "),LEN(E810)-LEN(SUBSTITUTE(E810,"/",""))+2,LEN(E810)-LEN(SUBSTITUTE(E810,"/",""))+1))</f>
        <v/>
      </c>
      <c r="I810" s="78">
        <f>IF(ISBLANK(G810),"",IF(D810="Stock","0",Key!$A$3*H810*G810))</f>
        <v/>
      </c>
      <c r="J810" s="78">
        <f>IF(ISBLANK(E810),"",IF(ISNUMBER(SEARCH("/",E810)), IF(LEN(E810)-LEN(SUBSTITUTE(E810,"/",""))=1,(RIGHT(E810,LEN(E810)-FIND("/",E810)))-(LEFT(E810,FIND("/",E810)-1)),(MID(E810, SEARCH("/",E810) + 1, SEARCH("/",E810, SEARCH("/",E810)+1) - SEARCH("/",E810) - 1))-(LEFT(E810,FIND("/",E810)-1))), "NA"))</f>
        <v/>
      </c>
      <c r="K810" s="79">
        <f>IF(A810&lt;&gt;"", IF(ISBLANK(L810), TODAY(), K810), "")</f>
        <v/>
      </c>
      <c r="L810" s="78" t="n"/>
      <c r="M810" s="78">
        <f>IF(ISBLANK(L810),"",IF(D810="Stock",IF(C810="Buy",L810*G810,IF(C810="Sell",(L810*G810)-I810, X)),IF(C810="Buy",(L810*G810*100)+I810,IF(C810="Sell",(L810*G810*100)-I810, X))))</f>
        <v/>
      </c>
      <c r="N810" s="78">
        <f>IF(ISBLANK(L810),"",IF(AND(C810="Sell",D810="Stock"),M810,IF(ISBLANK(L810),"",IF(C810="Buy",M810, IF(AND(C810="Sell",J810="NA"),(E810*G810*100*0.1)+I810, IF(C810="Sell",(J810-L810)*(100*G810)+I810))))))</f>
        <v/>
      </c>
      <c r="O810" s="75" t="n"/>
      <c r="P810" s="75" t="n"/>
      <c r="Q810" s="75">
        <f>IF(ISBLANK(P810),"",IF(D810="Stock",P810*G810,IF(P810=0,"0",G810*P810*100-(G810*$AF$14))))</f>
        <v/>
      </c>
      <c r="R810" s="79">
        <f>IF(P810&lt;&gt;"", TODAY(), "")</f>
        <v/>
      </c>
      <c r="S810" s="78">
        <f>IF(AND(K810&lt;&gt;"", R810&lt;&gt;""), R810-K810, "")</f>
        <v/>
      </c>
      <c r="T810" s="78" t="n"/>
      <c r="U810" s="92">
        <f>IF(ISBLANK(P810),"",IF(C810="Buy",Q810-M810+T810, IF(C810="Sell",M810-Q810-T810, X)))</f>
        <v/>
      </c>
      <c r="V810" s="81">
        <f>IF(ISBLANK(P810),"",U810/N810)</f>
        <v/>
      </c>
      <c r="W810" s="81">
        <f>IF(ISBLANK(P810),"",IF(S810=0,(365/0.5)*V810,(365/S810)*V810))</f>
        <v/>
      </c>
      <c r="X810" s="75" t="n"/>
      <c r="Y810" s="77" t="n"/>
      <c r="Z810" s="77" t="n"/>
      <c r="AA810" s="75" t="n"/>
      <c r="AB810" s="75" t="n"/>
      <c r="AC810" s="6" t="n"/>
      <c r="AD810" s="75" t="n"/>
      <c r="AE810" s="75" t="n"/>
      <c r="AF810" s="75" t="n"/>
    </row>
    <row r="811" ht="15.75" customHeight="1" s="133">
      <c r="A811" s="75" t="n"/>
      <c r="B811" s="75" t="n"/>
      <c r="C811" s="75" t="n"/>
      <c r="D811" s="75" t="n"/>
      <c r="E811" s="76" t="n"/>
      <c r="F811" s="77" t="n"/>
      <c r="G811" s="75" t="n"/>
      <c r="H811" s="75">
        <f>IF(ISBLANK(E811),"",IF(OR(D811="Butterfly",D811="Butterfly ",D811="Iron Fly", D811="Iron Fly "),LEN(E811)-LEN(SUBSTITUTE(E811,"/",""))+2,LEN(E811)-LEN(SUBSTITUTE(E811,"/",""))+1))</f>
        <v/>
      </c>
      <c r="I811" s="78">
        <f>IF(ISBLANK(G811),"",IF(D811="Stock","0",Key!$A$3*H811*G811))</f>
        <v/>
      </c>
      <c r="J811" s="78">
        <f>IF(ISBLANK(E811),"",IF(ISNUMBER(SEARCH("/",E811)), IF(LEN(E811)-LEN(SUBSTITUTE(E811,"/",""))=1,(RIGHT(E811,LEN(E811)-FIND("/",E811)))-(LEFT(E811,FIND("/",E811)-1)),(MID(E811, SEARCH("/",E811) + 1, SEARCH("/",E811, SEARCH("/",E811)+1) - SEARCH("/",E811) - 1))-(LEFT(E811,FIND("/",E811)-1))), "NA"))</f>
        <v/>
      </c>
      <c r="K811" s="79">
        <f>IF(A811&lt;&gt;"", IF(ISBLANK(L811), TODAY(), K811), "")</f>
        <v/>
      </c>
      <c r="L811" s="78" t="n"/>
      <c r="M811" s="78">
        <f>IF(ISBLANK(L811),"",IF(D811="Stock",IF(C811="Buy",L811*G811,IF(C811="Sell",(L811*G811)-I811, X)),IF(C811="Buy",(L811*G811*100)+I811,IF(C811="Sell",(L811*G811*100)-I811, X))))</f>
        <v/>
      </c>
      <c r="N811" s="78">
        <f>IF(ISBLANK(L811),"",IF(AND(C811="Sell",D811="Stock"),M811,IF(ISBLANK(L811),"",IF(C811="Buy",M811, IF(AND(C811="Sell",J811="NA"),(E811*G811*100*0.1)+I811, IF(C811="Sell",(J811-L811)*(100*G811)+I811))))))</f>
        <v/>
      </c>
      <c r="O811" s="75" t="n"/>
      <c r="P811" s="75" t="n"/>
      <c r="Q811" s="75">
        <f>IF(ISBLANK(P811),"",IF(D811="Stock",P811*G811,IF(P811=0,"0",G811*P811*100-(G811*$AF$14))))</f>
        <v/>
      </c>
      <c r="R811" s="79">
        <f>IF(P811&lt;&gt;"", TODAY(), "")</f>
        <v/>
      </c>
      <c r="S811" s="78">
        <f>IF(AND(K811&lt;&gt;"", R811&lt;&gt;""), R811-K811, "")</f>
        <v/>
      </c>
      <c r="T811" s="78" t="n"/>
      <c r="U811" s="92">
        <f>IF(ISBLANK(P811),"",IF(C811="Buy",Q811-M811+T811, IF(C811="Sell",M811-Q811-T811, X)))</f>
        <v/>
      </c>
      <c r="V811" s="81">
        <f>IF(ISBLANK(P811),"",U811/N811)</f>
        <v/>
      </c>
      <c r="W811" s="81">
        <f>IF(ISBLANK(P811),"",IF(S811=0,(365/0.5)*V811,(365/S811)*V811))</f>
        <v/>
      </c>
      <c r="X811" s="75" t="n"/>
      <c r="Y811" s="77" t="n"/>
      <c r="Z811" s="77" t="n"/>
      <c r="AA811" s="75" t="n"/>
      <c r="AB811" s="75" t="n"/>
      <c r="AC811" s="6" t="n"/>
      <c r="AD811" s="75" t="n"/>
      <c r="AE811" s="75" t="n"/>
      <c r="AF811" s="75" t="n"/>
    </row>
    <row r="812" ht="15.75" customHeight="1" s="133">
      <c r="A812" s="75" t="n"/>
      <c r="B812" s="75" t="n"/>
      <c r="C812" s="75" t="n"/>
      <c r="D812" s="75" t="n"/>
      <c r="E812" s="76" t="n"/>
      <c r="F812" s="77" t="n"/>
      <c r="G812" s="75" t="n"/>
      <c r="H812" s="75">
        <f>IF(ISBLANK(E812),"",IF(OR(D812="Butterfly",D812="Butterfly ",D812="Iron Fly", D812="Iron Fly "),LEN(E812)-LEN(SUBSTITUTE(E812,"/",""))+2,LEN(E812)-LEN(SUBSTITUTE(E812,"/",""))+1))</f>
        <v/>
      </c>
      <c r="I812" s="78">
        <f>IF(ISBLANK(G812),"",IF(D812="Stock","0",Key!$A$3*H812*G812))</f>
        <v/>
      </c>
      <c r="J812" s="78">
        <f>IF(ISBLANK(E812),"",IF(ISNUMBER(SEARCH("/",E812)), IF(LEN(E812)-LEN(SUBSTITUTE(E812,"/",""))=1,(RIGHT(E812,LEN(E812)-FIND("/",E812)))-(LEFT(E812,FIND("/",E812)-1)),(MID(E812, SEARCH("/",E812) + 1, SEARCH("/",E812, SEARCH("/",E812)+1) - SEARCH("/",E812) - 1))-(LEFT(E812,FIND("/",E812)-1))), "NA"))</f>
        <v/>
      </c>
      <c r="K812" s="79">
        <f>IF(A812&lt;&gt;"", IF(ISBLANK(L812), TODAY(), K812), "")</f>
        <v/>
      </c>
      <c r="L812" s="78" t="n"/>
      <c r="M812" s="78">
        <f>IF(ISBLANK(L812),"",IF(D812="Stock",IF(C812="Buy",L812*G812,IF(C812="Sell",(L812*G812)-I812, X)),IF(C812="Buy",(L812*G812*100)+I812,IF(C812="Sell",(L812*G812*100)-I812, X))))</f>
        <v/>
      </c>
      <c r="N812" s="78">
        <f>IF(ISBLANK(L812),"",IF(AND(C812="Sell",D812="Stock"),M812,IF(ISBLANK(L812),"",IF(C812="Buy",M812, IF(AND(C812="Sell",J812="NA"),(E812*G812*100*0.1)+I812, IF(C812="Sell",(J812-L812)*(100*G812)+I812))))))</f>
        <v/>
      </c>
      <c r="O812" s="75" t="n"/>
      <c r="P812" s="75" t="n"/>
      <c r="Q812" s="75">
        <f>IF(ISBLANK(P812),"",IF(D812="Stock",P812*G812,IF(P812=0,"0",G812*P812*100-(G812*$AF$14))))</f>
        <v/>
      </c>
      <c r="R812" s="79">
        <f>IF(P812&lt;&gt;"", TODAY(), "")</f>
        <v/>
      </c>
      <c r="S812" s="78">
        <f>IF(AND(K812&lt;&gt;"", R812&lt;&gt;""), R812-K812, "")</f>
        <v/>
      </c>
      <c r="T812" s="78" t="n"/>
      <c r="U812" s="92">
        <f>IF(ISBLANK(P812),"",IF(C812="Buy",Q812-M812+T812, IF(C812="Sell",M812-Q812-T812, X)))</f>
        <v/>
      </c>
      <c r="V812" s="81">
        <f>IF(ISBLANK(P812),"",U812/N812)</f>
        <v/>
      </c>
      <c r="W812" s="81">
        <f>IF(ISBLANK(P812),"",IF(S812=0,(365/0.5)*V812,(365/S812)*V812))</f>
        <v/>
      </c>
      <c r="X812" s="75" t="n"/>
      <c r="Y812" s="77" t="n"/>
      <c r="Z812" s="77" t="n"/>
      <c r="AA812" s="75" t="n"/>
      <c r="AB812" s="75" t="n"/>
      <c r="AC812" s="6" t="n"/>
      <c r="AD812" s="75" t="n"/>
      <c r="AE812" s="75" t="n"/>
      <c r="AF812" s="75" t="n"/>
    </row>
    <row r="813" ht="15.75" customHeight="1" s="133">
      <c r="A813" s="75" t="n"/>
      <c r="B813" s="75" t="n"/>
      <c r="C813" s="75" t="n"/>
      <c r="D813" s="75" t="n"/>
      <c r="E813" s="76" t="n"/>
      <c r="F813" s="77" t="n"/>
      <c r="G813" s="75" t="n"/>
      <c r="H813" s="75">
        <f>IF(ISBLANK(E813),"",IF(OR(D813="Butterfly",D813="Butterfly ",D813="Iron Fly", D813="Iron Fly "),LEN(E813)-LEN(SUBSTITUTE(E813,"/",""))+2,LEN(E813)-LEN(SUBSTITUTE(E813,"/",""))+1))</f>
        <v/>
      </c>
      <c r="I813" s="78">
        <f>IF(ISBLANK(G813),"",IF(D813="Stock","0",Key!$A$3*H813*G813))</f>
        <v/>
      </c>
      <c r="J813" s="78">
        <f>IF(ISBLANK(E813),"",IF(ISNUMBER(SEARCH("/",E813)), IF(LEN(E813)-LEN(SUBSTITUTE(E813,"/",""))=1,(RIGHT(E813,LEN(E813)-FIND("/",E813)))-(LEFT(E813,FIND("/",E813)-1)),(MID(E813, SEARCH("/",E813) + 1, SEARCH("/",E813, SEARCH("/",E813)+1) - SEARCH("/",E813) - 1))-(LEFT(E813,FIND("/",E813)-1))), "NA"))</f>
        <v/>
      </c>
      <c r="K813" s="79">
        <f>IF(A813&lt;&gt;"", IF(ISBLANK(L813), TODAY(), K813), "")</f>
        <v/>
      </c>
      <c r="L813" s="78" t="n"/>
      <c r="M813" s="78">
        <f>IF(ISBLANK(L813),"",IF(D813="Stock",IF(C813="Buy",L813*G813,IF(C813="Sell",(L813*G813)-I813, X)),IF(C813="Buy",(L813*G813*100)+I813,IF(C813="Sell",(L813*G813*100)-I813, X))))</f>
        <v/>
      </c>
      <c r="N813" s="78">
        <f>IF(ISBLANK(L813),"",IF(AND(C813="Sell",D813="Stock"),M813,IF(ISBLANK(L813),"",IF(C813="Buy",M813, IF(AND(C813="Sell",J813="NA"),(E813*G813*100*0.1)+I813, IF(C813="Sell",(J813-L813)*(100*G813)+I813))))))</f>
        <v/>
      </c>
      <c r="O813" s="75" t="n"/>
      <c r="P813" s="75" t="n"/>
      <c r="Q813" s="75">
        <f>IF(ISBLANK(P813),"",IF(D813="Stock",P813*G813,IF(P813=0,"0",G813*P813*100-(G813*$AF$14))))</f>
        <v/>
      </c>
      <c r="R813" s="79">
        <f>IF(P813&lt;&gt;"", TODAY(), "")</f>
        <v/>
      </c>
      <c r="S813" s="78">
        <f>IF(AND(K813&lt;&gt;"", R813&lt;&gt;""), R813-K813, "")</f>
        <v/>
      </c>
      <c r="T813" s="78" t="n"/>
      <c r="U813" s="92">
        <f>IF(ISBLANK(P813),"",IF(C813="Buy",Q813-M813+T813, IF(C813="Sell",M813-Q813-T813, X)))</f>
        <v/>
      </c>
      <c r="V813" s="81">
        <f>IF(ISBLANK(P813),"",U813/N813)</f>
        <v/>
      </c>
      <c r="W813" s="81">
        <f>IF(ISBLANK(P813),"",IF(S813=0,(365/0.5)*V813,(365/S813)*V813))</f>
        <v/>
      </c>
      <c r="X813" s="75" t="n"/>
      <c r="Y813" s="77" t="n"/>
      <c r="Z813" s="77" t="n"/>
      <c r="AA813" s="75" t="n"/>
      <c r="AB813" s="75" t="n"/>
      <c r="AC813" s="6" t="n"/>
      <c r="AD813" s="75" t="n"/>
      <c r="AE813" s="75" t="n"/>
      <c r="AF813" s="75" t="n"/>
    </row>
    <row r="814" ht="15.75" customHeight="1" s="133">
      <c r="A814" s="75" t="n"/>
      <c r="B814" s="75" t="n"/>
      <c r="C814" s="75" t="n"/>
      <c r="D814" s="75" t="n"/>
      <c r="E814" s="76" t="n"/>
      <c r="F814" s="77" t="n"/>
      <c r="G814" s="75" t="n"/>
      <c r="H814" s="75">
        <f>IF(ISBLANK(E814),"",IF(OR(D814="Butterfly",D814="Butterfly ",D814="Iron Fly", D814="Iron Fly "),LEN(E814)-LEN(SUBSTITUTE(E814,"/",""))+2,LEN(E814)-LEN(SUBSTITUTE(E814,"/",""))+1))</f>
        <v/>
      </c>
      <c r="I814" s="78">
        <f>IF(ISBLANK(G814),"",IF(D814="Stock","0",Key!$A$3*H814*G814))</f>
        <v/>
      </c>
      <c r="J814" s="78">
        <f>IF(ISBLANK(E814),"",IF(ISNUMBER(SEARCH("/",E814)), IF(LEN(E814)-LEN(SUBSTITUTE(E814,"/",""))=1,(RIGHT(E814,LEN(E814)-FIND("/",E814)))-(LEFT(E814,FIND("/",E814)-1)),(MID(E814, SEARCH("/",E814) + 1, SEARCH("/",E814, SEARCH("/",E814)+1) - SEARCH("/",E814) - 1))-(LEFT(E814,FIND("/",E814)-1))), "NA"))</f>
        <v/>
      </c>
      <c r="K814" s="79">
        <f>IF(A814&lt;&gt;"", IF(ISBLANK(L814), TODAY(), K814), "")</f>
        <v/>
      </c>
      <c r="L814" s="78" t="n"/>
      <c r="M814" s="78">
        <f>IF(ISBLANK(L814),"",IF(D814="Stock",IF(C814="Buy",L814*G814,IF(C814="Sell",(L814*G814)-I814, X)),IF(C814="Buy",(L814*G814*100)+I814,IF(C814="Sell",(L814*G814*100)-I814, X))))</f>
        <v/>
      </c>
      <c r="N814" s="78">
        <f>IF(ISBLANK(L814),"",IF(AND(C814="Sell",D814="Stock"),M814,IF(ISBLANK(L814),"",IF(C814="Buy",M814, IF(AND(C814="Sell",J814="NA"),(E814*G814*100*0.1)+I814, IF(C814="Sell",(J814-L814)*(100*G814)+I814))))))</f>
        <v/>
      </c>
      <c r="O814" s="75" t="n"/>
      <c r="P814" s="75" t="n"/>
      <c r="Q814" s="75">
        <f>IF(ISBLANK(P814),"",IF(D814="Stock",P814*G814,IF(P814=0,"0",G814*P814*100-(G814*$AF$14))))</f>
        <v/>
      </c>
      <c r="R814" s="79">
        <f>IF(P814&lt;&gt;"", TODAY(), "")</f>
        <v/>
      </c>
      <c r="S814" s="78">
        <f>IF(AND(K814&lt;&gt;"", R814&lt;&gt;""), R814-K814, "")</f>
        <v/>
      </c>
      <c r="T814" s="78" t="n"/>
      <c r="U814" s="92">
        <f>IF(ISBLANK(P814),"",IF(C814="Buy",Q814-M814+T814, IF(C814="Sell",M814-Q814-T814, X)))</f>
        <v/>
      </c>
      <c r="V814" s="81">
        <f>IF(ISBLANK(P814),"",U814/N814)</f>
        <v/>
      </c>
      <c r="W814" s="81">
        <f>IF(ISBLANK(P814),"",IF(S814=0,(365/0.5)*V814,(365/S814)*V814))</f>
        <v/>
      </c>
      <c r="X814" s="75" t="n"/>
      <c r="Y814" s="77" t="n"/>
      <c r="Z814" s="77" t="n"/>
      <c r="AA814" s="75" t="n"/>
      <c r="AB814" s="75" t="n"/>
      <c r="AC814" s="6" t="n"/>
      <c r="AD814" s="75" t="n"/>
      <c r="AE814" s="75" t="n"/>
      <c r="AF814" s="75" t="n"/>
    </row>
    <row r="815" ht="15.75" customHeight="1" s="133">
      <c r="A815" s="75" t="n"/>
      <c r="B815" s="75" t="n"/>
      <c r="C815" s="75" t="n"/>
      <c r="D815" s="75" t="n"/>
      <c r="E815" s="76" t="n"/>
      <c r="F815" s="77" t="n"/>
      <c r="G815" s="75" t="n"/>
      <c r="H815" s="75">
        <f>IF(ISBLANK(E815),"",IF(OR(D815="Butterfly",D815="Butterfly ",D815="Iron Fly", D815="Iron Fly "),LEN(E815)-LEN(SUBSTITUTE(E815,"/",""))+2,LEN(E815)-LEN(SUBSTITUTE(E815,"/",""))+1))</f>
        <v/>
      </c>
      <c r="I815" s="78">
        <f>IF(ISBLANK(G815),"",IF(D815="Stock","0",Key!$A$3*H815*G815))</f>
        <v/>
      </c>
      <c r="J815" s="78">
        <f>IF(ISBLANK(E815),"",IF(ISNUMBER(SEARCH("/",E815)), IF(LEN(E815)-LEN(SUBSTITUTE(E815,"/",""))=1,(RIGHT(E815,LEN(E815)-FIND("/",E815)))-(LEFT(E815,FIND("/",E815)-1)),(MID(E815, SEARCH("/",E815) + 1, SEARCH("/",E815, SEARCH("/",E815)+1) - SEARCH("/",E815) - 1))-(LEFT(E815,FIND("/",E815)-1))), "NA"))</f>
        <v/>
      </c>
      <c r="K815" s="79">
        <f>IF(A815&lt;&gt;"", IF(ISBLANK(L815), TODAY(), K815), "")</f>
        <v/>
      </c>
      <c r="L815" s="78" t="n"/>
      <c r="M815" s="78">
        <f>IF(ISBLANK(L815),"",IF(D815="Stock",IF(C815="Buy",L815*G815,IF(C815="Sell",(L815*G815)-I815, X)),IF(C815="Buy",(L815*G815*100)+I815,IF(C815="Sell",(L815*G815*100)-I815, X))))</f>
        <v/>
      </c>
      <c r="N815" s="78">
        <f>IF(ISBLANK(L815),"",IF(AND(C815="Sell",D815="Stock"),M815,IF(ISBLANK(L815),"",IF(C815="Buy",M815, IF(AND(C815="Sell",J815="NA"),(E815*G815*100*0.1)+I815, IF(C815="Sell",(J815-L815)*(100*G815)+I815))))))</f>
        <v/>
      </c>
      <c r="O815" s="75" t="n"/>
      <c r="P815" s="75" t="n"/>
      <c r="Q815" s="75">
        <f>IF(ISBLANK(P815),"",IF(D815="Stock",P815*G815,IF(P815=0,"0",G815*P815*100-(G815*$AF$14))))</f>
        <v/>
      </c>
      <c r="R815" s="79">
        <f>IF(P815&lt;&gt;"", TODAY(), "")</f>
        <v/>
      </c>
      <c r="S815" s="78">
        <f>IF(AND(K815&lt;&gt;"", R815&lt;&gt;""), R815-K815, "")</f>
        <v/>
      </c>
      <c r="T815" s="78" t="n"/>
      <c r="U815" s="92">
        <f>IF(ISBLANK(P815),"",IF(C815="Buy",Q815-M815+T815, IF(C815="Sell",M815-Q815-T815, X)))</f>
        <v/>
      </c>
      <c r="V815" s="81">
        <f>IF(ISBLANK(P815),"",U815/N815)</f>
        <v/>
      </c>
      <c r="W815" s="81">
        <f>IF(ISBLANK(P815),"",IF(S815=0,(365/0.5)*V815,(365/S815)*V815))</f>
        <v/>
      </c>
      <c r="X815" s="75" t="n"/>
      <c r="Y815" s="77" t="n"/>
      <c r="Z815" s="77" t="n"/>
      <c r="AA815" s="75" t="n"/>
      <c r="AB815" s="75" t="n"/>
      <c r="AC815" s="6" t="n"/>
      <c r="AD815" s="75" t="n"/>
      <c r="AE815" s="75" t="n"/>
      <c r="AF815" s="75" t="n"/>
    </row>
    <row r="816" ht="15.75" customHeight="1" s="133">
      <c r="A816" s="75" t="n"/>
      <c r="B816" s="75" t="n"/>
      <c r="C816" s="75" t="n"/>
      <c r="D816" s="75" t="n"/>
      <c r="E816" s="76" t="n"/>
      <c r="F816" s="77" t="n"/>
      <c r="G816" s="75" t="n"/>
      <c r="H816" s="75">
        <f>IF(ISBLANK(E816),"",IF(OR(D816="Butterfly",D816="Butterfly ",D816="Iron Fly", D816="Iron Fly "),LEN(E816)-LEN(SUBSTITUTE(E816,"/",""))+2,LEN(E816)-LEN(SUBSTITUTE(E816,"/",""))+1))</f>
        <v/>
      </c>
      <c r="I816" s="78">
        <f>IF(ISBLANK(G816),"",IF(D816="Stock","0",Key!$A$3*H816*G816))</f>
        <v/>
      </c>
      <c r="J816" s="78">
        <f>IF(ISBLANK(E816),"",IF(ISNUMBER(SEARCH("/",E816)), IF(LEN(E816)-LEN(SUBSTITUTE(E816,"/",""))=1,(RIGHT(E816,LEN(E816)-FIND("/",E816)))-(LEFT(E816,FIND("/",E816)-1)),(MID(E816, SEARCH("/",E816) + 1, SEARCH("/",E816, SEARCH("/",E816)+1) - SEARCH("/",E816) - 1))-(LEFT(E816,FIND("/",E816)-1))), "NA"))</f>
        <v/>
      </c>
      <c r="K816" s="79">
        <f>IF(A816&lt;&gt;"", IF(ISBLANK(L816), TODAY(), K816), "")</f>
        <v/>
      </c>
      <c r="L816" s="78" t="n"/>
      <c r="M816" s="78">
        <f>IF(ISBLANK(L816),"",IF(D816="Stock",IF(C816="Buy",L816*G816,IF(C816="Sell",(L816*G816)-I816, X)),IF(C816="Buy",(L816*G816*100)+I816,IF(C816="Sell",(L816*G816*100)-I816, X))))</f>
        <v/>
      </c>
      <c r="N816" s="78">
        <f>IF(ISBLANK(L816),"",IF(AND(C816="Sell",D816="Stock"),M816,IF(ISBLANK(L816),"",IF(C816="Buy",M816, IF(AND(C816="Sell",J816="NA"),(E816*G816*100*0.1)+I816, IF(C816="Sell",(J816-L816)*(100*G816)+I816))))))</f>
        <v/>
      </c>
      <c r="O816" s="75" t="n"/>
      <c r="P816" s="75" t="n"/>
      <c r="Q816" s="75">
        <f>IF(ISBLANK(P816),"",IF(D816="Stock",P816*G816,IF(P816=0,"0",G816*P816*100-(G816*$AF$14))))</f>
        <v/>
      </c>
      <c r="R816" s="79">
        <f>IF(P816&lt;&gt;"", TODAY(), "")</f>
        <v/>
      </c>
      <c r="S816" s="78">
        <f>IF(AND(K816&lt;&gt;"", R816&lt;&gt;""), R816-K816, "")</f>
        <v/>
      </c>
      <c r="T816" s="78" t="n"/>
      <c r="U816" s="92">
        <f>IF(ISBLANK(P816),"",IF(C816="Buy",Q816-M816+T816, IF(C816="Sell",M816-Q816-T816, X)))</f>
        <v/>
      </c>
      <c r="V816" s="81">
        <f>IF(ISBLANK(P816),"",U816/N816)</f>
        <v/>
      </c>
      <c r="W816" s="81">
        <f>IF(ISBLANK(P816),"",IF(S816=0,(365/0.5)*V816,(365/S816)*V816))</f>
        <v/>
      </c>
      <c r="X816" s="75" t="n"/>
      <c r="Y816" s="77" t="n"/>
      <c r="Z816" s="77" t="n"/>
      <c r="AA816" s="75" t="n"/>
      <c r="AB816" s="75" t="n"/>
      <c r="AC816" s="6" t="n"/>
      <c r="AD816" s="75" t="n"/>
      <c r="AE816" s="75" t="n"/>
      <c r="AF816" s="75" t="n"/>
    </row>
    <row r="817" ht="15.75" customHeight="1" s="133">
      <c r="A817" s="75" t="n"/>
      <c r="B817" s="75" t="n"/>
      <c r="C817" s="75" t="n"/>
      <c r="D817" s="75" t="n"/>
      <c r="E817" s="76" t="n"/>
      <c r="F817" s="77" t="n"/>
      <c r="G817" s="75" t="n"/>
      <c r="H817" s="75">
        <f>IF(ISBLANK(E817),"",IF(OR(D817="Butterfly",D817="Butterfly ",D817="Iron Fly", D817="Iron Fly "),LEN(E817)-LEN(SUBSTITUTE(E817,"/",""))+2,LEN(E817)-LEN(SUBSTITUTE(E817,"/",""))+1))</f>
        <v/>
      </c>
      <c r="I817" s="78">
        <f>IF(ISBLANK(G817),"",IF(D817="Stock","0",Key!$A$3*H817*G817))</f>
        <v/>
      </c>
      <c r="J817" s="78">
        <f>IF(ISBLANK(E817),"",IF(ISNUMBER(SEARCH("/",E817)), IF(LEN(E817)-LEN(SUBSTITUTE(E817,"/",""))=1,(RIGHT(E817,LEN(E817)-FIND("/",E817)))-(LEFT(E817,FIND("/",E817)-1)),(MID(E817, SEARCH("/",E817) + 1, SEARCH("/",E817, SEARCH("/",E817)+1) - SEARCH("/",E817) - 1))-(LEFT(E817,FIND("/",E817)-1))), "NA"))</f>
        <v/>
      </c>
      <c r="K817" s="79">
        <f>IF(A817&lt;&gt;"", IF(ISBLANK(L817), TODAY(), K817), "")</f>
        <v/>
      </c>
      <c r="L817" s="78" t="n"/>
      <c r="M817" s="78">
        <f>IF(ISBLANK(L817),"",IF(D817="Stock",IF(C817="Buy",L817*G817,IF(C817="Sell",(L817*G817)-I817, X)),IF(C817="Buy",(L817*G817*100)+I817,IF(C817="Sell",(L817*G817*100)-I817, X))))</f>
        <v/>
      </c>
      <c r="N817" s="78">
        <f>IF(ISBLANK(L817),"",IF(AND(C817="Sell",D817="Stock"),M817,IF(ISBLANK(L817),"",IF(C817="Buy",M817, IF(AND(C817="Sell",J817="NA"),(E817*G817*100*0.1)+I817, IF(C817="Sell",(J817-L817)*(100*G817)+I817))))))</f>
        <v/>
      </c>
      <c r="O817" s="75" t="n"/>
      <c r="P817" s="75" t="n"/>
      <c r="Q817" s="75">
        <f>IF(ISBLANK(P817),"",IF(D817="Stock",P817*G817,IF(P817=0,"0",G817*P817*100-(G817*$AF$14))))</f>
        <v/>
      </c>
      <c r="R817" s="79">
        <f>IF(P817&lt;&gt;"", TODAY(), "")</f>
        <v/>
      </c>
      <c r="S817" s="78">
        <f>IF(AND(K817&lt;&gt;"", R817&lt;&gt;""), R817-K817, "")</f>
        <v/>
      </c>
      <c r="T817" s="78" t="n"/>
      <c r="U817" s="92">
        <f>IF(ISBLANK(P817),"",IF(C817="Buy",Q817-M817+T817, IF(C817="Sell",M817-Q817-T817, X)))</f>
        <v/>
      </c>
      <c r="V817" s="81">
        <f>IF(ISBLANK(P817),"",U817/N817)</f>
        <v/>
      </c>
      <c r="W817" s="81">
        <f>IF(ISBLANK(P817),"",IF(S817=0,(365/0.5)*V817,(365/S817)*V817))</f>
        <v/>
      </c>
      <c r="X817" s="75" t="n"/>
      <c r="Y817" s="77" t="n"/>
      <c r="Z817" s="77" t="n"/>
      <c r="AA817" s="75" t="n"/>
      <c r="AB817" s="75" t="n"/>
      <c r="AC817" s="6" t="n"/>
      <c r="AD817" s="75" t="n"/>
      <c r="AE817" s="75" t="n"/>
      <c r="AF817" s="75" t="n"/>
    </row>
    <row r="818" ht="15.75" customHeight="1" s="133">
      <c r="A818" s="75" t="n"/>
      <c r="B818" s="75" t="n"/>
      <c r="C818" s="75" t="n"/>
      <c r="D818" s="75" t="n"/>
      <c r="E818" s="76" t="n"/>
      <c r="F818" s="77" t="n"/>
      <c r="G818" s="75" t="n"/>
      <c r="H818" s="75">
        <f>IF(ISBLANK(E818),"",IF(OR(D818="Butterfly",D818="Butterfly ",D818="Iron Fly", D818="Iron Fly "),LEN(E818)-LEN(SUBSTITUTE(E818,"/",""))+2,LEN(E818)-LEN(SUBSTITUTE(E818,"/",""))+1))</f>
        <v/>
      </c>
      <c r="I818" s="78">
        <f>IF(ISBLANK(G818),"",IF(D818="Stock","0",Key!$A$3*H818*G818))</f>
        <v/>
      </c>
      <c r="J818" s="78">
        <f>IF(ISBLANK(E818),"",IF(ISNUMBER(SEARCH("/",E818)), IF(LEN(E818)-LEN(SUBSTITUTE(E818,"/",""))=1,(RIGHT(E818,LEN(E818)-FIND("/",E818)))-(LEFT(E818,FIND("/",E818)-1)),(MID(E818, SEARCH("/",E818) + 1, SEARCH("/",E818, SEARCH("/",E818)+1) - SEARCH("/",E818) - 1))-(LEFT(E818,FIND("/",E818)-1))), "NA"))</f>
        <v/>
      </c>
      <c r="K818" s="79">
        <f>IF(A818&lt;&gt;"", IF(ISBLANK(L818), TODAY(), K818), "")</f>
        <v/>
      </c>
      <c r="L818" s="78" t="n"/>
      <c r="M818" s="78">
        <f>IF(ISBLANK(L818),"",IF(D818="Stock",IF(C818="Buy",L818*G818,IF(C818="Sell",(L818*G818)-I818, X)),IF(C818="Buy",(L818*G818*100)+I818,IF(C818="Sell",(L818*G818*100)-I818, X))))</f>
        <v/>
      </c>
      <c r="N818" s="78">
        <f>IF(ISBLANK(L818),"",IF(AND(C818="Sell",D818="Stock"),M818,IF(ISBLANK(L818),"",IF(C818="Buy",M818, IF(AND(C818="Sell",J818="NA"),(E818*G818*100*0.1)+I818, IF(C818="Sell",(J818-L818)*(100*G818)+I818))))))</f>
        <v/>
      </c>
      <c r="O818" s="75" t="n"/>
      <c r="P818" s="75" t="n"/>
      <c r="Q818" s="75">
        <f>IF(ISBLANK(P818),"",IF(D818="Stock",P818*G818,IF(P818=0,"0",G818*P818*100-(G818*$AF$14))))</f>
        <v/>
      </c>
      <c r="R818" s="79">
        <f>IF(P818&lt;&gt;"", TODAY(), "")</f>
        <v/>
      </c>
      <c r="S818" s="78">
        <f>IF(AND(K818&lt;&gt;"", R818&lt;&gt;""), R818-K818, "")</f>
        <v/>
      </c>
      <c r="T818" s="78" t="n"/>
      <c r="U818" s="92">
        <f>IF(ISBLANK(P818),"",IF(C818="Buy",Q818-M818+T818, IF(C818="Sell",M818-Q818-T818, X)))</f>
        <v/>
      </c>
      <c r="V818" s="81">
        <f>IF(ISBLANK(P818),"",U818/N818)</f>
        <v/>
      </c>
      <c r="W818" s="81">
        <f>IF(ISBLANK(P818),"",IF(S818=0,(365/0.5)*V818,(365/S818)*V818))</f>
        <v/>
      </c>
      <c r="X818" s="75" t="n"/>
      <c r="Y818" s="77" t="n"/>
      <c r="Z818" s="77" t="n"/>
      <c r="AA818" s="75" t="n"/>
      <c r="AB818" s="75" t="n"/>
      <c r="AC818" s="6" t="n"/>
      <c r="AD818" s="75" t="n"/>
      <c r="AE818" s="75" t="n"/>
      <c r="AF818" s="75" t="n"/>
    </row>
    <row r="819" ht="15.75" customHeight="1" s="133">
      <c r="A819" s="75" t="n"/>
      <c r="B819" s="75" t="n"/>
      <c r="C819" s="75" t="n"/>
      <c r="D819" s="75" t="n"/>
      <c r="E819" s="76" t="n"/>
      <c r="F819" s="77" t="n"/>
      <c r="G819" s="75" t="n"/>
      <c r="H819" s="75">
        <f>IF(ISBLANK(E819),"",IF(OR(D819="Butterfly",D819="Butterfly ",D819="Iron Fly", D819="Iron Fly "),LEN(E819)-LEN(SUBSTITUTE(E819,"/",""))+2,LEN(E819)-LEN(SUBSTITUTE(E819,"/",""))+1))</f>
        <v/>
      </c>
      <c r="I819" s="78">
        <f>IF(ISBLANK(G819),"",IF(D819="Stock","0",Key!$A$3*H819*G819))</f>
        <v/>
      </c>
      <c r="J819" s="78">
        <f>IF(ISBLANK(E819),"",IF(ISNUMBER(SEARCH("/",E819)), IF(LEN(E819)-LEN(SUBSTITUTE(E819,"/",""))=1,(RIGHT(E819,LEN(E819)-FIND("/",E819)))-(LEFT(E819,FIND("/",E819)-1)),(MID(E819, SEARCH("/",E819) + 1, SEARCH("/",E819, SEARCH("/",E819)+1) - SEARCH("/",E819) - 1))-(LEFT(E819,FIND("/",E819)-1))), "NA"))</f>
        <v/>
      </c>
      <c r="K819" s="79">
        <f>IF(A819&lt;&gt;"", IF(ISBLANK(L819), TODAY(), K819), "")</f>
        <v/>
      </c>
      <c r="L819" s="78" t="n"/>
      <c r="M819" s="78">
        <f>IF(ISBLANK(L819),"",IF(D819="Stock",IF(C819="Buy",L819*G819,IF(C819="Sell",(L819*G819)-I819, X)),IF(C819="Buy",(L819*G819*100)+I819,IF(C819="Sell",(L819*G819*100)-I819, X))))</f>
        <v/>
      </c>
      <c r="N819" s="78">
        <f>IF(ISBLANK(L819),"",IF(AND(C819="Sell",D819="Stock"),M819,IF(ISBLANK(L819),"",IF(C819="Buy",M819, IF(AND(C819="Sell",J819="NA"),(E819*G819*100*0.1)+I819, IF(C819="Sell",(J819-L819)*(100*G819)+I819))))))</f>
        <v/>
      </c>
      <c r="O819" s="75" t="n"/>
      <c r="P819" s="75" t="n"/>
      <c r="Q819" s="75">
        <f>IF(ISBLANK(P819),"",IF(D819="Stock",P819*G819,IF(P819=0,"0",G819*P819*100-(G819*$AF$14))))</f>
        <v/>
      </c>
      <c r="R819" s="79">
        <f>IF(P819&lt;&gt;"", TODAY(), "")</f>
        <v/>
      </c>
      <c r="S819" s="78">
        <f>IF(AND(K819&lt;&gt;"", R819&lt;&gt;""), R819-K819, "")</f>
        <v/>
      </c>
      <c r="T819" s="78" t="n"/>
      <c r="U819" s="92">
        <f>IF(ISBLANK(P819),"",IF(C819="Buy",Q819-M819+T819, IF(C819="Sell",M819-Q819-T819, X)))</f>
        <v/>
      </c>
      <c r="V819" s="81">
        <f>IF(ISBLANK(P819),"",U819/N819)</f>
        <v/>
      </c>
      <c r="W819" s="81">
        <f>IF(ISBLANK(P819),"",IF(S819=0,(365/0.5)*V819,(365/S819)*V819))</f>
        <v/>
      </c>
      <c r="X819" s="75" t="n"/>
      <c r="Y819" s="77" t="n"/>
      <c r="Z819" s="77" t="n"/>
      <c r="AA819" s="75" t="n"/>
      <c r="AB819" s="75" t="n"/>
      <c r="AC819" s="6" t="n"/>
      <c r="AD819" s="75" t="n"/>
      <c r="AE819" s="75" t="n"/>
      <c r="AF819" s="75" t="n"/>
    </row>
    <row r="820" ht="15.75" customHeight="1" s="133">
      <c r="A820" s="75" t="n"/>
      <c r="B820" s="75" t="n"/>
      <c r="C820" s="75" t="n"/>
      <c r="D820" s="75" t="n"/>
      <c r="E820" s="76" t="n"/>
      <c r="F820" s="77" t="n"/>
      <c r="G820" s="75" t="n"/>
      <c r="H820" s="75">
        <f>IF(ISBLANK(E820),"",IF(OR(D820="Butterfly",D820="Butterfly ",D820="Iron Fly", D820="Iron Fly "),LEN(E820)-LEN(SUBSTITUTE(E820,"/",""))+2,LEN(E820)-LEN(SUBSTITUTE(E820,"/",""))+1))</f>
        <v/>
      </c>
      <c r="I820" s="78">
        <f>IF(ISBLANK(G820),"",IF(D820="Stock","0",Key!$A$3*H820*G820))</f>
        <v/>
      </c>
      <c r="J820" s="78">
        <f>IF(ISBLANK(E820),"",IF(ISNUMBER(SEARCH("/",E820)), IF(LEN(E820)-LEN(SUBSTITUTE(E820,"/",""))=1,(RIGHT(E820,LEN(E820)-FIND("/",E820)))-(LEFT(E820,FIND("/",E820)-1)),(MID(E820, SEARCH("/",E820) + 1, SEARCH("/",E820, SEARCH("/",E820)+1) - SEARCH("/",E820) - 1))-(LEFT(E820,FIND("/",E820)-1))), "NA"))</f>
        <v/>
      </c>
      <c r="K820" s="79">
        <f>IF(A820&lt;&gt;"", IF(ISBLANK(L820), TODAY(), K820), "")</f>
        <v/>
      </c>
      <c r="L820" s="78" t="n"/>
      <c r="M820" s="78">
        <f>IF(ISBLANK(L820),"",IF(D820="Stock",IF(C820="Buy",L820*G820,IF(C820="Sell",(L820*G820)-I820, X)),IF(C820="Buy",(L820*G820*100)+I820,IF(C820="Sell",(L820*G820*100)-I820, X))))</f>
        <v/>
      </c>
      <c r="N820" s="78">
        <f>IF(ISBLANK(L820),"",IF(AND(C820="Sell",D820="Stock"),M820,IF(ISBLANK(L820),"",IF(C820="Buy",M820, IF(AND(C820="Sell",J820="NA"),(E820*G820*100*0.1)+I820, IF(C820="Sell",(J820-L820)*(100*G820)+I820))))))</f>
        <v/>
      </c>
      <c r="O820" s="75" t="n"/>
      <c r="P820" s="75" t="n"/>
      <c r="Q820" s="75">
        <f>IF(ISBLANK(P820),"",IF(D820="Stock",P820*G820,IF(P820=0,"0",G820*P820*100-(G820*$AF$14))))</f>
        <v/>
      </c>
      <c r="R820" s="79">
        <f>IF(P820&lt;&gt;"", TODAY(), "")</f>
        <v/>
      </c>
      <c r="S820" s="78">
        <f>IF(AND(K820&lt;&gt;"", R820&lt;&gt;""), R820-K820, "")</f>
        <v/>
      </c>
      <c r="T820" s="78" t="n"/>
      <c r="U820" s="92">
        <f>IF(ISBLANK(P820),"",IF(C820="Buy",Q820-M820+T820, IF(C820="Sell",M820-Q820-T820, X)))</f>
        <v/>
      </c>
      <c r="V820" s="81">
        <f>IF(ISBLANK(P820),"",U820/N820)</f>
        <v/>
      </c>
      <c r="W820" s="81">
        <f>IF(ISBLANK(P820),"",IF(S820=0,(365/0.5)*V820,(365/S820)*V820))</f>
        <v/>
      </c>
      <c r="X820" s="75" t="n"/>
      <c r="Y820" s="77" t="n"/>
      <c r="Z820" s="77" t="n"/>
      <c r="AA820" s="75" t="n"/>
      <c r="AB820" s="75" t="n"/>
      <c r="AC820" s="6" t="n"/>
      <c r="AD820" s="75" t="n"/>
      <c r="AE820" s="75" t="n"/>
      <c r="AF820" s="75" t="n"/>
    </row>
    <row r="821" ht="15.75" customHeight="1" s="133">
      <c r="A821" s="75" t="n"/>
      <c r="B821" s="75" t="n"/>
      <c r="C821" s="75" t="n"/>
      <c r="D821" s="75" t="n"/>
      <c r="E821" s="76" t="n"/>
      <c r="F821" s="77" t="n"/>
      <c r="G821" s="75" t="n"/>
      <c r="H821" s="75">
        <f>IF(ISBLANK(E821),"",IF(OR(D821="Butterfly",D821="Butterfly ",D821="Iron Fly", D821="Iron Fly "),LEN(E821)-LEN(SUBSTITUTE(E821,"/",""))+2,LEN(E821)-LEN(SUBSTITUTE(E821,"/",""))+1))</f>
        <v/>
      </c>
      <c r="I821" s="78">
        <f>IF(ISBLANK(G821),"",IF(D821="Stock","0",Key!$A$3*H821*G821))</f>
        <v/>
      </c>
      <c r="J821" s="78">
        <f>IF(ISBLANK(E821),"",IF(ISNUMBER(SEARCH("/",E821)), IF(LEN(E821)-LEN(SUBSTITUTE(E821,"/",""))=1,(RIGHT(E821,LEN(E821)-FIND("/",E821)))-(LEFT(E821,FIND("/",E821)-1)),(MID(E821, SEARCH("/",E821) + 1, SEARCH("/",E821, SEARCH("/",E821)+1) - SEARCH("/",E821) - 1))-(LEFT(E821,FIND("/",E821)-1))), "NA"))</f>
        <v/>
      </c>
      <c r="K821" s="79">
        <f>IF(A821&lt;&gt;"", IF(ISBLANK(L821), TODAY(), K821), "")</f>
        <v/>
      </c>
      <c r="L821" s="78" t="n"/>
      <c r="M821" s="78">
        <f>IF(ISBLANK(L821),"",IF(D821="Stock",IF(C821="Buy",L821*G821,IF(C821="Sell",(L821*G821)-I821, X)),IF(C821="Buy",(L821*G821*100)+I821,IF(C821="Sell",(L821*G821*100)-I821, X))))</f>
        <v/>
      </c>
      <c r="N821" s="78">
        <f>IF(ISBLANK(L821),"",IF(AND(C821="Sell",D821="Stock"),M821,IF(ISBLANK(L821),"",IF(C821="Buy",M821, IF(AND(C821="Sell",J821="NA"),(E821*G821*100*0.1)+I821, IF(C821="Sell",(J821-L821)*(100*G821)+I821))))))</f>
        <v/>
      </c>
      <c r="O821" s="75" t="n"/>
      <c r="P821" s="75" t="n"/>
      <c r="Q821" s="75">
        <f>IF(ISBLANK(P821),"",IF(D821="Stock",P821*G821,IF(P821=0,"0",G821*P821*100-(G821*$AF$14))))</f>
        <v/>
      </c>
      <c r="R821" s="79">
        <f>IF(P821&lt;&gt;"", TODAY(), "")</f>
        <v/>
      </c>
      <c r="S821" s="78">
        <f>IF(AND(K821&lt;&gt;"", R821&lt;&gt;""), R821-K821, "")</f>
        <v/>
      </c>
      <c r="T821" s="78" t="n"/>
      <c r="U821" s="92">
        <f>IF(ISBLANK(P821),"",IF(C821="Buy",Q821-M821+T821, IF(C821="Sell",M821-Q821-T821, X)))</f>
        <v/>
      </c>
      <c r="V821" s="81">
        <f>IF(ISBLANK(P821),"",U821/N821)</f>
        <v/>
      </c>
      <c r="W821" s="81">
        <f>IF(ISBLANK(P821),"",IF(S821=0,(365/0.5)*V821,(365/S821)*V821))</f>
        <v/>
      </c>
      <c r="X821" s="75" t="n"/>
      <c r="Y821" s="77" t="n"/>
      <c r="Z821" s="77" t="n"/>
      <c r="AA821" s="75" t="n"/>
      <c r="AB821" s="75" t="n"/>
      <c r="AC821" s="6" t="n"/>
      <c r="AD821" s="75" t="n"/>
      <c r="AE821" s="75" t="n"/>
      <c r="AF821" s="75" t="n"/>
    </row>
    <row r="822" ht="15.75" customHeight="1" s="133">
      <c r="A822" s="75" t="n"/>
      <c r="B822" s="75" t="n"/>
      <c r="C822" s="75" t="n"/>
      <c r="D822" s="75" t="n"/>
      <c r="E822" s="76" t="n"/>
      <c r="F822" s="77" t="n"/>
      <c r="G822" s="75" t="n"/>
      <c r="H822" s="75">
        <f>IF(ISBLANK(E822),"",IF(OR(D822="Butterfly",D822="Butterfly ",D822="Iron Fly", D822="Iron Fly "),LEN(E822)-LEN(SUBSTITUTE(E822,"/",""))+2,LEN(E822)-LEN(SUBSTITUTE(E822,"/",""))+1))</f>
        <v/>
      </c>
      <c r="I822" s="78">
        <f>IF(ISBLANK(G822),"",IF(D822="Stock","0",Key!$A$3*H822*G822))</f>
        <v/>
      </c>
      <c r="J822" s="78">
        <f>IF(ISBLANK(E822),"",IF(ISNUMBER(SEARCH("/",E822)), IF(LEN(E822)-LEN(SUBSTITUTE(E822,"/",""))=1,(RIGHT(E822,LEN(E822)-FIND("/",E822)))-(LEFT(E822,FIND("/",E822)-1)),(MID(E822, SEARCH("/",E822) + 1, SEARCH("/",E822, SEARCH("/",E822)+1) - SEARCH("/",E822) - 1))-(LEFT(E822,FIND("/",E822)-1))), "NA"))</f>
        <v/>
      </c>
      <c r="K822" s="79">
        <f>IF(A822&lt;&gt;"", IF(ISBLANK(L822), TODAY(), K822), "")</f>
        <v/>
      </c>
      <c r="L822" s="78" t="n"/>
      <c r="M822" s="78">
        <f>IF(ISBLANK(L822),"",IF(D822="Stock",IF(C822="Buy",L822*G822,IF(C822="Sell",(L822*G822)-I822, X)),IF(C822="Buy",(L822*G822*100)+I822,IF(C822="Sell",(L822*G822*100)-I822, X))))</f>
        <v/>
      </c>
      <c r="N822" s="78">
        <f>IF(ISBLANK(L822),"",IF(AND(C822="Sell",D822="Stock"),M822,IF(ISBLANK(L822),"",IF(C822="Buy",M822, IF(AND(C822="Sell",J822="NA"),(E822*G822*100*0.1)+I822, IF(C822="Sell",(J822-L822)*(100*G822)+I822))))))</f>
        <v/>
      </c>
      <c r="O822" s="75" t="n"/>
      <c r="P822" s="75" t="n"/>
      <c r="Q822" s="75">
        <f>IF(ISBLANK(P822),"",IF(D822="Stock",P822*G822,IF(P822=0,"0",G822*P822*100-(G822*$AF$14))))</f>
        <v/>
      </c>
      <c r="R822" s="79">
        <f>IF(P822&lt;&gt;"", TODAY(), "")</f>
        <v/>
      </c>
      <c r="S822" s="78">
        <f>IF(AND(K822&lt;&gt;"", R822&lt;&gt;""), R822-K822, "")</f>
        <v/>
      </c>
      <c r="T822" s="78" t="n"/>
      <c r="U822" s="92">
        <f>IF(ISBLANK(P822),"",IF(C822="Buy",Q822-M822+T822, IF(C822="Sell",M822-Q822-T822, X)))</f>
        <v/>
      </c>
      <c r="V822" s="81">
        <f>IF(ISBLANK(P822),"",U822/N822)</f>
        <v/>
      </c>
      <c r="W822" s="81">
        <f>IF(ISBLANK(P822),"",IF(S822=0,(365/0.5)*V822,(365/S822)*V822))</f>
        <v/>
      </c>
      <c r="X822" s="75" t="n"/>
      <c r="Y822" s="77" t="n"/>
      <c r="Z822" s="77" t="n"/>
      <c r="AA822" s="75" t="n"/>
      <c r="AB822" s="75" t="n"/>
      <c r="AC822" s="6" t="n"/>
      <c r="AD822" s="75" t="n"/>
      <c r="AE822" s="75" t="n"/>
      <c r="AF822" s="75" t="n"/>
    </row>
    <row r="823" ht="15.75" customHeight="1" s="133">
      <c r="A823" s="75" t="n"/>
      <c r="B823" s="75" t="n"/>
      <c r="C823" s="75" t="n"/>
      <c r="D823" s="75" t="n"/>
      <c r="E823" s="76" t="n"/>
      <c r="F823" s="77" t="n"/>
      <c r="G823" s="75" t="n"/>
      <c r="H823" s="75">
        <f>IF(ISBLANK(E823),"",IF(OR(D823="Butterfly",D823="Butterfly ",D823="Iron Fly", D823="Iron Fly "),LEN(E823)-LEN(SUBSTITUTE(E823,"/",""))+2,LEN(E823)-LEN(SUBSTITUTE(E823,"/",""))+1))</f>
        <v/>
      </c>
      <c r="I823" s="78">
        <f>IF(ISBLANK(G823),"",IF(D823="Stock","0",Key!$A$3*H823*G823))</f>
        <v/>
      </c>
      <c r="J823" s="78">
        <f>IF(ISBLANK(E823),"",IF(ISNUMBER(SEARCH("/",E823)), IF(LEN(E823)-LEN(SUBSTITUTE(E823,"/",""))=1,(RIGHT(E823,LEN(E823)-FIND("/",E823)))-(LEFT(E823,FIND("/",E823)-1)),(MID(E823, SEARCH("/",E823) + 1, SEARCH("/",E823, SEARCH("/",E823)+1) - SEARCH("/",E823) - 1))-(LEFT(E823,FIND("/",E823)-1))), "NA"))</f>
        <v/>
      </c>
      <c r="K823" s="79">
        <f>IF(A823&lt;&gt;"", IF(ISBLANK(L823), TODAY(), K823), "")</f>
        <v/>
      </c>
      <c r="L823" s="78" t="n"/>
      <c r="M823" s="78">
        <f>IF(ISBLANK(L823),"",IF(D823="Stock",IF(C823="Buy",L823*G823,IF(C823="Sell",(L823*G823)-I823, X)),IF(C823="Buy",(L823*G823*100)+I823,IF(C823="Sell",(L823*G823*100)-I823, X))))</f>
        <v/>
      </c>
      <c r="N823" s="78">
        <f>IF(ISBLANK(L823),"",IF(AND(C823="Sell",D823="Stock"),M823,IF(ISBLANK(L823),"",IF(C823="Buy",M823, IF(AND(C823="Sell",J823="NA"),(E823*G823*100*0.1)+I823, IF(C823="Sell",(J823-L823)*(100*G823)+I823))))))</f>
        <v/>
      </c>
      <c r="O823" s="75" t="n"/>
      <c r="P823" s="75" t="n"/>
      <c r="Q823" s="75">
        <f>IF(ISBLANK(P823),"",IF(D823="Stock",P823*G823,IF(P823=0,"0",G823*P823*100-(G823*$AF$14))))</f>
        <v/>
      </c>
      <c r="R823" s="79">
        <f>IF(P823&lt;&gt;"", TODAY(), "")</f>
        <v/>
      </c>
      <c r="S823" s="78">
        <f>IF(AND(K823&lt;&gt;"", R823&lt;&gt;""), R823-K823, "")</f>
        <v/>
      </c>
      <c r="T823" s="78" t="n"/>
      <c r="U823" s="92">
        <f>IF(ISBLANK(P823),"",IF(C823="Buy",Q823-M823+T823, IF(C823="Sell",M823-Q823-T823, X)))</f>
        <v/>
      </c>
      <c r="V823" s="81">
        <f>IF(ISBLANK(P823),"",U823/N823)</f>
        <v/>
      </c>
      <c r="W823" s="81">
        <f>IF(ISBLANK(P823),"",IF(S823=0,(365/0.5)*V823,(365/S823)*V823))</f>
        <v/>
      </c>
      <c r="X823" s="75" t="n"/>
      <c r="Y823" s="77" t="n"/>
      <c r="Z823" s="77" t="n"/>
      <c r="AA823" s="75" t="n"/>
      <c r="AB823" s="75" t="n"/>
      <c r="AC823" s="6" t="n"/>
      <c r="AD823" s="75" t="n"/>
      <c r="AE823" s="75" t="n"/>
      <c r="AF823" s="75" t="n"/>
    </row>
    <row r="824" ht="15.75" customHeight="1" s="133">
      <c r="A824" s="75" t="n"/>
      <c r="B824" s="75" t="n"/>
      <c r="C824" s="75" t="n"/>
      <c r="D824" s="75" t="n"/>
      <c r="E824" s="76" t="n"/>
      <c r="F824" s="77" t="n"/>
      <c r="G824" s="75" t="n"/>
      <c r="H824" s="75">
        <f>IF(ISBLANK(E824),"",IF(OR(D824="Butterfly",D824="Butterfly ",D824="Iron Fly", D824="Iron Fly "),LEN(E824)-LEN(SUBSTITUTE(E824,"/",""))+2,LEN(E824)-LEN(SUBSTITUTE(E824,"/",""))+1))</f>
        <v/>
      </c>
      <c r="I824" s="78">
        <f>IF(ISBLANK(G824),"",IF(D824="Stock","0",Key!$A$3*H824*G824))</f>
        <v/>
      </c>
      <c r="J824" s="78">
        <f>IF(ISBLANK(E824),"",IF(ISNUMBER(SEARCH("/",E824)), IF(LEN(E824)-LEN(SUBSTITUTE(E824,"/",""))=1,(RIGHT(E824,LEN(E824)-FIND("/",E824)))-(LEFT(E824,FIND("/",E824)-1)),(MID(E824, SEARCH("/",E824) + 1, SEARCH("/",E824, SEARCH("/",E824)+1) - SEARCH("/",E824) - 1))-(LEFT(E824,FIND("/",E824)-1))), "NA"))</f>
        <v/>
      </c>
      <c r="K824" s="79">
        <f>IF(A824&lt;&gt;"", IF(ISBLANK(L824), TODAY(), K824), "")</f>
        <v/>
      </c>
      <c r="L824" s="78" t="n"/>
      <c r="M824" s="78">
        <f>IF(ISBLANK(L824),"",IF(D824="Stock",IF(C824="Buy",L824*G824,IF(C824="Sell",(L824*G824)-I824, X)),IF(C824="Buy",(L824*G824*100)+I824,IF(C824="Sell",(L824*G824*100)-I824, X))))</f>
        <v/>
      </c>
      <c r="N824" s="78">
        <f>IF(ISBLANK(L824),"",IF(AND(C824="Sell",D824="Stock"),M824,IF(ISBLANK(L824),"",IF(C824="Buy",M824, IF(AND(C824="Sell",J824="NA"),(E824*G824*100*0.1)+I824, IF(C824="Sell",(J824-L824)*(100*G824)+I824))))))</f>
        <v/>
      </c>
      <c r="O824" s="75" t="n"/>
      <c r="P824" s="75" t="n"/>
      <c r="Q824" s="75">
        <f>IF(ISBLANK(P824),"",IF(D824="Stock",P824*G824,IF(P824=0,"0",G824*P824*100-(G824*$AF$14))))</f>
        <v/>
      </c>
      <c r="R824" s="79">
        <f>IF(P824&lt;&gt;"", TODAY(), "")</f>
        <v/>
      </c>
      <c r="S824" s="78">
        <f>IF(AND(K824&lt;&gt;"", R824&lt;&gt;""), R824-K824, "")</f>
        <v/>
      </c>
      <c r="T824" s="78" t="n"/>
      <c r="U824" s="92">
        <f>IF(ISBLANK(P824),"",IF(C824="Buy",Q824-M824+T824, IF(C824="Sell",M824-Q824-T824, X)))</f>
        <v/>
      </c>
      <c r="V824" s="81">
        <f>IF(ISBLANK(P824),"",U824/N824)</f>
        <v/>
      </c>
      <c r="W824" s="81">
        <f>IF(ISBLANK(P824),"",IF(S824=0,(365/0.5)*V824,(365/S824)*V824))</f>
        <v/>
      </c>
      <c r="X824" s="75" t="n"/>
      <c r="Y824" s="77" t="n"/>
      <c r="Z824" s="77" t="n"/>
      <c r="AA824" s="75" t="n"/>
      <c r="AB824" s="75" t="n"/>
      <c r="AC824" s="6" t="n"/>
      <c r="AD824" s="75" t="n"/>
      <c r="AE824" s="75" t="n"/>
      <c r="AF824" s="75" t="n"/>
    </row>
    <row r="825" ht="15.75" customHeight="1" s="133">
      <c r="A825" s="75" t="n"/>
      <c r="B825" s="75" t="n"/>
      <c r="C825" s="75" t="n"/>
      <c r="D825" s="75" t="n"/>
      <c r="E825" s="76" t="n"/>
      <c r="F825" s="77" t="n"/>
      <c r="G825" s="75" t="n"/>
      <c r="H825" s="75">
        <f>IF(ISBLANK(E825),"",IF(OR(D825="Butterfly",D825="Butterfly ",D825="Iron Fly", D825="Iron Fly "),LEN(E825)-LEN(SUBSTITUTE(E825,"/",""))+2,LEN(E825)-LEN(SUBSTITUTE(E825,"/",""))+1))</f>
        <v/>
      </c>
      <c r="I825" s="78">
        <f>IF(ISBLANK(G825),"",IF(D825="Stock","0",Key!$A$3*H825*G825))</f>
        <v/>
      </c>
      <c r="J825" s="78">
        <f>IF(ISBLANK(E825),"",IF(ISNUMBER(SEARCH("/",E825)), IF(LEN(E825)-LEN(SUBSTITUTE(E825,"/",""))=1,(RIGHT(E825,LEN(E825)-FIND("/",E825)))-(LEFT(E825,FIND("/",E825)-1)),(MID(E825, SEARCH("/",E825) + 1, SEARCH("/",E825, SEARCH("/",E825)+1) - SEARCH("/",E825) - 1))-(LEFT(E825,FIND("/",E825)-1))), "NA"))</f>
        <v/>
      </c>
      <c r="K825" s="79">
        <f>IF(A825&lt;&gt;"", IF(ISBLANK(L825), TODAY(), K825), "")</f>
        <v/>
      </c>
      <c r="L825" s="78" t="n"/>
      <c r="M825" s="78">
        <f>IF(ISBLANK(L825),"",IF(D825="Stock",IF(C825="Buy",L825*G825,IF(C825="Sell",(L825*G825)-I825, X)),IF(C825="Buy",(L825*G825*100)+I825,IF(C825="Sell",(L825*G825*100)-I825, X))))</f>
        <v/>
      </c>
      <c r="N825" s="78">
        <f>IF(ISBLANK(L825),"",IF(AND(C825="Sell",D825="Stock"),M825,IF(ISBLANK(L825),"",IF(C825="Buy",M825, IF(AND(C825="Sell",J825="NA"),(E825*G825*100*0.1)+I825, IF(C825="Sell",(J825-L825)*(100*G825)+I825))))))</f>
        <v/>
      </c>
      <c r="O825" s="75" t="n"/>
      <c r="P825" s="75" t="n"/>
      <c r="Q825" s="75">
        <f>IF(ISBLANK(P825),"",IF(D825="Stock",P825*G825,IF(P825=0,"0",G825*P825*100-(G825*$AF$14))))</f>
        <v/>
      </c>
      <c r="R825" s="79">
        <f>IF(P825&lt;&gt;"", TODAY(), "")</f>
        <v/>
      </c>
      <c r="S825" s="78">
        <f>IF(AND(K825&lt;&gt;"", R825&lt;&gt;""), R825-K825, "")</f>
        <v/>
      </c>
      <c r="T825" s="78" t="n"/>
      <c r="U825" s="92">
        <f>IF(ISBLANK(P825),"",IF(C825="Buy",Q825-M825+T825, IF(C825="Sell",M825-Q825-T825, X)))</f>
        <v/>
      </c>
      <c r="V825" s="81">
        <f>IF(ISBLANK(P825),"",U825/N825)</f>
        <v/>
      </c>
      <c r="W825" s="81">
        <f>IF(ISBLANK(P825),"",IF(S825=0,(365/0.5)*V825,(365/S825)*V825))</f>
        <v/>
      </c>
      <c r="X825" s="75" t="n"/>
      <c r="Y825" s="77" t="n"/>
      <c r="Z825" s="77" t="n"/>
      <c r="AA825" s="75" t="n"/>
      <c r="AB825" s="75" t="n"/>
      <c r="AC825" s="6" t="n"/>
      <c r="AD825" s="75" t="n"/>
      <c r="AE825" s="75" t="n"/>
      <c r="AF825" s="75" t="n"/>
    </row>
    <row r="826" ht="15.75" customHeight="1" s="133">
      <c r="A826" s="75" t="n"/>
      <c r="B826" s="75" t="n"/>
      <c r="C826" s="75" t="n"/>
      <c r="D826" s="75" t="n"/>
      <c r="E826" s="76" t="n"/>
      <c r="F826" s="77" t="n"/>
      <c r="G826" s="75" t="n"/>
      <c r="H826" s="75">
        <f>IF(ISBLANK(E826),"",IF(OR(D826="Butterfly",D826="Butterfly ",D826="Iron Fly", D826="Iron Fly "),LEN(E826)-LEN(SUBSTITUTE(E826,"/",""))+2,LEN(E826)-LEN(SUBSTITUTE(E826,"/",""))+1))</f>
        <v/>
      </c>
      <c r="I826" s="78">
        <f>IF(ISBLANK(G826),"",IF(D826="Stock","0",Key!$A$3*H826*G826))</f>
        <v/>
      </c>
      <c r="J826" s="78">
        <f>IF(ISBLANK(E826),"",IF(ISNUMBER(SEARCH("/",E826)), IF(LEN(E826)-LEN(SUBSTITUTE(E826,"/",""))=1,(RIGHT(E826,LEN(E826)-FIND("/",E826)))-(LEFT(E826,FIND("/",E826)-1)),(MID(E826, SEARCH("/",E826) + 1, SEARCH("/",E826, SEARCH("/",E826)+1) - SEARCH("/",E826) - 1))-(LEFT(E826,FIND("/",E826)-1))), "NA"))</f>
        <v/>
      </c>
      <c r="K826" s="79">
        <f>IF(A826&lt;&gt;"", IF(ISBLANK(L826), TODAY(), K826), "")</f>
        <v/>
      </c>
      <c r="L826" s="78" t="n"/>
      <c r="M826" s="78">
        <f>IF(ISBLANK(L826),"",IF(D826="Stock",IF(C826="Buy",L826*G826,IF(C826="Sell",(L826*G826)-I826, X)),IF(C826="Buy",(L826*G826*100)+I826,IF(C826="Sell",(L826*G826*100)-I826, X))))</f>
        <v/>
      </c>
      <c r="N826" s="78">
        <f>IF(ISBLANK(L826),"",IF(AND(C826="Sell",D826="Stock"),M826,IF(ISBLANK(L826),"",IF(C826="Buy",M826, IF(AND(C826="Sell",J826="NA"),(E826*G826*100*0.1)+I826, IF(C826="Sell",(J826-L826)*(100*G826)+I826))))))</f>
        <v/>
      </c>
      <c r="O826" s="75" t="n"/>
      <c r="P826" s="75" t="n"/>
      <c r="Q826" s="75">
        <f>IF(ISBLANK(P826),"",IF(D826="Stock",P826*G826,IF(P826=0,"0",G826*P826*100-(G826*$AF$14))))</f>
        <v/>
      </c>
      <c r="R826" s="79">
        <f>IF(P826&lt;&gt;"", TODAY(), "")</f>
        <v/>
      </c>
      <c r="S826" s="78">
        <f>IF(AND(K826&lt;&gt;"", R826&lt;&gt;""), R826-K826, "")</f>
        <v/>
      </c>
      <c r="T826" s="78" t="n"/>
      <c r="U826" s="92">
        <f>IF(ISBLANK(P826),"",IF(C826="Buy",Q826-M826+T826, IF(C826="Sell",M826-Q826-T826, X)))</f>
        <v/>
      </c>
      <c r="V826" s="81">
        <f>IF(ISBLANK(P826),"",U826/N826)</f>
        <v/>
      </c>
      <c r="W826" s="81">
        <f>IF(ISBLANK(P826),"",IF(S826=0,(365/0.5)*V826,(365/S826)*V826))</f>
        <v/>
      </c>
      <c r="X826" s="75" t="n"/>
      <c r="Y826" s="77" t="n"/>
      <c r="Z826" s="77" t="n"/>
      <c r="AA826" s="75" t="n"/>
      <c r="AB826" s="75" t="n"/>
      <c r="AC826" s="6" t="n"/>
      <c r="AD826" s="75" t="n"/>
      <c r="AE826" s="75" t="n"/>
      <c r="AF826" s="75" t="n"/>
    </row>
    <row r="827" ht="15.75" customHeight="1" s="133">
      <c r="A827" s="75" t="n"/>
      <c r="B827" s="75" t="n"/>
      <c r="C827" s="75" t="n"/>
      <c r="D827" s="75" t="n"/>
      <c r="E827" s="76" t="n"/>
      <c r="F827" s="77" t="n"/>
      <c r="G827" s="75" t="n"/>
      <c r="H827" s="75">
        <f>IF(ISBLANK(E827),"",IF(OR(D827="Butterfly",D827="Butterfly ",D827="Iron Fly", D827="Iron Fly "),LEN(E827)-LEN(SUBSTITUTE(E827,"/",""))+2,LEN(E827)-LEN(SUBSTITUTE(E827,"/",""))+1))</f>
        <v/>
      </c>
      <c r="I827" s="78">
        <f>IF(ISBLANK(G827),"",IF(D827="Stock","0",Key!$A$3*H827*G827))</f>
        <v/>
      </c>
      <c r="J827" s="78">
        <f>IF(ISBLANK(E827),"",IF(ISNUMBER(SEARCH("/",E827)), IF(LEN(E827)-LEN(SUBSTITUTE(E827,"/",""))=1,(RIGHT(E827,LEN(E827)-FIND("/",E827)))-(LEFT(E827,FIND("/",E827)-1)),(MID(E827, SEARCH("/",E827) + 1, SEARCH("/",E827, SEARCH("/",E827)+1) - SEARCH("/",E827) - 1))-(LEFT(E827,FIND("/",E827)-1))), "NA"))</f>
        <v/>
      </c>
      <c r="K827" s="79">
        <f>IF(A827&lt;&gt;"", IF(ISBLANK(L827), TODAY(), K827), "")</f>
        <v/>
      </c>
      <c r="L827" s="78" t="n"/>
      <c r="M827" s="78">
        <f>IF(ISBLANK(L827),"",IF(D827="Stock",IF(C827="Buy",L827*G827,IF(C827="Sell",(L827*G827)-I827, X)),IF(C827="Buy",(L827*G827*100)+I827,IF(C827="Sell",(L827*G827*100)-I827, X))))</f>
        <v/>
      </c>
      <c r="N827" s="78">
        <f>IF(ISBLANK(L827),"",IF(AND(C827="Sell",D827="Stock"),M827,IF(ISBLANK(L827),"",IF(C827="Buy",M827, IF(AND(C827="Sell",J827="NA"),(E827*G827*100*0.1)+I827, IF(C827="Sell",(J827-L827)*(100*G827)+I827))))))</f>
        <v/>
      </c>
      <c r="O827" s="75" t="n"/>
      <c r="P827" s="75" t="n"/>
      <c r="Q827" s="75">
        <f>IF(ISBLANK(P827),"",IF(D827="Stock",P827*G827,IF(P827=0,"0",G827*P827*100-(G827*$AF$14))))</f>
        <v/>
      </c>
      <c r="R827" s="79">
        <f>IF(P827&lt;&gt;"", TODAY(), "")</f>
        <v/>
      </c>
      <c r="S827" s="78">
        <f>IF(AND(K827&lt;&gt;"", R827&lt;&gt;""), R827-K827, "")</f>
        <v/>
      </c>
      <c r="T827" s="78" t="n"/>
      <c r="U827" s="92">
        <f>IF(ISBLANK(P827),"",IF(C827="Buy",Q827-M827+T827, IF(C827="Sell",M827-Q827-T827, X)))</f>
        <v/>
      </c>
      <c r="V827" s="81">
        <f>IF(ISBLANK(P827),"",U827/N827)</f>
        <v/>
      </c>
      <c r="W827" s="81">
        <f>IF(ISBLANK(P827),"",IF(S827=0,(365/0.5)*V827,(365/S827)*V827))</f>
        <v/>
      </c>
      <c r="X827" s="75" t="n"/>
      <c r="Y827" s="77" t="n"/>
      <c r="Z827" s="77" t="n"/>
      <c r="AA827" s="75" t="n"/>
      <c r="AB827" s="75" t="n"/>
      <c r="AC827" s="6" t="n"/>
      <c r="AD827" s="75" t="n"/>
      <c r="AE827" s="75" t="n"/>
      <c r="AF827" s="75" t="n"/>
    </row>
    <row r="828" ht="15.75" customHeight="1" s="133">
      <c r="A828" s="75" t="n"/>
      <c r="B828" s="75" t="n"/>
      <c r="C828" s="75" t="n"/>
      <c r="D828" s="75" t="n"/>
      <c r="E828" s="76" t="n"/>
      <c r="F828" s="77" t="n"/>
      <c r="G828" s="75" t="n"/>
      <c r="H828" s="75">
        <f>IF(ISBLANK(E828),"",IF(OR(D828="Butterfly",D828="Butterfly ",D828="Iron Fly", D828="Iron Fly "),LEN(E828)-LEN(SUBSTITUTE(E828,"/",""))+2,LEN(E828)-LEN(SUBSTITUTE(E828,"/",""))+1))</f>
        <v/>
      </c>
      <c r="I828" s="78">
        <f>IF(ISBLANK(G828),"",IF(D828="Stock","0",Key!$A$3*H828*G828))</f>
        <v/>
      </c>
      <c r="J828" s="78">
        <f>IF(ISBLANK(E828),"",IF(ISNUMBER(SEARCH("/",E828)), IF(LEN(E828)-LEN(SUBSTITUTE(E828,"/",""))=1,(RIGHT(E828,LEN(E828)-FIND("/",E828)))-(LEFT(E828,FIND("/",E828)-1)),(MID(E828, SEARCH("/",E828) + 1, SEARCH("/",E828, SEARCH("/",E828)+1) - SEARCH("/",E828) - 1))-(LEFT(E828,FIND("/",E828)-1))), "NA"))</f>
        <v/>
      </c>
      <c r="K828" s="79">
        <f>IF(A828&lt;&gt;"", IF(ISBLANK(L828), TODAY(), K828), "")</f>
        <v/>
      </c>
      <c r="L828" s="78" t="n"/>
      <c r="M828" s="78">
        <f>IF(ISBLANK(L828),"",IF(D828="Stock",IF(C828="Buy",L828*G828,IF(C828="Sell",(L828*G828)-I828, X)),IF(C828="Buy",(L828*G828*100)+I828,IF(C828="Sell",(L828*G828*100)-I828, X))))</f>
        <v/>
      </c>
      <c r="N828" s="78">
        <f>IF(ISBLANK(L828),"",IF(AND(C828="Sell",D828="Stock"),M828,IF(ISBLANK(L828),"",IF(C828="Buy",M828, IF(AND(C828="Sell",J828="NA"),(E828*G828*100*0.1)+I828, IF(C828="Sell",(J828-L828)*(100*G828)+I828))))))</f>
        <v/>
      </c>
      <c r="O828" s="75" t="n"/>
      <c r="P828" s="75" t="n"/>
      <c r="Q828" s="75">
        <f>IF(ISBLANK(P828),"",IF(D828="Stock",P828*G828,IF(P828=0,"0",G828*P828*100-(G828*$AF$14))))</f>
        <v/>
      </c>
      <c r="R828" s="79">
        <f>IF(P828&lt;&gt;"", TODAY(), "")</f>
        <v/>
      </c>
      <c r="S828" s="78">
        <f>IF(AND(K828&lt;&gt;"", R828&lt;&gt;""), R828-K828, "")</f>
        <v/>
      </c>
      <c r="T828" s="78" t="n"/>
      <c r="U828" s="92">
        <f>IF(ISBLANK(P828),"",IF(C828="Buy",Q828-M828+T828, IF(C828="Sell",M828-Q828-T828, X)))</f>
        <v/>
      </c>
      <c r="V828" s="81">
        <f>IF(ISBLANK(P828),"",U828/N828)</f>
        <v/>
      </c>
      <c r="W828" s="81">
        <f>IF(ISBLANK(P828),"",IF(S828=0,(365/0.5)*V828,(365/S828)*V828))</f>
        <v/>
      </c>
      <c r="X828" s="75" t="n"/>
      <c r="Y828" s="77" t="n"/>
      <c r="Z828" s="77" t="n"/>
      <c r="AA828" s="75" t="n"/>
      <c r="AB828" s="75" t="n"/>
      <c r="AC828" s="6" t="n"/>
      <c r="AD828" s="75" t="n"/>
      <c r="AE828" s="75" t="n"/>
      <c r="AF828" s="75" t="n"/>
    </row>
    <row r="829" ht="15.75" customHeight="1" s="133">
      <c r="A829" s="75" t="n"/>
      <c r="B829" s="75" t="n"/>
      <c r="C829" s="75" t="n"/>
      <c r="D829" s="75" t="n"/>
      <c r="E829" s="76" t="n"/>
      <c r="F829" s="77" t="n"/>
      <c r="G829" s="75" t="n"/>
      <c r="H829" s="75">
        <f>IF(ISBLANK(E829),"",IF(OR(D829="Butterfly",D829="Butterfly ",D829="Iron Fly", D829="Iron Fly "),LEN(E829)-LEN(SUBSTITUTE(E829,"/",""))+2,LEN(E829)-LEN(SUBSTITUTE(E829,"/",""))+1))</f>
        <v/>
      </c>
      <c r="I829" s="78">
        <f>IF(ISBLANK(G829),"",IF(D829="Stock","0",Key!$A$3*H829*G829))</f>
        <v/>
      </c>
      <c r="J829" s="78">
        <f>IF(ISBLANK(E829),"",IF(ISNUMBER(SEARCH("/",E829)), IF(LEN(E829)-LEN(SUBSTITUTE(E829,"/",""))=1,(RIGHT(E829,LEN(E829)-FIND("/",E829)))-(LEFT(E829,FIND("/",E829)-1)),(MID(E829, SEARCH("/",E829) + 1, SEARCH("/",E829, SEARCH("/",E829)+1) - SEARCH("/",E829) - 1))-(LEFT(E829,FIND("/",E829)-1))), "NA"))</f>
        <v/>
      </c>
      <c r="K829" s="79">
        <f>IF(A829&lt;&gt;"", IF(ISBLANK(L829), TODAY(), K829), "")</f>
        <v/>
      </c>
      <c r="L829" s="78" t="n"/>
      <c r="M829" s="78">
        <f>IF(ISBLANK(L829),"",IF(D829="Stock",IF(C829="Buy",L829*G829,IF(C829="Sell",(L829*G829)-I829, X)),IF(C829="Buy",(L829*G829*100)+I829,IF(C829="Sell",(L829*G829*100)-I829, X))))</f>
        <v/>
      </c>
      <c r="N829" s="78">
        <f>IF(ISBLANK(L829),"",IF(AND(C829="Sell",D829="Stock"),M829,IF(ISBLANK(L829),"",IF(C829="Buy",M829, IF(AND(C829="Sell",J829="NA"),(E829*G829*100*0.1)+I829, IF(C829="Sell",(J829-L829)*(100*G829)+I829))))))</f>
        <v/>
      </c>
      <c r="O829" s="75" t="n"/>
      <c r="P829" s="75" t="n"/>
      <c r="Q829" s="75">
        <f>IF(ISBLANK(P829),"",IF(D829="Stock",P829*G829,IF(P829=0,"0",G829*P829*100-(G829*$AF$14))))</f>
        <v/>
      </c>
      <c r="R829" s="79">
        <f>IF(P829&lt;&gt;"", TODAY(), "")</f>
        <v/>
      </c>
      <c r="S829" s="78">
        <f>IF(AND(K829&lt;&gt;"", R829&lt;&gt;""), R829-K829, "")</f>
        <v/>
      </c>
      <c r="T829" s="78" t="n"/>
      <c r="U829" s="92">
        <f>IF(ISBLANK(P829),"",IF(C829="Buy",Q829-M829+T829, IF(C829="Sell",M829-Q829-T829, X)))</f>
        <v/>
      </c>
      <c r="V829" s="81">
        <f>IF(ISBLANK(P829),"",U829/N829)</f>
        <v/>
      </c>
      <c r="W829" s="81">
        <f>IF(ISBLANK(P829),"",IF(S829=0,(365/0.5)*V829,(365/S829)*V829))</f>
        <v/>
      </c>
      <c r="X829" s="75" t="n"/>
      <c r="Y829" s="77" t="n"/>
      <c r="Z829" s="77" t="n"/>
      <c r="AA829" s="75" t="n"/>
      <c r="AB829" s="75" t="n"/>
      <c r="AC829" s="6" t="n"/>
      <c r="AD829" s="75" t="n"/>
      <c r="AE829" s="75" t="n"/>
      <c r="AF829" s="75" t="n"/>
    </row>
    <row r="830" ht="15.75" customHeight="1" s="133">
      <c r="A830" s="75" t="n"/>
      <c r="B830" s="75" t="n"/>
      <c r="C830" s="75" t="n"/>
      <c r="D830" s="75" t="n"/>
      <c r="E830" s="76" t="n"/>
      <c r="F830" s="77" t="n"/>
      <c r="G830" s="75" t="n"/>
      <c r="H830" s="75">
        <f>IF(ISBLANK(E830),"",IF(OR(D830="Butterfly",D830="Butterfly ",D830="Iron Fly", D830="Iron Fly "),LEN(E830)-LEN(SUBSTITUTE(E830,"/",""))+2,LEN(E830)-LEN(SUBSTITUTE(E830,"/",""))+1))</f>
        <v/>
      </c>
      <c r="I830" s="78">
        <f>IF(ISBLANK(G830),"",IF(D830="Stock","0",Key!$A$3*H830*G830))</f>
        <v/>
      </c>
      <c r="J830" s="78">
        <f>IF(ISBLANK(E830),"",IF(ISNUMBER(SEARCH("/",E830)), IF(LEN(E830)-LEN(SUBSTITUTE(E830,"/",""))=1,(RIGHT(E830,LEN(E830)-FIND("/",E830)))-(LEFT(E830,FIND("/",E830)-1)),(MID(E830, SEARCH("/",E830) + 1, SEARCH("/",E830, SEARCH("/",E830)+1) - SEARCH("/",E830) - 1))-(LEFT(E830,FIND("/",E830)-1))), "NA"))</f>
        <v/>
      </c>
      <c r="K830" s="79">
        <f>IF(A830&lt;&gt;"", IF(ISBLANK(L830), TODAY(), K830), "")</f>
        <v/>
      </c>
      <c r="L830" s="78" t="n"/>
      <c r="M830" s="78">
        <f>IF(ISBLANK(L830),"",IF(D830="Stock",IF(C830="Buy",L830*G830,IF(C830="Sell",(L830*G830)-I830, X)),IF(C830="Buy",(L830*G830*100)+I830,IF(C830="Sell",(L830*G830*100)-I830, X))))</f>
        <v/>
      </c>
      <c r="N830" s="78">
        <f>IF(ISBLANK(L830),"",IF(AND(C830="Sell",D830="Stock"),M830,IF(ISBLANK(L830),"",IF(C830="Buy",M830, IF(AND(C830="Sell",J830="NA"),(E830*G830*100*0.1)+I830, IF(C830="Sell",(J830-L830)*(100*G830)+I830))))))</f>
        <v/>
      </c>
      <c r="O830" s="75" t="n"/>
      <c r="P830" s="75" t="n"/>
      <c r="Q830" s="75">
        <f>IF(ISBLANK(P830),"",IF(D830="Stock",P830*G830,IF(P830=0,"0",G830*P830*100-(G830*$AF$14))))</f>
        <v/>
      </c>
      <c r="R830" s="79">
        <f>IF(P830&lt;&gt;"", TODAY(), "")</f>
        <v/>
      </c>
      <c r="S830" s="78">
        <f>IF(AND(K830&lt;&gt;"", R830&lt;&gt;""), R830-K830, "")</f>
        <v/>
      </c>
      <c r="T830" s="78" t="n"/>
      <c r="U830" s="92">
        <f>IF(ISBLANK(P830),"",IF(C830="Buy",Q830-M830+T830, IF(C830="Sell",M830-Q830-T830, X)))</f>
        <v/>
      </c>
      <c r="V830" s="81">
        <f>IF(ISBLANK(P830),"",U830/N830)</f>
        <v/>
      </c>
      <c r="W830" s="81">
        <f>IF(ISBLANK(P830),"",IF(S830=0,(365/0.5)*V830,(365/S830)*V830))</f>
        <v/>
      </c>
      <c r="X830" s="75" t="n"/>
      <c r="Y830" s="77" t="n"/>
      <c r="Z830" s="77" t="n"/>
      <c r="AA830" s="75" t="n"/>
      <c r="AB830" s="75" t="n"/>
      <c r="AC830" s="6" t="n"/>
      <c r="AD830" s="75" t="n"/>
      <c r="AE830" s="75" t="n"/>
      <c r="AF830" s="75" t="n"/>
    </row>
    <row r="831" ht="15.75" customHeight="1" s="133">
      <c r="A831" s="75" t="n"/>
      <c r="B831" s="75" t="n"/>
      <c r="C831" s="75" t="n"/>
      <c r="D831" s="75" t="n"/>
      <c r="E831" s="76" t="n"/>
      <c r="F831" s="77" t="n"/>
      <c r="G831" s="75" t="n"/>
      <c r="H831" s="75">
        <f>IF(ISBLANK(E831),"",IF(OR(D831="Butterfly",D831="Butterfly ",D831="Iron Fly", D831="Iron Fly "),LEN(E831)-LEN(SUBSTITUTE(E831,"/",""))+2,LEN(E831)-LEN(SUBSTITUTE(E831,"/",""))+1))</f>
        <v/>
      </c>
      <c r="I831" s="78">
        <f>IF(ISBLANK(G831),"",IF(D831="Stock","0",Key!$A$3*H831*G831))</f>
        <v/>
      </c>
      <c r="J831" s="78">
        <f>IF(ISBLANK(E831),"",IF(ISNUMBER(SEARCH("/",E831)), IF(LEN(E831)-LEN(SUBSTITUTE(E831,"/",""))=1,(RIGHT(E831,LEN(E831)-FIND("/",E831)))-(LEFT(E831,FIND("/",E831)-1)),(MID(E831, SEARCH("/",E831) + 1, SEARCH("/",E831, SEARCH("/",E831)+1) - SEARCH("/",E831) - 1))-(LEFT(E831,FIND("/",E831)-1))), "NA"))</f>
        <v/>
      </c>
      <c r="K831" s="79">
        <f>IF(A831&lt;&gt;"", IF(ISBLANK(L831), TODAY(), K831), "")</f>
        <v/>
      </c>
      <c r="L831" s="78" t="n"/>
      <c r="M831" s="78">
        <f>IF(ISBLANK(L831),"",IF(D831="Stock",IF(C831="Buy",L831*G831,IF(C831="Sell",(L831*G831)-I831, X)),IF(C831="Buy",(L831*G831*100)+I831,IF(C831="Sell",(L831*G831*100)-I831, X))))</f>
        <v/>
      </c>
      <c r="N831" s="78">
        <f>IF(ISBLANK(L831),"",IF(AND(C831="Sell",D831="Stock"),M831,IF(ISBLANK(L831),"",IF(C831="Buy",M831, IF(AND(C831="Sell",J831="NA"),(E831*G831*100*0.1)+I831, IF(C831="Sell",(J831-L831)*(100*G831)+I831))))))</f>
        <v/>
      </c>
      <c r="O831" s="75" t="n"/>
      <c r="P831" s="75" t="n"/>
      <c r="Q831" s="75">
        <f>IF(ISBLANK(P831),"",IF(D831="Stock",P831*G831,IF(P831=0,"0",G831*P831*100-(G831*$AF$14))))</f>
        <v/>
      </c>
      <c r="R831" s="79">
        <f>IF(P831&lt;&gt;"", TODAY(), "")</f>
        <v/>
      </c>
      <c r="S831" s="78">
        <f>IF(AND(K831&lt;&gt;"", R831&lt;&gt;""), R831-K831, "")</f>
        <v/>
      </c>
      <c r="T831" s="78" t="n"/>
      <c r="U831" s="92">
        <f>IF(ISBLANK(P831),"",IF(C831="Buy",Q831-M831+T831, IF(C831="Sell",M831-Q831-T831, X)))</f>
        <v/>
      </c>
      <c r="V831" s="81">
        <f>IF(ISBLANK(P831),"",U831/N831)</f>
        <v/>
      </c>
      <c r="W831" s="81">
        <f>IF(ISBLANK(P831),"",IF(S831=0,(365/0.5)*V831,(365/S831)*V831))</f>
        <v/>
      </c>
      <c r="X831" s="75" t="n"/>
      <c r="Y831" s="77" t="n"/>
      <c r="Z831" s="77" t="n"/>
      <c r="AA831" s="75" t="n"/>
      <c r="AB831" s="75" t="n"/>
      <c r="AC831" s="6" t="n"/>
      <c r="AD831" s="75" t="n"/>
      <c r="AE831" s="75" t="n"/>
      <c r="AF831" s="75" t="n"/>
    </row>
    <row r="832" ht="15.75" customHeight="1" s="133">
      <c r="A832" s="75" t="n"/>
      <c r="B832" s="75" t="n"/>
      <c r="C832" s="75" t="n"/>
      <c r="D832" s="75" t="n"/>
      <c r="E832" s="76" t="n"/>
      <c r="F832" s="77" t="n"/>
      <c r="G832" s="75" t="n"/>
      <c r="H832" s="75">
        <f>IF(ISBLANK(E832),"",IF(OR(D832="Butterfly",D832="Butterfly ",D832="Iron Fly", D832="Iron Fly "),LEN(E832)-LEN(SUBSTITUTE(E832,"/",""))+2,LEN(E832)-LEN(SUBSTITUTE(E832,"/",""))+1))</f>
        <v/>
      </c>
      <c r="I832" s="78">
        <f>IF(ISBLANK(G832),"",IF(D832="Stock","0",Key!$A$3*H832*G832))</f>
        <v/>
      </c>
      <c r="J832" s="78">
        <f>IF(ISBLANK(E832),"",IF(ISNUMBER(SEARCH("/",E832)), IF(LEN(E832)-LEN(SUBSTITUTE(E832,"/",""))=1,(RIGHT(E832,LEN(E832)-FIND("/",E832)))-(LEFT(E832,FIND("/",E832)-1)),(MID(E832, SEARCH("/",E832) + 1, SEARCH("/",E832, SEARCH("/",E832)+1) - SEARCH("/",E832) - 1))-(LEFT(E832,FIND("/",E832)-1))), "NA"))</f>
        <v/>
      </c>
      <c r="K832" s="79">
        <f>IF(A832&lt;&gt;"", IF(ISBLANK(L832), TODAY(), K832), "")</f>
        <v/>
      </c>
      <c r="L832" s="78" t="n"/>
      <c r="M832" s="78">
        <f>IF(ISBLANK(L832),"",IF(D832="Stock",IF(C832="Buy",L832*G832,IF(C832="Sell",(L832*G832)-I832, X)),IF(C832="Buy",(L832*G832*100)+I832,IF(C832="Sell",(L832*G832*100)-I832, X))))</f>
        <v/>
      </c>
      <c r="N832" s="78">
        <f>IF(ISBLANK(L832),"",IF(AND(C832="Sell",D832="Stock"),M832,IF(ISBLANK(L832),"",IF(C832="Buy",M832, IF(AND(C832="Sell",J832="NA"),(E832*G832*100*0.1)+I832, IF(C832="Sell",(J832-L832)*(100*G832)+I832))))))</f>
        <v/>
      </c>
      <c r="O832" s="75" t="n"/>
      <c r="P832" s="75" t="n"/>
      <c r="Q832" s="75">
        <f>IF(ISBLANK(P832),"",IF(D832="Stock",P832*G832,IF(P832=0,"0",G832*P832*100-(G832*$AF$14))))</f>
        <v/>
      </c>
      <c r="R832" s="79">
        <f>IF(P832&lt;&gt;"", TODAY(), "")</f>
        <v/>
      </c>
      <c r="S832" s="78">
        <f>IF(AND(K832&lt;&gt;"", R832&lt;&gt;""), R832-K832, "")</f>
        <v/>
      </c>
      <c r="T832" s="78" t="n"/>
      <c r="U832" s="92">
        <f>IF(ISBLANK(P832),"",IF(C832="Buy",Q832-M832+T832, IF(C832="Sell",M832-Q832-T832, X)))</f>
        <v/>
      </c>
      <c r="V832" s="81">
        <f>IF(ISBLANK(P832),"",U832/N832)</f>
        <v/>
      </c>
      <c r="W832" s="81">
        <f>IF(ISBLANK(P832),"",IF(S832=0,(365/0.5)*V832,(365/S832)*V832))</f>
        <v/>
      </c>
      <c r="X832" s="75" t="n"/>
      <c r="Y832" s="77" t="n"/>
      <c r="Z832" s="77" t="n"/>
      <c r="AA832" s="75" t="n"/>
      <c r="AB832" s="75" t="n"/>
      <c r="AC832" s="6" t="n"/>
      <c r="AD832" s="75" t="n"/>
      <c r="AE832" s="75" t="n"/>
      <c r="AF832" s="75" t="n"/>
    </row>
    <row r="833" ht="15.75" customHeight="1" s="133">
      <c r="A833" s="75" t="n"/>
      <c r="B833" s="75" t="n"/>
      <c r="C833" s="75" t="n"/>
      <c r="D833" s="75" t="n"/>
      <c r="E833" s="76" t="n"/>
      <c r="F833" s="77" t="n"/>
      <c r="G833" s="75" t="n"/>
      <c r="H833" s="75">
        <f>IF(ISBLANK(E833),"",IF(OR(D833="Butterfly",D833="Butterfly ",D833="Iron Fly", D833="Iron Fly "),LEN(E833)-LEN(SUBSTITUTE(E833,"/",""))+2,LEN(E833)-LEN(SUBSTITUTE(E833,"/",""))+1))</f>
        <v/>
      </c>
      <c r="I833" s="78">
        <f>IF(ISBLANK(G833),"",IF(D833="Stock","0",Key!$A$3*H833*G833))</f>
        <v/>
      </c>
      <c r="J833" s="78">
        <f>IF(ISBLANK(E833),"",IF(ISNUMBER(SEARCH("/",E833)), IF(LEN(E833)-LEN(SUBSTITUTE(E833,"/",""))=1,(RIGHT(E833,LEN(E833)-FIND("/",E833)))-(LEFT(E833,FIND("/",E833)-1)),(MID(E833, SEARCH("/",E833) + 1, SEARCH("/",E833, SEARCH("/",E833)+1) - SEARCH("/",E833) - 1))-(LEFT(E833,FIND("/",E833)-1))), "NA"))</f>
        <v/>
      </c>
      <c r="K833" s="79">
        <f>IF(A833&lt;&gt;"", IF(ISBLANK(L833), TODAY(), K833), "")</f>
        <v/>
      </c>
      <c r="L833" s="78" t="n"/>
      <c r="M833" s="78">
        <f>IF(ISBLANK(L833),"",IF(D833="Stock",IF(C833="Buy",L833*G833,IF(C833="Sell",(L833*G833)-I833, X)),IF(C833="Buy",(L833*G833*100)+I833,IF(C833="Sell",(L833*G833*100)-I833, X))))</f>
        <v/>
      </c>
      <c r="N833" s="78">
        <f>IF(ISBLANK(L833),"",IF(AND(C833="Sell",D833="Stock"),M833,IF(ISBLANK(L833),"",IF(C833="Buy",M833, IF(AND(C833="Sell",J833="NA"),(E833*G833*100*0.1)+I833, IF(C833="Sell",(J833-L833)*(100*G833)+I833))))))</f>
        <v/>
      </c>
      <c r="O833" s="75" t="n"/>
      <c r="P833" s="75" t="n"/>
      <c r="Q833" s="75">
        <f>IF(ISBLANK(P833),"",IF(D833="Stock",P833*G833,IF(P833=0,"0",G833*P833*100-(G833*$AF$14))))</f>
        <v/>
      </c>
      <c r="R833" s="79">
        <f>IF(P833&lt;&gt;"", TODAY(), "")</f>
        <v/>
      </c>
      <c r="S833" s="78">
        <f>IF(AND(K833&lt;&gt;"", R833&lt;&gt;""), R833-K833, "")</f>
        <v/>
      </c>
      <c r="T833" s="78" t="n"/>
      <c r="U833" s="92">
        <f>IF(ISBLANK(P833),"",IF(C833="Buy",Q833-M833+T833, IF(C833="Sell",M833-Q833-T833, X)))</f>
        <v/>
      </c>
      <c r="V833" s="81">
        <f>IF(ISBLANK(P833),"",U833/N833)</f>
        <v/>
      </c>
      <c r="W833" s="81">
        <f>IF(ISBLANK(P833),"",IF(S833=0,(365/0.5)*V833,(365/S833)*V833))</f>
        <v/>
      </c>
      <c r="X833" s="75" t="n"/>
      <c r="Y833" s="77" t="n"/>
      <c r="Z833" s="77" t="n"/>
      <c r="AA833" s="75" t="n"/>
      <c r="AB833" s="75" t="n"/>
      <c r="AC833" s="6" t="n"/>
      <c r="AD833" s="75" t="n"/>
      <c r="AE833" s="75" t="n"/>
      <c r="AF833" s="75" t="n"/>
    </row>
    <row r="834" ht="15.75" customHeight="1" s="133">
      <c r="A834" s="75" t="n"/>
      <c r="B834" s="75" t="n"/>
      <c r="C834" s="75" t="n"/>
      <c r="D834" s="75" t="n"/>
      <c r="E834" s="76" t="n"/>
      <c r="F834" s="77" t="n"/>
      <c r="G834" s="75" t="n"/>
      <c r="H834" s="75">
        <f>IF(ISBLANK(E834),"",IF(OR(D834="Butterfly",D834="Butterfly ",D834="Iron Fly", D834="Iron Fly "),LEN(E834)-LEN(SUBSTITUTE(E834,"/",""))+2,LEN(E834)-LEN(SUBSTITUTE(E834,"/",""))+1))</f>
        <v/>
      </c>
      <c r="I834" s="78">
        <f>IF(ISBLANK(G834),"",IF(D834="Stock","0",Key!$A$3*H834*G834))</f>
        <v/>
      </c>
      <c r="J834" s="78">
        <f>IF(ISBLANK(E834),"",IF(ISNUMBER(SEARCH("/",E834)), IF(LEN(E834)-LEN(SUBSTITUTE(E834,"/",""))=1,(RIGHT(E834,LEN(E834)-FIND("/",E834)))-(LEFT(E834,FIND("/",E834)-1)),(MID(E834, SEARCH("/",E834) + 1, SEARCH("/",E834, SEARCH("/",E834)+1) - SEARCH("/",E834) - 1))-(LEFT(E834,FIND("/",E834)-1))), "NA"))</f>
        <v/>
      </c>
      <c r="K834" s="79">
        <f>IF(A834&lt;&gt;"", IF(ISBLANK(L834), TODAY(), K834), "")</f>
        <v/>
      </c>
      <c r="L834" s="78" t="n"/>
      <c r="M834" s="78">
        <f>IF(ISBLANK(L834),"",IF(D834="Stock",IF(C834="Buy",L834*G834,IF(C834="Sell",(L834*G834)-I834, X)),IF(C834="Buy",(L834*G834*100)+I834,IF(C834="Sell",(L834*G834*100)-I834, X))))</f>
        <v/>
      </c>
      <c r="N834" s="78">
        <f>IF(ISBLANK(L834),"",IF(AND(C834="Sell",D834="Stock"),M834,IF(ISBLANK(L834),"",IF(C834="Buy",M834, IF(AND(C834="Sell",J834="NA"),(E834*G834*100*0.1)+I834, IF(C834="Sell",(J834-L834)*(100*G834)+I834))))))</f>
        <v/>
      </c>
      <c r="O834" s="75" t="n"/>
      <c r="P834" s="75" t="n"/>
      <c r="Q834" s="75">
        <f>IF(ISBLANK(P834),"",IF(D834="Stock",P834*G834,IF(P834=0,"0",G834*P834*100-(G834*$AF$14))))</f>
        <v/>
      </c>
      <c r="R834" s="79">
        <f>IF(P834&lt;&gt;"", TODAY(), "")</f>
        <v/>
      </c>
      <c r="S834" s="78">
        <f>IF(AND(K834&lt;&gt;"", R834&lt;&gt;""), R834-K834, "")</f>
        <v/>
      </c>
      <c r="T834" s="78" t="n"/>
      <c r="U834" s="92">
        <f>IF(ISBLANK(P834),"",IF(C834="Buy",Q834-M834+T834, IF(C834="Sell",M834-Q834-T834, X)))</f>
        <v/>
      </c>
      <c r="V834" s="81">
        <f>IF(ISBLANK(P834),"",U834/N834)</f>
        <v/>
      </c>
      <c r="W834" s="81">
        <f>IF(ISBLANK(P834),"",IF(S834=0,(365/0.5)*V834,(365/S834)*V834))</f>
        <v/>
      </c>
      <c r="X834" s="75" t="n"/>
      <c r="Y834" s="77" t="n"/>
      <c r="Z834" s="77" t="n"/>
      <c r="AA834" s="75" t="n"/>
      <c r="AB834" s="75" t="n"/>
      <c r="AC834" s="6" t="n"/>
      <c r="AD834" s="75" t="n"/>
      <c r="AE834" s="75" t="n"/>
      <c r="AF834" s="75" t="n"/>
    </row>
    <row r="835" ht="15.75" customHeight="1" s="133">
      <c r="A835" s="75" t="n"/>
      <c r="B835" s="75" t="n"/>
      <c r="C835" s="75" t="n"/>
      <c r="D835" s="75" t="n"/>
      <c r="E835" s="76" t="n"/>
      <c r="F835" s="77" t="n"/>
      <c r="G835" s="75" t="n"/>
      <c r="H835" s="75">
        <f>IF(ISBLANK(E835),"",IF(OR(D835="Butterfly",D835="Butterfly ",D835="Iron Fly", D835="Iron Fly "),LEN(E835)-LEN(SUBSTITUTE(E835,"/",""))+2,LEN(E835)-LEN(SUBSTITUTE(E835,"/",""))+1))</f>
        <v/>
      </c>
      <c r="I835" s="78">
        <f>IF(ISBLANK(G835),"",IF(D835="Stock","0",Key!$A$3*H835*G835))</f>
        <v/>
      </c>
      <c r="J835" s="78">
        <f>IF(ISBLANK(E835),"",IF(ISNUMBER(SEARCH("/",E835)), IF(LEN(E835)-LEN(SUBSTITUTE(E835,"/",""))=1,(RIGHT(E835,LEN(E835)-FIND("/",E835)))-(LEFT(E835,FIND("/",E835)-1)),(MID(E835, SEARCH("/",E835) + 1, SEARCH("/",E835, SEARCH("/",E835)+1) - SEARCH("/",E835) - 1))-(LEFT(E835,FIND("/",E835)-1))), "NA"))</f>
        <v/>
      </c>
      <c r="K835" s="79">
        <f>IF(A835&lt;&gt;"", IF(ISBLANK(L835), TODAY(), K835), "")</f>
        <v/>
      </c>
      <c r="L835" s="78" t="n"/>
      <c r="M835" s="78">
        <f>IF(ISBLANK(L835),"",IF(D835="Stock",IF(C835="Buy",L835*G835,IF(C835="Sell",(L835*G835)-I835, X)),IF(C835="Buy",(L835*G835*100)+I835,IF(C835="Sell",(L835*G835*100)-I835, X))))</f>
        <v/>
      </c>
      <c r="N835" s="78">
        <f>IF(ISBLANK(L835),"",IF(AND(C835="Sell",D835="Stock"),M835,IF(ISBLANK(L835),"",IF(C835="Buy",M835, IF(AND(C835="Sell",J835="NA"),(E835*G835*100*0.1)+I835, IF(C835="Sell",(J835-L835)*(100*G835)+I835))))))</f>
        <v/>
      </c>
      <c r="O835" s="75" t="n"/>
      <c r="P835" s="75" t="n"/>
      <c r="Q835" s="75">
        <f>IF(ISBLANK(P835),"",IF(D835="Stock",P835*G835,IF(P835=0,"0",G835*P835*100-(G835*$AF$14))))</f>
        <v/>
      </c>
      <c r="R835" s="79">
        <f>IF(P835&lt;&gt;"", TODAY(), "")</f>
        <v/>
      </c>
      <c r="S835" s="78">
        <f>IF(AND(K835&lt;&gt;"", R835&lt;&gt;""), R835-K835, "")</f>
        <v/>
      </c>
      <c r="T835" s="78" t="n"/>
      <c r="U835" s="92">
        <f>IF(ISBLANK(P835),"",IF(C835="Buy",Q835-M835+T835, IF(C835="Sell",M835-Q835-T835, X)))</f>
        <v/>
      </c>
      <c r="V835" s="81">
        <f>IF(ISBLANK(P835),"",U835/N835)</f>
        <v/>
      </c>
      <c r="W835" s="81">
        <f>IF(ISBLANK(P835),"",IF(S835=0,(365/0.5)*V835,(365/S835)*V835))</f>
        <v/>
      </c>
      <c r="X835" s="75" t="n"/>
      <c r="Y835" s="77" t="n"/>
      <c r="Z835" s="77" t="n"/>
      <c r="AA835" s="75" t="n"/>
      <c r="AB835" s="75" t="n"/>
      <c r="AC835" s="6" t="n"/>
      <c r="AD835" s="75" t="n"/>
      <c r="AE835" s="75" t="n"/>
      <c r="AF835" s="75" t="n"/>
    </row>
    <row r="836" ht="15.75" customHeight="1" s="133">
      <c r="A836" s="75" t="n"/>
      <c r="B836" s="75" t="n"/>
      <c r="C836" s="75" t="n"/>
      <c r="D836" s="75" t="n"/>
      <c r="E836" s="76" t="n"/>
      <c r="F836" s="77" t="n"/>
      <c r="G836" s="75" t="n"/>
      <c r="H836" s="75">
        <f>IF(ISBLANK(E836),"",IF(OR(D836="Butterfly",D836="Butterfly ",D836="Iron Fly", D836="Iron Fly "),LEN(E836)-LEN(SUBSTITUTE(E836,"/",""))+2,LEN(E836)-LEN(SUBSTITUTE(E836,"/",""))+1))</f>
        <v/>
      </c>
      <c r="I836" s="78">
        <f>IF(ISBLANK(G836),"",IF(D836="Stock","0",Key!$A$3*H836*G836))</f>
        <v/>
      </c>
      <c r="J836" s="78">
        <f>IF(ISBLANK(E836),"",IF(ISNUMBER(SEARCH("/",E836)), IF(LEN(E836)-LEN(SUBSTITUTE(E836,"/",""))=1,(RIGHT(E836,LEN(E836)-FIND("/",E836)))-(LEFT(E836,FIND("/",E836)-1)),(MID(E836, SEARCH("/",E836) + 1, SEARCH("/",E836, SEARCH("/",E836)+1) - SEARCH("/",E836) - 1))-(LEFT(E836,FIND("/",E836)-1))), "NA"))</f>
        <v/>
      </c>
      <c r="K836" s="79">
        <f>IF(A836&lt;&gt;"", IF(ISBLANK(L836), TODAY(), K836), "")</f>
        <v/>
      </c>
      <c r="L836" s="78" t="n"/>
      <c r="M836" s="78">
        <f>IF(ISBLANK(L836),"",IF(D836="Stock",IF(C836="Buy",L836*G836,IF(C836="Sell",(L836*G836)-I836, X)),IF(C836="Buy",(L836*G836*100)+I836,IF(C836="Sell",(L836*G836*100)-I836, X))))</f>
        <v/>
      </c>
      <c r="N836" s="78">
        <f>IF(ISBLANK(L836),"",IF(AND(C836="Sell",D836="Stock"),M836,IF(ISBLANK(L836),"",IF(C836="Buy",M836, IF(AND(C836="Sell",J836="NA"),(E836*G836*100*0.1)+I836, IF(C836="Sell",(J836-L836)*(100*G836)+I836))))))</f>
        <v/>
      </c>
      <c r="O836" s="75" t="n"/>
      <c r="P836" s="75" t="n"/>
      <c r="Q836" s="75">
        <f>IF(ISBLANK(P836),"",IF(D836="Stock",P836*G836,IF(P836=0,"0",G836*P836*100-(G836*$AF$14))))</f>
        <v/>
      </c>
      <c r="R836" s="79">
        <f>IF(P836&lt;&gt;"", TODAY(), "")</f>
        <v/>
      </c>
      <c r="S836" s="78">
        <f>IF(AND(K836&lt;&gt;"", R836&lt;&gt;""), R836-K836, "")</f>
        <v/>
      </c>
      <c r="T836" s="78" t="n"/>
      <c r="U836" s="92">
        <f>IF(ISBLANK(P836),"",IF(C836="Buy",Q836-M836+T836, IF(C836="Sell",M836-Q836-T836, X)))</f>
        <v/>
      </c>
      <c r="V836" s="81">
        <f>IF(ISBLANK(P836),"",U836/N836)</f>
        <v/>
      </c>
      <c r="W836" s="81">
        <f>IF(ISBLANK(P836),"",IF(S836=0,(365/0.5)*V836,(365/S836)*V836))</f>
        <v/>
      </c>
      <c r="X836" s="75" t="n"/>
      <c r="Y836" s="77" t="n"/>
      <c r="Z836" s="77" t="n"/>
      <c r="AA836" s="75" t="n"/>
      <c r="AB836" s="75" t="n"/>
      <c r="AC836" s="6" t="n"/>
      <c r="AD836" s="75" t="n"/>
      <c r="AE836" s="75" t="n"/>
      <c r="AF836" s="75" t="n"/>
    </row>
    <row r="837" ht="15.75" customHeight="1" s="133">
      <c r="A837" s="75" t="n"/>
      <c r="B837" s="75" t="n"/>
      <c r="C837" s="75" t="n"/>
      <c r="D837" s="75" t="n"/>
      <c r="E837" s="76" t="n"/>
      <c r="F837" s="77" t="n"/>
      <c r="G837" s="75" t="n"/>
      <c r="H837" s="75">
        <f>IF(ISBLANK(E837),"",IF(OR(D837="Butterfly",D837="Butterfly ",D837="Iron Fly", D837="Iron Fly "),LEN(E837)-LEN(SUBSTITUTE(E837,"/",""))+2,LEN(E837)-LEN(SUBSTITUTE(E837,"/",""))+1))</f>
        <v/>
      </c>
      <c r="I837" s="78">
        <f>IF(ISBLANK(G837),"",IF(D837="Stock","0",Key!$A$3*H837*G837))</f>
        <v/>
      </c>
      <c r="J837" s="78">
        <f>IF(ISBLANK(E837),"",IF(ISNUMBER(SEARCH("/",E837)), IF(LEN(E837)-LEN(SUBSTITUTE(E837,"/",""))=1,(RIGHT(E837,LEN(E837)-FIND("/",E837)))-(LEFT(E837,FIND("/",E837)-1)),(MID(E837, SEARCH("/",E837) + 1, SEARCH("/",E837, SEARCH("/",E837)+1) - SEARCH("/",E837) - 1))-(LEFT(E837,FIND("/",E837)-1))), "NA"))</f>
        <v/>
      </c>
      <c r="K837" s="79">
        <f>IF(A837&lt;&gt;"", IF(ISBLANK(L837), TODAY(), K837), "")</f>
        <v/>
      </c>
      <c r="L837" s="78" t="n"/>
      <c r="M837" s="78">
        <f>IF(ISBLANK(L837),"",IF(D837="Stock",IF(C837="Buy",L837*G837,IF(C837="Sell",(L837*G837)-I837, X)),IF(C837="Buy",(L837*G837*100)+I837,IF(C837="Sell",(L837*G837*100)-I837, X))))</f>
        <v/>
      </c>
      <c r="N837" s="78">
        <f>IF(ISBLANK(L837),"",IF(AND(C837="Sell",D837="Stock"),M837,IF(ISBLANK(L837),"",IF(C837="Buy",M837, IF(AND(C837="Sell",J837="NA"),(E837*G837*100*0.1)+I837, IF(C837="Sell",(J837-L837)*(100*G837)+I837))))))</f>
        <v/>
      </c>
      <c r="O837" s="75" t="n"/>
      <c r="P837" s="75" t="n"/>
      <c r="Q837" s="75">
        <f>IF(ISBLANK(P837),"",IF(D837="Stock",P837*G837,IF(P837=0,"0",G837*P837*100-(G837*$AF$14))))</f>
        <v/>
      </c>
      <c r="R837" s="79">
        <f>IF(P837&lt;&gt;"", TODAY(), "")</f>
        <v/>
      </c>
      <c r="S837" s="78">
        <f>IF(AND(K837&lt;&gt;"", R837&lt;&gt;""), R837-K837, "")</f>
        <v/>
      </c>
      <c r="T837" s="78" t="n"/>
      <c r="U837" s="92">
        <f>IF(ISBLANK(P837),"",IF(C837="Buy",Q837-M837+T837, IF(C837="Sell",M837-Q837-T837, X)))</f>
        <v/>
      </c>
      <c r="V837" s="81">
        <f>IF(ISBLANK(P837),"",U837/N837)</f>
        <v/>
      </c>
      <c r="W837" s="81">
        <f>IF(ISBLANK(P837),"",IF(S837=0,(365/0.5)*V837,(365/S837)*V837))</f>
        <v/>
      </c>
      <c r="X837" s="75" t="n"/>
      <c r="Y837" s="77" t="n"/>
      <c r="Z837" s="77" t="n"/>
      <c r="AA837" s="75" t="n"/>
      <c r="AB837" s="75" t="n"/>
      <c r="AC837" s="6" t="n"/>
      <c r="AD837" s="75" t="n"/>
      <c r="AE837" s="75" t="n"/>
      <c r="AF837" s="75" t="n"/>
    </row>
    <row r="838" ht="15.75" customHeight="1" s="133">
      <c r="A838" s="75" t="n"/>
      <c r="B838" s="75" t="n"/>
      <c r="C838" s="75" t="n"/>
      <c r="D838" s="75" t="n"/>
      <c r="E838" s="76" t="n"/>
      <c r="F838" s="77" t="n"/>
      <c r="G838" s="75" t="n"/>
      <c r="H838" s="75">
        <f>IF(ISBLANK(E838),"",IF(OR(D838="Butterfly",D838="Butterfly ",D838="Iron Fly", D838="Iron Fly "),LEN(E838)-LEN(SUBSTITUTE(E838,"/",""))+2,LEN(E838)-LEN(SUBSTITUTE(E838,"/",""))+1))</f>
        <v/>
      </c>
      <c r="I838" s="78">
        <f>IF(ISBLANK(G838),"",IF(D838="Stock","0",Key!$A$3*H838*G838))</f>
        <v/>
      </c>
      <c r="J838" s="78">
        <f>IF(ISBLANK(E838),"",IF(ISNUMBER(SEARCH("/",E838)), IF(LEN(E838)-LEN(SUBSTITUTE(E838,"/",""))=1,(RIGHT(E838,LEN(E838)-FIND("/",E838)))-(LEFT(E838,FIND("/",E838)-1)),(MID(E838, SEARCH("/",E838) + 1, SEARCH("/",E838, SEARCH("/",E838)+1) - SEARCH("/",E838) - 1))-(LEFT(E838,FIND("/",E838)-1))), "NA"))</f>
        <v/>
      </c>
      <c r="K838" s="79">
        <f>IF(A838&lt;&gt;"", IF(ISBLANK(L838), TODAY(), K838), "")</f>
        <v/>
      </c>
      <c r="L838" s="78" t="n"/>
      <c r="M838" s="78">
        <f>IF(ISBLANK(L838),"",IF(D838="Stock",IF(C838="Buy",L838*G838,IF(C838="Sell",(L838*G838)-I838, X)),IF(C838="Buy",(L838*G838*100)+I838,IF(C838="Sell",(L838*G838*100)-I838, X))))</f>
        <v/>
      </c>
      <c r="N838" s="78">
        <f>IF(ISBLANK(L838),"",IF(AND(C838="Sell",D838="Stock"),M838,IF(ISBLANK(L838),"",IF(C838="Buy",M838, IF(AND(C838="Sell",J838="NA"),(E838*G838*100*0.1)+I838, IF(C838="Sell",(J838-L838)*(100*G838)+I838))))))</f>
        <v/>
      </c>
      <c r="O838" s="75" t="n"/>
      <c r="P838" s="75" t="n"/>
      <c r="Q838" s="75">
        <f>IF(ISBLANK(P838),"",IF(D838="Stock",P838*G838,IF(P838=0,"0",G838*P838*100-(G838*$AF$14))))</f>
        <v/>
      </c>
      <c r="R838" s="79">
        <f>IF(P838&lt;&gt;"", TODAY(), "")</f>
        <v/>
      </c>
      <c r="S838" s="78">
        <f>IF(AND(K838&lt;&gt;"", R838&lt;&gt;""), R838-K838, "")</f>
        <v/>
      </c>
      <c r="T838" s="78" t="n"/>
      <c r="U838" s="92">
        <f>IF(ISBLANK(P838),"",IF(C838="Buy",Q838-M838+T838, IF(C838="Sell",M838-Q838-T838, X)))</f>
        <v/>
      </c>
      <c r="V838" s="81">
        <f>IF(ISBLANK(P838),"",U838/N838)</f>
        <v/>
      </c>
      <c r="W838" s="81">
        <f>IF(ISBLANK(P838),"",IF(S838=0,(365/0.5)*V838,(365/S838)*V838))</f>
        <v/>
      </c>
      <c r="X838" s="75" t="n"/>
      <c r="Y838" s="77" t="n"/>
      <c r="Z838" s="77" t="n"/>
      <c r="AA838" s="75" t="n"/>
      <c r="AB838" s="75" t="n"/>
      <c r="AC838" s="6" t="n"/>
      <c r="AD838" s="75" t="n"/>
      <c r="AE838" s="75" t="n"/>
      <c r="AF838" s="75" t="n"/>
    </row>
    <row r="839" ht="15.75" customHeight="1" s="133">
      <c r="A839" s="75" t="n"/>
      <c r="B839" s="75" t="n"/>
      <c r="C839" s="75" t="n"/>
      <c r="D839" s="75" t="n"/>
      <c r="E839" s="76" t="n"/>
      <c r="F839" s="77" t="n"/>
      <c r="G839" s="75" t="n"/>
      <c r="H839" s="75">
        <f>IF(ISBLANK(E839),"",IF(OR(D839="Butterfly",D839="Butterfly ",D839="Iron Fly", D839="Iron Fly "),LEN(E839)-LEN(SUBSTITUTE(E839,"/",""))+2,LEN(E839)-LEN(SUBSTITUTE(E839,"/",""))+1))</f>
        <v/>
      </c>
      <c r="I839" s="78">
        <f>IF(ISBLANK(G839),"",IF(D839="Stock","0",Key!$A$3*H839*G839))</f>
        <v/>
      </c>
      <c r="J839" s="78">
        <f>IF(ISBLANK(E839),"",IF(ISNUMBER(SEARCH("/",E839)), IF(LEN(E839)-LEN(SUBSTITUTE(E839,"/",""))=1,(RIGHT(E839,LEN(E839)-FIND("/",E839)))-(LEFT(E839,FIND("/",E839)-1)),(MID(E839, SEARCH("/",E839) + 1, SEARCH("/",E839, SEARCH("/",E839)+1) - SEARCH("/",E839) - 1))-(LEFT(E839,FIND("/",E839)-1))), "NA"))</f>
        <v/>
      </c>
      <c r="K839" s="79">
        <f>IF(A839&lt;&gt;"", IF(ISBLANK(L839), TODAY(), K839), "")</f>
        <v/>
      </c>
      <c r="L839" s="78" t="n"/>
      <c r="M839" s="78">
        <f>IF(ISBLANK(L839),"",IF(D839="Stock",IF(C839="Buy",L839*G839,IF(C839="Sell",(L839*G839)-I839, X)),IF(C839="Buy",(L839*G839*100)+I839,IF(C839="Sell",(L839*G839*100)-I839, X))))</f>
        <v/>
      </c>
      <c r="N839" s="78">
        <f>IF(ISBLANK(L839),"",IF(AND(C839="Sell",D839="Stock"),M839,IF(ISBLANK(L839),"",IF(C839="Buy",M839, IF(AND(C839="Sell",J839="NA"),(E839*G839*100*0.1)+I839, IF(C839="Sell",(J839-L839)*(100*G839)+I839))))))</f>
        <v/>
      </c>
      <c r="O839" s="75" t="n"/>
      <c r="P839" s="75" t="n"/>
      <c r="Q839" s="75">
        <f>IF(ISBLANK(P839),"",IF(D839="Stock",P839*G839,IF(P839=0,"0",G839*P839*100-(G839*$AF$14))))</f>
        <v/>
      </c>
      <c r="R839" s="79">
        <f>IF(P839&lt;&gt;"", TODAY(), "")</f>
        <v/>
      </c>
      <c r="S839" s="78">
        <f>IF(AND(K839&lt;&gt;"", R839&lt;&gt;""), R839-K839, "")</f>
        <v/>
      </c>
      <c r="T839" s="78" t="n"/>
      <c r="U839" s="92">
        <f>IF(ISBLANK(P839),"",IF(C839="Buy",Q839-M839+T839, IF(C839="Sell",M839-Q839-T839, X)))</f>
        <v/>
      </c>
      <c r="V839" s="81">
        <f>IF(ISBLANK(P839),"",U839/N839)</f>
        <v/>
      </c>
      <c r="W839" s="81">
        <f>IF(ISBLANK(P839),"",IF(S839=0,(365/0.5)*V839,(365/S839)*V839))</f>
        <v/>
      </c>
      <c r="X839" s="75" t="n"/>
      <c r="Y839" s="77" t="n"/>
      <c r="Z839" s="77" t="n"/>
      <c r="AA839" s="75" t="n"/>
      <c r="AB839" s="75" t="n"/>
      <c r="AC839" s="6" t="n"/>
      <c r="AD839" s="75" t="n"/>
      <c r="AE839" s="75" t="n"/>
      <c r="AF839" s="75" t="n"/>
    </row>
    <row r="840" ht="15.75" customHeight="1" s="133">
      <c r="A840" s="75" t="n"/>
      <c r="B840" s="75" t="n"/>
      <c r="C840" s="75" t="n"/>
      <c r="D840" s="75" t="n"/>
      <c r="E840" s="76" t="n"/>
      <c r="F840" s="77" t="n"/>
      <c r="G840" s="75" t="n"/>
      <c r="H840" s="75">
        <f>IF(ISBLANK(E840),"",IF(OR(D840="Butterfly",D840="Butterfly ",D840="Iron Fly", D840="Iron Fly "),LEN(E840)-LEN(SUBSTITUTE(E840,"/",""))+2,LEN(E840)-LEN(SUBSTITUTE(E840,"/",""))+1))</f>
        <v/>
      </c>
      <c r="I840" s="78">
        <f>IF(ISBLANK(G840),"",IF(D840="Stock","0",Key!$A$3*H840*G840))</f>
        <v/>
      </c>
      <c r="J840" s="78">
        <f>IF(ISBLANK(E840),"",IF(ISNUMBER(SEARCH("/",E840)), IF(LEN(E840)-LEN(SUBSTITUTE(E840,"/",""))=1,(RIGHT(E840,LEN(E840)-FIND("/",E840)))-(LEFT(E840,FIND("/",E840)-1)),(MID(E840, SEARCH("/",E840) + 1, SEARCH("/",E840, SEARCH("/",E840)+1) - SEARCH("/",E840) - 1))-(LEFT(E840,FIND("/",E840)-1))), "NA"))</f>
        <v/>
      </c>
      <c r="K840" s="79">
        <f>IF(A840&lt;&gt;"", IF(ISBLANK(L840), TODAY(), K840), "")</f>
        <v/>
      </c>
      <c r="L840" s="78" t="n"/>
      <c r="M840" s="78">
        <f>IF(ISBLANK(L840),"",IF(D840="Stock",IF(C840="Buy",L840*G840,IF(C840="Sell",(L840*G840)-I840, X)),IF(C840="Buy",(L840*G840*100)+I840,IF(C840="Sell",(L840*G840*100)-I840, X))))</f>
        <v/>
      </c>
      <c r="N840" s="78">
        <f>IF(ISBLANK(L840),"",IF(AND(C840="Sell",D840="Stock"),M840,IF(ISBLANK(L840),"",IF(C840="Buy",M840, IF(AND(C840="Sell",J840="NA"),(E840*G840*100*0.1)+I840, IF(C840="Sell",(J840-L840)*(100*G840)+I840))))))</f>
        <v/>
      </c>
      <c r="O840" s="75" t="n"/>
      <c r="P840" s="75" t="n"/>
      <c r="Q840" s="75">
        <f>IF(ISBLANK(P840),"",IF(D840="Stock",P840*G840,IF(P840=0,"0",G840*P840*100-(G840*$AF$14))))</f>
        <v/>
      </c>
      <c r="R840" s="79">
        <f>IF(P840&lt;&gt;"", TODAY(), "")</f>
        <v/>
      </c>
      <c r="S840" s="78">
        <f>IF(AND(K840&lt;&gt;"", R840&lt;&gt;""), R840-K840, "")</f>
        <v/>
      </c>
      <c r="T840" s="78" t="n"/>
      <c r="U840" s="92">
        <f>IF(ISBLANK(P840),"",IF(C840="Buy",Q840-M840+T840, IF(C840="Sell",M840-Q840-T840, X)))</f>
        <v/>
      </c>
      <c r="V840" s="81">
        <f>IF(ISBLANK(P840),"",U840/N840)</f>
        <v/>
      </c>
      <c r="W840" s="81">
        <f>IF(ISBLANK(P840),"",IF(S840=0,(365/0.5)*V840,(365/S840)*V840))</f>
        <v/>
      </c>
      <c r="X840" s="75" t="n"/>
      <c r="Y840" s="77" t="n"/>
      <c r="Z840" s="77" t="n"/>
      <c r="AA840" s="75" t="n"/>
      <c r="AB840" s="75" t="n"/>
      <c r="AC840" s="6" t="n"/>
      <c r="AD840" s="75" t="n"/>
      <c r="AE840" s="75" t="n"/>
      <c r="AF840" s="75" t="n"/>
    </row>
    <row r="841" ht="15.75" customHeight="1" s="133">
      <c r="A841" s="75" t="n"/>
      <c r="B841" s="75" t="n"/>
      <c r="C841" s="75" t="n"/>
      <c r="D841" s="75" t="n"/>
      <c r="E841" s="76" t="n"/>
      <c r="F841" s="77" t="n"/>
      <c r="G841" s="75" t="n"/>
      <c r="H841" s="75">
        <f>IF(ISBLANK(E841),"",IF(OR(D841="Butterfly",D841="Butterfly ",D841="Iron Fly", D841="Iron Fly "),LEN(E841)-LEN(SUBSTITUTE(E841,"/",""))+2,LEN(E841)-LEN(SUBSTITUTE(E841,"/",""))+1))</f>
        <v/>
      </c>
      <c r="I841" s="78">
        <f>IF(ISBLANK(G841),"",IF(D841="Stock","0",Key!$A$3*H841*G841))</f>
        <v/>
      </c>
      <c r="J841" s="78">
        <f>IF(ISBLANK(E841),"",IF(ISNUMBER(SEARCH("/",E841)), IF(LEN(E841)-LEN(SUBSTITUTE(E841,"/",""))=1,(RIGHT(E841,LEN(E841)-FIND("/",E841)))-(LEFT(E841,FIND("/",E841)-1)),(MID(E841, SEARCH("/",E841) + 1, SEARCH("/",E841, SEARCH("/",E841)+1) - SEARCH("/",E841) - 1))-(LEFT(E841,FIND("/",E841)-1))), "NA"))</f>
        <v/>
      </c>
      <c r="K841" s="79">
        <f>IF(A841&lt;&gt;"", IF(ISBLANK(L841), TODAY(), K841), "")</f>
        <v/>
      </c>
      <c r="L841" s="78" t="n"/>
      <c r="M841" s="78">
        <f>IF(ISBLANK(L841),"",IF(D841="Stock",IF(C841="Buy",L841*G841,IF(C841="Sell",(L841*G841)-I841, X)),IF(C841="Buy",(L841*G841*100)+I841,IF(C841="Sell",(L841*G841*100)-I841, X))))</f>
        <v/>
      </c>
      <c r="N841" s="78">
        <f>IF(ISBLANK(L841),"",IF(AND(C841="Sell",D841="Stock"),M841,IF(ISBLANK(L841),"",IF(C841="Buy",M841, IF(AND(C841="Sell",J841="NA"),(E841*G841*100*0.1)+I841, IF(C841="Sell",(J841-L841)*(100*G841)+I841))))))</f>
        <v/>
      </c>
      <c r="O841" s="75" t="n"/>
      <c r="P841" s="75" t="n"/>
      <c r="Q841" s="75">
        <f>IF(ISBLANK(P841),"",IF(D841="Stock",P841*G841,IF(P841=0,"0",G841*P841*100-(G841*$AF$14))))</f>
        <v/>
      </c>
      <c r="R841" s="79">
        <f>IF(P841&lt;&gt;"", TODAY(), "")</f>
        <v/>
      </c>
      <c r="S841" s="78">
        <f>IF(AND(K841&lt;&gt;"", R841&lt;&gt;""), R841-K841, "")</f>
        <v/>
      </c>
      <c r="T841" s="78" t="n"/>
      <c r="U841" s="92">
        <f>IF(ISBLANK(P841),"",IF(C841="Buy",Q841-M841+T841, IF(C841="Sell",M841-Q841-T841, X)))</f>
        <v/>
      </c>
      <c r="V841" s="81">
        <f>IF(ISBLANK(P841),"",U841/N841)</f>
        <v/>
      </c>
      <c r="W841" s="81">
        <f>IF(ISBLANK(P841),"",IF(S841=0,(365/0.5)*V841,(365/S841)*V841))</f>
        <v/>
      </c>
      <c r="X841" s="75" t="n"/>
      <c r="Y841" s="77" t="n"/>
      <c r="Z841" s="77" t="n"/>
      <c r="AA841" s="75" t="n"/>
      <c r="AB841" s="75" t="n"/>
      <c r="AC841" s="6" t="n"/>
      <c r="AD841" s="75" t="n"/>
      <c r="AE841" s="75" t="n"/>
      <c r="AF841" s="75" t="n"/>
    </row>
    <row r="842" ht="15.75" customHeight="1" s="133">
      <c r="A842" s="75" t="n"/>
      <c r="B842" s="75" t="n"/>
      <c r="C842" s="75" t="n"/>
      <c r="D842" s="75" t="n"/>
      <c r="E842" s="76" t="n"/>
      <c r="F842" s="77" t="n"/>
      <c r="G842" s="75" t="n"/>
      <c r="H842" s="75">
        <f>IF(ISBLANK(E842),"",IF(OR(D842="Butterfly",D842="Butterfly ",D842="Iron Fly", D842="Iron Fly "),LEN(E842)-LEN(SUBSTITUTE(E842,"/",""))+2,LEN(E842)-LEN(SUBSTITUTE(E842,"/",""))+1))</f>
        <v/>
      </c>
      <c r="I842" s="78">
        <f>IF(ISBLANK(G842),"",IF(D842="Stock","0",Key!$A$3*H842*G842))</f>
        <v/>
      </c>
      <c r="J842" s="78">
        <f>IF(ISBLANK(E842),"",IF(ISNUMBER(SEARCH("/",E842)), IF(LEN(E842)-LEN(SUBSTITUTE(E842,"/",""))=1,(RIGHT(E842,LEN(E842)-FIND("/",E842)))-(LEFT(E842,FIND("/",E842)-1)),(MID(E842, SEARCH("/",E842) + 1, SEARCH("/",E842, SEARCH("/",E842)+1) - SEARCH("/",E842) - 1))-(LEFT(E842,FIND("/",E842)-1))), "NA"))</f>
        <v/>
      </c>
      <c r="K842" s="79">
        <f>IF(A842&lt;&gt;"", IF(ISBLANK(L842), TODAY(), K842), "")</f>
        <v/>
      </c>
      <c r="L842" s="78" t="n"/>
      <c r="M842" s="78">
        <f>IF(ISBLANK(L842),"",IF(D842="Stock",IF(C842="Buy",L842*G842,IF(C842="Sell",(L842*G842)-I842, X)),IF(C842="Buy",(L842*G842*100)+I842,IF(C842="Sell",(L842*G842*100)-I842, X))))</f>
        <v/>
      </c>
      <c r="N842" s="78">
        <f>IF(ISBLANK(L842),"",IF(AND(C842="Sell",D842="Stock"),M842,IF(ISBLANK(L842),"",IF(C842="Buy",M842, IF(AND(C842="Sell",J842="NA"),(E842*G842*100*0.1)+I842, IF(C842="Sell",(J842-L842)*(100*G842)+I842))))))</f>
        <v/>
      </c>
      <c r="O842" s="75" t="n"/>
      <c r="P842" s="75" t="n"/>
      <c r="Q842" s="75">
        <f>IF(ISBLANK(P842),"",IF(D842="Stock",P842*G842,IF(P842=0,"0",G842*P842*100-(G842*$AF$14))))</f>
        <v/>
      </c>
      <c r="R842" s="79">
        <f>IF(P842&lt;&gt;"", TODAY(), "")</f>
        <v/>
      </c>
      <c r="S842" s="78">
        <f>IF(AND(K842&lt;&gt;"", R842&lt;&gt;""), R842-K842, "")</f>
        <v/>
      </c>
      <c r="T842" s="78" t="n"/>
      <c r="U842" s="92">
        <f>IF(ISBLANK(P842),"",IF(C842="Buy",Q842-M842+T842, IF(C842="Sell",M842-Q842-T842, X)))</f>
        <v/>
      </c>
      <c r="V842" s="81">
        <f>IF(ISBLANK(P842),"",U842/N842)</f>
        <v/>
      </c>
      <c r="W842" s="81">
        <f>IF(ISBLANK(P842),"",IF(S842=0,(365/0.5)*V842,(365/S842)*V842))</f>
        <v/>
      </c>
      <c r="X842" s="75" t="n"/>
      <c r="Y842" s="77" t="n"/>
      <c r="Z842" s="77" t="n"/>
      <c r="AA842" s="75" t="n"/>
      <c r="AB842" s="75" t="n"/>
      <c r="AC842" s="6" t="n"/>
      <c r="AD842" s="75" t="n"/>
      <c r="AE842" s="75" t="n"/>
      <c r="AF842" s="75" t="n"/>
    </row>
    <row r="843" ht="15.75" customHeight="1" s="133">
      <c r="A843" s="75" t="n"/>
      <c r="B843" s="75" t="n"/>
      <c r="C843" s="75" t="n"/>
      <c r="D843" s="75" t="n"/>
      <c r="E843" s="76" t="n"/>
      <c r="F843" s="77" t="n"/>
      <c r="G843" s="75" t="n"/>
      <c r="H843" s="75">
        <f>IF(ISBLANK(E843),"",IF(OR(D843="Butterfly",D843="Butterfly ",D843="Iron Fly", D843="Iron Fly "),LEN(E843)-LEN(SUBSTITUTE(E843,"/",""))+2,LEN(E843)-LEN(SUBSTITUTE(E843,"/",""))+1))</f>
        <v/>
      </c>
      <c r="I843" s="78">
        <f>IF(ISBLANK(G843),"",IF(D843="Stock","0",Key!$A$3*H843*G843))</f>
        <v/>
      </c>
      <c r="J843" s="78">
        <f>IF(ISBLANK(E843),"",IF(ISNUMBER(SEARCH("/",E843)), IF(LEN(E843)-LEN(SUBSTITUTE(E843,"/",""))=1,(RIGHT(E843,LEN(E843)-FIND("/",E843)))-(LEFT(E843,FIND("/",E843)-1)),(MID(E843, SEARCH("/",E843) + 1, SEARCH("/",E843, SEARCH("/",E843)+1) - SEARCH("/",E843) - 1))-(LEFT(E843,FIND("/",E843)-1))), "NA"))</f>
        <v/>
      </c>
      <c r="K843" s="79">
        <f>IF(A843&lt;&gt;"", IF(ISBLANK(L843), TODAY(), K843), "")</f>
        <v/>
      </c>
      <c r="L843" s="78" t="n"/>
      <c r="M843" s="78">
        <f>IF(ISBLANK(L843),"",IF(D843="Stock",IF(C843="Buy",L843*G843,IF(C843="Sell",(L843*G843)-I843, X)),IF(C843="Buy",(L843*G843*100)+I843,IF(C843="Sell",(L843*G843*100)-I843, X))))</f>
        <v/>
      </c>
      <c r="N843" s="78">
        <f>IF(ISBLANK(L843),"",IF(AND(C843="Sell",D843="Stock"),M843,IF(ISBLANK(L843),"",IF(C843="Buy",M843, IF(AND(C843="Sell",J843="NA"),(E843*G843*100*0.1)+I843, IF(C843="Sell",(J843-L843)*(100*G843)+I843))))))</f>
        <v/>
      </c>
      <c r="O843" s="75" t="n"/>
      <c r="P843" s="75" t="n"/>
      <c r="Q843" s="75">
        <f>IF(ISBLANK(P843),"",IF(D843="Stock",P843*G843,IF(P843=0,"0",G843*P843*100-(G843*$AF$14))))</f>
        <v/>
      </c>
      <c r="R843" s="79">
        <f>IF(P843&lt;&gt;"", TODAY(), "")</f>
        <v/>
      </c>
      <c r="S843" s="78">
        <f>IF(AND(K843&lt;&gt;"", R843&lt;&gt;""), R843-K843, "")</f>
        <v/>
      </c>
      <c r="T843" s="78" t="n"/>
      <c r="U843" s="92">
        <f>IF(ISBLANK(P843),"",IF(C843="Buy",Q843-M843+T843, IF(C843="Sell",M843-Q843-T843, X)))</f>
        <v/>
      </c>
      <c r="V843" s="81">
        <f>IF(ISBLANK(P843),"",U843/N843)</f>
        <v/>
      </c>
      <c r="W843" s="81">
        <f>IF(ISBLANK(P843),"",IF(S843=0,(365/0.5)*V843,(365/S843)*V843))</f>
        <v/>
      </c>
      <c r="X843" s="75" t="n"/>
      <c r="Y843" s="77" t="n"/>
      <c r="Z843" s="77" t="n"/>
      <c r="AA843" s="75" t="n"/>
      <c r="AB843" s="75" t="n"/>
      <c r="AC843" s="6" t="n"/>
      <c r="AD843" s="75" t="n"/>
      <c r="AE843" s="75" t="n"/>
      <c r="AF843" s="75" t="n"/>
    </row>
    <row r="844" ht="15.75" customHeight="1" s="133">
      <c r="A844" s="75" t="n"/>
      <c r="B844" s="75" t="n"/>
      <c r="C844" s="75" t="n"/>
      <c r="D844" s="75" t="n"/>
      <c r="E844" s="76" t="n"/>
      <c r="F844" s="77" t="n"/>
      <c r="G844" s="75" t="n"/>
      <c r="H844" s="75">
        <f>IF(ISBLANK(E844),"",IF(OR(D844="Butterfly",D844="Butterfly ",D844="Iron Fly", D844="Iron Fly "),LEN(E844)-LEN(SUBSTITUTE(E844,"/",""))+2,LEN(E844)-LEN(SUBSTITUTE(E844,"/",""))+1))</f>
        <v/>
      </c>
      <c r="I844" s="78">
        <f>IF(ISBLANK(G844),"",IF(D844="Stock","0",Key!$A$3*H844*G844))</f>
        <v/>
      </c>
      <c r="J844" s="78">
        <f>IF(ISBLANK(E844),"",IF(ISNUMBER(SEARCH("/",E844)), IF(LEN(E844)-LEN(SUBSTITUTE(E844,"/",""))=1,(RIGHT(E844,LEN(E844)-FIND("/",E844)))-(LEFT(E844,FIND("/",E844)-1)),(MID(E844, SEARCH("/",E844) + 1, SEARCH("/",E844, SEARCH("/",E844)+1) - SEARCH("/",E844) - 1))-(LEFT(E844,FIND("/",E844)-1))), "NA"))</f>
        <v/>
      </c>
      <c r="K844" s="79">
        <f>IF(A844&lt;&gt;"", IF(ISBLANK(L844), TODAY(), K844), "")</f>
        <v/>
      </c>
      <c r="L844" s="78" t="n"/>
      <c r="M844" s="78">
        <f>IF(ISBLANK(L844),"",IF(D844="Stock",IF(C844="Buy",L844*G844,IF(C844="Sell",(L844*G844)-I844, X)),IF(C844="Buy",(L844*G844*100)+I844,IF(C844="Sell",(L844*G844*100)-I844, X))))</f>
        <v/>
      </c>
      <c r="N844" s="78">
        <f>IF(ISBLANK(L844),"",IF(AND(C844="Sell",D844="Stock"),M844,IF(ISBLANK(L844),"",IF(C844="Buy",M844, IF(AND(C844="Sell",J844="NA"),(E844*G844*100*0.1)+I844, IF(C844="Sell",(J844-L844)*(100*G844)+I844))))))</f>
        <v/>
      </c>
      <c r="O844" s="75" t="n"/>
      <c r="P844" s="75" t="n"/>
      <c r="Q844" s="75">
        <f>IF(ISBLANK(P844),"",IF(D844="Stock",P844*G844,IF(P844=0,"0",G844*P844*100-(G844*$AF$14))))</f>
        <v/>
      </c>
      <c r="R844" s="79">
        <f>IF(P844&lt;&gt;"", TODAY(), "")</f>
        <v/>
      </c>
      <c r="S844" s="78">
        <f>IF(AND(K844&lt;&gt;"", R844&lt;&gt;""), R844-K844, "")</f>
        <v/>
      </c>
      <c r="T844" s="78" t="n"/>
      <c r="U844" s="92">
        <f>IF(ISBLANK(P844),"",IF(C844="Buy",Q844-M844+T844, IF(C844="Sell",M844-Q844-T844, X)))</f>
        <v/>
      </c>
      <c r="V844" s="81">
        <f>IF(ISBLANK(P844),"",U844/N844)</f>
        <v/>
      </c>
      <c r="W844" s="81">
        <f>IF(ISBLANK(P844),"",IF(S844=0,(365/0.5)*V844,(365/S844)*V844))</f>
        <v/>
      </c>
      <c r="X844" s="75" t="n"/>
      <c r="Y844" s="77" t="n"/>
      <c r="Z844" s="77" t="n"/>
      <c r="AA844" s="75" t="n"/>
      <c r="AB844" s="75" t="n"/>
      <c r="AC844" s="6" t="n"/>
      <c r="AD844" s="75" t="n"/>
      <c r="AE844" s="75" t="n"/>
      <c r="AF844" s="75" t="n"/>
    </row>
    <row r="845" ht="15.75" customHeight="1" s="133">
      <c r="A845" s="75" t="n"/>
      <c r="B845" s="75" t="n"/>
      <c r="C845" s="75" t="n"/>
      <c r="D845" s="75" t="n"/>
      <c r="E845" s="76" t="n"/>
      <c r="F845" s="77" t="n"/>
      <c r="G845" s="75" t="n"/>
      <c r="H845" s="75">
        <f>IF(ISBLANK(E845),"",IF(OR(D845="Butterfly",D845="Butterfly ",D845="Iron Fly", D845="Iron Fly "),LEN(E845)-LEN(SUBSTITUTE(E845,"/",""))+2,LEN(E845)-LEN(SUBSTITUTE(E845,"/",""))+1))</f>
        <v/>
      </c>
      <c r="I845" s="78">
        <f>IF(ISBLANK(G845),"",IF(D845="Stock","0",Key!$A$3*H845*G845))</f>
        <v/>
      </c>
      <c r="J845" s="78">
        <f>IF(ISBLANK(E845),"",IF(ISNUMBER(SEARCH("/",E845)), IF(LEN(E845)-LEN(SUBSTITUTE(E845,"/",""))=1,(RIGHT(E845,LEN(E845)-FIND("/",E845)))-(LEFT(E845,FIND("/",E845)-1)),(MID(E845, SEARCH("/",E845) + 1, SEARCH("/",E845, SEARCH("/",E845)+1) - SEARCH("/",E845) - 1))-(LEFT(E845,FIND("/",E845)-1))), "NA"))</f>
        <v/>
      </c>
      <c r="K845" s="79">
        <f>IF(A845&lt;&gt;"", IF(ISBLANK(L845), TODAY(), K845), "")</f>
        <v/>
      </c>
      <c r="L845" s="78" t="n"/>
      <c r="M845" s="78">
        <f>IF(ISBLANK(L845),"",IF(D845="Stock",IF(C845="Buy",L845*G845,IF(C845="Sell",(L845*G845)-I845, X)),IF(C845="Buy",(L845*G845*100)+I845,IF(C845="Sell",(L845*G845*100)-I845, X))))</f>
        <v/>
      </c>
      <c r="N845" s="78">
        <f>IF(ISBLANK(L845),"",IF(AND(C845="Sell",D845="Stock"),M845,IF(ISBLANK(L845),"",IF(C845="Buy",M845, IF(AND(C845="Sell",J845="NA"),(E845*G845*100*0.1)+I845, IF(C845="Sell",(J845-L845)*(100*G845)+I845))))))</f>
        <v/>
      </c>
      <c r="O845" s="75" t="n"/>
      <c r="P845" s="75" t="n"/>
      <c r="Q845" s="75">
        <f>IF(ISBLANK(P845),"",IF(D845="Stock",P845*G845,IF(P845=0,"0",G845*P845*100-(G845*$AF$14))))</f>
        <v/>
      </c>
      <c r="R845" s="79">
        <f>IF(P845&lt;&gt;"", TODAY(), "")</f>
        <v/>
      </c>
      <c r="S845" s="78">
        <f>IF(AND(K845&lt;&gt;"", R845&lt;&gt;""), R845-K845, "")</f>
        <v/>
      </c>
      <c r="T845" s="78" t="n"/>
      <c r="U845" s="92">
        <f>IF(ISBLANK(P845),"",IF(C845="Buy",Q845-M845+T845, IF(C845="Sell",M845-Q845-T845, X)))</f>
        <v/>
      </c>
      <c r="V845" s="81">
        <f>IF(ISBLANK(P845),"",U845/N845)</f>
        <v/>
      </c>
      <c r="W845" s="81">
        <f>IF(ISBLANK(P845),"",IF(S845=0,(365/0.5)*V845,(365/S845)*V845))</f>
        <v/>
      </c>
      <c r="X845" s="75" t="n"/>
      <c r="Y845" s="77" t="n"/>
      <c r="Z845" s="77" t="n"/>
      <c r="AA845" s="75" t="n"/>
      <c r="AB845" s="75" t="n"/>
      <c r="AC845" s="6" t="n"/>
      <c r="AD845" s="75" t="n"/>
      <c r="AE845" s="75" t="n"/>
      <c r="AF845" s="75" t="n"/>
    </row>
    <row r="846" ht="15.75" customHeight="1" s="133">
      <c r="A846" s="75" t="n"/>
      <c r="B846" s="75" t="n"/>
      <c r="C846" s="75" t="n"/>
      <c r="D846" s="75" t="n"/>
      <c r="E846" s="76" t="n"/>
      <c r="F846" s="77" t="n"/>
      <c r="G846" s="75" t="n"/>
      <c r="H846" s="75">
        <f>IF(ISBLANK(E846),"",IF(OR(D846="Butterfly",D846="Butterfly ",D846="Iron Fly", D846="Iron Fly "),LEN(E846)-LEN(SUBSTITUTE(E846,"/",""))+2,LEN(E846)-LEN(SUBSTITUTE(E846,"/",""))+1))</f>
        <v/>
      </c>
      <c r="I846" s="78">
        <f>IF(ISBLANK(G846),"",IF(D846="Stock","0",Key!$A$3*H846*G846))</f>
        <v/>
      </c>
      <c r="J846" s="78">
        <f>IF(ISBLANK(E846),"",IF(ISNUMBER(SEARCH("/",E846)), IF(LEN(E846)-LEN(SUBSTITUTE(E846,"/",""))=1,(RIGHT(E846,LEN(E846)-FIND("/",E846)))-(LEFT(E846,FIND("/",E846)-1)),(MID(E846, SEARCH("/",E846) + 1, SEARCH("/",E846, SEARCH("/",E846)+1) - SEARCH("/",E846) - 1))-(LEFT(E846,FIND("/",E846)-1))), "NA"))</f>
        <v/>
      </c>
      <c r="K846" s="79">
        <f>IF(A846&lt;&gt;"", IF(ISBLANK(L846), TODAY(), K846), "")</f>
        <v/>
      </c>
      <c r="L846" s="78" t="n"/>
      <c r="M846" s="78">
        <f>IF(ISBLANK(L846),"",IF(D846="Stock",IF(C846="Buy",L846*G846,IF(C846="Sell",(L846*G846)-I846, X)),IF(C846="Buy",(L846*G846*100)+I846,IF(C846="Sell",(L846*G846*100)-I846, X))))</f>
        <v/>
      </c>
      <c r="N846" s="78">
        <f>IF(ISBLANK(L846),"",IF(AND(C846="Sell",D846="Stock"),M846,IF(ISBLANK(L846),"",IF(C846="Buy",M846, IF(AND(C846="Sell",J846="NA"),(E846*G846*100*0.1)+I846, IF(C846="Sell",(J846-L846)*(100*G846)+I846))))))</f>
        <v/>
      </c>
      <c r="O846" s="75" t="n"/>
      <c r="P846" s="75" t="n"/>
      <c r="Q846" s="75">
        <f>IF(ISBLANK(P846),"",IF(D846="Stock",P846*G846,IF(P846=0,"0",G846*P846*100-(G846*$AF$14))))</f>
        <v/>
      </c>
      <c r="R846" s="79">
        <f>IF(P846&lt;&gt;"", TODAY(), "")</f>
        <v/>
      </c>
      <c r="S846" s="78">
        <f>IF(AND(K846&lt;&gt;"", R846&lt;&gt;""), R846-K846, "")</f>
        <v/>
      </c>
      <c r="T846" s="78" t="n"/>
      <c r="U846" s="92">
        <f>IF(ISBLANK(P846),"",IF(C846="Buy",Q846-M846+T846, IF(C846="Sell",M846-Q846-T846, X)))</f>
        <v/>
      </c>
      <c r="V846" s="81">
        <f>IF(ISBLANK(P846),"",U846/N846)</f>
        <v/>
      </c>
      <c r="W846" s="81">
        <f>IF(ISBLANK(P846),"",IF(S846=0,(365/0.5)*V846,(365/S846)*V846))</f>
        <v/>
      </c>
      <c r="X846" s="75" t="n"/>
      <c r="Y846" s="77" t="n"/>
      <c r="Z846" s="77" t="n"/>
      <c r="AA846" s="75" t="n"/>
      <c r="AB846" s="75" t="n"/>
      <c r="AC846" s="6" t="n"/>
      <c r="AD846" s="75" t="n"/>
      <c r="AE846" s="75" t="n"/>
      <c r="AF846" s="75" t="n"/>
    </row>
    <row r="847" ht="15.75" customHeight="1" s="133">
      <c r="A847" s="75" t="n"/>
      <c r="B847" s="75" t="n"/>
      <c r="C847" s="75" t="n"/>
      <c r="D847" s="75" t="n"/>
      <c r="E847" s="76" t="n"/>
      <c r="F847" s="77" t="n"/>
      <c r="G847" s="75" t="n"/>
      <c r="H847" s="75">
        <f>IF(ISBLANK(E847),"",IF(OR(D847="Butterfly",D847="Butterfly ",D847="Iron Fly", D847="Iron Fly "),LEN(E847)-LEN(SUBSTITUTE(E847,"/",""))+2,LEN(E847)-LEN(SUBSTITUTE(E847,"/",""))+1))</f>
        <v/>
      </c>
      <c r="I847" s="78">
        <f>IF(ISBLANK(G847),"",IF(D847="Stock","0",Key!$A$3*H847*G847))</f>
        <v/>
      </c>
      <c r="J847" s="78">
        <f>IF(ISBLANK(E847),"",IF(ISNUMBER(SEARCH("/",E847)), IF(LEN(E847)-LEN(SUBSTITUTE(E847,"/",""))=1,(RIGHT(E847,LEN(E847)-FIND("/",E847)))-(LEFT(E847,FIND("/",E847)-1)),(MID(E847, SEARCH("/",E847) + 1, SEARCH("/",E847, SEARCH("/",E847)+1) - SEARCH("/",E847) - 1))-(LEFT(E847,FIND("/",E847)-1))), "NA"))</f>
        <v/>
      </c>
      <c r="K847" s="79">
        <f>IF(A847&lt;&gt;"", IF(ISBLANK(L847), TODAY(), K847), "")</f>
        <v/>
      </c>
      <c r="L847" s="78" t="n"/>
      <c r="M847" s="78">
        <f>IF(ISBLANK(L847),"",IF(D847="Stock",IF(C847="Buy",L847*G847,IF(C847="Sell",(L847*G847)-I847, X)),IF(C847="Buy",(L847*G847*100)+I847,IF(C847="Sell",(L847*G847*100)-I847, X))))</f>
        <v/>
      </c>
      <c r="N847" s="78">
        <f>IF(ISBLANK(L847),"",IF(AND(C847="Sell",D847="Stock"),M847,IF(ISBLANK(L847),"",IF(C847="Buy",M847, IF(AND(C847="Sell",J847="NA"),(E847*G847*100*0.1)+I847, IF(C847="Sell",(J847-L847)*(100*G847)+I847))))))</f>
        <v/>
      </c>
      <c r="O847" s="75" t="n"/>
      <c r="P847" s="75" t="n"/>
      <c r="Q847" s="75">
        <f>IF(ISBLANK(P847),"",IF(D847="Stock",P847*G847,IF(P847=0,"0",G847*P847*100-(G847*$AF$14))))</f>
        <v/>
      </c>
      <c r="R847" s="79">
        <f>IF(P847&lt;&gt;"", TODAY(), "")</f>
        <v/>
      </c>
      <c r="S847" s="78">
        <f>IF(AND(K847&lt;&gt;"", R847&lt;&gt;""), R847-K847, "")</f>
        <v/>
      </c>
      <c r="T847" s="78" t="n"/>
      <c r="U847" s="92">
        <f>IF(ISBLANK(P847),"",IF(C847="Buy",Q847-M847+T847, IF(C847="Sell",M847-Q847-T847, X)))</f>
        <v/>
      </c>
      <c r="V847" s="81">
        <f>IF(ISBLANK(P847),"",U847/N847)</f>
        <v/>
      </c>
      <c r="W847" s="81">
        <f>IF(ISBLANK(P847),"",IF(S847=0,(365/0.5)*V847,(365/S847)*V847))</f>
        <v/>
      </c>
      <c r="X847" s="75" t="n"/>
      <c r="Y847" s="77" t="n"/>
      <c r="Z847" s="77" t="n"/>
      <c r="AA847" s="75" t="n"/>
      <c r="AB847" s="75" t="n"/>
      <c r="AC847" s="6" t="n"/>
      <c r="AD847" s="75" t="n"/>
      <c r="AE847" s="75" t="n"/>
      <c r="AF847" s="75" t="n"/>
    </row>
    <row r="848" ht="15.75" customHeight="1" s="133">
      <c r="A848" s="75" t="n"/>
      <c r="B848" s="75" t="n"/>
      <c r="C848" s="75" t="n"/>
      <c r="D848" s="75" t="n"/>
      <c r="E848" s="76" t="n"/>
      <c r="F848" s="77" t="n"/>
      <c r="G848" s="75" t="n"/>
      <c r="H848" s="75">
        <f>IF(ISBLANK(E848),"",IF(OR(D848="Butterfly",D848="Butterfly ",D848="Iron Fly", D848="Iron Fly "),LEN(E848)-LEN(SUBSTITUTE(E848,"/",""))+2,LEN(E848)-LEN(SUBSTITUTE(E848,"/",""))+1))</f>
        <v/>
      </c>
      <c r="I848" s="78">
        <f>IF(ISBLANK(G848),"",IF(D848="Stock","0",Key!$A$3*H848*G848))</f>
        <v/>
      </c>
      <c r="J848" s="78">
        <f>IF(ISBLANK(E848),"",IF(ISNUMBER(SEARCH("/",E848)), IF(LEN(E848)-LEN(SUBSTITUTE(E848,"/",""))=1,(RIGHT(E848,LEN(E848)-FIND("/",E848)))-(LEFT(E848,FIND("/",E848)-1)),(MID(E848, SEARCH("/",E848) + 1, SEARCH("/",E848, SEARCH("/",E848)+1) - SEARCH("/",E848) - 1))-(LEFT(E848,FIND("/",E848)-1))), "NA"))</f>
        <v/>
      </c>
      <c r="K848" s="79">
        <f>IF(A848&lt;&gt;"", IF(ISBLANK(L848), TODAY(), K848), "")</f>
        <v/>
      </c>
      <c r="L848" s="78" t="n"/>
      <c r="M848" s="78">
        <f>IF(ISBLANK(L848),"",IF(D848="Stock",IF(C848="Buy",L848*G848,IF(C848="Sell",(L848*G848)-I848, X)),IF(C848="Buy",(L848*G848*100)+I848,IF(C848="Sell",(L848*G848*100)-I848, X))))</f>
        <v/>
      </c>
      <c r="N848" s="78">
        <f>IF(ISBLANK(L848),"",IF(AND(C848="Sell",D848="Stock"),M848,IF(ISBLANK(L848),"",IF(C848="Buy",M848, IF(AND(C848="Sell",J848="NA"),(E848*G848*100*0.1)+I848, IF(C848="Sell",(J848-L848)*(100*G848)+I848))))))</f>
        <v/>
      </c>
      <c r="O848" s="75" t="n"/>
      <c r="P848" s="75" t="n"/>
      <c r="Q848" s="75">
        <f>IF(ISBLANK(P848),"",IF(D848="Stock",P848*G848,IF(P848=0,"0",G848*P848*100-(G848*$AF$14))))</f>
        <v/>
      </c>
      <c r="R848" s="79">
        <f>IF(P848&lt;&gt;"", TODAY(), "")</f>
        <v/>
      </c>
      <c r="S848" s="78">
        <f>IF(AND(K848&lt;&gt;"", R848&lt;&gt;""), R848-K848, "")</f>
        <v/>
      </c>
      <c r="T848" s="78" t="n"/>
      <c r="U848" s="92">
        <f>IF(ISBLANK(P848),"",IF(C848="Buy",Q848-M848+T848, IF(C848="Sell",M848-Q848-T848, X)))</f>
        <v/>
      </c>
      <c r="V848" s="81">
        <f>IF(ISBLANK(P848),"",U848/N848)</f>
        <v/>
      </c>
      <c r="W848" s="81">
        <f>IF(ISBLANK(P848),"",IF(S848=0,(365/0.5)*V848,(365/S848)*V848))</f>
        <v/>
      </c>
      <c r="X848" s="75" t="n"/>
      <c r="Y848" s="77" t="n"/>
      <c r="Z848" s="77" t="n"/>
      <c r="AA848" s="75" t="n"/>
      <c r="AB848" s="75" t="n"/>
      <c r="AC848" s="6" t="n"/>
      <c r="AD848" s="75" t="n"/>
      <c r="AE848" s="75" t="n"/>
      <c r="AF848" s="75" t="n"/>
    </row>
    <row r="849" ht="15.75" customHeight="1" s="133">
      <c r="A849" s="75" t="n"/>
      <c r="B849" s="75" t="n"/>
      <c r="C849" s="75" t="n"/>
      <c r="D849" s="75" t="n"/>
      <c r="E849" s="76" t="n"/>
      <c r="F849" s="77" t="n"/>
      <c r="G849" s="75" t="n"/>
      <c r="H849" s="75">
        <f>IF(ISBLANK(E849),"",IF(OR(D849="Butterfly",D849="Butterfly ",D849="Iron Fly", D849="Iron Fly "),LEN(E849)-LEN(SUBSTITUTE(E849,"/",""))+2,LEN(E849)-LEN(SUBSTITUTE(E849,"/",""))+1))</f>
        <v/>
      </c>
      <c r="I849" s="78">
        <f>IF(ISBLANK(G849),"",IF(D849="Stock","0",Key!$A$3*H849*G849))</f>
        <v/>
      </c>
      <c r="J849" s="78">
        <f>IF(ISBLANK(E849),"",IF(ISNUMBER(SEARCH("/",E849)), IF(LEN(E849)-LEN(SUBSTITUTE(E849,"/",""))=1,(RIGHT(E849,LEN(E849)-FIND("/",E849)))-(LEFT(E849,FIND("/",E849)-1)),(MID(E849, SEARCH("/",E849) + 1, SEARCH("/",E849, SEARCH("/",E849)+1) - SEARCH("/",E849) - 1))-(LEFT(E849,FIND("/",E849)-1))), "NA"))</f>
        <v/>
      </c>
      <c r="K849" s="79">
        <f>IF(A849&lt;&gt;"", IF(ISBLANK(L849), TODAY(), K849), "")</f>
        <v/>
      </c>
      <c r="L849" s="78" t="n"/>
      <c r="M849" s="78">
        <f>IF(ISBLANK(L849),"",IF(D849="Stock",IF(C849="Buy",L849*G849,IF(C849="Sell",(L849*G849)-I849, X)),IF(C849="Buy",(L849*G849*100)+I849,IF(C849="Sell",(L849*G849*100)-I849, X))))</f>
        <v/>
      </c>
      <c r="N849" s="78">
        <f>IF(ISBLANK(L849),"",IF(AND(C849="Sell",D849="Stock"),M849,IF(ISBLANK(L849),"",IF(C849="Buy",M849, IF(AND(C849="Sell",J849="NA"),(E849*G849*100*0.1)+I849, IF(C849="Sell",(J849-L849)*(100*G849)+I849))))))</f>
        <v/>
      </c>
      <c r="O849" s="75" t="n"/>
      <c r="P849" s="75" t="n"/>
      <c r="Q849" s="75">
        <f>IF(ISBLANK(P849),"",IF(D849="Stock",P849*G849,IF(P849=0,"0",G849*P849*100-(G849*$AF$14))))</f>
        <v/>
      </c>
      <c r="R849" s="79">
        <f>IF(P849&lt;&gt;"", TODAY(), "")</f>
        <v/>
      </c>
      <c r="S849" s="78">
        <f>IF(AND(K849&lt;&gt;"", R849&lt;&gt;""), R849-K849, "")</f>
        <v/>
      </c>
      <c r="T849" s="78" t="n"/>
      <c r="U849" s="92">
        <f>IF(ISBLANK(P849),"",IF(C849="Buy",Q849-M849+T849, IF(C849="Sell",M849-Q849-T849, X)))</f>
        <v/>
      </c>
      <c r="V849" s="81">
        <f>IF(ISBLANK(P849),"",U849/N849)</f>
        <v/>
      </c>
      <c r="W849" s="81">
        <f>IF(ISBLANK(P849),"",IF(S849=0,(365/0.5)*V849,(365/S849)*V849))</f>
        <v/>
      </c>
      <c r="X849" s="75" t="n"/>
      <c r="Y849" s="77" t="n"/>
      <c r="Z849" s="77" t="n"/>
      <c r="AA849" s="75" t="n"/>
      <c r="AB849" s="75" t="n"/>
      <c r="AC849" s="6" t="n"/>
      <c r="AD849" s="75" t="n"/>
      <c r="AE849" s="75" t="n"/>
      <c r="AF849" s="75" t="n"/>
    </row>
    <row r="850" ht="15.75" customHeight="1" s="133">
      <c r="A850" s="75" t="n"/>
      <c r="B850" s="75" t="n"/>
      <c r="C850" s="75" t="n"/>
      <c r="D850" s="75" t="n"/>
      <c r="E850" s="76" t="n"/>
      <c r="F850" s="77" t="n"/>
      <c r="G850" s="75" t="n"/>
      <c r="H850" s="75">
        <f>IF(ISBLANK(E850),"",IF(OR(D850="Butterfly",D850="Butterfly ",D850="Iron Fly", D850="Iron Fly "),LEN(E850)-LEN(SUBSTITUTE(E850,"/",""))+2,LEN(E850)-LEN(SUBSTITUTE(E850,"/",""))+1))</f>
        <v/>
      </c>
      <c r="I850" s="78">
        <f>IF(ISBLANK(G850),"",IF(D850="Stock","0",Key!$A$3*H850*G850))</f>
        <v/>
      </c>
      <c r="J850" s="78">
        <f>IF(ISBLANK(E850),"",IF(ISNUMBER(SEARCH("/",E850)), IF(LEN(E850)-LEN(SUBSTITUTE(E850,"/",""))=1,(RIGHT(E850,LEN(E850)-FIND("/",E850)))-(LEFT(E850,FIND("/",E850)-1)),(MID(E850, SEARCH("/",E850) + 1, SEARCH("/",E850, SEARCH("/",E850)+1) - SEARCH("/",E850) - 1))-(LEFT(E850,FIND("/",E850)-1))), "NA"))</f>
        <v/>
      </c>
      <c r="K850" s="79">
        <f>IF(A850&lt;&gt;"", IF(ISBLANK(L850), TODAY(), K850), "")</f>
        <v/>
      </c>
      <c r="L850" s="78" t="n"/>
      <c r="M850" s="78">
        <f>IF(ISBLANK(L850),"",IF(D850="Stock",IF(C850="Buy",L850*G850,IF(C850="Sell",(L850*G850)-I850, X)),IF(C850="Buy",(L850*G850*100)+I850,IF(C850="Sell",(L850*G850*100)-I850, X))))</f>
        <v/>
      </c>
      <c r="N850" s="78">
        <f>IF(ISBLANK(L850),"",IF(AND(C850="Sell",D850="Stock"),M850,IF(ISBLANK(L850),"",IF(C850="Buy",M850, IF(AND(C850="Sell",J850="NA"),(E850*G850*100*0.1)+I850, IF(C850="Sell",(J850-L850)*(100*G850)+I850))))))</f>
        <v/>
      </c>
      <c r="O850" s="75" t="n"/>
      <c r="P850" s="75" t="n"/>
      <c r="Q850" s="75">
        <f>IF(ISBLANK(P850),"",IF(D850="Stock",P850*G850,IF(P850=0,"0",G850*P850*100-(G850*$AF$14))))</f>
        <v/>
      </c>
      <c r="R850" s="79">
        <f>IF(P850&lt;&gt;"", TODAY(), "")</f>
        <v/>
      </c>
      <c r="S850" s="78">
        <f>IF(AND(K850&lt;&gt;"", R850&lt;&gt;""), R850-K850, "")</f>
        <v/>
      </c>
      <c r="T850" s="78" t="n"/>
      <c r="U850" s="92">
        <f>IF(ISBLANK(P850),"",IF(C850="Buy",Q850-M850+T850, IF(C850="Sell",M850-Q850-T850, X)))</f>
        <v/>
      </c>
      <c r="V850" s="81">
        <f>IF(ISBLANK(P850),"",U850/N850)</f>
        <v/>
      </c>
      <c r="W850" s="81">
        <f>IF(ISBLANK(P850),"",IF(S850=0,(365/0.5)*V850,(365/S850)*V850))</f>
        <v/>
      </c>
      <c r="X850" s="75" t="n"/>
      <c r="Y850" s="77" t="n"/>
      <c r="Z850" s="77" t="n"/>
      <c r="AA850" s="75" t="n"/>
      <c r="AB850" s="75" t="n"/>
      <c r="AC850" s="6" t="n"/>
      <c r="AD850" s="75" t="n"/>
      <c r="AE850" s="75" t="n"/>
      <c r="AF850" s="75" t="n"/>
    </row>
    <row r="851" ht="15.75" customHeight="1" s="133">
      <c r="A851" s="75" t="n"/>
      <c r="B851" s="75" t="n"/>
      <c r="C851" s="75" t="n"/>
      <c r="D851" s="75" t="n"/>
      <c r="E851" s="76" t="n"/>
      <c r="F851" s="77" t="n"/>
      <c r="G851" s="75" t="n"/>
      <c r="H851" s="75">
        <f>IF(ISBLANK(E851),"",IF(OR(D851="Butterfly",D851="Butterfly ",D851="Iron Fly", D851="Iron Fly "),LEN(E851)-LEN(SUBSTITUTE(E851,"/",""))+2,LEN(E851)-LEN(SUBSTITUTE(E851,"/",""))+1))</f>
        <v/>
      </c>
      <c r="I851" s="78">
        <f>IF(ISBLANK(G851),"",IF(D851="Stock","0",Key!$A$3*H851*G851))</f>
        <v/>
      </c>
      <c r="J851" s="78">
        <f>IF(ISBLANK(E851),"",IF(ISNUMBER(SEARCH("/",E851)), IF(LEN(E851)-LEN(SUBSTITUTE(E851,"/",""))=1,(RIGHT(E851,LEN(E851)-FIND("/",E851)))-(LEFT(E851,FIND("/",E851)-1)),(MID(E851, SEARCH("/",E851) + 1, SEARCH("/",E851, SEARCH("/",E851)+1) - SEARCH("/",E851) - 1))-(LEFT(E851,FIND("/",E851)-1))), "NA"))</f>
        <v/>
      </c>
      <c r="K851" s="79">
        <f>IF(A851&lt;&gt;"", IF(ISBLANK(L851), TODAY(), K851), "")</f>
        <v/>
      </c>
      <c r="L851" s="78" t="n"/>
      <c r="M851" s="78">
        <f>IF(ISBLANK(L851),"",IF(D851="Stock",IF(C851="Buy",L851*G851,IF(C851="Sell",(L851*G851)-I851, X)),IF(C851="Buy",(L851*G851*100)+I851,IF(C851="Sell",(L851*G851*100)-I851, X))))</f>
        <v/>
      </c>
      <c r="N851" s="78">
        <f>IF(ISBLANK(L851),"",IF(AND(C851="Sell",D851="Stock"),M851,IF(ISBLANK(L851),"",IF(C851="Buy",M851, IF(AND(C851="Sell",J851="NA"),(E851*G851*100*0.1)+I851, IF(C851="Sell",(J851-L851)*(100*G851)+I851))))))</f>
        <v/>
      </c>
      <c r="O851" s="75" t="n"/>
      <c r="P851" s="75" t="n"/>
      <c r="Q851" s="75">
        <f>IF(ISBLANK(P851),"",IF(D851="Stock",P851*G851,IF(P851=0,"0",G851*P851*100-(G851*$AF$14))))</f>
        <v/>
      </c>
      <c r="R851" s="79">
        <f>IF(P851&lt;&gt;"", TODAY(), "")</f>
        <v/>
      </c>
      <c r="S851" s="78">
        <f>IF(AND(K851&lt;&gt;"", R851&lt;&gt;""), R851-K851, "")</f>
        <v/>
      </c>
      <c r="T851" s="78" t="n"/>
      <c r="U851" s="92">
        <f>IF(ISBLANK(P851),"",IF(C851="Buy",Q851-M851+T851, IF(C851="Sell",M851-Q851-T851, X)))</f>
        <v/>
      </c>
      <c r="V851" s="81">
        <f>IF(ISBLANK(P851),"",U851/N851)</f>
        <v/>
      </c>
      <c r="W851" s="81">
        <f>IF(ISBLANK(P851),"",IF(S851=0,(365/0.5)*V851,(365/S851)*V851))</f>
        <v/>
      </c>
      <c r="X851" s="75" t="n"/>
      <c r="Y851" s="77" t="n"/>
      <c r="Z851" s="77" t="n"/>
      <c r="AA851" s="75" t="n"/>
      <c r="AB851" s="75" t="n"/>
      <c r="AC851" s="6" t="n"/>
      <c r="AD851" s="75" t="n"/>
      <c r="AE851" s="75" t="n"/>
      <c r="AF851" s="75" t="n"/>
    </row>
    <row r="852" ht="15.75" customHeight="1" s="133">
      <c r="A852" s="75" t="n"/>
      <c r="B852" s="75" t="n"/>
      <c r="C852" s="75" t="n"/>
      <c r="D852" s="75" t="n"/>
      <c r="E852" s="76" t="n"/>
      <c r="F852" s="77" t="n"/>
      <c r="G852" s="75" t="n"/>
      <c r="H852" s="75">
        <f>IF(ISBLANK(E852),"",IF(OR(D852="Butterfly",D852="Butterfly ",D852="Iron Fly", D852="Iron Fly "),LEN(E852)-LEN(SUBSTITUTE(E852,"/",""))+2,LEN(E852)-LEN(SUBSTITUTE(E852,"/",""))+1))</f>
        <v/>
      </c>
      <c r="I852" s="78">
        <f>IF(ISBLANK(G852),"",IF(D852="Stock","0",Key!$A$3*H852*G852))</f>
        <v/>
      </c>
      <c r="J852" s="78">
        <f>IF(ISBLANK(E852),"",IF(ISNUMBER(SEARCH("/",E852)), IF(LEN(E852)-LEN(SUBSTITUTE(E852,"/",""))=1,(RIGHT(E852,LEN(E852)-FIND("/",E852)))-(LEFT(E852,FIND("/",E852)-1)),(MID(E852, SEARCH("/",E852) + 1, SEARCH("/",E852, SEARCH("/",E852)+1) - SEARCH("/",E852) - 1))-(LEFT(E852,FIND("/",E852)-1))), "NA"))</f>
        <v/>
      </c>
      <c r="K852" s="79">
        <f>IF(A852&lt;&gt;"", IF(ISBLANK(L852), TODAY(), K852), "")</f>
        <v/>
      </c>
      <c r="L852" s="78" t="n"/>
      <c r="M852" s="78">
        <f>IF(ISBLANK(L852),"",IF(D852="Stock",IF(C852="Buy",L852*G852,IF(C852="Sell",(L852*G852)-I852, X)),IF(C852="Buy",(L852*G852*100)+I852,IF(C852="Sell",(L852*G852*100)-I852, X))))</f>
        <v/>
      </c>
      <c r="N852" s="78">
        <f>IF(ISBLANK(L852),"",IF(AND(C852="Sell",D852="Stock"),M852,IF(ISBLANK(L852),"",IF(C852="Buy",M852, IF(AND(C852="Sell",J852="NA"),(E852*G852*100*0.1)+I852, IF(C852="Sell",(J852-L852)*(100*G852)+I852))))))</f>
        <v/>
      </c>
      <c r="O852" s="75" t="n"/>
      <c r="P852" s="75" t="n"/>
      <c r="Q852" s="75">
        <f>IF(ISBLANK(P852),"",IF(D852="Stock",P852*G852,IF(P852=0,"0",G852*P852*100-(G852*$AF$14))))</f>
        <v/>
      </c>
      <c r="R852" s="79">
        <f>IF(P852&lt;&gt;"", TODAY(), "")</f>
        <v/>
      </c>
      <c r="S852" s="78">
        <f>IF(AND(K852&lt;&gt;"", R852&lt;&gt;""), R852-K852, "")</f>
        <v/>
      </c>
      <c r="T852" s="78" t="n"/>
      <c r="U852" s="92">
        <f>IF(ISBLANK(P852),"",IF(C852="Buy",Q852-M852+T852, IF(C852="Sell",M852-Q852-T852, X)))</f>
        <v/>
      </c>
      <c r="V852" s="81">
        <f>IF(ISBLANK(P852),"",U852/N852)</f>
        <v/>
      </c>
      <c r="W852" s="81">
        <f>IF(ISBLANK(P852),"",IF(S852=0,(365/0.5)*V852,(365/S852)*V852))</f>
        <v/>
      </c>
      <c r="X852" s="75" t="n"/>
      <c r="Y852" s="77" t="n"/>
      <c r="Z852" s="77" t="n"/>
      <c r="AA852" s="75" t="n"/>
      <c r="AB852" s="75" t="n"/>
      <c r="AC852" s="6" t="n"/>
      <c r="AD852" s="75" t="n"/>
      <c r="AE852" s="75" t="n"/>
      <c r="AF852" s="75" t="n"/>
    </row>
    <row r="853" ht="15.75" customHeight="1" s="133">
      <c r="A853" s="75" t="n"/>
      <c r="B853" s="75" t="n"/>
      <c r="C853" s="75" t="n"/>
      <c r="D853" s="75" t="n"/>
      <c r="E853" s="76" t="n"/>
      <c r="F853" s="77" t="n"/>
      <c r="G853" s="75" t="n"/>
      <c r="H853" s="75">
        <f>IF(ISBLANK(E853),"",IF(OR(D853="Butterfly",D853="Butterfly ",D853="Iron Fly", D853="Iron Fly "),LEN(E853)-LEN(SUBSTITUTE(E853,"/",""))+2,LEN(E853)-LEN(SUBSTITUTE(E853,"/",""))+1))</f>
        <v/>
      </c>
      <c r="I853" s="78">
        <f>IF(ISBLANK(G853),"",IF(D853="Stock","0",Key!$A$3*H853*G853))</f>
        <v/>
      </c>
      <c r="J853" s="78">
        <f>IF(ISBLANK(E853),"",IF(ISNUMBER(SEARCH("/",E853)), IF(LEN(E853)-LEN(SUBSTITUTE(E853,"/",""))=1,(RIGHT(E853,LEN(E853)-FIND("/",E853)))-(LEFT(E853,FIND("/",E853)-1)),(MID(E853, SEARCH("/",E853) + 1, SEARCH("/",E853, SEARCH("/",E853)+1) - SEARCH("/",E853) - 1))-(LEFT(E853,FIND("/",E853)-1))), "NA"))</f>
        <v/>
      </c>
      <c r="K853" s="79">
        <f>IF(A853&lt;&gt;"", IF(ISBLANK(L853), TODAY(), K853), "")</f>
        <v/>
      </c>
      <c r="L853" s="78" t="n"/>
      <c r="M853" s="78">
        <f>IF(ISBLANK(L853),"",IF(D853="Stock",IF(C853="Buy",L853*G853,IF(C853="Sell",(L853*G853)-I853, X)),IF(C853="Buy",(L853*G853*100)+I853,IF(C853="Sell",(L853*G853*100)-I853, X))))</f>
        <v/>
      </c>
      <c r="N853" s="78">
        <f>IF(ISBLANK(L853),"",IF(AND(C853="Sell",D853="Stock"),M853,IF(ISBLANK(L853),"",IF(C853="Buy",M853, IF(AND(C853="Sell",J853="NA"),(E853*G853*100*0.1)+I853, IF(C853="Sell",(J853-L853)*(100*G853)+I853))))))</f>
        <v/>
      </c>
      <c r="O853" s="75" t="n"/>
      <c r="P853" s="75" t="n"/>
      <c r="Q853" s="75">
        <f>IF(ISBLANK(P853),"",IF(D853="Stock",P853*G853,IF(P853=0,"0",G853*P853*100-(G853*$AF$14))))</f>
        <v/>
      </c>
      <c r="R853" s="79">
        <f>IF(P853&lt;&gt;"", TODAY(), "")</f>
        <v/>
      </c>
      <c r="S853" s="78">
        <f>IF(AND(K853&lt;&gt;"", R853&lt;&gt;""), R853-K853, "")</f>
        <v/>
      </c>
      <c r="T853" s="78" t="n"/>
      <c r="U853" s="92">
        <f>IF(ISBLANK(P853),"",IF(C853="Buy",Q853-M853+T853, IF(C853="Sell",M853-Q853-T853, X)))</f>
        <v/>
      </c>
      <c r="V853" s="81">
        <f>IF(ISBLANK(P853),"",U853/N853)</f>
        <v/>
      </c>
      <c r="W853" s="81">
        <f>IF(ISBLANK(P853),"",IF(S853=0,(365/0.5)*V853,(365/S853)*V853))</f>
        <v/>
      </c>
      <c r="X853" s="75" t="n"/>
      <c r="Y853" s="77" t="n"/>
      <c r="Z853" s="77" t="n"/>
      <c r="AA853" s="75" t="n"/>
      <c r="AB853" s="75" t="n"/>
      <c r="AC853" s="6" t="n"/>
      <c r="AD853" s="75" t="n"/>
      <c r="AE853" s="75" t="n"/>
      <c r="AF853" s="75" t="n"/>
    </row>
    <row r="854" ht="15.75" customHeight="1" s="133">
      <c r="A854" s="75" t="n"/>
      <c r="B854" s="75" t="n"/>
      <c r="C854" s="75" t="n"/>
      <c r="D854" s="75" t="n"/>
      <c r="E854" s="76" t="n"/>
      <c r="F854" s="77" t="n"/>
      <c r="G854" s="75" t="n"/>
      <c r="H854" s="75">
        <f>IF(ISBLANK(E854),"",IF(OR(D854="Butterfly",D854="Butterfly ",D854="Iron Fly", D854="Iron Fly "),LEN(E854)-LEN(SUBSTITUTE(E854,"/",""))+2,LEN(E854)-LEN(SUBSTITUTE(E854,"/",""))+1))</f>
        <v/>
      </c>
      <c r="I854" s="78">
        <f>IF(ISBLANK(G854),"",IF(D854="Stock","0",Key!$A$3*H854*G854))</f>
        <v/>
      </c>
      <c r="J854" s="78">
        <f>IF(ISBLANK(E854),"",IF(ISNUMBER(SEARCH("/",E854)), IF(LEN(E854)-LEN(SUBSTITUTE(E854,"/",""))=1,(RIGHT(E854,LEN(E854)-FIND("/",E854)))-(LEFT(E854,FIND("/",E854)-1)),(MID(E854, SEARCH("/",E854) + 1, SEARCH("/",E854, SEARCH("/",E854)+1) - SEARCH("/",E854) - 1))-(LEFT(E854,FIND("/",E854)-1))), "NA"))</f>
        <v/>
      </c>
      <c r="K854" s="79">
        <f>IF(A854&lt;&gt;"", IF(ISBLANK(L854), TODAY(), K854), "")</f>
        <v/>
      </c>
      <c r="L854" s="78" t="n"/>
      <c r="M854" s="78">
        <f>IF(ISBLANK(L854),"",IF(D854="Stock",IF(C854="Buy",L854*G854,IF(C854="Sell",(L854*G854)-I854, X)),IF(C854="Buy",(L854*G854*100)+I854,IF(C854="Sell",(L854*G854*100)-I854, X))))</f>
        <v/>
      </c>
      <c r="N854" s="78">
        <f>IF(ISBLANK(L854),"",IF(AND(C854="Sell",D854="Stock"),M854,IF(ISBLANK(L854),"",IF(C854="Buy",M854, IF(AND(C854="Sell",J854="NA"),(E854*G854*100*0.1)+I854, IF(C854="Sell",(J854-L854)*(100*G854)+I854))))))</f>
        <v/>
      </c>
      <c r="O854" s="75" t="n"/>
      <c r="P854" s="75" t="n"/>
      <c r="Q854" s="75">
        <f>IF(ISBLANK(P854),"",IF(D854="Stock",P854*G854,IF(P854=0,"0",G854*P854*100-(G854*$AF$14))))</f>
        <v/>
      </c>
      <c r="R854" s="79">
        <f>IF(P854&lt;&gt;"", TODAY(), "")</f>
        <v/>
      </c>
      <c r="S854" s="78">
        <f>IF(AND(K854&lt;&gt;"", R854&lt;&gt;""), R854-K854, "")</f>
        <v/>
      </c>
      <c r="T854" s="78" t="n"/>
      <c r="U854" s="92">
        <f>IF(ISBLANK(P854),"",IF(C854="Buy",Q854-M854+T854, IF(C854="Sell",M854-Q854-T854, X)))</f>
        <v/>
      </c>
      <c r="V854" s="81">
        <f>IF(ISBLANK(P854),"",U854/N854)</f>
        <v/>
      </c>
      <c r="W854" s="81">
        <f>IF(ISBLANK(P854),"",IF(S854=0,(365/0.5)*V854,(365/S854)*V854))</f>
        <v/>
      </c>
      <c r="X854" s="75" t="n"/>
      <c r="Y854" s="77" t="n"/>
      <c r="Z854" s="77" t="n"/>
      <c r="AA854" s="75" t="n"/>
      <c r="AB854" s="75" t="n"/>
      <c r="AC854" s="6" t="n"/>
      <c r="AD854" s="75" t="n"/>
      <c r="AE854" s="75" t="n"/>
      <c r="AF854" s="75" t="n"/>
    </row>
    <row r="855" ht="15.75" customHeight="1" s="133">
      <c r="A855" s="75" t="n"/>
      <c r="B855" s="75" t="n"/>
      <c r="C855" s="75" t="n"/>
      <c r="D855" s="75" t="n"/>
      <c r="E855" s="76" t="n"/>
      <c r="F855" s="77" t="n"/>
      <c r="G855" s="75" t="n"/>
      <c r="H855" s="75">
        <f>IF(ISBLANK(E855),"",IF(OR(D855="Butterfly",D855="Butterfly ",D855="Iron Fly", D855="Iron Fly "),LEN(E855)-LEN(SUBSTITUTE(E855,"/",""))+2,LEN(E855)-LEN(SUBSTITUTE(E855,"/",""))+1))</f>
        <v/>
      </c>
      <c r="I855" s="78">
        <f>IF(ISBLANK(G855),"",IF(D855="Stock","0",Key!$A$3*H855*G855))</f>
        <v/>
      </c>
      <c r="J855" s="78">
        <f>IF(ISBLANK(E855),"",IF(ISNUMBER(SEARCH("/",E855)), IF(LEN(E855)-LEN(SUBSTITUTE(E855,"/",""))=1,(RIGHT(E855,LEN(E855)-FIND("/",E855)))-(LEFT(E855,FIND("/",E855)-1)),(MID(E855, SEARCH("/",E855) + 1, SEARCH("/",E855, SEARCH("/",E855)+1) - SEARCH("/",E855) - 1))-(LEFT(E855,FIND("/",E855)-1))), "NA"))</f>
        <v/>
      </c>
      <c r="K855" s="79">
        <f>IF(A855&lt;&gt;"", IF(ISBLANK(L855), TODAY(), K855), "")</f>
        <v/>
      </c>
      <c r="L855" s="78" t="n"/>
      <c r="M855" s="78">
        <f>IF(ISBLANK(L855),"",IF(D855="Stock",IF(C855="Buy",L855*G855,IF(C855="Sell",(L855*G855)-I855, X)),IF(C855="Buy",(L855*G855*100)+I855,IF(C855="Sell",(L855*G855*100)-I855, X))))</f>
        <v/>
      </c>
      <c r="N855" s="78">
        <f>IF(ISBLANK(L855),"",IF(AND(C855="Sell",D855="Stock"),M855,IF(ISBLANK(L855),"",IF(C855="Buy",M855, IF(AND(C855="Sell",J855="NA"),(E855*G855*100*0.1)+I855, IF(C855="Sell",(J855-L855)*(100*G855)+I855))))))</f>
        <v/>
      </c>
      <c r="O855" s="75" t="n"/>
      <c r="P855" s="75" t="n"/>
      <c r="Q855" s="75">
        <f>IF(ISBLANK(P855),"",IF(D855="Stock",P855*G855,IF(P855=0,"0",G855*P855*100-(G855*$AF$14))))</f>
        <v/>
      </c>
      <c r="R855" s="79">
        <f>IF(P855&lt;&gt;"", TODAY(), "")</f>
        <v/>
      </c>
      <c r="S855" s="78">
        <f>IF(AND(K855&lt;&gt;"", R855&lt;&gt;""), R855-K855, "")</f>
        <v/>
      </c>
      <c r="T855" s="78" t="n"/>
      <c r="U855" s="92">
        <f>IF(ISBLANK(P855),"",IF(C855="Buy",Q855-M855+T855, IF(C855="Sell",M855-Q855-T855, X)))</f>
        <v/>
      </c>
      <c r="V855" s="81">
        <f>IF(ISBLANK(P855),"",U855/N855)</f>
        <v/>
      </c>
      <c r="W855" s="81">
        <f>IF(ISBLANK(P855),"",IF(S855=0,(365/0.5)*V855,(365/S855)*V855))</f>
        <v/>
      </c>
      <c r="X855" s="75" t="n"/>
      <c r="Y855" s="77" t="n"/>
      <c r="Z855" s="77" t="n"/>
      <c r="AA855" s="75" t="n"/>
      <c r="AB855" s="75" t="n"/>
      <c r="AC855" s="6" t="n"/>
      <c r="AD855" s="75" t="n"/>
      <c r="AE855" s="75" t="n"/>
      <c r="AF855" s="75" t="n"/>
    </row>
    <row r="856" ht="15.75" customHeight="1" s="133">
      <c r="A856" s="75" t="n"/>
      <c r="B856" s="75" t="n"/>
      <c r="C856" s="75" t="n"/>
      <c r="D856" s="75" t="n"/>
      <c r="E856" s="76" t="n"/>
      <c r="F856" s="77" t="n"/>
      <c r="G856" s="75" t="n"/>
      <c r="H856" s="75">
        <f>IF(ISBLANK(E856),"",IF(OR(D856="Butterfly",D856="Butterfly ",D856="Iron Fly", D856="Iron Fly "),LEN(E856)-LEN(SUBSTITUTE(E856,"/",""))+2,LEN(E856)-LEN(SUBSTITUTE(E856,"/",""))+1))</f>
        <v/>
      </c>
      <c r="I856" s="78">
        <f>IF(ISBLANK(G856),"",IF(D856="Stock","0",Key!$A$3*H856*G856))</f>
        <v/>
      </c>
      <c r="J856" s="78">
        <f>IF(ISBLANK(E856),"",IF(ISNUMBER(SEARCH("/",E856)), IF(LEN(E856)-LEN(SUBSTITUTE(E856,"/",""))=1,(RIGHT(E856,LEN(E856)-FIND("/",E856)))-(LEFT(E856,FIND("/",E856)-1)),(MID(E856, SEARCH("/",E856) + 1, SEARCH("/",E856, SEARCH("/",E856)+1) - SEARCH("/",E856) - 1))-(LEFT(E856,FIND("/",E856)-1))), "NA"))</f>
        <v/>
      </c>
      <c r="K856" s="79">
        <f>IF(A856&lt;&gt;"", IF(ISBLANK(L856), TODAY(), K856), "")</f>
        <v/>
      </c>
      <c r="L856" s="78" t="n"/>
      <c r="M856" s="78">
        <f>IF(ISBLANK(L856),"",IF(D856="Stock",IF(C856="Buy",L856*G856,IF(C856="Sell",(L856*G856)-I856, X)),IF(C856="Buy",(L856*G856*100)+I856,IF(C856="Sell",(L856*G856*100)-I856, X))))</f>
        <v/>
      </c>
      <c r="N856" s="78">
        <f>IF(ISBLANK(L856),"",IF(AND(C856="Sell",D856="Stock"),M856,IF(ISBLANK(L856),"",IF(C856="Buy",M856, IF(AND(C856="Sell",J856="NA"),(E856*G856*100*0.1)+I856, IF(C856="Sell",(J856-L856)*(100*G856)+I856))))))</f>
        <v/>
      </c>
      <c r="O856" s="75" t="n"/>
      <c r="P856" s="75" t="n"/>
      <c r="Q856" s="75">
        <f>IF(ISBLANK(P856),"",IF(D856="Stock",P856*G856,IF(P856=0,"0",G856*P856*100-(G856*$AF$14))))</f>
        <v/>
      </c>
      <c r="R856" s="79">
        <f>IF(P856&lt;&gt;"", TODAY(), "")</f>
        <v/>
      </c>
      <c r="S856" s="78">
        <f>IF(AND(K856&lt;&gt;"", R856&lt;&gt;""), R856-K856, "")</f>
        <v/>
      </c>
      <c r="T856" s="78" t="n"/>
      <c r="U856" s="92">
        <f>IF(ISBLANK(P856),"",IF(C856="Buy",Q856-M856+T856, IF(C856="Sell",M856-Q856-T856, X)))</f>
        <v/>
      </c>
      <c r="V856" s="81">
        <f>IF(ISBLANK(P856),"",U856/N856)</f>
        <v/>
      </c>
      <c r="W856" s="81">
        <f>IF(ISBLANK(P856),"",IF(S856=0,(365/0.5)*V856,(365/S856)*V856))</f>
        <v/>
      </c>
      <c r="X856" s="75" t="n"/>
      <c r="Y856" s="77" t="n"/>
      <c r="Z856" s="77" t="n"/>
      <c r="AA856" s="75" t="n"/>
      <c r="AB856" s="75" t="n"/>
      <c r="AC856" s="6" t="n"/>
      <c r="AD856" s="75" t="n"/>
      <c r="AE856" s="75" t="n"/>
      <c r="AF856" s="75" t="n"/>
    </row>
    <row r="857" ht="15.75" customHeight="1" s="133">
      <c r="A857" s="75" t="n"/>
      <c r="B857" s="75" t="n"/>
      <c r="C857" s="75" t="n"/>
      <c r="D857" s="75" t="n"/>
      <c r="E857" s="76" t="n"/>
      <c r="F857" s="77" t="n"/>
      <c r="G857" s="75" t="n"/>
      <c r="H857" s="75">
        <f>IF(ISBLANK(E857),"",IF(OR(D857="Butterfly",D857="Butterfly ",D857="Iron Fly", D857="Iron Fly "),LEN(E857)-LEN(SUBSTITUTE(E857,"/",""))+2,LEN(E857)-LEN(SUBSTITUTE(E857,"/",""))+1))</f>
        <v/>
      </c>
      <c r="I857" s="78">
        <f>IF(ISBLANK(G857),"",IF(D857="Stock","0",Key!$A$3*H857*G857))</f>
        <v/>
      </c>
      <c r="J857" s="78">
        <f>IF(ISBLANK(E857),"",IF(ISNUMBER(SEARCH("/",E857)), IF(LEN(E857)-LEN(SUBSTITUTE(E857,"/",""))=1,(RIGHT(E857,LEN(E857)-FIND("/",E857)))-(LEFT(E857,FIND("/",E857)-1)),(MID(E857, SEARCH("/",E857) + 1, SEARCH("/",E857, SEARCH("/",E857)+1) - SEARCH("/",E857) - 1))-(LEFT(E857,FIND("/",E857)-1))), "NA"))</f>
        <v/>
      </c>
      <c r="K857" s="79">
        <f>IF(A857&lt;&gt;"", IF(ISBLANK(L857), TODAY(), K857), "")</f>
        <v/>
      </c>
      <c r="L857" s="78" t="n"/>
      <c r="M857" s="78">
        <f>IF(ISBLANK(L857),"",IF(D857="Stock",IF(C857="Buy",L857*G857,IF(C857="Sell",(L857*G857)-I857, X)),IF(C857="Buy",(L857*G857*100)+I857,IF(C857="Sell",(L857*G857*100)-I857, X))))</f>
        <v/>
      </c>
      <c r="N857" s="78">
        <f>IF(ISBLANK(L857),"",IF(AND(C857="Sell",D857="Stock"),M857,IF(ISBLANK(L857),"",IF(C857="Buy",M857, IF(AND(C857="Sell",J857="NA"),(E857*G857*100*0.1)+I857, IF(C857="Sell",(J857-L857)*(100*G857)+I857))))))</f>
        <v/>
      </c>
      <c r="O857" s="75" t="n"/>
      <c r="P857" s="75" t="n"/>
      <c r="Q857" s="75">
        <f>IF(ISBLANK(P857),"",IF(D857="Stock",P857*G857,IF(P857=0,"0",G857*P857*100-(G857*$AF$14))))</f>
        <v/>
      </c>
      <c r="R857" s="79">
        <f>IF(P857&lt;&gt;"", TODAY(), "")</f>
        <v/>
      </c>
      <c r="S857" s="78">
        <f>IF(AND(K857&lt;&gt;"", R857&lt;&gt;""), R857-K857, "")</f>
        <v/>
      </c>
      <c r="T857" s="78" t="n"/>
      <c r="U857" s="92">
        <f>IF(ISBLANK(P857),"",IF(C857="Buy",Q857-M857+T857, IF(C857="Sell",M857-Q857-T857, X)))</f>
        <v/>
      </c>
      <c r="V857" s="81">
        <f>IF(ISBLANK(P857),"",U857/N857)</f>
        <v/>
      </c>
      <c r="W857" s="81">
        <f>IF(ISBLANK(P857),"",IF(S857=0,(365/0.5)*V857,(365/S857)*V857))</f>
        <v/>
      </c>
      <c r="X857" s="75" t="n"/>
      <c r="Y857" s="77" t="n"/>
      <c r="Z857" s="77" t="n"/>
      <c r="AA857" s="75" t="n"/>
      <c r="AB857" s="75" t="n"/>
      <c r="AC857" s="6" t="n"/>
      <c r="AD857" s="75" t="n"/>
      <c r="AE857" s="75" t="n"/>
      <c r="AF857" s="75" t="n"/>
    </row>
    <row r="858" ht="15.75" customHeight="1" s="133">
      <c r="A858" s="75" t="n"/>
      <c r="B858" s="75" t="n"/>
      <c r="C858" s="75" t="n"/>
      <c r="D858" s="75" t="n"/>
      <c r="E858" s="76" t="n"/>
      <c r="F858" s="77" t="n"/>
      <c r="G858" s="75" t="n"/>
      <c r="H858" s="75">
        <f>IF(ISBLANK(E858),"",IF(OR(D858="Butterfly",D858="Butterfly ",D858="Iron Fly", D858="Iron Fly "),LEN(E858)-LEN(SUBSTITUTE(E858,"/",""))+2,LEN(E858)-LEN(SUBSTITUTE(E858,"/",""))+1))</f>
        <v/>
      </c>
      <c r="I858" s="78">
        <f>IF(ISBLANK(G858),"",IF(D858="Stock","0",Key!$A$3*H858*G858))</f>
        <v/>
      </c>
      <c r="J858" s="78">
        <f>IF(ISBLANK(E858),"",IF(ISNUMBER(SEARCH("/",E858)), IF(LEN(E858)-LEN(SUBSTITUTE(E858,"/",""))=1,(RIGHT(E858,LEN(E858)-FIND("/",E858)))-(LEFT(E858,FIND("/",E858)-1)),(MID(E858, SEARCH("/",E858) + 1, SEARCH("/",E858, SEARCH("/",E858)+1) - SEARCH("/",E858) - 1))-(LEFT(E858,FIND("/",E858)-1))), "NA"))</f>
        <v/>
      </c>
      <c r="K858" s="79">
        <f>IF(A858&lt;&gt;"", IF(ISBLANK(L858), TODAY(), K858), "")</f>
        <v/>
      </c>
      <c r="L858" s="78" t="n"/>
      <c r="M858" s="78">
        <f>IF(ISBLANK(L858),"",IF(D858="Stock",IF(C858="Buy",L858*G858,IF(C858="Sell",(L858*G858)-I858, X)),IF(C858="Buy",(L858*G858*100)+I858,IF(C858="Sell",(L858*G858*100)-I858, X))))</f>
        <v/>
      </c>
      <c r="N858" s="78">
        <f>IF(ISBLANK(L858),"",IF(AND(C858="Sell",D858="Stock"),M858,IF(ISBLANK(L858),"",IF(C858="Buy",M858, IF(AND(C858="Sell",J858="NA"),(E858*G858*100*0.1)+I858, IF(C858="Sell",(J858-L858)*(100*G858)+I858))))))</f>
        <v/>
      </c>
      <c r="O858" s="75" t="n"/>
      <c r="P858" s="75" t="n"/>
      <c r="Q858" s="75">
        <f>IF(ISBLANK(P858),"",IF(D858="Stock",P858*G858,IF(P858=0,"0",G858*P858*100-(G858*$AF$14))))</f>
        <v/>
      </c>
      <c r="R858" s="79">
        <f>IF(P858&lt;&gt;"", TODAY(), "")</f>
        <v/>
      </c>
      <c r="S858" s="78">
        <f>IF(AND(K858&lt;&gt;"", R858&lt;&gt;""), R858-K858, "")</f>
        <v/>
      </c>
      <c r="T858" s="78" t="n"/>
      <c r="U858" s="92">
        <f>IF(ISBLANK(P858),"",IF(C858="Buy",Q858-M858+T858, IF(C858="Sell",M858-Q858-T858, X)))</f>
        <v/>
      </c>
      <c r="V858" s="81">
        <f>IF(ISBLANK(P858),"",U858/N858)</f>
        <v/>
      </c>
      <c r="W858" s="81">
        <f>IF(ISBLANK(P858),"",IF(S858=0,(365/0.5)*V858,(365/S858)*V858))</f>
        <v/>
      </c>
      <c r="X858" s="75" t="n"/>
      <c r="Y858" s="77" t="n"/>
      <c r="Z858" s="77" t="n"/>
      <c r="AA858" s="75" t="n"/>
      <c r="AB858" s="75" t="n"/>
      <c r="AC858" s="6" t="n"/>
      <c r="AD858" s="75" t="n"/>
      <c r="AE858" s="75" t="n"/>
      <c r="AF858" s="75" t="n"/>
    </row>
    <row r="859" ht="15.75" customHeight="1" s="133">
      <c r="A859" s="75" t="n"/>
      <c r="B859" s="75" t="n"/>
      <c r="C859" s="75" t="n"/>
      <c r="D859" s="75" t="n"/>
      <c r="E859" s="76" t="n"/>
      <c r="F859" s="77" t="n"/>
      <c r="G859" s="75" t="n"/>
      <c r="H859" s="75">
        <f>IF(ISBLANK(E859),"",IF(OR(D859="Butterfly",D859="Butterfly ",D859="Iron Fly", D859="Iron Fly "),LEN(E859)-LEN(SUBSTITUTE(E859,"/",""))+2,LEN(E859)-LEN(SUBSTITUTE(E859,"/",""))+1))</f>
        <v/>
      </c>
      <c r="I859" s="78">
        <f>IF(ISBLANK(G859),"",IF(D859="Stock","0",Key!$A$3*H859*G859))</f>
        <v/>
      </c>
      <c r="J859" s="78">
        <f>IF(ISBLANK(E859),"",IF(ISNUMBER(SEARCH("/",E859)), IF(LEN(E859)-LEN(SUBSTITUTE(E859,"/",""))=1,(RIGHT(E859,LEN(E859)-FIND("/",E859)))-(LEFT(E859,FIND("/",E859)-1)),(MID(E859, SEARCH("/",E859) + 1, SEARCH("/",E859, SEARCH("/",E859)+1) - SEARCH("/",E859) - 1))-(LEFT(E859,FIND("/",E859)-1))), "NA"))</f>
        <v/>
      </c>
      <c r="K859" s="79">
        <f>IF(A859&lt;&gt;"", IF(ISBLANK(L859), TODAY(), K859), "")</f>
        <v/>
      </c>
      <c r="L859" s="78" t="n"/>
      <c r="M859" s="78">
        <f>IF(ISBLANK(L859),"",IF(D859="Stock",IF(C859="Buy",L859*G859,IF(C859="Sell",(L859*G859)-I859, X)),IF(C859="Buy",(L859*G859*100)+I859,IF(C859="Sell",(L859*G859*100)-I859, X))))</f>
        <v/>
      </c>
      <c r="N859" s="78">
        <f>IF(ISBLANK(L859),"",IF(AND(C859="Sell",D859="Stock"),M859,IF(ISBLANK(L859),"",IF(C859="Buy",M859, IF(AND(C859="Sell",J859="NA"),(E859*G859*100*0.1)+I859, IF(C859="Sell",(J859-L859)*(100*G859)+I859))))))</f>
        <v/>
      </c>
      <c r="O859" s="75" t="n"/>
      <c r="P859" s="75" t="n"/>
      <c r="Q859" s="75">
        <f>IF(ISBLANK(P859),"",IF(D859="Stock",P859*G859,IF(P859=0,"0",G859*P859*100-(G859*$AF$14))))</f>
        <v/>
      </c>
      <c r="R859" s="79">
        <f>IF(P859&lt;&gt;"", TODAY(), "")</f>
        <v/>
      </c>
      <c r="S859" s="78">
        <f>IF(AND(K859&lt;&gt;"", R859&lt;&gt;""), R859-K859, "")</f>
        <v/>
      </c>
      <c r="T859" s="78" t="n"/>
      <c r="U859" s="92">
        <f>IF(ISBLANK(P859),"",IF(C859="Buy",Q859-M859+T859, IF(C859="Sell",M859-Q859-T859, X)))</f>
        <v/>
      </c>
      <c r="V859" s="81">
        <f>IF(ISBLANK(P859),"",U859/N859)</f>
        <v/>
      </c>
      <c r="W859" s="81">
        <f>IF(ISBLANK(P859),"",IF(S859=0,(365/0.5)*V859,(365/S859)*V859))</f>
        <v/>
      </c>
      <c r="X859" s="75" t="n"/>
      <c r="Y859" s="77" t="n"/>
      <c r="Z859" s="77" t="n"/>
      <c r="AA859" s="75" t="n"/>
      <c r="AB859" s="75" t="n"/>
      <c r="AC859" s="6" t="n"/>
      <c r="AD859" s="75" t="n"/>
      <c r="AE859" s="75" t="n"/>
      <c r="AF859" s="75" t="n"/>
    </row>
    <row r="860" ht="15.75" customHeight="1" s="133">
      <c r="A860" s="75" t="n"/>
      <c r="B860" s="75" t="n"/>
      <c r="C860" s="75" t="n"/>
      <c r="D860" s="75" t="n"/>
      <c r="E860" s="76" t="n"/>
      <c r="F860" s="77" t="n"/>
      <c r="G860" s="75" t="n"/>
      <c r="H860" s="75">
        <f>IF(ISBLANK(E860),"",IF(OR(D860="Butterfly",D860="Butterfly ",D860="Iron Fly", D860="Iron Fly "),LEN(E860)-LEN(SUBSTITUTE(E860,"/",""))+2,LEN(E860)-LEN(SUBSTITUTE(E860,"/",""))+1))</f>
        <v/>
      </c>
      <c r="I860" s="78">
        <f>IF(ISBLANK(G860),"",IF(D860="Stock","0",Key!$A$3*H860*G860))</f>
        <v/>
      </c>
      <c r="J860" s="78">
        <f>IF(ISBLANK(E860),"",IF(ISNUMBER(SEARCH("/",E860)), IF(LEN(E860)-LEN(SUBSTITUTE(E860,"/",""))=1,(RIGHT(E860,LEN(E860)-FIND("/",E860)))-(LEFT(E860,FIND("/",E860)-1)),(MID(E860, SEARCH("/",E860) + 1, SEARCH("/",E860, SEARCH("/",E860)+1) - SEARCH("/",E860) - 1))-(LEFT(E860,FIND("/",E860)-1))), "NA"))</f>
        <v/>
      </c>
      <c r="K860" s="79">
        <f>IF(A860&lt;&gt;"", IF(ISBLANK(L860), TODAY(), K860), "")</f>
        <v/>
      </c>
      <c r="L860" s="78" t="n"/>
      <c r="M860" s="78">
        <f>IF(ISBLANK(L860),"",IF(D860="Stock",IF(C860="Buy",L860*G860,IF(C860="Sell",(L860*G860)-I860, X)),IF(C860="Buy",(L860*G860*100)+I860,IF(C860="Sell",(L860*G860*100)-I860, X))))</f>
        <v/>
      </c>
      <c r="N860" s="78">
        <f>IF(ISBLANK(L860),"",IF(AND(C860="Sell",D860="Stock"),M860,IF(ISBLANK(L860),"",IF(C860="Buy",M860, IF(AND(C860="Sell",J860="NA"),(E860*G860*100*0.1)+I860, IF(C860="Sell",(J860-L860)*(100*G860)+I860))))))</f>
        <v/>
      </c>
      <c r="O860" s="75" t="n"/>
      <c r="P860" s="75" t="n"/>
      <c r="Q860" s="75">
        <f>IF(ISBLANK(P860),"",IF(D860="Stock",P860*G860,IF(P860=0,"0",G860*P860*100-(G860*$AF$14))))</f>
        <v/>
      </c>
      <c r="R860" s="79">
        <f>IF(P860&lt;&gt;"", TODAY(), "")</f>
        <v/>
      </c>
      <c r="S860" s="78">
        <f>IF(AND(K860&lt;&gt;"", R860&lt;&gt;""), R860-K860, "")</f>
        <v/>
      </c>
      <c r="T860" s="78" t="n"/>
      <c r="U860" s="92">
        <f>IF(ISBLANK(P860),"",IF(C860="Buy",Q860-M860+T860, IF(C860="Sell",M860-Q860-T860, X)))</f>
        <v/>
      </c>
      <c r="V860" s="81">
        <f>IF(ISBLANK(P860),"",U860/N860)</f>
        <v/>
      </c>
      <c r="W860" s="81">
        <f>IF(ISBLANK(P860),"",IF(S860=0,(365/0.5)*V860,(365/S860)*V860))</f>
        <v/>
      </c>
      <c r="X860" s="75" t="n"/>
      <c r="Y860" s="77" t="n"/>
      <c r="Z860" s="77" t="n"/>
      <c r="AA860" s="75" t="n"/>
      <c r="AB860" s="75" t="n"/>
      <c r="AC860" s="6" t="n"/>
      <c r="AD860" s="75" t="n"/>
      <c r="AE860" s="75" t="n"/>
      <c r="AF860" s="75" t="n"/>
    </row>
    <row r="861" ht="15.75" customHeight="1" s="133">
      <c r="A861" s="75" t="n"/>
      <c r="B861" s="75" t="n"/>
      <c r="C861" s="75" t="n"/>
      <c r="D861" s="75" t="n"/>
      <c r="E861" s="76" t="n"/>
      <c r="F861" s="77" t="n"/>
      <c r="G861" s="75" t="n"/>
      <c r="H861" s="75">
        <f>IF(ISBLANK(E861),"",IF(OR(D861="Butterfly",D861="Butterfly ",D861="Iron Fly", D861="Iron Fly "),LEN(E861)-LEN(SUBSTITUTE(E861,"/",""))+2,LEN(E861)-LEN(SUBSTITUTE(E861,"/",""))+1))</f>
        <v/>
      </c>
      <c r="I861" s="78">
        <f>IF(ISBLANK(G861),"",IF(D861="Stock","0",Key!$A$3*H861*G861))</f>
        <v/>
      </c>
      <c r="J861" s="78">
        <f>IF(ISBLANK(E861),"",IF(ISNUMBER(SEARCH("/",E861)), IF(LEN(E861)-LEN(SUBSTITUTE(E861,"/",""))=1,(RIGHT(E861,LEN(E861)-FIND("/",E861)))-(LEFT(E861,FIND("/",E861)-1)),(MID(E861, SEARCH("/",E861) + 1, SEARCH("/",E861, SEARCH("/",E861)+1) - SEARCH("/",E861) - 1))-(LEFT(E861,FIND("/",E861)-1))), "NA"))</f>
        <v/>
      </c>
      <c r="K861" s="79">
        <f>IF(A861&lt;&gt;"", IF(ISBLANK(L861), TODAY(), K861), "")</f>
        <v/>
      </c>
      <c r="L861" s="78" t="n"/>
      <c r="M861" s="78">
        <f>IF(ISBLANK(L861),"",IF(D861="Stock",IF(C861="Buy",L861*G861,IF(C861="Sell",(L861*G861)-I861, X)),IF(C861="Buy",(L861*G861*100)+I861,IF(C861="Sell",(L861*G861*100)-I861, X))))</f>
        <v/>
      </c>
      <c r="N861" s="78">
        <f>IF(ISBLANK(L861),"",IF(AND(C861="Sell",D861="Stock"),M861,IF(ISBLANK(L861),"",IF(C861="Buy",M861, IF(AND(C861="Sell",J861="NA"),(E861*G861*100*0.1)+I861, IF(C861="Sell",(J861-L861)*(100*G861)+I861))))))</f>
        <v/>
      </c>
      <c r="O861" s="75" t="n"/>
      <c r="P861" s="75" t="n"/>
      <c r="Q861" s="75">
        <f>IF(ISBLANK(P861),"",IF(D861="Stock",P861*G861,IF(P861=0,"0",G861*P861*100-(G861*$AF$14))))</f>
        <v/>
      </c>
      <c r="R861" s="79">
        <f>IF(P861&lt;&gt;"", TODAY(), "")</f>
        <v/>
      </c>
      <c r="S861" s="78">
        <f>IF(AND(K861&lt;&gt;"", R861&lt;&gt;""), R861-K861, "")</f>
        <v/>
      </c>
      <c r="T861" s="78" t="n"/>
      <c r="U861" s="92">
        <f>IF(ISBLANK(P861),"",IF(C861="Buy",Q861-M861+T861, IF(C861="Sell",M861-Q861-T861, X)))</f>
        <v/>
      </c>
      <c r="V861" s="81">
        <f>IF(ISBLANK(P861),"",U861/N861)</f>
        <v/>
      </c>
      <c r="W861" s="81">
        <f>IF(ISBLANK(P861),"",IF(S861=0,(365/0.5)*V861,(365/S861)*V861))</f>
        <v/>
      </c>
      <c r="X861" s="75" t="n"/>
      <c r="Y861" s="77" t="n"/>
      <c r="Z861" s="77" t="n"/>
      <c r="AA861" s="75" t="n"/>
      <c r="AB861" s="75" t="n"/>
      <c r="AC861" s="6" t="n"/>
      <c r="AD861" s="75" t="n"/>
      <c r="AE861" s="75" t="n"/>
      <c r="AF861" s="75" t="n"/>
    </row>
    <row r="862" ht="15.75" customHeight="1" s="133">
      <c r="A862" s="75" t="n"/>
      <c r="B862" s="75" t="n"/>
      <c r="C862" s="75" t="n"/>
      <c r="D862" s="75" t="n"/>
      <c r="E862" s="76" t="n"/>
      <c r="F862" s="77" t="n"/>
      <c r="G862" s="75" t="n"/>
      <c r="H862" s="75">
        <f>IF(ISBLANK(E862),"",IF(OR(D862="Butterfly",D862="Butterfly ",D862="Iron Fly", D862="Iron Fly "),LEN(E862)-LEN(SUBSTITUTE(E862,"/",""))+2,LEN(E862)-LEN(SUBSTITUTE(E862,"/",""))+1))</f>
        <v/>
      </c>
      <c r="I862" s="78">
        <f>IF(ISBLANK(G862),"",IF(D862="Stock","0",Key!$A$3*H862*G862))</f>
        <v/>
      </c>
      <c r="J862" s="78">
        <f>IF(ISBLANK(E862),"",IF(ISNUMBER(SEARCH("/",E862)), IF(LEN(E862)-LEN(SUBSTITUTE(E862,"/",""))=1,(RIGHT(E862,LEN(E862)-FIND("/",E862)))-(LEFT(E862,FIND("/",E862)-1)),(MID(E862, SEARCH("/",E862) + 1, SEARCH("/",E862, SEARCH("/",E862)+1) - SEARCH("/",E862) - 1))-(LEFT(E862,FIND("/",E862)-1))), "NA"))</f>
        <v/>
      </c>
      <c r="K862" s="79">
        <f>IF(A862&lt;&gt;"", IF(ISBLANK(L862), TODAY(), K862), "")</f>
        <v/>
      </c>
      <c r="L862" s="78" t="n"/>
      <c r="M862" s="78">
        <f>IF(ISBLANK(L862),"",IF(D862="Stock",IF(C862="Buy",L862*G862,IF(C862="Sell",(L862*G862)-I862, X)),IF(C862="Buy",(L862*G862*100)+I862,IF(C862="Sell",(L862*G862*100)-I862, X))))</f>
        <v/>
      </c>
      <c r="N862" s="78">
        <f>IF(ISBLANK(L862),"",IF(AND(C862="Sell",D862="Stock"),M862,IF(ISBLANK(L862),"",IF(C862="Buy",M862, IF(AND(C862="Sell",J862="NA"),(E862*G862*100*0.1)+I862, IF(C862="Sell",(J862-L862)*(100*G862)+I862))))))</f>
        <v/>
      </c>
      <c r="O862" s="75" t="n"/>
      <c r="P862" s="75" t="n"/>
      <c r="Q862" s="75">
        <f>IF(ISBLANK(P862),"",IF(D862="Stock",P862*G862,IF(P862=0,"0",G862*P862*100-(G862*$AF$14))))</f>
        <v/>
      </c>
      <c r="R862" s="79">
        <f>IF(P862&lt;&gt;"", TODAY(), "")</f>
        <v/>
      </c>
      <c r="S862" s="78">
        <f>IF(AND(K862&lt;&gt;"", R862&lt;&gt;""), R862-K862, "")</f>
        <v/>
      </c>
      <c r="T862" s="78" t="n"/>
      <c r="U862" s="92">
        <f>IF(ISBLANK(P862),"",IF(C862="Buy",Q862-M862+T862, IF(C862="Sell",M862-Q862-T862, X)))</f>
        <v/>
      </c>
      <c r="V862" s="81">
        <f>IF(ISBLANK(P862),"",U862/N862)</f>
        <v/>
      </c>
      <c r="W862" s="81">
        <f>IF(ISBLANK(P862),"",IF(S862=0,(365/0.5)*V862,(365/S862)*V862))</f>
        <v/>
      </c>
      <c r="X862" s="75" t="n"/>
      <c r="Y862" s="77" t="n"/>
      <c r="Z862" s="77" t="n"/>
      <c r="AA862" s="75" t="n"/>
      <c r="AB862" s="75" t="n"/>
      <c r="AC862" s="6" t="n"/>
      <c r="AD862" s="75" t="n"/>
      <c r="AE862" s="75" t="n"/>
      <c r="AF862" s="75" t="n"/>
    </row>
    <row r="863" ht="15.75" customHeight="1" s="133">
      <c r="A863" s="75" t="n"/>
      <c r="B863" s="75" t="n"/>
      <c r="C863" s="75" t="n"/>
      <c r="D863" s="75" t="n"/>
      <c r="E863" s="76" t="n"/>
      <c r="F863" s="77" t="n"/>
      <c r="G863" s="75" t="n"/>
      <c r="H863" s="75">
        <f>IF(ISBLANK(E863),"",IF(OR(D863="Butterfly",D863="Butterfly ",D863="Iron Fly", D863="Iron Fly "),LEN(E863)-LEN(SUBSTITUTE(E863,"/",""))+2,LEN(E863)-LEN(SUBSTITUTE(E863,"/",""))+1))</f>
        <v/>
      </c>
      <c r="I863" s="78">
        <f>IF(ISBLANK(G863),"",IF(D863="Stock","0",Key!$A$3*H863*G863))</f>
        <v/>
      </c>
      <c r="J863" s="78">
        <f>IF(ISBLANK(E863),"",IF(ISNUMBER(SEARCH("/",E863)), IF(LEN(E863)-LEN(SUBSTITUTE(E863,"/",""))=1,(RIGHT(E863,LEN(E863)-FIND("/",E863)))-(LEFT(E863,FIND("/",E863)-1)),(MID(E863, SEARCH("/",E863) + 1, SEARCH("/",E863, SEARCH("/",E863)+1) - SEARCH("/",E863) - 1))-(LEFT(E863,FIND("/",E863)-1))), "NA"))</f>
        <v/>
      </c>
      <c r="K863" s="79">
        <f>IF(A863&lt;&gt;"", IF(ISBLANK(L863), TODAY(), K863), "")</f>
        <v/>
      </c>
      <c r="L863" s="78" t="n"/>
      <c r="M863" s="78">
        <f>IF(ISBLANK(L863),"",IF(D863="Stock",IF(C863="Buy",L863*G863,IF(C863="Sell",(L863*G863)-I863, X)),IF(C863="Buy",(L863*G863*100)+I863,IF(C863="Sell",(L863*G863*100)-I863, X))))</f>
        <v/>
      </c>
      <c r="N863" s="78">
        <f>IF(ISBLANK(L863),"",IF(AND(C863="Sell",D863="Stock"),M863,IF(ISBLANK(L863),"",IF(C863="Buy",M863, IF(AND(C863="Sell",J863="NA"),(E863*G863*100*0.1)+I863, IF(C863="Sell",(J863-L863)*(100*G863)+I863))))))</f>
        <v/>
      </c>
      <c r="O863" s="75" t="n"/>
      <c r="P863" s="75" t="n"/>
      <c r="Q863" s="75">
        <f>IF(ISBLANK(P863),"",IF(D863="Stock",P863*G863,IF(P863=0,"0",G863*P863*100-(G863*$AF$14))))</f>
        <v/>
      </c>
      <c r="R863" s="79">
        <f>IF(P863&lt;&gt;"", TODAY(), "")</f>
        <v/>
      </c>
      <c r="S863" s="78">
        <f>IF(AND(K863&lt;&gt;"", R863&lt;&gt;""), R863-K863, "")</f>
        <v/>
      </c>
      <c r="T863" s="78" t="n"/>
      <c r="U863" s="92">
        <f>IF(ISBLANK(P863),"",IF(C863="Buy",Q863-M863+T863, IF(C863="Sell",M863-Q863-T863, X)))</f>
        <v/>
      </c>
      <c r="V863" s="81">
        <f>IF(ISBLANK(P863),"",U863/N863)</f>
        <v/>
      </c>
      <c r="W863" s="81">
        <f>IF(ISBLANK(P863),"",IF(S863=0,(365/0.5)*V863,(365/S863)*V863))</f>
        <v/>
      </c>
      <c r="X863" s="75" t="n"/>
      <c r="Y863" s="77" t="n"/>
      <c r="Z863" s="77" t="n"/>
      <c r="AA863" s="75" t="n"/>
      <c r="AB863" s="75" t="n"/>
      <c r="AC863" s="6" t="n"/>
      <c r="AD863" s="75" t="n"/>
      <c r="AE863" s="75" t="n"/>
      <c r="AF863" s="75" t="n"/>
    </row>
    <row r="864" ht="15.75" customHeight="1" s="133">
      <c r="A864" s="75" t="n"/>
      <c r="B864" s="75" t="n"/>
      <c r="C864" s="75" t="n"/>
      <c r="D864" s="75" t="n"/>
      <c r="E864" s="76" t="n"/>
      <c r="F864" s="77" t="n"/>
      <c r="G864" s="75" t="n"/>
      <c r="H864" s="75">
        <f>IF(ISBLANK(E864),"",IF(OR(D864="Butterfly",D864="Butterfly ",D864="Iron Fly", D864="Iron Fly "),LEN(E864)-LEN(SUBSTITUTE(E864,"/",""))+2,LEN(E864)-LEN(SUBSTITUTE(E864,"/",""))+1))</f>
        <v/>
      </c>
      <c r="I864" s="78">
        <f>IF(ISBLANK(G864),"",IF(D864="Stock","0",Key!$A$3*H864*G864))</f>
        <v/>
      </c>
      <c r="J864" s="78">
        <f>IF(ISBLANK(E864),"",IF(ISNUMBER(SEARCH("/",E864)), IF(LEN(E864)-LEN(SUBSTITUTE(E864,"/",""))=1,(RIGHT(E864,LEN(E864)-FIND("/",E864)))-(LEFT(E864,FIND("/",E864)-1)),(MID(E864, SEARCH("/",E864) + 1, SEARCH("/",E864, SEARCH("/",E864)+1) - SEARCH("/",E864) - 1))-(LEFT(E864,FIND("/",E864)-1))), "NA"))</f>
        <v/>
      </c>
      <c r="K864" s="79">
        <f>IF(A864&lt;&gt;"", IF(ISBLANK(L864), TODAY(), K864), "")</f>
        <v/>
      </c>
      <c r="L864" s="78" t="n"/>
      <c r="M864" s="78">
        <f>IF(ISBLANK(L864),"",IF(D864="Stock",IF(C864="Buy",L864*G864,IF(C864="Sell",(L864*G864)-I864, X)),IF(C864="Buy",(L864*G864*100)+I864,IF(C864="Sell",(L864*G864*100)-I864, X))))</f>
        <v/>
      </c>
      <c r="N864" s="78">
        <f>IF(ISBLANK(L864),"",IF(AND(C864="Sell",D864="Stock"),M864,IF(ISBLANK(L864),"",IF(C864="Buy",M864, IF(AND(C864="Sell",J864="NA"),(E864*G864*100*0.1)+I864, IF(C864="Sell",(J864-L864)*(100*G864)+I864))))))</f>
        <v/>
      </c>
      <c r="O864" s="75" t="n"/>
      <c r="P864" s="75" t="n"/>
      <c r="Q864" s="75">
        <f>IF(ISBLANK(P864),"",IF(D864="Stock",P864*G864,IF(P864=0,"0",G864*P864*100-(G864*$AF$14))))</f>
        <v/>
      </c>
      <c r="R864" s="79">
        <f>IF(P864&lt;&gt;"", TODAY(), "")</f>
        <v/>
      </c>
      <c r="S864" s="78">
        <f>IF(AND(K864&lt;&gt;"", R864&lt;&gt;""), R864-K864, "")</f>
        <v/>
      </c>
      <c r="T864" s="78" t="n"/>
      <c r="U864" s="92">
        <f>IF(ISBLANK(P864),"",IF(C864="Buy",Q864-M864+T864, IF(C864="Sell",M864-Q864-T864, X)))</f>
        <v/>
      </c>
      <c r="V864" s="81">
        <f>IF(ISBLANK(P864),"",U864/N864)</f>
        <v/>
      </c>
      <c r="W864" s="81">
        <f>IF(ISBLANK(P864),"",IF(S864=0,(365/0.5)*V864,(365/S864)*V864))</f>
        <v/>
      </c>
      <c r="X864" s="75" t="n"/>
      <c r="Y864" s="77" t="n"/>
      <c r="Z864" s="77" t="n"/>
      <c r="AA864" s="75" t="n"/>
      <c r="AB864" s="75" t="n"/>
      <c r="AC864" s="6" t="n"/>
      <c r="AD864" s="75" t="n"/>
      <c r="AE864" s="75" t="n"/>
      <c r="AF864" s="75" t="n"/>
    </row>
    <row r="865" ht="15.75" customHeight="1" s="133">
      <c r="A865" s="75" t="n"/>
      <c r="B865" s="75" t="n"/>
      <c r="C865" s="75" t="n"/>
      <c r="D865" s="75" t="n"/>
      <c r="E865" s="76" t="n"/>
      <c r="F865" s="77" t="n"/>
      <c r="G865" s="75" t="n"/>
      <c r="H865" s="75">
        <f>IF(ISBLANK(E865),"",IF(OR(D865="Butterfly",D865="Butterfly ",D865="Iron Fly", D865="Iron Fly "),LEN(E865)-LEN(SUBSTITUTE(E865,"/",""))+2,LEN(E865)-LEN(SUBSTITUTE(E865,"/",""))+1))</f>
        <v/>
      </c>
      <c r="I865" s="78">
        <f>IF(ISBLANK(G865),"",IF(D865="Stock","0",Key!$A$3*H865*G865))</f>
        <v/>
      </c>
      <c r="J865" s="78">
        <f>IF(ISBLANK(E865),"",IF(ISNUMBER(SEARCH("/",E865)), IF(LEN(E865)-LEN(SUBSTITUTE(E865,"/",""))=1,(RIGHT(E865,LEN(E865)-FIND("/",E865)))-(LEFT(E865,FIND("/",E865)-1)),(MID(E865, SEARCH("/",E865) + 1, SEARCH("/",E865, SEARCH("/",E865)+1) - SEARCH("/",E865) - 1))-(LEFT(E865,FIND("/",E865)-1))), "NA"))</f>
        <v/>
      </c>
      <c r="K865" s="79">
        <f>IF(A865&lt;&gt;"", IF(ISBLANK(L865), TODAY(), K865), "")</f>
        <v/>
      </c>
      <c r="L865" s="78" t="n"/>
      <c r="M865" s="78">
        <f>IF(ISBLANK(L865),"",IF(D865="Stock",IF(C865="Buy",L865*G865,IF(C865="Sell",(L865*G865)-I865, X)),IF(C865="Buy",(L865*G865*100)+I865,IF(C865="Sell",(L865*G865*100)-I865, X))))</f>
        <v/>
      </c>
      <c r="N865" s="78">
        <f>IF(ISBLANK(L865),"",IF(AND(C865="Sell",D865="Stock"),M865,IF(ISBLANK(L865),"",IF(C865="Buy",M865, IF(AND(C865="Sell",J865="NA"),(E865*G865*100*0.1)+I865, IF(C865="Sell",(J865-L865)*(100*G865)+I865))))))</f>
        <v/>
      </c>
      <c r="O865" s="75" t="n"/>
      <c r="P865" s="75" t="n"/>
      <c r="Q865" s="75">
        <f>IF(ISBLANK(P865),"",IF(D865="Stock",P865*G865,IF(P865=0,"0",G865*P865*100-(G865*$AF$14))))</f>
        <v/>
      </c>
      <c r="R865" s="79">
        <f>IF(P865&lt;&gt;"", TODAY(), "")</f>
        <v/>
      </c>
      <c r="S865" s="78">
        <f>IF(AND(K865&lt;&gt;"", R865&lt;&gt;""), R865-K865, "")</f>
        <v/>
      </c>
      <c r="T865" s="78" t="n"/>
      <c r="U865" s="92">
        <f>IF(ISBLANK(P865),"",IF(C865="Buy",Q865-M865+T865, IF(C865="Sell",M865-Q865-T865, X)))</f>
        <v/>
      </c>
      <c r="V865" s="81">
        <f>IF(ISBLANK(P865),"",U865/N865)</f>
        <v/>
      </c>
      <c r="W865" s="81">
        <f>IF(ISBLANK(P865),"",IF(S865=0,(365/0.5)*V865,(365/S865)*V865))</f>
        <v/>
      </c>
      <c r="X865" s="75" t="n"/>
      <c r="Y865" s="77" t="n"/>
      <c r="Z865" s="77" t="n"/>
      <c r="AA865" s="75" t="n"/>
      <c r="AB865" s="75" t="n"/>
      <c r="AC865" s="6" t="n"/>
      <c r="AD865" s="75" t="n"/>
      <c r="AE865" s="75" t="n"/>
      <c r="AF865" s="75" t="n"/>
    </row>
    <row r="866" ht="15.75" customHeight="1" s="133">
      <c r="A866" s="75" t="n"/>
      <c r="B866" s="75" t="n"/>
      <c r="C866" s="75" t="n"/>
      <c r="D866" s="75" t="n"/>
      <c r="E866" s="76" t="n"/>
      <c r="F866" s="77" t="n"/>
      <c r="G866" s="75" t="n"/>
      <c r="H866" s="75">
        <f>IF(ISBLANK(E866),"",IF(OR(D866="Butterfly",D866="Butterfly ",D866="Iron Fly", D866="Iron Fly "),LEN(E866)-LEN(SUBSTITUTE(E866,"/",""))+2,LEN(E866)-LEN(SUBSTITUTE(E866,"/",""))+1))</f>
        <v/>
      </c>
      <c r="I866" s="78">
        <f>IF(ISBLANK(G866),"",IF(D866="Stock","0",Key!$A$3*H866*G866))</f>
        <v/>
      </c>
      <c r="J866" s="78">
        <f>IF(ISBLANK(E866),"",IF(ISNUMBER(SEARCH("/",E866)), IF(LEN(E866)-LEN(SUBSTITUTE(E866,"/",""))=1,(RIGHT(E866,LEN(E866)-FIND("/",E866)))-(LEFT(E866,FIND("/",E866)-1)),(MID(E866, SEARCH("/",E866) + 1, SEARCH("/",E866, SEARCH("/",E866)+1) - SEARCH("/",E866) - 1))-(LEFT(E866,FIND("/",E866)-1))), "NA"))</f>
        <v/>
      </c>
      <c r="K866" s="79">
        <f>IF(A866&lt;&gt;"", IF(ISBLANK(L866), TODAY(), K866), "")</f>
        <v/>
      </c>
      <c r="L866" s="78" t="n"/>
      <c r="M866" s="78">
        <f>IF(ISBLANK(L866),"",IF(D866="Stock",IF(C866="Buy",L866*G866,IF(C866="Sell",(L866*G866)-I866, X)),IF(C866="Buy",(L866*G866*100)+I866,IF(C866="Sell",(L866*G866*100)-I866, X))))</f>
        <v/>
      </c>
      <c r="N866" s="78">
        <f>IF(ISBLANK(L866),"",IF(AND(C866="Sell",D866="Stock"),M866,IF(ISBLANK(L866),"",IF(C866="Buy",M866, IF(AND(C866="Sell",J866="NA"),(E866*G866*100*0.1)+I866, IF(C866="Sell",(J866-L866)*(100*G866)+I866))))))</f>
        <v/>
      </c>
      <c r="O866" s="75" t="n"/>
      <c r="P866" s="75" t="n"/>
      <c r="Q866" s="75">
        <f>IF(ISBLANK(P866),"",IF(D866="Stock",P866*G866,IF(P866=0,"0",G866*P866*100-(G866*$AF$14))))</f>
        <v/>
      </c>
      <c r="R866" s="79">
        <f>IF(P866&lt;&gt;"", TODAY(), "")</f>
        <v/>
      </c>
      <c r="S866" s="78">
        <f>IF(AND(K866&lt;&gt;"", R866&lt;&gt;""), R866-K866, "")</f>
        <v/>
      </c>
      <c r="T866" s="78" t="n"/>
      <c r="U866" s="92">
        <f>IF(ISBLANK(P866),"",IF(C866="Buy",Q866-M866+T866, IF(C866="Sell",M866-Q866-T866, X)))</f>
        <v/>
      </c>
      <c r="V866" s="81">
        <f>IF(ISBLANK(P866),"",U866/N866)</f>
        <v/>
      </c>
      <c r="W866" s="81">
        <f>IF(ISBLANK(P866),"",IF(S866=0,(365/0.5)*V866,(365/S866)*V866))</f>
        <v/>
      </c>
      <c r="X866" s="75" t="n"/>
      <c r="Y866" s="77" t="n"/>
      <c r="Z866" s="77" t="n"/>
      <c r="AA866" s="75" t="n"/>
      <c r="AB866" s="75" t="n"/>
      <c r="AC866" s="6" t="n"/>
      <c r="AD866" s="75" t="n"/>
      <c r="AE866" s="75" t="n"/>
      <c r="AF866" s="75" t="n"/>
    </row>
    <row r="867" ht="15.75" customHeight="1" s="133">
      <c r="A867" s="75" t="n"/>
      <c r="B867" s="75" t="n"/>
      <c r="C867" s="75" t="n"/>
      <c r="D867" s="75" t="n"/>
      <c r="E867" s="76" t="n"/>
      <c r="F867" s="77" t="n"/>
      <c r="G867" s="75" t="n"/>
      <c r="H867" s="75">
        <f>IF(ISBLANK(E867),"",IF(OR(D867="Butterfly",D867="Butterfly ",D867="Iron Fly", D867="Iron Fly "),LEN(E867)-LEN(SUBSTITUTE(E867,"/",""))+2,LEN(E867)-LEN(SUBSTITUTE(E867,"/",""))+1))</f>
        <v/>
      </c>
      <c r="I867" s="78">
        <f>IF(ISBLANK(G867),"",IF(D867="Stock","0",Key!$A$3*H867*G867))</f>
        <v/>
      </c>
      <c r="J867" s="78">
        <f>IF(ISBLANK(E867),"",IF(ISNUMBER(SEARCH("/",E867)), IF(LEN(E867)-LEN(SUBSTITUTE(E867,"/",""))=1,(RIGHT(E867,LEN(E867)-FIND("/",E867)))-(LEFT(E867,FIND("/",E867)-1)),(MID(E867, SEARCH("/",E867) + 1, SEARCH("/",E867, SEARCH("/",E867)+1) - SEARCH("/",E867) - 1))-(LEFT(E867,FIND("/",E867)-1))), "NA"))</f>
        <v/>
      </c>
      <c r="K867" s="79">
        <f>IF(A867&lt;&gt;"", IF(ISBLANK(L867), TODAY(), K867), "")</f>
        <v/>
      </c>
      <c r="L867" s="78" t="n"/>
      <c r="M867" s="78">
        <f>IF(ISBLANK(L867),"",IF(D867="Stock",IF(C867="Buy",L867*G867,IF(C867="Sell",(L867*G867)-I867, X)),IF(C867="Buy",(L867*G867*100)+I867,IF(C867="Sell",(L867*G867*100)-I867, X))))</f>
        <v/>
      </c>
      <c r="N867" s="78">
        <f>IF(ISBLANK(L867),"",IF(AND(C867="Sell",D867="Stock"),M867,IF(ISBLANK(L867),"",IF(C867="Buy",M867, IF(AND(C867="Sell",J867="NA"),(E867*G867*100*0.1)+I867, IF(C867="Sell",(J867-L867)*(100*G867)+I867))))))</f>
        <v/>
      </c>
      <c r="O867" s="75" t="n"/>
      <c r="P867" s="75" t="n"/>
      <c r="Q867" s="75">
        <f>IF(ISBLANK(P867),"",IF(D867="Stock",P867*G867,IF(P867=0,"0",G867*P867*100-(G867*$AF$14))))</f>
        <v/>
      </c>
      <c r="R867" s="79">
        <f>IF(P867&lt;&gt;"", TODAY(), "")</f>
        <v/>
      </c>
      <c r="S867" s="78">
        <f>IF(AND(K867&lt;&gt;"", R867&lt;&gt;""), R867-K867, "")</f>
        <v/>
      </c>
      <c r="T867" s="78" t="n"/>
      <c r="U867" s="92">
        <f>IF(ISBLANK(P867),"",IF(C867="Buy",Q867-M867+T867, IF(C867="Sell",M867-Q867-T867, X)))</f>
        <v/>
      </c>
      <c r="V867" s="81">
        <f>IF(ISBLANK(P867),"",U867/N867)</f>
        <v/>
      </c>
      <c r="W867" s="81">
        <f>IF(ISBLANK(P867),"",IF(S867=0,(365/0.5)*V867,(365/S867)*V867))</f>
        <v/>
      </c>
      <c r="X867" s="75" t="n"/>
      <c r="Y867" s="77" t="n"/>
      <c r="Z867" s="77" t="n"/>
      <c r="AA867" s="75" t="n"/>
      <c r="AB867" s="75" t="n"/>
      <c r="AC867" s="6" t="n"/>
      <c r="AD867" s="75" t="n"/>
      <c r="AE867" s="75" t="n"/>
      <c r="AF867" s="75" t="n"/>
    </row>
    <row r="868" ht="15.75" customHeight="1" s="133">
      <c r="A868" s="75" t="n"/>
      <c r="B868" s="75" t="n"/>
      <c r="C868" s="75" t="n"/>
      <c r="D868" s="75" t="n"/>
      <c r="E868" s="76" t="n"/>
      <c r="F868" s="77" t="n"/>
      <c r="G868" s="75" t="n"/>
      <c r="H868" s="75">
        <f>IF(ISBLANK(E868),"",IF(OR(D868="Butterfly",D868="Butterfly ",D868="Iron Fly", D868="Iron Fly "),LEN(E868)-LEN(SUBSTITUTE(E868,"/",""))+2,LEN(E868)-LEN(SUBSTITUTE(E868,"/",""))+1))</f>
        <v/>
      </c>
      <c r="I868" s="78">
        <f>IF(ISBLANK(G868),"",IF(D868="Stock","0",Key!$A$3*H868*G868))</f>
        <v/>
      </c>
      <c r="J868" s="78">
        <f>IF(ISBLANK(E868),"",IF(ISNUMBER(SEARCH("/",E868)), IF(LEN(E868)-LEN(SUBSTITUTE(E868,"/",""))=1,(RIGHT(E868,LEN(E868)-FIND("/",E868)))-(LEFT(E868,FIND("/",E868)-1)),(MID(E868, SEARCH("/",E868) + 1, SEARCH("/",E868, SEARCH("/",E868)+1) - SEARCH("/",E868) - 1))-(LEFT(E868,FIND("/",E868)-1))), "NA"))</f>
        <v/>
      </c>
      <c r="K868" s="79">
        <f>IF(A868&lt;&gt;"", IF(ISBLANK(L868), TODAY(), K868), "")</f>
        <v/>
      </c>
      <c r="L868" s="78" t="n"/>
      <c r="M868" s="78">
        <f>IF(ISBLANK(L868),"",IF(D868="Stock",IF(C868="Buy",L868*G868,IF(C868="Sell",(L868*G868)-I868, X)),IF(C868="Buy",(L868*G868*100)+I868,IF(C868="Sell",(L868*G868*100)-I868, X))))</f>
        <v/>
      </c>
      <c r="N868" s="78">
        <f>IF(ISBLANK(L868),"",IF(AND(C868="Sell",D868="Stock"),M868,IF(ISBLANK(L868),"",IF(C868="Buy",M868, IF(AND(C868="Sell",J868="NA"),(E868*G868*100*0.1)+I868, IF(C868="Sell",(J868-L868)*(100*G868)+I868))))))</f>
        <v/>
      </c>
      <c r="O868" s="75" t="n"/>
      <c r="P868" s="75" t="n"/>
      <c r="Q868" s="75">
        <f>IF(ISBLANK(P868),"",IF(D868="Stock",P868*G868,IF(P868=0,"0",G868*P868*100-(G868*$AF$14))))</f>
        <v/>
      </c>
      <c r="R868" s="79">
        <f>IF(P868&lt;&gt;"", TODAY(), "")</f>
        <v/>
      </c>
      <c r="S868" s="78">
        <f>IF(AND(K868&lt;&gt;"", R868&lt;&gt;""), R868-K868, "")</f>
        <v/>
      </c>
      <c r="T868" s="78" t="n"/>
      <c r="U868" s="92">
        <f>IF(ISBLANK(P868),"",IF(C868="Buy",Q868-M868+T868, IF(C868="Sell",M868-Q868-T868, X)))</f>
        <v/>
      </c>
      <c r="V868" s="81">
        <f>IF(ISBLANK(P868),"",U868/N868)</f>
        <v/>
      </c>
      <c r="W868" s="81">
        <f>IF(ISBLANK(P868),"",IF(S868=0,(365/0.5)*V868,(365/S868)*V868))</f>
        <v/>
      </c>
      <c r="X868" s="75" t="n"/>
      <c r="Y868" s="77" t="n"/>
      <c r="Z868" s="77" t="n"/>
      <c r="AA868" s="75" t="n"/>
      <c r="AB868" s="75" t="n"/>
      <c r="AC868" s="6" t="n"/>
      <c r="AD868" s="75" t="n"/>
      <c r="AE868" s="75" t="n"/>
      <c r="AF868" s="75" t="n"/>
    </row>
    <row r="869" ht="15.75" customHeight="1" s="133">
      <c r="A869" s="75" t="n"/>
      <c r="B869" s="75" t="n"/>
      <c r="C869" s="75" t="n"/>
      <c r="D869" s="75" t="n"/>
      <c r="E869" s="76" t="n"/>
      <c r="F869" s="77" t="n"/>
      <c r="G869" s="75" t="n"/>
      <c r="H869" s="75">
        <f>IF(ISBLANK(E869),"",IF(OR(D869="Butterfly",D869="Butterfly ",D869="Iron Fly", D869="Iron Fly "),LEN(E869)-LEN(SUBSTITUTE(E869,"/",""))+2,LEN(E869)-LEN(SUBSTITUTE(E869,"/",""))+1))</f>
        <v/>
      </c>
      <c r="I869" s="78">
        <f>IF(ISBLANK(G869),"",IF(D869="Stock","0",Key!$A$3*H869*G869))</f>
        <v/>
      </c>
      <c r="J869" s="78">
        <f>IF(ISBLANK(E869),"",IF(ISNUMBER(SEARCH("/",E869)), IF(LEN(E869)-LEN(SUBSTITUTE(E869,"/",""))=1,(RIGHT(E869,LEN(E869)-FIND("/",E869)))-(LEFT(E869,FIND("/",E869)-1)),(MID(E869, SEARCH("/",E869) + 1, SEARCH("/",E869, SEARCH("/",E869)+1) - SEARCH("/",E869) - 1))-(LEFT(E869,FIND("/",E869)-1))), "NA"))</f>
        <v/>
      </c>
      <c r="K869" s="79">
        <f>IF(A869&lt;&gt;"", IF(ISBLANK(L869), TODAY(), K869), "")</f>
        <v/>
      </c>
      <c r="L869" s="78" t="n"/>
      <c r="M869" s="78">
        <f>IF(ISBLANK(L869),"",IF(D869="Stock",IF(C869="Buy",L869*G869,IF(C869="Sell",(L869*G869)-I869, X)),IF(C869="Buy",(L869*G869*100)+I869,IF(C869="Sell",(L869*G869*100)-I869, X))))</f>
        <v/>
      </c>
      <c r="N869" s="78">
        <f>IF(ISBLANK(L869),"",IF(AND(C869="Sell",D869="Stock"),M869,IF(ISBLANK(L869),"",IF(C869="Buy",M869, IF(AND(C869="Sell",J869="NA"),(E869*G869*100*0.1)+I869, IF(C869="Sell",(J869-L869)*(100*G869)+I869))))))</f>
        <v/>
      </c>
      <c r="O869" s="75" t="n"/>
      <c r="P869" s="75" t="n"/>
      <c r="Q869" s="75">
        <f>IF(ISBLANK(P869),"",IF(D869="Stock",P869*G869,IF(P869=0,"0",G869*P869*100-(G869*$AF$14))))</f>
        <v/>
      </c>
      <c r="R869" s="79">
        <f>IF(P869&lt;&gt;"", TODAY(), "")</f>
        <v/>
      </c>
      <c r="S869" s="78">
        <f>IF(AND(K869&lt;&gt;"", R869&lt;&gt;""), R869-K869, "")</f>
        <v/>
      </c>
      <c r="T869" s="78" t="n"/>
      <c r="U869" s="92">
        <f>IF(ISBLANK(P869),"",IF(C869="Buy",Q869-M869+T869, IF(C869="Sell",M869-Q869-T869, X)))</f>
        <v/>
      </c>
      <c r="V869" s="81">
        <f>IF(ISBLANK(P869),"",U869/N869)</f>
        <v/>
      </c>
      <c r="W869" s="81">
        <f>IF(ISBLANK(P869),"",IF(S869=0,(365/0.5)*V869,(365/S869)*V869))</f>
        <v/>
      </c>
      <c r="X869" s="75" t="n"/>
      <c r="Y869" s="77" t="n"/>
      <c r="Z869" s="77" t="n"/>
      <c r="AA869" s="75" t="n"/>
      <c r="AB869" s="75" t="n"/>
      <c r="AC869" s="6" t="n"/>
      <c r="AD869" s="75" t="n"/>
      <c r="AE869" s="75" t="n"/>
      <c r="AF869" s="75" t="n"/>
    </row>
    <row r="870" ht="15.75" customHeight="1" s="133">
      <c r="A870" s="75" t="n"/>
      <c r="B870" s="75" t="n"/>
      <c r="C870" s="75" t="n"/>
      <c r="D870" s="75" t="n"/>
      <c r="E870" s="76" t="n"/>
      <c r="F870" s="77" t="n"/>
      <c r="G870" s="75" t="n"/>
      <c r="H870" s="75">
        <f>IF(ISBLANK(E870),"",IF(OR(D870="Butterfly",D870="Butterfly ",D870="Iron Fly", D870="Iron Fly "),LEN(E870)-LEN(SUBSTITUTE(E870,"/",""))+2,LEN(E870)-LEN(SUBSTITUTE(E870,"/",""))+1))</f>
        <v/>
      </c>
      <c r="I870" s="78">
        <f>IF(ISBLANK(G870),"",IF(D870="Stock","0",Key!$A$3*H870*G870))</f>
        <v/>
      </c>
      <c r="J870" s="78">
        <f>IF(ISBLANK(E870),"",IF(ISNUMBER(SEARCH("/",E870)), IF(LEN(E870)-LEN(SUBSTITUTE(E870,"/",""))=1,(RIGHT(E870,LEN(E870)-FIND("/",E870)))-(LEFT(E870,FIND("/",E870)-1)),(MID(E870, SEARCH("/",E870) + 1, SEARCH("/",E870, SEARCH("/",E870)+1) - SEARCH("/",E870) - 1))-(LEFT(E870,FIND("/",E870)-1))), "NA"))</f>
        <v/>
      </c>
      <c r="K870" s="79">
        <f>IF(A870&lt;&gt;"", IF(ISBLANK(L870), TODAY(), K870), "")</f>
        <v/>
      </c>
      <c r="L870" s="78" t="n"/>
      <c r="M870" s="78">
        <f>IF(ISBLANK(L870),"",IF(D870="Stock",IF(C870="Buy",L870*G870,IF(C870="Sell",(L870*G870)-I870, X)),IF(C870="Buy",(L870*G870*100)+I870,IF(C870="Sell",(L870*G870*100)-I870, X))))</f>
        <v/>
      </c>
      <c r="N870" s="78">
        <f>IF(ISBLANK(L870),"",IF(AND(C870="Sell",D870="Stock"),M870,IF(ISBLANK(L870),"",IF(C870="Buy",M870, IF(AND(C870="Sell",J870="NA"),(E870*G870*100*0.1)+I870, IF(C870="Sell",(J870-L870)*(100*G870)+I870))))))</f>
        <v/>
      </c>
      <c r="O870" s="75" t="n"/>
      <c r="P870" s="75" t="n"/>
      <c r="Q870" s="75">
        <f>IF(ISBLANK(P870),"",IF(D870="Stock",P870*G870,IF(P870=0,"0",G870*P870*100-(G870*$AF$14))))</f>
        <v/>
      </c>
      <c r="R870" s="79">
        <f>IF(P870&lt;&gt;"", TODAY(), "")</f>
        <v/>
      </c>
      <c r="S870" s="78">
        <f>IF(AND(K870&lt;&gt;"", R870&lt;&gt;""), R870-K870, "")</f>
        <v/>
      </c>
      <c r="T870" s="78" t="n"/>
      <c r="U870" s="92">
        <f>IF(ISBLANK(P870),"",IF(C870="Buy",Q870-M870+T870, IF(C870="Sell",M870-Q870-T870, X)))</f>
        <v/>
      </c>
      <c r="V870" s="81">
        <f>IF(ISBLANK(P870),"",U870/N870)</f>
        <v/>
      </c>
      <c r="W870" s="81">
        <f>IF(ISBLANK(P870),"",IF(S870=0,(365/0.5)*V870,(365/S870)*V870))</f>
        <v/>
      </c>
      <c r="X870" s="75" t="n"/>
      <c r="Y870" s="77" t="n"/>
      <c r="Z870" s="77" t="n"/>
      <c r="AA870" s="75" t="n"/>
      <c r="AB870" s="75" t="n"/>
      <c r="AC870" s="6" t="n"/>
      <c r="AD870" s="75" t="n"/>
      <c r="AE870" s="75" t="n"/>
      <c r="AF870" s="75" t="n"/>
    </row>
    <row r="871" ht="15.75" customHeight="1" s="133">
      <c r="A871" s="75" t="n"/>
      <c r="B871" s="75" t="n"/>
      <c r="C871" s="75" t="n"/>
      <c r="D871" s="75" t="n"/>
      <c r="E871" s="76" t="n"/>
      <c r="F871" s="77" t="n"/>
      <c r="G871" s="75" t="n"/>
      <c r="H871" s="75">
        <f>IF(ISBLANK(E871),"",IF(OR(D871="Butterfly",D871="Butterfly ",D871="Iron Fly", D871="Iron Fly "),LEN(E871)-LEN(SUBSTITUTE(E871,"/",""))+2,LEN(E871)-LEN(SUBSTITUTE(E871,"/",""))+1))</f>
        <v/>
      </c>
      <c r="I871" s="78">
        <f>IF(ISBLANK(G871),"",IF(D871="Stock","0",Key!$A$3*H871*G871))</f>
        <v/>
      </c>
      <c r="J871" s="78">
        <f>IF(ISBLANK(E871),"",IF(ISNUMBER(SEARCH("/",E871)), IF(LEN(E871)-LEN(SUBSTITUTE(E871,"/",""))=1,(RIGHT(E871,LEN(E871)-FIND("/",E871)))-(LEFT(E871,FIND("/",E871)-1)),(MID(E871, SEARCH("/",E871) + 1, SEARCH("/",E871, SEARCH("/",E871)+1) - SEARCH("/",E871) - 1))-(LEFT(E871,FIND("/",E871)-1))), "NA"))</f>
        <v/>
      </c>
      <c r="K871" s="79">
        <f>IF(A871&lt;&gt;"", IF(ISBLANK(L871), TODAY(), K871), "")</f>
        <v/>
      </c>
      <c r="L871" s="78" t="n"/>
      <c r="M871" s="78">
        <f>IF(ISBLANK(L871),"",IF(D871="Stock",IF(C871="Buy",L871*G871,IF(C871="Sell",(L871*G871)-I871, X)),IF(C871="Buy",(L871*G871*100)+I871,IF(C871="Sell",(L871*G871*100)-I871, X))))</f>
        <v/>
      </c>
      <c r="N871" s="78">
        <f>IF(ISBLANK(L871),"",IF(AND(C871="Sell",D871="Stock"),M871,IF(ISBLANK(L871),"",IF(C871="Buy",M871, IF(AND(C871="Sell",J871="NA"),(E871*G871*100*0.1)+I871, IF(C871="Sell",(J871-L871)*(100*G871)+I871))))))</f>
        <v/>
      </c>
      <c r="O871" s="75" t="n"/>
      <c r="P871" s="75" t="n"/>
      <c r="Q871" s="75">
        <f>IF(ISBLANK(P871),"",IF(D871="Stock",P871*G871,IF(P871=0,"0",G871*P871*100-(G871*$AF$14))))</f>
        <v/>
      </c>
      <c r="R871" s="79">
        <f>IF(P871&lt;&gt;"", TODAY(), "")</f>
        <v/>
      </c>
      <c r="S871" s="78">
        <f>IF(AND(K871&lt;&gt;"", R871&lt;&gt;""), R871-K871, "")</f>
        <v/>
      </c>
      <c r="T871" s="78" t="n"/>
      <c r="U871" s="92">
        <f>IF(ISBLANK(P871),"",IF(C871="Buy",Q871-M871+T871, IF(C871="Sell",M871-Q871-T871, X)))</f>
        <v/>
      </c>
      <c r="V871" s="81">
        <f>IF(ISBLANK(P871),"",U871/N871)</f>
        <v/>
      </c>
      <c r="W871" s="81">
        <f>IF(ISBLANK(P871),"",IF(S871=0,(365/0.5)*V871,(365/S871)*V871))</f>
        <v/>
      </c>
      <c r="X871" s="75" t="n"/>
      <c r="Y871" s="77" t="n"/>
      <c r="Z871" s="77" t="n"/>
      <c r="AA871" s="75" t="n"/>
      <c r="AB871" s="75" t="n"/>
      <c r="AC871" s="6" t="n"/>
      <c r="AD871" s="75" t="n"/>
      <c r="AE871" s="75" t="n"/>
      <c r="AF871" s="75" t="n"/>
    </row>
    <row r="872" ht="15.75" customHeight="1" s="133">
      <c r="A872" s="75" t="n"/>
      <c r="B872" s="75" t="n"/>
      <c r="C872" s="75" t="n"/>
      <c r="D872" s="75" t="n"/>
      <c r="E872" s="76" t="n"/>
      <c r="F872" s="77" t="n"/>
      <c r="G872" s="75" t="n"/>
      <c r="H872" s="75">
        <f>IF(ISBLANK(E872),"",IF(OR(D872="Butterfly",D872="Butterfly ",D872="Iron Fly", D872="Iron Fly "),LEN(E872)-LEN(SUBSTITUTE(E872,"/",""))+2,LEN(E872)-LEN(SUBSTITUTE(E872,"/",""))+1))</f>
        <v/>
      </c>
      <c r="I872" s="78">
        <f>IF(ISBLANK(G872),"",IF(D872="Stock","0",Key!$A$3*H872*G872))</f>
        <v/>
      </c>
      <c r="J872" s="78">
        <f>IF(ISBLANK(E872),"",IF(ISNUMBER(SEARCH("/",E872)), IF(LEN(E872)-LEN(SUBSTITUTE(E872,"/",""))=1,(RIGHT(E872,LEN(E872)-FIND("/",E872)))-(LEFT(E872,FIND("/",E872)-1)),(MID(E872, SEARCH("/",E872) + 1, SEARCH("/",E872, SEARCH("/",E872)+1) - SEARCH("/",E872) - 1))-(LEFT(E872,FIND("/",E872)-1))), "NA"))</f>
        <v/>
      </c>
      <c r="K872" s="79">
        <f>IF(A872&lt;&gt;"", IF(ISBLANK(L872), TODAY(), K872), "")</f>
        <v/>
      </c>
      <c r="L872" s="78" t="n"/>
      <c r="M872" s="78">
        <f>IF(ISBLANK(L872),"",IF(D872="Stock",IF(C872="Buy",L872*G872,IF(C872="Sell",(L872*G872)-I872, X)),IF(C872="Buy",(L872*G872*100)+I872,IF(C872="Sell",(L872*G872*100)-I872, X))))</f>
        <v/>
      </c>
      <c r="N872" s="78">
        <f>IF(ISBLANK(L872),"",IF(AND(C872="Sell",D872="Stock"),M872,IF(ISBLANK(L872),"",IF(C872="Buy",M872, IF(AND(C872="Sell",J872="NA"),(E872*G872*100*0.1)+I872, IF(C872="Sell",(J872-L872)*(100*G872)+I872))))))</f>
        <v/>
      </c>
      <c r="O872" s="75" t="n"/>
      <c r="P872" s="75" t="n"/>
      <c r="Q872" s="75">
        <f>IF(ISBLANK(P872),"",IF(D872="Stock",P872*G872,IF(P872=0,"0",G872*P872*100-(G872*$AF$14))))</f>
        <v/>
      </c>
      <c r="R872" s="79">
        <f>IF(P872&lt;&gt;"", TODAY(), "")</f>
        <v/>
      </c>
      <c r="S872" s="78">
        <f>IF(AND(K872&lt;&gt;"", R872&lt;&gt;""), R872-K872, "")</f>
        <v/>
      </c>
      <c r="T872" s="78" t="n"/>
      <c r="U872" s="92">
        <f>IF(ISBLANK(P872),"",IF(C872="Buy",Q872-M872+T872, IF(C872="Sell",M872-Q872-T872, X)))</f>
        <v/>
      </c>
      <c r="V872" s="81">
        <f>IF(ISBLANK(P872),"",U872/N872)</f>
        <v/>
      </c>
      <c r="W872" s="81">
        <f>IF(ISBLANK(P872),"",IF(S872=0,(365/0.5)*V872,(365/S872)*V872))</f>
        <v/>
      </c>
      <c r="X872" s="75" t="n"/>
      <c r="Y872" s="77" t="n"/>
      <c r="Z872" s="77" t="n"/>
      <c r="AA872" s="75" t="n"/>
      <c r="AB872" s="75" t="n"/>
      <c r="AC872" s="6" t="n"/>
      <c r="AD872" s="75" t="n"/>
      <c r="AE872" s="75" t="n"/>
      <c r="AF872" s="75" t="n"/>
    </row>
    <row r="873" ht="15.75" customHeight="1" s="133">
      <c r="A873" s="75" t="n"/>
      <c r="B873" s="75" t="n"/>
      <c r="C873" s="75" t="n"/>
      <c r="D873" s="75" t="n"/>
      <c r="E873" s="76" t="n"/>
      <c r="F873" s="77" t="n"/>
      <c r="G873" s="75" t="n"/>
      <c r="H873" s="75">
        <f>IF(ISBLANK(E873),"",IF(OR(D873="Butterfly",D873="Butterfly ",D873="Iron Fly", D873="Iron Fly "),LEN(E873)-LEN(SUBSTITUTE(E873,"/",""))+2,LEN(E873)-LEN(SUBSTITUTE(E873,"/",""))+1))</f>
        <v/>
      </c>
      <c r="I873" s="78">
        <f>IF(ISBLANK(G873),"",IF(D873="Stock","0",Key!$A$3*H873*G873))</f>
        <v/>
      </c>
      <c r="J873" s="78">
        <f>IF(ISBLANK(E873),"",IF(ISNUMBER(SEARCH("/",E873)), IF(LEN(E873)-LEN(SUBSTITUTE(E873,"/",""))=1,(RIGHT(E873,LEN(E873)-FIND("/",E873)))-(LEFT(E873,FIND("/",E873)-1)),(MID(E873, SEARCH("/",E873) + 1, SEARCH("/",E873, SEARCH("/",E873)+1) - SEARCH("/",E873) - 1))-(LEFT(E873,FIND("/",E873)-1))), "NA"))</f>
        <v/>
      </c>
      <c r="K873" s="79">
        <f>IF(A873&lt;&gt;"", IF(ISBLANK(L873), TODAY(), K873), "")</f>
        <v/>
      </c>
      <c r="L873" s="78" t="n"/>
      <c r="M873" s="78">
        <f>IF(ISBLANK(L873),"",IF(D873="Stock",IF(C873="Buy",L873*G873,IF(C873="Sell",(L873*G873)-I873, X)),IF(C873="Buy",(L873*G873*100)+I873,IF(C873="Sell",(L873*G873*100)-I873, X))))</f>
        <v/>
      </c>
      <c r="N873" s="78">
        <f>IF(ISBLANK(L873),"",IF(AND(C873="Sell",D873="Stock"),M873,IF(ISBLANK(L873),"",IF(C873="Buy",M873, IF(AND(C873="Sell",J873="NA"),(E873*G873*100*0.1)+I873, IF(C873="Sell",(J873-L873)*(100*G873)+I873))))))</f>
        <v/>
      </c>
      <c r="O873" s="75" t="n"/>
      <c r="P873" s="75" t="n"/>
      <c r="Q873" s="75">
        <f>IF(ISBLANK(P873),"",IF(D873="Stock",P873*G873,IF(P873=0,"0",G873*P873*100-(G873*$AF$14))))</f>
        <v/>
      </c>
      <c r="R873" s="79">
        <f>IF(P873&lt;&gt;"", TODAY(), "")</f>
        <v/>
      </c>
      <c r="S873" s="78">
        <f>IF(AND(K873&lt;&gt;"", R873&lt;&gt;""), R873-K873, "")</f>
        <v/>
      </c>
      <c r="T873" s="78" t="n"/>
      <c r="U873" s="92">
        <f>IF(ISBLANK(P873),"",IF(C873="Buy",Q873-M873+T873, IF(C873="Sell",M873-Q873-T873, X)))</f>
        <v/>
      </c>
      <c r="V873" s="81">
        <f>IF(ISBLANK(P873),"",U873/N873)</f>
        <v/>
      </c>
      <c r="W873" s="81">
        <f>IF(ISBLANK(P873),"",IF(S873=0,(365/0.5)*V873,(365/S873)*V873))</f>
        <v/>
      </c>
      <c r="X873" s="75" t="n"/>
      <c r="Y873" s="77" t="n"/>
      <c r="Z873" s="77" t="n"/>
      <c r="AA873" s="75" t="n"/>
      <c r="AB873" s="75" t="n"/>
      <c r="AC873" s="6" t="n"/>
      <c r="AD873" s="75" t="n"/>
      <c r="AE873" s="75" t="n"/>
      <c r="AF873" s="75" t="n"/>
    </row>
    <row r="874" ht="15.75" customHeight="1" s="133">
      <c r="A874" s="75" t="n"/>
      <c r="B874" s="75" t="n"/>
      <c r="C874" s="75" t="n"/>
      <c r="D874" s="75" t="n"/>
      <c r="E874" s="76" t="n"/>
      <c r="F874" s="77" t="n"/>
      <c r="G874" s="75" t="n"/>
      <c r="H874" s="75">
        <f>IF(ISBLANK(E874),"",IF(OR(D874="Butterfly",D874="Butterfly ",D874="Iron Fly", D874="Iron Fly "),LEN(E874)-LEN(SUBSTITUTE(E874,"/",""))+2,LEN(E874)-LEN(SUBSTITUTE(E874,"/",""))+1))</f>
        <v/>
      </c>
      <c r="I874" s="78">
        <f>IF(ISBLANK(G874),"",IF(D874="Stock","0",Key!$A$3*H874*G874))</f>
        <v/>
      </c>
      <c r="J874" s="78">
        <f>IF(ISBLANK(E874),"",IF(ISNUMBER(SEARCH("/",E874)), IF(LEN(E874)-LEN(SUBSTITUTE(E874,"/",""))=1,(RIGHT(E874,LEN(E874)-FIND("/",E874)))-(LEFT(E874,FIND("/",E874)-1)),(MID(E874, SEARCH("/",E874) + 1, SEARCH("/",E874, SEARCH("/",E874)+1) - SEARCH("/",E874) - 1))-(LEFT(E874,FIND("/",E874)-1))), "NA"))</f>
        <v/>
      </c>
      <c r="K874" s="79">
        <f>IF(A874&lt;&gt;"", IF(ISBLANK(L874), TODAY(), K874), "")</f>
        <v/>
      </c>
      <c r="L874" s="78" t="n"/>
      <c r="M874" s="78">
        <f>IF(ISBLANK(L874),"",IF(D874="Stock",IF(C874="Buy",L874*G874,IF(C874="Sell",(L874*G874)-I874, X)),IF(C874="Buy",(L874*G874*100)+I874,IF(C874="Sell",(L874*G874*100)-I874, X))))</f>
        <v/>
      </c>
      <c r="N874" s="78">
        <f>IF(ISBLANK(L874),"",IF(AND(C874="Sell",D874="Stock"),M874,IF(ISBLANK(L874),"",IF(C874="Buy",M874, IF(AND(C874="Sell",J874="NA"),(E874*G874*100*0.1)+I874, IF(C874="Sell",(J874-L874)*(100*G874)+I874))))))</f>
        <v/>
      </c>
      <c r="O874" s="75" t="n"/>
      <c r="P874" s="75" t="n"/>
      <c r="Q874" s="75">
        <f>IF(ISBLANK(P874),"",IF(D874="Stock",P874*G874,IF(P874=0,"0",G874*P874*100-(G874*$AF$14))))</f>
        <v/>
      </c>
      <c r="R874" s="79">
        <f>IF(P874&lt;&gt;"", TODAY(), "")</f>
        <v/>
      </c>
      <c r="S874" s="78">
        <f>IF(AND(K874&lt;&gt;"", R874&lt;&gt;""), R874-K874, "")</f>
        <v/>
      </c>
      <c r="T874" s="78" t="n"/>
      <c r="U874" s="92">
        <f>IF(ISBLANK(P874),"",IF(C874="Buy",Q874-M874+T874, IF(C874="Sell",M874-Q874-T874, X)))</f>
        <v/>
      </c>
      <c r="V874" s="81">
        <f>IF(ISBLANK(P874),"",U874/N874)</f>
        <v/>
      </c>
      <c r="W874" s="81">
        <f>IF(ISBLANK(P874),"",IF(S874=0,(365/0.5)*V874,(365/S874)*V874))</f>
        <v/>
      </c>
      <c r="X874" s="75" t="n"/>
      <c r="Y874" s="77" t="n"/>
      <c r="Z874" s="77" t="n"/>
      <c r="AA874" s="75" t="n"/>
      <c r="AB874" s="75" t="n"/>
      <c r="AC874" s="6" t="n"/>
      <c r="AD874" s="75" t="n"/>
      <c r="AE874" s="75" t="n"/>
      <c r="AF874" s="75" t="n"/>
    </row>
    <row r="875" ht="15.75" customHeight="1" s="133">
      <c r="A875" s="75" t="n"/>
      <c r="B875" s="75" t="n"/>
      <c r="C875" s="75" t="n"/>
      <c r="D875" s="75" t="n"/>
      <c r="E875" s="76" t="n"/>
      <c r="F875" s="77" t="n"/>
      <c r="G875" s="75" t="n"/>
      <c r="H875" s="75">
        <f>IF(ISBLANK(E875),"",IF(OR(D875="Butterfly",D875="Butterfly ",D875="Iron Fly", D875="Iron Fly "),LEN(E875)-LEN(SUBSTITUTE(E875,"/",""))+2,LEN(E875)-LEN(SUBSTITUTE(E875,"/",""))+1))</f>
        <v/>
      </c>
      <c r="I875" s="78">
        <f>IF(ISBLANK(G875),"",IF(D875="Stock","0",Key!$A$3*H875*G875))</f>
        <v/>
      </c>
      <c r="J875" s="78">
        <f>IF(ISBLANK(E875),"",IF(ISNUMBER(SEARCH("/",E875)), IF(LEN(E875)-LEN(SUBSTITUTE(E875,"/",""))=1,(RIGHT(E875,LEN(E875)-FIND("/",E875)))-(LEFT(E875,FIND("/",E875)-1)),(MID(E875, SEARCH("/",E875) + 1, SEARCH("/",E875, SEARCH("/",E875)+1) - SEARCH("/",E875) - 1))-(LEFT(E875,FIND("/",E875)-1))), "NA"))</f>
        <v/>
      </c>
      <c r="K875" s="79">
        <f>IF(A875&lt;&gt;"", IF(ISBLANK(L875), TODAY(), K875), "")</f>
        <v/>
      </c>
      <c r="L875" s="78" t="n"/>
      <c r="M875" s="78">
        <f>IF(ISBLANK(L875),"",IF(D875="Stock",IF(C875="Buy",L875*G875,IF(C875="Sell",(L875*G875)-I875, X)),IF(C875="Buy",(L875*G875*100)+I875,IF(C875="Sell",(L875*G875*100)-I875, X))))</f>
        <v/>
      </c>
      <c r="N875" s="78">
        <f>IF(ISBLANK(L875),"",IF(AND(C875="Sell",D875="Stock"),M875,IF(ISBLANK(L875),"",IF(C875="Buy",M875, IF(AND(C875="Sell",J875="NA"),(E875*G875*100*0.1)+I875, IF(C875="Sell",(J875-L875)*(100*G875)+I875))))))</f>
        <v/>
      </c>
      <c r="O875" s="75" t="n"/>
      <c r="P875" s="75" t="n"/>
      <c r="Q875" s="75">
        <f>IF(ISBLANK(P875),"",IF(D875="Stock",P875*G875,IF(P875=0,"0",G875*P875*100-(G875*$AF$14))))</f>
        <v/>
      </c>
      <c r="R875" s="79">
        <f>IF(P875&lt;&gt;"", TODAY(), "")</f>
        <v/>
      </c>
      <c r="S875" s="78">
        <f>IF(AND(K875&lt;&gt;"", R875&lt;&gt;""), R875-K875, "")</f>
        <v/>
      </c>
      <c r="T875" s="78" t="n"/>
      <c r="U875" s="92">
        <f>IF(ISBLANK(P875),"",IF(C875="Buy",Q875-M875+T875, IF(C875="Sell",M875-Q875-T875, X)))</f>
        <v/>
      </c>
      <c r="V875" s="81">
        <f>IF(ISBLANK(P875),"",U875/N875)</f>
        <v/>
      </c>
      <c r="W875" s="81">
        <f>IF(ISBLANK(P875),"",IF(S875=0,(365/0.5)*V875,(365/S875)*V875))</f>
        <v/>
      </c>
      <c r="X875" s="75" t="n"/>
      <c r="Y875" s="77" t="n"/>
      <c r="Z875" s="77" t="n"/>
      <c r="AA875" s="75" t="n"/>
      <c r="AB875" s="75" t="n"/>
      <c r="AC875" s="6" t="n"/>
      <c r="AD875" s="75" t="n"/>
      <c r="AE875" s="75" t="n"/>
      <c r="AF875" s="75" t="n"/>
    </row>
    <row r="876" ht="15.75" customHeight="1" s="133">
      <c r="A876" s="75" t="n"/>
      <c r="B876" s="75" t="n"/>
      <c r="C876" s="75" t="n"/>
      <c r="D876" s="75" t="n"/>
      <c r="E876" s="76" t="n"/>
      <c r="F876" s="77" t="n"/>
      <c r="G876" s="75" t="n"/>
      <c r="H876" s="75">
        <f>IF(ISBLANK(E876),"",IF(OR(D876="Butterfly",D876="Butterfly ",D876="Iron Fly", D876="Iron Fly "),LEN(E876)-LEN(SUBSTITUTE(E876,"/",""))+2,LEN(E876)-LEN(SUBSTITUTE(E876,"/",""))+1))</f>
        <v/>
      </c>
      <c r="I876" s="78">
        <f>IF(ISBLANK(G876),"",IF(D876="Stock","0",Key!$A$3*H876*G876))</f>
        <v/>
      </c>
      <c r="J876" s="78">
        <f>IF(ISBLANK(E876),"",IF(ISNUMBER(SEARCH("/",E876)), IF(LEN(E876)-LEN(SUBSTITUTE(E876,"/",""))=1,(RIGHT(E876,LEN(E876)-FIND("/",E876)))-(LEFT(E876,FIND("/",E876)-1)),(MID(E876, SEARCH("/",E876) + 1, SEARCH("/",E876, SEARCH("/",E876)+1) - SEARCH("/",E876) - 1))-(LEFT(E876,FIND("/",E876)-1))), "NA"))</f>
        <v/>
      </c>
      <c r="K876" s="79">
        <f>IF(A876&lt;&gt;"", IF(ISBLANK(L876), TODAY(), K876), "")</f>
        <v/>
      </c>
      <c r="L876" s="78" t="n"/>
      <c r="M876" s="78">
        <f>IF(ISBLANK(L876),"",IF(D876="Stock",IF(C876="Buy",L876*G876,IF(C876="Sell",(L876*G876)-I876, X)),IF(C876="Buy",(L876*G876*100)+I876,IF(C876="Sell",(L876*G876*100)-I876, X))))</f>
        <v/>
      </c>
      <c r="N876" s="78">
        <f>IF(ISBLANK(L876),"",IF(AND(C876="Sell",D876="Stock"),M876,IF(ISBLANK(L876),"",IF(C876="Buy",M876, IF(AND(C876="Sell",J876="NA"),(E876*G876*100*0.1)+I876, IF(C876="Sell",(J876-L876)*(100*G876)+I876))))))</f>
        <v/>
      </c>
      <c r="O876" s="75" t="n"/>
      <c r="P876" s="75" t="n"/>
      <c r="Q876" s="75">
        <f>IF(ISBLANK(P876),"",IF(D876="Stock",P876*G876,IF(P876=0,"0",G876*P876*100-(G876*$AF$14))))</f>
        <v/>
      </c>
      <c r="R876" s="79">
        <f>IF(P876&lt;&gt;"", TODAY(), "")</f>
        <v/>
      </c>
      <c r="S876" s="78">
        <f>IF(AND(K876&lt;&gt;"", R876&lt;&gt;""), R876-K876, "")</f>
        <v/>
      </c>
      <c r="T876" s="78" t="n"/>
      <c r="U876" s="92">
        <f>IF(ISBLANK(P876),"",IF(C876="Buy",Q876-M876+T876, IF(C876="Sell",M876-Q876-T876, X)))</f>
        <v/>
      </c>
      <c r="V876" s="81">
        <f>IF(ISBLANK(P876),"",U876/N876)</f>
        <v/>
      </c>
      <c r="W876" s="81">
        <f>IF(ISBLANK(P876),"",IF(S876=0,(365/0.5)*V876,(365/S876)*V876))</f>
        <v/>
      </c>
      <c r="X876" s="75" t="n"/>
      <c r="Y876" s="77" t="n"/>
      <c r="Z876" s="77" t="n"/>
      <c r="AA876" s="75" t="n"/>
      <c r="AB876" s="75" t="n"/>
      <c r="AC876" s="6" t="n"/>
      <c r="AD876" s="75" t="n"/>
      <c r="AE876" s="75" t="n"/>
      <c r="AF876" s="75" t="n"/>
    </row>
    <row r="877" ht="15.75" customHeight="1" s="133">
      <c r="A877" s="75" t="n"/>
      <c r="B877" s="75" t="n"/>
      <c r="C877" s="75" t="n"/>
      <c r="D877" s="75" t="n"/>
      <c r="E877" s="76" t="n"/>
      <c r="F877" s="77" t="n"/>
      <c r="G877" s="75" t="n"/>
      <c r="H877" s="75">
        <f>IF(ISBLANK(E877),"",IF(OR(D877="Butterfly",D877="Butterfly ",D877="Iron Fly", D877="Iron Fly "),LEN(E877)-LEN(SUBSTITUTE(E877,"/",""))+2,LEN(E877)-LEN(SUBSTITUTE(E877,"/",""))+1))</f>
        <v/>
      </c>
      <c r="I877" s="78">
        <f>IF(ISBLANK(G877),"",IF(D877="Stock","0",Key!$A$3*H877*G877))</f>
        <v/>
      </c>
      <c r="J877" s="78">
        <f>IF(ISBLANK(E877),"",IF(ISNUMBER(SEARCH("/",E877)), IF(LEN(E877)-LEN(SUBSTITUTE(E877,"/",""))=1,(RIGHT(E877,LEN(E877)-FIND("/",E877)))-(LEFT(E877,FIND("/",E877)-1)),(MID(E877, SEARCH("/",E877) + 1, SEARCH("/",E877, SEARCH("/",E877)+1) - SEARCH("/",E877) - 1))-(LEFT(E877,FIND("/",E877)-1))), "NA"))</f>
        <v/>
      </c>
      <c r="K877" s="79">
        <f>IF(A877&lt;&gt;"", IF(ISBLANK(L877), TODAY(), K877), "")</f>
        <v/>
      </c>
      <c r="L877" s="78" t="n"/>
      <c r="M877" s="78">
        <f>IF(ISBLANK(L877),"",IF(D877="Stock",IF(C877="Buy",L877*G877,IF(C877="Sell",(L877*G877)-I877, X)),IF(C877="Buy",(L877*G877*100)+I877,IF(C877="Sell",(L877*G877*100)-I877, X))))</f>
        <v/>
      </c>
      <c r="N877" s="78">
        <f>IF(ISBLANK(L877),"",IF(AND(C877="Sell",D877="Stock"),M877,IF(ISBLANK(L877),"",IF(C877="Buy",M877, IF(AND(C877="Sell",J877="NA"),(E877*G877*100*0.1)+I877, IF(C877="Sell",(J877-L877)*(100*G877)+I877))))))</f>
        <v/>
      </c>
      <c r="O877" s="75" t="n"/>
      <c r="P877" s="75" t="n"/>
      <c r="Q877" s="75">
        <f>IF(ISBLANK(P877),"",IF(D877="Stock",P877*G877,IF(P877=0,"0",G877*P877*100-(G877*$AF$14))))</f>
        <v/>
      </c>
      <c r="R877" s="79">
        <f>IF(P877&lt;&gt;"", TODAY(), "")</f>
        <v/>
      </c>
      <c r="S877" s="78">
        <f>IF(AND(K877&lt;&gt;"", R877&lt;&gt;""), R877-K877, "")</f>
        <v/>
      </c>
      <c r="T877" s="78" t="n"/>
      <c r="U877" s="92">
        <f>IF(ISBLANK(P877),"",IF(C877="Buy",Q877-M877+T877, IF(C877="Sell",M877-Q877-T877, X)))</f>
        <v/>
      </c>
      <c r="V877" s="81">
        <f>IF(ISBLANK(P877),"",U877/N877)</f>
        <v/>
      </c>
      <c r="W877" s="81">
        <f>IF(ISBLANK(P877),"",IF(S877=0,(365/0.5)*V877,(365/S877)*V877))</f>
        <v/>
      </c>
      <c r="X877" s="75" t="n"/>
      <c r="Y877" s="77" t="n"/>
      <c r="Z877" s="77" t="n"/>
      <c r="AA877" s="75" t="n"/>
      <c r="AB877" s="75" t="n"/>
      <c r="AC877" s="6" t="n"/>
      <c r="AD877" s="75" t="n"/>
      <c r="AE877" s="75" t="n"/>
      <c r="AF877" s="75" t="n"/>
    </row>
    <row r="878" ht="15.75" customHeight="1" s="133">
      <c r="A878" s="75" t="n"/>
      <c r="B878" s="75" t="n"/>
      <c r="C878" s="75" t="n"/>
      <c r="D878" s="75" t="n"/>
      <c r="E878" s="76" t="n"/>
      <c r="F878" s="77" t="n"/>
      <c r="G878" s="75" t="n"/>
      <c r="H878" s="75">
        <f>IF(ISBLANK(E878),"",IF(OR(D878="Butterfly",D878="Butterfly ",D878="Iron Fly", D878="Iron Fly "),LEN(E878)-LEN(SUBSTITUTE(E878,"/",""))+2,LEN(E878)-LEN(SUBSTITUTE(E878,"/",""))+1))</f>
        <v/>
      </c>
      <c r="I878" s="78">
        <f>IF(ISBLANK(G878),"",IF(D878="Stock","0",Key!$A$3*H878*G878))</f>
        <v/>
      </c>
      <c r="J878" s="78">
        <f>IF(ISBLANK(E878),"",IF(ISNUMBER(SEARCH("/",E878)), IF(LEN(E878)-LEN(SUBSTITUTE(E878,"/",""))=1,(RIGHT(E878,LEN(E878)-FIND("/",E878)))-(LEFT(E878,FIND("/",E878)-1)),(MID(E878, SEARCH("/",E878) + 1, SEARCH("/",E878, SEARCH("/",E878)+1) - SEARCH("/",E878) - 1))-(LEFT(E878,FIND("/",E878)-1))), "NA"))</f>
        <v/>
      </c>
      <c r="K878" s="79">
        <f>IF(A878&lt;&gt;"", IF(ISBLANK(L878), TODAY(), K878), "")</f>
        <v/>
      </c>
      <c r="L878" s="78" t="n"/>
      <c r="M878" s="78">
        <f>IF(ISBLANK(L878),"",IF(D878="Stock",IF(C878="Buy",L878*G878,IF(C878="Sell",(L878*G878)-I878, X)),IF(C878="Buy",(L878*G878*100)+I878,IF(C878="Sell",(L878*G878*100)-I878, X))))</f>
        <v/>
      </c>
      <c r="N878" s="78">
        <f>IF(ISBLANK(L878),"",IF(AND(C878="Sell",D878="Stock"),M878,IF(ISBLANK(L878),"",IF(C878="Buy",M878, IF(AND(C878="Sell",J878="NA"),(E878*G878*100*0.1)+I878, IF(C878="Sell",(J878-L878)*(100*G878)+I878))))))</f>
        <v/>
      </c>
      <c r="O878" s="75" t="n"/>
      <c r="P878" s="75" t="n"/>
      <c r="Q878" s="75">
        <f>IF(ISBLANK(P878),"",IF(D878="Stock",P878*G878,IF(P878=0,"0",G878*P878*100-(G878*$AF$14))))</f>
        <v/>
      </c>
      <c r="R878" s="79">
        <f>IF(P878&lt;&gt;"", TODAY(), "")</f>
        <v/>
      </c>
      <c r="S878" s="78">
        <f>IF(AND(K878&lt;&gt;"", R878&lt;&gt;""), R878-K878, "")</f>
        <v/>
      </c>
      <c r="T878" s="78" t="n"/>
      <c r="U878" s="92">
        <f>IF(ISBLANK(P878),"",IF(C878="Buy",Q878-M878+T878, IF(C878="Sell",M878-Q878-T878, X)))</f>
        <v/>
      </c>
      <c r="V878" s="81">
        <f>IF(ISBLANK(P878),"",U878/N878)</f>
        <v/>
      </c>
      <c r="W878" s="81">
        <f>IF(ISBLANK(P878),"",IF(S878=0,(365/0.5)*V878,(365/S878)*V878))</f>
        <v/>
      </c>
      <c r="X878" s="75" t="n"/>
      <c r="Y878" s="77" t="n"/>
      <c r="Z878" s="77" t="n"/>
      <c r="AA878" s="75" t="n"/>
      <c r="AB878" s="75" t="n"/>
      <c r="AC878" s="6" t="n"/>
      <c r="AD878" s="75" t="n"/>
      <c r="AE878" s="75" t="n"/>
      <c r="AF878" s="75" t="n"/>
    </row>
    <row r="879" ht="15.75" customHeight="1" s="133">
      <c r="A879" s="75" t="n"/>
      <c r="B879" s="75" t="n"/>
      <c r="C879" s="75" t="n"/>
      <c r="D879" s="75" t="n"/>
      <c r="E879" s="76" t="n"/>
      <c r="F879" s="77" t="n"/>
      <c r="G879" s="75" t="n"/>
      <c r="H879" s="75">
        <f>IF(ISBLANK(E879),"",IF(OR(D879="Butterfly",D879="Butterfly ",D879="Iron Fly", D879="Iron Fly "),LEN(E879)-LEN(SUBSTITUTE(E879,"/",""))+2,LEN(E879)-LEN(SUBSTITUTE(E879,"/",""))+1))</f>
        <v/>
      </c>
      <c r="I879" s="78">
        <f>IF(ISBLANK(G879),"",IF(D879="Stock","0",Key!$A$3*H879*G879))</f>
        <v/>
      </c>
      <c r="J879" s="78">
        <f>IF(ISBLANK(E879),"",IF(ISNUMBER(SEARCH("/",E879)), IF(LEN(E879)-LEN(SUBSTITUTE(E879,"/",""))=1,(RIGHT(E879,LEN(E879)-FIND("/",E879)))-(LEFT(E879,FIND("/",E879)-1)),(MID(E879, SEARCH("/",E879) + 1, SEARCH("/",E879, SEARCH("/",E879)+1) - SEARCH("/",E879) - 1))-(LEFT(E879,FIND("/",E879)-1))), "NA"))</f>
        <v/>
      </c>
      <c r="K879" s="79">
        <f>IF(A879&lt;&gt;"", IF(ISBLANK(L879), TODAY(), K879), "")</f>
        <v/>
      </c>
      <c r="L879" s="78" t="n"/>
      <c r="M879" s="78">
        <f>IF(ISBLANK(L879),"",IF(D879="Stock",IF(C879="Buy",L879*G879,IF(C879="Sell",(L879*G879)-I879, X)),IF(C879="Buy",(L879*G879*100)+I879,IF(C879="Sell",(L879*G879*100)-I879, X))))</f>
        <v/>
      </c>
      <c r="N879" s="78">
        <f>IF(ISBLANK(L879),"",IF(AND(C879="Sell",D879="Stock"),M879,IF(ISBLANK(L879),"",IF(C879="Buy",M879, IF(AND(C879="Sell",J879="NA"),(E879*G879*100*0.1)+I879, IF(C879="Sell",(J879-L879)*(100*G879)+I879))))))</f>
        <v/>
      </c>
      <c r="O879" s="75" t="n"/>
      <c r="P879" s="75" t="n"/>
      <c r="Q879" s="75">
        <f>IF(ISBLANK(P879),"",IF(D879="Stock",P879*G879,IF(P879=0,"0",G879*P879*100-(G879*$AF$14))))</f>
        <v/>
      </c>
      <c r="R879" s="79">
        <f>IF(P879&lt;&gt;"", TODAY(), "")</f>
        <v/>
      </c>
      <c r="S879" s="78">
        <f>IF(AND(K879&lt;&gt;"", R879&lt;&gt;""), R879-K879, "")</f>
        <v/>
      </c>
      <c r="T879" s="78" t="n"/>
      <c r="U879" s="92">
        <f>IF(ISBLANK(P879),"",IF(C879="Buy",Q879-M879+T879, IF(C879="Sell",M879-Q879-T879, X)))</f>
        <v/>
      </c>
      <c r="V879" s="81">
        <f>IF(ISBLANK(P879),"",U879/N879)</f>
        <v/>
      </c>
      <c r="W879" s="81">
        <f>IF(ISBLANK(P879),"",IF(S879=0,(365/0.5)*V879,(365/S879)*V879))</f>
        <v/>
      </c>
      <c r="X879" s="75" t="n"/>
      <c r="Y879" s="77" t="n"/>
      <c r="Z879" s="77" t="n"/>
      <c r="AA879" s="75" t="n"/>
      <c r="AB879" s="75" t="n"/>
      <c r="AC879" s="6" t="n"/>
      <c r="AD879" s="75" t="n"/>
      <c r="AE879" s="75" t="n"/>
      <c r="AF879" s="75" t="n"/>
    </row>
    <row r="880" ht="15.75" customHeight="1" s="133">
      <c r="A880" s="75" t="n"/>
      <c r="B880" s="75" t="n"/>
      <c r="C880" s="75" t="n"/>
      <c r="D880" s="75" t="n"/>
      <c r="E880" s="76" t="n"/>
      <c r="F880" s="77" t="n"/>
      <c r="G880" s="75" t="n"/>
      <c r="H880" s="75">
        <f>IF(ISBLANK(E880),"",IF(OR(D880="Butterfly",D880="Butterfly ",D880="Iron Fly", D880="Iron Fly "),LEN(E880)-LEN(SUBSTITUTE(E880,"/",""))+2,LEN(E880)-LEN(SUBSTITUTE(E880,"/",""))+1))</f>
        <v/>
      </c>
      <c r="I880" s="78">
        <f>IF(ISBLANK(G880),"",IF(D880="Stock","0",Key!$A$3*H880*G880))</f>
        <v/>
      </c>
      <c r="J880" s="78">
        <f>IF(ISBLANK(E880),"",IF(ISNUMBER(SEARCH("/",E880)), IF(LEN(E880)-LEN(SUBSTITUTE(E880,"/",""))=1,(RIGHT(E880,LEN(E880)-FIND("/",E880)))-(LEFT(E880,FIND("/",E880)-1)),(MID(E880, SEARCH("/",E880) + 1, SEARCH("/",E880, SEARCH("/",E880)+1) - SEARCH("/",E880) - 1))-(LEFT(E880,FIND("/",E880)-1))), "NA"))</f>
        <v/>
      </c>
      <c r="K880" s="79">
        <f>IF(A880&lt;&gt;"", IF(ISBLANK(L880), TODAY(), K880), "")</f>
        <v/>
      </c>
      <c r="L880" s="78" t="n"/>
      <c r="M880" s="78">
        <f>IF(ISBLANK(L880),"",IF(D880="Stock",IF(C880="Buy",L880*G880,IF(C880="Sell",(L880*G880)-I880, X)),IF(C880="Buy",(L880*G880*100)+I880,IF(C880="Sell",(L880*G880*100)-I880, X))))</f>
        <v/>
      </c>
      <c r="N880" s="78">
        <f>IF(ISBLANK(L880),"",IF(AND(C880="Sell",D880="Stock"),M880,IF(ISBLANK(L880),"",IF(C880="Buy",M880, IF(AND(C880="Sell",J880="NA"),(E880*G880*100*0.1)+I880, IF(C880="Sell",(J880-L880)*(100*G880)+I880))))))</f>
        <v/>
      </c>
      <c r="O880" s="75" t="n"/>
      <c r="P880" s="75" t="n"/>
      <c r="Q880" s="75">
        <f>IF(ISBLANK(P880),"",IF(D880="Stock",P880*G880,IF(P880=0,"0",G880*P880*100-(G880*$AF$14))))</f>
        <v/>
      </c>
      <c r="R880" s="79">
        <f>IF(P880&lt;&gt;"", TODAY(), "")</f>
        <v/>
      </c>
      <c r="S880" s="78">
        <f>IF(AND(K880&lt;&gt;"", R880&lt;&gt;""), R880-K880, "")</f>
        <v/>
      </c>
      <c r="T880" s="78" t="n"/>
      <c r="U880" s="92">
        <f>IF(ISBLANK(P880),"",IF(C880="Buy",Q880-M880+T880, IF(C880="Sell",M880-Q880-T880, X)))</f>
        <v/>
      </c>
      <c r="V880" s="81">
        <f>IF(ISBLANK(P880),"",U880/N880)</f>
        <v/>
      </c>
      <c r="W880" s="81">
        <f>IF(ISBLANK(P880),"",IF(S880=0,(365/0.5)*V880,(365/S880)*V880))</f>
        <v/>
      </c>
      <c r="X880" s="75" t="n"/>
      <c r="Y880" s="77" t="n"/>
      <c r="Z880" s="77" t="n"/>
      <c r="AA880" s="75" t="n"/>
      <c r="AB880" s="75" t="n"/>
      <c r="AC880" s="6" t="n"/>
      <c r="AD880" s="75" t="n"/>
      <c r="AE880" s="75" t="n"/>
      <c r="AF880" s="75" t="n"/>
    </row>
    <row r="881" ht="15.75" customHeight="1" s="133">
      <c r="A881" s="75" t="n"/>
      <c r="B881" s="75" t="n"/>
      <c r="C881" s="75" t="n"/>
      <c r="D881" s="75" t="n"/>
      <c r="E881" s="76" t="n"/>
      <c r="F881" s="77" t="n"/>
      <c r="G881" s="75" t="n"/>
      <c r="H881" s="75">
        <f>IF(ISBLANK(E881),"",IF(OR(D881="Butterfly",D881="Butterfly ",D881="Iron Fly", D881="Iron Fly "),LEN(E881)-LEN(SUBSTITUTE(E881,"/",""))+2,LEN(E881)-LEN(SUBSTITUTE(E881,"/",""))+1))</f>
        <v/>
      </c>
      <c r="I881" s="78">
        <f>IF(ISBLANK(G881),"",IF(D881="Stock","0",Key!$A$3*H881*G881))</f>
        <v/>
      </c>
      <c r="J881" s="78">
        <f>IF(ISBLANK(E881),"",IF(ISNUMBER(SEARCH("/",E881)), IF(LEN(E881)-LEN(SUBSTITUTE(E881,"/",""))=1,(RIGHT(E881,LEN(E881)-FIND("/",E881)))-(LEFT(E881,FIND("/",E881)-1)),(MID(E881, SEARCH("/",E881) + 1, SEARCH("/",E881, SEARCH("/",E881)+1) - SEARCH("/",E881) - 1))-(LEFT(E881,FIND("/",E881)-1))), "NA"))</f>
        <v/>
      </c>
      <c r="K881" s="79">
        <f>IF(A881&lt;&gt;"", IF(ISBLANK(L881), TODAY(), K881), "")</f>
        <v/>
      </c>
      <c r="L881" s="78" t="n"/>
      <c r="M881" s="78">
        <f>IF(ISBLANK(L881),"",IF(D881="Stock",IF(C881="Buy",L881*G881,IF(C881="Sell",(L881*G881)-I881, X)),IF(C881="Buy",(L881*G881*100)+I881,IF(C881="Sell",(L881*G881*100)-I881, X))))</f>
        <v/>
      </c>
      <c r="N881" s="78">
        <f>IF(ISBLANK(L881),"",IF(AND(C881="Sell",D881="Stock"),M881,IF(ISBLANK(L881),"",IF(C881="Buy",M881, IF(AND(C881="Sell",J881="NA"),(E881*G881*100*0.1)+I881, IF(C881="Sell",(J881-L881)*(100*G881)+I881))))))</f>
        <v/>
      </c>
      <c r="O881" s="75" t="n"/>
      <c r="P881" s="75" t="n"/>
      <c r="Q881" s="75">
        <f>IF(ISBLANK(P881),"",IF(D881="Stock",P881*G881,IF(P881=0,"0",G881*P881*100-(G881*$AF$14))))</f>
        <v/>
      </c>
      <c r="R881" s="79">
        <f>IF(P881&lt;&gt;"", TODAY(), "")</f>
        <v/>
      </c>
      <c r="S881" s="78">
        <f>IF(AND(K881&lt;&gt;"", R881&lt;&gt;""), R881-K881, "")</f>
        <v/>
      </c>
      <c r="T881" s="78" t="n"/>
      <c r="U881" s="92">
        <f>IF(ISBLANK(P881),"",IF(C881="Buy",Q881-M881+T881, IF(C881="Sell",M881-Q881-T881, X)))</f>
        <v/>
      </c>
      <c r="V881" s="81">
        <f>IF(ISBLANK(P881),"",U881/N881)</f>
        <v/>
      </c>
      <c r="W881" s="81">
        <f>IF(ISBLANK(P881),"",IF(S881=0,(365/0.5)*V881,(365/S881)*V881))</f>
        <v/>
      </c>
      <c r="X881" s="75" t="n"/>
      <c r="Y881" s="77" t="n"/>
      <c r="Z881" s="77" t="n"/>
      <c r="AA881" s="75" t="n"/>
      <c r="AB881" s="75" t="n"/>
      <c r="AC881" s="6" t="n"/>
      <c r="AD881" s="75" t="n"/>
      <c r="AE881" s="75" t="n"/>
      <c r="AF881" s="75" t="n"/>
    </row>
    <row r="882" ht="15.75" customHeight="1" s="133">
      <c r="A882" s="75" t="n"/>
      <c r="B882" s="75" t="n"/>
      <c r="C882" s="75" t="n"/>
      <c r="D882" s="75" t="n"/>
      <c r="E882" s="76" t="n"/>
      <c r="F882" s="77" t="n"/>
      <c r="G882" s="75" t="n"/>
      <c r="H882" s="75">
        <f>IF(ISBLANK(E882),"",IF(OR(D882="Butterfly",D882="Butterfly ",D882="Iron Fly", D882="Iron Fly "),LEN(E882)-LEN(SUBSTITUTE(E882,"/",""))+2,LEN(E882)-LEN(SUBSTITUTE(E882,"/",""))+1))</f>
        <v/>
      </c>
      <c r="I882" s="78">
        <f>IF(ISBLANK(G882),"",IF(D882="Stock","0",Key!$A$3*H882*G882))</f>
        <v/>
      </c>
      <c r="J882" s="78">
        <f>IF(ISBLANK(E882),"",IF(ISNUMBER(SEARCH("/",E882)), IF(LEN(E882)-LEN(SUBSTITUTE(E882,"/",""))=1,(RIGHT(E882,LEN(E882)-FIND("/",E882)))-(LEFT(E882,FIND("/",E882)-1)),(MID(E882, SEARCH("/",E882) + 1, SEARCH("/",E882, SEARCH("/",E882)+1) - SEARCH("/",E882) - 1))-(LEFT(E882,FIND("/",E882)-1))), "NA"))</f>
        <v/>
      </c>
      <c r="K882" s="79">
        <f>IF(A882&lt;&gt;"", IF(ISBLANK(L882), TODAY(), K882), "")</f>
        <v/>
      </c>
      <c r="L882" s="78" t="n"/>
      <c r="M882" s="78">
        <f>IF(ISBLANK(L882),"",IF(D882="Stock",IF(C882="Buy",L882*G882,IF(C882="Sell",(L882*G882)-I882, X)),IF(C882="Buy",(L882*G882*100)+I882,IF(C882="Sell",(L882*G882*100)-I882, X))))</f>
        <v/>
      </c>
      <c r="N882" s="78">
        <f>IF(ISBLANK(L882),"",IF(AND(C882="Sell",D882="Stock"),M882,IF(ISBLANK(L882),"",IF(C882="Buy",M882, IF(AND(C882="Sell",J882="NA"),(E882*G882*100*0.1)+I882, IF(C882="Sell",(J882-L882)*(100*G882)+I882))))))</f>
        <v/>
      </c>
      <c r="O882" s="75" t="n"/>
      <c r="P882" s="75" t="n"/>
      <c r="Q882" s="75">
        <f>IF(ISBLANK(P882),"",IF(D882="Stock",P882*G882,IF(P882=0,"0",G882*P882*100-(G882*$AF$14))))</f>
        <v/>
      </c>
      <c r="R882" s="79">
        <f>IF(P882&lt;&gt;"", TODAY(), "")</f>
        <v/>
      </c>
      <c r="S882" s="78">
        <f>IF(AND(K882&lt;&gt;"", R882&lt;&gt;""), R882-K882, "")</f>
        <v/>
      </c>
      <c r="T882" s="78" t="n"/>
      <c r="U882" s="92">
        <f>IF(ISBLANK(P882),"",IF(C882="Buy",Q882-M882+T882, IF(C882="Sell",M882-Q882-T882, X)))</f>
        <v/>
      </c>
      <c r="V882" s="81">
        <f>IF(ISBLANK(P882),"",U882/N882)</f>
        <v/>
      </c>
      <c r="W882" s="81">
        <f>IF(ISBLANK(P882),"",IF(S882=0,(365/0.5)*V882,(365/S882)*V882))</f>
        <v/>
      </c>
      <c r="X882" s="75" t="n"/>
      <c r="Y882" s="77" t="n"/>
      <c r="Z882" s="77" t="n"/>
      <c r="AA882" s="75" t="n"/>
      <c r="AB882" s="75" t="n"/>
      <c r="AC882" s="6" t="n"/>
      <c r="AD882" s="75" t="n"/>
      <c r="AE882" s="75" t="n"/>
      <c r="AF882" s="75" t="n"/>
    </row>
    <row r="883" ht="15.75" customHeight="1" s="133">
      <c r="A883" s="75" t="n"/>
      <c r="B883" s="75" t="n"/>
      <c r="C883" s="75" t="n"/>
      <c r="D883" s="75" t="n"/>
      <c r="E883" s="76" t="n"/>
      <c r="F883" s="77" t="n"/>
      <c r="G883" s="75" t="n"/>
      <c r="H883" s="75">
        <f>IF(ISBLANK(E883),"",IF(OR(D883="Butterfly",D883="Butterfly ",D883="Iron Fly", D883="Iron Fly "),LEN(E883)-LEN(SUBSTITUTE(E883,"/",""))+2,LEN(E883)-LEN(SUBSTITUTE(E883,"/",""))+1))</f>
        <v/>
      </c>
      <c r="I883" s="78">
        <f>IF(ISBLANK(G883),"",IF(D883="Stock","0",Key!$A$3*H883*G883))</f>
        <v/>
      </c>
      <c r="J883" s="78">
        <f>IF(ISBLANK(E883),"",IF(ISNUMBER(SEARCH("/",E883)), IF(LEN(E883)-LEN(SUBSTITUTE(E883,"/",""))=1,(RIGHT(E883,LEN(E883)-FIND("/",E883)))-(LEFT(E883,FIND("/",E883)-1)),(MID(E883, SEARCH("/",E883) + 1, SEARCH("/",E883, SEARCH("/",E883)+1) - SEARCH("/",E883) - 1))-(LEFT(E883,FIND("/",E883)-1))), "NA"))</f>
        <v/>
      </c>
      <c r="K883" s="79">
        <f>IF(A883&lt;&gt;"", IF(ISBLANK(L883), TODAY(), K883), "")</f>
        <v/>
      </c>
      <c r="L883" s="78" t="n"/>
      <c r="M883" s="78">
        <f>IF(ISBLANK(L883),"",IF(D883="Stock",IF(C883="Buy",L883*G883,IF(C883="Sell",(L883*G883)-I883, X)),IF(C883="Buy",(L883*G883*100)+I883,IF(C883="Sell",(L883*G883*100)-I883, X))))</f>
        <v/>
      </c>
      <c r="N883" s="78">
        <f>IF(ISBLANK(L883),"",IF(AND(C883="Sell",D883="Stock"),M883,IF(ISBLANK(L883),"",IF(C883="Buy",M883, IF(AND(C883="Sell",J883="NA"),(E883*G883*100*0.1)+I883, IF(C883="Sell",(J883-L883)*(100*G883)+I883))))))</f>
        <v/>
      </c>
      <c r="O883" s="75" t="n"/>
      <c r="P883" s="75" t="n"/>
      <c r="Q883" s="75">
        <f>IF(ISBLANK(P883),"",IF(D883="Stock",P883*G883,IF(P883=0,"0",G883*P883*100-(G883*$AF$14))))</f>
        <v/>
      </c>
      <c r="R883" s="79">
        <f>IF(P883&lt;&gt;"", TODAY(), "")</f>
        <v/>
      </c>
      <c r="S883" s="78">
        <f>IF(AND(K883&lt;&gt;"", R883&lt;&gt;""), R883-K883, "")</f>
        <v/>
      </c>
      <c r="T883" s="78" t="n"/>
      <c r="U883" s="92">
        <f>IF(ISBLANK(P883),"",IF(C883="Buy",Q883-M883+T883, IF(C883="Sell",M883-Q883-T883, X)))</f>
        <v/>
      </c>
      <c r="V883" s="81">
        <f>IF(ISBLANK(P883),"",U883/N883)</f>
        <v/>
      </c>
      <c r="W883" s="81">
        <f>IF(ISBLANK(P883),"",IF(S883=0,(365/0.5)*V883,(365/S883)*V883))</f>
        <v/>
      </c>
      <c r="X883" s="75" t="n"/>
      <c r="Y883" s="77" t="n"/>
      <c r="Z883" s="77" t="n"/>
      <c r="AA883" s="75" t="n"/>
      <c r="AB883" s="75" t="n"/>
      <c r="AC883" s="6" t="n"/>
      <c r="AD883" s="75" t="n"/>
      <c r="AE883" s="75" t="n"/>
      <c r="AF883" s="75" t="n"/>
    </row>
    <row r="884" ht="15.75" customHeight="1" s="133">
      <c r="A884" s="75" t="n"/>
      <c r="B884" s="75" t="n"/>
      <c r="C884" s="75" t="n"/>
      <c r="D884" s="75" t="n"/>
      <c r="E884" s="76" t="n"/>
      <c r="F884" s="77" t="n"/>
      <c r="G884" s="75" t="n"/>
      <c r="H884" s="75">
        <f>IF(ISBLANK(E884),"",IF(OR(D884="Butterfly",D884="Butterfly ",D884="Iron Fly", D884="Iron Fly "),LEN(E884)-LEN(SUBSTITUTE(E884,"/",""))+2,LEN(E884)-LEN(SUBSTITUTE(E884,"/",""))+1))</f>
        <v/>
      </c>
      <c r="I884" s="78">
        <f>IF(ISBLANK(G884),"",IF(D884="Stock","0",Key!$A$3*H884*G884))</f>
        <v/>
      </c>
      <c r="J884" s="78">
        <f>IF(ISBLANK(E884),"",IF(ISNUMBER(SEARCH("/",E884)), IF(LEN(E884)-LEN(SUBSTITUTE(E884,"/",""))=1,(RIGHT(E884,LEN(E884)-FIND("/",E884)))-(LEFT(E884,FIND("/",E884)-1)),(MID(E884, SEARCH("/",E884) + 1, SEARCH("/",E884, SEARCH("/",E884)+1) - SEARCH("/",E884) - 1))-(LEFT(E884,FIND("/",E884)-1))), "NA"))</f>
        <v/>
      </c>
      <c r="K884" s="79">
        <f>IF(A884&lt;&gt;"", IF(ISBLANK(L884), TODAY(), K884), "")</f>
        <v/>
      </c>
      <c r="L884" s="78" t="n"/>
      <c r="M884" s="78">
        <f>IF(ISBLANK(L884),"",IF(D884="Stock",IF(C884="Buy",L884*G884,IF(C884="Sell",(L884*G884)-I884, X)),IF(C884="Buy",(L884*G884*100)+I884,IF(C884="Sell",(L884*G884*100)-I884, X))))</f>
        <v/>
      </c>
      <c r="N884" s="78">
        <f>IF(ISBLANK(L884),"",IF(AND(C884="Sell",D884="Stock"),M884,IF(ISBLANK(L884),"",IF(C884="Buy",M884, IF(AND(C884="Sell",J884="NA"),(E884*G884*100*0.1)+I884, IF(C884="Sell",(J884-L884)*(100*G884)+I884))))))</f>
        <v/>
      </c>
      <c r="O884" s="75" t="n"/>
      <c r="P884" s="75" t="n"/>
      <c r="Q884" s="75">
        <f>IF(ISBLANK(P884),"",IF(D884="Stock",P884*G884,IF(P884=0,"0",G884*P884*100-(G884*$AF$14))))</f>
        <v/>
      </c>
      <c r="R884" s="79">
        <f>IF(P884&lt;&gt;"", TODAY(), "")</f>
        <v/>
      </c>
      <c r="S884" s="78">
        <f>IF(AND(K884&lt;&gt;"", R884&lt;&gt;""), R884-K884, "")</f>
        <v/>
      </c>
      <c r="T884" s="78" t="n"/>
      <c r="U884" s="92">
        <f>IF(ISBLANK(P884),"",IF(C884="Buy",Q884-M884+T884, IF(C884="Sell",M884-Q884-T884, X)))</f>
        <v/>
      </c>
      <c r="V884" s="81">
        <f>IF(ISBLANK(P884),"",U884/N884)</f>
        <v/>
      </c>
      <c r="W884" s="81">
        <f>IF(ISBLANK(P884),"",IF(S884=0,(365/0.5)*V884,(365/S884)*V884))</f>
        <v/>
      </c>
      <c r="X884" s="75" t="n"/>
      <c r="Y884" s="77" t="n"/>
      <c r="Z884" s="77" t="n"/>
      <c r="AA884" s="75" t="n"/>
      <c r="AB884" s="75" t="n"/>
      <c r="AC884" s="6" t="n"/>
      <c r="AD884" s="75" t="n"/>
      <c r="AE884" s="75" t="n"/>
      <c r="AF884" s="75" t="n"/>
    </row>
    <row r="885" ht="15.75" customHeight="1" s="133">
      <c r="A885" s="75" t="n"/>
      <c r="B885" s="75" t="n"/>
      <c r="C885" s="75" t="n"/>
      <c r="D885" s="75" t="n"/>
      <c r="E885" s="76" t="n"/>
      <c r="F885" s="77" t="n"/>
      <c r="G885" s="75" t="n"/>
      <c r="H885" s="75">
        <f>IF(ISBLANK(E885),"",IF(OR(D885="Butterfly",D885="Butterfly ",D885="Iron Fly", D885="Iron Fly "),LEN(E885)-LEN(SUBSTITUTE(E885,"/",""))+2,LEN(E885)-LEN(SUBSTITUTE(E885,"/",""))+1))</f>
        <v/>
      </c>
      <c r="I885" s="78">
        <f>IF(ISBLANK(G885),"",IF(D885="Stock","0",Key!$A$3*H885*G885))</f>
        <v/>
      </c>
      <c r="J885" s="78">
        <f>IF(ISBLANK(E885),"",IF(ISNUMBER(SEARCH("/",E885)), IF(LEN(E885)-LEN(SUBSTITUTE(E885,"/",""))=1,(RIGHT(E885,LEN(E885)-FIND("/",E885)))-(LEFT(E885,FIND("/",E885)-1)),(MID(E885, SEARCH("/",E885) + 1, SEARCH("/",E885, SEARCH("/",E885)+1) - SEARCH("/",E885) - 1))-(LEFT(E885,FIND("/",E885)-1))), "NA"))</f>
        <v/>
      </c>
      <c r="K885" s="79">
        <f>IF(A885&lt;&gt;"", IF(ISBLANK(L885), TODAY(), K885), "")</f>
        <v/>
      </c>
      <c r="L885" s="78" t="n"/>
      <c r="M885" s="78">
        <f>IF(ISBLANK(L885),"",IF(D885="Stock",IF(C885="Buy",L885*G885,IF(C885="Sell",(L885*G885)-I885, X)),IF(C885="Buy",(L885*G885*100)+I885,IF(C885="Sell",(L885*G885*100)-I885, X))))</f>
        <v/>
      </c>
      <c r="N885" s="78">
        <f>IF(ISBLANK(L885),"",IF(AND(C885="Sell",D885="Stock"),M885,IF(ISBLANK(L885),"",IF(C885="Buy",M885, IF(AND(C885="Sell",J885="NA"),(E885*G885*100*0.1)+I885, IF(C885="Sell",(J885-L885)*(100*G885)+I885))))))</f>
        <v/>
      </c>
      <c r="O885" s="75" t="n"/>
      <c r="P885" s="75" t="n"/>
      <c r="Q885" s="75">
        <f>IF(ISBLANK(P885),"",IF(D885="Stock",P885*G885,IF(P885=0,"0",G885*P885*100-(G885*$AF$14))))</f>
        <v/>
      </c>
      <c r="R885" s="79">
        <f>IF(P885&lt;&gt;"", TODAY(), "")</f>
        <v/>
      </c>
      <c r="S885" s="78">
        <f>IF(AND(K885&lt;&gt;"", R885&lt;&gt;""), R885-K885, "")</f>
        <v/>
      </c>
      <c r="T885" s="78" t="n"/>
      <c r="U885" s="92">
        <f>IF(ISBLANK(P885),"",IF(C885="Buy",Q885-M885+T885, IF(C885="Sell",M885-Q885-T885, X)))</f>
        <v/>
      </c>
      <c r="V885" s="81">
        <f>IF(ISBLANK(P885),"",U885/N885)</f>
        <v/>
      </c>
      <c r="W885" s="81">
        <f>IF(ISBLANK(P885),"",IF(S885=0,(365/0.5)*V885,(365/S885)*V885))</f>
        <v/>
      </c>
      <c r="X885" s="75" t="n"/>
      <c r="Y885" s="77" t="n"/>
      <c r="Z885" s="77" t="n"/>
      <c r="AA885" s="75" t="n"/>
      <c r="AB885" s="75" t="n"/>
      <c r="AC885" s="6" t="n"/>
      <c r="AD885" s="75" t="n"/>
      <c r="AE885" s="75" t="n"/>
      <c r="AF885" s="75" t="n"/>
    </row>
    <row r="886" ht="15.75" customHeight="1" s="133">
      <c r="A886" s="75" t="n"/>
      <c r="B886" s="75" t="n"/>
      <c r="C886" s="75" t="n"/>
      <c r="D886" s="75" t="n"/>
      <c r="E886" s="76" t="n"/>
      <c r="F886" s="77" t="n"/>
      <c r="G886" s="75" t="n"/>
      <c r="H886" s="75">
        <f>IF(ISBLANK(E886),"",IF(OR(D886="Butterfly",D886="Butterfly ",D886="Iron Fly", D886="Iron Fly "),LEN(E886)-LEN(SUBSTITUTE(E886,"/",""))+2,LEN(E886)-LEN(SUBSTITUTE(E886,"/",""))+1))</f>
        <v/>
      </c>
      <c r="I886" s="78">
        <f>IF(ISBLANK(G886),"",IF(D886="Stock","0",Key!$A$3*H886*G886))</f>
        <v/>
      </c>
      <c r="J886" s="78">
        <f>IF(ISBLANK(E886),"",IF(ISNUMBER(SEARCH("/",E886)), IF(LEN(E886)-LEN(SUBSTITUTE(E886,"/",""))=1,(RIGHT(E886,LEN(E886)-FIND("/",E886)))-(LEFT(E886,FIND("/",E886)-1)),(MID(E886, SEARCH("/",E886) + 1, SEARCH("/",E886, SEARCH("/",E886)+1) - SEARCH("/",E886) - 1))-(LEFT(E886,FIND("/",E886)-1))), "NA"))</f>
        <v/>
      </c>
      <c r="K886" s="79">
        <f>IF(A886&lt;&gt;"", IF(ISBLANK(L886), TODAY(), K886), "")</f>
        <v/>
      </c>
      <c r="L886" s="78" t="n"/>
      <c r="M886" s="78">
        <f>IF(ISBLANK(L886),"",IF(D886="Stock",IF(C886="Buy",L886*G886,IF(C886="Sell",(L886*G886)-I886, X)),IF(C886="Buy",(L886*G886*100)+I886,IF(C886="Sell",(L886*G886*100)-I886, X))))</f>
        <v/>
      </c>
      <c r="N886" s="78">
        <f>IF(ISBLANK(L886),"",IF(AND(C886="Sell",D886="Stock"),M886,IF(ISBLANK(L886),"",IF(C886="Buy",M886, IF(AND(C886="Sell",J886="NA"),(E886*G886*100*0.1)+I886, IF(C886="Sell",(J886-L886)*(100*G886)+I886))))))</f>
        <v/>
      </c>
      <c r="O886" s="75" t="n"/>
      <c r="P886" s="75" t="n"/>
      <c r="Q886" s="75">
        <f>IF(ISBLANK(P886),"",IF(D886="Stock",P886*G886,IF(P886=0,"0",G886*P886*100-(G886*$AF$14))))</f>
        <v/>
      </c>
      <c r="R886" s="79">
        <f>IF(P886&lt;&gt;"", TODAY(), "")</f>
        <v/>
      </c>
      <c r="S886" s="78">
        <f>IF(AND(K886&lt;&gt;"", R886&lt;&gt;""), R886-K886, "")</f>
        <v/>
      </c>
      <c r="T886" s="78" t="n"/>
      <c r="U886" s="92">
        <f>IF(ISBLANK(P886),"",IF(C886="Buy",Q886-M886+T886, IF(C886="Sell",M886-Q886-T886, X)))</f>
        <v/>
      </c>
      <c r="V886" s="81">
        <f>IF(ISBLANK(P886),"",U886/N886)</f>
        <v/>
      </c>
      <c r="W886" s="81">
        <f>IF(ISBLANK(P886),"",IF(S886=0,(365/0.5)*V886,(365/S886)*V886))</f>
        <v/>
      </c>
      <c r="X886" s="75" t="n"/>
      <c r="Y886" s="77" t="n"/>
      <c r="Z886" s="77" t="n"/>
      <c r="AA886" s="75" t="n"/>
      <c r="AB886" s="75" t="n"/>
      <c r="AC886" s="6" t="n"/>
      <c r="AD886" s="75" t="n"/>
      <c r="AE886" s="75" t="n"/>
      <c r="AF886" s="75" t="n"/>
    </row>
    <row r="887" ht="15.75" customHeight="1" s="133">
      <c r="A887" s="75" t="n"/>
      <c r="B887" s="75" t="n"/>
      <c r="C887" s="75" t="n"/>
      <c r="D887" s="75" t="n"/>
      <c r="E887" s="76" t="n"/>
      <c r="F887" s="77" t="n"/>
      <c r="G887" s="75" t="n"/>
      <c r="H887" s="75">
        <f>IF(ISBLANK(E887),"",IF(OR(D887="Butterfly",D887="Butterfly ",D887="Iron Fly", D887="Iron Fly "),LEN(E887)-LEN(SUBSTITUTE(E887,"/",""))+2,LEN(E887)-LEN(SUBSTITUTE(E887,"/",""))+1))</f>
        <v/>
      </c>
      <c r="I887" s="78">
        <f>IF(ISBLANK(G887),"",IF(D887="Stock","0",Key!$A$3*H887*G887))</f>
        <v/>
      </c>
      <c r="J887" s="78">
        <f>IF(ISBLANK(E887),"",IF(ISNUMBER(SEARCH("/",E887)), IF(LEN(E887)-LEN(SUBSTITUTE(E887,"/",""))=1,(RIGHT(E887,LEN(E887)-FIND("/",E887)))-(LEFT(E887,FIND("/",E887)-1)),(MID(E887, SEARCH("/",E887) + 1, SEARCH("/",E887, SEARCH("/",E887)+1) - SEARCH("/",E887) - 1))-(LEFT(E887,FIND("/",E887)-1))), "NA"))</f>
        <v/>
      </c>
      <c r="K887" s="79">
        <f>IF(A887&lt;&gt;"", IF(ISBLANK(L887), TODAY(), K887), "")</f>
        <v/>
      </c>
      <c r="L887" s="78" t="n"/>
      <c r="M887" s="78">
        <f>IF(ISBLANK(L887),"",IF(D887="Stock",IF(C887="Buy",L887*G887,IF(C887="Sell",(L887*G887)-I887, X)),IF(C887="Buy",(L887*G887*100)+I887,IF(C887="Sell",(L887*G887*100)-I887, X))))</f>
        <v/>
      </c>
      <c r="N887" s="78">
        <f>IF(ISBLANK(L887),"",IF(AND(C887="Sell",D887="Stock"),M887,IF(ISBLANK(L887),"",IF(C887="Buy",M887, IF(AND(C887="Sell",J887="NA"),(E887*G887*100*0.1)+I887, IF(C887="Sell",(J887-L887)*(100*G887)+I887))))))</f>
        <v/>
      </c>
      <c r="O887" s="75" t="n"/>
      <c r="P887" s="75" t="n"/>
      <c r="Q887" s="75">
        <f>IF(ISBLANK(P887),"",IF(D887="Stock",P887*G887,IF(P887=0,"0",G887*P887*100-(G887*$AF$14))))</f>
        <v/>
      </c>
      <c r="R887" s="79">
        <f>IF(P887&lt;&gt;"", TODAY(), "")</f>
        <v/>
      </c>
      <c r="S887" s="78">
        <f>IF(AND(K887&lt;&gt;"", R887&lt;&gt;""), R887-K887, "")</f>
        <v/>
      </c>
      <c r="T887" s="78" t="n"/>
      <c r="U887" s="92">
        <f>IF(ISBLANK(P887),"",IF(C887="Buy",Q887-M887+T887, IF(C887="Sell",M887-Q887-T887, X)))</f>
        <v/>
      </c>
      <c r="V887" s="81">
        <f>IF(ISBLANK(P887),"",U887/N887)</f>
        <v/>
      </c>
      <c r="W887" s="81">
        <f>IF(ISBLANK(P887),"",IF(S887=0,(365/0.5)*V887,(365/S887)*V887))</f>
        <v/>
      </c>
      <c r="X887" s="75" t="n"/>
      <c r="Y887" s="77" t="n"/>
      <c r="Z887" s="77" t="n"/>
      <c r="AA887" s="75" t="n"/>
      <c r="AB887" s="75" t="n"/>
      <c r="AC887" s="6" t="n"/>
      <c r="AD887" s="75" t="n"/>
      <c r="AE887" s="75" t="n"/>
      <c r="AF887" s="75" t="n"/>
    </row>
    <row r="888" ht="15.75" customHeight="1" s="133">
      <c r="A888" s="75" t="n"/>
      <c r="B888" s="75" t="n"/>
      <c r="C888" s="75" t="n"/>
      <c r="D888" s="75" t="n"/>
      <c r="E888" s="76" t="n"/>
      <c r="F888" s="77" t="n"/>
      <c r="G888" s="75" t="n"/>
      <c r="H888" s="75">
        <f>IF(ISBLANK(E888),"",IF(OR(D888="Butterfly",D888="Butterfly ",D888="Iron Fly", D888="Iron Fly "),LEN(E888)-LEN(SUBSTITUTE(E888,"/",""))+2,LEN(E888)-LEN(SUBSTITUTE(E888,"/",""))+1))</f>
        <v/>
      </c>
      <c r="I888" s="78">
        <f>IF(ISBLANK(G888),"",IF(D888="Stock","0",Key!$A$3*H888*G888))</f>
        <v/>
      </c>
      <c r="J888" s="78">
        <f>IF(ISBLANK(E888),"",IF(ISNUMBER(SEARCH("/",E888)), IF(LEN(E888)-LEN(SUBSTITUTE(E888,"/",""))=1,(RIGHT(E888,LEN(E888)-FIND("/",E888)))-(LEFT(E888,FIND("/",E888)-1)),(MID(E888, SEARCH("/",E888) + 1, SEARCH("/",E888, SEARCH("/",E888)+1) - SEARCH("/",E888) - 1))-(LEFT(E888,FIND("/",E888)-1))), "NA"))</f>
        <v/>
      </c>
      <c r="K888" s="79">
        <f>IF(A888&lt;&gt;"", IF(ISBLANK(L888), TODAY(), K888), "")</f>
        <v/>
      </c>
      <c r="L888" s="78" t="n"/>
      <c r="M888" s="78">
        <f>IF(ISBLANK(L888),"",IF(D888="Stock",IF(C888="Buy",L888*G888,IF(C888="Sell",(L888*G888)-I888, X)),IF(C888="Buy",(L888*G888*100)+I888,IF(C888="Sell",(L888*G888*100)-I888, X))))</f>
        <v/>
      </c>
      <c r="N888" s="78">
        <f>IF(ISBLANK(L888),"",IF(AND(C888="Sell",D888="Stock"),M888,IF(ISBLANK(L888),"",IF(C888="Buy",M888, IF(AND(C888="Sell",J888="NA"),(E888*G888*100*0.1)+I888, IF(C888="Sell",(J888-L888)*(100*G888)+I888))))))</f>
        <v/>
      </c>
      <c r="O888" s="75" t="n"/>
      <c r="P888" s="75" t="n"/>
      <c r="Q888" s="75">
        <f>IF(ISBLANK(P888),"",IF(D888="Stock",P888*G888,IF(P888=0,"0",G888*P888*100-(G888*$AF$14))))</f>
        <v/>
      </c>
      <c r="R888" s="79">
        <f>IF(P888&lt;&gt;"", TODAY(), "")</f>
        <v/>
      </c>
      <c r="S888" s="78">
        <f>IF(AND(K888&lt;&gt;"", R888&lt;&gt;""), R888-K888, "")</f>
        <v/>
      </c>
      <c r="T888" s="78" t="n"/>
      <c r="U888" s="92">
        <f>IF(ISBLANK(P888),"",IF(C888="Buy",Q888-M888+T888, IF(C888="Sell",M888-Q888-T888, X)))</f>
        <v/>
      </c>
      <c r="V888" s="81">
        <f>IF(ISBLANK(P888),"",U888/N888)</f>
        <v/>
      </c>
      <c r="W888" s="81">
        <f>IF(ISBLANK(P888),"",IF(S888=0,(365/0.5)*V888,(365/S888)*V888))</f>
        <v/>
      </c>
      <c r="X888" s="75" t="n"/>
      <c r="Y888" s="77" t="n"/>
      <c r="Z888" s="77" t="n"/>
      <c r="AA888" s="75" t="n"/>
      <c r="AB888" s="75" t="n"/>
      <c r="AC888" s="6" t="n"/>
      <c r="AD888" s="75" t="n"/>
      <c r="AE888" s="75" t="n"/>
      <c r="AF888" s="75" t="n"/>
    </row>
    <row r="889" ht="15.75" customHeight="1" s="133">
      <c r="A889" s="75" t="n"/>
      <c r="B889" s="75" t="n"/>
      <c r="C889" s="75" t="n"/>
      <c r="D889" s="75" t="n"/>
      <c r="E889" s="76" t="n"/>
      <c r="F889" s="77" t="n"/>
      <c r="G889" s="75" t="n"/>
      <c r="H889" s="75">
        <f>IF(ISBLANK(E889),"",IF(OR(D889="Butterfly",D889="Butterfly ",D889="Iron Fly", D889="Iron Fly "),LEN(E889)-LEN(SUBSTITUTE(E889,"/",""))+2,LEN(E889)-LEN(SUBSTITUTE(E889,"/",""))+1))</f>
        <v/>
      </c>
      <c r="I889" s="78">
        <f>IF(ISBLANK(G889),"",IF(D889="Stock","0",Key!$A$3*H889*G889))</f>
        <v/>
      </c>
      <c r="J889" s="78">
        <f>IF(ISBLANK(E889),"",IF(ISNUMBER(SEARCH("/",E889)), IF(LEN(E889)-LEN(SUBSTITUTE(E889,"/",""))=1,(RIGHT(E889,LEN(E889)-FIND("/",E889)))-(LEFT(E889,FIND("/",E889)-1)),(MID(E889, SEARCH("/",E889) + 1, SEARCH("/",E889, SEARCH("/",E889)+1) - SEARCH("/",E889) - 1))-(LEFT(E889,FIND("/",E889)-1))), "NA"))</f>
        <v/>
      </c>
      <c r="K889" s="79">
        <f>IF(A889&lt;&gt;"", IF(ISBLANK(L889), TODAY(), K889), "")</f>
        <v/>
      </c>
      <c r="L889" s="78" t="n"/>
      <c r="M889" s="78">
        <f>IF(ISBLANK(L889),"",IF(D889="Stock",IF(C889="Buy",L889*G889,IF(C889="Sell",(L889*G889)-I889, X)),IF(C889="Buy",(L889*G889*100)+I889,IF(C889="Sell",(L889*G889*100)-I889, X))))</f>
        <v/>
      </c>
      <c r="N889" s="78">
        <f>IF(ISBLANK(L889),"",IF(AND(C889="Sell",D889="Stock"),M889,IF(ISBLANK(L889),"",IF(C889="Buy",M889, IF(AND(C889="Sell",J889="NA"),(E889*G889*100*0.1)+I889, IF(C889="Sell",(J889-L889)*(100*G889)+I889))))))</f>
        <v/>
      </c>
      <c r="O889" s="75" t="n"/>
      <c r="P889" s="75" t="n"/>
      <c r="Q889" s="75">
        <f>IF(ISBLANK(P889),"",IF(D889="Stock",P889*G889,IF(P889=0,"0",G889*P889*100-(G889*$AF$14))))</f>
        <v/>
      </c>
      <c r="R889" s="79">
        <f>IF(P889&lt;&gt;"", TODAY(), "")</f>
        <v/>
      </c>
      <c r="S889" s="78">
        <f>IF(AND(K889&lt;&gt;"", R889&lt;&gt;""), R889-K889, "")</f>
        <v/>
      </c>
      <c r="T889" s="78" t="n"/>
      <c r="U889" s="92">
        <f>IF(ISBLANK(P889),"",IF(C889="Buy",Q889-M889+T889, IF(C889="Sell",M889-Q889-T889, X)))</f>
        <v/>
      </c>
      <c r="V889" s="81">
        <f>IF(ISBLANK(P889),"",U889/N889)</f>
        <v/>
      </c>
      <c r="W889" s="81">
        <f>IF(ISBLANK(P889),"",IF(S889=0,(365/0.5)*V889,(365/S889)*V889))</f>
        <v/>
      </c>
      <c r="X889" s="75" t="n"/>
      <c r="Y889" s="77" t="n"/>
      <c r="Z889" s="77" t="n"/>
      <c r="AA889" s="75" t="n"/>
      <c r="AB889" s="75" t="n"/>
      <c r="AC889" s="6" t="n"/>
      <c r="AD889" s="75" t="n"/>
      <c r="AE889" s="75" t="n"/>
      <c r="AF889" s="75" t="n"/>
    </row>
    <row r="890" ht="15.75" customHeight="1" s="133">
      <c r="A890" s="75" t="n"/>
      <c r="B890" s="75" t="n"/>
      <c r="C890" s="75" t="n"/>
      <c r="D890" s="75" t="n"/>
      <c r="E890" s="76" t="n"/>
      <c r="F890" s="77" t="n"/>
      <c r="G890" s="75" t="n"/>
      <c r="H890" s="75">
        <f>IF(ISBLANK(E890),"",IF(OR(D890="Butterfly",D890="Butterfly ",D890="Iron Fly", D890="Iron Fly "),LEN(E890)-LEN(SUBSTITUTE(E890,"/",""))+2,LEN(E890)-LEN(SUBSTITUTE(E890,"/",""))+1))</f>
        <v/>
      </c>
      <c r="I890" s="78">
        <f>IF(ISBLANK(G890),"",IF(D890="Stock","0",Key!$A$3*H890*G890))</f>
        <v/>
      </c>
      <c r="J890" s="78">
        <f>IF(ISBLANK(E890),"",IF(ISNUMBER(SEARCH("/",E890)), IF(LEN(E890)-LEN(SUBSTITUTE(E890,"/",""))=1,(RIGHT(E890,LEN(E890)-FIND("/",E890)))-(LEFT(E890,FIND("/",E890)-1)),(MID(E890, SEARCH("/",E890) + 1, SEARCH("/",E890, SEARCH("/",E890)+1) - SEARCH("/",E890) - 1))-(LEFT(E890,FIND("/",E890)-1))), "NA"))</f>
        <v/>
      </c>
      <c r="K890" s="79">
        <f>IF(A890&lt;&gt;"", IF(ISBLANK(L890), TODAY(), K890), "")</f>
        <v/>
      </c>
      <c r="L890" s="78" t="n"/>
      <c r="M890" s="78">
        <f>IF(ISBLANK(L890),"",IF(D890="Stock",IF(C890="Buy",L890*G890,IF(C890="Sell",(L890*G890)-I890, X)),IF(C890="Buy",(L890*G890*100)+I890,IF(C890="Sell",(L890*G890*100)-I890, X))))</f>
        <v/>
      </c>
      <c r="N890" s="78">
        <f>IF(ISBLANK(L890),"",IF(AND(C890="Sell",D890="Stock"),M890,IF(ISBLANK(L890),"",IF(C890="Buy",M890, IF(AND(C890="Sell",J890="NA"),(E890*G890*100*0.1)+I890, IF(C890="Sell",(J890-L890)*(100*G890)+I890))))))</f>
        <v/>
      </c>
      <c r="O890" s="75" t="n"/>
      <c r="P890" s="75" t="n"/>
      <c r="Q890" s="75">
        <f>IF(ISBLANK(P890),"",IF(D890="Stock",P890*G890,IF(P890=0,"0",G890*P890*100-(G890*$AF$14))))</f>
        <v/>
      </c>
      <c r="R890" s="79">
        <f>IF(P890&lt;&gt;"", TODAY(), "")</f>
        <v/>
      </c>
      <c r="S890" s="78">
        <f>IF(AND(K890&lt;&gt;"", R890&lt;&gt;""), R890-K890, "")</f>
        <v/>
      </c>
      <c r="T890" s="78" t="n"/>
      <c r="U890" s="92">
        <f>IF(ISBLANK(P890),"",IF(C890="Buy",Q890-M890+T890, IF(C890="Sell",M890-Q890-T890, X)))</f>
        <v/>
      </c>
      <c r="V890" s="81">
        <f>IF(ISBLANK(P890),"",U890/N890)</f>
        <v/>
      </c>
      <c r="W890" s="81">
        <f>IF(ISBLANK(P890),"",IF(S890=0,(365/0.5)*V890,(365/S890)*V890))</f>
        <v/>
      </c>
      <c r="X890" s="75" t="n"/>
      <c r="Y890" s="77" t="n"/>
      <c r="Z890" s="77" t="n"/>
      <c r="AA890" s="75" t="n"/>
      <c r="AB890" s="75" t="n"/>
      <c r="AC890" s="6" t="n"/>
      <c r="AD890" s="75" t="n"/>
      <c r="AE890" s="75" t="n"/>
      <c r="AF890" s="75" t="n"/>
    </row>
    <row r="891" ht="15.75" customHeight="1" s="133">
      <c r="A891" s="75" t="n"/>
      <c r="B891" s="75" t="n"/>
      <c r="C891" s="75" t="n"/>
      <c r="D891" s="75" t="n"/>
      <c r="E891" s="76" t="n"/>
      <c r="F891" s="77" t="n"/>
      <c r="G891" s="75" t="n"/>
      <c r="H891" s="75">
        <f>IF(ISBLANK(E891),"",IF(OR(D891="Butterfly",D891="Butterfly ",D891="Iron Fly", D891="Iron Fly "),LEN(E891)-LEN(SUBSTITUTE(E891,"/",""))+2,LEN(E891)-LEN(SUBSTITUTE(E891,"/",""))+1))</f>
        <v/>
      </c>
      <c r="I891" s="78">
        <f>IF(ISBLANK(G891),"",IF(D891="Stock","0",Key!$A$3*H891*G891))</f>
        <v/>
      </c>
      <c r="J891" s="78">
        <f>IF(ISBLANK(E891),"",IF(ISNUMBER(SEARCH("/",E891)), IF(LEN(E891)-LEN(SUBSTITUTE(E891,"/",""))=1,(RIGHT(E891,LEN(E891)-FIND("/",E891)))-(LEFT(E891,FIND("/",E891)-1)),(MID(E891, SEARCH("/",E891) + 1, SEARCH("/",E891, SEARCH("/",E891)+1) - SEARCH("/",E891) - 1))-(LEFT(E891,FIND("/",E891)-1))), "NA"))</f>
        <v/>
      </c>
      <c r="K891" s="79">
        <f>IF(A891&lt;&gt;"", IF(ISBLANK(L891), TODAY(), K891), "")</f>
        <v/>
      </c>
      <c r="L891" s="78" t="n"/>
      <c r="M891" s="78">
        <f>IF(ISBLANK(L891),"",IF(D891="Stock",IF(C891="Buy",L891*G891,IF(C891="Sell",(L891*G891)-I891, X)),IF(C891="Buy",(L891*G891*100)+I891,IF(C891="Sell",(L891*G891*100)-I891, X))))</f>
        <v/>
      </c>
      <c r="N891" s="78">
        <f>IF(ISBLANK(L891),"",IF(AND(C891="Sell",D891="Stock"),M891,IF(ISBLANK(L891),"",IF(C891="Buy",M891, IF(AND(C891="Sell",J891="NA"),(E891*G891*100*0.1)+I891, IF(C891="Sell",(J891-L891)*(100*G891)+I891))))))</f>
        <v/>
      </c>
      <c r="O891" s="75" t="n"/>
      <c r="P891" s="75" t="n"/>
      <c r="Q891" s="75">
        <f>IF(ISBLANK(P891),"",IF(D891="Stock",P891*G891,IF(P891=0,"0",G891*P891*100-(G891*$AF$14))))</f>
        <v/>
      </c>
      <c r="R891" s="79">
        <f>IF(P891&lt;&gt;"", TODAY(), "")</f>
        <v/>
      </c>
      <c r="S891" s="78">
        <f>IF(AND(K891&lt;&gt;"", R891&lt;&gt;""), R891-K891, "")</f>
        <v/>
      </c>
      <c r="T891" s="78" t="n"/>
      <c r="U891" s="92">
        <f>IF(ISBLANK(P891),"",IF(C891="Buy",Q891-M891+T891, IF(C891="Sell",M891-Q891-T891, X)))</f>
        <v/>
      </c>
      <c r="V891" s="81">
        <f>IF(ISBLANK(P891),"",U891/N891)</f>
        <v/>
      </c>
      <c r="W891" s="81">
        <f>IF(ISBLANK(P891),"",IF(S891=0,(365/0.5)*V891,(365/S891)*V891))</f>
        <v/>
      </c>
      <c r="X891" s="75" t="n"/>
      <c r="Y891" s="77" t="n"/>
      <c r="Z891" s="77" t="n"/>
      <c r="AA891" s="75" t="n"/>
      <c r="AB891" s="75" t="n"/>
      <c r="AC891" s="6" t="n"/>
      <c r="AD891" s="75" t="n"/>
      <c r="AE891" s="75" t="n"/>
      <c r="AF891" s="75" t="n"/>
    </row>
    <row r="892" ht="15.75" customHeight="1" s="133">
      <c r="A892" s="75" t="n"/>
      <c r="B892" s="75" t="n"/>
      <c r="C892" s="75" t="n"/>
      <c r="D892" s="75" t="n"/>
      <c r="E892" s="76" t="n"/>
      <c r="F892" s="77" t="n"/>
      <c r="G892" s="75" t="n"/>
      <c r="H892" s="75">
        <f>IF(ISBLANK(E892),"",IF(OR(D892="Butterfly",D892="Butterfly ",D892="Iron Fly", D892="Iron Fly "),LEN(E892)-LEN(SUBSTITUTE(E892,"/",""))+2,LEN(E892)-LEN(SUBSTITUTE(E892,"/",""))+1))</f>
        <v/>
      </c>
      <c r="I892" s="78">
        <f>IF(ISBLANK(G892),"",IF(D892="Stock","0",Key!$A$3*H892*G892))</f>
        <v/>
      </c>
      <c r="J892" s="78">
        <f>IF(ISBLANK(E892),"",IF(ISNUMBER(SEARCH("/",E892)), IF(LEN(E892)-LEN(SUBSTITUTE(E892,"/",""))=1,(RIGHT(E892,LEN(E892)-FIND("/",E892)))-(LEFT(E892,FIND("/",E892)-1)),(MID(E892, SEARCH("/",E892) + 1, SEARCH("/",E892, SEARCH("/",E892)+1) - SEARCH("/",E892) - 1))-(LEFT(E892,FIND("/",E892)-1))), "NA"))</f>
        <v/>
      </c>
      <c r="K892" s="79">
        <f>IF(A892&lt;&gt;"", IF(ISBLANK(L892), TODAY(), K892), "")</f>
        <v/>
      </c>
      <c r="L892" s="78" t="n"/>
      <c r="M892" s="78">
        <f>IF(ISBLANK(L892),"",IF(D892="Stock",IF(C892="Buy",L892*G892,IF(C892="Sell",(L892*G892)-I892, X)),IF(C892="Buy",(L892*G892*100)+I892,IF(C892="Sell",(L892*G892*100)-I892, X))))</f>
        <v/>
      </c>
      <c r="N892" s="78">
        <f>IF(ISBLANK(L892),"",IF(AND(C892="Sell",D892="Stock"),M892,IF(ISBLANK(L892),"",IF(C892="Buy",M892, IF(AND(C892="Sell",J892="NA"),(E892*G892*100*0.1)+I892, IF(C892="Sell",(J892-L892)*(100*G892)+I892))))))</f>
        <v/>
      </c>
      <c r="O892" s="75" t="n"/>
      <c r="P892" s="75" t="n"/>
      <c r="Q892" s="75">
        <f>IF(ISBLANK(P892),"",IF(D892="Stock",P892*G892,IF(P892=0,"0",G892*P892*100-(G892*$AF$14))))</f>
        <v/>
      </c>
      <c r="R892" s="79">
        <f>IF(P892&lt;&gt;"", TODAY(), "")</f>
        <v/>
      </c>
      <c r="S892" s="78">
        <f>IF(AND(K892&lt;&gt;"", R892&lt;&gt;""), R892-K892, "")</f>
        <v/>
      </c>
      <c r="T892" s="78" t="n"/>
      <c r="U892" s="92">
        <f>IF(ISBLANK(P892),"",IF(C892="Buy",Q892-M892+T892, IF(C892="Sell",M892-Q892-T892, X)))</f>
        <v/>
      </c>
      <c r="V892" s="81">
        <f>IF(ISBLANK(P892),"",U892/N892)</f>
        <v/>
      </c>
      <c r="W892" s="81">
        <f>IF(ISBLANK(P892),"",IF(S892=0,(365/0.5)*V892,(365/S892)*V892))</f>
        <v/>
      </c>
      <c r="X892" s="75" t="n"/>
      <c r="Y892" s="77" t="n"/>
      <c r="Z892" s="77" t="n"/>
      <c r="AA892" s="75" t="n"/>
      <c r="AB892" s="75" t="n"/>
      <c r="AC892" s="6" t="n"/>
      <c r="AD892" s="75" t="n"/>
      <c r="AE892" s="75" t="n"/>
      <c r="AF892" s="75" t="n"/>
    </row>
    <row r="893" ht="15.75" customHeight="1" s="133">
      <c r="A893" s="75" t="n"/>
      <c r="B893" s="75" t="n"/>
      <c r="C893" s="75" t="n"/>
      <c r="D893" s="75" t="n"/>
      <c r="E893" s="76" t="n"/>
      <c r="F893" s="77" t="n"/>
      <c r="G893" s="75" t="n"/>
      <c r="H893" s="75">
        <f>IF(ISBLANK(E893),"",IF(OR(D893="Butterfly",D893="Butterfly ",D893="Iron Fly", D893="Iron Fly "),LEN(E893)-LEN(SUBSTITUTE(E893,"/",""))+2,LEN(E893)-LEN(SUBSTITUTE(E893,"/",""))+1))</f>
        <v/>
      </c>
      <c r="I893" s="78">
        <f>IF(ISBLANK(G893),"",IF(D893="Stock","0",Key!$A$3*H893*G893))</f>
        <v/>
      </c>
      <c r="J893" s="78">
        <f>IF(ISBLANK(E893),"",IF(ISNUMBER(SEARCH("/",E893)), IF(LEN(E893)-LEN(SUBSTITUTE(E893,"/",""))=1,(RIGHT(E893,LEN(E893)-FIND("/",E893)))-(LEFT(E893,FIND("/",E893)-1)),(MID(E893, SEARCH("/",E893) + 1, SEARCH("/",E893, SEARCH("/",E893)+1) - SEARCH("/",E893) - 1))-(LEFT(E893,FIND("/",E893)-1))), "NA"))</f>
        <v/>
      </c>
      <c r="K893" s="79">
        <f>IF(A893&lt;&gt;"", IF(ISBLANK(L893), TODAY(), K893), "")</f>
        <v/>
      </c>
      <c r="L893" s="78" t="n"/>
      <c r="M893" s="78">
        <f>IF(ISBLANK(L893),"",IF(D893="Stock",IF(C893="Buy",L893*G893,IF(C893="Sell",(L893*G893)-I893, X)),IF(C893="Buy",(L893*G893*100)+I893,IF(C893="Sell",(L893*G893*100)-I893, X))))</f>
        <v/>
      </c>
      <c r="N893" s="78">
        <f>IF(ISBLANK(L893),"",IF(AND(C893="Sell",D893="Stock"),M893,IF(ISBLANK(L893),"",IF(C893="Buy",M893, IF(AND(C893="Sell",J893="NA"),(E893*G893*100*0.1)+I893, IF(C893="Sell",(J893-L893)*(100*G893)+I893))))))</f>
        <v/>
      </c>
      <c r="O893" s="75" t="n"/>
      <c r="P893" s="75" t="n"/>
      <c r="Q893" s="75">
        <f>IF(ISBLANK(P893),"",IF(D893="Stock",P893*G893,IF(P893=0,"0",G893*P893*100-(G893*$AF$14))))</f>
        <v/>
      </c>
      <c r="R893" s="79">
        <f>IF(P893&lt;&gt;"", TODAY(), "")</f>
        <v/>
      </c>
      <c r="S893" s="78">
        <f>IF(AND(K893&lt;&gt;"", R893&lt;&gt;""), R893-K893, "")</f>
        <v/>
      </c>
      <c r="T893" s="78" t="n"/>
      <c r="U893" s="92">
        <f>IF(ISBLANK(P893),"",IF(C893="Buy",Q893-M893+T893, IF(C893="Sell",M893-Q893-T893, X)))</f>
        <v/>
      </c>
      <c r="V893" s="81">
        <f>IF(ISBLANK(P893),"",U893/N893)</f>
        <v/>
      </c>
      <c r="W893" s="81">
        <f>IF(ISBLANK(P893),"",IF(S893=0,(365/0.5)*V893,(365/S893)*V893))</f>
        <v/>
      </c>
      <c r="X893" s="75" t="n"/>
      <c r="Y893" s="77" t="n"/>
      <c r="Z893" s="77" t="n"/>
      <c r="AA893" s="75" t="n"/>
      <c r="AB893" s="75" t="n"/>
      <c r="AC893" s="6" t="n"/>
      <c r="AD893" s="75" t="n"/>
      <c r="AE893" s="75" t="n"/>
      <c r="AF893" s="75" t="n"/>
    </row>
    <row r="894" ht="15.75" customHeight="1" s="133">
      <c r="A894" s="75" t="n"/>
      <c r="B894" s="75" t="n"/>
      <c r="C894" s="75" t="n"/>
      <c r="D894" s="75" t="n"/>
      <c r="E894" s="76" t="n"/>
      <c r="F894" s="77" t="n"/>
      <c r="G894" s="75" t="n"/>
      <c r="H894" s="75">
        <f>IF(ISBLANK(E894),"",IF(OR(D894="Butterfly",D894="Butterfly ",D894="Iron Fly", D894="Iron Fly "),LEN(E894)-LEN(SUBSTITUTE(E894,"/",""))+2,LEN(E894)-LEN(SUBSTITUTE(E894,"/",""))+1))</f>
        <v/>
      </c>
      <c r="I894" s="78">
        <f>IF(ISBLANK(G894),"",IF(D894="Stock","0",Key!$A$3*H894*G894))</f>
        <v/>
      </c>
      <c r="J894" s="78">
        <f>IF(ISBLANK(E894),"",IF(ISNUMBER(SEARCH("/",E894)), IF(LEN(E894)-LEN(SUBSTITUTE(E894,"/",""))=1,(RIGHT(E894,LEN(E894)-FIND("/",E894)))-(LEFT(E894,FIND("/",E894)-1)),(MID(E894, SEARCH("/",E894) + 1, SEARCH("/",E894, SEARCH("/",E894)+1) - SEARCH("/",E894) - 1))-(LEFT(E894,FIND("/",E894)-1))), "NA"))</f>
        <v/>
      </c>
      <c r="K894" s="79">
        <f>IF(A894&lt;&gt;"", IF(ISBLANK(L894), TODAY(), K894), "")</f>
        <v/>
      </c>
      <c r="L894" s="78" t="n"/>
      <c r="M894" s="78">
        <f>IF(ISBLANK(L894),"",IF(D894="Stock",IF(C894="Buy",L894*G894,IF(C894="Sell",(L894*G894)-I894, X)),IF(C894="Buy",(L894*G894*100)+I894,IF(C894="Sell",(L894*G894*100)-I894, X))))</f>
        <v/>
      </c>
      <c r="N894" s="78">
        <f>IF(ISBLANK(L894),"",IF(AND(C894="Sell",D894="Stock"),M894,IF(ISBLANK(L894),"",IF(C894="Buy",M894, IF(AND(C894="Sell",J894="NA"),(E894*G894*100*0.1)+I894, IF(C894="Sell",(J894-L894)*(100*G894)+I894))))))</f>
        <v/>
      </c>
      <c r="O894" s="75" t="n"/>
      <c r="P894" s="75" t="n"/>
      <c r="Q894" s="75">
        <f>IF(ISBLANK(P894),"",IF(D894="Stock",P894*G894,IF(P894=0,"0",G894*P894*100-(G894*$AF$14))))</f>
        <v/>
      </c>
      <c r="R894" s="79">
        <f>IF(P894&lt;&gt;"", TODAY(), "")</f>
        <v/>
      </c>
      <c r="S894" s="78">
        <f>IF(AND(K894&lt;&gt;"", R894&lt;&gt;""), R894-K894, "")</f>
        <v/>
      </c>
      <c r="T894" s="78" t="n"/>
      <c r="U894" s="92">
        <f>IF(ISBLANK(P894),"",IF(C894="Buy",Q894-M894+T894, IF(C894="Sell",M894-Q894-T894, X)))</f>
        <v/>
      </c>
      <c r="V894" s="81">
        <f>IF(ISBLANK(P894),"",U894/N894)</f>
        <v/>
      </c>
      <c r="W894" s="81">
        <f>IF(ISBLANK(P894),"",IF(S894=0,(365/0.5)*V894,(365/S894)*V894))</f>
        <v/>
      </c>
      <c r="X894" s="75" t="n"/>
      <c r="Y894" s="77" t="n"/>
      <c r="Z894" s="77" t="n"/>
      <c r="AA894" s="75" t="n"/>
      <c r="AB894" s="75" t="n"/>
      <c r="AC894" s="6" t="n"/>
      <c r="AD894" s="75" t="n"/>
      <c r="AE894" s="75" t="n"/>
      <c r="AF894" s="75" t="n"/>
    </row>
    <row r="895" ht="15.75" customHeight="1" s="133">
      <c r="A895" s="75" t="n"/>
      <c r="B895" s="75" t="n"/>
      <c r="C895" s="75" t="n"/>
      <c r="D895" s="75" t="n"/>
      <c r="E895" s="76" t="n"/>
      <c r="F895" s="77" t="n"/>
      <c r="G895" s="75" t="n"/>
      <c r="H895" s="75">
        <f>IF(ISBLANK(E895),"",IF(OR(D895="Butterfly",D895="Butterfly ",D895="Iron Fly", D895="Iron Fly "),LEN(E895)-LEN(SUBSTITUTE(E895,"/",""))+2,LEN(E895)-LEN(SUBSTITUTE(E895,"/",""))+1))</f>
        <v/>
      </c>
      <c r="I895" s="78">
        <f>IF(ISBLANK(G895),"",IF(D895="Stock","0",Key!$A$3*H895*G895))</f>
        <v/>
      </c>
      <c r="J895" s="78">
        <f>IF(ISBLANK(E895),"",IF(ISNUMBER(SEARCH("/",E895)), IF(LEN(E895)-LEN(SUBSTITUTE(E895,"/",""))=1,(RIGHT(E895,LEN(E895)-FIND("/",E895)))-(LEFT(E895,FIND("/",E895)-1)),(MID(E895, SEARCH("/",E895) + 1, SEARCH("/",E895, SEARCH("/",E895)+1) - SEARCH("/",E895) - 1))-(LEFT(E895,FIND("/",E895)-1))), "NA"))</f>
        <v/>
      </c>
      <c r="K895" s="79">
        <f>IF(A895&lt;&gt;"", IF(ISBLANK(L895), TODAY(), K895), "")</f>
        <v/>
      </c>
      <c r="L895" s="78" t="n"/>
      <c r="M895" s="78">
        <f>IF(ISBLANK(L895),"",IF(D895="Stock",IF(C895="Buy",L895*G895,IF(C895="Sell",(L895*G895)-I895, X)),IF(C895="Buy",(L895*G895*100)+I895,IF(C895="Sell",(L895*G895*100)-I895, X))))</f>
        <v/>
      </c>
      <c r="N895" s="78">
        <f>IF(ISBLANK(L895),"",IF(AND(C895="Sell",D895="Stock"),M895,IF(ISBLANK(L895),"",IF(C895="Buy",M895, IF(AND(C895="Sell",J895="NA"),(E895*G895*100*0.1)+I895, IF(C895="Sell",(J895-L895)*(100*G895)+I895))))))</f>
        <v/>
      </c>
      <c r="O895" s="75" t="n"/>
      <c r="P895" s="75" t="n"/>
      <c r="Q895" s="75">
        <f>IF(ISBLANK(P895),"",IF(D895="Stock",P895*G895,IF(P895=0,"0",G895*P895*100-(G895*$AF$14))))</f>
        <v/>
      </c>
      <c r="R895" s="79">
        <f>IF(P895&lt;&gt;"", TODAY(), "")</f>
        <v/>
      </c>
      <c r="S895" s="78">
        <f>IF(AND(K895&lt;&gt;"", R895&lt;&gt;""), R895-K895, "")</f>
        <v/>
      </c>
      <c r="T895" s="78" t="n"/>
      <c r="U895" s="92">
        <f>IF(ISBLANK(P895),"",IF(C895="Buy",Q895-M895+T895, IF(C895="Sell",M895-Q895-T895, X)))</f>
        <v/>
      </c>
      <c r="V895" s="81">
        <f>IF(ISBLANK(P895),"",U895/N895)</f>
        <v/>
      </c>
      <c r="W895" s="81">
        <f>IF(ISBLANK(P895),"",IF(S895=0,(365/0.5)*V895,(365/S895)*V895))</f>
        <v/>
      </c>
      <c r="X895" s="75" t="n"/>
      <c r="Y895" s="77" t="n"/>
      <c r="Z895" s="77" t="n"/>
      <c r="AA895" s="75" t="n"/>
      <c r="AB895" s="75" t="n"/>
      <c r="AC895" s="6" t="n"/>
      <c r="AD895" s="75" t="n"/>
      <c r="AE895" s="75" t="n"/>
      <c r="AF895" s="75" t="n"/>
    </row>
    <row r="896" ht="15.75" customHeight="1" s="133">
      <c r="A896" s="75" t="n"/>
      <c r="B896" s="75" t="n"/>
      <c r="C896" s="75" t="n"/>
      <c r="D896" s="75" t="n"/>
      <c r="E896" s="76" t="n"/>
      <c r="F896" s="77" t="n"/>
      <c r="G896" s="75" t="n"/>
      <c r="H896" s="75">
        <f>IF(ISBLANK(E896),"",IF(OR(D896="Butterfly",D896="Butterfly ",D896="Iron Fly", D896="Iron Fly "),LEN(E896)-LEN(SUBSTITUTE(E896,"/",""))+2,LEN(E896)-LEN(SUBSTITUTE(E896,"/",""))+1))</f>
        <v/>
      </c>
      <c r="I896" s="78">
        <f>IF(ISBLANK(G896),"",IF(D896="Stock","0",Key!$A$3*H896*G896))</f>
        <v/>
      </c>
      <c r="J896" s="78">
        <f>IF(ISBLANK(E896),"",IF(ISNUMBER(SEARCH("/",E896)), IF(LEN(E896)-LEN(SUBSTITUTE(E896,"/",""))=1,(RIGHT(E896,LEN(E896)-FIND("/",E896)))-(LEFT(E896,FIND("/",E896)-1)),(MID(E896, SEARCH("/",E896) + 1, SEARCH("/",E896, SEARCH("/",E896)+1) - SEARCH("/",E896) - 1))-(LEFT(E896,FIND("/",E896)-1))), "NA"))</f>
        <v/>
      </c>
      <c r="K896" s="79">
        <f>IF(A896&lt;&gt;"", IF(ISBLANK(L896), TODAY(), K896), "")</f>
        <v/>
      </c>
      <c r="L896" s="78" t="n"/>
      <c r="M896" s="78">
        <f>IF(ISBLANK(L896),"",IF(D896="Stock",IF(C896="Buy",L896*G896,IF(C896="Sell",(L896*G896)-I896, X)),IF(C896="Buy",(L896*G896*100)+I896,IF(C896="Sell",(L896*G896*100)-I896, X))))</f>
        <v/>
      </c>
      <c r="N896" s="78">
        <f>IF(ISBLANK(L896),"",IF(AND(C896="Sell",D896="Stock"),M896,IF(ISBLANK(L896),"",IF(C896="Buy",M896, IF(AND(C896="Sell",J896="NA"),(E896*G896*100*0.1)+I896, IF(C896="Sell",(J896-L896)*(100*G896)+I896))))))</f>
        <v/>
      </c>
      <c r="O896" s="75" t="n"/>
      <c r="P896" s="75" t="n"/>
      <c r="Q896" s="75">
        <f>IF(ISBLANK(P896),"",IF(D896="Stock",P896*G896,IF(P896=0,"0",G896*P896*100-(G896*$AF$14))))</f>
        <v/>
      </c>
      <c r="R896" s="79">
        <f>IF(P896&lt;&gt;"", TODAY(), "")</f>
        <v/>
      </c>
      <c r="S896" s="78">
        <f>IF(AND(K896&lt;&gt;"", R896&lt;&gt;""), R896-K896, "")</f>
        <v/>
      </c>
      <c r="T896" s="78" t="n"/>
      <c r="U896" s="92">
        <f>IF(ISBLANK(P896),"",IF(C896="Buy",Q896-M896+T896, IF(C896="Sell",M896-Q896-T896, X)))</f>
        <v/>
      </c>
      <c r="V896" s="81">
        <f>IF(ISBLANK(P896),"",U896/N896)</f>
        <v/>
      </c>
      <c r="W896" s="81">
        <f>IF(ISBLANK(P896),"",IF(S896=0,(365/0.5)*V896,(365/S896)*V896))</f>
        <v/>
      </c>
      <c r="X896" s="75" t="n"/>
      <c r="Y896" s="77" t="n"/>
      <c r="Z896" s="77" t="n"/>
      <c r="AA896" s="75" t="n"/>
      <c r="AB896" s="75" t="n"/>
      <c r="AC896" s="6" t="n"/>
      <c r="AD896" s="75" t="n"/>
      <c r="AE896" s="75" t="n"/>
      <c r="AF896" s="75" t="n"/>
    </row>
    <row r="897" ht="15.75" customHeight="1" s="133">
      <c r="A897" s="75" t="n"/>
      <c r="B897" s="75" t="n"/>
      <c r="C897" s="75" t="n"/>
      <c r="D897" s="75" t="n"/>
      <c r="E897" s="76" t="n"/>
      <c r="F897" s="77" t="n"/>
      <c r="G897" s="75" t="n"/>
      <c r="H897" s="75">
        <f>IF(ISBLANK(E897),"",IF(OR(D897="Butterfly",D897="Butterfly ",D897="Iron Fly", D897="Iron Fly "),LEN(E897)-LEN(SUBSTITUTE(E897,"/",""))+2,LEN(E897)-LEN(SUBSTITUTE(E897,"/",""))+1))</f>
        <v/>
      </c>
      <c r="I897" s="78">
        <f>IF(ISBLANK(G897),"",IF(D897="Stock","0",Key!$A$3*H897*G897))</f>
        <v/>
      </c>
      <c r="J897" s="78">
        <f>IF(ISBLANK(E897),"",IF(ISNUMBER(SEARCH("/",E897)), IF(LEN(E897)-LEN(SUBSTITUTE(E897,"/",""))=1,(RIGHT(E897,LEN(E897)-FIND("/",E897)))-(LEFT(E897,FIND("/",E897)-1)),(MID(E897, SEARCH("/",E897) + 1, SEARCH("/",E897, SEARCH("/",E897)+1) - SEARCH("/",E897) - 1))-(LEFT(E897,FIND("/",E897)-1))), "NA"))</f>
        <v/>
      </c>
      <c r="K897" s="79">
        <f>IF(A897&lt;&gt;"", IF(ISBLANK(L897), TODAY(), K897), "")</f>
        <v/>
      </c>
      <c r="L897" s="78" t="n"/>
      <c r="M897" s="78">
        <f>IF(ISBLANK(L897),"",IF(D897="Stock",IF(C897="Buy",L897*G897,IF(C897="Sell",(L897*G897)-I897, X)),IF(C897="Buy",(L897*G897*100)+I897,IF(C897="Sell",(L897*G897*100)-I897, X))))</f>
        <v/>
      </c>
      <c r="N897" s="78">
        <f>IF(ISBLANK(L897),"",IF(AND(C897="Sell",D897="Stock"),M897,IF(ISBLANK(L897),"",IF(C897="Buy",M897, IF(AND(C897="Sell",J897="NA"),(E897*G897*100*0.1)+I897, IF(C897="Sell",(J897-L897)*(100*G897)+I897))))))</f>
        <v/>
      </c>
      <c r="O897" s="75" t="n"/>
      <c r="P897" s="75" t="n"/>
      <c r="Q897" s="75">
        <f>IF(ISBLANK(P897),"",IF(D897="Stock",P897*G897,IF(P897=0,"0",G897*P897*100-(G897*$AF$14))))</f>
        <v/>
      </c>
      <c r="R897" s="79">
        <f>IF(P897&lt;&gt;"", TODAY(), "")</f>
        <v/>
      </c>
      <c r="S897" s="78">
        <f>IF(AND(K897&lt;&gt;"", R897&lt;&gt;""), R897-K897, "")</f>
        <v/>
      </c>
      <c r="T897" s="78" t="n"/>
      <c r="U897" s="92">
        <f>IF(ISBLANK(P897),"",IF(C897="Buy",Q897-M897+T897, IF(C897="Sell",M897-Q897-T897, X)))</f>
        <v/>
      </c>
      <c r="V897" s="81">
        <f>IF(ISBLANK(P897),"",U897/N897)</f>
        <v/>
      </c>
      <c r="W897" s="81">
        <f>IF(ISBLANK(P897),"",IF(S897=0,(365/0.5)*V897,(365/S897)*V897))</f>
        <v/>
      </c>
      <c r="X897" s="75" t="n"/>
      <c r="Y897" s="77" t="n"/>
      <c r="Z897" s="77" t="n"/>
      <c r="AA897" s="75" t="n"/>
      <c r="AB897" s="75" t="n"/>
      <c r="AC897" s="6" t="n"/>
      <c r="AD897" s="75" t="n"/>
      <c r="AE897" s="75" t="n"/>
      <c r="AF897" s="75" t="n"/>
    </row>
    <row r="898" ht="15.75" customHeight="1" s="133">
      <c r="A898" s="75" t="n"/>
      <c r="B898" s="75" t="n"/>
      <c r="C898" s="75" t="n"/>
      <c r="D898" s="75" t="n"/>
      <c r="E898" s="76" t="n"/>
      <c r="F898" s="77" t="n"/>
      <c r="G898" s="75" t="n"/>
      <c r="H898" s="75">
        <f>IF(ISBLANK(E898),"",IF(OR(D898="Butterfly",D898="Butterfly ",D898="Iron Fly", D898="Iron Fly "),LEN(E898)-LEN(SUBSTITUTE(E898,"/",""))+2,LEN(E898)-LEN(SUBSTITUTE(E898,"/",""))+1))</f>
        <v/>
      </c>
      <c r="I898" s="78">
        <f>IF(ISBLANK(G898),"",IF(D898="Stock","0",Key!$A$3*H898*G898))</f>
        <v/>
      </c>
      <c r="J898" s="78">
        <f>IF(ISBLANK(E898),"",IF(ISNUMBER(SEARCH("/",E898)), IF(LEN(E898)-LEN(SUBSTITUTE(E898,"/",""))=1,(RIGHT(E898,LEN(E898)-FIND("/",E898)))-(LEFT(E898,FIND("/",E898)-1)),(MID(E898, SEARCH("/",E898) + 1, SEARCH("/",E898, SEARCH("/",E898)+1) - SEARCH("/",E898) - 1))-(LEFT(E898,FIND("/",E898)-1))), "NA"))</f>
        <v/>
      </c>
      <c r="K898" s="79">
        <f>IF(A898&lt;&gt;"", IF(ISBLANK(L898), TODAY(), K898), "")</f>
        <v/>
      </c>
      <c r="L898" s="78" t="n"/>
      <c r="M898" s="78">
        <f>IF(ISBLANK(L898),"",IF(D898="Stock",IF(C898="Buy",L898*G898,IF(C898="Sell",(L898*G898)-I898, X)),IF(C898="Buy",(L898*G898*100)+I898,IF(C898="Sell",(L898*G898*100)-I898, X))))</f>
        <v/>
      </c>
      <c r="N898" s="78">
        <f>IF(ISBLANK(L898),"",IF(AND(C898="Sell",D898="Stock"),M898,IF(ISBLANK(L898),"",IF(C898="Buy",M898, IF(AND(C898="Sell",J898="NA"),(E898*G898*100*0.1)+I898, IF(C898="Sell",(J898-L898)*(100*G898)+I898))))))</f>
        <v/>
      </c>
      <c r="O898" s="75" t="n"/>
      <c r="P898" s="75" t="n"/>
      <c r="Q898" s="75">
        <f>IF(ISBLANK(P898),"",IF(D898="Stock",P898*G898,IF(P898=0,"0",G898*P898*100-(G898*$AF$14))))</f>
        <v/>
      </c>
      <c r="R898" s="79">
        <f>IF(P898&lt;&gt;"", TODAY(), "")</f>
        <v/>
      </c>
      <c r="S898" s="78">
        <f>IF(AND(K898&lt;&gt;"", R898&lt;&gt;""), R898-K898, "")</f>
        <v/>
      </c>
      <c r="T898" s="78" t="n"/>
      <c r="U898" s="92">
        <f>IF(ISBLANK(P898),"",IF(C898="Buy",Q898-M898+T898, IF(C898="Sell",M898-Q898-T898, X)))</f>
        <v/>
      </c>
      <c r="V898" s="81">
        <f>IF(ISBLANK(P898),"",U898/N898)</f>
        <v/>
      </c>
      <c r="W898" s="81">
        <f>IF(ISBLANK(P898),"",IF(S898=0,(365/0.5)*V898,(365/S898)*V898))</f>
        <v/>
      </c>
      <c r="X898" s="75" t="n"/>
      <c r="Y898" s="77" t="n"/>
      <c r="Z898" s="77" t="n"/>
      <c r="AA898" s="75" t="n"/>
      <c r="AB898" s="75" t="n"/>
      <c r="AC898" s="6" t="n"/>
      <c r="AD898" s="75" t="n"/>
      <c r="AE898" s="75" t="n"/>
      <c r="AF898" s="75" t="n"/>
    </row>
    <row r="899" ht="15.75" customHeight="1" s="133">
      <c r="A899" s="75" t="n"/>
      <c r="B899" s="75" t="n"/>
      <c r="C899" s="75" t="n"/>
      <c r="D899" s="75" t="n"/>
      <c r="E899" s="76" t="n"/>
      <c r="F899" s="77" t="n"/>
      <c r="G899" s="75" t="n"/>
      <c r="H899" s="75">
        <f>IF(ISBLANK(E899),"",IF(OR(D899="Butterfly",D899="Butterfly ",D899="Iron Fly", D899="Iron Fly "),LEN(E899)-LEN(SUBSTITUTE(E899,"/",""))+2,LEN(E899)-LEN(SUBSTITUTE(E899,"/",""))+1))</f>
        <v/>
      </c>
      <c r="I899" s="78">
        <f>IF(ISBLANK(G899),"",IF(D899="Stock","0",Key!$A$3*H899*G899))</f>
        <v/>
      </c>
      <c r="J899" s="78">
        <f>IF(ISBLANK(E899),"",IF(ISNUMBER(SEARCH("/",E899)), IF(LEN(E899)-LEN(SUBSTITUTE(E899,"/",""))=1,(RIGHT(E899,LEN(E899)-FIND("/",E899)))-(LEFT(E899,FIND("/",E899)-1)),(MID(E899, SEARCH("/",E899) + 1, SEARCH("/",E899, SEARCH("/",E899)+1) - SEARCH("/",E899) - 1))-(LEFT(E899,FIND("/",E899)-1))), "NA"))</f>
        <v/>
      </c>
      <c r="K899" s="79">
        <f>IF(A899&lt;&gt;"", IF(ISBLANK(L899), TODAY(), K899), "")</f>
        <v/>
      </c>
      <c r="L899" s="78" t="n"/>
      <c r="M899" s="78">
        <f>IF(ISBLANK(L899),"",IF(D899="Stock",IF(C899="Buy",L899*G899,IF(C899="Sell",(L899*G899)-I899, X)),IF(C899="Buy",(L899*G899*100)+I899,IF(C899="Sell",(L899*G899*100)-I899, X))))</f>
        <v/>
      </c>
      <c r="N899" s="78">
        <f>IF(ISBLANK(L899),"",IF(AND(C899="Sell",D899="Stock"),M899,IF(ISBLANK(L899),"",IF(C899="Buy",M899, IF(AND(C899="Sell",J899="NA"),(E899*G899*100*0.1)+I899, IF(C899="Sell",(J899-L899)*(100*G899)+I899))))))</f>
        <v/>
      </c>
      <c r="O899" s="75" t="n"/>
      <c r="P899" s="75" t="n"/>
      <c r="Q899" s="75">
        <f>IF(ISBLANK(P899),"",IF(D899="Stock",P899*G899,IF(P899=0,"0",G899*P899*100-(G899*$AF$14))))</f>
        <v/>
      </c>
      <c r="R899" s="79">
        <f>IF(P899&lt;&gt;"", TODAY(), "")</f>
        <v/>
      </c>
      <c r="S899" s="78">
        <f>IF(AND(K899&lt;&gt;"", R899&lt;&gt;""), R899-K899, "")</f>
        <v/>
      </c>
      <c r="T899" s="78" t="n"/>
      <c r="U899" s="92">
        <f>IF(ISBLANK(P899),"",IF(C899="Buy",Q899-M899+T899, IF(C899="Sell",M899-Q899-T899, X)))</f>
        <v/>
      </c>
      <c r="V899" s="81">
        <f>IF(ISBLANK(P899),"",U899/N899)</f>
        <v/>
      </c>
      <c r="W899" s="81">
        <f>IF(ISBLANK(P899),"",IF(S899=0,(365/0.5)*V899,(365/S899)*V899))</f>
        <v/>
      </c>
      <c r="X899" s="75" t="n"/>
      <c r="Y899" s="77" t="n"/>
      <c r="Z899" s="77" t="n"/>
      <c r="AA899" s="75" t="n"/>
      <c r="AB899" s="75" t="n"/>
      <c r="AC899" s="6" t="n"/>
      <c r="AD899" s="75" t="n"/>
      <c r="AE899" s="75" t="n"/>
      <c r="AF899" s="75" t="n"/>
    </row>
    <row r="900" ht="15.75" customHeight="1" s="133">
      <c r="A900" s="75" t="n"/>
      <c r="B900" s="75" t="n"/>
      <c r="C900" s="75" t="n"/>
      <c r="D900" s="75" t="n"/>
      <c r="E900" s="76" t="n"/>
      <c r="F900" s="77" t="n"/>
      <c r="G900" s="75" t="n"/>
      <c r="H900" s="75">
        <f>IF(ISBLANK(E900),"",IF(OR(D900="Butterfly",D900="Butterfly ",D900="Iron Fly", D900="Iron Fly "),LEN(E900)-LEN(SUBSTITUTE(E900,"/",""))+2,LEN(E900)-LEN(SUBSTITUTE(E900,"/",""))+1))</f>
        <v/>
      </c>
      <c r="I900" s="78">
        <f>IF(ISBLANK(G900),"",IF(D900="Stock","0",Key!$A$3*H900*G900))</f>
        <v/>
      </c>
      <c r="J900" s="78">
        <f>IF(ISBLANK(E900),"",IF(ISNUMBER(SEARCH("/",E900)), IF(LEN(E900)-LEN(SUBSTITUTE(E900,"/",""))=1,(RIGHT(E900,LEN(E900)-FIND("/",E900)))-(LEFT(E900,FIND("/",E900)-1)),(MID(E900, SEARCH("/",E900) + 1, SEARCH("/",E900, SEARCH("/",E900)+1) - SEARCH("/",E900) - 1))-(LEFT(E900,FIND("/",E900)-1))), "NA"))</f>
        <v/>
      </c>
      <c r="K900" s="79">
        <f>IF(A900&lt;&gt;"", IF(ISBLANK(L900), TODAY(), K900), "")</f>
        <v/>
      </c>
      <c r="L900" s="78" t="n"/>
      <c r="M900" s="78">
        <f>IF(ISBLANK(L900),"",IF(D900="Stock",IF(C900="Buy",L900*G900,IF(C900="Sell",(L900*G900)-I900, X)),IF(C900="Buy",(L900*G900*100)+I900,IF(C900="Sell",(L900*G900*100)-I900, X))))</f>
        <v/>
      </c>
      <c r="N900" s="78">
        <f>IF(ISBLANK(L900),"",IF(AND(C900="Sell",D900="Stock"),M900,IF(ISBLANK(L900),"",IF(C900="Buy",M900, IF(AND(C900="Sell",J900="NA"),(E900*G900*100*0.1)+I900, IF(C900="Sell",(J900-L900)*(100*G900)+I900))))))</f>
        <v/>
      </c>
      <c r="O900" s="75" t="n"/>
      <c r="P900" s="75" t="n"/>
      <c r="Q900" s="75">
        <f>IF(ISBLANK(P900),"",IF(D900="Stock",P900*G900,IF(P900=0,"0",G900*P900*100-(G900*$AF$14))))</f>
        <v/>
      </c>
      <c r="R900" s="79">
        <f>IF(P900&lt;&gt;"", TODAY(), "")</f>
        <v/>
      </c>
      <c r="S900" s="78">
        <f>IF(AND(K900&lt;&gt;"", R900&lt;&gt;""), R900-K900, "")</f>
        <v/>
      </c>
      <c r="T900" s="78" t="n"/>
      <c r="U900" s="92">
        <f>IF(ISBLANK(P900),"",IF(C900="Buy",Q900-M900+T900, IF(C900="Sell",M900-Q900-T900, X)))</f>
        <v/>
      </c>
      <c r="V900" s="81">
        <f>IF(ISBLANK(P900),"",U900/N900)</f>
        <v/>
      </c>
      <c r="W900" s="81">
        <f>IF(ISBLANK(P900),"",IF(S900=0,(365/0.5)*V900,(365/S900)*V900))</f>
        <v/>
      </c>
      <c r="X900" s="75" t="n"/>
      <c r="Y900" s="77" t="n"/>
      <c r="Z900" s="77" t="n"/>
      <c r="AA900" s="75" t="n"/>
      <c r="AB900" s="75" t="n"/>
      <c r="AC900" s="6" t="n"/>
      <c r="AD900" s="75" t="n"/>
      <c r="AE900" s="75" t="n"/>
      <c r="AF900" s="75" t="n"/>
    </row>
    <row r="901" ht="15.75" customHeight="1" s="133">
      <c r="A901" s="75" t="n"/>
      <c r="B901" s="75" t="n"/>
      <c r="C901" s="75" t="n"/>
      <c r="D901" s="75" t="n"/>
      <c r="E901" s="76" t="n"/>
      <c r="F901" s="77" t="n"/>
      <c r="G901" s="75" t="n"/>
      <c r="H901" s="75">
        <f>IF(ISBLANK(E901),"",IF(OR(D901="Butterfly",D901="Butterfly ",D901="Iron Fly", D901="Iron Fly "),LEN(E901)-LEN(SUBSTITUTE(E901,"/",""))+2,LEN(E901)-LEN(SUBSTITUTE(E901,"/",""))+1))</f>
        <v/>
      </c>
      <c r="I901" s="78">
        <f>IF(ISBLANK(G901),"",IF(D901="Stock","0",Key!$A$3*H901*G901))</f>
        <v/>
      </c>
      <c r="J901" s="78">
        <f>IF(ISBLANK(E901),"",IF(ISNUMBER(SEARCH("/",E901)), IF(LEN(E901)-LEN(SUBSTITUTE(E901,"/",""))=1,(RIGHT(E901,LEN(E901)-FIND("/",E901)))-(LEFT(E901,FIND("/",E901)-1)),(MID(E901, SEARCH("/",E901) + 1, SEARCH("/",E901, SEARCH("/",E901)+1) - SEARCH("/",E901) - 1))-(LEFT(E901,FIND("/",E901)-1))), "NA"))</f>
        <v/>
      </c>
      <c r="K901" s="79">
        <f>IF(A901&lt;&gt;"", IF(ISBLANK(L901), TODAY(), K901), "")</f>
        <v/>
      </c>
      <c r="L901" s="78" t="n"/>
      <c r="M901" s="78">
        <f>IF(ISBLANK(L901),"",IF(D901="Stock",IF(C901="Buy",L901*G901,IF(C901="Sell",(L901*G901)-I901, X)),IF(C901="Buy",(L901*G901*100)+I901,IF(C901="Sell",(L901*G901*100)-I901, X))))</f>
        <v/>
      </c>
      <c r="N901" s="78">
        <f>IF(ISBLANK(L901),"",IF(AND(C901="Sell",D901="Stock"),M901,IF(ISBLANK(L901),"",IF(C901="Buy",M901, IF(AND(C901="Sell",J901="NA"),(E901*G901*100*0.1)+I901, IF(C901="Sell",(J901-L901)*(100*G901)+I901))))))</f>
        <v/>
      </c>
      <c r="O901" s="75" t="n"/>
      <c r="P901" s="75" t="n"/>
      <c r="Q901" s="75">
        <f>IF(ISBLANK(P901),"",IF(D901="Stock",P901*G901,IF(P901=0,"0",G901*P901*100-(G901*$AF$14))))</f>
        <v/>
      </c>
      <c r="R901" s="79">
        <f>IF(P901&lt;&gt;"", TODAY(), "")</f>
        <v/>
      </c>
      <c r="S901" s="78">
        <f>IF(AND(K901&lt;&gt;"", R901&lt;&gt;""), R901-K901, "")</f>
        <v/>
      </c>
      <c r="T901" s="78" t="n"/>
      <c r="U901" s="92">
        <f>IF(ISBLANK(P901),"",IF(C901="Buy",Q901-M901+T901, IF(C901="Sell",M901-Q901-T901, X)))</f>
        <v/>
      </c>
      <c r="V901" s="81">
        <f>IF(ISBLANK(P901),"",U901/N901)</f>
        <v/>
      </c>
      <c r="W901" s="81">
        <f>IF(ISBLANK(P901),"",IF(S901=0,(365/0.5)*V901,(365/S901)*V901))</f>
        <v/>
      </c>
      <c r="X901" s="75" t="n"/>
      <c r="Y901" s="77" t="n"/>
      <c r="Z901" s="77" t="n"/>
      <c r="AA901" s="75" t="n"/>
      <c r="AB901" s="75" t="n"/>
      <c r="AC901" s="6" t="n"/>
      <c r="AD901" s="75" t="n"/>
      <c r="AE901" s="75" t="n"/>
      <c r="AF901" s="75" t="n"/>
    </row>
    <row r="902" ht="15.75" customHeight="1" s="133">
      <c r="A902" s="75" t="n"/>
      <c r="B902" s="75" t="n"/>
      <c r="C902" s="75" t="n"/>
      <c r="D902" s="75" t="n"/>
      <c r="E902" s="76" t="n"/>
      <c r="F902" s="77" t="n"/>
      <c r="G902" s="75" t="n"/>
      <c r="H902" s="75">
        <f>IF(ISBLANK(E902),"",IF(OR(D902="Butterfly",D902="Butterfly ",D902="Iron Fly", D902="Iron Fly "),LEN(E902)-LEN(SUBSTITUTE(E902,"/",""))+2,LEN(E902)-LEN(SUBSTITUTE(E902,"/",""))+1))</f>
        <v/>
      </c>
      <c r="I902" s="78">
        <f>IF(ISBLANK(G902),"",IF(D902="Stock","0",Key!$A$3*H902*G902))</f>
        <v/>
      </c>
      <c r="J902" s="78">
        <f>IF(ISBLANK(E902),"",IF(ISNUMBER(SEARCH("/",E902)), IF(LEN(E902)-LEN(SUBSTITUTE(E902,"/",""))=1,(RIGHT(E902,LEN(E902)-FIND("/",E902)))-(LEFT(E902,FIND("/",E902)-1)),(MID(E902, SEARCH("/",E902) + 1, SEARCH("/",E902, SEARCH("/",E902)+1) - SEARCH("/",E902) - 1))-(LEFT(E902,FIND("/",E902)-1))), "NA"))</f>
        <v/>
      </c>
      <c r="K902" s="79">
        <f>IF(A902&lt;&gt;"", IF(ISBLANK(L902), TODAY(), K902), "")</f>
        <v/>
      </c>
      <c r="L902" s="78" t="n"/>
      <c r="M902" s="78">
        <f>IF(ISBLANK(L902),"",IF(D902="Stock",IF(C902="Buy",L902*G902,IF(C902="Sell",(L902*G902)-I902, X)),IF(C902="Buy",(L902*G902*100)+I902,IF(C902="Sell",(L902*G902*100)-I902, X))))</f>
        <v/>
      </c>
      <c r="N902" s="78">
        <f>IF(ISBLANK(L902),"",IF(AND(C902="Sell",D902="Stock"),M902,IF(ISBLANK(L902),"",IF(C902="Buy",M902, IF(AND(C902="Sell",J902="NA"),(E902*G902*100*0.1)+I902, IF(C902="Sell",(J902-L902)*(100*G902)+I902))))))</f>
        <v/>
      </c>
      <c r="O902" s="75" t="n"/>
      <c r="P902" s="75" t="n"/>
      <c r="Q902" s="75">
        <f>IF(ISBLANK(P902),"",IF(D902="Stock",P902*G902,IF(P902=0,"0",G902*P902*100-(G902*$AF$14))))</f>
        <v/>
      </c>
      <c r="R902" s="79">
        <f>IF(P902&lt;&gt;"", TODAY(), "")</f>
        <v/>
      </c>
      <c r="S902" s="78">
        <f>IF(AND(K902&lt;&gt;"", R902&lt;&gt;""), R902-K902, "")</f>
        <v/>
      </c>
      <c r="T902" s="78" t="n"/>
      <c r="U902" s="92">
        <f>IF(ISBLANK(P902),"",IF(C902="Buy",Q902-M902+T902, IF(C902="Sell",M902-Q902-T902, X)))</f>
        <v/>
      </c>
      <c r="V902" s="81">
        <f>IF(ISBLANK(P902),"",U902/N902)</f>
        <v/>
      </c>
      <c r="W902" s="81">
        <f>IF(ISBLANK(P902),"",IF(S902=0,(365/0.5)*V902,(365/S902)*V902))</f>
        <v/>
      </c>
      <c r="X902" s="75" t="n"/>
      <c r="Y902" s="77" t="n"/>
      <c r="Z902" s="77" t="n"/>
      <c r="AA902" s="75" t="n"/>
      <c r="AB902" s="75" t="n"/>
      <c r="AC902" s="6" t="n"/>
      <c r="AD902" s="75" t="n"/>
      <c r="AE902" s="75" t="n"/>
      <c r="AF902" s="75" t="n"/>
    </row>
    <row r="903" ht="15.75" customHeight="1" s="133">
      <c r="A903" s="75" t="n"/>
      <c r="B903" s="75" t="n"/>
      <c r="C903" s="75" t="n"/>
      <c r="D903" s="75" t="n"/>
      <c r="E903" s="76" t="n"/>
      <c r="F903" s="77" t="n"/>
      <c r="G903" s="75" t="n"/>
      <c r="H903" s="75">
        <f>IF(ISBLANK(E903),"",IF(OR(D903="Butterfly",D903="Butterfly ",D903="Iron Fly", D903="Iron Fly "),LEN(E903)-LEN(SUBSTITUTE(E903,"/",""))+2,LEN(E903)-LEN(SUBSTITUTE(E903,"/",""))+1))</f>
        <v/>
      </c>
      <c r="I903" s="78">
        <f>IF(ISBLANK(G903),"",IF(D903="Stock","0",Key!$A$3*H903*G903))</f>
        <v/>
      </c>
      <c r="J903" s="78">
        <f>IF(ISBLANK(E903),"",IF(ISNUMBER(SEARCH("/",E903)), IF(LEN(E903)-LEN(SUBSTITUTE(E903,"/",""))=1,(RIGHT(E903,LEN(E903)-FIND("/",E903)))-(LEFT(E903,FIND("/",E903)-1)),(MID(E903, SEARCH("/",E903) + 1, SEARCH("/",E903, SEARCH("/",E903)+1) - SEARCH("/",E903) - 1))-(LEFT(E903,FIND("/",E903)-1))), "NA"))</f>
        <v/>
      </c>
      <c r="K903" s="79">
        <f>IF(A903&lt;&gt;"", IF(ISBLANK(L903), TODAY(), K903), "")</f>
        <v/>
      </c>
      <c r="L903" s="78" t="n"/>
      <c r="M903" s="78">
        <f>IF(ISBLANK(L903),"",IF(D903="Stock",IF(C903="Buy",L903*G903,IF(C903="Sell",(L903*G903)-I903, X)),IF(C903="Buy",(L903*G903*100)+I903,IF(C903="Sell",(L903*G903*100)-I903, X))))</f>
        <v/>
      </c>
      <c r="N903" s="78">
        <f>IF(ISBLANK(L903),"",IF(AND(C903="Sell",D903="Stock"),M903,IF(ISBLANK(L903),"",IF(C903="Buy",M903, IF(AND(C903="Sell",J903="NA"),(E903*G903*100*0.1)+I903, IF(C903="Sell",(J903-L903)*(100*G903)+I903))))))</f>
        <v/>
      </c>
      <c r="O903" s="75" t="n"/>
      <c r="P903" s="75" t="n"/>
      <c r="Q903" s="75">
        <f>IF(ISBLANK(P903),"",IF(D903="Stock",P903*G903,IF(P903=0,"0",G903*P903*100-(G903*$AF$14))))</f>
        <v/>
      </c>
      <c r="R903" s="79">
        <f>IF(P903&lt;&gt;"", TODAY(), "")</f>
        <v/>
      </c>
      <c r="S903" s="78">
        <f>IF(AND(K903&lt;&gt;"", R903&lt;&gt;""), R903-K903, "")</f>
        <v/>
      </c>
      <c r="T903" s="78" t="n"/>
      <c r="U903" s="92">
        <f>IF(ISBLANK(P903),"",IF(C903="Buy",Q903-M903+T903, IF(C903="Sell",M903-Q903-T903, X)))</f>
        <v/>
      </c>
      <c r="V903" s="81">
        <f>IF(ISBLANK(P903),"",U903/N903)</f>
        <v/>
      </c>
      <c r="W903" s="81">
        <f>IF(ISBLANK(P903),"",IF(S903=0,(365/0.5)*V903,(365/S903)*V903))</f>
        <v/>
      </c>
      <c r="X903" s="75" t="n"/>
      <c r="Y903" s="77" t="n"/>
      <c r="Z903" s="77" t="n"/>
      <c r="AA903" s="75" t="n"/>
      <c r="AB903" s="75" t="n"/>
      <c r="AC903" s="6" t="n"/>
      <c r="AD903" s="75" t="n"/>
      <c r="AE903" s="75" t="n"/>
      <c r="AF903" s="75" t="n"/>
    </row>
    <row r="904" ht="15.75" customHeight="1" s="133">
      <c r="A904" s="75" t="n"/>
      <c r="B904" s="75" t="n"/>
      <c r="C904" s="75" t="n"/>
      <c r="D904" s="75" t="n"/>
      <c r="E904" s="76" t="n"/>
      <c r="F904" s="77" t="n"/>
      <c r="G904" s="75" t="n"/>
      <c r="H904" s="75">
        <f>IF(ISBLANK(E904),"",IF(OR(D904="Butterfly",D904="Butterfly ",D904="Iron Fly", D904="Iron Fly "),LEN(E904)-LEN(SUBSTITUTE(E904,"/",""))+2,LEN(E904)-LEN(SUBSTITUTE(E904,"/",""))+1))</f>
        <v/>
      </c>
      <c r="I904" s="78">
        <f>IF(ISBLANK(G904),"",IF(D904="Stock","0",Key!$A$3*H904*G904))</f>
        <v/>
      </c>
      <c r="J904" s="78">
        <f>IF(ISBLANK(E904),"",IF(ISNUMBER(SEARCH("/",E904)), IF(LEN(E904)-LEN(SUBSTITUTE(E904,"/",""))=1,(RIGHT(E904,LEN(E904)-FIND("/",E904)))-(LEFT(E904,FIND("/",E904)-1)),(MID(E904, SEARCH("/",E904) + 1, SEARCH("/",E904, SEARCH("/",E904)+1) - SEARCH("/",E904) - 1))-(LEFT(E904,FIND("/",E904)-1))), "NA"))</f>
        <v/>
      </c>
      <c r="K904" s="79">
        <f>IF(A904&lt;&gt;"", IF(ISBLANK(L904), TODAY(), K904), "")</f>
        <v/>
      </c>
      <c r="L904" s="78" t="n"/>
      <c r="M904" s="78">
        <f>IF(ISBLANK(L904),"",IF(D904="Stock",IF(C904="Buy",L904*G904,IF(C904="Sell",(L904*G904)-I904, X)),IF(C904="Buy",(L904*G904*100)+I904,IF(C904="Sell",(L904*G904*100)-I904, X))))</f>
        <v/>
      </c>
      <c r="N904" s="78">
        <f>IF(ISBLANK(L904),"",IF(AND(C904="Sell",D904="Stock"),M904,IF(ISBLANK(L904),"",IF(C904="Buy",M904, IF(AND(C904="Sell",J904="NA"),(E904*G904*100*0.1)+I904, IF(C904="Sell",(J904-L904)*(100*G904)+I904))))))</f>
        <v/>
      </c>
      <c r="O904" s="75" t="n"/>
      <c r="P904" s="75" t="n"/>
      <c r="Q904" s="75">
        <f>IF(ISBLANK(P904),"",IF(D904="Stock",P904*G904,IF(P904=0,"0",G904*P904*100-(G904*$AF$14))))</f>
        <v/>
      </c>
      <c r="R904" s="79">
        <f>IF(P904&lt;&gt;"", TODAY(), "")</f>
        <v/>
      </c>
      <c r="S904" s="78">
        <f>IF(AND(K904&lt;&gt;"", R904&lt;&gt;""), R904-K904, "")</f>
        <v/>
      </c>
      <c r="T904" s="78" t="n"/>
      <c r="U904" s="92">
        <f>IF(ISBLANK(P904),"",IF(C904="Buy",Q904-M904+T904, IF(C904="Sell",M904-Q904-T904, X)))</f>
        <v/>
      </c>
      <c r="V904" s="81">
        <f>IF(ISBLANK(P904),"",U904/N904)</f>
        <v/>
      </c>
      <c r="W904" s="81">
        <f>IF(ISBLANK(P904),"",IF(S904=0,(365/0.5)*V904,(365/S904)*V904))</f>
        <v/>
      </c>
      <c r="X904" s="75" t="n"/>
      <c r="Y904" s="77" t="n"/>
      <c r="Z904" s="77" t="n"/>
      <c r="AA904" s="75" t="n"/>
      <c r="AB904" s="75" t="n"/>
      <c r="AC904" s="6" t="n"/>
      <c r="AD904" s="75" t="n"/>
      <c r="AE904" s="75" t="n"/>
      <c r="AF904" s="75" t="n"/>
    </row>
    <row r="905" ht="15.75" customHeight="1" s="133">
      <c r="A905" s="75" t="n"/>
      <c r="B905" s="75" t="n"/>
      <c r="C905" s="75" t="n"/>
      <c r="D905" s="75" t="n"/>
      <c r="E905" s="76" t="n"/>
      <c r="F905" s="77" t="n"/>
      <c r="G905" s="75" t="n"/>
      <c r="H905" s="75">
        <f>IF(ISBLANK(E905),"",IF(OR(D905="Butterfly",D905="Butterfly ",D905="Iron Fly", D905="Iron Fly "),LEN(E905)-LEN(SUBSTITUTE(E905,"/",""))+2,LEN(E905)-LEN(SUBSTITUTE(E905,"/",""))+1))</f>
        <v/>
      </c>
      <c r="I905" s="78">
        <f>IF(ISBLANK(G905),"",IF(D905="Stock","0",Key!$A$3*H905*G905))</f>
        <v/>
      </c>
      <c r="J905" s="78">
        <f>IF(ISBLANK(E905),"",IF(ISNUMBER(SEARCH("/",E905)), IF(LEN(E905)-LEN(SUBSTITUTE(E905,"/",""))=1,(RIGHT(E905,LEN(E905)-FIND("/",E905)))-(LEFT(E905,FIND("/",E905)-1)),(MID(E905, SEARCH("/",E905) + 1, SEARCH("/",E905, SEARCH("/",E905)+1) - SEARCH("/",E905) - 1))-(LEFT(E905,FIND("/",E905)-1))), "NA"))</f>
        <v/>
      </c>
      <c r="K905" s="79">
        <f>IF(A905&lt;&gt;"", IF(ISBLANK(L905), TODAY(), K905), "")</f>
        <v/>
      </c>
      <c r="L905" s="78" t="n"/>
      <c r="M905" s="78">
        <f>IF(ISBLANK(L905),"",IF(D905="Stock",IF(C905="Buy",L905*G905,IF(C905="Sell",(L905*G905)-I905, X)),IF(C905="Buy",(L905*G905*100)+I905,IF(C905="Sell",(L905*G905*100)-I905, X))))</f>
        <v/>
      </c>
      <c r="N905" s="78">
        <f>IF(ISBLANK(L905),"",IF(AND(C905="Sell",D905="Stock"),M905,IF(ISBLANK(L905),"",IF(C905="Buy",M905, IF(AND(C905="Sell",J905="NA"),(E905*G905*100*0.1)+I905, IF(C905="Sell",(J905-L905)*(100*G905)+I905))))))</f>
        <v/>
      </c>
      <c r="O905" s="75" t="n"/>
      <c r="P905" s="75" t="n"/>
      <c r="Q905" s="75">
        <f>IF(ISBLANK(P905),"",IF(D905="Stock",P905*G905,IF(P905=0,"0",G905*P905*100-(G905*$AF$14))))</f>
        <v/>
      </c>
      <c r="R905" s="79">
        <f>IF(P905&lt;&gt;"", TODAY(), "")</f>
        <v/>
      </c>
      <c r="S905" s="78">
        <f>IF(AND(K905&lt;&gt;"", R905&lt;&gt;""), R905-K905, "")</f>
        <v/>
      </c>
      <c r="T905" s="78" t="n"/>
      <c r="U905" s="92">
        <f>IF(ISBLANK(P905),"",IF(C905="Buy",Q905-M905+T905, IF(C905="Sell",M905-Q905-T905, X)))</f>
        <v/>
      </c>
      <c r="V905" s="81">
        <f>IF(ISBLANK(P905),"",U905/N905)</f>
        <v/>
      </c>
      <c r="W905" s="81">
        <f>IF(ISBLANK(P905),"",IF(S905=0,(365/0.5)*V905,(365/S905)*V905))</f>
        <v/>
      </c>
      <c r="X905" s="75" t="n"/>
      <c r="Y905" s="77" t="n"/>
      <c r="Z905" s="77" t="n"/>
      <c r="AA905" s="75" t="n"/>
      <c r="AB905" s="75" t="n"/>
      <c r="AC905" s="6" t="n"/>
      <c r="AD905" s="75" t="n"/>
      <c r="AE905" s="75" t="n"/>
      <c r="AF905" s="75" t="n"/>
    </row>
    <row r="906" ht="15.75" customHeight="1" s="133">
      <c r="A906" s="75" t="n"/>
      <c r="B906" s="75" t="n"/>
      <c r="C906" s="75" t="n"/>
      <c r="D906" s="75" t="n"/>
      <c r="E906" s="76" t="n"/>
      <c r="F906" s="77" t="n"/>
      <c r="G906" s="75" t="n"/>
      <c r="H906" s="75">
        <f>IF(ISBLANK(E906),"",IF(OR(D906="Butterfly",D906="Butterfly ",D906="Iron Fly", D906="Iron Fly "),LEN(E906)-LEN(SUBSTITUTE(E906,"/",""))+2,LEN(E906)-LEN(SUBSTITUTE(E906,"/",""))+1))</f>
        <v/>
      </c>
      <c r="I906" s="78">
        <f>IF(ISBLANK(G906),"",IF(D906="Stock","0",Key!$A$3*H906*G906))</f>
        <v/>
      </c>
      <c r="J906" s="78">
        <f>IF(ISBLANK(E906),"",IF(ISNUMBER(SEARCH("/",E906)), IF(LEN(E906)-LEN(SUBSTITUTE(E906,"/",""))=1,(RIGHT(E906,LEN(E906)-FIND("/",E906)))-(LEFT(E906,FIND("/",E906)-1)),(MID(E906, SEARCH("/",E906) + 1, SEARCH("/",E906, SEARCH("/",E906)+1) - SEARCH("/",E906) - 1))-(LEFT(E906,FIND("/",E906)-1))), "NA"))</f>
        <v/>
      </c>
      <c r="K906" s="79">
        <f>IF(A906&lt;&gt;"", IF(ISBLANK(L906), TODAY(), K906), "")</f>
        <v/>
      </c>
      <c r="L906" s="78" t="n"/>
      <c r="M906" s="78">
        <f>IF(ISBLANK(L906),"",IF(D906="Stock",IF(C906="Buy",L906*G906,IF(C906="Sell",(L906*G906)-I906, X)),IF(C906="Buy",(L906*G906*100)+I906,IF(C906="Sell",(L906*G906*100)-I906, X))))</f>
        <v/>
      </c>
      <c r="N906" s="78">
        <f>IF(ISBLANK(L906),"",IF(AND(C906="Sell",D906="Stock"),M906,IF(ISBLANK(L906),"",IF(C906="Buy",M906, IF(AND(C906="Sell",J906="NA"),(E906*G906*100*0.1)+I906, IF(C906="Sell",(J906-L906)*(100*G906)+I906))))))</f>
        <v/>
      </c>
      <c r="O906" s="75" t="n"/>
      <c r="P906" s="75" t="n"/>
      <c r="Q906" s="75">
        <f>IF(ISBLANK(P906),"",IF(D906="Stock",P906*G906,IF(P906=0,"0",G906*P906*100-(G906*$AF$14))))</f>
        <v/>
      </c>
      <c r="R906" s="79">
        <f>IF(P906&lt;&gt;"", TODAY(), "")</f>
        <v/>
      </c>
      <c r="S906" s="78">
        <f>IF(AND(K906&lt;&gt;"", R906&lt;&gt;""), R906-K906, "")</f>
        <v/>
      </c>
      <c r="T906" s="78" t="n"/>
      <c r="U906" s="92">
        <f>IF(ISBLANK(P906),"",IF(C906="Buy",Q906-M906+T906, IF(C906="Sell",M906-Q906-T906, X)))</f>
        <v/>
      </c>
      <c r="V906" s="81">
        <f>IF(ISBLANK(P906),"",U906/N906)</f>
        <v/>
      </c>
      <c r="W906" s="81">
        <f>IF(ISBLANK(P906),"",IF(S906=0,(365/0.5)*V906,(365/S906)*V906))</f>
        <v/>
      </c>
      <c r="X906" s="75" t="n"/>
      <c r="Y906" s="77" t="n"/>
      <c r="Z906" s="77" t="n"/>
      <c r="AA906" s="75" t="n"/>
      <c r="AB906" s="75" t="n"/>
      <c r="AC906" s="6" t="n"/>
      <c r="AD906" s="75" t="n"/>
      <c r="AE906" s="75" t="n"/>
      <c r="AF906" s="75" t="n"/>
    </row>
    <row r="907" ht="15.75" customHeight="1" s="133">
      <c r="A907" s="75" t="n"/>
      <c r="B907" s="75" t="n"/>
      <c r="C907" s="75" t="n"/>
      <c r="D907" s="75" t="n"/>
      <c r="E907" s="76" t="n"/>
      <c r="F907" s="77" t="n"/>
      <c r="G907" s="75" t="n"/>
      <c r="H907" s="75">
        <f>IF(ISBLANK(E907),"",IF(OR(D907="Butterfly",D907="Butterfly ",D907="Iron Fly", D907="Iron Fly "),LEN(E907)-LEN(SUBSTITUTE(E907,"/",""))+2,LEN(E907)-LEN(SUBSTITUTE(E907,"/",""))+1))</f>
        <v/>
      </c>
      <c r="I907" s="78">
        <f>IF(ISBLANK(G907),"",IF(D907="Stock","0",Key!$A$3*H907*G907))</f>
        <v/>
      </c>
      <c r="J907" s="78">
        <f>IF(ISBLANK(E907),"",IF(ISNUMBER(SEARCH("/",E907)), IF(LEN(E907)-LEN(SUBSTITUTE(E907,"/",""))=1,(RIGHT(E907,LEN(E907)-FIND("/",E907)))-(LEFT(E907,FIND("/",E907)-1)),(MID(E907, SEARCH("/",E907) + 1, SEARCH("/",E907, SEARCH("/",E907)+1) - SEARCH("/",E907) - 1))-(LEFT(E907,FIND("/",E907)-1))), "NA"))</f>
        <v/>
      </c>
      <c r="K907" s="79">
        <f>IF(A907&lt;&gt;"", IF(ISBLANK(L907), TODAY(), K907), "")</f>
        <v/>
      </c>
      <c r="L907" s="78" t="n"/>
      <c r="M907" s="78">
        <f>IF(ISBLANK(L907),"",IF(D907="Stock",IF(C907="Buy",L907*G907,IF(C907="Sell",(L907*G907)-I907, X)),IF(C907="Buy",(L907*G907*100)+I907,IF(C907="Sell",(L907*G907*100)-I907, X))))</f>
        <v/>
      </c>
      <c r="N907" s="78">
        <f>IF(ISBLANK(L907),"",IF(AND(C907="Sell",D907="Stock"),M907,IF(ISBLANK(L907),"",IF(C907="Buy",M907, IF(AND(C907="Sell",J907="NA"),(E907*G907*100*0.1)+I907, IF(C907="Sell",(J907-L907)*(100*G907)+I907))))))</f>
        <v/>
      </c>
      <c r="O907" s="75" t="n"/>
      <c r="P907" s="75" t="n"/>
      <c r="Q907" s="75">
        <f>IF(ISBLANK(P907),"",IF(D907="Stock",P907*G907,IF(P907=0,"0",G907*P907*100-(G907*$AF$14))))</f>
        <v/>
      </c>
      <c r="R907" s="79">
        <f>IF(P907&lt;&gt;"", TODAY(), "")</f>
        <v/>
      </c>
      <c r="S907" s="78">
        <f>IF(AND(K907&lt;&gt;"", R907&lt;&gt;""), R907-K907, "")</f>
        <v/>
      </c>
      <c r="T907" s="78" t="n"/>
      <c r="U907" s="92">
        <f>IF(ISBLANK(P907),"",IF(C907="Buy",Q907-M907+T907, IF(C907="Sell",M907-Q907-T907, X)))</f>
        <v/>
      </c>
      <c r="V907" s="81">
        <f>IF(ISBLANK(P907),"",U907/N907)</f>
        <v/>
      </c>
      <c r="W907" s="81">
        <f>IF(ISBLANK(P907),"",IF(S907=0,(365/0.5)*V907,(365/S907)*V907))</f>
        <v/>
      </c>
      <c r="X907" s="75" t="n"/>
      <c r="Y907" s="77" t="n"/>
      <c r="Z907" s="77" t="n"/>
      <c r="AA907" s="75" t="n"/>
      <c r="AB907" s="75" t="n"/>
      <c r="AC907" s="6" t="n"/>
      <c r="AD907" s="75" t="n"/>
      <c r="AE907" s="75" t="n"/>
      <c r="AF907" s="75" t="n"/>
    </row>
    <row r="908" ht="15.75" customHeight="1" s="133">
      <c r="A908" s="75" t="n"/>
      <c r="B908" s="75" t="n"/>
      <c r="C908" s="75" t="n"/>
      <c r="D908" s="75" t="n"/>
      <c r="E908" s="76" t="n"/>
      <c r="F908" s="77" t="n"/>
      <c r="G908" s="75" t="n"/>
      <c r="H908" s="75">
        <f>IF(ISBLANK(E908),"",IF(OR(D908="Butterfly",D908="Butterfly ",D908="Iron Fly", D908="Iron Fly "),LEN(E908)-LEN(SUBSTITUTE(E908,"/",""))+2,LEN(E908)-LEN(SUBSTITUTE(E908,"/",""))+1))</f>
        <v/>
      </c>
      <c r="I908" s="78">
        <f>IF(ISBLANK(G908),"",IF(D908="Stock","0",Key!$A$3*H908*G908))</f>
        <v/>
      </c>
      <c r="J908" s="78">
        <f>IF(ISBLANK(E908),"",IF(ISNUMBER(SEARCH("/",E908)), IF(LEN(E908)-LEN(SUBSTITUTE(E908,"/",""))=1,(RIGHT(E908,LEN(E908)-FIND("/",E908)))-(LEFT(E908,FIND("/",E908)-1)),(MID(E908, SEARCH("/",E908) + 1, SEARCH("/",E908, SEARCH("/",E908)+1) - SEARCH("/",E908) - 1))-(LEFT(E908,FIND("/",E908)-1))), "NA"))</f>
        <v/>
      </c>
      <c r="K908" s="79">
        <f>IF(A908&lt;&gt;"", IF(ISBLANK(L908), TODAY(), K908), "")</f>
        <v/>
      </c>
      <c r="L908" s="78" t="n"/>
      <c r="M908" s="78">
        <f>IF(ISBLANK(L908),"",IF(D908="Stock",IF(C908="Buy",L908*G908,IF(C908="Sell",(L908*G908)-I908, X)),IF(C908="Buy",(L908*G908*100)+I908,IF(C908="Sell",(L908*G908*100)-I908, X))))</f>
        <v/>
      </c>
      <c r="N908" s="78">
        <f>IF(ISBLANK(L908),"",IF(AND(C908="Sell",D908="Stock"),M908,IF(ISBLANK(L908),"",IF(C908="Buy",M908, IF(AND(C908="Sell",J908="NA"),(E908*G908*100*0.1)+I908, IF(C908="Sell",(J908-L908)*(100*G908)+I908))))))</f>
        <v/>
      </c>
      <c r="O908" s="75" t="n"/>
      <c r="P908" s="75" t="n"/>
      <c r="Q908" s="75">
        <f>IF(ISBLANK(P908),"",IF(D908="Stock",P908*G908,IF(P908=0,"0",G908*P908*100-(G908*$AF$14))))</f>
        <v/>
      </c>
      <c r="R908" s="79">
        <f>IF(P908&lt;&gt;"", TODAY(), "")</f>
        <v/>
      </c>
      <c r="S908" s="78">
        <f>IF(AND(K908&lt;&gt;"", R908&lt;&gt;""), R908-K908, "")</f>
        <v/>
      </c>
      <c r="T908" s="78" t="n"/>
      <c r="U908" s="92">
        <f>IF(ISBLANK(P908),"",IF(C908="Buy",Q908-M908+T908, IF(C908="Sell",M908-Q908-T908, X)))</f>
        <v/>
      </c>
      <c r="V908" s="81">
        <f>IF(ISBLANK(P908),"",U908/N908)</f>
        <v/>
      </c>
      <c r="W908" s="81">
        <f>IF(ISBLANK(P908),"",IF(S908=0,(365/0.5)*V908,(365/S908)*V908))</f>
        <v/>
      </c>
      <c r="X908" s="75" t="n"/>
      <c r="Y908" s="77" t="n"/>
      <c r="Z908" s="77" t="n"/>
      <c r="AA908" s="75" t="n"/>
      <c r="AB908" s="75" t="n"/>
      <c r="AC908" s="6" t="n"/>
      <c r="AD908" s="75" t="n"/>
      <c r="AE908" s="75" t="n"/>
      <c r="AF908" s="75" t="n"/>
    </row>
    <row r="909" ht="15.75" customHeight="1" s="133">
      <c r="A909" s="75" t="n"/>
      <c r="B909" s="75" t="n"/>
      <c r="C909" s="75" t="n"/>
      <c r="D909" s="75" t="n"/>
      <c r="E909" s="76" t="n"/>
      <c r="F909" s="77" t="n"/>
      <c r="G909" s="75" t="n"/>
      <c r="H909" s="75">
        <f>IF(ISBLANK(E909),"",IF(OR(D909="Butterfly",D909="Butterfly ",D909="Iron Fly", D909="Iron Fly "),LEN(E909)-LEN(SUBSTITUTE(E909,"/",""))+2,LEN(E909)-LEN(SUBSTITUTE(E909,"/",""))+1))</f>
        <v/>
      </c>
      <c r="I909" s="78">
        <f>IF(ISBLANK(G909),"",IF(D909="Stock","0",Key!$A$3*H909*G909))</f>
        <v/>
      </c>
      <c r="J909" s="78">
        <f>IF(ISBLANK(E909),"",IF(ISNUMBER(SEARCH("/",E909)), IF(LEN(E909)-LEN(SUBSTITUTE(E909,"/",""))=1,(RIGHT(E909,LEN(E909)-FIND("/",E909)))-(LEFT(E909,FIND("/",E909)-1)),(MID(E909, SEARCH("/",E909) + 1, SEARCH("/",E909, SEARCH("/",E909)+1) - SEARCH("/",E909) - 1))-(LEFT(E909,FIND("/",E909)-1))), "NA"))</f>
        <v/>
      </c>
      <c r="K909" s="79">
        <f>IF(A909&lt;&gt;"", IF(ISBLANK(L909), TODAY(), K909), "")</f>
        <v/>
      </c>
      <c r="L909" s="78" t="n"/>
      <c r="M909" s="78">
        <f>IF(ISBLANK(L909),"",IF(D909="Stock",IF(C909="Buy",L909*G909,IF(C909="Sell",(L909*G909)-I909, X)),IF(C909="Buy",(L909*G909*100)+I909,IF(C909="Sell",(L909*G909*100)-I909, X))))</f>
        <v/>
      </c>
      <c r="N909" s="78">
        <f>IF(ISBLANK(L909),"",IF(AND(C909="Sell",D909="Stock"),M909,IF(ISBLANK(L909),"",IF(C909="Buy",M909, IF(AND(C909="Sell",J909="NA"),(E909*G909*100*0.1)+I909, IF(C909="Sell",(J909-L909)*(100*G909)+I909))))))</f>
        <v/>
      </c>
      <c r="O909" s="75" t="n"/>
      <c r="P909" s="75" t="n"/>
      <c r="Q909" s="75">
        <f>IF(ISBLANK(P909),"",IF(D909="Stock",P909*G909,IF(P909=0,"0",G909*P909*100-(G909*$AF$14))))</f>
        <v/>
      </c>
      <c r="R909" s="79">
        <f>IF(P909&lt;&gt;"", TODAY(), "")</f>
        <v/>
      </c>
      <c r="S909" s="78">
        <f>IF(AND(K909&lt;&gt;"", R909&lt;&gt;""), R909-K909, "")</f>
        <v/>
      </c>
      <c r="T909" s="78" t="n"/>
      <c r="U909" s="92">
        <f>IF(ISBLANK(P909),"",IF(C909="Buy",Q909-M909+T909, IF(C909="Sell",M909-Q909-T909, X)))</f>
        <v/>
      </c>
      <c r="V909" s="81">
        <f>IF(ISBLANK(P909),"",U909/N909)</f>
        <v/>
      </c>
      <c r="W909" s="81">
        <f>IF(ISBLANK(P909),"",IF(S909=0,(365/0.5)*V909,(365/S909)*V909))</f>
        <v/>
      </c>
      <c r="X909" s="75" t="n"/>
      <c r="Y909" s="77" t="n"/>
      <c r="Z909" s="77" t="n"/>
      <c r="AA909" s="75" t="n"/>
      <c r="AB909" s="75" t="n"/>
      <c r="AC909" s="6" t="n"/>
      <c r="AD909" s="75" t="n"/>
      <c r="AE909" s="75" t="n"/>
      <c r="AF909" s="75" t="n"/>
    </row>
    <row r="910" ht="15.75" customHeight="1" s="133">
      <c r="A910" s="75" t="n"/>
      <c r="B910" s="75" t="n"/>
      <c r="C910" s="75" t="n"/>
      <c r="D910" s="75" t="n"/>
      <c r="E910" s="76" t="n"/>
      <c r="F910" s="77" t="n"/>
      <c r="G910" s="75" t="n"/>
      <c r="H910" s="75">
        <f>IF(ISBLANK(E910),"",IF(OR(D910="Butterfly",D910="Butterfly ",D910="Iron Fly", D910="Iron Fly "),LEN(E910)-LEN(SUBSTITUTE(E910,"/",""))+2,LEN(E910)-LEN(SUBSTITUTE(E910,"/",""))+1))</f>
        <v/>
      </c>
      <c r="I910" s="78">
        <f>IF(ISBLANK(G910),"",IF(D910="Stock","0",Key!$A$3*H910*G910))</f>
        <v/>
      </c>
      <c r="J910" s="78">
        <f>IF(ISBLANK(E910),"",IF(ISNUMBER(SEARCH("/",E910)), IF(LEN(E910)-LEN(SUBSTITUTE(E910,"/",""))=1,(RIGHT(E910,LEN(E910)-FIND("/",E910)))-(LEFT(E910,FIND("/",E910)-1)),(MID(E910, SEARCH("/",E910) + 1, SEARCH("/",E910, SEARCH("/",E910)+1) - SEARCH("/",E910) - 1))-(LEFT(E910,FIND("/",E910)-1))), "NA"))</f>
        <v/>
      </c>
      <c r="K910" s="79">
        <f>IF(A910&lt;&gt;"", IF(ISBLANK(L910), TODAY(), K910), "")</f>
        <v/>
      </c>
      <c r="L910" s="78" t="n"/>
      <c r="M910" s="78">
        <f>IF(ISBLANK(L910),"",IF(D910="Stock",IF(C910="Buy",L910*G910,IF(C910="Sell",(L910*G910)-I910, X)),IF(C910="Buy",(L910*G910*100)+I910,IF(C910="Sell",(L910*G910*100)-I910, X))))</f>
        <v/>
      </c>
      <c r="N910" s="78">
        <f>IF(ISBLANK(L910),"",IF(AND(C910="Sell",D910="Stock"),M910,IF(ISBLANK(L910),"",IF(C910="Buy",M910, IF(AND(C910="Sell",J910="NA"),(E910*G910*100*0.1)+I910, IF(C910="Sell",(J910-L910)*(100*G910)+I910))))))</f>
        <v/>
      </c>
      <c r="O910" s="75" t="n"/>
      <c r="P910" s="75" t="n"/>
      <c r="Q910" s="75">
        <f>IF(ISBLANK(P910),"",IF(D910="Stock",P910*G910,IF(P910=0,"0",G910*P910*100-(G910*$AF$14))))</f>
        <v/>
      </c>
      <c r="R910" s="79">
        <f>IF(P910&lt;&gt;"", TODAY(), "")</f>
        <v/>
      </c>
      <c r="S910" s="78">
        <f>IF(AND(K910&lt;&gt;"", R910&lt;&gt;""), R910-K910, "")</f>
        <v/>
      </c>
      <c r="T910" s="78" t="n"/>
      <c r="U910" s="92">
        <f>IF(ISBLANK(P910),"",IF(C910="Buy",Q910-M910+T910, IF(C910="Sell",M910-Q910-T910, X)))</f>
        <v/>
      </c>
      <c r="V910" s="81">
        <f>IF(ISBLANK(P910),"",U910/N910)</f>
        <v/>
      </c>
      <c r="W910" s="81">
        <f>IF(ISBLANK(P910),"",IF(S910=0,(365/0.5)*V910,(365/S910)*V910))</f>
        <v/>
      </c>
      <c r="X910" s="75" t="n"/>
      <c r="Y910" s="77" t="n"/>
      <c r="Z910" s="77" t="n"/>
      <c r="AA910" s="75" t="n"/>
      <c r="AB910" s="75" t="n"/>
      <c r="AC910" s="6" t="n"/>
      <c r="AD910" s="75" t="n"/>
      <c r="AE910" s="75" t="n"/>
      <c r="AF910" s="75" t="n"/>
    </row>
    <row r="911" ht="15.75" customHeight="1" s="133">
      <c r="A911" s="75" t="n"/>
      <c r="B911" s="75" t="n"/>
      <c r="C911" s="75" t="n"/>
      <c r="D911" s="75" t="n"/>
      <c r="E911" s="76" t="n"/>
      <c r="F911" s="77" t="n"/>
      <c r="G911" s="75" t="n"/>
      <c r="H911" s="75">
        <f>IF(ISBLANK(E911),"",IF(OR(D911="Butterfly",D911="Butterfly ",D911="Iron Fly", D911="Iron Fly "),LEN(E911)-LEN(SUBSTITUTE(E911,"/",""))+2,LEN(E911)-LEN(SUBSTITUTE(E911,"/",""))+1))</f>
        <v/>
      </c>
      <c r="I911" s="78">
        <f>IF(ISBLANK(G911),"",IF(D911="Stock","0",Key!$A$3*H911*G911))</f>
        <v/>
      </c>
      <c r="J911" s="78">
        <f>IF(ISBLANK(E911),"",IF(ISNUMBER(SEARCH("/",E911)), IF(LEN(E911)-LEN(SUBSTITUTE(E911,"/",""))=1,(RIGHT(E911,LEN(E911)-FIND("/",E911)))-(LEFT(E911,FIND("/",E911)-1)),(MID(E911, SEARCH("/",E911) + 1, SEARCH("/",E911, SEARCH("/",E911)+1) - SEARCH("/",E911) - 1))-(LEFT(E911,FIND("/",E911)-1))), "NA"))</f>
        <v/>
      </c>
      <c r="K911" s="79">
        <f>IF(A911&lt;&gt;"", IF(ISBLANK(L911), TODAY(), K911), "")</f>
        <v/>
      </c>
      <c r="L911" s="78" t="n"/>
      <c r="M911" s="78">
        <f>IF(ISBLANK(L911),"",IF(D911="Stock",IF(C911="Buy",L911*G911,IF(C911="Sell",(L911*G911)-I911, X)),IF(C911="Buy",(L911*G911*100)+I911,IF(C911="Sell",(L911*G911*100)-I911, X))))</f>
        <v/>
      </c>
      <c r="N911" s="78">
        <f>IF(ISBLANK(L911),"",IF(AND(C911="Sell",D911="Stock"),M911,IF(ISBLANK(L911),"",IF(C911="Buy",M911, IF(AND(C911="Sell",J911="NA"),(E911*G911*100*0.1)+I911, IF(C911="Sell",(J911-L911)*(100*G911)+I911))))))</f>
        <v/>
      </c>
      <c r="O911" s="75" t="n"/>
      <c r="P911" s="75" t="n"/>
      <c r="Q911" s="75">
        <f>IF(ISBLANK(P911),"",IF(D911="Stock",P911*G911,IF(P911=0,"0",G911*P911*100-(G911*$AF$14))))</f>
        <v/>
      </c>
      <c r="R911" s="79">
        <f>IF(P911&lt;&gt;"", TODAY(), "")</f>
        <v/>
      </c>
      <c r="S911" s="78">
        <f>IF(AND(K911&lt;&gt;"", R911&lt;&gt;""), R911-K911, "")</f>
        <v/>
      </c>
      <c r="T911" s="78" t="n"/>
      <c r="U911" s="92">
        <f>IF(ISBLANK(P911),"",IF(C911="Buy",Q911-M911+T911, IF(C911="Sell",M911-Q911-T911, X)))</f>
        <v/>
      </c>
      <c r="V911" s="81">
        <f>IF(ISBLANK(P911),"",U911/N911)</f>
        <v/>
      </c>
      <c r="W911" s="81">
        <f>IF(ISBLANK(P911),"",IF(S911=0,(365/0.5)*V911,(365/S911)*V911))</f>
        <v/>
      </c>
      <c r="X911" s="75" t="n"/>
      <c r="Y911" s="77" t="n"/>
      <c r="Z911" s="77" t="n"/>
      <c r="AA911" s="75" t="n"/>
      <c r="AB911" s="75" t="n"/>
      <c r="AC911" s="6" t="n"/>
      <c r="AD911" s="75" t="n"/>
      <c r="AE911" s="75" t="n"/>
      <c r="AF911" s="75" t="n"/>
    </row>
    <row r="912" ht="15.75" customHeight="1" s="133">
      <c r="A912" s="75" t="n"/>
      <c r="B912" s="75" t="n"/>
      <c r="C912" s="75" t="n"/>
      <c r="D912" s="75" t="n"/>
      <c r="E912" s="76" t="n"/>
      <c r="F912" s="77" t="n"/>
      <c r="G912" s="75" t="n"/>
      <c r="H912" s="75">
        <f>IF(ISBLANK(E912),"",IF(OR(D912="Butterfly",D912="Butterfly ",D912="Iron Fly", D912="Iron Fly "),LEN(E912)-LEN(SUBSTITUTE(E912,"/",""))+2,LEN(E912)-LEN(SUBSTITUTE(E912,"/",""))+1))</f>
        <v/>
      </c>
      <c r="I912" s="78">
        <f>IF(ISBLANK(G912),"",IF(D912="Stock","0",Key!$A$3*H912*G912))</f>
        <v/>
      </c>
      <c r="J912" s="78">
        <f>IF(ISBLANK(E912),"",IF(ISNUMBER(SEARCH("/",E912)), IF(LEN(E912)-LEN(SUBSTITUTE(E912,"/",""))=1,(RIGHT(E912,LEN(E912)-FIND("/",E912)))-(LEFT(E912,FIND("/",E912)-1)),(MID(E912, SEARCH("/",E912) + 1, SEARCH("/",E912, SEARCH("/",E912)+1) - SEARCH("/",E912) - 1))-(LEFT(E912,FIND("/",E912)-1))), "NA"))</f>
        <v/>
      </c>
      <c r="K912" s="79">
        <f>IF(A912&lt;&gt;"", IF(ISBLANK(L912), TODAY(), K912), "")</f>
        <v/>
      </c>
      <c r="L912" s="78" t="n"/>
      <c r="M912" s="78">
        <f>IF(ISBLANK(L912),"",IF(D912="Stock",IF(C912="Buy",L912*G912,IF(C912="Sell",(L912*G912)-I912, X)),IF(C912="Buy",(L912*G912*100)+I912,IF(C912="Sell",(L912*G912*100)-I912, X))))</f>
        <v/>
      </c>
      <c r="N912" s="78">
        <f>IF(ISBLANK(L912),"",IF(AND(C912="Sell",D912="Stock"),M912,IF(ISBLANK(L912),"",IF(C912="Buy",M912, IF(AND(C912="Sell",J912="NA"),(E912*G912*100*0.1)+I912, IF(C912="Sell",(J912-L912)*(100*G912)+I912))))))</f>
        <v/>
      </c>
      <c r="O912" s="75" t="n"/>
      <c r="P912" s="75" t="n"/>
      <c r="Q912" s="75">
        <f>IF(ISBLANK(P912),"",IF(D912="Stock",P912*G912,IF(P912=0,"0",G912*P912*100-(G912*$AF$14))))</f>
        <v/>
      </c>
      <c r="R912" s="79">
        <f>IF(P912&lt;&gt;"", TODAY(), "")</f>
        <v/>
      </c>
      <c r="S912" s="78">
        <f>IF(AND(K912&lt;&gt;"", R912&lt;&gt;""), R912-K912, "")</f>
        <v/>
      </c>
      <c r="T912" s="78" t="n"/>
      <c r="U912" s="92">
        <f>IF(ISBLANK(P912),"",IF(C912="Buy",Q912-M912+T912, IF(C912="Sell",M912-Q912-T912, X)))</f>
        <v/>
      </c>
      <c r="V912" s="81">
        <f>IF(ISBLANK(P912),"",U912/N912)</f>
        <v/>
      </c>
      <c r="W912" s="81">
        <f>IF(ISBLANK(P912),"",IF(S912=0,(365/0.5)*V912,(365/S912)*V912))</f>
        <v/>
      </c>
      <c r="X912" s="75" t="n"/>
      <c r="Y912" s="77" t="n"/>
      <c r="Z912" s="77" t="n"/>
      <c r="AA912" s="75" t="n"/>
      <c r="AB912" s="75" t="n"/>
      <c r="AC912" s="6" t="n"/>
      <c r="AD912" s="75" t="n"/>
      <c r="AE912" s="75" t="n"/>
      <c r="AF912" s="75" t="n"/>
    </row>
    <row r="913" ht="15.75" customHeight="1" s="133">
      <c r="A913" s="75" t="n"/>
      <c r="B913" s="75" t="n"/>
      <c r="C913" s="75" t="n"/>
      <c r="D913" s="75" t="n"/>
      <c r="E913" s="76" t="n"/>
      <c r="F913" s="77" t="n"/>
      <c r="G913" s="75" t="n"/>
      <c r="H913" s="75">
        <f>IF(ISBLANK(E913),"",IF(OR(D913="Butterfly",D913="Butterfly ",D913="Iron Fly", D913="Iron Fly "),LEN(E913)-LEN(SUBSTITUTE(E913,"/",""))+2,LEN(E913)-LEN(SUBSTITUTE(E913,"/",""))+1))</f>
        <v/>
      </c>
      <c r="I913" s="78">
        <f>IF(ISBLANK(G913),"",IF(D913="Stock","0",Key!$A$3*H913*G913))</f>
        <v/>
      </c>
      <c r="J913" s="78">
        <f>IF(ISBLANK(E913),"",IF(ISNUMBER(SEARCH("/",E913)), IF(LEN(E913)-LEN(SUBSTITUTE(E913,"/",""))=1,(RIGHT(E913,LEN(E913)-FIND("/",E913)))-(LEFT(E913,FIND("/",E913)-1)),(MID(E913, SEARCH("/",E913) + 1, SEARCH("/",E913, SEARCH("/",E913)+1) - SEARCH("/",E913) - 1))-(LEFT(E913,FIND("/",E913)-1))), "NA"))</f>
        <v/>
      </c>
      <c r="K913" s="79">
        <f>IF(A913&lt;&gt;"", IF(ISBLANK(L913), TODAY(), K913), "")</f>
        <v/>
      </c>
      <c r="L913" s="78" t="n"/>
      <c r="M913" s="78">
        <f>IF(ISBLANK(L913),"",IF(D913="Stock",IF(C913="Buy",L913*G913,IF(C913="Sell",(L913*G913)-I913, X)),IF(C913="Buy",(L913*G913*100)+I913,IF(C913="Sell",(L913*G913*100)-I913, X))))</f>
        <v/>
      </c>
      <c r="N913" s="78">
        <f>IF(ISBLANK(L913),"",IF(AND(C913="Sell",D913="Stock"),M913,IF(ISBLANK(L913),"",IF(C913="Buy",M913, IF(AND(C913="Sell",J913="NA"),(E913*G913*100*0.1)+I913, IF(C913="Sell",(J913-L913)*(100*G913)+I913))))))</f>
        <v/>
      </c>
      <c r="O913" s="75" t="n"/>
      <c r="P913" s="75" t="n"/>
      <c r="Q913" s="75">
        <f>IF(ISBLANK(P913),"",IF(D913="Stock",P913*G913,IF(P913=0,"0",G913*P913*100-(G913*$AF$14))))</f>
        <v/>
      </c>
      <c r="R913" s="79">
        <f>IF(P913&lt;&gt;"", TODAY(), "")</f>
        <v/>
      </c>
      <c r="S913" s="78">
        <f>IF(AND(K913&lt;&gt;"", R913&lt;&gt;""), R913-K913, "")</f>
        <v/>
      </c>
      <c r="T913" s="78" t="n"/>
      <c r="U913" s="92">
        <f>IF(ISBLANK(P913),"",IF(C913="Buy",Q913-M913+T913, IF(C913="Sell",M913-Q913-T913, X)))</f>
        <v/>
      </c>
      <c r="V913" s="81">
        <f>IF(ISBLANK(P913),"",U913/N913)</f>
        <v/>
      </c>
      <c r="W913" s="81">
        <f>IF(ISBLANK(P913),"",IF(S913=0,(365/0.5)*V913,(365/S913)*V913))</f>
        <v/>
      </c>
      <c r="X913" s="75" t="n"/>
      <c r="Y913" s="77" t="n"/>
      <c r="Z913" s="77" t="n"/>
      <c r="AA913" s="75" t="n"/>
      <c r="AB913" s="75" t="n"/>
      <c r="AC913" s="6" t="n"/>
      <c r="AD913" s="75" t="n"/>
      <c r="AE913" s="75" t="n"/>
      <c r="AF913" s="75" t="n"/>
    </row>
    <row r="914" ht="15.75" customHeight="1" s="133">
      <c r="A914" s="75" t="n"/>
      <c r="B914" s="75" t="n"/>
      <c r="C914" s="75" t="n"/>
      <c r="D914" s="75" t="n"/>
      <c r="E914" s="76" t="n"/>
      <c r="F914" s="77" t="n"/>
      <c r="G914" s="75" t="n"/>
      <c r="H914" s="75">
        <f>IF(ISBLANK(E914),"",IF(OR(D914="Butterfly",D914="Butterfly ",D914="Iron Fly", D914="Iron Fly "),LEN(E914)-LEN(SUBSTITUTE(E914,"/",""))+2,LEN(E914)-LEN(SUBSTITUTE(E914,"/",""))+1))</f>
        <v/>
      </c>
      <c r="I914" s="78">
        <f>IF(ISBLANK(G914),"",IF(D914="Stock","0",Key!$A$3*H914*G914))</f>
        <v/>
      </c>
      <c r="J914" s="78">
        <f>IF(ISBLANK(E914),"",IF(ISNUMBER(SEARCH("/",E914)), IF(LEN(E914)-LEN(SUBSTITUTE(E914,"/",""))=1,(RIGHT(E914,LEN(E914)-FIND("/",E914)))-(LEFT(E914,FIND("/",E914)-1)),(MID(E914, SEARCH("/",E914) + 1, SEARCH("/",E914, SEARCH("/",E914)+1) - SEARCH("/",E914) - 1))-(LEFT(E914,FIND("/",E914)-1))), "NA"))</f>
        <v/>
      </c>
      <c r="K914" s="79">
        <f>IF(A914&lt;&gt;"", IF(ISBLANK(L914), TODAY(), K914), "")</f>
        <v/>
      </c>
      <c r="L914" s="78" t="n"/>
      <c r="M914" s="78">
        <f>IF(ISBLANK(L914),"",IF(D914="Stock",IF(C914="Buy",L914*G914,IF(C914="Sell",(L914*G914)-I914, X)),IF(C914="Buy",(L914*G914*100)+I914,IF(C914="Sell",(L914*G914*100)-I914, X))))</f>
        <v/>
      </c>
      <c r="N914" s="78">
        <f>IF(ISBLANK(L914),"",IF(AND(C914="Sell",D914="Stock"),M914,IF(ISBLANK(L914),"",IF(C914="Buy",M914, IF(AND(C914="Sell",J914="NA"),(E914*G914*100*0.1)+I914, IF(C914="Sell",(J914-L914)*(100*G914)+I914))))))</f>
        <v/>
      </c>
      <c r="O914" s="75" t="n"/>
      <c r="P914" s="75" t="n"/>
      <c r="Q914" s="75">
        <f>IF(ISBLANK(P914),"",IF(D914="Stock",P914*G914,IF(P914=0,"0",G914*P914*100-(G914*$AF$14))))</f>
        <v/>
      </c>
      <c r="R914" s="79">
        <f>IF(P914&lt;&gt;"", TODAY(), "")</f>
        <v/>
      </c>
      <c r="S914" s="78">
        <f>IF(AND(K914&lt;&gt;"", R914&lt;&gt;""), R914-K914, "")</f>
        <v/>
      </c>
      <c r="T914" s="78" t="n"/>
      <c r="U914" s="92">
        <f>IF(ISBLANK(P914),"",IF(C914="Buy",Q914-M914+T914, IF(C914="Sell",M914-Q914-T914, X)))</f>
        <v/>
      </c>
      <c r="V914" s="81">
        <f>IF(ISBLANK(P914),"",U914/N914)</f>
        <v/>
      </c>
      <c r="W914" s="81">
        <f>IF(ISBLANK(P914),"",IF(S914=0,(365/0.5)*V914,(365/S914)*V914))</f>
        <v/>
      </c>
      <c r="X914" s="75" t="n"/>
      <c r="Y914" s="77" t="n"/>
      <c r="Z914" s="77" t="n"/>
      <c r="AA914" s="75" t="n"/>
      <c r="AB914" s="75" t="n"/>
      <c r="AC914" s="6" t="n"/>
      <c r="AD914" s="75" t="n"/>
      <c r="AE914" s="75" t="n"/>
      <c r="AF914" s="75" t="n"/>
    </row>
    <row r="915" ht="15.75" customHeight="1" s="133">
      <c r="A915" s="75" t="n"/>
      <c r="B915" s="75" t="n"/>
      <c r="C915" s="75" t="n"/>
      <c r="D915" s="75" t="n"/>
      <c r="E915" s="76" t="n"/>
      <c r="F915" s="77" t="n"/>
      <c r="G915" s="75" t="n"/>
      <c r="H915" s="75">
        <f>IF(ISBLANK(E915),"",IF(OR(D915="Butterfly",D915="Butterfly ",D915="Iron Fly", D915="Iron Fly "),LEN(E915)-LEN(SUBSTITUTE(E915,"/",""))+2,LEN(E915)-LEN(SUBSTITUTE(E915,"/",""))+1))</f>
        <v/>
      </c>
      <c r="I915" s="78">
        <f>IF(ISBLANK(G915),"",IF(D915="Stock","0",Key!$A$3*H915*G915))</f>
        <v/>
      </c>
      <c r="J915" s="78">
        <f>IF(ISBLANK(E915),"",IF(ISNUMBER(SEARCH("/",E915)), IF(LEN(E915)-LEN(SUBSTITUTE(E915,"/",""))=1,(RIGHT(E915,LEN(E915)-FIND("/",E915)))-(LEFT(E915,FIND("/",E915)-1)),(MID(E915, SEARCH("/",E915) + 1, SEARCH("/",E915, SEARCH("/",E915)+1) - SEARCH("/",E915) - 1))-(LEFT(E915,FIND("/",E915)-1))), "NA"))</f>
        <v/>
      </c>
      <c r="K915" s="79">
        <f>IF(A915&lt;&gt;"", IF(ISBLANK(L915), TODAY(), K915), "")</f>
        <v/>
      </c>
      <c r="L915" s="78" t="n"/>
      <c r="M915" s="78">
        <f>IF(ISBLANK(L915),"",IF(D915="Stock",IF(C915="Buy",L915*G915,IF(C915="Sell",(L915*G915)-I915, X)),IF(C915="Buy",(L915*G915*100)+I915,IF(C915="Sell",(L915*G915*100)-I915, X))))</f>
        <v/>
      </c>
      <c r="N915" s="78">
        <f>IF(ISBLANK(L915),"",IF(AND(C915="Sell",D915="Stock"),M915,IF(ISBLANK(L915),"",IF(C915="Buy",M915, IF(AND(C915="Sell",J915="NA"),(E915*G915*100*0.1)+I915, IF(C915="Sell",(J915-L915)*(100*G915)+I915))))))</f>
        <v/>
      </c>
      <c r="O915" s="75" t="n"/>
      <c r="P915" s="75" t="n"/>
      <c r="Q915" s="75">
        <f>IF(ISBLANK(P915),"",IF(D915="Stock",P915*G915,IF(P915=0,"0",G915*P915*100-(G915*$AF$14))))</f>
        <v/>
      </c>
      <c r="R915" s="79">
        <f>IF(P915&lt;&gt;"", TODAY(), "")</f>
        <v/>
      </c>
      <c r="S915" s="78">
        <f>IF(AND(K915&lt;&gt;"", R915&lt;&gt;""), R915-K915, "")</f>
        <v/>
      </c>
      <c r="T915" s="78" t="n"/>
      <c r="U915" s="92">
        <f>IF(ISBLANK(P915),"",IF(C915="Buy",Q915-M915+T915, IF(C915="Sell",M915-Q915-T915, X)))</f>
        <v/>
      </c>
      <c r="V915" s="81">
        <f>IF(ISBLANK(P915),"",U915/N915)</f>
        <v/>
      </c>
      <c r="W915" s="81">
        <f>IF(ISBLANK(P915),"",IF(S915=0,(365/0.5)*V915,(365/S915)*V915))</f>
        <v/>
      </c>
      <c r="X915" s="75" t="n"/>
      <c r="Y915" s="77" t="n"/>
      <c r="Z915" s="77" t="n"/>
      <c r="AA915" s="75" t="n"/>
      <c r="AB915" s="75" t="n"/>
      <c r="AC915" s="6" t="n"/>
      <c r="AD915" s="75" t="n"/>
      <c r="AE915" s="75" t="n"/>
      <c r="AF915" s="75" t="n"/>
    </row>
    <row r="916" ht="15.75" customHeight="1" s="133">
      <c r="A916" s="75" t="n"/>
      <c r="B916" s="75" t="n"/>
      <c r="C916" s="75" t="n"/>
      <c r="D916" s="75" t="n"/>
      <c r="E916" s="76" t="n"/>
      <c r="F916" s="77" t="n"/>
      <c r="G916" s="75" t="n"/>
      <c r="H916" s="75">
        <f>IF(ISBLANK(E916),"",IF(OR(D916="Butterfly",D916="Butterfly ",D916="Iron Fly", D916="Iron Fly "),LEN(E916)-LEN(SUBSTITUTE(E916,"/",""))+2,LEN(E916)-LEN(SUBSTITUTE(E916,"/",""))+1))</f>
        <v/>
      </c>
      <c r="I916" s="78">
        <f>IF(ISBLANK(G916),"",IF(D916="Stock","0",Key!$A$3*H916*G916))</f>
        <v/>
      </c>
      <c r="J916" s="78">
        <f>IF(ISBLANK(E916),"",IF(ISNUMBER(SEARCH("/",E916)), IF(LEN(E916)-LEN(SUBSTITUTE(E916,"/",""))=1,(RIGHT(E916,LEN(E916)-FIND("/",E916)))-(LEFT(E916,FIND("/",E916)-1)),(MID(E916, SEARCH("/",E916) + 1, SEARCH("/",E916, SEARCH("/",E916)+1) - SEARCH("/",E916) - 1))-(LEFT(E916,FIND("/",E916)-1))), "NA"))</f>
        <v/>
      </c>
      <c r="K916" s="79">
        <f>IF(A916&lt;&gt;"", IF(ISBLANK(L916), TODAY(), K916), "")</f>
        <v/>
      </c>
      <c r="L916" s="78" t="n"/>
      <c r="M916" s="78">
        <f>IF(ISBLANK(L916),"",IF(D916="Stock",IF(C916="Buy",L916*G916,IF(C916="Sell",(L916*G916)-I916, X)),IF(C916="Buy",(L916*G916*100)+I916,IF(C916="Sell",(L916*G916*100)-I916, X))))</f>
        <v/>
      </c>
      <c r="N916" s="78">
        <f>IF(ISBLANK(L916),"",IF(AND(C916="Sell",D916="Stock"),M916,IF(ISBLANK(L916),"",IF(C916="Buy",M916, IF(AND(C916="Sell",J916="NA"),(E916*G916*100*0.1)+I916, IF(C916="Sell",(J916-L916)*(100*G916)+I916))))))</f>
        <v/>
      </c>
      <c r="O916" s="75" t="n"/>
      <c r="P916" s="75" t="n"/>
      <c r="Q916" s="75">
        <f>IF(ISBLANK(P916),"",IF(D916="Stock",P916*G916,IF(P916=0,"0",G916*P916*100-(G916*$AF$14))))</f>
        <v/>
      </c>
      <c r="R916" s="79">
        <f>IF(P916&lt;&gt;"", TODAY(), "")</f>
        <v/>
      </c>
      <c r="S916" s="78">
        <f>IF(AND(K916&lt;&gt;"", R916&lt;&gt;""), R916-K916, "")</f>
        <v/>
      </c>
      <c r="T916" s="78" t="n"/>
      <c r="U916" s="92">
        <f>IF(ISBLANK(P916),"",IF(C916="Buy",Q916-M916+T916, IF(C916="Sell",M916-Q916-T916, X)))</f>
        <v/>
      </c>
      <c r="V916" s="81">
        <f>IF(ISBLANK(P916),"",U916/N916)</f>
        <v/>
      </c>
      <c r="W916" s="81">
        <f>IF(ISBLANK(P916),"",IF(S916=0,(365/0.5)*V916,(365/S916)*V916))</f>
        <v/>
      </c>
      <c r="X916" s="75" t="n"/>
      <c r="Y916" s="77" t="n"/>
      <c r="Z916" s="77" t="n"/>
      <c r="AA916" s="75" t="n"/>
      <c r="AB916" s="75" t="n"/>
      <c r="AC916" s="6" t="n"/>
      <c r="AD916" s="75" t="n"/>
      <c r="AE916" s="75" t="n"/>
      <c r="AF916" s="75" t="n"/>
    </row>
    <row r="917" ht="15.75" customHeight="1" s="133">
      <c r="A917" s="75" t="n"/>
      <c r="B917" s="75" t="n"/>
      <c r="C917" s="75" t="n"/>
      <c r="D917" s="75" t="n"/>
      <c r="E917" s="76" t="n"/>
      <c r="F917" s="77" t="n"/>
      <c r="G917" s="75" t="n"/>
      <c r="H917" s="75">
        <f>IF(ISBLANK(E917),"",IF(OR(D917="Butterfly",D917="Butterfly ",D917="Iron Fly", D917="Iron Fly "),LEN(E917)-LEN(SUBSTITUTE(E917,"/",""))+2,LEN(E917)-LEN(SUBSTITUTE(E917,"/",""))+1))</f>
        <v/>
      </c>
      <c r="I917" s="78">
        <f>IF(ISBLANK(G917),"",IF(D917="Stock","0",Key!$A$3*H917*G917))</f>
        <v/>
      </c>
      <c r="J917" s="78">
        <f>IF(ISBLANK(E917),"",IF(ISNUMBER(SEARCH("/",E917)), IF(LEN(E917)-LEN(SUBSTITUTE(E917,"/",""))=1,(RIGHT(E917,LEN(E917)-FIND("/",E917)))-(LEFT(E917,FIND("/",E917)-1)),(MID(E917, SEARCH("/",E917) + 1, SEARCH("/",E917, SEARCH("/",E917)+1) - SEARCH("/",E917) - 1))-(LEFT(E917,FIND("/",E917)-1))), "NA"))</f>
        <v/>
      </c>
      <c r="K917" s="79">
        <f>IF(A917&lt;&gt;"", IF(ISBLANK(L917), TODAY(), K917), "")</f>
        <v/>
      </c>
      <c r="L917" s="78" t="n"/>
      <c r="M917" s="78">
        <f>IF(ISBLANK(L917),"",IF(D917="Stock",IF(C917="Buy",L917*G917,IF(C917="Sell",(L917*G917)-I917, X)),IF(C917="Buy",(L917*G917*100)+I917,IF(C917="Sell",(L917*G917*100)-I917, X))))</f>
        <v/>
      </c>
      <c r="N917" s="78">
        <f>IF(ISBLANK(L917),"",IF(AND(C917="Sell",D917="Stock"),M917,IF(ISBLANK(L917),"",IF(C917="Buy",M917, IF(AND(C917="Sell",J917="NA"),(E917*G917*100*0.1)+I917, IF(C917="Sell",(J917-L917)*(100*G917)+I917))))))</f>
        <v/>
      </c>
      <c r="O917" s="75" t="n"/>
      <c r="P917" s="75" t="n"/>
      <c r="Q917" s="75">
        <f>IF(ISBLANK(P917),"",IF(D917="Stock",P917*G917,IF(P917=0,"0",G917*P917*100-(G917*$AF$14))))</f>
        <v/>
      </c>
      <c r="R917" s="79">
        <f>IF(P917&lt;&gt;"", TODAY(), "")</f>
        <v/>
      </c>
      <c r="S917" s="78">
        <f>IF(AND(K917&lt;&gt;"", R917&lt;&gt;""), R917-K917, "")</f>
        <v/>
      </c>
      <c r="T917" s="78" t="n"/>
      <c r="U917" s="92">
        <f>IF(ISBLANK(P917),"",IF(C917="Buy",Q917-M917+T917, IF(C917="Sell",M917-Q917-T917, X)))</f>
        <v/>
      </c>
      <c r="V917" s="81">
        <f>IF(ISBLANK(P917),"",U917/N917)</f>
        <v/>
      </c>
      <c r="W917" s="81">
        <f>IF(ISBLANK(P917),"",IF(S917=0,(365/0.5)*V917,(365/S917)*V917))</f>
        <v/>
      </c>
      <c r="X917" s="75" t="n"/>
      <c r="Y917" s="77" t="n"/>
      <c r="Z917" s="77" t="n"/>
      <c r="AA917" s="75" t="n"/>
      <c r="AB917" s="75" t="n"/>
      <c r="AC917" s="6" t="n"/>
      <c r="AD917" s="75" t="n"/>
      <c r="AE917" s="75" t="n"/>
      <c r="AF917" s="75" t="n"/>
    </row>
    <row r="918" ht="15.75" customHeight="1" s="133">
      <c r="A918" s="75" t="n"/>
      <c r="B918" s="75" t="n"/>
      <c r="C918" s="75" t="n"/>
      <c r="D918" s="75" t="n"/>
      <c r="E918" s="76" t="n"/>
      <c r="F918" s="77" t="n"/>
      <c r="G918" s="75" t="n"/>
      <c r="H918" s="75">
        <f>IF(ISBLANK(E918),"",IF(OR(D918="Butterfly",D918="Butterfly ",D918="Iron Fly", D918="Iron Fly "),LEN(E918)-LEN(SUBSTITUTE(E918,"/",""))+2,LEN(E918)-LEN(SUBSTITUTE(E918,"/",""))+1))</f>
        <v/>
      </c>
      <c r="I918" s="78">
        <f>IF(ISBLANK(G918),"",IF(D918="Stock","0",Key!$A$3*H918*G918))</f>
        <v/>
      </c>
      <c r="J918" s="78">
        <f>IF(ISBLANK(E918),"",IF(ISNUMBER(SEARCH("/",E918)), IF(LEN(E918)-LEN(SUBSTITUTE(E918,"/",""))=1,(RIGHT(E918,LEN(E918)-FIND("/",E918)))-(LEFT(E918,FIND("/",E918)-1)),(MID(E918, SEARCH("/",E918) + 1, SEARCH("/",E918, SEARCH("/",E918)+1) - SEARCH("/",E918) - 1))-(LEFT(E918,FIND("/",E918)-1))), "NA"))</f>
        <v/>
      </c>
      <c r="K918" s="79">
        <f>IF(A918&lt;&gt;"", IF(ISBLANK(L918), TODAY(), K918), "")</f>
        <v/>
      </c>
      <c r="L918" s="78" t="n"/>
      <c r="M918" s="78">
        <f>IF(ISBLANK(L918),"",IF(D918="Stock",IF(C918="Buy",L918*G918,IF(C918="Sell",(L918*G918)-I918, X)),IF(C918="Buy",(L918*G918*100)+I918,IF(C918="Sell",(L918*G918*100)-I918, X))))</f>
        <v/>
      </c>
      <c r="N918" s="78">
        <f>IF(ISBLANK(L918),"",IF(AND(C918="Sell",D918="Stock"),M918,IF(ISBLANK(L918),"",IF(C918="Buy",M918, IF(AND(C918="Sell",J918="NA"),(E918*G918*100*0.1)+I918, IF(C918="Sell",(J918-L918)*(100*G918)+I918))))))</f>
        <v/>
      </c>
      <c r="O918" s="75" t="n"/>
      <c r="P918" s="75" t="n"/>
      <c r="Q918" s="75">
        <f>IF(ISBLANK(P918),"",IF(D918="Stock",P918*G918,IF(P918=0,"0",G918*P918*100-(G918*$AF$14))))</f>
        <v/>
      </c>
      <c r="R918" s="79">
        <f>IF(P918&lt;&gt;"", TODAY(), "")</f>
        <v/>
      </c>
      <c r="S918" s="78">
        <f>IF(AND(K918&lt;&gt;"", R918&lt;&gt;""), R918-K918, "")</f>
        <v/>
      </c>
      <c r="T918" s="78" t="n"/>
      <c r="U918" s="92">
        <f>IF(ISBLANK(P918),"",IF(C918="Buy",Q918-M918+T918, IF(C918="Sell",M918-Q918-T918, X)))</f>
        <v/>
      </c>
      <c r="V918" s="81">
        <f>IF(ISBLANK(P918),"",U918/N918)</f>
        <v/>
      </c>
      <c r="W918" s="81">
        <f>IF(ISBLANK(P918),"",IF(S918=0,(365/0.5)*V918,(365/S918)*V918))</f>
        <v/>
      </c>
      <c r="X918" s="75" t="n"/>
      <c r="Y918" s="77" t="n"/>
      <c r="Z918" s="77" t="n"/>
      <c r="AA918" s="75" t="n"/>
      <c r="AB918" s="75" t="n"/>
      <c r="AC918" s="6" t="n"/>
      <c r="AD918" s="75" t="n"/>
      <c r="AE918" s="75" t="n"/>
      <c r="AF918" s="75" t="n"/>
    </row>
    <row r="919" ht="15.75" customHeight="1" s="133">
      <c r="A919" s="75" t="n"/>
      <c r="B919" s="75" t="n"/>
      <c r="C919" s="75" t="n"/>
      <c r="D919" s="75" t="n"/>
      <c r="E919" s="76" t="n"/>
      <c r="F919" s="77" t="n"/>
      <c r="G919" s="75" t="n"/>
      <c r="H919" s="75">
        <f>IF(ISBLANK(E919),"",IF(OR(D919="Butterfly",D919="Butterfly ",D919="Iron Fly", D919="Iron Fly "),LEN(E919)-LEN(SUBSTITUTE(E919,"/",""))+2,LEN(E919)-LEN(SUBSTITUTE(E919,"/",""))+1))</f>
        <v/>
      </c>
      <c r="I919" s="78">
        <f>IF(ISBLANK(G919),"",IF(D919="Stock","0",Key!$A$3*H919*G919))</f>
        <v/>
      </c>
      <c r="J919" s="78">
        <f>IF(ISBLANK(E919),"",IF(ISNUMBER(SEARCH("/",E919)), IF(LEN(E919)-LEN(SUBSTITUTE(E919,"/",""))=1,(RIGHT(E919,LEN(E919)-FIND("/",E919)))-(LEFT(E919,FIND("/",E919)-1)),(MID(E919, SEARCH("/",E919) + 1, SEARCH("/",E919, SEARCH("/",E919)+1) - SEARCH("/",E919) - 1))-(LEFT(E919,FIND("/",E919)-1))), "NA"))</f>
        <v/>
      </c>
      <c r="K919" s="79">
        <f>IF(A919&lt;&gt;"", IF(ISBLANK(L919), TODAY(), K919), "")</f>
        <v/>
      </c>
      <c r="L919" s="78" t="n"/>
      <c r="M919" s="78">
        <f>IF(ISBLANK(L919),"",IF(D919="Stock",IF(C919="Buy",L919*G919,IF(C919="Sell",(L919*G919)-I919, X)),IF(C919="Buy",(L919*G919*100)+I919,IF(C919="Sell",(L919*G919*100)-I919, X))))</f>
        <v/>
      </c>
      <c r="N919" s="78">
        <f>IF(ISBLANK(L919),"",IF(AND(C919="Sell",D919="Stock"),M919,IF(ISBLANK(L919),"",IF(C919="Buy",M919, IF(AND(C919="Sell",J919="NA"),(E919*G919*100*0.1)+I919, IF(C919="Sell",(J919-L919)*(100*G919)+I919))))))</f>
        <v/>
      </c>
      <c r="O919" s="75" t="n"/>
      <c r="P919" s="75" t="n"/>
      <c r="Q919" s="75">
        <f>IF(ISBLANK(P919),"",IF(D919="Stock",P919*G919,IF(P919=0,"0",G919*P919*100-(G919*$AF$14))))</f>
        <v/>
      </c>
      <c r="R919" s="79">
        <f>IF(P919&lt;&gt;"", TODAY(), "")</f>
        <v/>
      </c>
      <c r="S919" s="78">
        <f>IF(AND(K919&lt;&gt;"", R919&lt;&gt;""), R919-K919, "")</f>
        <v/>
      </c>
      <c r="T919" s="78" t="n"/>
      <c r="U919" s="92">
        <f>IF(ISBLANK(P919),"",IF(C919="Buy",Q919-M919+T919, IF(C919="Sell",M919-Q919-T919, X)))</f>
        <v/>
      </c>
      <c r="V919" s="81">
        <f>IF(ISBLANK(P919),"",U919/N919)</f>
        <v/>
      </c>
      <c r="W919" s="81">
        <f>IF(ISBLANK(P919),"",IF(S919=0,(365/0.5)*V919,(365/S919)*V919))</f>
        <v/>
      </c>
      <c r="X919" s="75" t="n"/>
      <c r="Y919" s="77" t="n"/>
      <c r="Z919" s="77" t="n"/>
      <c r="AA919" s="75" t="n"/>
      <c r="AB919" s="75" t="n"/>
      <c r="AC919" s="6" t="n"/>
      <c r="AD919" s="75" t="n"/>
      <c r="AE919" s="75" t="n"/>
      <c r="AF919" s="75" t="n"/>
    </row>
    <row r="920" ht="15.75" customHeight="1" s="133">
      <c r="A920" s="75" t="n"/>
      <c r="B920" s="75" t="n"/>
      <c r="C920" s="75" t="n"/>
      <c r="D920" s="75" t="n"/>
      <c r="E920" s="76" t="n"/>
      <c r="F920" s="77" t="n"/>
      <c r="G920" s="75" t="n"/>
      <c r="H920" s="75">
        <f>IF(ISBLANK(E920),"",IF(OR(D920="Butterfly",D920="Butterfly ",D920="Iron Fly", D920="Iron Fly "),LEN(E920)-LEN(SUBSTITUTE(E920,"/",""))+2,LEN(E920)-LEN(SUBSTITUTE(E920,"/",""))+1))</f>
        <v/>
      </c>
      <c r="I920" s="78">
        <f>IF(ISBLANK(G920),"",IF(D920="Stock","0",Key!$A$3*H920*G920))</f>
        <v/>
      </c>
      <c r="J920" s="78">
        <f>IF(ISBLANK(E920),"",IF(ISNUMBER(SEARCH("/",E920)), IF(LEN(E920)-LEN(SUBSTITUTE(E920,"/",""))=1,(RIGHT(E920,LEN(E920)-FIND("/",E920)))-(LEFT(E920,FIND("/",E920)-1)),(MID(E920, SEARCH("/",E920) + 1, SEARCH("/",E920, SEARCH("/",E920)+1) - SEARCH("/",E920) - 1))-(LEFT(E920,FIND("/",E920)-1))), "NA"))</f>
        <v/>
      </c>
      <c r="K920" s="79">
        <f>IF(A920&lt;&gt;"", IF(ISBLANK(L920), TODAY(), K920), "")</f>
        <v/>
      </c>
      <c r="L920" s="78" t="n"/>
      <c r="M920" s="78">
        <f>IF(ISBLANK(L920),"",IF(D920="Stock",IF(C920="Buy",L920*G920,IF(C920="Sell",(L920*G920)-I920, X)),IF(C920="Buy",(L920*G920*100)+I920,IF(C920="Sell",(L920*G920*100)-I920, X))))</f>
        <v/>
      </c>
      <c r="N920" s="78">
        <f>IF(ISBLANK(L920),"",IF(AND(C920="Sell",D920="Stock"),M920,IF(ISBLANK(L920),"",IF(C920="Buy",M920, IF(AND(C920="Sell",J920="NA"),(E920*G920*100*0.1)+I920, IF(C920="Sell",(J920-L920)*(100*G920)+I920))))))</f>
        <v/>
      </c>
      <c r="O920" s="75" t="n"/>
      <c r="P920" s="75" t="n"/>
      <c r="Q920" s="75">
        <f>IF(ISBLANK(P920),"",IF(D920="Stock",P920*G920,IF(P920=0,"0",G920*P920*100-(G920*$AF$14))))</f>
        <v/>
      </c>
      <c r="R920" s="79">
        <f>IF(P920&lt;&gt;"", TODAY(), "")</f>
        <v/>
      </c>
      <c r="S920" s="78">
        <f>IF(AND(K920&lt;&gt;"", R920&lt;&gt;""), R920-K920, "")</f>
        <v/>
      </c>
      <c r="T920" s="78" t="n"/>
      <c r="U920" s="92">
        <f>IF(ISBLANK(P920),"",IF(C920="Buy",Q920-M920+T920, IF(C920="Sell",M920-Q920-T920, X)))</f>
        <v/>
      </c>
      <c r="V920" s="81">
        <f>IF(ISBLANK(P920),"",U920/N920)</f>
        <v/>
      </c>
      <c r="W920" s="81">
        <f>IF(ISBLANK(P920),"",IF(S920=0,(365/0.5)*V920,(365/S920)*V920))</f>
        <v/>
      </c>
      <c r="X920" s="75" t="n"/>
      <c r="Y920" s="77" t="n"/>
      <c r="Z920" s="77" t="n"/>
      <c r="AA920" s="75" t="n"/>
      <c r="AB920" s="75" t="n"/>
      <c r="AC920" s="6" t="n"/>
      <c r="AD920" s="75" t="n"/>
      <c r="AE920" s="75" t="n"/>
      <c r="AF920" s="75" t="n"/>
    </row>
    <row r="921" ht="15.75" customHeight="1" s="133">
      <c r="A921" s="75" t="n"/>
      <c r="B921" s="75" t="n"/>
      <c r="C921" s="75" t="n"/>
      <c r="D921" s="75" t="n"/>
      <c r="E921" s="76" t="n"/>
      <c r="F921" s="77" t="n"/>
      <c r="G921" s="75" t="n"/>
      <c r="H921" s="75">
        <f>IF(ISBLANK(E921),"",IF(OR(D921="Butterfly",D921="Butterfly ",D921="Iron Fly", D921="Iron Fly "),LEN(E921)-LEN(SUBSTITUTE(E921,"/",""))+2,LEN(E921)-LEN(SUBSTITUTE(E921,"/",""))+1))</f>
        <v/>
      </c>
      <c r="I921" s="78">
        <f>IF(ISBLANK(G921),"",IF(D921="Stock","0",Key!$A$3*H921*G921))</f>
        <v/>
      </c>
      <c r="J921" s="78">
        <f>IF(ISBLANK(E921),"",IF(ISNUMBER(SEARCH("/",E921)), IF(LEN(E921)-LEN(SUBSTITUTE(E921,"/",""))=1,(RIGHT(E921,LEN(E921)-FIND("/",E921)))-(LEFT(E921,FIND("/",E921)-1)),(MID(E921, SEARCH("/",E921) + 1, SEARCH("/",E921, SEARCH("/",E921)+1) - SEARCH("/",E921) - 1))-(LEFT(E921,FIND("/",E921)-1))), "NA"))</f>
        <v/>
      </c>
      <c r="K921" s="79">
        <f>IF(A921&lt;&gt;"", IF(ISBLANK(L921), TODAY(), K921), "")</f>
        <v/>
      </c>
      <c r="L921" s="78" t="n"/>
      <c r="M921" s="78">
        <f>IF(ISBLANK(L921),"",IF(D921="Stock",IF(C921="Buy",L921*G921,IF(C921="Sell",(L921*G921)-I921, X)),IF(C921="Buy",(L921*G921*100)+I921,IF(C921="Sell",(L921*G921*100)-I921, X))))</f>
        <v/>
      </c>
      <c r="N921" s="78">
        <f>IF(ISBLANK(L921),"",IF(AND(C921="Sell",D921="Stock"),M921,IF(ISBLANK(L921),"",IF(C921="Buy",M921, IF(AND(C921="Sell",J921="NA"),(E921*G921*100*0.1)+I921, IF(C921="Sell",(J921-L921)*(100*G921)+I921))))))</f>
        <v/>
      </c>
      <c r="O921" s="75" t="n"/>
      <c r="P921" s="75" t="n"/>
      <c r="Q921" s="75">
        <f>IF(ISBLANK(P921),"",IF(D921="Stock",P921*G921,IF(P921=0,"0",G921*P921*100-(G921*$AF$14))))</f>
        <v/>
      </c>
      <c r="R921" s="79">
        <f>IF(P921&lt;&gt;"", TODAY(), "")</f>
        <v/>
      </c>
      <c r="S921" s="78">
        <f>IF(AND(K921&lt;&gt;"", R921&lt;&gt;""), R921-K921, "")</f>
        <v/>
      </c>
      <c r="T921" s="78" t="n"/>
      <c r="U921" s="92">
        <f>IF(ISBLANK(P921),"",IF(C921="Buy",Q921-M921+T921, IF(C921="Sell",M921-Q921-T921, X)))</f>
        <v/>
      </c>
      <c r="V921" s="81">
        <f>IF(ISBLANK(P921),"",U921/N921)</f>
        <v/>
      </c>
      <c r="W921" s="81">
        <f>IF(ISBLANK(P921),"",IF(S921=0,(365/0.5)*V921,(365/S921)*V921))</f>
        <v/>
      </c>
      <c r="X921" s="75" t="n"/>
      <c r="Y921" s="77" t="n"/>
      <c r="Z921" s="77" t="n"/>
      <c r="AA921" s="75" t="n"/>
      <c r="AB921" s="75" t="n"/>
      <c r="AC921" s="6" t="n"/>
      <c r="AD921" s="75" t="n"/>
      <c r="AE921" s="75" t="n"/>
      <c r="AF921" s="75" t="n"/>
    </row>
    <row r="922" ht="15.75" customHeight="1" s="133">
      <c r="A922" s="75" t="n"/>
      <c r="B922" s="75" t="n"/>
      <c r="C922" s="75" t="n"/>
      <c r="D922" s="75" t="n"/>
      <c r="E922" s="76" t="n"/>
      <c r="F922" s="77" t="n"/>
      <c r="G922" s="75" t="n"/>
      <c r="H922" s="75">
        <f>IF(ISBLANK(E922),"",IF(OR(D922="Butterfly",D922="Butterfly ",D922="Iron Fly", D922="Iron Fly "),LEN(E922)-LEN(SUBSTITUTE(E922,"/",""))+2,LEN(E922)-LEN(SUBSTITUTE(E922,"/",""))+1))</f>
        <v/>
      </c>
      <c r="I922" s="78">
        <f>IF(ISBLANK(G922),"",IF(D922="Stock","0",Key!$A$3*H922*G922))</f>
        <v/>
      </c>
      <c r="J922" s="78">
        <f>IF(ISBLANK(E922),"",IF(ISNUMBER(SEARCH("/",E922)), IF(LEN(E922)-LEN(SUBSTITUTE(E922,"/",""))=1,(RIGHT(E922,LEN(E922)-FIND("/",E922)))-(LEFT(E922,FIND("/",E922)-1)),(MID(E922, SEARCH("/",E922) + 1, SEARCH("/",E922, SEARCH("/",E922)+1) - SEARCH("/",E922) - 1))-(LEFT(E922,FIND("/",E922)-1))), "NA"))</f>
        <v/>
      </c>
      <c r="K922" s="79">
        <f>IF(A922&lt;&gt;"", IF(ISBLANK(L922), TODAY(), K922), "")</f>
        <v/>
      </c>
      <c r="L922" s="78" t="n"/>
      <c r="M922" s="78">
        <f>IF(ISBLANK(L922),"",IF(D922="Stock",IF(C922="Buy",L922*G922,IF(C922="Sell",(L922*G922)-I922, X)),IF(C922="Buy",(L922*G922*100)+I922,IF(C922="Sell",(L922*G922*100)-I922, X))))</f>
        <v/>
      </c>
      <c r="N922" s="78">
        <f>IF(ISBLANK(L922),"",IF(AND(C922="Sell",D922="Stock"),M922,IF(ISBLANK(L922),"",IF(C922="Buy",M922, IF(AND(C922="Sell",J922="NA"),(E922*G922*100*0.1)+I922, IF(C922="Sell",(J922-L922)*(100*G922)+I922))))))</f>
        <v/>
      </c>
      <c r="O922" s="75" t="n"/>
      <c r="P922" s="75" t="n"/>
      <c r="Q922" s="75">
        <f>IF(ISBLANK(P922),"",IF(D922="Stock",P922*G922,IF(P922=0,"0",G922*P922*100-(G922*$AF$14))))</f>
        <v/>
      </c>
      <c r="R922" s="79">
        <f>IF(P922&lt;&gt;"", TODAY(), "")</f>
        <v/>
      </c>
      <c r="S922" s="78">
        <f>IF(AND(K922&lt;&gt;"", R922&lt;&gt;""), R922-K922, "")</f>
        <v/>
      </c>
      <c r="T922" s="78" t="n"/>
      <c r="U922" s="92">
        <f>IF(ISBLANK(P922),"",IF(C922="Buy",Q922-M922+T922, IF(C922="Sell",M922-Q922-T922, X)))</f>
        <v/>
      </c>
      <c r="V922" s="81">
        <f>IF(ISBLANK(P922),"",U922/N922)</f>
        <v/>
      </c>
      <c r="W922" s="81">
        <f>IF(ISBLANK(P922),"",IF(S922=0,(365/0.5)*V922,(365/S922)*V922))</f>
        <v/>
      </c>
      <c r="X922" s="75" t="n"/>
      <c r="Y922" s="77" t="n"/>
      <c r="Z922" s="77" t="n"/>
      <c r="AA922" s="75" t="n"/>
      <c r="AB922" s="75" t="n"/>
      <c r="AC922" s="6" t="n"/>
      <c r="AD922" s="75" t="n"/>
      <c r="AE922" s="75" t="n"/>
      <c r="AF922" s="75" t="n"/>
    </row>
    <row r="923" ht="15.75" customHeight="1" s="133">
      <c r="A923" s="75" t="n"/>
      <c r="B923" s="75" t="n"/>
      <c r="C923" s="75" t="n"/>
      <c r="D923" s="75" t="n"/>
      <c r="E923" s="76" t="n"/>
      <c r="F923" s="77" t="n"/>
      <c r="G923" s="75" t="n"/>
      <c r="H923" s="75">
        <f>IF(ISBLANK(E923),"",IF(OR(D923="Butterfly",D923="Butterfly ",D923="Iron Fly", D923="Iron Fly "),LEN(E923)-LEN(SUBSTITUTE(E923,"/",""))+2,LEN(E923)-LEN(SUBSTITUTE(E923,"/",""))+1))</f>
        <v/>
      </c>
      <c r="I923" s="78">
        <f>IF(ISBLANK(G923),"",IF(D923="Stock","0",Key!$A$3*H923*G923))</f>
        <v/>
      </c>
      <c r="J923" s="78">
        <f>IF(ISBLANK(E923),"",IF(ISNUMBER(SEARCH("/",E923)), IF(LEN(E923)-LEN(SUBSTITUTE(E923,"/",""))=1,(RIGHT(E923,LEN(E923)-FIND("/",E923)))-(LEFT(E923,FIND("/",E923)-1)),(MID(E923, SEARCH("/",E923) + 1, SEARCH("/",E923, SEARCH("/",E923)+1) - SEARCH("/",E923) - 1))-(LEFT(E923,FIND("/",E923)-1))), "NA"))</f>
        <v/>
      </c>
      <c r="K923" s="79">
        <f>IF(A923&lt;&gt;"", IF(ISBLANK(L923), TODAY(), K923), "")</f>
        <v/>
      </c>
      <c r="L923" s="78" t="n"/>
      <c r="M923" s="78">
        <f>IF(ISBLANK(L923),"",IF(D923="Stock",IF(C923="Buy",L923*G923,IF(C923="Sell",(L923*G923)-I923, X)),IF(C923="Buy",(L923*G923*100)+I923,IF(C923="Sell",(L923*G923*100)-I923, X))))</f>
        <v/>
      </c>
      <c r="N923" s="78">
        <f>IF(ISBLANK(L923),"",IF(AND(C923="Sell",D923="Stock"),M923,IF(ISBLANK(L923),"",IF(C923="Buy",M923, IF(AND(C923="Sell",J923="NA"),(E923*G923*100*0.1)+I923, IF(C923="Sell",(J923-L923)*(100*G923)+I923))))))</f>
        <v/>
      </c>
      <c r="O923" s="75" t="n"/>
      <c r="P923" s="75" t="n"/>
      <c r="Q923" s="75">
        <f>IF(ISBLANK(P923),"",IF(D923="Stock",P923*G923,IF(P923=0,"0",G923*P923*100-(G923*$AF$14))))</f>
        <v/>
      </c>
      <c r="R923" s="79">
        <f>IF(P923&lt;&gt;"", TODAY(), "")</f>
        <v/>
      </c>
      <c r="S923" s="78">
        <f>IF(AND(K923&lt;&gt;"", R923&lt;&gt;""), R923-K923, "")</f>
        <v/>
      </c>
      <c r="T923" s="78" t="n"/>
      <c r="U923" s="92">
        <f>IF(ISBLANK(P923),"",IF(C923="Buy",Q923-M923+T923, IF(C923="Sell",M923-Q923-T923, X)))</f>
        <v/>
      </c>
      <c r="V923" s="81">
        <f>IF(ISBLANK(P923),"",U923/N923)</f>
        <v/>
      </c>
      <c r="W923" s="81">
        <f>IF(ISBLANK(P923),"",IF(S923=0,(365/0.5)*V923,(365/S923)*V923))</f>
        <v/>
      </c>
      <c r="X923" s="75" t="n"/>
      <c r="Y923" s="77" t="n"/>
      <c r="Z923" s="77" t="n"/>
      <c r="AA923" s="75" t="n"/>
      <c r="AB923" s="75" t="n"/>
      <c r="AC923" s="6" t="n"/>
      <c r="AD923" s="75" t="n"/>
      <c r="AE923" s="75" t="n"/>
      <c r="AF923" s="75" t="n"/>
    </row>
    <row r="924" ht="15.75" customHeight="1" s="133">
      <c r="A924" s="75" t="n"/>
      <c r="B924" s="75" t="n"/>
      <c r="C924" s="75" t="n"/>
      <c r="D924" s="75" t="n"/>
      <c r="E924" s="76" t="n"/>
      <c r="F924" s="77" t="n"/>
      <c r="G924" s="75" t="n"/>
      <c r="H924" s="75">
        <f>IF(ISBLANK(E924),"",IF(OR(D924="Butterfly",D924="Butterfly ",D924="Iron Fly", D924="Iron Fly "),LEN(E924)-LEN(SUBSTITUTE(E924,"/",""))+2,LEN(E924)-LEN(SUBSTITUTE(E924,"/",""))+1))</f>
        <v/>
      </c>
      <c r="I924" s="78">
        <f>IF(ISBLANK(G924),"",IF(D924="Stock","0",Key!$A$3*H924*G924))</f>
        <v/>
      </c>
      <c r="J924" s="78">
        <f>IF(ISBLANK(E924),"",IF(ISNUMBER(SEARCH("/",E924)), IF(LEN(E924)-LEN(SUBSTITUTE(E924,"/",""))=1,(RIGHT(E924,LEN(E924)-FIND("/",E924)))-(LEFT(E924,FIND("/",E924)-1)),(MID(E924, SEARCH("/",E924) + 1, SEARCH("/",E924, SEARCH("/",E924)+1) - SEARCH("/",E924) - 1))-(LEFT(E924,FIND("/",E924)-1))), "NA"))</f>
        <v/>
      </c>
      <c r="K924" s="79">
        <f>IF(A924&lt;&gt;"", IF(ISBLANK(L924), TODAY(), K924), "")</f>
        <v/>
      </c>
      <c r="L924" s="78" t="n"/>
      <c r="M924" s="78">
        <f>IF(ISBLANK(L924),"",IF(D924="Stock",IF(C924="Buy",L924*G924,IF(C924="Sell",(L924*G924)-I924, X)),IF(C924="Buy",(L924*G924*100)+I924,IF(C924="Sell",(L924*G924*100)-I924, X))))</f>
        <v/>
      </c>
      <c r="N924" s="78">
        <f>IF(ISBLANK(L924),"",IF(AND(C924="Sell",D924="Stock"),M924,IF(ISBLANK(L924),"",IF(C924="Buy",M924, IF(AND(C924="Sell",J924="NA"),(E924*G924*100*0.1)+I924, IF(C924="Sell",(J924-L924)*(100*G924)+I924))))))</f>
        <v/>
      </c>
      <c r="O924" s="75" t="n"/>
      <c r="P924" s="75" t="n"/>
      <c r="Q924" s="75">
        <f>IF(ISBLANK(P924),"",IF(D924="Stock",P924*G924,IF(P924=0,"0",G924*P924*100-(G924*$AF$14))))</f>
        <v/>
      </c>
      <c r="R924" s="79">
        <f>IF(P924&lt;&gt;"", TODAY(), "")</f>
        <v/>
      </c>
      <c r="S924" s="78">
        <f>IF(AND(K924&lt;&gt;"", R924&lt;&gt;""), R924-K924, "")</f>
        <v/>
      </c>
      <c r="T924" s="78" t="n"/>
      <c r="U924" s="92">
        <f>IF(ISBLANK(P924),"",IF(C924="Buy",Q924-M924+T924, IF(C924="Sell",M924-Q924-T924, X)))</f>
        <v/>
      </c>
      <c r="V924" s="81">
        <f>IF(ISBLANK(P924),"",U924/N924)</f>
        <v/>
      </c>
      <c r="W924" s="81">
        <f>IF(ISBLANK(P924),"",IF(S924=0,(365/0.5)*V924,(365/S924)*V924))</f>
        <v/>
      </c>
      <c r="X924" s="75" t="n"/>
      <c r="Y924" s="77" t="n"/>
      <c r="Z924" s="77" t="n"/>
      <c r="AA924" s="75" t="n"/>
      <c r="AB924" s="75" t="n"/>
      <c r="AC924" s="6" t="n"/>
      <c r="AD924" s="75" t="n"/>
      <c r="AE924" s="75" t="n"/>
      <c r="AF924" s="75" t="n"/>
    </row>
    <row r="925" ht="15.75" customHeight="1" s="133">
      <c r="A925" s="75" t="n"/>
      <c r="B925" s="75" t="n"/>
      <c r="C925" s="75" t="n"/>
      <c r="D925" s="75" t="n"/>
      <c r="E925" s="76" t="n"/>
      <c r="F925" s="77" t="n"/>
      <c r="G925" s="75" t="n"/>
      <c r="H925" s="75">
        <f>IF(ISBLANK(E925),"",IF(OR(D925="Butterfly",D925="Butterfly ",D925="Iron Fly", D925="Iron Fly "),LEN(E925)-LEN(SUBSTITUTE(E925,"/",""))+2,LEN(E925)-LEN(SUBSTITUTE(E925,"/",""))+1))</f>
        <v/>
      </c>
      <c r="I925" s="78">
        <f>IF(ISBLANK(G925),"",IF(D925="Stock","0",Key!$A$3*H925*G925))</f>
        <v/>
      </c>
      <c r="J925" s="78">
        <f>IF(ISBLANK(E925),"",IF(ISNUMBER(SEARCH("/",E925)), IF(LEN(E925)-LEN(SUBSTITUTE(E925,"/",""))=1,(RIGHT(E925,LEN(E925)-FIND("/",E925)))-(LEFT(E925,FIND("/",E925)-1)),(MID(E925, SEARCH("/",E925) + 1, SEARCH("/",E925, SEARCH("/",E925)+1) - SEARCH("/",E925) - 1))-(LEFT(E925,FIND("/",E925)-1))), "NA"))</f>
        <v/>
      </c>
      <c r="K925" s="79">
        <f>IF(A925&lt;&gt;"", IF(ISBLANK(L925), TODAY(), K925), "")</f>
        <v/>
      </c>
      <c r="L925" s="78" t="n"/>
      <c r="M925" s="78">
        <f>IF(ISBLANK(L925),"",IF(D925="Stock",IF(C925="Buy",L925*G925,IF(C925="Sell",(L925*G925)-I925, X)),IF(C925="Buy",(L925*G925*100)+I925,IF(C925="Sell",(L925*G925*100)-I925, X))))</f>
        <v/>
      </c>
      <c r="N925" s="78">
        <f>IF(ISBLANK(L925),"",IF(AND(C925="Sell",D925="Stock"),M925,IF(ISBLANK(L925),"",IF(C925="Buy",M925, IF(AND(C925="Sell",J925="NA"),(E925*G925*100*0.1)+I925, IF(C925="Sell",(J925-L925)*(100*G925)+I925))))))</f>
        <v/>
      </c>
      <c r="O925" s="75" t="n"/>
      <c r="P925" s="75" t="n"/>
      <c r="Q925" s="75">
        <f>IF(ISBLANK(P925),"",IF(D925="Stock",P925*G925,IF(P925=0,"0",G925*P925*100-(G925*$AF$14))))</f>
        <v/>
      </c>
      <c r="R925" s="79">
        <f>IF(P925&lt;&gt;"", TODAY(), "")</f>
        <v/>
      </c>
      <c r="S925" s="78">
        <f>IF(AND(K925&lt;&gt;"", R925&lt;&gt;""), R925-K925, "")</f>
        <v/>
      </c>
      <c r="T925" s="78" t="n"/>
      <c r="U925" s="92">
        <f>IF(ISBLANK(P925),"",IF(C925="Buy",Q925-M925+T925, IF(C925="Sell",M925-Q925-T925, X)))</f>
        <v/>
      </c>
      <c r="V925" s="81">
        <f>IF(ISBLANK(P925),"",U925/N925)</f>
        <v/>
      </c>
      <c r="W925" s="81">
        <f>IF(ISBLANK(P925),"",IF(S925=0,(365/0.5)*V925,(365/S925)*V925))</f>
        <v/>
      </c>
      <c r="X925" s="75" t="n"/>
      <c r="Y925" s="77" t="n"/>
      <c r="Z925" s="77" t="n"/>
      <c r="AA925" s="75" t="n"/>
      <c r="AB925" s="75" t="n"/>
      <c r="AC925" s="6" t="n"/>
      <c r="AD925" s="75" t="n"/>
      <c r="AE925" s="75" t="n"/>
      <c r="AF925" s="75" t="n"/>
    </row>
    <row r="926" ht="15.75" customHeight="1" s="133">
      <c r="A926" s="75" t="n"/>
      <c r="B926" s="75" t="n"/>
      <c r="C926" s="75" t="n"/>
      <c r="D926" s="75" t="n"/>
      <c r="E926" s="76" t="n"/>
      <c r="F926" s="77" t="n"/>
      <c r="G926" s="75" t="n"/>
      <c r="H926" s="75">
        <f>IF(ISBLANK(E926),"",IF(OR(D926="Butterfly",D926="Butterfly ",D926="Iron Fly", D926="Iron Fly "),LEN(E926)-LEN(SUBSTITUTE(E926,"/",""))+2,LEN(E926)-LEN(SUBSTITUTE(E926,"/",""))+1))</f>
        <v/>
      </c>
      <c r="I926" s="78">
        <f>IF(ISBLANK(G926),"",IF(D926="Stock","0",Key!$A$3*H926*G926))</f>
        <v/>
      </c>
      <c r="J926" s="78">
        <f>IF(ISBLANK(E926),"",IF(ISNUMBER(SEARCH("/",E926)), IF(LEN(E926)-LEN(SUBSTITUTE(E926,"/",""))=1,(RIGHT(E926,LEN(E926)-FIND("/",E926)))-(LEFT(E926,FIND("/",E926)-1)),(MID(E926, SEARCH("/",E926) + 1, SEARCH("/",E926, SEARCH("/",E926)+1) - SEARCH("/",E926) - 1))-(LEFT(E926,FIND("/",E926)-1))), "NA"))</f>
        <v/>
      </c>
      <c r="K926" s="79">
        <f>IF(A926&lt;&gt;"", IF(ISBLANK(L926), TODAY(), K926), "")</f>
        <v/>
      </c>
      <c r="L926" s="78" t="n"/>
      <c r="M926" s="78">
        <f>IF(ISBLANK(L926),"",IF(D926="Stock",IF(C926="Buy",L926*G926,IF(C926="Sell",(L926*G926)-I926, X)),IF(C926="Buy",(L926*G926*100)+I926,IF(C926="Sell",(L926*G926*100)-I926, X))))</f>
        <v/>
      </c>
      <c r="N926" s="78">
        <f>IF(ISBLANK(L926),"",IF(AND(C926="Sell",D926="Stock"),M926,IF(ISBLANK(L926),"",IF(C926="Buy",M926, IF(AND(C926="Sell",J926="NA"),(E926*G926*100*0.1)+I926, IF(C926="Sell",(J926-L926)*(100*G926)+I926))))))</f>
        <v/>
      </c>
      <c r="O926" s="75" t="n"/>
      <c r="P926" s="75" t="n"/>
      <c r="Q926" s="75">
        <f>IF(ISBLANK(P926),"",IF(D926="Stock",P926*G926,IF(P926=0,"0",G926*P926*100-(G926*$AF$14))))</f>
        <v/>
      </c>
      <c r="R926" s="79">
        <f>IF(P926&lt;&gt;"", TODAY(), "")</f>
        <v/>
      </c>
      <c r="S926" s="78">
        <f>IF(AND(K926&lt;&gt;"", R926&lt;&gt;""), R926-K926, "")</f>
        <v/>
      </c>
      <c r="T926" s="78" t="n"/>
      <c r="U926" s="92">
        <f>IF(ISBLANK(P926),"",IF(C926="Buy",Q926-M926+T926, IF(C926="Sell",M926-Q926-T926, X)))</f>
        <v/>
      </c>
      <c r="V926" s="81">
        <f>IF(ISBLANK(P926),"",U926/N926)</f>
        <v/>
      </c>
      <c r="W926" s="81">
        <f>IF(ISBLANK(P926),"",IF(S926=0,(365/0.5)*V926,(365/S926)*V926))</f>
        <v/>
      </c>
      <c r="X926" s="75" t="n"/>
      <c r="Y926" s="77" t="n"/>
      <c r="Z926" s="77" t="n"/>
      <c r="AA926" s="75" t="n"/>
      <c r="AB926" s="75" t="n"/>
      <c r="AC926" s="6" t="n"/>
      <c r="AD926" s="75" t="n"/>
      <c r="AE926" s="75" t="n"/>
      <c r="AF926" s="75" t="n"/>
    </row>
    <row r="927" ht="15.75" customHeight="1" s="133">
      <c r="A927" s="75" t="n"/>
      <c r="B927" s="75" t="n"/>
      <c r="C927" s="75" t="n"/>
      <c r="D927" s="75" t="n"/>
      <c r="E927" s="76" t="n"/>
      <c r="F927" s="77" t="n"/>
      <c r="G927" s="75" t="n"/>
      <c r="H927" s="75">
        <f>IF(ISBLANK(E927),"",IF(OR(D927="Butterfly",D927="Butterfly ",D927="Iron Fly", D927="Iron Fly "),LEN(E927)-LEN(SUBSTITUTE(E927,"/",""))+2,LEN(E927)-LEN(SUBSTITUTE(E927,"/",""))+1))</f>
        <v/>
      </c>
      <c r="I927" s="78">
        <f>IF(ISBLANK(G927),"",IF(D927="Stock","0",Key!$A$3*H927*G927))</f>
        <v/>
      </c>
      <c r="J927" s="78">
        <f>IF(ISBLANK(E927),"",IF(ISNUMBER(SEARCH("/",E927)), IF(LEN(E927)-LEN(SUBSTITUTE(E927,"/",""))=1,(RIGHT(E927,LEN(E927)-FIND("/",E927)))-(LEFT(E927,FIND("/",E927)-1)),(MID(E927, SEARCH("/",E927) + 1, SEARCH("/",E927, SEARCH("/",E927)+1) - SEARCH("/",E927) - 1))-(LEFT(E927,FIND("/",E927)-1))), "NA"))</f>
        <v/>
      </c>
      <c r="K927" s="79">
        <f>IF(A927&lt;&gt;"", IF(ISBLANK(L927), TODAY(), K927), "")</f>
        <v/>
      </c>
      <c r="L927" s="78" t="n"/>
      <c r="M927" s="78">
        <f>IF(ISBLANK(L927),"",IF(D927="Stock",IF(C927="Buy",L927*G927,IF(C927="Sell",(L927*G927)-I927, X)),IF(C927="Buy",(L927*G927*100)+I927,IF(C927="Sell",(L927*G927*100)-I927, X))))</f>
        <v/>
      </c>
      <c r="N927" s="78">
        <f>IF(ISBLANK(L927),"",IF(AND(C927="Sell",D927="Stock"),M927,IF(ISBLANK(L927),"",IF(C927="Buy",M927, IF(AND(C927="Sell",J927="NA"),(E927*G927*100*0.1)+I927, IF(C927="Sell",(J927-L927)*(100*G927)+I927))))))</f>
        <v/>
      </c>
      <c r="O927" s="75" t="n"/>
      <c r="P927" s="75" t="n"/>
      <c r="Q927" s="75">
        <f>IF(ISBLANK(P927),"",IF(D927="Stock",P927*G927,IF(P927=0,"0",G927*P927*100-(G927*$AF$14))))</f>
        <v/>
      </c>
      <c r="R927" s="79">
        <f>IF(P927&lt;&gt;"", TODAY(), "")</f>
        <v/>
      </c>
      <c r="S927" s="78">
        <f>IF(AND(K927&lt;&gt;"", R927&lt;&gt;""), R927-K927, "")</f>
        <v/>
      </c>
      <c r="T927" s="78" t="n"/>
      <c r="U927" s="92">
        <f>IF(ISBLANK(P927),"",IF(C927="Buy",Q927-M927+T927, IF(C927="Sell",M927-Q927-T927, X)))</f>
        <v/>
      </c>
      <c r="V927" s="81">
        <f>IF(ISBLANK(P927),"",U927/N927)</f>
        <v/>
      </c>
      <c r="W927" s="81">
        <f>IF(ISBLANK(P927),"",IF(S927=0,(365/0.5)*V927,(365/S927)*V927))</f>
        <v/>
      </c>
      <c r="X927" s="75" t="n"/>
      <c r="Y927" s="77" t="n"/>
      <c r="Z927" s="77" t="n"/>
      <c r="AA927" s="75" t="n"/>
      <c r="AB927" s="75" t="n"/>
      <c r="AC927" s="6" t="n"/>
      <c r="AD927" s="75" t="n"/>
      <c r="AE927" s="75" t="n"/>
      <c r="AF927" s="75" t="n"/>
    </row>
    <row r="928" ht="15.75" customHeight="1" s="133">
      <c r="A928" s="75" t="n"/>
      <c r="B928" s="75" t="n"/>
      <c r="C928" s="75" t="n"/>
      <c r="D928" s="75" t="n"/>
      <c r="E928" s="76" t="n"/>
      <c r="F928" s="77" t="n"/>
      <c r="G928" s="75" t="n"/>
      <c r="H928" s="75">
        <f>IF(ISBLANK(E928),"",IF(OR(D928="Butterfly",D928="Butterfly ",D928="Iron Fly", D928="Iron Fly "),LEN(E928)-LEN(SUBSTITUTE(E928,"/",""))+2,LEN(E928)-LEN(SUBSTITUTE(E928,"/",""))+1))</f>
        <v/>
      </c>
      <c r="I928" s="78">
        <f>IF(ISBLANK(G928),"",IF(D928="Stock","0",Key!$A$3*H928*G928))</f>
        <v/>
      </c>
      <c r="J928" s="78">
        <f>IF(ISBLANK(E928),"",IF(ISNUMBER(SEARCH("/",E928)), IF(LEN(E928)-LEN(SUBSTITUTE(E928,"/",""))=1,(RIGHT(E928,LEN(E928)-FIND("/",E928)))-(LEFT(E928,FIND("/",E928)-1)),(MID(E928, SEARCH("/",E928) + 1, SEARCH("/",E928, SEARCH("/",E928)+1) - SEARCH("/",E928) - 1))-(LEFT(E928,FIND("/",E928)-1))), "NA"))</f>
        <v/>
      </c>
      <c r="K928" s="79">
        <f>IF(A928&lt;&gt;"", IF(ISBLANK(L928), TODAY(), K928), "")</f>
        <v/>
      </c>
      <c r="L928" s="78" t="n"/>
      <c r="M928" s="78">
        <f>IF(ISBLANK(L928),"",IF(D928="Stock",IF(C928="Buy",L928*G928,IF(C928="Sell",(L928*G928)-I928, X)),IF(C928="Buy",(L928*G928*100)+I928,IF(C928="Sell",(L928*G928*100)-I928, X))))</f>
        <v/>
      </c>
      <c r="N928" s="78">
        <f>IF(ISBLANK(L928),"",IF(AND(C928="Sell",D928="Stock"),M928,IF(ISBLANK(L928),"",IF(C928="Buy",M928, IF(AND(C928="Sell",J928="NA"),(E928*G928*100*0.1)+I928, IF(C928="Sell",(J928-L928)*(100*G928)+I928))))))</f>
        <v/>
      </c>
      <c r="O928" s="75" t="n"/>
      <c r="P928" s="75" t="n"/>
      <c r="Q928" s="75">
        <f>IF(ISBLANK(P928),"",IF(D928="Stock",P928*G928,IF(P928=0,"0",G928*P928*100-(G928*$AF$14))))</f>
        <v/>
      </c>
      <c r="R928" s="79">
        <f>IF(P928&lt;&gt;"", TODAY(), "")</f>
        <v/>
      </c>
      <c r="S928" s="78">
        <f>IF(AND(K928&lt;&gt;"", R928&lt;&gt;""), R928-K928, "")</f>
        <v/>
      </c>
      <c r="T928" s="78" t="n"/>
      <c r="U928" s="92">
        <f>IF(ISBLANK(P928),"",IF(C928="Buy",Q928-M928+T928, IF(C928="Sell",M928-Q928-T928, X)))</f>
        <v/>
      </c>
      <c r="V928" s="81">
        <f>IF(ISBLANK(P928),"",U928/N928)</f>
        <v/>
      </c>
      <c r="W928" s="81">
        <f>IF(ISBLANK(P928),"",IF(S928=0,(365/0.5)*V928,(365/S928)*V928))</f>
        <v/>
      </c>
      <c r="X928" s="75" t="n"/>
      <c r="Y928" s="77" t="n"/>
      <c r="Z928" s="77" t="n"/>
      <c r="AA928" s="75" t="n"/>
      <c r="AB928" s="75" t="n"/>
      <c r="AC928" s="6" t="n"/>
      <c r="AD928" s="75" t="n"/>
      <c r="AE928" s="75" t="n"/>
      <c r="AF928" s="75" t="n"/>
    </row>
    <row r="929" ht="15.75" customHeight="1" s="133">
      <c r="A929" s="75" t="n"/>
      <c r="B929" s="75" t="n"/>
      <c r="C929" s="75" t="n"/>
      <c r="D929" s="75" t="n"/>
      <c r="E929" s="76" t="n"/>
      <c r="F929" s="77" t="n"/>
      <c r="G929" s="75" t="n"/>
      <c r="H929" s="75">
        <f>IF(ISBLANK(E929),"",IF(OR(D929="Butterfly",D929="Butterfly ",D929="Iron Fly", D929="Iron Fly "),LEN(E929)-LEN(SUBSTITUTE(E929,"/",""))+2,LEN(E929)-LEN(SUBSTITUTE(E929,"/",""))+1))</f>
        <v/>
      </c>
      <c r="I929" s="78">
        <f>IF(ISBLANK(G929),"",IF(D929="Stock","0",Key!$A$3*H929*G929))</f>
        <v/>
      </c>
      <c r="J929" s="78">
        <f>IF(ISBLANK(E929),"",IF(ISNUMBER(SEARCH("/",E929)), IF(LEN(E929)-LEN(SUBSTITUTE(E929,"/",""))=1,(RIGHT(E929,LEN(E929)-FIND("/",E929)))-(LEFT(E929,FIND("/",E929)-1)),(MID(E929, SEARCH("/",E929) + 1, SEARCH("/",E929, SEARCH("/",E929)+1) - SEARCH("/",E929) - 1))-(LEFT(E929,FIND("/",E929)-1))), "NA"))</f>
        <v/>
      </c>
      <c r="K929" s="79">
        <f>IF(A929&lt;&gt;"", IF(ISBLANK(L929), TODAY(), K929), "")</f>
        <v/>
      </c>
      <c r="L929" s="78" t="n"/>
      <c r="M929" s="78">
        <f>IF(ISBLANK(L929),"",IF(D929="Stock",IF(C929="Buy",L929*G929,IF(C929="Sell",(L929*G929)-I929, X)),IF(C929="Buy",(L929*G929*100)+I929,IF(C929="Sell",(L929*G929*100)-I929, X))))</f>
        <v/>
      </c>
      <c r="N929" s="78">
        <f>IF(ISBLANK(L929),"",IF(AND(C929="Sell",D929="Stock"),M929,IF(ISBLANK(L929),"",IF(C929="Buy",M929, IF(AND(C929="Sell",J929="NA"),(E929*G929*100*0.1)+I929, IF(C929="Sell",(J929-L929)*(100*G929)+I929))))))</f>
        <v/>
      </c>
      <c r="O929" s="75" t="n"/>
      <c r="P929" s="75" t="n"/>
      <c r="Q929" s="75">
        <f>IF(ISBLANK(P929),"",IF(D929="Stock",P929*G929,IF(P929=0,"0",G929*P929*100-(G929*$AF$14))))</f>
        <v/>
      </c>
      <c r="R929" s="79">
        <f>IF(P929&lt;&gt;"", TODAY(), "")</f>
        <v/>
      </c>
      <c r="S929" s="78">
        <f>IF(AND(K929&lt;&gt;"", R929&lt;&gt;""), R929-K929, "")</f>
        <v/>
      </c>
      <c r="T929" s="78" t="n"/>
      <c r="U929" s="92">
        <f>IF(ISBLANK(P929),"",IF(C929="Buy",Q929-M929+T929, IF(C929="Sell",M929-Q929-T929, X)))</f>
        <v/>
      </c>
      <c r="V929" s="81">
        <f>IF(ISBLANK(P929),"",U929/N929)</f>
        <v/>
      </c>
      <c r="W929" s="81">
        <f>IF(ISBLANK(P929),"",IF(S929=0,(365/0.5)*V929,(365/S929)*V929))</f>
        <v/>
      </c>
      <c r="X929" s="75" t="n"/>
      <c r="Y929" s="77" t="n"/>
      <c r="Z929" s="77" t="n"/>
      <c r="AA929" s="75" t="n"/>
      <c r="AB929" s="75" t="n"/>
      <c r="AC929" s="6" t="n"/>
      <c r="AD929" s="75" t="n"/>
      <c r="AE929" s="75" t="n"/>
      <c r="AF929" s="75" t="n"/>
    </row>
    <row r="930" ht="15.75" customHeight="1" s="133">
      <c r="A930" s="75" t="n"/>
      <c r="B930" s="75" t="n"/>
      <c r="C930" s="75" t="n"/>
      <c r="D930" s="75" t="n"/>
      <c r="E930" s="76" t="n"/>
      <c r="F930" s="77" t="n"/>
      <c r="G930" s="75" t="n"/>
      <c r="H930" s="75">
        <f>IF(ISBLANK(E930),"",IF(OR(D930="Butterfly",D930="Butterfly ",D930="Iron Fly", D930="Iron Fly "),LEN(E930)-LEN(SUBSTITUTE(E930,"/",""))+2,LEN(E930)-LEN(SUBSTITUTE(E930,"/",""))+1))</f>
        <v/>
      </c>
      <c r="I930" s="78">
        <f>IF(ISBLANK(G930),"",IF(D930="Stock","0",Key!$A$3*H930*G930))</f>
        <v/>
      </c>
      <c r="J930" s="78">
        <f>IF(ISBLANK(E930),"",IF(ISNUMBER(SEARCH("/",E930)), IF(LEN(E930)-LEN(SUBSTITUTE(E930,"/",""))=1,(RIGHT(E930,LEN(E930)-FIND("/",E930)))-(LEFT(E930,FIND("/",E930)-1)),(MID(E930, SEARCH("/",E930) + 1, SEARCH("/",E930, SEARCH("/",E930)+1) - SEARCH("/",E930) - 1))-(LEFT(E930,FIND("/",E930)-1))), "NA"))</f>
        <v/>
      </c>
      <c r="K930" s="79">
        <f>IF(A930&lt;&gt;"", IF(ISBLANK(L930), TODAY(), K930), "")</f>
        <v/>
      </c>
      <c r="L930" s="78" t="n"/>
      <c r="M930" s="78">
        <f>IF(ISBLANK(L930),"",IF(D930="Stock",IF(C930="Buy",L930*G930,IF(C930="Sell",(L930*G930)-I930, X)),IF(C930="Buy",(L930*G930*100)+I930,IF(C930="Sell",(L930*G930*100)-I930, X))))</f>
        <v/>
      </c>
      <c r="N930" s="78">
        <f>IF(ISBLANK(L930),"",IF(AND(C930="Sell",D930="Stock"),M930,IF(ISBLANK(L930),"",IF(C930="Buy",M930, IF(AND(C930="Sell",J930="NA"),(E930*G930*100*0.1)+I930, IF(C930="Sell",(J930-L930)*(100*G930)+I930))))))</f>
        <v/>
      </c>
      <c r="O930" s="75" t="n"/>
      <c r="P930" s="75" t="n"/>
      <c r="Q930" s="75">
        <f>IF(ISBLANK(P930),"",IF(D930="Stock",P930*G930,IF(P930=0,"0",G930*P930*100-(G930*$AF$14))))</f>
        <v/>
      </c>
      <c r="R930" s="79">
        <f>IF(P930&lt;&gt;"", TODAY(), "")</f>
        <v/>
      </c>
      <c r="S930" s="78">
        <f>IF(AND(K930&lt;&gt;"", R930&lt;&gt;""), R930-K930, "")</f>
        <v/>
      </c>
      <c r="T930" s="78" t="n"/>
      <c r="U930" s="92">
        <f>IF(ISBLANK(P930),"",IF(C930="Buy",Q930-M930+T930, IF(C930="Sell",M930-Q930-T930, X)))</f>
        <v/>
      </c>
      <c r="V930" s="81">
        <f>IF(ISBLANK(P930),"",U930/N930)</f>
        <v/>
      </c>
      <c r="W930" s="81">
        <f>IF(ISBLANK(P930),"",IF(S930=0,(365/0.5)*V930,(365/S930)*V930))</f>
        <v/>
      </c>
      <c r="X930" s="75" t="n"/>
      <c r="Y930" s="77" t="n"/>
      <c r="Z930" s="77" t="n"/>
      <c r="AA930" s="75" t="n"/>
      <c r="AB930" s="75" t="n"/>
      <c r="AC930" s="6" t="n"/>
      <c r="AD930" s="75" t="n"/>
      <c r="AE930" s="75" t="n"/>
      <c r="AF930" s="75" t="n"/>
    </row>
    <row r="931" ht="15.75" customHeight="1" s="133">
      <c r="A931" s="75" t="n"/>
      <c r="B931" s="75" t="n"/>
      <c r="C931" s="75" t="n"/>
      <c r="D931" s="75" t="n"/>
      <c r="E931" s="76" t="n"/>
      <c r="F931" s="77" t="n"/>
      <c r="G931" s="75" t="n"/>
      <c r="H931" s="75">
        <f>IF(ISBLANK(E931),"",IF(OR(D931="Butterfly",D931="Butterfly ",D931="Iron Fly", D931="Iron Fly "),LEN(E931)-LEN(SUBSTITUTE(E931,"/",""))+2,LEN(E931)-LEN(SUBSTITUTE(E931,"/",""))+1))</f>
        <v/>
      </c>
      <c r="I931" s="78">
        <f>IF(ISBLANK(G931),"",IF(D931="Stock","0",Key!$A$3*H931*G931))</f>
        <v/>
      </c>
      <c r="J931" s="78">
        <f>IF(ISBLANK(E931),"",IF(ISNUMBER(SEARCH("/",E931)), IF(LEN(E931)-LEN(SUBSTITUTE(E931,"/",""))=1,(RIGHT(E931,LEN(E931)-FIND("/",E931)))-(LEFT(E931,FIND("/",E931)-1)),(MID(E931, SEARCH("/",E931) + 1, SEARCH("/",E931, SEARCH("/",E931)+1) - SEARCH("/",E931) - 1))-(LEFT(E931,FIND("/",E931)-1))), "NA"))</f>
        <v/>
      </c>
      <c r="K931" s="79">
        <f>IF(A931&lt;&gt;"", IF(ISBLANK(L931), TODAY(), K931), "")</f>
        <v/>
      </c>
      <c r="L931" s="78" t="n"/>
      <c r="M931" s="78">
        <f>IF(ISBLANK(L931),"",IF(D931="Stock",IF(C931="Buy",L931*G931,IF(C931="Sell",(L931*G931)-I931, X)),IF(C931="Buy",(L931*G931*100)+I931,IF(C931="Sell",(L931*G931*100)-I931, X))))</f>
        <v/>
      </c>
      <c r="N931" s="78">
        <f>IF(ISBLANK(L931),"",IF(AND(C931="Sell",D931="Stock"),M931,IF(ISBLANK(L931),"",IF(C931="Buy",M931, IF(AND(C931="Sell",J931="NA"),(E931*G931*100*0.1)+I931, IF(C931="Sell",(J931-L931)*(100*G931)+I931))))))</f>
        <v/>
      </c>
      <c r="O931" s="75" t="n"/>
      <c r="P931" s="75" t="n"/>
      <c r="Q931" s="75">
        <f>IF(ISBLANK(P931),"",IF(D931="Stock",P931*G931,IF(P931=0,"0",G931*P931*100-(G931*$AF$14))))</f>
        <v/>
      </c>
      <c r="R931" s="79">
        <f>IF(P931&lt;&gt;"", TODAY(), "")</f>
        <v/>
      </c>
      <c r="S931" s="78">
        <f>IF(AND(K931&lt;&gt;"", R931&lt;&gt;""), R931-K931, "")</f>
        <v/>
      </c>
      <c r="T931" s="78" t="n"/>
      <c r="U931" s="92">
        <f>IF(ISBLANK(P931),"",IF(C931="Buy",Q931-M931+T931, IF(C931="Sell",M931-Q931-T931, X)))</f>
        <v/>
      </c>
      <c r="V931" s="81">
        <f>IF(ISBLANK(P931),"",U931/N931)</f>
        <v/>
      </c>
      <c r="W931" s="81">
        <f>IF(ISBLANK(P931),"",IF(S931=0,(365/0.5)*V931,(365/S931)*V931))</f>
        <v/>
      </c>
      <c r="X931" s="75" t="n"/>
      <c r="Y931" s="77" t="n"/>
      <c r="Z931" s="77" t="n"/>
      <c r="AA931" s="75" t="n"/>
      <c r="AB931" s="75" t="n"/>
      <c r="AC931" s="6" t="n"/>
      <c r="AD931" s="75" t="n"/>
      <c r="AE931" s="75" t="n"/>
      <c r="AF931" s="75" t="n"/>
    </row>
    <row r="932" ht="15.75" customHeight="1" s="133">
      <c r="A932" s="75" t="n"/>
      <c r="B932" s="75" t="n"/>
      <c r="C932" s="75" t="n"/>
      <c r="D932" s="75" t="n"/>
      <c r="E932" s="76" t="n"/>
      <c r="F932" s="77" t="n"/>
      <c r="G932" s="75" t="n"/>
      <c r="H932" s="75">
        <f>IF(ISBLANK(E932),"",IF(OR(D932="Butterfly",D932="Butterfly ",D932="Iron Fly", D932="Iron Fly "),LEN(E932)-LEN(SUBSTITUTE(E932,"/",""))+2,LEN(E932)-LEN(SUBSTITUTE(E932,"/",""))+1))</f>
        <v/>
      </c>
      <c r="I932" s="78">
        <f>IF(ISBLANK(G932),"",IF(D932="Stock","0",Key!$A$3*H932*G932))</f>
        <v/>
      </c>
      <c r="J932" s="78">
        <f>IF(ISBLANK(E932),"",IF(ISNUMBER(SEARCH("/",E932)), IF(LEN(E932)-LEN(SUBSTITUTE(E932,"/",""))=1,(RIGHT(E932,LEN(E932)-FIND("/",E932)))-(LEFT(E932,FIND("/",E932)-1)),(MID(E932, SEARCH("/",E932) + 1, SEARCH("/",E932, SEARCH("/",E932)+1) - SEARCH("/",E932) - 1))-(LEFT(E932,FIND("/",E932)-1))), "NA"))</f>
        <v/>
      </c>
      <c r="K932" s="79">
        <f>IF(A932&lt;&gt;"", IF(ISBLANK(L932), TODAY(), K932), "")</f>
        <v/>
      </c>
      <c r="L932" s="78" t="n"/>
      <c r="M932" s="78">
        <f>IF(ISBLANK(L932),"",IF(D932="Stock",IF(C932="Buy",L932*G932,IF(C932="Sell",(L932*G932)-I932, X)),IF(C932="Buy",(L932*G932*100)+I932,IF(C932="Sell",(L932*G932*100)-I932, X))))</f>
        <v/>
      </c>
      <c r="N932" s="78">
        <f>IF(ISBLANK(L932),"",IF(AND(C932="Sell",D932="Stock"),M932,IF(ISBLANK(L932),"",IF(C932="Buy",M932, IF(AND(C932="Sell",J932="NA"),(E932*G932*100*0.1)+I932, IF(C932="Sell",(J932-L932)*(100*G932)+I932))))))</f>
        <v/>
      </c>
      <c r="O932" s="75" t="n"/>
      <c r="P932" s="75" t="n"/>
      <c r="Q932" s="75">
        <f>IF(ISBLANK(P932),"",IF(D932="Stock",P932*G932,IF(P932=0,"0",G932*P932*100-(G932*$AF$14))))</f>
        <v/>
      </c>
      <c r="R932" s="79">
        <f>IF(P932&lt;&gt;"", TODAY(), "")</f>
        <v/>
      </c>
      <c r="S932" s="78">
        <f>IF(AND(K932&lt;&gt;"", R932&lt;&gt;""), R932-K932, "")</f>
        <v/>
      </c>
      <c r="T932" s="78" t="n"/>
      <c r="U932" s="92">
        <f>IF(ISBLANK(P932),"",IF(C932="Buy",Q932-M932+T932, IF(C932="Sell",M932-Q932-T932, X)))</f>
        <v/>
      </c>
      <c r="V932" s="81">
        <f>IF(ISBLANK(P932),"",U932/N932)</f>
        <v/>
      </c>
      <c r="W932" s="81">
        <f>IF(ISBLANK(P932),"",IF(S932=0,(365/0.5)*V932,(365/S932)*V932))</f>
        <v/>
      </c>
      <c r="X932" s="75" t="n"/>
      <c r="Y932" s="77" t="n"/>
      <c r="Z932" s="77" t="n"/>
      <c r="AA932" s="75" t="n"/>
      <c r="AB932" s="75" t="n"/>
      <c r="AC932" s="6" t="n"/>
      <c r="AD932" s="75" t="n"/>
      <c r="AE932" s="75" t="n"/>
      <c r="AF932" s="75" t="n"/>
    </row>
    <row r="933" ht="15.75" customHeight="1" s="133">
      <c r="A933" s="75" t="n"/>
      <c r="B933" s="75" t="n"/>
      <c r="C933" s="75" t="n"/>
      <c r="D933" s="75" t="n"/>
      <c r="E933" s="76" t="n"/>
      <c r="F933" s="77" t="n"/>
      <c r="G933" s="75" t="n"/>
      <c r="H933" s="75">
        <f>IF(ISBLANK(E933),"",IF(OR(D933="Butterfly",D933="Butterfly ",D933="Iron Fly", D933="Iron Fly "),LEN(E933)-LEN(SUBSTITUTE(E933,"/",""))+2,LEN(E933)-LEN(SUBSTITUTE(E933,"/",""))+1))</f>
        <v/>
      </c>
      <c r="I933" s="78">
        <f>IF(ISBLANK(G933),"",IF(D933="Stock","0",Key!$A$3*H933*G933))</f>
        <v/>
      </c>
      <c r="J933" s="78">
        <f>IF(ISBLANK(E933),"",IF(ISNUMBER(SEARCH("/",E933)), IF(LEN(E933)-LEN(SUBSTITUTE(E933,"/",""))=1,(RIGHT(E933,LEN(E933)-FIND("/",E933)))-(LEFT(E933,FIND("/",E933)-1)),(MID(E933, SEARCH("/",E933) + 1, SEARCH("/",E933, SEARCH("/",E933)+1) - SEARCH("/",E933) - 1))-(LEFT(E933,FIND("/",E933)-1))), "NA"))</f>
        <v/>
      </c>
      <c r="K933" s="79">
        <f>IF(A933&lt;&gt;"", IF(ISBLANK(L933), TODAY(), K933), "")</f>
        <v/>
      </c>
      <c r="L933" s="78" t="n"/>
      <c r="M933" s="78">
        <f>IF(ISBLANK(L933),"",IF(D933="Stock",IF(C933="Buy",L933*G933,IF(C933="Sell",(L933*G933)-I933, X)),IF(C933="Buy",(L933*G933*100)+I933,IF(C933="Sell",(L933*G933*100)-I933, X))))</f>
        <v/>
      </c>
      <c r="N933" s="78">
        <f>IF(ISBLANK(L933),"",IF(AND(C933="Sell",D933="Stock"),M933,IF(ISBLANK(L933),"",IF(C933="Buy",M933, IF(AND(C933="Sell",J933="NA"),(E933*G933*100*0.1)+I933, IF(C933="Sell",(J933-L933)*(100*G933)+I933))))))</f>
        <v/>
      </c>
      <c r="O933" s="75" t="n"/>
      <c r="P933" s="75" t="n"/>
      <c r="Q933" s="75">
        <f>IF(ISBLANK(P933),"",IF(D933="Stock",P933*G933,IF(P933=0,"0",G933*P933*100-(G933*$AF$14))))</f>
        <v/>
      </c>
      <c r="R933" s="79">
        <f>IF(P933&lt;&gt;"", TODAY(), "")</f>
        <v/>
      </c>
      <c r="S933" s="78">
        <f>IF(AND(K933&lt;&gt;"", R933&lt;&gt;""), R933-K933, "")</f>
        <v/>
      </c>
      <c r="T933" s="78" t="n"/>
      <c r="U933" s="92">
        <f>IF(ISBLANK(P933),"",IF(C933="Buy",Q933-M933+T933, IF(C933="Sell",M933-Q933-T933, X)))</f>
        <v/>
      </c>
      <c r="V933" s="81">
        <f>IF(ISBLANK(P933),"",U933/N933)</f>
        <v/>
      </c>
      <c r="W933" s="81">
        <f>IF(ISBLANK(P933),"",IF(S933=0,(365/0.5)*V933,(365/S933)*V933))</f>
        <v/>
      </c>
      <c r="X933" s="75" t="n"/>
      <c r="Y933" s="77" t="n"/>
      <c r="Z933" s="77" t="n"/>
      <c r="AA933" s="75" t="n"/>
      <c r="AB933" s="75" t="n"/>
      <c r="AC933" s="6" t="n"/>
      <c r="AD933" s="75" t="n"/>
      <c r="AE933" s="75" t="n"/>
      <c r="AF933" s="75" t="n"/>
    </row>
    <row r="934" ht="15.75" customHeight="1" s="133">
      <c r="A934" s="75" t="n"/>
      <c r="B934" s="75" t="n"/>
      <c r="C934" s="75" t="n"/>
      <c r="D934" s="75" t="n"/>
      <c r="E934" s="76" t="n"/>
      <c r="F934" s="77" t="n"/>
      <c r="G934" s="75" t="n"/>
      <c r="H934" s="75">
        <f>IF(ISBLANK(E934),"",IF(OR(D934="Butterfly",D934="Butterfly ",D934="Iron Fly", D934="Iron Fly "),LEN(E934)-LEN(SUBSTITUTE(E934,"/",""))+2,LEN(E934)-LEN(SUBSTITUTE(E934,"/",""))+1))</f>
        <v/>
      </c>
      <c r="I934" s="78">
        <f>IF(ISBLANK(G934),"",IF(D934="Stock","0",Key!$A$3*H934*G934))</f>
        <v/>
      </c>
      <c r="J934" s="78">
        <f>IF(ISBLANK(E934),"",IF(ISNUMBER(SEARCH("/",E934)), IF(LEN(E934)-LEN(SUBSTITUTE(E934,"/",""))=1,(RIGHT(E934,LEN(E934)-FIND("/",E934)))-(LEFT(E934,FIND("/",E934)-1)),(MID(E934, SEARCH("/",E934) + 1, SEARCH("/",E934, SEARCH("/",E934)+1) - SEARCH("/",E934) - 1))-(LEFT(E934,FIND("/",E934)-1))), "NA"))</f>
        <v/>
      </c>
      <c r="K934" s="79">
        <f>IF(A934&lt;&gt;"", IF(ISBLANK(L934), TODAY(), K934), "")</f>
        <v/>
      </c>
      <c r="L934" s="78" t="n"/>
      <c r="M934" s="78">
        <f>IF(ISBLANK(L934),"",IF(D934="Stock",IF(C934="Buy",L934*G934,IF(C934="Sell",(L934*G934)-I934, X)),IF(C934="Buy",(L934*G934*100)+I934,IF(C934="Sell",(L934*G934*100)-I934, X))))</f>
        <v/>
      </c>
      <c r="N934" s="78">
        <f>IF(ISBLANK(L934),"",IF(AND(C934="Sell",D934="Stock"),M934,IF(ISBLANK(L934),"",IF(C934="Buy",M934, IF(AND(C934="Sell",J934="NA"),(E934*G934*100*0.1)+I934, IF(C934="Sell",(J934-L934)*(100*G934)+I934))))))</f>
        <v/>
      </c>
      <c r="O934" s="75" t="n"/>
      <c r="P934" s="75" t="n"/>
      <c r="Q934" s="75">
        <f>IF(ISBLANK(P934),"",IF(D934="Stock",P934*G934,IF(P934=0,"0",G934*P934*100-(G934*$AF$14))))</f>
        <v/>
      </c>
      <c r="R934" s="79">
        <f>IF(P934&lt;&gt;"", TODAY(), "")</f>
        <v/>
      </c>
      <c r="S934" s="78">
        <f>IF(AND(K934&lt;&gt;"", R934&lt;&gt;""), R934-K934, "")</f>
        <v/>
      </c>
      <c r="T934" s="78" t="n"/>
      <c r="U934" s="92">
        <f>IF(ISBLANK(P934),"",IF(C934="Buy",Q934-M934+T934, IF(C934="Sell",M934-Q934-T934, X)))</f>
        <v/>
      </c>
      <c r="V934" s="81">
        <f>IF(ISBLANK(P934),"",U934/N934)</f>
        <v/>
      </c>
      <c r="W934" s="81">
        <f>IF(ISBLANK(P934),"",IF(S934=0,(365/0.5)*V934,(365/S934)*V934))</f>
        <v/>
      </c>
      <c r="X934" s="75" t="n"/>
      <c r="Y934" s="77" t="n"/>
      <c r="Z934" s="77" t="n"/>
      <c r="AA934" s="75" t="n"/>
      <c r="AB934" s="75" t="n"/>
      <c r="AC934" s="6" t="n"/>
      <c r="AD934" s="75" t="n"/>
      <c r="AE934" s="75" t="n"/>
      <c r="AF934" s="75" t="n"/>
    </row>
    <row r="935" ht="15.75" customHeight="1" s="133">
      <c r="A935" s="75" t="n"/>
      <c r="B935" s="75" t="n"/>
      <c r="C935" s="75" t="n"/>
      <c r="D935" s="75" t="n"/>
      <c r="E935" s="76" t="n"/>
      <c r="F935" s="77" t="n"/>
      <c r="G935" s="75" t="n"/>
      <c r="H935" s="75">
        <f>IF(ISBLANK(E935),"",IF(OR(D935="Butterfly",D935="Butterfly ",D935="Iron Fly", D935="Iron Fly "),LEN(E935)-LEN(SUBSTITUTE(E935,"/",""))+2,LEN(E935)-LEN(SUBSTITUTE(E935,"/",""))+1))</f>
        <v/>
      </c>
      <c r="I935" s="78">
        <f>IF(ISBLANK(G935),"",IF(D935="Stock","0",Key!$A$3*H935*G935))</f>
        <v/>
      </c>
      <c r="J935" s="78">
        <f>IF(ISBLANK(E935),"",IF(ISNUMBER(SEARCH("/",E935)), IF(LEN(E935)-LEN(SUBSTITUTE(E935,"/",""))=1,(RIGHT(E935,LEN(E935)-FIND("/",E935)))-(LEFT(E935,FIND("/",E935)-1)),(MID(E935, SEARCH("/",E935) + 1, SEARCH("/",E935, SEARCH("/",E935)+1) - SEARCH("/",E935) - 1))-(LEFT(E935,FIND("/",E935)-1))), "NA"))</f>
        <v/>
      </c>
      <c r="K935" s="79">
        <f>IF(A935&lt;&gt;"", IF(ISBLANK(L935), TODAY(), K935), "")</f>
        <v/>
      </c>
      <c r="L935" s="78" t="n"/>
      <c r="M935" s="78">
        <f>IF(ISBLANK(L935),"",IF(D935="Stock",IF(C935="Buy",L935*G935,IF(C935="Sell",(L935*G935)-I935, X)),IF(C935="Buy",(L935*G935*100)+I935,IF(C935="Sell",(L935*G935*100)-I935, X))))</f>
        <v/>
      </c>
      <c r="N935" s="78">
        <f>IF(ISBLANK(L935),"",IF(AND(C935="Sell",D935="Stock"),M935,IF(ISBLANK(L935),"",IF(C935="Buy",M935, IF(AND(C935="Sell",J935="NA"),(E935*G935*100*0.1)+I935, IF(C935="Sell",(J935-L935)*(100*G935)+I935))))))</f>
        <v/>
      </c>
      <c r="O935" s="75" t="n"/>
      <c r="P935" s="75" t="n"/>
      <c r="Q935" s="75">
        <f>IF(ISBLANK(P935),"",IF(D935="Stock",P935*G935,IF(P935=0,"0",G935*P935*100-(G935*$AF$14))))</f>
        <v/>
      </c>
      <c r="R935" s="79">
        <f>IF(P935&lt;&gt;"", TODAY(), "")</f>
        <v/>
      </c>
      <c r="S935" s="78">
        <f>IF(AND(K935&lt;&gt;"", R935&lt;&gt;""), R935-K935, "")</f>
        <v/>
      </c>
      <c r="T935" s="78" t="n"/>
      <c r="U935" s="92">
        <f>IF(ISBLANK(P935),"",IF(C935="Buy",Q935-M935+T935, IF(C935="Sell",M935-Q935-T935, X)))</f>
        <v/>
      </c>
      <c r="V935" s="81">
        <f>IF(ISBLANK(P935),"",U935/N935)</f>
        <v/>
      </c>
      <c r="W935" s="81">
        <f>IF(ISBLANK(P935),"",IF(S935=0,(365/0.5)*V935,(365/S935)*V935))</f>
        <v/>
      </c>
      <c r="X935" s="75" t="n"/>
      <c r="Y935" s="77" t="n"/>
      <c r="Z935" s="77" t="n"/>
      <c r="AA935" s="75" t="n"/>
      <c r="AB935" s="75" t="n"/>
      <c r="AC935" s="6" t="n"/>
      <c r="AD935" s="75" t="n"/>
      <c r="AE935" s="75" t="n"/>
      <c r="AF935" s="75" t="n"/>
    </row>
    <row r="936" ht="15.75" customHeight="1" s="133">
      <c r="A936" s="75" t="n"/>
      <c r="B936" s="75" t="n"/>
      <c r="C936" s="75" t="n"/>
      <c r="D936" s="75" t="n"/>
      <c r="E936" s="76" t="n"/>
      <c r="F936" s="77" t="n"/>
      <c r="G936" s="75" t="n"/>
      <c r="H936" s="75">
        <f>IF(ISBLANK(E936),"",IF(OR(D936="Butterfly",D936="Butterfly ",D936="Iron Fly", D936="Iron Fly "),LEN(E936)-LEN(SUBSTITUTE(E936,"/",""))+2,LEN(E936)-LEN(SUBSTITUTE(E936,"/",""))+1))</f>
        <v/>
      </c>
      <c r="I936" s="78">
        <f>IF(ISBLANK(G936),"",IF(D936="Stock","0",Key!$A$3*H936*G936))</f>
        <v/>
      </c>
      <c r="J936" s="78">
        <f>IF(ISBLANK(E936),"",IF(ISNUMBER(SEARCH("/",E936)), IF(LEN(E936)-LEN(SUBSTITUTE(E936,"/",""))=1,(RIGHT(E936,LEN(E936)-FIND("/",E936)))-(LEFT(E936,FIND("/",E936)-1)),(MID(E936, SEARCH("/",E936) + 1, SEARCH("/",E936, SEARCH("/",E936)+1) - SEARCH("/",E936) - 1))-(LEFT(E936,FIND("/",E936)-1))), "NA"))</f>
        <v/>
      </c>
      <c r="K936" s="79">
        <f>IF(A936&lt;&gt;"", IF(ISBLANK(L936), TODAY(), K936), "")</f>
        <v/>
      </c>
      <c r="L936" s="78" t="n"/>
      <c r="M936" s="78">
        <f>IF(ISBLANK(L936),"",IF(D936="Stock",IF(C936="Buy",L936*G936,IF(C936="Sell",(L936*G936)-I936, X)),IF(C936="Buy",(L936*G936*100)+I936,IF(C936="Sell",(L936*G936*100)-I936, X))))</f>
        <v/>
      </c>
      <c r="N936" s="78">
        <f>IF(ISBLANK(L936),"",IF(AND(C936="Sell",D936="Stock"),M936,IF(ISBLANK(L936),"",IF(C936="Buy",M936, IF(AND(C936="Sell",J936="NA"),(E936*G936*100*0.1)+I936, IF(C936="Sell",(J936-L936)*(100*G936)+I936))))))</f>
        <v/>
      </c>
      <c r="O936" s="75" t="n"/>
      <c r="P936" s="75" t="n"/>
      <c r="Q936" s="75">
        <f>IF(ISBLANK(P936),"",IF(D936="Stock",P936*G936,IF(P936=0,"0",G936*P936*100-(G936*$AF$14))))</f>
        <v/>
      </c>
      <c r="R936" s="79">
        <f>IF(P936&lt;&gt;"", TODAY(), "")</f>
        <v/>
      </c>
      <c r="S936" s="78">
        <f>IF(AND(K936&lt;&gt;"", R936&lt;&gt;""), R936-K936, "")</f>
        <v/>
      </c>
      <c r="T936" s="78" t="n"/>
      <c r="U936" s="92">
        <f>IF(ISBLANK(P936),"",IF(C936="Buy",Q936-M936+T936, IF(C936="Sell",M936-Q936-T936, X)))</f>
        <v/>
      </c>
      <c r="V936" s="81">
        <f>IF(ISBLANK(P936),"",U936/N936)</f>
        <v/>
      </c>
      <c r="W936" s="81">
        <f>IF(ISBLANK(P936),"",IF(S936=0,(365/0.5)*V936,(365/S936)*V936))</f>
        <v/>
      </c>
      <c r="X936" s="75" t="n"/>
      <c r="Y936" s="77" t="n"/>
      <c r="Z936" s="77" t="n"/>
      <c r="AA936" s="75" t="n"/>
      <c r="AB936" s="75" t="n"/>
      <c r="AC936" s="6" t="n"/>
      <c r="AD936" s="75" t="n"/>
      <c r="AE936" s="75" t="n"/>
      <c r="AF936" s="75" t="n"/>
    </row>
    <row r="937" ht="15.75" customHeight="1" s="133">
      <c r="A937" s="75" t="n"/>
      <c r="B937" s="75" t="n"/>
      <c r="C937" s="75" t="n"/>
      <c r="D937" s="75" t="n"/>
      <c r="E937" s="76" t="n"/>
      <c r="F937" s="77" t="n"/>
      <c r="G937" s="75" t="n"/>
      <c r="H937" s="75">
        <f>IF(ISBLANK(E937),"",IF(OR(D937="Butterfly",D937="Butterfly ",D937="Iron Fly", D937="Iron Fly "),LEN(E937)-LEN(SUBSTITUTE(E937,"/",""))+2,LEN(E937)-LEN(SUBSTITUTE(E937,"/",""))+1))</f>
        <v/>
      </c>
      <c r="I937" s="78">
        <f>IF(ISBLANK(G937),"",IF(D937="Stock","0",Key!$A$3*H937*G937))</f>
        <v/>
      </c>
      <c r="J937" s="78">
        <f>IF(ISBLANK(E937),"",IF(ISNUMBER(SEARCH("/",E937)), IF(LEN(E937)-LEN(SUBSTITUTE(E937,"/",""))=1,(RIGHT(E937,LEN(E937)-FIND("/",E937)))-(LEFT(E937,FIND("/",E937)-1)),(MID(E937, SEARCH("/",E937) + 1, SEARCH("/",E937, SEARCH("/",E937)+1) - SEARCH("/",E937) - 1))-(LEFT(E937,FIND("/",E937)-1))), "NA"))</f>
        <v/>
      </c>
      <c r="K937" s="79">
        <f>IF(A937&lt;&gt;"", IF(ISBLANK(L937), TODAY(), K937), "")</f>
        <v/>
      </c>
      <c r="L937" s="78" t="n"/>
      <c r="M937" s="78">
        <f>IF(ISBLANK(L937),"",IF(D937="Stock",IF(C937="Buy",L937*G937,IF(C937="Sell",(L937*G937)-I937, X)),IF(C937="Buy",(L937*G937*100)+I937,IF(C937="Sell",(L937*G937*100)-I937, X))))</f>
        <v/>
      </c>
      <c r="N937" s="78">
        <f>IF(ISBLANK(L937),"",IF(AND(C937="Sell",D937="Stock"),M937,IF(ISBLANK(L937),"",IF(C937="Buy",M937, IF(AND(C937="Sell",J937="NA"),(E937*G937*100*0.1)+I937, IF(C937="Sell",(J937-L937)*(100*G937)+I937))))))</f>
        <v/>
      </c>
      <c r="O937" s="75" t="n"/>
      <c r="P937" s="75" t="n"/>
      <c r="Q937" s="75">
        <f>IF(ISBLANK(P937),"",IF(D937="Stock",P937*G937,IF(P937=0,"0",G937*P937*100-(G937*$AF$14))))</f>
        <v/>
      </c>
      <c r="R937" s="79">
        <f>IF(P937&lt;&gt;"", TODAY(), "")</f>
        <v/>
      </c>
      <c r="S937" s="78">
        <f>IF(AND(K937&lt;&gt;"", R937&lt;&gt;""), R937-K937, "")</f>
        <v/>
      </c>
      <c r="T937" s="78" t="n"/>
      <c r="U937" s="92">
        <f>IF(ISBLANK(P937),"",IF(C937="Buy",Q937-M937+T937, IF(C937="Sell",M937-Q937-T937, X)))</f>
        <v/>
      </c>
      <c r="V937" s="81">
        <f>IF(ISBLANK(P937),"",U937/N937)</f>
        <v/>
      </c>
      <c r="W937" s="81">
        <f>IF(ISBLANK(P937),"",IF(S937=0,(365/0.5)*V937,(365/S937)*V937))</f>
        <v/>
      </c>
      <c r="X937" s="75" t="n"/>
      <c r="Y937" s="77" t="n"/>
      <c r="Z937" s="77" t="n"/>
      <c r="AA937" s="75" t="n"/>
      <c r="AB937" s="75" t="n"/>
      <c r="AC937" s="6" t="n"/>
      <c r="AD937" s="75" t="n"/>
      <c r="AE937" s="75" t="n"/>
      <c r="AF937" s="75" t="n"/>
    </row>
    <row r="938" ht="15.75" customHeight="1" s="133">
      <c r="A938" s="75" t="n"/>
      <c r="B938" s="75" t="n"/>
      <c r="C938" s="75" t="n"/>
      <c r="D938" s="75" t="n"/>
      <c r="E938" s="76" t="n"/>
      <c r="F938" s="77" t="n"/>
      <c r="G938" s="75" t="n"/>
      <c r="H938" s="75">
        <f>IF(ISBLANK(E938),"",IF(OR(D938="Butterfly",D938="Butterfly ",D938="Iron Fly", D938="Iron Fly "),LEN(E938)-LEN(SUBSTITUTE(E938,"/",""))+2,LEN(E938)-LEN(SUBSTITUTE(E938,"/",""))+1))</f>
        <v/>
      </c>
      <c r="I938" s="78">
        <f>IF(ISBLANK(G938),"",IF(D938="Stock","0",Key!$A$3*H938*G938))</f>
        <v/>
      </c>
      <c r="J938" s="78">
        <f>IF(ISBLANK(E938),"",IF(ISNUMBER(SEARCH("/",E938)), IF(LEN(E938)-LEN(SUBSTITUTE(E938,"/",""))=1,(RIGHT(E938,LEN(E938)-FIND("/",E938)))-(LEFT(E938,FIND("/",E938)-1)),(MID(E938, SEARCH("/",E938) + 1, SEARCH("/",E938, SEARCH("/",E938)+1) - SEARCH("/",E938) - 1))-(LEFT(E938,FIND("/",E938)-1))), "NA"))</f>
        <v/>
      </c>
      <c r="K938" s="79">
        <f>IF(A938&lt;&gt;"", IF(ISBLANK(L938), TODAY(), K938), "")</f>
        <v/>
      </c>
      <c r="L938" s="78" t="n"/>
      <c r="M938" s="78">
        <f>IF(ISBLANK(L938),"",IF(D938="Stock",IF(C938="Buy",L938*G938,IF(C938="Sell",(L938*G938)-I938, X)),IF(C938="Buy",(L938*G938*100)+I938,IF(C938="Sell",(L938*G938*100)-I938, X))))</f>
        <v/>
      </c>
      <c r="N938" s="78">
        <f>IF(ISBLANK(L938),"",IF(AND(C938="Sell",D938="Stock"),M938,IF(ISBLANK(L938),"",IF(C938="Buy",M938, IF(AND(C938="Sell",J938="NA"),(E938*G938*100*0.1)+I938, IF(C938="Sell",(J938-L938)*(100*G938)+I938))))))</f>
        <v/>
      </c>
      <c r="O938" s="75" t="n"/>
      <c r="P938" s="75" t="n"/>
      <c r="Q938" s="75">
        <f>IF(ISBLANK(P938),"",IF(D938="Stock",P938*G938,IF(P938=0,"0",G938*P938*100-(G938*$AF$14))))</f>
        <v/>
      </c>
      <c r="R938" s="79">
        <f>IF(P938&lt;&gt;"", TODAY(), "")</f>
        <v/>
      </c>
      <c r="S938" s="78">
        <f>IF(AND(K938&lt;&gt;"", R938&lt;&gt;""), R938-K938, "")</f>
        <v/>
      </c>
      <c r="T938" s="78" t="n"/>
      <c r="U938" s="92">
        <f>IF(ISBLANK(P938),"",IF(C938="Buy",Q938-M938+T938, IF(C938="Sell",M938-Q938-T938, X)))</f>
        <v/>
      </c>
      <c r="V938" s="81">
        <f>IF(ISBLANK(P938),"",U938/N938)</f>
        <v/>
      </c>
      <c r="W938" s="81">
        <f>IF(ISBLANK(P938),"",IF(S938=0,(365/0.5)*V938,(365/S938)*V938))</f>
        <v/>
      </c>
      <c r="X938" s="75" t="n"/>
      <c r="Y938" s="77" t="n"/>
      <c r="Z938" s="77" t="n"/>
      <c r="AA938" s="75" t="n"/>
      <c r="AB938" s="75" t="n"/>
      <c r="AC938" s="6" t="n"/>
      <c r="AD938" s="75" t="n"/>
      <c r="AE938" s="75" t="n"/>
      <c r="AF938" s="75" t="n"/>
    </row>
    <row r="939" ht="15.75" customHeight="1" s="133">
      <c r="A939" s="75" t="n"/>
      <c r="B939" s="75" t="n"/>
      <c r="C939" s="75" t="n"/>
      <c r="D939" s="75" t="n"/>
      <c r="E939" s="76" t="n"/>
      <c r="F939" s="77" t="n"/>
      <c r="G939" s="75" t="n"/>
      <c r="H939" s="75">
        <f>IF(ISBLANK(E939),"",IF(OR(D939="Butterfly",D939="Butterfly ",D939="Iron Fly", D939="Iron Fly "),LEN(E939)-LEN(SUBSTITUTE(E939,"/",""))+2,LEN(E939)-LEN(SUBSTITUTE(E939,"/",""))+1))</f>
        <v/>
      </c>
      <c r="I939" s="78">
        <f>IF(ISBLANK(G939),"",IF(D939="Stock","0",Key!$A$3*H939*G939))</f>
        <v/>
      </c>
      <c r="J939" s="78">
        <f>IF(ISBLANK(E939),"",IF(ISNUMBER(SEARCH("/",E939)), IF(LEN(E939)-LEN(SUBSTITUTE(E939,"/",""))=1,(RIGHT(E939,LEN(E939)-FIND("/",E939)))-(LEFT(E939,FIND("/",E939)-1)),(MID(E939, SEARCH("/",E939) + 1, SEARCH("/",E939, SEARCH("/",E939)+1) - SEARCH("/",E939) - 1))-(LEFT(E939,FIND("/",E939)-1))), "NA"))</f>
        <v/>
      </c>
      <c r="K939" s="79">
        <f>IF(A939&lt;&gt;"", IF(ISBLANK(L939), TODAY(), K939), "")</f>
        <v/>
      </c>
      <c r="L939" s="78" t="n"/>
      <c r="M939" s="78">
        <f>IF(ISBLANK(L939),"",IF(D939="Stock",IF(C939="Buy",L939*G939,IF(C939="Sell",(L939*G939)-I939, X)),IF(C939="Buy",(L939*G939*100)+I939,IF(C939="Sell",(L939*G939*100)-I939, X))))</f>
        <v/>
      </c>
      <c r="N939" s="78">
        <f>IF(ISBLANK(L939),"",IF(AND(C939="Sell",D939="Stock"),M939,IF(ISBLANK(L939),"",IF(C939="Buy",M939, IF(AND(C939="Sell",J939="NA"),(E939*G939*100*0.1)+I939, IF(C939="Sell",(J939-L939)*(100*G939)+I939))))))</f>
        <v/>
      </c>
      <c r="O939" s="75" t="n"/>
      <c r="P939" s="75" t="n"/>
      <c r="Q939" s="75">
        <f>IF(ISBLANK(P939),"",IF(D939="Stock",P939*G939,IF(P939=0,"0",G939*P939*100-(G939*$AF$14))))</f>
        <v/>
      </c>
      <c r="R939" s="79">
        <f>IF(P939&lt;&gt;"", TODAY(), "")</f>
        <v/>
      </c>
      <c r="S939" s="78">
        <f>IF(AND(K939&lt;&gt;"", R939&lt;&gt;""), R939-K939, "")</f>
        <v/>
      </c>
      <c r="T939" s="78" t="n"/>
      <c r="U939" s="92">
        <f>IF(ISBLANK(P939),"",IF(C939="Buy",Q939-M939+T939, IF(C939="Sell",M939-Q939-T939, X)))</f>
        <v/>
      </c>
      <c r="V939" s="81">
        <f>IF(ISBLANK(P939),"",U939/N939)</f>
        <v/>
      </c>
      <c r="W939" s="81">
        <f>IF(ISBLANK(P939),"",IF(S939=0,(365/0.5)*V939,(365/S939)*V939))</f>
        <v/>
      </c>
      <c r="X939" s="75" t="n"/>
      <c r="Y939" s="77" t="n"/>
      <c r="Z939" s="77" t="n"/>
      <c r="AA939" s="75" t="n"/>
      <c r="AB939" s="75" t="n"/>
      <c r="AC939" s="6" t="n"/>
      <c r="AD939" s="75" t="n"/>
      <c r="AE939" s="75" t="n"/>
      <c r="AF939" s="75" t="n"/>
    </row>
    <row r="940" ht="15.75" customHeight="1" s="133">
      <c r="A940" s="75" t="n"/>
      <c r="B940" s="75" t="n"/>
      <c r="C940" s="75" t="n"/>
      <c r="D940" s="75" t="n"/>
      <c r="E940" s="76" t="n"/>
      <c r="F940" s="77" t="n"/>
      <c r="G940" s="75" t="n"/>
      <c r="H940" s="75">
        <f>IF(ISBLANK(E940),"",IF(OR(D940="Butterfly",D940="Butterfly ",D940="Iron Fly", D940="Iron Fly "),LEN(E940)-LEN(SUBSTITUTE(E940,"/",""))+2,LEN(E940)-LEN(SUBSTITUTE(E940,"/",""))+1))</f>
        <v/>
      </c>
      <c r="I940" s="78">
        <f>IF(ISBLANK(G940),"",IF(D940="Stock","0",Key!$A$3*H940*G940))</f>
        <v/>
      </c>
      <c r="J940" s="78">
        <f>IF(ISBLANK(E940),"",IF(ISNUMBER(SEARCH("/",E940)), IF(LEN(E940)-LEN(SUBSTITUTE(E940,"/",""))=1,(RIGHT(E940,LEN(E940)-FIND("/",E940)))-(LEFT(E940,FIND("/",E940)-1)),(MID(E940, SEARCH("/",E940) + 1, SEARCH("/",E940, SEARCH("/",E940)+1) - SEARCH("/",E940) - 1))-(LEFT(E940,FIND("/",E940)-1))), "NA"))</f>
        <v/>
      </c>
      <c r="K940" s="79">
        <f>IF(A940&lt;&gt;"", IF(ISBLANK(L940), TODAY(), K940), "")</f>
        <v/>
      </c>
      <c r="L940" s="78" t="n"/>
      <c r="M940" s="78">
        <f>IF(ISBLANK(L940),"",IF(D940="Stock",IF(C940="Buy",L940*G940,IF(C940="Sell",(L940*G940)-I940, X)),IF(C940="Buy",(L940*G940*100)+I940,IF(C940="Sell",(L940*G940*100)-I940, X))))</f>
        <v/>
      </c>
      <c r="N940" s="78">
        <f>IF(ISBLANK(L940),"",IF(AND(C940="Sell",D940="Stock"),M940,IF(ISBLANK(L940),"",IF(C940="Buy",M940, IF(AND(C940="Sell",J940="NA"),(E940*G940*100*0.1)+I940, IF(C940="Sell",(J940-L940)*(100*G940)+I940))))))</f>
        <v/>
      </c>
      <c r="O940" s="75" t="n"/>
      <c r="P940" s="75" t="n"/>
      <c r="Q940" s="75">
        <f>IF(ISBLANK(P940),"",IF(D940="Stock",P940*G940,IF(P940=0,"0",G940*P940*100-(G940*$AF$14))))</f>
        <v/>
      </c>
      <c r="R940" s="79">
        <f>IF(P940&lt;&gt;"", TODAY(), "")</f>
        <v/>
      </c>
      <c r="S940" s="78">
        <f>IF(AND(K940&lt;&gt;"", R940&lt;&gt;""), R940-K940, "")</f>
        <v/>
      </c>
      <c r="T940" s="78" t="n"/>
      <c r="U940" s="92">
        <f>IF(ISBLANK(P940),"",IF(C940="Buy",Q940-M940+T940, IF(C940="Sell",M940-Q940-T940, X)))</f>
        <v/>
      </c>
      <c r="V940" s="81">
        <f>IF(ISBLANK(P940),"",U940/N940)</f>
        <v/>
      </c>
      <c r="W940" s="81">
        <f>IF(ISBLANK(P940),"",IF(S940=0,(365/0.5)*V940,(365/S940)*V940))</f>
        <v/>
      </c>
      <c r="X940" s="75" t="n"/>
      <c r="Y940" s="77" t="n"/>
      <c r="Z940" s="77" t="n"/>
      <c r="AA940" s="75" t="n"/>
      <c r="AB940" s="75" t="n"/>
      <c r="AC940" s="6" t="n"/>
      <c r="AD940" s="75" t="n"/>
      <c r="AE940" s="75" t="n"/>
      <c r="AF940" s="75" t="n"/>
    </row>
    <row r="941" ht="15.75" customHeight="1" s="133">
      <c r="A941" s="75" t="n"/>
      <c r="B941" s="75" t="n"/>
      <c r="C941" s="75" t="n"/>
      <c r="D941" s="75" t="n"/>
      <c r="E941" s="76" t="n"/>
      <c r="F941" s="77" t="n"/>
      <c r="G941" s="75" t="n"/>
      <c r="H941" s="75">
        <f>IF(ISBLANK(E941),"",IF(OR(D941="Butterfly",D941="Butterfly ",D941="Iron Fly", D941="Iron Fly "),LEN(E941)-LEN(SUBSTITUTE(E941,"/",""))+2,LEN(E941)-LEN(SUBSTITUTE(E941,"/",""))+1))</f>
        <v/>
      </c>
      <c r="I941" s="78">
        <f>IF(ISBLANK(G941),"",IF(D941="Stock","0",Key!$A$3*H941*G941))</f>
        <v/>
      </c>
      <c r="J941" s="78">
        <f>IF(ISBLANK(E941),"",IF(ISNUMBER(SEARCH("/",E941)), IF(LEN(E941)-LEN(SUBSTITUTE(E941,"/",""))=1,(RIGHT(E941,LEN(E941)-FIND("/",E941)))-(LEFT(E941,FIND("/",E941)-1)),(MID(E941, SEARCH("/",E941) + 1, SEARCH("/",E941, SEARCH("/",E941)+1) - SEARCH("/",E941) - 1))-(LEFT(E941,FIND("/",E941)-1))), "NA"))</f>
        <v/>
      </c>
      <c r="K941" s="79">
        <f>IF(A941&lt;&gt;"", IF(ISBLANK(L941), TODAY(), K941), "")</f>
        <v/>
      </c>
      <c r="L941" s="78" t="n"/>
      <c r="M941" s="78">
        <f>IF(ISBLANK(L941),"",IF(D941="Stock",IF(C941="Buy",L941*G941,IF(C941="Sell",(L941*G941)-I941, X)),IF(C941="Buy",(L941*G941*100)+I941,IF(C941="Sell",(L941*G941*100)-I941, X))))</f>
        <v/>
      </c>
      <c r="N941" s="78">
        <f>IF(ISBLANK(L941),"",IF(AND(C941="Sell",D941="Stock"),M941,IF(ISBLANK(L941),"",IF(C941="Buy",M941, IF(AND(C941="Sell",J941="NA"),(E941*G941*100*0.1)+I941, IF(C941="Sell",(J941-L941)*(100*G941)+I941))))))</f>
        <v/>
      </c>
      <c r="O941" s="75" t="n"/>
      <c r="P941" s="75" t="n"/>
      <c r="Q941" s="75">
        <f>IF(ISBLANK(P941),"",IF(D941="Stock",P941*G941,IF(P941=0,"0",G941*P941*100-(G941*$AF$14))))</f>
        <v/>
      </c>
      <c r="R941" s="79">
        <f>IF(P941&lt;&gt;"", TODAY(), "")</f>
        <v/>
      </c>
      <c r="S941" s="78">
        <f>IF(AND(K941&lt;&gt;"", R941&lt;&gt;""), R941-K941, "")</f>
        <v/>
      </c>
      <c r="T941" s="78" t="n"/>
      <c r="U941" s="92">
        <f>IF(ISBLANK(P941),"",IF(C941="Buy",Q941-M941+T941, IF(C941="Sell",M941-Q941-T941, X)))</f>
        <v/>
      </c>
      <c r="V941" s="81">
        <f>IF(ISBLANK(P941),"",U941/N941)</f>
        <v/>
      </c>
      <c r="W941" s="81">
        <f>IF(ISBLANK(P941),"",IF(S941=0,(365/0.5)*V941,(365/S941)*V941))</f>
        <v/>
      </c>
      <c r="X941" s="75" t="n"/>
      <c r="Y941" s="77" t="n"/>
      <c r="Z941" s="77" t="n"/>
      <c r="AA941" s="75" t="n"/>
      <c r="AB941" s="75" t="n"/>
      <c r="AC941" s="6" t="n"/>
      <c r="AD941" s="75" t="n"/>
      <c r="AE941" s="75" t="n"/>
      <c r="AF941" s="75" t="n"/>
    </row>
    <row r="942" ht="15.75" customHeight="1" s="133">
      <c r="A942" s="75" t="n"/>
      <c r="B942" s="75" t="n"/>
      <c r="C942" s="75" t="n"/>
      <c r="D942" s="75" t="n"/>
      <c r="E942" s="76" t="n"/>
      <c r="F942" s="77" t="n"/>
      <c r="G942" s="75" t="n"/>
      <c r="H942" s="75">
        <f>IF(ISBLANK(E942),"",IF(OR(D942="Butterfly",D942="Butterfly ",D942="Iron Fly", D942="Iron Fly "),LEN(E942)-LEN(SUBSTITUTE(E942,"/",""))+2,LEN(E942)-LEN(SUBSTITUTE(E942,"/",""))+1))</f>
        <v/>
      </c>
      <c r="I942" s="78">
        <f>IF(ISBLANK(G942),"",IF(D942="Stock","0",Key!$A$3*H942*G942))</f>
        <v/>
      </c>
      <c r="J942" s="78">
        <f>IF(ISBLANK(E942),"",IF(ISNUMBER(SEARCH("/",E942)), IF(LEN(E942)-LEN(SUBSTITUTE(E942,"/",""))=1,(RIGHT(E942,LEN(E942)-FIND("/",E942)))-(LEFT(E942,FIND("/",E942)-1)),(MID(E942, SEARCH("/",E942) + 1, SEARCH("/",E942, SEARCH("/",E942)+1) - SEARCH("/",E942) - 1))-(LEFT(E942,FIND("/",E942)-1))), "NA"))</f>
        <v/>
      </c>
      <c r="K942" s="79">
        <f>IF(A942&lt;&gt;"", IF(ISBLANK(L942), TODAY(), K942), "")</f>
        <v/>
      </c>
      <c r="L942" s="78" t="n"/>
      <c r="M942" s="78">
        <f>IF(ISBLANK(L942),"",IF(D942="Stock",IF(C942="Buy",L942*G942,IF(C942="Sell",(L942*G942)-I942, X)),IF(C942="Buy",(L942*G942*100)+I942,IF(C942="Sell",(L942*G942*100)-I942, X))))</f>
        <v/>
      </c>
      <c r="N942" s="78">
        <f>IF(ISBLANK(L942),"",IF(AND(C942="Sell",D942="Stock"),M942,IF(ISBLANK(L942),"",IF(C942="Buy",M942, IF(AND(C942="Sell",J942="NA"),(E942*G942*100*0.1)+I942, IF(C942="Sell",(J942-L942)*(100*G942)+I942))))))</f>
        <v/>
      </c>
      <c r="O942" s="75" t="n"/>
      <c r="P942" s="75" t="n"/>
      <c r="Q942" s="75">
        <f>IF(ISBLANK(P942),"",IF(D942="Stock",P942*G942,IF(P942=0,"0",G942*P942*100-(G942*$AF$14))))</f>
        <v/>
      </c>
      <c r="R942" s="79">
        <f>IF(P942&lt;&gt;"", TODAY(), "")</f>
        <v/>
      </c>
      <c r="S942" s="78">
        <f>IF(AND(K942&lt;&gt;"", R942&lt;&gt;""), R942-K942, "")</f>
        <v/>
      </c>
      <c r="T942" s="78" t="n"/>
      <c r="U942" s="92">
        <f>IF(ISBLANK(P942),"",IF(C942="Buy",Q942-M942+T942, IF(C942="Sell",M942-Q942-T942, X)))</f>
        <v/>
      </c>
      <c r="V942" s="81">
        <f>IF(ISBLANK(P942),"",U942/N942)</f>
        <v/>
      </c>
      <c r="W942" s="81">
        <f>IF(ISBLANK(P942),"",IF(S942=0,(365/0.5)*V942,(365/S942)*V942))</f>
        <v/>
      </c>
      <c r="X942" s="75" t="n"/>
      <c r="Y942" s="77" t="n"/>
      <c r="Z942" s="77" t="n"/>
      <c r="AA942" s="75" t="n"/>
      <c r="AB942" s="75" t="n"/>
      <c r="AC942" s="6" t="n"/>
      <c r="AD942" s="75" t="n"/>
      <c r="AE942" s="75" t="n"/>
      <c r="AF942" s="75" t="n"/>
    </row>
    <row r="943" ht="15.75" customHeight="1" s="133">
      <c r="A943" s="75" t="n"/>
      <c r="B943" s="75" t="n"/>
      <c r="C943" s="75" t="n"/>
      <c r="D943" s="75" t="n"/>
      <c r="E943" s="76" t="n"/>
      <c r="F943" s="77" t="n"/>
      <c r="G943" s="75" t="n"/>
      <c r="H943" s="75">
        <f>IF(ISBLANK(E943),"",IF(OR(D943="Butterfly",D943="Butterfly ",D943="Iron Fly", D943="Iron Fly "),LEN(E943)-LEN(SUBSTITUTE(E943,"/",""))+2,LEN(E943)-LEN(SUBSTITUTE(E943,"/",""))+1))</f>
        <v/>
      </c>
      <c r="I943" s="78">
        <f>IF(ISBLANK(G943),"",IF(D943="Stock","0",Key!$A$3*H943*G943))</f>
        <v/>
      </c>
      <c r="J943" s="78">
        <f>IF(ISBLANK(E943),"",IF(ISNUMBER(SEARCH("/",E943)), IF(LEN(E943)-LEN(SUBSTITUTE(E943,"/",""))=1,(RIGHT(E943,LEN(E943)-FIND("/",E943)))-(LEFT(E943,FIND("/",E943)-1)),(MID(E943, SEARCH("/",E943) + 1, SEARCH("/",E943, SEARCH("/",E943)+1) - SEARCH("/",E943) - 1))-(LEFT(E943,FIND("/",E943)-1))), "NA"))</f>
        <v/>
      </c>
      <c r="K943" s="79">
        <f>IF(A943&lt;&gt;"", IF(ISBLANK(L943), TODAY(), K943), "")</f>
        <v/>
      </c>
      <c r="L943" s="78" t="n"/>
      <c r="M943" s="78">
        <f>IF(ISBLANK(L943),"",IF(D943="Stock",IF(C943="Buy",L943*G943,IF(C943="Sell",(L943*G943)-I943, X)),IF(C943="Buy",(L943*G943*100)+I943,IF(C943="Sell",(L943*G943*100)-I943, X))))</f>
        <v/>
      </c>
      <c r="N943" s="78">
        <f>IF(ISBLANK(L943),"",IF(AND(C943="Sell",D943="Stock"),M943,IF(ISBLANK(L943),"",IF(C943="Buy",M943, IF(AND(C943="Sell",J943="NA"),(E943*G943*100*0.1)+I943, IF(C943="Sell",(J943-L943)*(100*G943)+I943))))))</f>
        <v/>
      </c>
      <c r="O943" s="75" t="n"/>
      <c r="P943" s="75" t="n"/>
      <c r="Q943" s="75">
        <f>IF(ISBLANK(P943),"",IF(D943="Stock",P943*G943,IF(P943=0,"0",G943*P943*100-(G943*$AF$14))))</f>
        <v/>
      </c>
      <c r="R943" s="79">
        <f>IF(P943&lt;&gt;"", TODAY(), "")</f>
        <v/>
      </c>
      <c r="S943" s="78">
        <f>IF(AND(K943&lt;&gt;"", R943&lt;&gt;""), R943-K943, "")</f>
        <v/>
      </c>
      <c r="T943" s="78" t="n"/>
      <c r="U943" s="92">
        <f>IF(ISBLANK(P943),"",IF(C943="Buy",Q943-M943+T943, IF(C943="Sell",M943-Q943-T943, X)))</f>
        <v/>
      </c>
      <c r="V943" s="81">
        <f>IF(ISBLANK(P943),"",U943/N943)</f>
        <v/>
      </c>
      <c r="W943" s="81">
        <f>IF(ISBLANK(P943),"",IF(S943=0,(365/0.5)*V943,(365/S943)*V943))</f>
        <v/>
      </c>
      <c r="X943" s="75" t="n"/>
      <c r="Y943" s="77" t="n"/>
      <c r="Z943" s="77" t="n"/>
      <c r="AA943" s="75" t="n"/>
      <c r="AB943" s="75" t="n"/>
      <c r="AC943" s="6" t="n"/>
      <c r="AD943" s="75" t="n"/>
      <c r="AE943" s="75" t="n"/>
      <c r="AF943" s="75" t="n"/>
    </row>
    <row r="944" ht="15.75" customHeight="1" s="133">
      <c r="A944" s="75" t="n"/>
      <c r="B944" s="75" t="n"/>
      <c r="C944" s="75" t="n"/>
      <c r="D944" s="75" t="n"/>
      <c r="E944" s="76" t="n"/>
      <c r="F944" s="77" t="n"/>
      <c r="G944" s="75" t="n"/>
      <c r="H944" s="75">
        <f>IF(ISBLANK(E944),"",IF(OR(D944="Butterfly",D944="Butterfly ",D944="Iron Fly", D944="Iron Fly "),LEN(E944)-LEN(SUBSTITUTE(E944,"/",""))+2,LEN(E944)-LEN(SUBSTITUTE(E944,"/",""))+1))</f>
        <v/>
      </c>
      <c r="I944" s="78">
        <f>IF(ISBLANK(G944),"",IF(D944="Stock","0",Key!$A$3*H944*G944))</f>
        <v/>
      </c>
      <c r="J944" s="78">
        <f>IF(ISBLANK(E944),"",IF(ISNUMBER(SEARCH("/",E944)), IF(LEN(E944)-LEN(SUBSTITUTE(E944,"/",""))=1,(RIGHT(E944,LEN(E944)-FIND("/",E944)))-(LEFT(E944,FIND("/",E944)-1)),(MID(E944, SEARCH("/",E944) + 1, SEARCH("/",E944, SEARCH("/",E944)+1) - SEARCH("/",E944) - 1))-(LEFT(E944,FIND("/",E944)-1))), "NA"))</f>
        <v/>
      </c>
      <c r="K944" s="79">
        <f>IF(A944&lt;&gt;"", IF(ISBLANK(L944), TODAY(), K944), "")</f>
        <v/>
      </c>
      <c r="L944" s="78" t="n"/>
      <c r="M944" s="78">
        <f>IF(ISBLANK(L944),"",IF(D944="Stock",IF(C944="Buy",L944*G944,IF(C944="Sell",(L944*G944)-I944, X)),IF(C944="Buy",(L944*G944*100)+I944,IF(C944="Sell",(L944*G944*100)-I944, X))))</f>
        <v/>
      </c>
      <c r="N944" s="78">
        <f>IF(ISBLANK(L944),"",IF(AND(C944="Sell",D944="Stock"),M944,IF(ISBLANK(L944),"",IF(C944="Buy",M944, IF(AND(C944="Sell",J944="NA"),(E944*G944*100*0.1)+I944, IF(C944="Sell",(J944-L944)*(100*G944)+I944))))))</f>
        <v/>
      </c>
      <c r="O944" s="75" t="n"/>
      <c r="P944" s="75" t="n"/>
      <c r="Q944" s="75">
        <f>IF(ISBLANK(P944),"",IF(D944="Stock",P944*G944,IF(P944=0,"0",G944*P944*100-(G944*$AF$14))))</f>
        <v/>
      </c>
      <c r="R944" s="79">
        <f>IF(P944&lt;&gt;"", TODAY(), "")</f>
        <v/>
      </c>
      <c r="S944" s="78">
        <f>IF(AND(K944&lt;&gt;"", R944&lt;&gt;""), R944-K944, "")</f>
        <v/>
      </c>
      <c r="T944" s="78" t="n"/>
      <c r="U944" s="92">
        <f>IF(ISBLANK(P944),"",IF(C944="Buy",Q944-M944+T944, IF(C944="Sell",M944-Q944-T944, X)))</f>
        <v/>
      </c>
      <c r="V944" s="81">
        <f>IF(ISBLANK(P944),"",U944/N944)</f>
        <v/>
      </c>
      <c r="W944" s="81">
        <f>IF(ISBLANK(P944),"",IF(S944=0,(365/0.5)*V944,(365/S944)*V944))</f>
        <v/>
      </c>
      <c r="X944" s="75" t="n"/>
      <c r="Y944" s="77" t="n"/>
      <c r="Z944" s="77" t="n"/>
      <c r="AA944" s="75" t="n"/>
      <c r="AB944" s="75" t="n"/>
      <c r="AC944" s="6" t="n"/>
      <c r="AD944" s="75" t="n"/>
      <c r="AE944" s="75" t="n"/>
      <c r="AF944" s="75" t="n"/>
    </row>
    <row r="945" ht="15.75" customHeight="1" s="133">
      <c r="A945" s="75" t="n"/>
      <c r="B945" s="75" t="n"/>
      <c r="C945" s="75" t="n"/>
      <c r="D945" s="75" t="n"/>
      <c r="E945" s="76" t="n"/>
      <c r="F945" s="77" t="n"/>
      <c r="G945" s="75" t="n"/>
      <c r="H945" s="75">
        <f>IF(ISBLANK(E945),"",IF(OR(D945="Butterfly",D945="Butterfly ",D945="Iron Fly", D945="Iron Fly "),LEN(E945)-LEN(SUBSTITUTE(E945,"/",""))+2,LEN(E945)-LEN(SUBSTITUTE(E945,"/",""))+1))</f>
        <v/>
      </c>
      <c r="I945" s="78">
        <f>IF(ISBLANK(G945),"",IF(D945="Stock","0",Key!$A$3*H945*G945))</f>
        <v/>
      </c>
      <c r="J945" s="78">
        <f>IF(ISBLANK(E945),"",IF(ISNUMBER(SEARCH("/",E945)), IF(LEN(E945)-LEN(SUBSTITUTE(E945,"/",""))=1,(RIGHT(E945,LEN(E945)-FIND("/",E945)))-(LEFT(E945,FIND("/",E945)-1)),(MID(E945, SEARCH("/",E945) + 1, SEARCH("/",E945, SEARCH("/",E945)+1) - SEARCH("/",E945) - 1))-(LEFT(E945,FIND("/",E945)-1))), "NA"))</f>
        <v/>
      </c>
      <c r="K945" s="79">
        <f>IF(A945&lt;&gt;"", IF(ISBLANK(L945), TODAY(), K945), "")</f>
        <v/>
      </c>
      <c r="L945" s="78" t="n"/>
      <c r="M945" s="78">
        <f>IF(ISBLANK(L945),"",IF(D945="Stock",IF(C945="Buy",L945*G945,IF(C945="Sell",(L945*G945)-I945, X)),IF(C945="Buy",(L945*G945*100)+I945,IF(C945="Sell",(L945*G945*100)-I945, X))))</f>
        <v/>
      </c>
      <c r="N945" s="78">
        <f>IF(ISBLANK(L945),"",IF(AND(C945="Sell",D945="Stock"),M945,IF(ISBLANK(L945),"",IF(C945="Buy",M945, IF(AND(C945="Sell",J945="NA"),(E945*G945*100*0.1)+I945, IF(C945="Sell",(J945-L945)*(100*G945)+I945))))))</f>
        <v/>
      </c>
      <c r="O945" s="75" t="n"/>
      <c r="P945" s="75" t="n"/>
      <c r="Q945" s="75">
        <f>IF(ISBLANK(P945),"",IF(D945="Stock",P945*G945,IF(P945=0,"0",G945*P945*100-(G945*$AF$14))))</f>
        <v/>
      </c>
      <c r="R945" s="79">
        <f>IF(P945&lt;&gt;"", TODAY(), "")</f>
        <v/>
      </c>
      <c r="S945" s="78">
        <f>IF(AND(K945&lt;&gt;"", R945&lt;&gt;""), R945-K945, "")</f>
        <v/>
      </c>
      <c r="T945" s="78" t="n"/>
      <c r="U945" s="92">
        <f>IF(ISBLANK(P945),"",IF(C945="Buy",Q945-M945+T945, IF(C945="Sell",M945-Q945-T945, X)))</f>
        <v/>
      </c>
      <c r="V945" s="81">
        <f>IF(ISBLANK(P945),"",U945/N945)</f>
        <v/>
      </c>
      <c r="W945" s="81">
        <f>IF(ISBLANK(P945),"",IF(S945=0,(365/0.5)*V945,(365/S945)*V945))</f>
        <v/>
      </c>
      <c r="X945" s="75" t="n"/>
      <c r="Y945" s="77" t="n"/>
      <c r="Z945" s="77" t="n"/>
      <c r="AA945" s="75" t="n"/>
      <c r="AB945" s="75" t="n"/>
      <c r="AC945" s="6" t="n"/>
      <c r="AD945" s="75" t="n"/>
      <c r="AE945" s="75" t="n"/>
      <c r="AF945" s="75" t="n"/>
    </row>
    <row r="946" ht="15.75" customHeight="1" s="133">
      <c r="A946" s="75" t="n"/>
      <c r="B946" s="75" t="n"/>
      <c r="C946" s="75" t="n"/>
      <c r="D946" s="75" t="n"/>
      <c r="E946" s="76" t="n"/>
      <c r="F946" s="77" t="n"/>
      <c r="G946" s="75" t="n"/>
      <c r="H946" s="75">
        <f>IF(ISBLANK(E946),"",IF(OR(D946="Butterfly",D946="Butterfly ",D946="Iron Fly", D946="Iron Fly "),LEN(E946)-LEN(SUBSTITUTE(E946,"/",""))+2,LEN(E946)-LEN(SUBSTITUTE(E946,"/",""))+1))</f>
        <v/>
      </c>
      <c r="I946" s="78">
        <f>IF(ISBLANK(G946),"",IF(D946="Stock","0",Key!$A$3*H946*G946))</f>
        <v/>
      </c>
      <c r="J946" s="78">
        <f>IF(ISBLANK(E946),"",IF(ISNUMBER(SEARCH("/",E946)), IF(LEN(E946)-LEN(SUBSTITUTE(E946,"/",""))=1,(RIGHT(E946,LEN(E946)-FIND("/",E946)))-(LEFT(E946,FIND("/",E946)-1)),(MID(E946, SEARCH("/",E946) + 1, SEARCH("/",E946, SEARCH("/",E946)+1) - SEARCH("/",E946) - 1))-(LEFT(E946,FIND("/",E946)-1))), "NA"))</f>
        <v/>
      </c>
      <c r="K946" s="79">
        <f>IF(A946&lt;&gt;"", IF(ISBLANK(L946), TODAY(), K946), "")</f>
        <v/>
      </c>
      <c r="L946" s="78" t="n"/>
      <c r="M946" s="78">
        <f>IF(ISBLANK(L946),"",IF(D946="Stock",IF(C946="Buy",L946*G946,IF(C946="Sell",(L946*G946)-I946, X)),IF(C946="Buy",(L946*G946*100)+I946,IF(C946="Sell",(L946*G946*100)-I946, X))))</f>
        <v/>
      </c>
      <c r="N946" s="78">
        <f>IF(ISBLANK(L946),"",IF(AND(C946="Sell",D946="Stock"),M946,IF(ISBLANK(L946),"",IF(C946="Buy",M946, IF(AND(C946="Sell",J946="NA"),(E946*G946*100*0.1)+I946, IF(C946="Sell",(J946-L946)*(100*G946)+I946))))))</f>
        <v/>
      </c>
      <c r="O946" s="75" t="n"/>
      <c r="P946" s="75" t="n"/>
      <c r="Q946" s="75">
        <f>IF(ISBLANK(P946),"",IF(D946="Stock",P946*G946,IF(P946=0,"0",G946*P946*100-(G946*$AF$14))))</f>
        <v/>
      </c>
      <c r="R946" s="79">
        <f>IF(P946&lt;&gt;"", TODAY(), "")</f>
        <v/>
      </c>
      <c r="S946" s="78">
        <f>IF(AND(K946&lt;&gt;"", R946&lt;&gt;""), R946-K946, "")</f>
        <v/>
      </c>
      <c r="T946" s="78" t="n"/>
      <c r="U946" s="92">
        <f>IF(ISBLANK(P946),"",IF(C946="Buy",Q946-M946+T946, IF(C946="Sell",M946-Q946-T946, X)))</f>
        <v/>
      </c>
      <c r="V946" s="81">
        <f>IF(ISBLANK(P946),"",U946/N946)</f>
        <v/>
      </c>
      <c r="W946" s="81">
        <f>IF(ISBLANK(P946),"",IF(S946=0,(365/0.5)*V946,(365/S946)*V946))</f>
        <v/>
      </c>
      <c r="X946" s="75" t="n"/>
      <c r="Y946" s="77" t="n"/>
      <c r="Z946" s="77" t="n"/>
      <c r="AA946" s="75" t="n"/>
      <c r="AB946" s="75" t="n"/>
      <c r="AC946" s="6" t="n"/>
      <c r="AD946" s="75" t="n"/>
      <c r="AE946" s="75" t="n"/>
      <c r="AF946" s="75" t="n"/>
    </row>
    <row r="947" ht="15.75" customHeight="1" s="133">
      <c r="A947" s="75" t="n"/>
      <c r="B947" s="75" t="n"/>
      <c r="C947" s="75" t="n"/>
      <c r="D947" s="75" t="n"/>
      <c r="E947" s="76" t="n"/>
      <c r="F947" s="77" t="n"/>
      <c r="G947" s="75" t="n"/>
      <c r="H947" s="75">
        <f>IF(ISBLANK(E947),"",IF(OR(D947="Butterfly",D947="Butterfly ",D947="Iron Fly", D947="Iron Fly "),LEN(E947)-LEN(SUBSTITUTE(E947,"/",""))+2,LEN(E947)-LEN(SUBSTITUTE(E947,"/",""))+1))</f>
        <v/>
      </c>
      <c r="I947" s="78">
        <f>IF(ISBLANK(G947),"",IF(D947="Stock","0",Key!$A$3*H947*G947))</f>
        <v/>
      </c>
      <c r="J947" s="78">
        <f>IF(ISBLANK(E947),"",IF(ISNUMBER(SEARCH("/",E947)), IF(LEN(E947)-LEN(SUBSTITUTE(E947,"/",""))=1,(RIGHT(E947,LEN(E947)-FIND("/",E947)))-(LEFT(E947,FIND("/",E947)-1)),(MID(E947, SEARCH("/",E947) + 1, SEARCH("/",E947, SEARCH("/",E947)+1) - SEARCH("/",E947) - 1))-(LEFT(E947,FIND("/",E947)-1))), "NA"))</f>
        <v/>
      </c>
      <c r="K947" s="79">
        <f>IF(A947&lt;&gt;"", IF(ISBLANK(L947), TODAY(), K947), "")</f>
        <v/>
      </c>
      <c r="L947" s="78" t="n"/>
      <c r="M947" s="78">
        <f>IF(ISBLANK(L947),"",IF(D947="Stock",IF(C947="Buy",L947*G947,IF(C947="Sell",(L947*G947)-I947, X)),IF(C947="Buy",(L947*G947*100)+I947,IF(C947="Sell",(L947*G947*100)-I947, X))))</f>
        <v/>
      </c>
      <c r="N947" s="78">
        <f>IF(ISBLANK(L947),"",IF(AND(C947="Sell",D947="Stock"),M947,IF(ISBLANK(L947),"",IF(C947="Buy",M947, IF(AND(C947="Sell",J947="NA"),(E947*G947*100*0.1)+I947, IF(C947="Sell",(J947-L947)*(100*G947)+I947))))))</f>
        <v/>
      </c>
      <c r="O947" s="75" t="n"/>
      <c r="P947" s="75" t="n"/>
      <c r="Q947" s="75">
        <f>IF(ISBLANK(P947),"",IF(D947="Stock",P947*G947,IF(P947=0,"0",G947*P947*100-(G947*$AF$14))))</f>
        <v/>
      </c>
      <c r="R947" s="79">
        <f>IF(P947&lt;&gt;"", TODAY(), "")</f>
        <v/>
      </c>
      <c r="S947" s="78">
        <f>IF(AND(K947&lt;&gt;"", R947&lt;&gt;""), R947-K947, "")</f>
        <v/>
      </c>
      <c r="T947" s="78" t="n"/>
      <c r="U947" s="92">
        <f>IF(ISBLANK(P947),"",IF(C947="Buy",Q947-M947+T947, IF(C947="Sell",M947-Q947-T947, X)))</f>
        <v/>
      </c>
      <c r="V947" s="81">
        <f>IF(ISBLANK(P947),"",U947/N947)</f>
        <v/>
      </c>
      <c r="W947" s="81">
        <f>IF(ISBLANK(P947),"",IF(S947=0,(365/0.5)*V947,(365/S947)*V947))</f>
        <v/>
      </c>
      <c r="X947" s="75" t="n"/>
      <c r="Y947" s="77" t="n"/>
      <c r="Z947" s="77" t="n"/>
      <c r="AA947" s="75" t="n"/>
      <c r="AB947" s="75" t="n"/>
      <c r="AC947" s="6" t="n"/>
      <c r="AD947" s="75" t="n"/>
      <c r="AE947" s="75" t="n"/>
      <c r="AF947" s="75" t="n"/>
    </row>
    <row r="948" ht="15.75" customHeight="1" s="133">
      <c r="A948" s="75" t="n"/>
      <c r="B948" s="75" t="n"/>
      <c r="C948" s="75" t="n"/>
      <c r="D948" s="75" t="n"/>
      <c r="E948" s="76" t="n"/>
      <c r="F948" s="77" t="n"/>
      <c r="G948" s="75" t="n"/>
      <c r="H948" s="75">
        <f>IF(ISBLANK(E948),"",IF(OR(D948="Butterfly",D948="Butterfly ",D948="Iron Fly", D948="Iron Fly "),LEN(E948)-LEN(SUBSTITUTE(E948,"/",""))+2,LEN(E948)-LEN(SUBSTITUTE(E948,"/",""))+1))</f>
        <v/>
      </c>
      <c r="I948" s="78">
        <f>IF(ISBLANK(G948),"",IF(D948="Stock","0",Key!$A$3*H948*G948))</f>
        <v/>
      </c>
      <c r="J948" s="78">
        <f>IF(ISBLANK(E948),"",IF(ISNUMBER(SEARCH("/",E948)), IF(LEN(E948)-LEN(SUBSTITUTE(E948,"/",""))=1,(RIGHT(E948,LEN(E948)-FIND("/",E948)))-(LEFT(E948,FIND("/",E948)-1)),(MID(E948, SEARCH("/",E948) + 1, SEARCH("/",E948, SEARCH("/",E948)+1) - SEARCH("/",E948) - 1))-(LEFT(E948,FIND("/",E948)-1))), "NA"))</f>
        <v/>
      </c>
      <c r="K948" s="79">
        <f>IF(A948&lt;&gt;"", IF(ISBLANK(L948), TODAY(), K948), "")</f>
        <v/>
      </c>
      <c r="L948" s="78" t="n"/>
      <c r="M948" s="78">
        <f>IF(ISBLANK(L948),"",IF(D948="Stock",IF(C948="Buy",L948*G948,IF(C948="Sell",(L948*G948)-I948, X)),IF(C948="Buy",(L948*G948*100)+I948,IF(C948="Sell",(L948*G948*100)-I948, X))))</f>
        <v/>
      </c>
      <c r="N948" s="78">
        <f>IF(ISBLANK(L948),"",IF(AND(C948="Sell",D948="Stock"),M948,IF(ISBLANK(L948),"",IF(C948="Buy",M948, IF(AND(C948="Sell",J948="NA"),(E948*G948*100*0.1)+I948, IF(C948="Sell",(J948-L948)*(100*G948)+I948))))))</f>
        <v/>
      </c>
      <c r="O948" s="75" t="n"/>
      <c r="P948" s="75" t="n"/>
      <c r="Q948" s="75">
        <f>IF(ISBLANK(P948),"",IF(D948="Stock",P948*G948,IF(P948=0,"0",G948*P948*100-(G948*$AF$14))))</f>
        <v/>
      </c>
      <c r="R948" s="79">
        <f>IF(P948&lt;&gt;"", TODAY(), "")</f>
        <v/>
      </c>
      <c r="S948" s="78">
        <f>IF(AND(K948&lt;&gt;"", R948&lt;&gt;""), R948-K948, "")</f>
        <v/>
      </c>
      <c r="T948" s="78" t="n"/>
      <c r="U948" s="92">
        <f>IF(ISBLANK(P948),"",IF(C948="Buy",Q948-M948+T948, IF(C948="Sell",M948-Q948-T948, X)))</f>
        <v/>
      </c>
      <c r="V948" s="81">
        <f>IF(ISBLANK(P948),"",U948/N948)</f>
        <v/>
      </c>
      <c r="W948" s="81">
        <f>IF(ISBLANK(P948),"",IF(S948=0,(365/0.5)*V948,(365/S948)*V948))</f>
        <v/>
      </c>
      <c r="X948" s="75" t="n"/>
      <c r="Y948" s="77" t="n"/>
      <c r="Z948" s="77" t="n"/>
      <c r="AA948" s="75" t="n"/>
      <c r="AB948" s="75" t="n"/>
      <c r="AC948" s="6" t="n"/>
      <c r="AD948" s="75" t="n"/>
      <c r="AE948" s="75" t="n"/>
      <c r="AF948" s="75" t="n"/>
    </row>
    <row r="949" ht="15.75" customHeight="1" s="133">
      <c r="A949" s="75" t="n"/>
      <c r="B949" s="75" t="n"/>
      <c r="C949" s="75" t="n"/>
      <c r="D949" s="75" t="n"/>
      <c r="E949" s="76" t="n"/>
      <c r="F949" s="77" t="n"/>
      <c r="G949" s="75" t="n"/>
      <c r="H949" s="75">
        <f>IF(ISBLANK(E949),"",IF(OR(D949="Butterfly",D949="Butterfly ",D949="Iron Fly", D949="Iron Fly "),LEN(E949)-LEN(SUBSTITUTE(E949,"/",""))+2,LEN(E949)-LEN(SUBSTITUTE(E949,"/",""))+1))</f>
        <v/>
      </c>
      <c r="I949" s="78">
        <f>IF(ISBLANK(G949),"",IF(D949="Stock","0",Key!$A$3*H949*G949))</f>
        <v/>
      </c>
      <c r="J949" s="78">
        <f>IF(ISBLANK(E949),"",IF(ISNUMBER(SEARCH("/",E949)), IF(LEN(E949)-LEN(SUBSTITUTE(E949,"/",""))=1,(RIGHT(E949,LEN(E949)-FIND("/",E949)))-(LEFT(E949,FIND("/",E949)-1)),(MID(E949, SEARCH("/",E949) + 1, SEARCH("/",E949, SEARCH("/",E949)+1) - SEARCH("/",E949) - 1))-(LEFT(E949,FIND("/",E949)-1))), "NA"))</f>
        <v/>
      </c>
      <c r="K949" s="79">
        <f>IF(A949&lt;&gt;"", IF(ISBLANK(L949), TODAY(), K949), "")</f>
        <v/>
      </c>
      <c r="L949" s="78" t="n"/>
      <c r="M949" s="78">
        <f>IF(ISBLANK(L949),"",IF(D949="Stock",IF(C949="Buy",L949*G949,IF(C949="Sell",(L949*G949)-I949, X)),IF(C949="Buy",(L949*G949*100)+I949,IF(C949="Sell",(L949*G949*100)-I949, X))))</f>
        <v/>
      </c>
      <c r="N949" s="78">
        <f>IF(ISBLANK(L949),"",IF(AND(C949="Sell",D949="Stock"),M949,IF(ISBLANK(L949),"",IF(C949="Buy",M949, IF(AND(C949="Sell",J949="NA"),(E949*G949*100*0.1)+I949, IF(C949="Sell",(J949-L949)*(100*G949)+I949))))))</f>
        <v/>
      </c>
      <c r="O949" s="75" t="n"/>
      <c r="P949" s="75" t="n"/>
      <c r="Q949" s="75">
        <f>IF(ISBLANK(P949),"",IF(D949="Stock",P949*G949,IF(P949=0,"0",G949*P949*100-(G949*$AF$14))))</f>
        <v/>
      </c>
      <c r="R949" s="79">
        <f>IF(P949&lt;&gt;"", TODAY(), "")</f>
        <v/>
      </c>
      <c r="S949" s="78">
        <f>IF(AND(K949&lt;&gt;"", R949&lt;&gt;""), R949-K949, "")</f>
        <v/>
      </c>
      <c r="T949" s="78" t="n"/>
      <c r="U949" s="92">
        <f>IF(ISBLANK(P949),"",IF(C949="Buy",Q949-M949+T949, IF(C949="Sell",M949-Q949-T949, X)))</f>
        <v/>
      </c>
      <c r="V949" s="81">
        <f>IF(ISBLANK(P949),"",U949/N949)</f>
        <v/>
      </c>
      <c r="W949" s="81">
        <f>IF(ISBLANK(P949),"",IF(S949=0,(365/0.5)*V949,(365/S949)*V949))</f>
        <v/>
      </c>
      <c r="X949" s="75" t="n"/>
      <c r="Y949" s="77" t="n"/>
      <c r="Z949" s="77" t="n"/>
      <c r="AA949" s="75" t="n"/>
      <c r="AB949" s="75" t="n"/>
      <c r="AC949" s="6" t="n"/>
      <c r="AD949" s="75" t="n"/>
      <c r="AE949" s="75" t="n"/>
      <c r="AF949" s="75" t="n"/>
    </row>
    <row r="950" ht="15.75" customHeight="1" s="133">
      <c r="A950" s="75" t="n"/>
      <c r="B950" s="75" t="n"/>
      <c r="C950" s="75" t="n"/>
      <c r="D950" s="75" t="n"/>
      <c r="E950" s="76" t="n"/>
      <c r="F950" s="77" t="n"/>
      <c r="G950" s="75" t="n"/>
      <c r="H950" s="75">
        <f>IF(ISBLANK(E950),"",IF(OR(D950="Butterfly",D950="Butterfly ",D950="Iron Fly", D950="Iron Fly "),LEN(E950)-LEN(SUBSTITUTE(E950,"/",""))+2,LEN(E950)-LEN(SUBSTITUTE(E950,"/",""))+1))</f>
        <v/>
      </c>
      <c r="I950" s="78">
        <f>IF(ISBLANK(G950),"",IF(D950="Stock","0",Key!$A$3*H950*G950))</f>
        <v/>
      </c>
      <c r="J950" s="78">
        <f>IF(ISBLANK(E950),"",IF(ISNUMBER(SEARCH("/",E950)), IF(LEN(E950)-LEN(SUBSTITUTE(E950,"/",""))=1,(RIGHT(E950,LEN(E950)-FIND("/",E950)))-(LEFT(E950,FIND("/",E950)-1)),(MID(E950, SEARCH("/",E950) + 1, SEARCH("/",E950, SEARCH("/",E950)+1) - SEARCH("/",E950) - 1))-(LEFT(E950,FIND("/",E950)-1))), "NA"))</f>
        <v/>
      </c>
      <c r="K950" s="79">
        <f>IF(A950&lt;&gt;"", IF(ISBLANK(L950), TODAY(), K950), "")</f>
        <v/>
      </c>
      <c r="L950" s="78" t="n"/>
      <c r="M950" s="78">
        <f>IF(ISBLANK(L950),"",IF(D950="Stock",IF(C950="Buy",L950*G950,IF(C950="Sell",(L950*G950)-I950, X)),IF(C950="Buy",(L950*G950*100)+I950,IF(C950="Sell",(L950*G950*100)-I950, X))))</f>
        <v/>
      </c>
      <c r="N950" s="78">
        <f>IF(ISBLANK(L950),"",IF(AND(C950="Sell",D950="Stock"),M950,IF(ISBLANK(L950),"",IF(C950="Buy",M950, IF(AND(C950="Sell",J950="NA"),(E950*G950*100*0.1)+I950, IF(C950="Sell",(J950-L950)*(100*G950)+I950))))))</f>
        <v/>
      </c>
      <c r="O950" s="75" t="n"/>
      <c r="P950" s="75" t="n"/>
      <c r="Q950" s="75">
        <f>IF(ISBLANK(P950),"",IF(D950="Stock",P950*G950,IF(P950=0,"0",G950*P950*100-(G950*$AF$14))))</f>
        <v/>
      </c>
      <c r="R950" s="79">
        <f>IF(P950&lt;&gt;"", TODAY(), "")</f>
        <v/>
      </c>
      <c r="S950" s="78">
        <f>IF(AND(K950&lt;&gt;"", R950&lt;&gt;""), R950-K950, "")</f>
        <v/>
      </c>
      <c r="T950" s="78" t="n"/>
      <c r="U950" s="92">
        <f>IF(ISBLANK(P950),"",IF(C950="Buy",Q950-M950+T950, IF(C950="Sell",M950-Q950-T950, X)))</f>
        <v/>
      </c>
      <c r="V950" s="81">
        <f>IF(ISBLANK(P950),"",U950/N950)</f>
        <v/>
      </c>
      <c r="W950" s="81">
        <f>IF(ISBLANK(P950),"",IF(S950=0,(365/0.5)*V950,(365/S950)*V950))</f>
        <v/>
      </c>
      <c r="X950" s="75" t="n"/>
      <c r="Y950" s="77" t="n"/>
      <c r="Z950" s="77" t="n"/>
      <c r="AA950" s="75" t="n"/>
      <c r="AB950" s="75" t="n"/>
      <c r="AC950" s="6" t="n"/>
      <c r="AD950" s="75" t="n"/>
      <c r="AE950" s="75" t="n"/>
      <c r="AF950" s="75" t="n"/>
    </row>
    <row r="951" ht="15.75" customHeight="1" s="133">
      <c r="A951" s="75" t="n"/>
      <c r="B951" s="75" t="n"/>
      <c r="C951" s="75" t="n"/>
      <c r="D951" s="75" t="n"/>
      <c r="E951" s="76" t="n"/>
      <c r="F951" s="77" t="n"/>
      <c r="G951" s="75" t="n"/>
      <c r="H951" s="75">
        <f>IF(ISBLANK(E951),"",IF(OR(D951="Butterfly",D951="Butterfly ",D951="Iron Fly", D951="Iron Fly "),LEN(E951)-LEN(SUBSTITUTE(E951,"/",""))+2,LEN(E951)-LEN(SUBSTITUTE(E951,"/",""))+1))</f>
        <v/>
      </c>
      <c r="I951" s="78">
        <f>IF(ISBLANK(G951),"",IF(D951="Stock","0",Key!$A$3*H951*G951))</f>
        <v/>
      </c>
      <c r="J951" s="78">
        <f>IF(ISBLANK(E951),"",IF(ISNUMBER(SEARCH("/",E951)), IF(LEN(E951)-LEN(SUBSTITUTE(E951,"/",""))=1,(RIGHT(E951,LEN(E951)-FIND("/",E951)))-(LEFT(E951,FIND("/",E951)-1)),(MID(E951, SEARCH("/",E951) + 1, SEARCH("/",E951, SEARCH("/",E951)+1) - SEARCH("/",E951) - 1))-(LEFT(E951,FIND("/",E951)-1))), "NA"))</f>
        <v/>
      </c>
      <c r="K951" s="79">
        <f>IF(A951&lt;&gt;"", IF(ISBLANK(L951), TODAY(), K951), "")</f>
        <v/>
      </c>
      <c r="L951" s="78" t="n"/>
      <c r="M951" s="78">
        <f>IF(ISBLANK(L951),"",IF(D951="Stock",IF(C951="Buy",L951*G951,IF(C951="Sell",(L951*G951)-I951, X)),IF(C951="Buy",(L951*G951*100)+I951,IF(C951="Sell",(L951*G951*100)-I951, X))))</f>
        <v/>
      </c>
      <c r="N951" s="78">
        <f>IF(ISBLANK(L951),"",IF(AND(C951="Sell",D951="Stock"),M951,IF(ISBLANK(L951),"",IF(C951="Buy",M951, IF(AND(C951="Sell",J951="NA"),(E951*G951*100*0.1)+I951, IF(C951="Sell",(J951-L951)*(100*G951)+I951))))))</f>
        <v/>
      </c>
      <c r="O951" s="75" t="n"/>
      <c r="P951" s="75" t="n"/>
      <c r="Q951" s="75">
        <f>IF(ISBLANK(P951),"",IF(D951="Stock",P951*G951,IF(P951=0,"0",G951*P951*100-(G951*$AF$14))))</f>
        <v/>
      </c>
      <c r="R951" s="79">
        <f>IF(P951&lt;&gt;"", TODAY(), "")</f>
        <v/>
      </c>
      <c r="S951" s="78">
        <f>IF(AND(K951&lt;&gt;"", R951&lt;&gt;""), R951-K951, "")</f>
        <v/>
      </c>
      <c r="T951" s="78" t="n"/>
      <c r="U951" s="92">
        <f>IF(ISBLANK(P951),"",IF(C951="Buy",Q951-M951+T951, IF(C951="Sell",M951-Q951-T951, X)))</f>
        <v/>
      </c>
      <c r="V951" s="81">
        <f>IF(ISBLANK(P951),"",U951/N951)</f>
        <v/>
      </c>
      <c r="W951" s="81">
        <f>IF(ISBLANK(P951),"",IF(S951=0,(365/0.5)*V951,(365/S951)*V951))</f>
        <v/>
      </c>
      <c r="X951" s="75" t="n"/>
      <c r="Y951" s="77" t="n"/>
      <c r="Z951" s="77" t="n"/>
      <c r="AA951" s="75" t="n"/>
      <c r="AB951" s="75" t="n"/>
      <c r="AC951" s="6" t="n"/>
      <c r="AD951" s="75" t="n"/>
      <c r="AE951" s="75" t="n"/>
      <c r="AF951" s="75" t="n"/>
    </row>
    <row r="952" ht="15.75" customHeight="1" s="133">
      <c r="A952" s="75" t="n"/>
      <c r="B952" s="75" t="n"/>
      <c r="C952" s="75" t="n"/>
      <c r="D952" s="75" t="n"/>
      <c r="E952" s="76" t="n"/>
      <c r="F952" s="77" t="n"/>
      <c r="G952" s="75" t="n"/>
      <c r="H952" s="75">
        <f>IF(ISBLANK(E952),"",IF(OR(D952="Butterfly",D952="Butterfly ",D952="Iron Fly", D952="Iron Fly "),LEN(E952)-LEN(SUBSTITUTE(E952,"/",""))+2,LEN(E952)-LEN(SUBSTITUTE(E952,"/",""))+1))</f>
        <v/>
      </c>
      <c r="I952" s="78">
        <f>IF(ISBLANK(G952),"",IF(D952="Stock","0",Key!$A$3*H952*G952))</f>
        <v/>
      </c>
      <c r="J952" s="78">
        <f>IF(ISBLANK(E952),"",IF(ISNUMBER(SEARCH("/",E952)), IF(LEN(E952)-LEN(SUBSTITUTE(E952,"/",""))=1,(RIGHT(E952,LEN(E952)-FIND("/",E952)))-(LEFT(E952,FIND("/",E952)-1)),(MID(E952, SEARCH("/",E952) + 1, SEARCH("/",E952, SEARCH("/",E952)+1) - SEARCH("/",E952) - 1))-(LEFT(E952,FIND("/",E952)-1))), "NA"))</f>
        <v/>
      </c>
      <c r="K952" s="79">
        <f>IF(A952&lt;&gt;"", IF(ISBLANK(L952), TODAY(), K952), "")</f>
        <v/>
      </c>
      <c r="L952" s="78" t="n"/>
      <c r="M952" s="78">
        <f>IF(ISBLANK(L952),"",IF(D952="Stock",IF(C952="Buy",L952*G952,IF(C952="Sell",(L952*G952)-I952, X)),IF(C952="Buy",(L952*G952*100)+I952,IF(C952="Sell",(L952*G952*100)-I952, X))))</f>
        <v/>
      </c>
      <c r="N952" s="78">
        <f>IF(ISBLANK(L952),"",IF(AND(C952="Sell",D952="Stock"),M952,IF(ISBLANK(L952),"",IF(C952="Buy",M952, IF(AND(C952="Sell",J952="NA"),(E952*G952*100*0.1)+I952, IF(C952="Sell",(J952-L952)*(100*G952)+I952))))))</f>
        <v/>
      </c>
      <c r="O952" s="75" t="n"/>
      <c r="P952" s="75" t="n"/>
      <c r="Q952" s="75">
        <f>IF(ISBLANK(P952),"",IF(D952="Stock",P952*G952,IF(P952=0,"0",G952*P952*100-(G952*$AF$14))))</f>
        <v/>
      </c>
      <c r="R952" s="79">
        <f>IF(P952&lt;&gt;"", TODAY(), "")</f>
        <v/>
      </c>
      <c r="S952" s="78">
        <f>IF(AND(K952&lt;&gt;"", R952&lt;&gt;""), R952-K952, "")</f>
        <v/>
      </c>
      <c r="T952" s="78" t="n"/>
      <c r="U952" s="92">
        <f>IF(ISBLANK(P952),"",IF(C952="Buy",Q952-M952+T952, IF(C952="Sell",M952-Q952-T952, X)))</f>
        <v/>
      </c>
      <c r="V952" s="81">
        <f>IF(ISBLANK(P952),"",U952/N952)</f>
        <v/>
      </c>
      <c r="W952" s="81">
        <f>IF(ISBLANK(P952),"",IF(S952=0,(365/0.5)*V952,(365/S952)*V952))</f>
        <v/>
      </c>
      <c r="X952" s="75" t="n"/>
      <c r="Y952" s="77" t="n"/>
      <c r="Z952" s="77" t="n"/>
      <c r="AA952" s="75" t="n"/>
      <c r="AB952" s="75" t="n"/>
      <c r="AC952" s="6" t="n"/>
      <c r="AD952" s="75" t="n"/>
      <c r="AE952" s="75" t="n"/>
      <c r="AF952" s="75" t="n"/>
    </row>
    <row r="953" ht="15.75" customHeight="1" s="133">
      <c r="A953" s="75" t="n"/>
      <c r="B953" s="75" t="n"/>
      <c r="C953" s="75" t="n"/>
      <c r="D953" s="75" t="n"/>
      <c r="E953" s="76" t="n"/>
      <c r="F953" s="77" t="n"/>
      <c r="G953" s="75" t="n"/>
      <c r="H953" s="75">
        <f>IF(ISBLANK(E953),"",IF(OR(D953="Butterfly",D953="Butterfly ",D953="Iron Fly", D953="Iron Fly "),LEN(E953)-LEN(SUBSTITUTE(E953,"/",""))+2,LEN(E953)-LEN(SUBSTITUTE(E953,"/",""))+1))</f>
        <v/>
      </c>
      <c r="I953" s="78">
        <f>IF(ISBLANK(G953),"",IF(D953="Stock","0",Key!$A$3*H953*G953))</f>
        <v/>
      </c>
      <c r="J953" s="78">
        <f>IF(ISBLANK(E953),"",IF(ISNUMBER(SEARCH("/",E953)), IF(LEN(E953)-LEN(SUBSTITUTE(E953,"/",""))=1,(RIGHT(E953,LEN(E953)-FIND("/",E953)))-(LEFT(E953,FIND("/",E953)-1)),(MID(E953, SEARCH("/",E953) + 1, SEARCH("/",E953, SEARCH("/",E953)+1) - SEARCH("/",E953) - 1))-(LEFT(E953,FIND("/",E953)-1))), "NA"))</f>
        <v/>
      </c>
      <c r="K953" s="79">
        <f>IF(A953&lt;&gt;"", IF(ISBLANK(L953), TODAY(), K953), "")</f>
        <v/>
      </c>
      <c r="L953" s="78" t="n"/>
      <c r="M953" s="78">
        <f>IF(ISBLANK(L953),"",IF(D953="Stock",IF(C953="Buy",L953*G953,IF(C953="Sell",(L953*G953)-I953, X)),IF(C953="Buy",(L953*G953*100)+I953,IF(C953="Sell",(L953*G953*100)-I953, X))))</f>
        <v/>
      </c>
      <c r="N953" s="78">
        <f>IF(ISBLANK(L953),"",IF(AND(C953="Sell",D953="Stock"),M953,IF(ISBLANK(L953),"",IF(C953="Buy",M953, IF(AND(C953="Sell",J953="NA"),(E953*G953*100*0.1)+I953, IF(C953="Sell",(J953-L953)*(100*G953)+I953))))))</f>
        <v/>
      </c>
      <c r="O953" s="75" t="n"/>
      <c r="P953" s="75" t="n"/>
      <c r="Q953" s="75">
        <f>IF(ISBLANK(P953),"",IF(D953="Stock",P953*G953,IF(P953=0,"0",G953*P953*100-(G953*$AF$14))))</f>
        <v/>
      </c>
      <c r="R953" s="79">
        <f>IF(P953&lt;&gt;"", TODAY(), "")</f>
        <v/>
      </c>
      <c r="S953" s="78">
        <f>IF(AND(K953&lt;&gt;"", R953&lt;&gt;""), R953-K953, "")</f>
        <v/>
      </c>
      <c r="T953" s="78" t="n"/>
      <c r="U953" s="92">
        <f>IF(ISBLANK(P953),"",IF(C953="Buy",Q953-M953+T953, IF(C953="Sell",M953-Q953-T953, X)))</f>
        <v/>
      </c>
      <c r="V953" s="81">
        <f>IF(ISBLANK(P953),"",U953/N953)</f>
        <v/>
      </c>
      <c r="W953" s="81">
        <f>IF(ISBLANK(P953),"",IF(S953=0,(365/0.5)*V953,(365/S953)*V953))</f>
        <v/>
      </c>
      <c r="X953" s="75" t="n"/>
      <c r="Y953" s="77" t="n"/>
      <c r="Z953" s="77" t="n"/>
      <c r="AA953" s="75" t="n"/>
      <c r="AB953" s="75" t="n"/>
      <c r="AC953" s="6" t="n"/>
      <c r="AD953" s="75" t="n"/>
      <c r="AE953" s="75" t="n"/>
      <c r="AF953" s="75" t="n"/>
    </row>
    <row r="954" ht="15.75" customHeight="1" s="133">
      <c r="A954" s="75" t="n"/>
      <c r="B954" s="75" t="n"/>
      <c r="C954" s="75" t="n"/>
      <c r="D954" s="75" t="n"/>
      <c r="E954" s="76" t="n"/>
      <c r="F954" s="77" t="n"/>
      <c r="G954" s="75" t="n"/>
      <c r="H954" s="75">
        <f>IF(ISBLANK(E954),"",IF(OR(D954="Butterfly",D954="Butterfly ",D954="Iron Fly", D954="Iron Fly "),LEN(E954)-LEN(SUBSTITUTE(E954,"/",""))+2,LEN(E954)-LEN(SUBSTITUTE(E954,"/",""))+1))</f>
        <v/>
      </c>
      <c r="I954" s="78">
        <f>IF(ISBLANK(G954),"",IF(D954="Stock","0",Key!$A$3*H954*G954))</f>
        <v/>
      </c>
      <c r="J954" s="78">
        <f>IF(ISBLANK(E954),"",IF(ISNUMBER(SEARCH("/",E954)), IF(LEN(E954)-LEN(SUBSTITUTE(E954,"/",""))=1,(RIGHT(E954,LEN(E954)-FIND("/",E954)))-(LEFT(E954,FIND("/",E954)-1)),(MID(E954, SEARCH("/",E954) + 1, SEARCH("/",E954, SEARCH("/",E954)+1) - SEARCH("/",E954) - 1))-(LEFT(E954,FIND("/",E954)-1))), "NA"))</f>
        <v/>
      </c>
      <c r="K954" s="79">
        <f>IF(A954&lt;&gt;"", IF(ISBLANK(L954), TODAY(), K954), "")</f>
        <v/>
      </c>
      <c r="L954" s="78" t="n"/>
      <c r="M954" s="78">
        <f>IF(ISBLANK(L954),"",IF(D954="Stock",IF(C954="Buy",L954*G954,IF(C954="Sell",(L954*G954)-I954, X)),IF(C954="Buy",(L954*G954*100)+I954,IF(C954="Sell",(L954*G954*100)-I954, X))))</f>
        <v/>
      </c>
      <c r="N954" s="78">
        <f>IF(ISBLANK(L954),"",IF(AND(C954="Sell",D954="Stock"),M954,IF(ISBLANK(L954),"",IF(C954="Buy",M954, IF(AND(C954="Sell",J954="NA"),(E954*G954*100*0.1)+I954, IF(C954="Sell",(J954-L954)*(100*G954)+I954))))))</f>
        <v/>
      </c>
      <c r="O954" s="75" t="n"/>
      <c r="P954" s="75" t="n"/>
      <c r="Q954" s="75">
        <f>IF(ISBLANK(P954),"",IF(D954="Stock",P954*G954,IF(P954=0,"0",G954*P954*100-(G954*$AF$14))))</f>
        <v/>
      </c>
      <c r="R954" s="79">
        <f>IF(P954&lt;&gt;"", TODAY(), "")</f>
        <v/>
      </c>
      <c r="S954" s="78">
        <f>IF(AND(K954&lt;&gt;"", R954&lt;&gt;""), R954-K954, "")</f>
        <v/>
      </c>
      <c r="T954" s="78" t="n"/>
      <c r="U954" s="92">
        <f>IF(ISBLANK(P954),"",IF(C954="Buy",Q954-M954+T954, IF(C954="Sell",M954-Q954-T954, X)))</f>
        <v/>
      </c>
      <c r="V954" s="81">
        <f>IF(ISBLANK(P954),"",U954/N954)</f>
        <v/>
      </c>
      <c r="W954" s="81">
        <f>IF(ISBLANK(P954),"",IF(S954=0,(365/0.5)*V954,(365/S954)*V954))</f>
        <v/>
      </c>
      <c r="X954" s="75" t="n"/>
      <c r="Y954" s="77" t="n"/>
      <c r="Z954" s="77" t="n"/>
      <c r="AA954" s="75" t="n"/>
      <c r="AB954" s="75" t="n"/>
      <c r="AC954" s="6" t="n"/>
      <c r="AD954" s="75" t="n"/>
      <c r="AE954" s="75" t="n"/>
      <c r="AF954" s="75" t="n"/>
    </row>
    <row r="955" ht="15.75" customHeight="1" s="133">
      <c r="A955" s="75" t="n"/>
      <c r="B955" s="75" t="n"/>
      <c r="C955" s="75" t="n"/>
      <c r="D955" s="75" t="n"/>
      <c r="E955" s="76" t="n"/>
      <c r="F955" s="77" t="n"/>
      <c r="G955" s="75" t="n"/>
      <c r="H955" s="75">
        <f>IF(ISBLANK(E955),"",IF(OR(D955="Butterfly",D955="Butterfly ",D955="Iron Fly", D955="Iron Fly "),LEN(E955)-LEN(SUBSTITUTE(E955,"/",""))+2,LEN(E955)-LEN(SUBSTITUTE(E955,"/",""))+1))</f>
        <v/>
      </c>
      <c r="I955" s="78">
        <f>IF(ISBLANK(G955),"",IF(D955="Stock","0",Key!$A$3*H955*G955))</f>
        <v/>
      </c>
      <c r="J955" s="78">
        <f>IF(ISBLANK(E955),"",IF(ISNUMBER(SEARCH("/",E955)), IF(LEN(E955)-LEN(SUBSTITUTE(E955,"/",""))=1,(RIGHT(E955,LEN(E955)-FIND("/",E955)))-(LEFT(E955,FIND("/",E955)-1)),(MID(E955, SEARCH("/",E955) + 1, SEARCH("/",E955, SEARCH("/",E955)+1) - SEARCH("/",E955) - 1))-(LEFT(E955,FIND("/",E955)-1))), "NA"))</f>
        <v/>
      </c>
      <c r="K955" s="79">
        <f>IF(A955&lt;&gt;"", IF(ISBLANK(L955), TODAY(), K955), "")</f>
        <v/>
      </c>
      <c r="L955" s="78" t="n"/>
      <c r="M955" s="78">
        <f>IF(ISBLANK(L955),"",IF(D955="Stock",IF(C955="Buy",L955*G955,IF(C955="Sell",(L955*G955)-I955, X)),IF(C955="Buy",(L955*G955*100)+I955,IF(C955="Sell",(L955*G955*100)-I955, X))))</f>
        <v/>
      </c>
      <c r="N955" s="78">
        <f>IF(ISBLANK(L955),"",IF(AND(C955="Sell",D955="Stock"),M955,IF(ISBLANK(L955),"",IF(C955="Buy",M955, IF(AND(C955="Sell",J955="NA"),(E955*G955*100*0.1)+I955, IF(C955="Sell",(J955-L955)*(100*G955)+I955))))))</f>
        <v/>
      </c>
      <c r="O955" s="75" t="n"/>
      <c r="P955" s="75" t="n"/>
      <c r="Q955" s="75">
        <f>IF(ISBLANK(P955),"",IF(D955="Stock",P955*G955,IF(P955=0,"0",G955*P955*100-(G955*$AF$14))))</f>
        <v/>
      </c>
      <c r="R955" s="79">
        <f>IF(P955&lt;&gt;"", TODAY(), "")</f>
        <v/>
      </c>
      <c r="S955" s="78">
        <f>IF(AND(K955&lt;&gt;"", R955&lt;&gt;""), R955-K955, "")</f>
        <v/>
      </c>
      <c r="T955" s="78" t="n"/>
      <c r="U955" s="92">
        <f>IF(ISBLANK(P955),"",IF(C955="Buy",Q955-M955+T955, IF(C955="Sell",M955-Q955-T955, X)))</f>
        <v/>
      </c>
      <c r="V955" s="81">
        <f>IF(ISBLANK(P955),"",U955/N955)</f>
        <v/>
      </c>
      <c r="W955" s="81">
        <f>IF(ISBLANK(P955),"",IF(S955=0,(365/0.5)*V955,(365/S955)*V955))</f>
        <v/>
      </c>
      <c r="X955" s="75" t="n"/>
      <c r="Y955" s="77" t="n"/>
      <c r="Z955" s="77" t="n"/>
      <c r="AA955" s="75" t="n"/>
      <c r="AB955" s="75" t="n"/>
      <c r="AC955" s="6" t="n"/>
      <c r="AD955" s="75" t="n"/>
      <c r="AE955" s="75" t="n"/>
      <c r="AF955" s="75" t="n"/>
    </row>
    <row r="956" ht="15.75" customHeight="1" s="133">
      <c r="A956" s="75" t="n"/>
      <c r="B956" s="75" t="n"/>
      <c r="C956" s="75" t="n"/>
      <c r="D956" s="75" t="n"/>
      <c r="E956" s="76" t="n"/>
      <c r="F956" s="77" t="n"/>
      <c r="G956" s="75" t="n"/>
      <c r="H956" s="75">
        <f>IF(ISBLANK(E956),"",IF(OR(D956="Butterfly",D956="Butterfly ",D956="Iron Fly", D956="Iron Fly "),LEN(E956)-LEN(SUBSTITUTE(E956,"/",""))+2,LEN(E956)-LEN(SUBSTITUTE(E956,"/",""))+1))</f>
        <v/>
      </c>
      <c r="I956" s="78">
        <f>IF(ISBLANK(G956),"",IF(D956="Stock","0",Key!$A$3*H956*G956))</f>
        <v/>
      </c>
      <c r="J956" s="78">
        <f>IF(ISBLANK(E956),"",IF(ISNUMBER(SEARCH("/",E956)), IF(LEN(E956)-LEN(SUBSTITUTE(E956,"/",""))=1,(RIGHT(E956,LEN(E956)-FIND("/",E956)))-(LEFT(E956,FIND("/",E956)-1)),(MID(E956, SEARCH("/",E956) + 1, SEARCH("/",E956, SEARCH("/",E956)+1) - SEARCH("/",E956) - 1))-(LEFT(E956,FIND("/",E956)-1))), "NA"))</f>
        <v/>
      </c>
      <c r="K956" s="79">
        <f>IF(A956&lt;&gt;"", IF(ISBLANK(L956), TODAY(), K956), "")</f>
        <v/>
      </c>
      <c r="L956" s="78" t="n"/>
      <c r="M956" s="78">
        <f>IF(ISBLANK(L956),"",IF(D956="Stock",IF(C956="Buy",L956*G956,IF(C956="Sell",(L956*G956)-I956, X)),IF(C956="Buy",(L956*G956*100)+I956,IF(C956="Sell",(L956*G956*100)-I956, X))))</f>
        <v/>
      </c>
      <c r="N956" s="78">
        <f>IF(ISBLANK(L956),"",IF(AND(C956="Sell",D956="Stock"),M956,IF(ISBLANK(L956),"",IF(C956="Buy",M956, IF(AND(C956="Sell",J956="NA"),(E956*G956*100*0.1)+I956, IF(C956="Sell",(J956-L956)*(100*G956)+I956))))))</f>
        <v/>
      </c>
      <c r="O956" s="75" t="n"/>
      <c r="P956" s="75" t="n"/>
      <c r="Q956" s="75">
        <f>IF(ISBLANK(P956),"",IF(D956="Stock",P956*G956,IF(P956=0,"0",G956*P956*100-(G956*$AF$14))))</f>
        <v/>
      </c>
      <c r="R956" s="79">
        <f>IF(P956&lt;&gt;"", TODAY(), "")</f>
        <v/>
      </c>
      <c r="S956" s="78">
        <f>IF(AND(K956&lt;&gt;"", R956&lt;&gt;""), R956-K956, "")</f>
        <v/>
      </c>
      <c r="T956" s="78" t="n"/>
      <c r="U956" s="92">
        <f>IF(ISBLANK(P956),"",IF(C956="Buy",Q956-M956+T956, IF(C956="Sell",M956-Q956-T956, X)))</f>
        <v/>
      </c>
      <c r="V956" s="81">
        <f>IF(ISBLANK(P956),"",U956/N956)</f>
        <v/>
      </c>
      <c r="W956" s="81">
        <f>IF(ISBLANK(P956),"",IF(S956=0,(365/0.5)*V956,(365/S956)*V956))</f>
        <v/>
      </c>
      <c r="X956" s="75" t="n"/>
      <c r="Y956" s="77" t="n"/>
      <c r="Z956" s="77" t="n"/>
      <c r="AA956" s="75" t="n"/>
      <c r="AB956" s="75" t="n"/>
      <c r="AC956" s="6" t="n"/>
      <c r="AD956" s="75" t="n"/>
      <c r="AE956" s="75" t="n"/>
      <c r="AF956" s="75" t="n"/>
    </row>
    <row r="957" ht="15.75" customHeight="1" s="133">
      <c r="A957" s="75" t="n"/>
      <c r="B957" s="75" t="n"/>
      <c r="C957" s="75" t="n"/>
      <c r="D957" s="75" t="n"/>
      <c r="E957" s="76" t="n"/>
      <c r="F957" s="77" t="n"/>
      <c r="G957" s="75" t="n"/>
      <c r="H957" s="75">
        <f>IF(ISBLANK(E957),"",IF(OR(D957="Butterfly",D957="Butterfly ",D957="Iron Fly", D957="Iron Fly "),LEN(E957)-LEN(SUBSTITUTE(E957,"/",""))+2,LEN(E957)-LEN(SUBSTITUTE(E957,"/",""))+1))</f>
        <v/>
      </c>
      <c r="I957" s="78">
        <f>IF(ISBLANK(G957),"",IF(D957="Stock","0",Key!$A$3*H957*G957))</f>
        <v/>
      </c>
      <c r="J957" s="78">
        <f>IF(ISBLANK(E957),"",IF(ISNUMBER(SEARCH("/",E957)), IF(LEN(E957)-LEN(SUBSTITUTE(E957,"/",""))=1,(RIGHT(E957,LEN(E957)-FIND("/",E957)))-(LEFT(E957,FIND("/",E957)-1)),(MID(E957, SEARCH("/",E957) + 1, SEARCH("/",E957, SEARCH("/",E957)+1) - SEARCH("/",E957) - 1))-(LEFT(E957,FIND("/",E957)-1))), "NA"))</f>
        <v/>
      </c>
      <c r="K957" s="79">
        <f>IF(A957&lt;&gt;"", IF(ISBLANK(L957), TODAY(), K957), "")</f>
        <v/>
      </c>
      <c r="L957" s="78" t="n"/>
      <c r="M957" s="78">
        <f>IF(ISBLANK(L957),"",IF(D957="Stock",IF(C957="Buy",L957*G957,IF(C957="Sell",(L957*G957)-I957, X)),IF(C957="Buy",(L957*G957*100)+I957,IF(C957="Sell",(L957*G957*100)-I957, X))))</f>
        <v/>
      </c>
      <c r="N957" s="78">
        <f>IF(ISBLANK(L957),"",IF(AND(C957="Sell",D957="Stock"),M957,IF(ISBLANK(L957),"",IF(C957="Buy",M957, IF(AND(C957="Sell",J957="NA"),(E957*G957*100*0.1)+I957, IF(C957="Sell",(J957-L957)*(100*G957)+I957))))))</f>
        <v/>
      </c>
      <c r="O957" s="75" t="n"/>
      <c r="P957" s="75" t="n"/>
      <c r="Q957" s="75">
        <f>IF(ISBLANK(P957),"",IF(D957="Stock",P957*G957,IF(P957=0,"0",G957*P957*100-(G957*$AF$14))))</f>
        <v/>
      </c>
      <c r="R957" s="79">
        <f>IF(P957&lt;&gt;"", TODAY(), "")</f>
        <v/>
      </c>
      <c r="S957" s="78">
        <f>IF(AND(K957&lt;&gt;"", R957&lt;&gt;""), R957-K957, "")</f>
        <v/>
      </c>
      <c r="T957" s="78" t="n"/>
      <c r="U957" s="92">
        <f>IF(ISBLANK(P957),"",IF(C957="Buy",Q957-M957+T957, IF(C957="Sell",M957-Q957-T957, X)))</f>
        <v/>
      </c>
      <c r="V957" s="81">
        <f>IF(ISBLANK(P957),"",U957/N957)</f>
        <v/>
      </c>
      <c r="W957" s="81">
        <f>IF(ISBLANK(P957),"",IF(S957=0,(365/0.5)*V957,(365/S957)*V957))</f>
        <v/>
      </c>
      <c r="X957" s="75" t="n"/>
      <c r="Y957" s="77" t="n"/>
      <c r="Z957" s="77" t="n"/>
      <c r="AA957" s="75" t="n"/>
      <c r="AB957" s="75" t="n"/>
      <c r="AC957" s="6" t="n"/>
      <c r="AD957" s="75" t="n"/>
      <c r="AE957" s="75" t="n"/>
      <c r="AF957" s="75" t="n"/>
    </row>
    <row r="958" ht="15.75" customHeight="1" s="133">
      <c r="A958" s="75" t="n"/>
      <c r="B958" s="75" t="n"/>
      <c r="C958" s="75" t="n"/>
      <c r="D958" s="75" t="n"/>
      <c r="E958" s="76" t="n"/>
      <c r="F958" s="77" t="n"/>
      <c r="G958" s="75" t="n"/>
      <c r="H958" s="75">
        <f>IF(ISBLANK(E958),"",IF(OR(D958="Butterfly",D958="Butterfly ",D958="Iron Fly", D958="Iron Fly "),LEN(E958)-LEN(SUBSTITUTE(E958,"/",""))+2,LEN(E958)-LEN(SUBSTITUTE(E958,"/",""))+1))</f>
        <v/>
      </c>
      <c r="I958" s="78">
        <f>IF(ISBLANK(G958),"",IF(D958="Stock","0",Key!$A$3*H958*G958))</f>
        <v/>
      </c>
      <c r="J958" s="78">
        <f>IF(ISBLANK(E958),"",IF(ISNUMBER(SEARCH("/",E958)), IF(LEN(E958)-LEN(SUBSTITUTE(E958,"/",""))=1,(RIGHT(E958,LEN(E958)-FIND("/",E958)))-(LEFT(E958,FIND("/",E958)-1)),(MID(E958, SEARCH("/",E958) + 1, SEARCH("/",E958, SEARCH("/",E958)+1) - SEARCH("/",E958) - 1))-(LEFT(E958,FIND("/",E958)-1))), "NA"))</f>
        <v/>
      </c>
      <c r="K958" s="79">
        <f>IF(A958&lt;&gt;"", IF(ISBLANK(L958), TODAY(), K958), "")</f>
        <v/>
      </c>
      <c r="L958" s="78" t="n"/>
      <c r="M958" s="78">
        <f>IF(ISBLANK(L958),"",IF(D958="Stock",IF(C958="Buy",L958*G958,IF(C958="Sell",(L958*G958)-I958, X)),IF(C958="Buy",(L958*G958*100)+I958,IF(C958="Sell",(L958*G958*100)-I958, X))))</f>
        <v/>
      </c>
      <c r="N958" s="78">
        <f>IF(ISBLANK(L958),"",IF(AND(C958="Sell",D958="Stock"),M958,IF(ISBLANK(L958),"",IF(C958="Buy",M958, IF(AND(C958="Sell",J958="NA"),(E958*G958*100*0.1)+I958, IF(C958="Sell",(J958-L958)*(100*G958)+I958))))))</f>
        <v/>
      </c>
      <c r="O958" s="75" t="n"/>
      <c r="P958" s="75" t="n"/>
      <c r="Q958" s="75">
        <f>IF(ISBLANK(P958),"",IF(D958="Stock",P958*G958,IF(P958=0,"0",G958*P958*100-(G958*$AF$14))))</f>
        <v/>
      </c>
      <c r="R958" s="79">
        <f>IF(P958&lt;&gt;"", TODAY(), "")</f>
        <v/>
      </c>
      <c r="S958" s="78">
        <f>IF(AND(K958&lt;&gt;"", R958&lt;&gt;""), R958-K958, "")</f>
        <v/>
      </c>
      <c r="T958" s="78" t="n"/>
      <c r="U958" s="92">
        <f>IF(ISBLANK(P958),"",IF(C958="Buy",Q958-M958+T958, IF(C958="Sell",M958-Q958-T958, X)))</f>
        <v/>
      </c>
      <c r="V958" s="81">
        <f>IF(ISBLANK(P958),"",U958/N958)</f>
        <v/>
      </c>
      <c r="W958" s="81">
        <f>IF(ISBLANK(P958),"",IF(S958=0,(365/0.5)*V958,(365/S958)*V958))</f>
        <v/>
      </c>
      <c r="X958" s="75" t="n"/>
      <c r="Y958" s="77" t="n"/>
      <c r="Z958" s="77" t="n"/>
      <c r="AA958" s="75" t="n"/>
      <c r="AB958" s="75" t="n"/>
      <c r="AC958" s="6" t="n"/>
      <c r="AD958" s="75" t="n"/>
      <c r="AE958" s="75" t="n"/>
      <c r="AF958" s="75" t="n"/>
    </row>
    <row r="959" ht="15.75" customHeight="1" s="133">
      <c r="A959" s="75" t="n"/>
      <c r="B959" s="75" t="n"/>
      <c r="C959" s="75" t="n"/>
      <c r="D959" s="75" t="n"/>
      <c r="E959" s="76" t="n"/>
      <c r="F959" s="77" t="n"/>
      <c r="G959" s="75" t="n"/>
      <c r="H959" s="75">
        <f>IF(ISBLANK(E959),"",IF(OR(D959="Butterfly",D959="Butterfly ",D959="Iron Fly", D959="Iron Fly "),LEN(E959)-LEN(SUBSTITUTE(E959,"/",""))+2,LEN(E959)-LEN(SUBSTITUTE(E959,"/",""))+1))</f>
        <v/>
      </c>
      <c r="I959" s="78">
        <f>IF(ISBLANK(G959),"",IF(D959="Stock","0",Key!$A$3*H959*G959))</f>
        <v/>
      </c>
      <c r="J959" s="78">
        <f>IF(ISBLANK(E959),"",IF(ISNUMBER(SEARCH("/",E959)), IF(LEN(E959)-LEN(SUBSTITUTE(E959,"/",""))=1,(RIGHT(E959,LEN(E959)-FIND("/",E959)))-(LEFT(E959,FIND("/",E959)-1)),(MID(E959, SEARCH("/",E959) + 1, SEARCH("/",E959, SEARCH("/",E959)+1) - SEARCH("/",E959) - 1))-(LEFT(E959,FIND("/",E959)-1))), "NA"))</f>
        <v/>
      </c>
      <c r="K959" s="79">
        <f>IF(A959&lt;&gt;"", IF(ISBLANK(L959), TODAY(), K959), "")</f>
        <v/>
      </c>
      <c r="L959" s="78" t="n"/>
      <c r="M959" s="78">
        <f>IF(ISBLANK(L959),"",IF(D959="Stock",IF(C959="Buy",L959*G959,IF(C959="Sell",(L959*G959)-I959, X)),IF(C959="Buy",(L959*G959*100)+I959,IF(C959="Sell",(L959*G959*100)-I959, X))))</f>
        <v/>
      </c>
      <c r="N959" s="78">
        <f>IF(ISBLANK(L959),"",IF(AND(C959="Sell",D959="Stock"),M959,IF(ISBLANK(L959),"",IF(C959="Buy",M959, IF(AND(C959="Sell",J959="NA"),(E959*G959*100*0.1)+I959, IF(C959="Sell",(J959-L959)*(100*G959)+I959))))))</f>
        <v/>
      </c>
      <c r="O959" s="75" t="n"/>
      <c r="P959" s="75" t="n"/>
      <c r="Q959" s="75">
        <f>IF(ISBLANK(P959),"",IF(D959="Stock",P959*G959,IF(P959=0,"0",G959*P959*100-(G959*$AF$14))))</f>
        <v/>
      </c>
      <c r="R959" s="79">
        <f>IF(P959&lt;&gt;"", TODAY(), "")</f>
        <v/>
      </c>
      <c r="S959" s="78">
        <f>IF(AND(K959&lt;&gt;"", R959&lt;&gt;""), R959-K959, "")</f>
        <v/>
      </c>
      <c r="T959" s="78" t="n"/>
      <c r="U959" s="92">
        <f>IF(ISBLANK(P959),"",IF(C959="Buy",Q959-M959+T959, IF(C959="Sell",M959-Q959-T959, X)))</f>
        <v/>
      </c>
      <c r="V959" s="81">
        <f>IF(ISBLANK(P959),"",U959/N959)</f>
        <v/>
      </c>
      <c r="W959" s="81">
        <f>IF(ISBLANK(P959),"",IF(S959=0,(365/0.5)*V959,(365/S959)*V959))</f>
        <v/>
      </c>
      <c r="X959" s="75" t="n"/>
      <c r="Y959" s="77" t="n"/>
      <c r="Z959" s="77" t="n"/>
      <c r="AA959" s="75" t="n"/>
      <c r="AB959" s="75" t="n"/>
      <c r="AC959" s="6" t="n"/>
      <c r="AD959" s="75" t="n"/>
      <c r="AE959" s="75" t="n"/>
      <c r="AF959" s="75" t="n"/>
    </row>
    <row r="960" ht="15.75" customHeight="1" s="133">
      <c r="A960" s="75" t="n"/>
      <c r="B960" s="75" t="n"/>
      <c r="C960" s="75" t="n"/>
      <c r="D960" s="75" t="n"/>
      <c r="E960" s="76" t="n"/>
      <c r="F960" s="77" t="n"/>
      <c r="G960" s="75" t="n"/>
      <c r="H960" s="75">
        <f>IF(ISBLANK(E960),"",IF(OR(D960="Butterfly",D960="Butterfly ",D960="Iron Fly", D960="Iron Fly "),LEN(E960)-LEN(SUBSTITUTE(E960,"/",""))+2,LEN(E960)-LEN(SUBSTITUTE(E960,"/",""))+1))</f>
        <v/>
      </c>
      <c r="I960" s="78">
        <f>IF(ISBLANK(G960),"",IF(D960="Stock","0",Key!$A$3*H960*G960))</f>
        <v/>
      </c>
      <c r="J960" s="78">
        <f>IF(ISBLANK(E960),"",IF(ISNUMBER(SEARCH("/",E960)), IF(LEN(E960)-LEN(SUBSTITUTE(E960,"/",""))=1,(RIGHT(E960,LEN(E960)-FIND("/",E960)))-(LEFT(E960,FIND("/",E960)-1)),(MID(E960, SEARCH("/",E960) + 1, SEARCH("/",E960, SEARCH("/",E960)+1) - SEARCH("/",E960) - 1))-(LEFT(E960,FIND("/",E960)-1))), "NA"))</f>
        <v/>
      </c>
      <c r="K960" s="79">
        <f>IF(A960&lt;&gt;"", IF(ISBLANK(L960), TODAY(), K960), "")</f>
        <v/>
      </c>
      <c r="L960" s="78" t="n"/>
      <c r="M960" s="78">
        <f>IF(ISBLANK(L960),"",IF(D960="Stock",IF(C960="Buy",L960*G960,IF(C960="Sell",(L960*G960)-I960, X)),IF(C960="Buy",(L960*G960*100)+I960,IF(C960="Sell",(L960*G960*100)-I960, X))))</f>
        <v/>
      </c>
      <c r="N960" s="78">
        <f>IF(ISBLANK(L960),"",IF(AND(C960="Sell",D960="Stock"),M960,IF(ISBLANK(L960),"",IF(C960="Buy",M960, IF(AND(C960="Sell",J960="NA"),(E960*G960*100*0.1)+I960, IF(C960="Sell",(J960-L960)*(100*G960)+I960))))))</f>
        <v/>
      </c>
      <c r="O960" s="75" t="n"/>
      <c r="P960" s="75" t="n"/>
      <c r="Q960" s="75">
        <f>IF(ISBLANK(P960),"",IF(D960="Stock",P960*G960,IF(P960=0,"0",G960*P960*100-(G960*$AF$14))))</f>
        <v/>
      </c>
      <c r="R960" s="79">
        <f>IF(P960&lt;&gt;"", TODAY(), "")</f>
        <v/>
      </c>
      <c r="S960" s="78">
        <f>IF(AND(K960&lt;&gt;"", R960&lt;&gt;""), R960-K960, "")</f>
        <v/>
      </c>
      <c r="T960" s="78" t="n"/>
      <c r="U960" s="92">
        <f>IF(ISBLANK(P960),"",IF(C960="Buy",Q960-M960+T960, IF(C960="Sell",M960-Q960-T960, X)))</f>
        <v/>
      </c>
      <c r="V960" s="81">
        <f>IF(ISBLANK(P960),"",U960/N960)</f>
        <v/>
      </c>
      <c r="W960" s="81">
        <f>IF(ISBLANK(P960),"",IF(S960=0,(365/0.5)*V960,(365/S960)*V960))</f>
        <v/>
      </c>
      <c r="X960" s="75" t="n"/>
      <c r="Y960" s="77" t="n"/>
      <c r="Z960" s="77" t="n"/>
      <c r="AA960" s="75" t="n"/>
      <c r="AB960" s="75" t="n"/>
      <c r="AC960" s="6" t="n"/>
      <c r="AD960" s="75" t="n"/>
      <c r="AE960" s="75" t="n"/>
      <c r="AF960" s="75" t="n"/>
    </row>
    <row r="961" ht="15.75" customHeight="1" s="133">
      <c r="A961" s="75" t="n"/>
      <c r="B961" s="75" t="n"/>
      <c r="C961" s="75" t="n"/>
      <c r="D961" s="75" t="n"/>
      <c r="E961" s="76" t="n"/>
      <c r="F961" s="77" t="n"/>
      <c r="G961" s="75" t="n"/>
      <c r="H961" s="75">
        <f>IF(ISBLANK(E961),"",IF(OR(D961="Butterfly",D961="Butterfly ",D961="Iron Fly", D961="Iron Fly "),LEN(E961)-LEN(SUBSTITUTE(E961,"/",""))+2,LEN(E961)-LEN(SUBSTITUTE(E961,"/",""))+1))</f>
        <v/>
      </c>
      <c r="I961" s="78">
        <f>IF(ISBLANK(G961),"",IF(D961="Stock","0",Key!$A$3*H961*G961))</f>
        <v/>
      </c>
      <c r="J961" s="78">
        <f>IF(ISBLANK(E961),"",IF(ISNUMBER(SEARCH("/",E961)), IF(LEN(E961)-LEN(SUBSTITUTE(E961,"/",""))=1,(RIGHT(E961,LEN(E961)-FIND("/",E961)))-(LEFT(E961,FIND("/",E961)-1)),(MID(E961, SEARCH("/",E961) + 1, SEARCH("/",E961, SEARCH("/",E961)+1) - SEARCH("/",E961) - 1))-(LEFT(E961,FIND("/",E961)-1))), "NA"))</f>
        <v/>
      </c>
      <c r="K961" s="79">
        <f>IF(A961&lt;&gt;"", IF(ISBLANK(L961), TODAY(), K961), "")</f>
        <v/>
      </c>
      <c r="L961" s="78" t="n"/>
      <c r="M961" s="78">
        <f>IF(ISBLANK(L961),"",IF(D961="Stock",IF(C961="Buy",L961*G961,IF(C961="Sell",(L961*G961)-I961, X)),IF(C961="Buy",(L961*G961*100)+I961,IF(C961="Sell",(L961*G961*100)-I961, X))))</f>
        <v/>
      </c>
      <c r="N961" s="78">
        <f>IF(ISBLANK(L961),"",IF(AND(C961="Sell",D961="Stock"),M961,IF(ISBLANK(L961),"",IF(C961="Buy",M961, IF(AND(C961="Sell",J961="NA"),(E961*G961*100*0.1)+I961, IF(C961="Sell",(J961-L961)*(100*G961)+I961))))))</f>
        <v/>
      </c>
      <c r="O961" s="75" t="n"/>
      <c r="P961" s="75" t="n"/>
      <c r="Q961" s="75">
        <f>IF(ISBLANK(P961),"",IF(D961="Stock",P961*G961,IF(P961=0,"0",G961*P961*100-(G961*$AF$14))))</f>
        <v/>
      </c>
      <c r="R961" s="79">
        <f>IF(P961&lt;&gt;"", TODAY(), "")</f>
        <v/>
      </c>
      <c r="S961" s="78">
        <f>IF(AND(K961&lt;&gt;"", R961&lt;&gt;""), R961-K961, "")</f>
        <v/>
      </c>
      <c r="T961" s="78" t="n"/>
      <c r="U961" s="92">
        <f>IF(ISBLANK(P961),"",IF(C961="Buy",Q961-M961+T961, IF(C961="Sell",M961-Q961-T961, X)))</f>
        <v/>
      </c>
      <c r="V961" s="81">
        <f>IF(ISBLANK(P961),"",U961/N961)</f>
        <v/>
      </c>
      <c r="W961" s="81">
        <f>IF(ISBLANK(P961),"",IF(S961=0,(365/0.5)*V961,(365/S961)*V961))</f>
        <v/>
      </c>
      <c r="X961" s="75" t="n"/>
      <c r="Y961" s="77" t="n"/>
      <c r="Z961" s="77" t="n"/>
      <c r="AA961" s="75" t="n"/>
      <c r="AB961" s="75" t="n"/>
      <c r="AC961" s="6" t="n"/>
      <c r="AD961" s="75" t="n"/>
      <c r="AE961" s="75" t="n"/>
      <c r="AF961" s="75" t="n"/>
    </row>
    <row r="962" ht="15.75" customHeight="1" s="133">
      <c r="A962" s="75" t="n"/>
      <c r="B962" s="75" t="n"/>
      <c r="C962" s="75" t="n"/>
      <c r="D962" s="75" t="n"/>
      <c r="E962" s="76" t="n"/>
      <c r="F962" s="77" t="n"/>
      <c r="G962" s="75" t="n"/>
      <c r="H962" s="75">
        <f>IF(ISBLANK(E962),"",IF(OR(D962="Butterfly",D962="Butterfly ",D962="Iron Fly", D962="Iron Fly "),LEN(E962)-LEN(SUBSTITUTE(E962,"/",""))+2,LEN(E962)-LEN(SUBSTITUTE(E962,"/",""))+1))</f>
        <v/>
      </c>
      <c r="I962" s="78">
        <f>IF(ISBLANK(G962),"",IF(D962="Stock","0",Key!$A$3*H962*G962))</f>
        <v/>
      </c>
      <c r="J962" s="78">
        <f>IF(ISBLANK(E962),"",IF(ISNUMBER(SEARCH("/",E962)), IF(LEN(E962)-LEN(SUBSTITUTE(E962,"/",""))=1,(RIGHT(E962,LEN(E962)-FIND("/",E962)))-(LEFT(E962,FIND("/",E962)-1)),(MID(E962, SEARCH("/",E962) + 1, SEARCH("/",E962, SEARCH("/",E962)+1) - SEARCH("/",E962) - 1))-(LEFT(E962,FIND("/",E962)-1))), "NA"))</f>
        <v/>
      </c>
      <c r="K962" s="79">
        <f>IF(A962&lt;&gt;"", IF(ISBLANK(L962), TODAY(), K962), "")</f>
        <v/>
      </c>
      <c r="L962" s="78" t="n"/>
      <c r="M962" s="78">
        <f>IF(ISBLANK(L962),"",IF(D962="Stock",IF(C962="Buy",L962*G962,IF(C962="Sell",(L962*G962)-I962, X)),IF(C962="Buy",(L962*G962*100)+I962,IF(C962="Sell",(L962*G962*100)-I962, X))))</f>
        <v/>
      </c>
      <c r="N962" s="78">
        <f>IF(ISBLANK(L962),"",IF(AND(C962="Sell",D962="Stock"),M962,IF(ISBLANK(L962),"",IF(C962="Buy",M962, IF(AND(C962="Sell",J962="NA"),(E962*G962*100*0.1)+I962, IF(C962="Sell",(J962-L962)*(100*G962)+I962))))))</f>
        <v/>
      </c>
      <c r="O962" s="75" t="n"/>
      <c r="P962" s="75" t="n"/>
      <c r="Q962" s="75">
        <f>IF(ISBLANK(P962),"",IF(D962="Stock",P962*G962,IF(P962=0,"0",G962*P962*100-(G962*$AF$14))))</f>
        <v/>
      </c>
      <c r="R962" s="79">
        <f>IF(P962&lt;&gt;"", TODAY(), "")</f>
        <v/>
      </c>
      <c r="S962" s="78">
        <f>IF(AND(K962&lt;&gt;"", R962&lt;&gt;""), R962-K962, "")</f>
        <v/>
      </c>
      <c r="T962" s="78" t="n"/>
      <c r="U962" s="92">
        <f>IF(ISBLANK(P962),"",IF(C962="Buy",Q962-M962+T962, IF(C962="Sell",M962-Q962-T962, X)))</f>
        <v/>
      </c>
      <c r="V962" s="81">
        <f>IF(ISBLANK(P962),"",U962/N962)</f>
        <v/>
      </c>
      <c r="W962" s="81">
        <f>IF(ISBLANK(P962),"",IF(S962=0,(365/0.5)*V962,(365/S962)*V962))</f>
        <v/>
      </c>
      <c r="X962" s="75" t="n"/>
      <c r="Y962" s="77" t="n"/>
      <c r="Z962" s="77" t="n"/>
      <c r="AA962" s="75" t="n"/>
      <c r="AB962" s="75" t="n"/>
      <c r="AC962" s="6" t="n"/>
      <c r="AD962" s="75" t="n"/>
      <c r="AE962" s="75" t="n"/>
      <c r="AF962" s="75" t="n"/>
    </row>
    <row r="963" ht="15.75" customHeight="1" s="133">
      <c r="A963" s="75" t="n"/>
      <c r="B963" s="75" t="n"/>
      <c r="C963" s="75" t="n"/>
      <c r="D963" s="75" t="n"/>
      <c r="E963" s="76" t="n"/>
      <c r="F963" s="77" t="n"/>
      <c r="G963" s="75" t="n"/>
      <c r="H963" s="75">
        <f>IF(ISBLANK(E963),"",IF(OR(D963="Butterfly",D963="Butterfly ",D963="Iron Fly", D963="Iron Fly "),LEN(E963)-LEN(SUBSTITUTE(E963,"/",""))+2,LEN(E963)-LEN(SUBSTITUTE(E963,"/",""))+1))</f>
        <v/>
      </c>
      <c r="I963" s="78">
        <f>IF(ISBLANK(G963),"",IF(D963="Stock","0",Key!$A$3*H963*G963))</f>
        <v/>
      </c>
      <c r="J963" s="78">
        <f>IF(ISBLANK(E963),"",IF(ISNUMBER(SEARCH("/",E963)), IF(LEN(E963)-LEN(SUBSTITUTE(E963,"/",""))=1,(RIGHT(E963,LEN(E963)-FIND("/",E963)))-(LEFT(E963,FIND("/",E963)-1)),(MID(E963, SEARCH("/",E963) + 1, SEARCH("/",E963, SEARCH("/",E963)+1) - SEARCH("/",E963) - 1))-(LEFT(E963,FIND("/",E963)-1))), "NA"))</f>
        <v/>
      </c>
      <c r="K963" s="79">
        <f>IF(A963&lt;&gt;"", IF(ISBLANK(L963), TODAY(), K963), "")</f>
        <v/>
      </c>
      <c r="L963" s="78" t="n"/>
      <c r="M963" s="78">
        <f>IF(ISBLANK(L963),"",IF(D963="Stock",IF(C963="Buy",L963*G963,IF(C963="Sell",(L963*G963)-I963, X)),IF(C963="Buy",(L963*G963*100)+I963,IF(C963="Sell",(L963*G963*100)-I963, X))))</f>
        <v/>
      </c>
      <c r="N963" s="78">
        <f>IF(ISBLANK(L963),"",IF(AND(C963="Sell",D963="Stock"),M963,IF(ISBLANK(L963),"",IF(C963="Buy",M963, IF(AND(C963="Sell",J963="NA"),(E963*G963*100*0.1)+I963, IF(C963="Sell",(J963-L963)*(100*G963)+I963))))))</f>
        <v/>
      </c>
      <c r="O963" s="75" t="n"/>
      <c r="P963" s="75" t="n"/>
      <c r="Q963" s="75">
        <f>IF(ISBLANK(P963),"",IF(D963="Stock",P963*G963,IF(P963=0,"0",G963*P963*100-(G963*$AF$14))))</f>
        <v/>
      </c>
      <c r="R963" s="79">
        <f>IF(P963&lt;&gt;"", TODAY(), "")</f>
        <v/>
      </c>
      <c r="S963" s="78">
        <f>IF(AND(K963&lt;&gt;"", R963&lt;&gt;""), R963-K963, "")</f>
        <v/>
      </c>
      <c r="T963" s="78" t="n"/>
      <c r="U963" s="92">
        <f>IF(ISBLANK(P963),"",IF(C963="Buy",Q963-M963+T963, IF(C963="Sell",M963-Q963-T963, X)))</f>
        <v/>
      </c>
      <c r="V963" s="81">
        <f>IF(ISBLANK(P963),"",U963/N963)</f>
        <v/>
      </c>
      <c r="W963" s="81">
        <f>IF(ISBLANK(P963),"",IF(S963=0,(365/0.5)*V963,(365/S963)*V963))</f>
        <v/>
      </c>
      <c r="X963" s="75" t="n"/>
      <c r="Y963" s="77" t="n"/>
      <c r="Z963" s="77" t="n"/>
      <c r="AA963" s="75" t="n"/>
      <c r="AB963" s="75" t="n"/>
      <c r="AC963" s="6" t="n"/>
      <c r="AD963" s="75" t="n"/>
      <c r="AE963" s="75" t="n"/>
      <c r="AF963" s="75" t="n"/>
    </row>
    <row r="964" ht="15.75" customHeight="1" s="133">
      <c r="A964" s="75" t="n"/>
      <c r="B964" s="75" t="n"/>
      <c r="C964" s="75" t="n"/>
      <c r="D964" s="75" t="n"/>
      <c r="E964" s="76" t="n"/>
      <c r="F964" s="77" t="n"/>
      <c r="G964" s="75" t="n"/>
      <c r="H964" s="75">
        <f>IF(ISBLANK(E964),"",IF(OR(D964="Butterfly",D964="Butterfly ",D964="Iron Fly", D964="Iron Fly "),LEN(E964)-LEN(SUBSTITUTE(E964,"/",""))+2,LEN(E964)-LEN(SUBSTITUTE(E964,"/",""))+1))</f>
        <v/>
      </c>
      <c r="I964" s="78">
        <f>IF(ISBLANK(G964),"",IF(D964="Stock","0",Key!$A$3*H964*G964))</f>
        <v/>
      </c>
      <c r="J964" s="78">
        <f>IF(ISBLANK(E964),"",IF(ISNUMBER(SEARCH("/",E964)), IF(LEN(E964)-LEN(SUBSTITUTE(E964,"/",""))=1,(RIGHT(E964,LEN(E964)-FIND("/",E964)))-(LEFT(E964,FIND("/",E964)-1)),(MID(E964, SEARCH("/",E964) + 1, SEARCH("/",E964, SEARCH("/",E964)+1) - SEARCH("/",E964) - 1))-(LEFT(E964,FIND("/",E964)-1))), "NA"))</f>
        <v/>
      </c>
      <c r="K964" s="79">
        <f>IF(A964&lt;&gt;"", IF(ISBLANK(L964), TODAY(), K964), "")</f>
        <v/>
      </c>
      <c r="L964" s="78" t="n"/>
      <c r="M964" s="78">
        <f>IF(ISBLANK(L964),"",IF(D964="Stock",IF(C964="Buy",L964*G964,IF(C964="Sell",(L964*G964)-I964, X)),IF(C964="Buy",(L964*G964*100)+I964,IF(C964="Sell",(L964*G964*100)-I964, X))))</f>
        <v/>
      </c>
      <c r="N964" s="78">
        <f>IF(ISBLANK(L964),"",IF(AND(C964="Sell",D964="Stock"),M964,IF(ISBLANK(L964),"",IF(C964="Buy",M964, IF(AND(C964="Sell",J964="NA"),(E964*G964*100*0.1)+I964, IF(C964="Sell",(J964-L964)*(100*G964)+I964))))))</f>
        <v/>
      </c>
      <c r="O964" s="75" t="n"/>
      <c r="P964" s="75" t="n"/>
      <c r="Q964" s="75">
        <f>IF(ISBLANK(P964),"",IF(D964="Stock",P964*G964,IF(P964=0,"0",G964*P964*100-(G964*$AF$14))))</f>
        <v/>
      </c>
      <c r="R964" s="79">
        <f>IF(P964&lt;&gt;"", TODAY(), "")</f>
        <v/>
      </c>
      <c r="S964" s="78">
        <f>IF(AND(K964&lt;&gt;"", R964&lt;&gt;""), R964-K964, "")</f>
        <v/>
      </c>
      <c r="T964" s="78" t="n"/>
      <c r="U964" s="92">
        <f>IF(ISBLANK(P964),"",IF(C964="Buy",Q964-M964+T964, IF(C964="Sell",M964-Q964-T964, X)))</f>
        <v/>
      </c>
      <c r="V964" s="81">
        <f>IF(ISBLANK(P964),"",U964/N964)</f>
        <v/>
      </c>
      <c r="W964" s="81">
        <f>IF(ISBLANK(P964),"",IF(S964=0,(365/0.5)*V964,(365/S964)*V964))</f>
        <v/>
      </c>
      <c r="X964" s="75" t="n"/>
      <c r="Y964" s="77" t="n"/>
      <c r="Z964" s="77" t="n"/>
      <c r="AA964" s="75" t="n"/>
      <c r="AB964" s="75" t="n"/>
      <c r="AC964" s="6" t="n"/>
      <c r="AD964" s="75" t="n"/>
      <c r="AE964" s="75" t="n"/>
      <c r="AF964" s="75" t="n"/>
    </row>
    <row r="965" ht="15.75" customHeight="1" s="133">
      <c r="A965" s="75" t="n"/>
      <c r="B965" s="75" t="n"/>
      <c r="C965" s="75" t="n"/>
      <c r="D965" s="75" t="n"/>
      <c r="E965" s="76" t="n"/>
      <c r="F965" s="77" t="n"/>
      <c r="G965" s="75" t="n"/>
      <c r="H965" s="75">
        <f>IF(ISBLANK(E965),"",IF(OR(D965="Butterfly",D965="Butterfly ",D965="Iron Fly", D965="Iron Fly "),LEN(E965)-LEN(SUBSTITUTE(E965,"/",""))+2,LEN(E965)-LEN(SUBSTITUTE(E965,"/",""))+1))</f>
        <v/>
      </c>
      <c r="I965" s="78">
        <f>IF(ISBLANK(G965),"",IF(D965="Stock","0",Key!$A$3*H965*G965))</f>
        <v/>
      </c>
      <c r="J965" s="78">
        <f>IF(ISBLANK(E965),"",IF(ISNUMBER(SEARCH("/",E965)), IF(LEN(E965)-LEN(SUBSTITUTE(E965,"/",""))=1,(RIGHT(E965,LEN(E965)-FIND("/",E965)))-(LEFT(E965,FIND("/",E965)-1)),(MID(E965, SEARCH("/",E965) + 1, SEARCH("/",E965, SEARCH("/",E965)+1) - SEARCH("/",E965) - 1))-(LEFT(E965,FIND("/",E965)-1))), "NA"))</f>
        <v/>
      </c>
      <c r="K965" s="79">
        <f>IF(A965&lt;&gt;"", IF(ISBLANK(L965), TODAY(), K965), "")</f>
        <v/>
      </c>
      <c r="L965" s="78" t="n"/>
      <c r="M965" s="78">
        <f>IF(ISBLANK(L965),"",IF(D965="Stock",IF(C965="Buy",L965*G965,IF(C965="Sell",(L965*G965)-I965, X)),IF(C965="Buy",(L965*G965*100)+I965,IF(C965="Sell",(L965*G965*100)-I965, X))))</f>
        <v/>
      </c>
      <c r="N965" s="78">
        <f>IF(ISBLANK(L965),"",IF(AND(C965="Sell",D965="Stock"),M965,IF(ISBLANK(L965),"",IF(C965="Buy",M965, IF(AND(C965="Sell",J965="NA"),(E965*G965*100*0.1)+I965, IF(C965="Sell",(J965-L965)*(100*G965)+I965))))))</f>
        <v/>
      </c>
      <c r="O965" s="75" t="n"/>
      <c r="P965" s="75" t="n"/>
      <c r="Q965" s="75">
        <f>IF(ISBLANK(P965),"",IF(D965="Stock",P965*G965,IF(P965=0,"0",G965*P965*100-(G965*$AF$14))))</f>
        <v/>
      </c>
      <c r="R965" s="79">
        <f>IF(P965&lt;&gt;"", TODAY(), "")</f>
        <v/>
      </c>
      <c r="S965" s="78">
        <f>IF(AND(K965&lt;&gt;"", R965&lt;&gt;""), R965-K965, "")</f>
        <v/>
      </c>
      <c r="T965" s="78" t="n"/>
      <c r="U965" s="92">
        <f>IF(ISBLANK(P965),"",IF(C965="Buy",Q965-M965+T965, IF(C965="Sell",M965-Q965-T965, X)))</f>
        <v/>
      </c>
      <c r="V965" s="81">
        <f>IF(ISBLANK(P965),"",U965/N965)</f>
        <v/>
      </c>
      <c r="W965" s="81">
        <f>IF(ISBLANK(P965),"",IF(S965=0,(365/0.5)*V965,(365/S965)*V965))</f>
        <v/>
      </c>
      <c r="X965" s="75" t="n"/>
      <c r="Y965" s="77" t="n"/>
      <c r="Z965" s="77" t="n"/>
      <c r="AA965" s="75" t="n"/>
      <c r="AB965" s="75" t="n"/>
      <c r="AC965" s="6" t="n"/>
      <c r="AD965" s="75" t="n"/>
      <c r="AE965" s="75" t="n"/>
      <c r="AF965" s="75" t="n"/>
    </row>
    <row r="966" ht="15.75" customHeight="1" s="133">
      <c r="A966" s="75" t="n"/>
      <c r="B966" s="75" t="n"/>
      <c r="C966" s="75" t="n"/>
      <c r="D966" s="75" t="n"/>
      <c r="E966" s="76" t="n"/>
      <c r="F966" s="77" t="n"/>
      <c r="G966" s="75" t="n"/>
      <c r="H966" s="75">
        <f>IF(ISBLANK(E966),"",IF(OR(D966="Butterfly",D966="Butterfly ",D966="Iron Fly", D966="Iron Fly "),LEN(E966)-LEN(SUBSTITUTE(E966,"/",""))+2,LEN(E966)-LEN(SUBSTITUTE(E966,"/",""))+1))</f>
        <v/>
      </c>
      <c r="I966" s="78">
        <f>IF(ISBLANK(G966),"",IF(D966="Stock","0",Key!$A$3*H966*G966))</f>
        <v/>
      </c>
      <c r="J966" s="78">
        <f>IF(ISBLANK(E966),"",IF(ISNUMBER(SEARCH("/",E966)), IF(LEN(E966)-LEN(SUBSTITUTE(E966,"/",""))=1,(RIGHT(E966,LEN(E966)-FIND("/",E966)))-(LEFT(E966,FIND("/",E966)-1)),(MID(E966, SEARCH("/",E966) + 1, SEARCH("/",E966, SEARCH("/",E966)+1) - SEARCH("/",E966) - 1))-(LEFT(E966,FIND("/",E966)-1))), "NA"))</f>
        <v/>
      </c>
      <c r="K966" s="79">
        <f>IF(A966&lt;&gt;"", IF(ISBLANK(L966), TODAY(), K966), "")</f>
        <v/>
      </c>
      <c r="L966" s="78" t="n"/>
      <c r="M966" s="78">
        <f>IF(ISBLANK(L966),"",IF(D966="Stock",IF(C966="Buy",L966*G966,IF(C966="Sell",(L966*G966)-I966, X)),IF(C966="Buy",(L966*G966*100)+I966,IF(C966="Sell",(L966*G966*100)-I966, X))))</f>
        <v/>
      </c>
      <c r="N966" s="78">
        <f>IF(ISBLANK(L966),"",IF(AND(C966="Sell",D966="Stock"),M966,IF(ISBLANK(L966),"",IF(C966="Buy",M966, IF(AND(C966="Sell",J966="NA"),(E966*G966*100*0.1)+I966, IF(C966="Sell",(J966-L966)*(100*G966)+I966))))))</f>
        <v/>
      </c>
      <c r="O966" s="75" t="n"/>
      <c r="P966" s="75" t="n"/>
      <c r="Q966" s="75">
        <f>IF(ISBLANK(P966),"",IF(D966="Stock",P966*G966,IF(P966=0,"0",G966*P966*100-(G966*$AF$14))))</f>
        <v/>
      </c>
      <c r="R966" s="79">
        <f>IF(P966&lt;&gt;"", TODAY(), "")</f>
        <v/>
      </c>
      <c r="S966" s="78">
        <f>IF(AND(K966&lt;&gt;"", R966&lt;&gt;""), R966-K966, "")</f>
        <v/>
      </c>
      <c r="T966" s="78" t="n"/>
      <c r="U966" s="92">
        <f>IF(ISBLANK(P966),"",IF(C966="Buy",Q966-M966+T966, IF(C966="Sell",M966-Q966-T966, X)))</f>
        <v/>
      </c>
      <c r="V966" s="81">
        <f>IF(ISBLANK(P966),"",U966/N966)</f>
        <v/>
      </c>
      <c r="W966" s="81">
        <f>IF(ISBLANK(P966),"",IF(S966=0,(365/0.5)*V966,(365/S966)*V966))</f>
        <v/>
      </c>
      <c r="X966" s="75" t="n"/>
      <c r="Y966" s="77" t="n"/>
      <c r="Z966" s="77" t="n"/>
      <c r="AA966" s="75" t="n"/>
      <c r="AB966" s="75" t="n"/>
      <c r="AC966" s="6" t="n"/>
      <c r="AD966" s="75" t="n"/>
      <c r="AE966" s="75" t="n"/>
      <c r="AF966" s="75" t="n"/>
    </row>
    <row r="967" ht="15.75" customHeight="1" s="133">
      <c r="A967" s="75" t="n"/>
      <c r="B967" s="75" t="n"/>
      <c r="C967" s="75" t="n"/>
      <c r="D967" s="75" t="n"/>
      <c r="E967" s="76" t="n"/>
      <c r="F967" s="77" t="n"/>
      <c r="G967" s="75" t="n"/>
      <c r="H967" s="75">
        <f>IF(ISBLANK(E967),"",IF(OR(D967="Butterfly",D967="Butterfly ",D967="Iron Fly", D967="Iron Fly "),LEN(E967)-LEN(SUBSTITUTE(E967,"/",""))+2,LEN(E967)-LEN(SUBSTITUTE(E967,"/",""))+1))</f>
        <v/>
      </c>
      <c r="I967" s="78">
        <f>IF(ISBLANK(G967),"",IF(D967="Stock","0",Key!$A$3*H967*G967))</f>
        <v/>
      </c>
      <c r="J967" s="78">
        <f>IF(ISBLANK(E967),"",IF(ISNUMBER(SEARCH("/",E967)), IF(LEN(E967)-LEN(SUBSTITUTE(E967,"/",""))=1,(RIGHT(E967,LEN(E967)-FIND("/",E967)))-(LEFT(E967,FIND("/",E967)-1)),(MID(E967, SEARCH("/",E967) + 1, SEARCH("/",E967, SEARCH("/",E967)+1) - SEARCH("/",E967) - 1))-(LEFT(E967,FIND("/",E967)-1))), "NA"))</f>
        <v/>
      </c>
      <c r="K967" s="79">
        <f>IF(A967&lt;&gt;"", IF(ISBLANK(L967), TODAY(), K967), "")</f>
        <v/>
      </c>
      <c r="L967" s="78" t="n"/>
      <c r="M967" s="78">
        <f>IF(ISBLANK(L967),"",IF(D967="Stock",IF(C967="Buy",L967*G967,IF(C967="Sell",(L967*G967)-I967, X)),IF(C967="Buy",(L967*G967*100)+I967,IF(C967="Sell",(L967*G967*100)-I967, X))))</f>
        <v/>
      </c>
      <c r="N967" s="78">
        <f>IF(ISBLANK(L967),"",IF(AND(C967="Sell",D967="Stock"),M967,IF(ISBLANK(L967),"",IF(C967="Buy",M967, IF(AND(C967="Sell",J967="NA"),(E967*G967*100*0.1)+I967, IF(C967="Sell",(J967-L967)*(100*G967)+I967))))))</f>
        <v/>
      </c>
      <c r="O967" s="75" t="n"/>
      <c r="P967" s="75" t="n"/>
      <c r="Q967" s="75">
        <f>IF(ISBLANK(P967),"",IF(D967="Stock",P967*G967,IF(P967=0,"0",G967*P967*100-(G967*$AF$14))))</f>
        <v/>
      </c>
      <c r="R967" s="79">
        <f>IF(P967&lt;&gt;"", TODAY(), "")</f>
        <v/>
      </c>
      <c r="S967" s="78">
        <f>IF(AND(K967&lt;&gt;"", R967&lt;&gt;""), R967-K967, "")</f>
        <v/>
      </c>
      <c r="T967" s="78" t="n"/>
      <c r="U967" s="92">
        <f>IF(ISBLANK(P967),"",IF(C967="Buy",Q967-M967+T967, IF(C967="Sell",M967-Q967-T967, X)))</f>
        <v/>
      </c>
      <c r="V967" s="81">
        <f>IF(ISBLANK(P967),"",U967/N967)</f>
        <v/>
      </c>
      <c r="W967" s="81">
        <f>IF(ISBLANK(P967),"",IF(S967=0,(365/0.5)*V967,(365/S967)*V967))</f>
        <v/>
      </c>
      <c r="X967" s="75" t="n"/>
      <c r="Y967" s="77" t="n"/>
      <c r="Z967" s="77" t="n"/>
      <c r="AA967" s="75" t="n"/>
      <c r="AB967" s="75" t="n"/>
      <c r="AC967" s="6" t="n"/>
      <c r="AD967" s="75" t="n"/>
      <c r="AE967" s="75" t="n"/>
      <c r="AF967" s="75" t="n"/>
    </row>
    <row r="968" ht="15.75" customHeight="1" s="133">
      <c r="A968" s="75" t="n"/>
      <c r="B968" s="75" t="n"/>
      <c r="C968" s="75" t="n"/>
      <c r="D968" s="75" t="n"/>
      <c r="E968" s="76" t="n"/>
      <c r="F968" s="77" t="n"/>
      <c r="G968" s="75" t="n"/>
      <c r="H968" s="75">
        <f>IF(ISBLANK(E968),"",IF(OR(D968="Butterfly",D968="Butterfly ",D968="Iron Fly", D968="Iron Fly "),LEN(E968)-LEN(SUBSTITUTE(E968,"/",""))+2,LEN(E968)-LEN(SUBSTITUTE(E968,"/",""))+1))</f>
        <v/>
      </c>
      <c r="I968" s="78">
        <f>IF(ISBLANK(G968),"",IF(D968="Stock","0",Key!$A$3*H968*G968))</f>
        <v/>
      </c>
      <c r="J968" s="78">
        <f>IF(ISBLANK(E968),"",IF(ISNUMBER(SEARCH("/",E968)), IF(LEN(E968)-LEN(SUBSTITUTE(E968,"/",""))=1,(RIGHT(E968,LEN(E968)-FIND("/",E968)))-(LEFT(E968,FIND("/",E968)-1)),(MID(E968, SEARCH("/",E968) + 1, SEARCH("/",E968, SEARCH("/",E968)+1) - SEARCH("/",E968) - 1))-(LEFT(E968,FIND("/",E968)-1))), "NA"))</f>
        <v/>
      </c>
      <c r="K968" s="79">
        <f>IF(A968&lt;&gt;"", IF(ISBLANK(L968), TODAY(), K968), "")</f>
        <v/>
      </c>
      <c r="L968" s="78" t="n"/>
      <c r="M968" s="78">
        <f>IF(ISBLANK(L968),"",IF(D968="Stock",IF(C968="Buy",L968*G968,IF(C968="Sell",(L968*G968)-I968, X)),IF(C968="Buy",(L968*G968*100)+I968,IF(C968="Sell",(L968*G968*100)-I968, X))))</f>
        <v/>
      </c>
      <c r="N968" s="78">
        <f>IF(ISBLANK(L968),"",IF(AND(C968="Sell",D968="Stock"),M968,IF(ISBLANK(L968),"",IF(C968="Buy",M968, IF(AND(C968="Sell",J968="NA"),(E968*G968*100*0.1)+I968, IF(C968="Sell",(J968-L968)*(100*G968)+I968))))))</f>
        <v/>
      </c>
      <c r="O968" s="75" t="n"/>
      <c r="P968" s="75" t="n"/>
      <c r="Q968" s="75">
        <f>IF(ISBLANK(P968),"",IF(D968="Stock",P968*G968,IF(P968=0,"0",G968*P968*100-(G968*$AF$14))))</f>
        <v/>
      </c>
      <c r="R968" s="79">
        <f>IF(P968&lt;&gt;"", TODAY(), "")</f>
        <v/>
      </c>
      <c r="S968" s="78">
        <f>IF(AND(K968&lt;&gt;"", R968&lt;&gt;""), R968-K968, "")</f>
        <v/>
      </c>
      <c r="T968" s="78" t="n"/>
      <c r="U968" s="92">
        <f>IF(ISBLANK(P968),"",IF(C968="Buy",Q968-M968+T968, IF(C968="Sell",M968-Q968-T968, X)))</f>
        <v/>
      </c>
      <c r="V968" s="81">
        <f>IF(ISBLANK(P968),"",U968/N968)</f>
        <v/>
      </c>
      <c r="W968" s="81">
        <f>IF(ISBLANK(P968),"",IF(S968=0,(365/0.5)*V968,(365/S968)*V968))</f>
        <v/>
      </c>
      <c r="X968" s="75" t="n"/>
      <c r="Y968" s="77" t="n"/>
      <c r="Z968" s="77" t="n"/>
      <c r="AA968" s="75" t="n"/>
      <c r="AB968" s="75" t="n"/>
      <c r="AC968" s="6" t="n"/>
      <c r="AD968" s="75" t="n"/>
      <c r="AE968" s="75" t="n"/>
      <c r="AF968" s="75" t="n"/>
    </row>
    <row r="969" ht="15.75" customHeight="1" s="133">
      <c r="A969" s="75" t="n"/>
      <c r="B969" s="75" t="n"/>
      <c r="C969" s="75" t="n"/>
      <c r="D969" s="75" t="n"/>
      <c r="E969" s="76" t="n"/>
      <c r="F969" s="77" t="n"/>
      <c r="G969" s="75" t="n"/>
      <c r="H969" s="75">
        <f>IF(ISBLANK(E969),"",IF(OR(D969="Butterfly",D969="Butterfly ",D969="Iron Fly", D969="Iron Fly "),LEN(E969)-LEN(SUBSTITUTE(E969,"/",""))+2,LEN(E969)-LEN(SUBSTITUTE(E969,"/",""))+1))</f>
        <v/>
      </c>
      <c r="I969" s="78">
        <f>IF(ISBLANK(G969),"",IF(D969="Stock","0",Key!$A$3*H969*G969))</f>
        <v/>
      </c>
      <c r="J969" s="78">
        <f>IF(ISBLANK(E969),"",IF(ISNUMBER(SEARCH("/",E969)), IF(LEN(E969)-LEN(SUBSTITUTE(E969,"/",""))=1,(RIGHT(E969,LEN(E969)-FIND("/",E969)))-(LEFT(E969,FIND("/",E969)-1)),(MID(E969, SEARCH("/",E969) + 1, SEARCH("/",E969, SEARCH("/",E969)+1) - SEARCH("/",E969) - 1))-(LEFT(E969,FIND("/",E969)-1))), "NA"))</f>
        <v/>
      </c>
      <c r="K969" s="79">
        <f>IF(A969&lt;&gt;"", IF(ISBLANK(L969), TODAY(), K969), "")</f>
        <v/>
      </c>
      <c r="L969" s="78" t="n"/>
      <c r="M969" s="78">
        <f>IF(ISBLANK(L969),"",IF(D969="Stock",IF(C969="Buy",L969*G969,IF(C969="Sell",(L969*G969)-I969, X)),IF(C969="Buy",(L969*G969*100)+I969,IF(C969="Sell",(L969*G969*100)-I969, X))))</f>
        <v/>
      </c>
      <c r="N969" s="78">
        <f>IF(ISBLANK(L969),"",IF(AND(C969="Sell",D969="Stock"),M969,IF(ISBLANK(L969),"",IF(C969="Buy",M969, IF(AND(C969="Sell",J969="NA"),(E969*G969*100*0.1)+I969, IF(C969="Sell",(J969-L969)*(100*G969)+I969))))))</f>
        <v/>
      </c>
      <c r="O969" s="75" t="n"/>
      <c r="P969" s="75" t="n"/>
      <c r="Q969" s="75">
        <f>IF(ISBLANK(P969),"",IF(D969="Stock",P969*G969,IF(P969=0,"0",G969*P969*100-(G969*$AF$14))))</f>
        <v/>
      </c>
      <c r="R969" s="79">
        <f>IF(P969&lt;&gt;"", TODAY(), "")</f>
        <v/>
      </c>
      <c r="S969" s="78">
        <f>IF(AND(K969&lt;&gt;"", R969&lt;&gt;""), R969-K969, "")</f>
        <v/>
      </c>
      <c r="T969" s="78" t="n"/>
      <c r="U969" s="92">
        <f>IF(ISBLANK(P969),"",IF(C969="Buy",Q969-M969+T969, IF(C969="Sell",M969-Q969-T969, X)))</f>
        <v/>
      </c>
      <c r="V969" s="81">
        <f>IF(ISBLANK(P969),"",U969/N969)</f>
        <v/>
      </c>
      <c r="W969" s="81">
        <f>IF(ISBLANK(P969),"",IF(S969=0,(365/0.5)*V969,(365/S969)*V969))</f>
        <v/>
      </c>
      <c r="X969" s="75" t="n"/>
      <c r="Y969" s="77" t="n"/>
      <c r="Z969" s="77" t="n"/>
      <c r="AA969" s="75" t="n"/>
      <c r="AB969" s="75" t="n"/>
      <c r="AC969" s="6" t="n"/>
      <c r="AD969" s="75" t="n"/>
      <c r="AE969" s="75" t="n"/>
      <c r="AF969" s="75" t="n"/>
    </row>
    <row r="970" ht="15.75" customHeight="1" s="133">
      <c r="A970" s="75" t="n"/>
      <c r="B970" s="75" t="n"/>
      <c r="C970" s="75" t="n"/>
      <c r="D970" s="75" t="n"/>
      <c r="E970" s="76" t="n"/>
      <c r="F970" s="77" t="n"/>
      <c r="G970" s="75" t="n"/>
      <c r="H970" s="75">
        <f>IF(ISBLANK(E970),"",IF(OR(D970="Butterfly",D970="Butterfly ",D970="Iron Fly", D970="Iron Fly "),LEN(E970)-LEN(SUBSTITUTE(E970,"/",""))+2,LEN(E970)-LEN(SUBSTITUTE(E970,"/",""))+1))</f>
        <v/>
      </c>
      <c r="I970" s="78">
        <f>IF(ISBLANK(G970),"",IF(D970="Stock","0",Key!$A$3*H970*G970))</f>
        <v/>
      </c>
      <c r="J970" s="78">
        <f>IF(ISBLANK(E970),"",IF(ISNUMBER(SEARCH("/",E970)), IF(LEN(E970)-LEN(SUBSTITUTE(E970,"/",""))=1,(RIGHT(E970,LEN(E970)-FIND("/",E970)))-(LEFT(E970,FIND("/",E970)-1)),(MID(E970, SEARCH("/",E970) + 1, SEARCH("/",E970, SEARCH("/",E970)+1) - SEARCH("/",E970) - 1))-(LEFT(E970,FIND("/",E970)-1))), "NA"))</f>
        <v/>
      </c>
      <c r="K970" s="79">
        <f>IF(A970&lt;&gt;"", IF(ISBLANK(L970), TODAY(), K970), "")</f>
        <v/>
      </c>
      <c r="L970" s="78" t="n"/>
      <c r="M970" s="78">
        <f>IF(ISBLANK(L970),"",IF(D970="Stock",IF(C970="Buy",L970*G970,IF(C970="Sell",(L970*G970)-I970, X)),IF(C970="Buy",(L970*G970*100)+I970,IF(C970="Sell",(L970*G970*100)-I970, X))))</f>
        <v/>
      </c>
      <c r="N970" s="78">
        <f>IF(ISBLANK(L970),"",IF(AND(C970="Sell",D970="Stock"),M970,IF(ISBLANK(L970),"",IF(C970="Buy",M970, IF(AND(C970="Sell",J970="NA"),(E970*G970*100*0.1)+I970, IF(C970="Sell",(J970-L970)*(100*G970)+I970))))))</f>
        <v/>
      </c>
      <c r="O970" s="75" t="n"/>
      <c r="P970" s="75" t="n"/>
      <c r="Q970" s="75">
        <f>IF(ISBLANK(P970),"",IF(D970="Stock",P970*G970,IF(P970=0,"0",G970*P970*100-(G970*$AF$14))))</f>
        <v/>
      </c>
      <c r="R970" s="79">
        <f>IF(P970&lt;&gt;"", TODAY(), "")</f>
        <v/>
      </c>
      <c r="S970" s="78">
        <f>IF(AND(K970&lt;&gt;"", R970&lt;&gt;""), R970-K970, "")</f>
        <v/>
      </c>
      <c r="T970" s="78" t="n"/>
      <c r="U970" s="92">
        <f>IF(ISBLANK(P970),"",IF(C970="Buy",Q970-M970+T970, IF(C970="Sell",M970-Q970-T970, X)))</f>
        <v/>
      </c>
      <c r="V970" s="81">
        <f>IF(ISBLANK(P970),"",U970/N970)</f>
        <v/>
      </c>
      <c r="W970" s="81">
        <f>IF(ISBLANK(P970),"",IF(S970=0,(365/0.5)*V970,(365/S970)*V970))</f>
        <v/>
      </c>
      <c r="X970" s="75" t="n"/>
      <c r="Y970" s="77" t="n"/>
      <c r="Z970" s="77" t="n"/>
      <c r="AA970" s="75" t="n"/>
      <c r="AB970" s="75" t="n"/>
      <c r="AC970" s="6" t="n"/>
      <c r="AD970" s="75" t="n"/>
      <c r="AE970" s="75" t="n"/>
      <c r="AF970" s="75" t="n"/>
    </row>
    <row r="971" ht="15.75" customHeight="1" s="133">
      <c r="A971" s="75" t="n"/>
      <c r="B971" s="75" t="n"/>
      <c r="C971" s="75" t="n"/>
      <c r="D971" s="75" t="n"/>
      <c r="E971" s="76" t="n"/>
      <c r="F971" s="77" t="n"/>
      <c r="G971" s="75" t="n"/>
      <c r="H971" s="75">
        <f>IF(ISBLANK(E971),"",IF(OR(D971="Butterfly",D971="Butterfly ",D971="Iron Fly", D971="Iron Fly "),LEN(E971)-LEN(SUBSTITUTE(E971,"/",""))+2,LEN(E971)-LEN(SUBSTITUTE(E971,"/",""))+1))</f>
        <v/>
      </c>
      <c r="I971" s="78">
        <f>IF(ISBLANK(G971),"",IF(D971="Stock","0",Key!$A$3*H971*G971))</f>
        <v/>
      </c>
      <c r="J971" s="78">
        <f>IF(ISBLANK(E971),"",IF(ISNUMBER(SEARCH("/",E971)), IF(LEN(E971)-LEN(SUBSTITUTE(E971,"/",""))=1,(RIGHT(E971,LEN(E971)-FIND("/",E971)))-(LEFT(E971,FIND("/",E971)-1)),(MID(E971, SEARCH("/",E971) + 1, SEARCH("/",E971, SEARCH("/",E971)+1) - SEARCH("/",E971) - 1))-(LEFT(E971,FIND("/",E971)-1))), "NA"))</f>
        <v/>
      </c>
      <c r="K971" s="79">
        <f>IF(A971&lt;&gt;"", IF(ISBLANK(L971), TODAY(), K971), "")</f>
        <v/>
      </c>
      <c r="L971" s="78" t="n"/>
      <c r="M971" s="78">
        <f>IF(ISBLANK(L971),"",IF(D971="Stock",IF(C971="Buy",L971*G971,IF(C971="Sell",(L971*G971)-I971, X)),IF(C971="Buy",(L971*G971*100)+I971,IF(C971="Sell",(L971*G971*100)-I971, X))))</f>
        <v/>
      </c>
      <c r="N971" s="78">
        <f>IF(ISBLANK(L971),"",IF(AND(C971="Sell",D971="Stock"),M971,IF(ISBLANK(L971),"",IF(C971="Buy",M971, IF(AND(C971="Sell",J971="NA"),(E971*G971*100*0.1)+I971, IF(C971="Sell",(J971-L971)*(100*G971)+I971))))))</f>
        <v/>
      </c>
      <c r="O971" s="75" t="n"/>
      <c r="P971" s="75" t="n"/>
      <c r="Q971" s="75">
        <f>IF(ISBLANK(P971),"",IF(D971="Stock",P971*G971,IF(P971=0,"0",G971*P971*100-(G971*$AF$14))))</f>
        <v/>
      </c>
      <c r="R971" s="79">
        <f>IF(P971&lt;&gt;"", TODAY(), "")</f>
        <v/>
      </c>
      <c r="S971" s="78">
        <f>IF(AND(K971&lt;&gt;"", R971&lt;&gt;""), R971-K971, "")</f>
        <v/>
      </c>
      <c r="T971" s="78" t="n"/>
      <c r="U971" s="92">
        <f>IF(ISBLANK(P971),"",IF(C971="Buy",Q971-M971+T971, IF(C971="Sell",M971-Q971-T971, X)))</f>
        <v/>
      </c>
      <c r="V971" s="81">
        <f>IF(ISBLANK(P971),"",U971/N971)</f>
        <v/>
      </c>
      <c r="W971" s="81">
        <f>IF(ISBLANK(P971),"",IF(S971=0,(365/0.5)*V971,(365/S971)*V971))</f>
        <v/>
      </c>
      <c r="X971" s="75" t="n"/>
      <c r="Y971" s="77" t="n"/>
      <c r="Z971" s="77" t="n"/>
      <c r="AA971" s="75" t="n"/>
      <c r="AB971" s="75" t="n"/>
      <c r="AC971" s="6" t="n"/>
      <c r="AD971" s="75" t="n"/>
      <c r="AE971" s="75" t="n"/>
      <c r="AF971" s="75" t="n"/>
    </row>
    <row r="972" ht="15.75" customHeight="1" s="133">
      <c r="A972" s="75" t="n"/>
      <c r="B972" s="75" t="n"/>
      <c r="C972" s="75" t="n"/>
      <c r="D972" s="75" t="n"/>
      <c r="E972" s="76" t="n"/>
      <c r="F972" s="77" t="n"/>
      <c r="G972" s="75" t="n"/>
      <c r="H972" s="75">
        <f>IF(ISBLANK(E972),"",IF(OR(D972="Butterfly",D972="Butterfly ",D972="Iron Fly", D972="Iron Fly "),LEN(E972)-LEN(SUBSTITUTE(E972,"/",""))+2,LEN(E972)-LEN(SUBSTITUTE(E972,"/",""))+1))</f>
        <v/>
      </c>
      <c r="I972" s="78">
        <f>IF(ISBLANK(G972),"",IF(D972="Stock","0",Key!$A$3*H972*G972))</f>
        <v/>
      </c>
      <c r="J972" s="78">
        <f>IF(ISBLANK(E972),"",IF(ISNUMBER(SEARCH("/",E972)), IF(LEN(E972)-LEN(SUBSTITUTE(E972,"/",""))=1,(RIGHT(E972,LEN(E972)-FIND("/",E972)))-(LEFT(E972,FIND("/",E972)-1)),(MID(E972, SEARCH("/",E972) + 1, SEARCH("/",E972, SEARCH("/",E972)+1) - SEARCH("/",E972) - 1))-(LEFT(E972,FIND("/",E972)-1))), "NA"))</f>
        <v/>
      </c>
      <c r="K972" s="79">
        <f>IF(A972&lt;&gt;"", IF(ISBLANK(L972), TODAY(), K972), "")</f>
        <v/>
      </c>
      <c r="L972" s="78" t="n"/>
      <c r="M972" s="78">
        <f>IF(ISBLANK(L972),"",IF(D972="Stock",IF(C972="Buy",L972*G972,IF(C972="Sell",(L972*G972)-I972, X)),IF(C972="Buy",(L972*G972*100)+I972,IF(C972="Sell",(L972*G972*100)-I972, X))))</f>
        <v/>
      </c>
      <c r="N972" s="78">
        <f>IF(ISBLANK(L972),"",IF(AND(C972="Sell",D972="Stock"),M972,IF(ISBLANK(L972),"",IF(C972="Buy",M972, IF(AND(C972="Sell",J972="NA"),(E972*G972*100*0.1)+I972, IF(C972="Sell",(J972-L972)*(100*G972)+I972))))))</f>
        <v/>
      </c>
      <c r="O972" s="75" t="n"/>
      <c r="P972" s="75" t="n"/>
      <c r="Q972" s="75">
        <f>IF(ISBLANK(P972),"",IF(D972="Stock",P972*G972,IF(P972=0,"0",G972*P972*100-(G972*$AF$14))))</f>
        <v/>
      </c>
      <c r="R972" s="79">
        <f>IF(P972&lt;&gt;"", TODAY(), "")</f>
        <v/>
      </c>
      <c r="S972" s="78">
        <f>IF(AND(K972&lt;&gt;"", R972&lt;&gt;""), R972-K972, "")</f>
        <v/>
      </c>
      <c r="T972" s="78" t="n"/>
      <c r="U972" s="92">
        <f>IF(ISBLANK(P972),"",IF(C972="Buy",Q972-M972+T972, IF(C972="Sell",M972-Q972-T972, X)))</f>
        <v/>
      </c>
      <c r="V972" s="81">
        <f>IF(ISBLANK(P972),"",U972/N972)</f>
        <v/>
      </c>
      <c r="W972" s="81">
        <f>IF(ISBLANK(P972),"",IF(S972=0,(365/0.5)*V972,(365/S972)*V972))</f>
        <v/>
      </c>
      <c r="X972" s="75" t="n"/>
      <c r="Y972" s="77" t="n"/>
      <c r="Z972" s="77" t="n"/>
      <c r="AA972" s="75" t="n"/>
      <c r="AB972" s="75" t="n"/>
      <c r="AC972" s="6" t="n"/>
      <c r="AD972" s="75" t="n"/>
      <c r="AE972" s="75" t="n"/>
      <c r="AF972" s="75" t="n"/>
    </row>
    <row r="973" ht="15.75" customHeight="1" s="133">
      <c r="A973" s="75" t="n"/>
      <c r="B973" s="75" t="n"/>
      <c r="C973" s="75" t="n"/>
      <c r="D973" s="75" t="n"/>
      <c r="E973" s="76" t="n"/>
      <c r="F973" s="77" t="n"/>
      <c r="G973" s="75" t="n"/>
      <c r="H973" s="75">
        <f>IF(ISBLANK(E973),"",IF(OR(D973="Butterfly",D973="Butterfly ",D973="Iron Fly", D973="Iron Fly "),LEN(E973)-LEN(SUBSTITUTE(E973,"/",""))+2,LEN(E973)-LEN(SUBSTITUTE(E973,"/",""))+1))</f>
        <v/>
      </c>
      <c r="I973" s="78">
        <f>IF(ISBLANK(G973),"",IF(D973="Stock","0",Key!$A$3*H973*G973))</f>
        <v/>
      </c>
      <c r="J973" s="78">
        <f>IF(ISBLANK(E973),"",IF(ISNUMBER(SEARCH("/",E973)), IF(LEN(E973)-LEN(SUBSTITUTE(E973,"/",""))=1,(RIGHT(E973,LEN(E973)-FIND("/",E973)))-(LEFT(E973,FIND("/",E973)-1)),(MID(E973, SEARCH("/",E973) + 1, SEARCH("/",E973, SEARCH("/",E973)+1) - SEARCH("/",E973) - 1))-(LEFT(E973,FIND("/",E973)-1))), "NA"))</f>
        <v/>
      </c>
      <c r="K973" s="79">
        <f>IF(A973&lt;&gt;"", IF(ISBLANK(L973), TODAY(), K973), "")</f>
        <v/>
      </c>
      <c r="L973" s="78" t="n"/>
      <c r="M973" s="78">
        <f>IF(ISBLANK(L973),"",IF(D973="Stock",IF(C973="Buy",L973*G973,IF(C973="Sell",(L973*G973)-I973, X)),IF(C973="Buy",(L973*G973*100)+I973,IF(C973="Sell",(L973*G973*100)-I973, X))))</f>
        <v/>
      </c>
      <c r="N973" s="78">
        <f>IF(ISBLANK(L973),"",IF(AND(C973="Sell",D973="Stock"),M973,IF(ISBLANK(L973),"",IF(C973="Buy",M973, IF(AND(C973="Sell",J973="NA"),(E973*G973*100*0.1)+I973, IF(C973="Sell",(J973-L973)*(100*G973)+I973))))))</f>
        <v/>
      </c>
      <c r="O973" s="75" t="n"/>
      <c r="P973" s="75" t="n"/>
      <c r="Q973" s="75">
        <f>IF(ISBLANK(P973),"",IF(D973="Stock",P973*G973,IF(P973=0,"0",G973*P973*100-(G973*$AF$14))))</f>
        <v/>
      </c>
      <c r="R973" s="79">
        <f>IF(P973&lt;&gt;"", TODAY(), "")</f>
        <v/>
      </c>
      <c r="S973" s="78">
        <f>IF(AND(K973&lt;&gt;"", R973&lt;&gt;""), R973-K973, "")</f>
        <v/>
      </c>
      <c r="T973" s="78" t="n"/>
      <c r="U973" s="92">
        <f>IF(ISBLANK(P973),"",IF(C973="Buy",Q973-M973+T973, IF(C973="Sell",M973-Q973-T973, X)))</f>
        <v/>
      </c>
      <c r="V973" s="81">
        <f>IF(ISBLANK(P973),"",U973/N973)</f>
        <v/>
      </c>
      <c r="W973" s="81">
        <f>IF(ISBLANK(P973),"",IF(S973=0,(365/0.5)*V973,(365/S973)*V973))</f>
        <v/>
      </c>
      <c r="X973" s="75" t="n"/>
      <c r="Y973" s="77" t="n"/>
      <c r="Z973" s="77" t="n"/>
      <c r="AA973" s="75" t="n"/>
      <c r="AB973" s="75" t="n"/>
      <c r="AC973" s="6" t="n"/>
      <c r="AD973" s="75" t="n"/>
      <c r="AE973" s="75" t="n"/>
      <c r="AF973" s="75" t="n"/>
    </row>
    <row r="974" ht="15.75" customHeight="1" s="133">
      <c r="A974" s="75" t="n"/>
      <c r="B974" s="75" t="n"/>
      <c r="C974" s="75" t="n"/>
      <c r="D974" s="75" t="n"/>
      <c r="E974" s="76" t="n"/>
      <c r="F974" s="77" t="n"/>
      <c r="G974" s="75" t="n"/>
      <c r="H974" s="75">
        <f>IF(ISBLANK(E974),"",IF(OR(D974="Butterfly",D974="Butterfly ",D974="Iron Fly", D974="Iron Fly "),LEN(E974)-LEN(SUBSTITUTE(E974,"/",""))+2,LEN(E974)-LEN(SUBSTITUTE(E974,"/",""))+1))</f>
        <v/>
      </c>
      <c r="I974" s="78">
        <f>IF(ISBLANK(G974),"",IF(D974="Stock","0",Key!$A$3*H974*G974))</f>
        <v/>
      </c>
      <c r="J974" s="78">
        <f>IF(ISBLANK(E974),"",IF(ISNUMBER(SEARCH("/",E974)), IF(LEN(E974)-LEN(SUBSTITUTE(E974,"/",""))=1,(RIGHT(E974,LEN(E974)-FIND("/",E974)))-(LEFT(E974,FIND("/",E974)-1)),(MID(E974, SEARCH("/",E974) + 1, SEARCH("/",E974, SEARCH("/",E974)+1) - SEARCH("/",E974) - 1))-(LEFT(E974,FIND("/",E974)-1))), "NA"))</f>
        <v/>
      </c>
      <c r="K974" s="79">
        <f>IF(A974&lt;&gt;"", IF(ISBLANK(L974), TODAY(), K974), "")</f>
        <v/>
      </c>
      <c r="L974" s="78" t="n"/>
      <c r="M974" s="78">
        <f>IF(ISBLANK(L974),"",IF(D974="Stock",IF(C974="Buy",L974*G974,IF(C974="Sell",(L974*G974)-I974, X)),IF(C974="Buy",(L974*G974*100)+I974,IF(C974="Sell",(L974*G974*100)-I974, X))))</f>
        <v/>
      </c>
      <c r="N974" s="78">
        <f>IF(ISBLANK(L974),"",IF(AND(C974="Sell",D974="Stock"),M974,IF(ISBLANK(L974),"",IF(C974="Buy",M974, IF(AND(C974="Sell",J974="NA"),(E974*G974*100*0.1)+I974, IF(C974="Sell",(J974-L974)*(100*G974)+I974))))))</f>
        <v/>
      </c>
      <c r="O974" s="75" t="n"/>
      <c r="P974" s="75" t="n"/>
      <c r="Q974" s="75">
        <f>IF(ISBLANK(P974),"",IF(D974="Stock",P974*G974,IF(P974=0,"0",G974*P974*100-(G974*$AF$14))))</f>
        <v/>
      </c>
      <c r="R974" s="79">
        <f>IF(P974&lt;&gt;"", TODAY(), "")</f>
        <v/>
      </c>
      <c r="S974" s="78">
        <f>IF(AND(K974&lt;&gt;"", R974&lt;&gt;""), R974-K974, "")</f>
        <v/>
      </c>
      <c r="T974" s="78" t="n"/>
      <c r="U974" s="92">
        <f>IF(ISBLANK(P974),"",IF(C974="Buy",Q974-M974+T974, IF(C974="Sell",M974-Q974-T974, X)))</f>
        <v/>
      </c>
      <c r="V974" s="81">
        <f>IF(ISBLANK(P974),"",U974/N974)</f>
        <v/>
      </c>
      <c r="W974" s="81">
        <f>IF(ISBLANK(P974),"",IF(S974=0,(365/0.5)*V974,(365/S974)*V974))</f>
        <v/>
      </c>
      <c r="X974" s="75" t="n"/>
      <c r="Y974" s="77" t="n"/>
      <c r="Z974" s="77" t="n"/>
      <c r="AA974" s="75" t="n"/>
      <c r="AB974" s="75" t="n"/>
      <c r="AC974" s="6" t="n"/>
      <c r="AD974" s="75" t="n"/>
      <c r="AE974" s="75" t="n"/>
      <c r="AF974" s="75" t="n"/>
    </row>
    <row r="975" ht="15.75" customHeight="1" s="133">
      <c r="A975" s="75" t="n"/>
      <c r="B975" s="75" t="n"/>
      <c r="C975" s="75" t="n"/>
      <c r="D975" s="75" t="n"/>
      <c r="E975" s="76" t="n"/>
      <c r="F975" s="77" t="n"/>
      <c r="G975" s="75" t="n"/>
      <c r="H975" s="75">
        <f>IF(ISBLANK(E975),"",IF(OR(D975="Butterfly",D975="Butterfly ",D975="Iron Fly", D975="Iron Fly "),LEN(E975)-LEN(SUBSTITUTE(E975,"/",""))+2,LEN(E975)-LEN(SUBSTITUTE(E975,"/",""))+1))</f>
        <v/>
      </c>
      <c r="I975" s="78">
        <f>IF(ISBLANK(G975),"",IF(D975="Stock","0",Key!$A$3*H975*G975))</f>
        <v/>
      </c>
      <c r="J975" s="78">
        <f>IF(ISBLANK(E975),"",IF(ISNUMBER(SEARCH("/",E975)), IF(LEN(E975)-LEN(SUBSTITUTE(E975,"/",""))=1,(RIGHT(E975,LEN(E975)-FIND("/",E975)))-(LEFT(E975,FIND("/",E975)-1)),(MID(E975, SEARCH("/",E975) + 1, SEARCH("/",E975, SEARCH("/",E975)+1) - SEARCH("/",E975) - 1))-(LEFT(E975,FIND("/",E975)-1))), "NA"))</f>
        <v/>
      </c>
      <c r="K975" s="79">
        <f>IF(A975&lt;&gt;"", IF(ISBLANK(L975), TODAY(), K975), "")</f>
        <v/>
      </c>
      <c r="L975" s="78" t="n"/>
      <c r="M975" s="78">
        <f>IF(ISBLANK(L975),"",IF(D975="Stock",IF(C975="Buy",L975*G975,IF(C975="Sell",(L975*G975)-I975, X)),IF(C975="Buy",(L975*G975*100)+I975,IF(C975="Sell",(L975*G975*100)-I975, X))))</f>
        <v/>
      </c>
      <c r="N975" s="78">
        <f>IF(ISBLANK(L975),"",IF(AND(C975="Sell",D975="Stock"),M975,IF(ISBLANK(L975),"",IF(C975="Buy",M975, IF(AND(C975="Sell",J975="NA"),(E975*G975*100*0.1)+I975, IF(C975="Sell",(J975-L975)*(100*G975)+I975))))))</f>
        <v/>
      </c>
      <c r="O975" s="75" t="n"/>
      <c r="P975" s="75" t="n"/>
      <c r="Q975" s="75">
        <f>IF(ISBLANK(P975),"",IF(D975="Stock",P975*G975,IF(P975=0,"0",G975*P975*100-(G975*$AF$14))))</f>
        <v/>
      </c>
      <c r="R975" s="79">
        <f>IF(P975&lt;&gt;"", TODAY(), "")</f>
        <v/>
      </c>
      <c r="S975" s="78">
        <f>IF(AND(K975&lt;&gt;"", R975&lt;&gt;""), R975-K975, "")</f>
        <v/>
      </c>
      <c r="T975" s="78" t="n"/>
      <c r="U975" s="92">
        <f>IF(ISBLANK(P975),"",IF(C975="Buy",Q975-M975+T975, IF(C975="Sell",M975-Q975-T975, X)))</f>
        <v/>
      </c>
      <c r="V975" s="81">
        <f>IF(ISBLANK(P975),"",U975/N975)</f>
        <v/>
      </c>
      <c r="W975" s="81">
        <f>IF(ISBLANK(P975),"",IF(S975=0,(365/0.5)*V975,(365/S975)*V975))</f>
        <v/>
      </c>
      <c r="X975" s="75" t="n"/>
      <c r="Y975" s="77" t="n"/>
      <c r="Z975" s="77" t="n"/>
      <c r="AA975" s="75" t="n"/>
      <c r="AB975" s="75" t="n"/>
      <c r="AC975" s="6" t="n"/>
      <c r="AD975" s="75" t="n"/>
      <c r="AE975" s="75" t="n"/>
      <c r="AF975" s="75" t="n"/>
    </row>
    <row r="976" ht="15.75" customHeight="1" s="133">
      <c r="A976" s="75" t="n"/>
      <c r="B976" s="75" t="n"/>
      <c r="C976" s="75" t="n"/>
      <c r="D976" s="75" t="n"/>
      <c r="E976" s="76" t="n"/>
      <c r="F976" s="77" t="n"/>
      <c r="G976" s="75" t="n"/>
      <c r="H976" s="75">
        <f>IF(ISBLANK(E976),"",IF(OR(D976="Butterfly",D976="Butterfly ",D976="Iron Fly", D976="Iron Fly "),LEN(E976)-LEN(SUBSTITUTE(E976,"/",""))+2,LEN(E976)-LEN(SUBSTITUTE(E976,"/",""))+1))</f>
        <v/>
      </c>
      <c r="I976" s="78">
        <f>IF(ISBLANK(G976),"",IF(D976="Stock","0",Key!$A$3*H976*G976))</f>
        <v/>
      </c>
      <c r="J976" s="78">
        <f>IF(ISBLANK(E976),"",IF(ISNUMBER(SEARCH("/",E976)), IF(LEN(E976)-LEN(SUBSTITUTE(E976,"/",""))=1,(RIGHT(E976,LEN(E976)-FIND("/",E976)))-(LEFT(E976,FIND("/",E976)-1)),(MID(E976, SEARCH("/",E976) + 1, SEARCH("/",E976, SEARCH("/",E976)+1) - SEARCH("/",E976) - 1))-(LEFT(E976,FIND("/",E976)-1))), "NA"))</f>
        <v/>
      </c>
      <c r="K976" s="79">
        <f>IF(A976&lt;&gt;"", IF(ISBLANK(L976), TODAY(), K976), "")</f>
        <v/>
      </c>
      <c r="L976" s="78" t="n"/>
      <c r="M976" s="78">
        <f>IF(ISBLANK(L976),"",IF(D976="Stock",IF(C976="Buy",L976*G976,IF(C976="Sell",(L976*G976)-I976, X)),IF(C976="Buy",(L976*G976*100)+I976,IF(C976="Sell",(L976*G976*100)-I976, X))))</f>
        <v/>
      </c>
      <c r="N976" s="78">
        <f>IF(ISBLANK(L976),"",IF(AND(C976="Sell",D976="Stock"),M976,IF(ISBLANK(L976),"",IF(C976="Buy",M976, IF(AND(C976="Sell",J976="NA"),(E976*G976*100*0.1)+I976, IF(C976="Sell",(J976-L976)*(100*G976)+I976))))))</f>
        <v/>
      </c>
      <c r="O976" s="75" t="n"/>
      <c r="P976" s="75" t="n"/>
      <c r="Q976" s="75">
        <f>IF(ISBLANK(P976),"",IF(D976="Stock",P976*G976,IF(P976=0,"0",G976*P976*100-(G976*$AF$14))))</f>
        <v/>
      </c>
      <c r="R976" s="79">
        <f>IF(P976&lt;&gt;"", TODAY(), "")</f>
        <v/>
      </c>
      <c r="S976" s="78">
        <f>IF(AND(K976&lt;&gt;"", R976&lt;&gt;""), R976-K976, "")</f>
        <v/>
      </c>
      <c r="T976" s="78" t="n"/>
      <c r="U976" s="92">
        <f>IF(ISBLANK(P976),"",IF(C976="Buy",Q976-M976+T976, IF(C976="Sell",M976-Q976-T976, X)))</f>
        <v/>
      </c>
      <c r="V976" s="81">
        <f>IF(ISBLANK(P976),"",U976/N976)</f>
        <v/>
      </c>
      <c r="W976" s="81">
        <f>IF(ISBLANK(P976),"",IF(S976=0,(365/0.5)*V976,(365/S976)*V976))</f>
        <v/>
      </c>
      <c r="X976" s="75" t="n"/>
      <c r="Y976" s="77" t="n"/>
      <c r="Z976" s="77" t="n"/>
      <c r="AA976" s="75" t="n"/>
      <c r="AB976" s="75" t="n"/>
      <c r="AC976" s="6" t="n"/>
      <c r="AD976" s="75" t="n"/>
      <c r="AE976" s="75" t="n"/>
      <c r="AF976" s="75" t="n"/>
    </row>
    <row r="977" ht="15.75" customHeight="1" s="133">
      <c r="A977" s="75" t="n"/>
      <c r="B977" s="75" t="n"/>
      <c r="C977" s="75" t="n"/>
      <c r="D977" s="75" t="n"/>
      <c r="E977" s="76" t="n"/>
      <c r="F977" s="77" t="n"/>
      <c r="G977" s="75" t="n"/>
      <c r="H977" s="75">
        <f>IF(ISBLANK(E977),"",IF(OR(D977="Butterfly",D977="Butterfly ",D977="Iron Fly", D977="Iron Fly "),LEN(E977)-LEN(SUBSTITUTE(E977,"/",""))+2,LEN(E977)-LEN(SUBSTITUTE(E977,"/",""))+1))</f>
        <v/>
      </c>
      <c r="I977" s="78">
        <f>IF(ISBLANK(G977),"",IF(D977="Stock","0",Key!$A$3*H977*G977))</f>
        <v/>
      </c>
      <c r="J977" s="78">
        <f>IF(ISBLANK(E977),"",IF(ISNUMBER(SEARCH("/",E977)), IF(LEN(E977)-LEN(SUBSTITUTE(E977,"/",""))=1,(RIGHT(E977,LEN(E977)-FIND("/",E977)))-(LEFT(E977,FIND("/",E977)-1)),(MID(E977, SEARCH("/",E977) + 1, SEARCH("/",E977, SEARCH("/",E977)+1) - SEARCH("/",E977) - 1))-(LEFT(E977,FIND("/",E977)-1))), "NA"))</f>
        <v/>
      </c>
      <c r="K977" s="79">
        <f>IF(A977&lt;&gt;"", IF(ISBLANK(L977), TODAY(), K977), "")</f>
        <v/>
      </c>
      <c r="L977" s="78" t="n"/>
      <c r="M977" s="78">
        <f>IF(ISBLANK(L977),"",IF(D977="Stock",IF(C977="Buy",L977*G977,IF(C977="Sell",(L977*G977)-I977, X)),IF(C977="Buy",(L977*G977*100)+I977,IF(C977="Sell",(L977*G977*100)-I977, X))))</f>
        <v/>
      </c>
      <c r="N977" s="78">
        <f>IF(ISBLANK(L977),"",IF(AND(C977="Sell",D977="Stock"),M977,IF(ISBLANK(L977),"",IF(C977="Buy",M977, IF(AND(C977="Sell",J977="NA"),(E977*G977*100*0.1)+I977, IF(C977="Sell",(J977-L977)*(100*G977)+I977))))))</f>
        <v/>
      </c>
      <c r="O977" s="75" t="n"/>
      <c r="P977" s="75" t="n"/>
      <c r="Q977" s="75">
        <f>IF(ISBLANK(P977),"",IF(D977="Stock",P977*G977,IF(P977=0,"0",G977*P977*100-(G977*$AF$14))))</f>
        <v/>
      </c>
      <c r="R977" s="79">
        <f>IF(P977&lt;&gt;"", TODAY(), "")</f>
        <v/>
      </c>
      <c r="S977" s="78">
        <f>IF(AND(K977&lt;&gt;"", R977&lt;&gt;""), R977-K977, "")</f>
        <v/>
      </c>
      <c r="T977" s="78" t="n"/>
      <c r="U977" s="92">
        <f>IF(ISBLANK(P977),"",IF(C977="Buy",Q977-M977+T977, IF(C977="Sell",M977-Q977-T977, X)))</f>
        <v/>
      </c>
      <c r="V977" s="81">
        <f>IF(ISBLANK(P977),"",U977/N977)</f>
        <v/>
      </c>
      <c r="W977" s="81">
        <f>IF(ISBLANK(P977),"",IF(S977=0,(365/0.5)*V977,(365/S977)*V977))</f>
        <v/>
      </c>
      <c r="X977" s="75" t="n"/>
      <c r="Y977" s="77" t="n"/>
      <c r="Z977" s="77" t="n"/>
      <c r="AA977" s="75" t="n"/>
      <c r="AB977" s="75" t="n"/>
      <c r="AC977" s="6" t="n"/>
      <c r="AD977" s="75" t="n"/>
      <c r="AE977" s="75" t="n"/>
      <c r="AF977" s="75" t="n"/>
    </row>
    <row r="978" ht="15.75" customHeight="1" s="133">
      <c r="A978" s="75" t="n"/>
      <c r="B978" s="75" t="n"/>
      <c r="C978" s="75" t="n"/>
      <c r="D978" s="75" t="n"/>
      <c r="E978" s="76" t="n"/>
      <c r="F978" s="77" t="n"/>
      <c r="G978" s="75" t="n"/>
      <c r="H978" s="75">
        <f>IF(ISBLANK(E978),"",IF(OR(D978="Butterfly",D978="Butterfly ",D978="Iron Fly", D978="Iron Fly "),LEN(E978)-LEN(SUBSTITUTE(E978,"/",""))+2,LEN(E978)-LEN(SUBSTITUTE(E978,"/",""))+1))</f>
        <v/>
      </c>
      <c r="I978" s="78">
        <f>IF(ISBLANK(G978),"",IF(D978="Stock","0",Key!$A$3*H978*G978))</f>
        <v/>
      </c>
      <c r="J978" s="78">
        <f>IF(ISBLANK(E978),"",IF(ISNUMBER(SEARCH("/",E978)), IF(LEN(E978)-LEN(SUBSTITUTE(E978,"/",""))=1,(RIGHT(E978,LEN(E978)-FIND("/",E978)))-(LEFT(E978,FIND("/",E978)-1)),(MID(E978, SEARCH("/",E978) + 1, SEARCH("/",E978, SEARCH("/",E978)+1) - SEARCH("/",E978) - 1))-(LEFT(E978,FIND("/",E978)-1))), "NA"))</f>
        <v/>
      </c>
      <c r="K978" s="79">
        <f>IF(A978&lt;&gt;"", IF(ISBLANK(L978), TODAY(), K978), "")</f>
        <v/>
      </c>
      <c r="L978" s="78" t="n"/>
      <c r="M978" s="78">
        <f>IF(ISBLANK(L978),"",IF(D978="Stock",IF(C978="Buy",L978*G978,IF(C978="Sell",(L978*G978)-I978, X)),IF(C978="Buy",(L978*G978*100)+I978,IF(C978="Sell",(L978*G978*100)-I978, X))))</f>
        <v/>
      </c>
      <c r="N978" s="78">
        <f>IF(ISBLANK(L978),"",IF(AND(C978="Sell",D978="Stock"),M978,IF(ISBLANK(L978),"",IF(C978="Buy",M978, IF(AND(C978="Sell",J978="NA"),(E978*G978*100*0.1)+I978, IF(C978="Sell",(J978-L978)*(100*G978)+I978))))))</f>
        <v/>
      </c>
      <c r="O978" s="75" t="n"/>
      <c r="P978" s="75" t="n"/>
      <c r="Q978" s="75">
        <f>IF(ISBLANK(P978),"",IF(D978="Stock",P978*G978,IF(P978=0,"0",G978*P978*100-(G978*$AF$14))))</f>
        <v/>
      </c>
      <c r="R978" s="79">
        <f>IF(P978&lt;&gt;"", TODAY(), "")</f>
        <v/>
      </c>
      <c r="S978" s="78">
        <f>IF(AND(K978&lt;&gt;"", R978&lt;&gt;""), R978-K978, "")</f>
        <v/>
      </c>
      <c r="T978" s="78" t="n"/>
      <c r="U978" s="92">
        <f>IF(ISBLANK(P978),"",IF(C978="Buy",Q978-M978+T978, IF(C978="Sell",M978-Q978-T978, X)))</f>
        <v/>
      </c>
      <c r="V978" s="81">
        <f>IF(ISBLANK(P978),"",U978/N978)</f>
        <v/>
      </c>
      <c r="W978" s="81">
        <f>IF(ISBLANK(P978),"",IF(S978=0,(365/0.5)*V978,(365/S978)*V978))</f>
        <v/>
      </c>
      <c r="X978" s="75" t="n"/>
      <c r="Y978" s="77" t="n"/>
      <c r="Z978" s="77" t="n"/>
      <c r="AA978" s="75" t="n"/>
      <c r="AB978" s="75" t="n"/>
      <c r="AC978" s="6" t="n"/>
      <c r="AD978" s="75" t="n"/>
      <c r="AE978" s="75" t="n"/>
      <c r="AF978" s="75" t="n"/>
    </row>
    <row r="979" ht="15.75" customHeight="1" s="133">
      <c r="A979" s="75" t="n"/>
      <c r="B979" s="75" t="n"/>
      <c r="C979" s="75" t="n"/>
      <c r="D979" s="75" t="n"/>
      <c r="E979" s="76" t="n"/>
      <c r="F979" s="77" t="n"/>
      <c r="G979" s="75" t="n"/>
      <c r="H979" s="75">
        <f>IF(ISBLANK(E979),"",IF(OR(D979="Butterfly",D979="Butterfly ",D979="Iron Fly", D979="Iron Fly "),LEN(E979)-LEN(SUBSTITUTE(E979,"/",""))+2,LEN(E979)-LEN(SUBSTITUTE(E979,"/",""))+1))</f>
        <v/>
      </c>
      <c r="I979" s="78">
        <f>IF(ISBLANK(G979),"",IF(D979="Stock","0",Key!$A$3*H979*G979))</f>
        <v/>
      </c>
      <c r="J979" s="78">
        <f>IF(ISBLANK(E979),"",IF(ISNUMBER(SEARCH("/",E979)), IF(LEN(E979)-LEN(SUBSTITUTE(E979,"/",""))=1,(RIGHT(E979,LEN(E979)-FIND("/",E979)))-(LEFT(E979,FIND("/",E979)-1)),(MID(E979, SEARCH("/",E979) + 1, SEARCH("/",E979, SEARCH("/",E979)+1) - SEARCH("/",E979) - 1))-(LEFT(E979,FIND("/",E979)-1))), "NA"))</f>
        <v/>
      </c>
      <c r="K979" s="79">
        <f>IF(A979&lt;&gt;"", IF(ISBLANK(L979), TODAY(), K979), "")</f>
        <v/>
      </c>
      <c r="L979" s="78" t="n"/>
      <c r="M979" s="78">
        <f>IF(ISBLANK(L979),"",IF(D979="Stock",IF(C979="Buy",L979*G979,IF(C979="Sell",(L979*G979)-I979, X)),IF(C979="Buy",(L979*G979*100)+I979,IF(C979="Sell",(L979*G979*100)-I979, X))))</f>
        <v/>
      </c>
      <c r="N979" s="78">
        <f>IF(ISBLANK(L979),"",IF(AND(C979="Sell",D979="Stock"),M979,IF(ISBLANK(L979),"",IF(C979="Buy",M979, IF(AND(C979="Sell",J979="NA"),(E979*G979*100*0.1)+I979, IF(C979="Sell",(J979-L979)*(100*G979)+I979))))))</f>
        <v/>
      </c>
      <c r="O979" s="75" t="n"/>
      <c r="P979" s="75" t="n"/>
      <c r="Q979" s="75">
        <f>IF(ISBLANK(P979),"",IF(D979="Stock",P979*G979,IF(P979=0,"0",G979*P979*100-(G979*$AF$14))))</f>
        <v/>
      </c>
      <c r="R979" s="79">
        <f>IF(P979&lt;&gt;"", TODAY(), "")</f>
        <v/>
      </c>
      <c r="S979" s="78">
        <f>IF(AND(K979&lt;&gt;"", R979&lt;&gt;""), R979-K979, "")</f>
        <v/>
      </c>
      <c r="T979" s="78" t="n"/>
      <c r="U979" s="92">
        <f>IF(ISBLANK(P979),"",IF(C979="Buy",Q979-M979+T979, IF(C979="Sell",M979-Q979-T979, X)))</f>
        <v/>
      </c>
      <c r="V979" s="81">
        <f>IF(ISBLANK(P979),"",U979/N979)</f>
        <v/>
      </c>
      <c r="W979" s="81">
        <f>IF(ISBLANK(P979),"",IF(S979=0,(365/0.5)*V979,(365/S979)*V979))</f>
        <v/>
      </c>
      <c r="X979" s="75" t="n"/>
      <c r="Y979" s="77" t="n"/>
      <c r="Z979" s="77" t="n"/>
      <c r="AA979" s="75" t="n"/>
      <c r="AB979" s="75" t="n"/>
      <c r="AC979" s="6" t="n"/>
      <c r="AD979" s="75" t="n"/>
      <c r="AE979" s="75" t="n"/>
      <c r="AF979" s="75" t="n"/>
    </row>
    <row r="980" ht="15.75" customHeight="1" s="133">
      <c r="A980" s="75" t="n"/>
      <c r="B980" s="75" t="n"/>
      <c r="C980" s="75" t="n"/>
      <c r="D980" s="75" t="n"/>
      <c r="E980" s="76" t="n"/>
      <c r="F980" s="77" t="n"/>
      <c r="G980" s="75" t="n"/>
      <c r="H980" s="75">
        <f>IF(ISBLANK(E980),"",IF(OR(D980="Butterfly",D980="Butterfly ",D980="Iron Fly", D980="Iron Fly "),LEN(E980)-LEN(SUBSTITUTE(E980,"/",""))+2,LEN(E980)-LEN(SUBSTITUTE(E980,"/",""))+1))</f>
        <v/>
      </c>
      <c r="I980" s="78">
        <f>IF(ISBLANK(G980),"",IF(D980="Stock","0",Key!$A$3*H980*G980))</f>
        <v/>
      </c>
      <c r="J980" s="78">
        <f>IF(ISBLANK(E980),"",IF(ISNUMBER(SEARCH("/",E980)), IF(LEN(E980)-LEN(SUBSTITUTE(E980,"/",""))=1,(RIGHT(E980,LEN(E980)-FIND("/",E980)))-(LEFT(E980,FIND("/",E980)-1)),(MID(E980, SEARCH("/",E980) + 1, SEARCH("/",E980, SEARCH("/",E980)+1) - SEARCH("/",E980) - 1))-(LEFT(E980,FIND("/",E980)-1))), "NA"))</f>
        <v/>
      </c>
      <c r="K980" s="79">
        <f>IF(A980&lt;&gt;"", IF(ISBLANK(L980), TODAY(), K980), "")</f>
        <v/>
      </c>
      <c r="L980" s="78" t="n"/>
      <c r="M980" s="78">
        <f>IF(ISBLANK(L980),"",IF(D980="Stock",IF(C980="Buy",L980*G980,IF(C980="Sell",(L980*G980)-I980, X)),IF(C980="Buy",(L980*G980*100)+I980,IF(C980="Sell",(L980*G980*100)-I980, X))))</f>
        <v/>
      </c>
      <c r="N980" s="78">
        <f>IF(ISBLANK(L980),"",IF(AND(C980="Sell",D980="Stock"),M980,IF(ISBLANK(L980),"",IF(C980="Buy",M980, IF(AND(C980="Sell",J980="NA"),(E980*G980*100*0.1)+I980, IF(C980="Sell",(J980-L980)*(100*G980)+I980))))))</f>
        <v/>
      </c>
      <c r="O980" s="75" t="n"/>
      <c r="P980" s="75" t="n"/>
      <c r="Q980" s="75">
        <f>IF(ISBLANK(P980),"",IF(D980="Stock",P980*G980,IF(P980=0,"0",G980*P980*100-(G980*$AF$14))))</f>
        <v/>
      </c>
      <c r="R980" s="79">
        <f>IF(P980&lt;&gt;"", TODAY(), "")</f>
        <v/>
      </c>
      <c r="S980" s="78">
        <f>IF(AND(K980&lt;&gt;"", R980&lt;&gt;""), R980-K980, "")</f>
        <v/>
      </c>
      <c r="T980" s="78" t="n"/>
      <c r="U980" s="92">
        <f>IF(ISBLANK(P980),"",IF(C980="Buy",Q980-M980+T980, IF(C980="Sell",M980-Q980-T980, X)))</f>
        <v/>
      </c>
      <c r="V980" s="81">
        <f>IF(ISBLANK(P980),"",U980/N980)</f>
        <v/>
      </c>
      <c r="W980" s="81">
        <f>IF(ISBLANK(P980),"",IF(S980=0,(365/0.5)*V980,(365/S980)*V980))</f>
        <v/>
      </c>
      <c r="X980" s="75" t="n"/>
      <c r="Y980" s="77" t="n"/>
      <c r="Z980" s="77" t="n"/>
      <c r="AA980" s="75" t="n"/>
      <c r="AB980" s="75" t="n"/>
      <c r="AC980" s="6" t="n"/>
      <c r="AD980" s="75" t="n"/>
      <c r="AE980" s="75" t="n"/>
      <c r="AF980" s="75" t="n"/>
    </row>
    <row r="981" ht="15.75" customHeight="1" s="133">
      <c r="A981" s="75" t="n"/>
      <c r="B981" s="75" t="n"/>
      <c r="C981" s="75" t="n"/>
      <c r="D981" s="75" t="n"/>
      <c r="E981" s="76" t="n"/>
      <c r="F981" s="77" t="n"/>
      <c r="G981" s="75" t="n"/>
      <c r="H981" s="75">
        <f>IF(ISBLANK(E981),"",IF(OR(D981="Butterfly",D981="Butterfly ",D981="Iron Fly", D981="Iron Fly "),LEN(E981)-LEN(SUBSTITUTE(E981,"/",""))+2,LEN(E981)-LEN(SUBSTITUTE(E981,"/",""))+1))</f>
        <v/>
      </c>
      <c r="I981" s="78">
        <f>IF(ISBLANK(G981),"",IF(D981="Stock","0",Key!$A$3*H981*G981))</f>
        <v/>
      </c>
      <c r="J981" s="78">
        <f>IF(ISBLANK(E981),"",IF(ISNUMBER(SEARCH("/",E981)), IF(LEN(E981)-LEN(SUBSTITUTE(E981,"/",""))=1,(RIGHT(E981,LEN(E981)-FIND("/",E981)))-(LEFT(E981,FIND("/",E981)-1)),(MID(E981, SEARCH("/",E981) + 1, SEARCH("/",E981, SEARCH("/",E981)+1) - SEARCH("/",E981) - 1))-(LEFT(E981,FIND("/",E981)-1))), "NA"))</f>
        <v/>
      </c>
      <c r="K981" s="79">
        <f>IF(A981&lt;&gt;"", IF(ISBLANK(L981), TODAY(), K981), "")</f>
        <v/>
      </c>
      <c r="L981" s="78" t="n"/>
      <c r="M981" s="78">
        <f>IF(ISBLANK(L981),"",IF(D981="Stock",IF(C981="Buy",L981*G981,IF(C981="Sell",(L981*G981)-I981, X)),IF(C981="Buy",(L981*G981*100)+I981,IF(C981="Sell",(L981*G981*100)-I981, X))))</f>
        <v/>
      </c>
      <c r="N981" s="78">
        <f>IF(ISBLANK(L981),"",IF(AND(C981="Sell",D981="Stock"),M981,IF(ISBLANK(L981),"",IF(C981="Buy",M981, IF(AND(C981="Sell",J981="NA"),(E981*G981*100*0.1)+I981, IF(C981="Sell",(J981-L981)*(100*G981)+I981))))))</f>
        <v/>
      </c>
      <c r="O981" s="75" t="n"/>
      <c r="P981" s="75" t="n"/>
      <c r="Q981" s="75">
        <f>IF(ISBLANK(P981),"",IF(D981="Stock",P981*G981,IF(P981=0,"0",G981*P981*100-(G981*$AF$14))))</f>
        <v/>
      </c>
      <c r="R981" s="79">
        <f>IF(P981&lt;&gt;"", TODAY(), "")</f>
        <v/>
      </c>
      <c r="S981" s="78">
        <f>IF(AND(K981&lt;&gt;"", R981&lt;&gt;""), R981-K981, "")</f>
        <v/>
      </c>
      <c r="T981" s="78" t="n"/>
      <c r="U981" s="92">
        <f>IF(ISBLANK(P981),"",IF(C981="Buy",Q981-M981+T981, IF(C981="Sell",M981-Q981-T981, X)))</f>
        <v/>
      </c>
      <c r="V981" s="81">
        <f>IF(ISBLANK(P981),"",U981/N981)</f>
        <v/>
      </c>
      <c r="W981" s="81">
        <f>IF(ISBLANK(P981),"",IF(S981=0,(365/0.5)*V981,(365/S981)*V981))</f>
        <v/>
      </c>
      <c r="X981" s="75" t="n"/>
      <c r="Y981" s="77" t="n"/>
      <c r="Z981" s="77" t="n"/>
      <c r="AA981" s="75" t="n"/>
      <c r="AB981" s="75" t="n"/>
      <c r="AC981" s="6" t="n"/>
      <c r="AD981" s="75" t="n"/>
      <c r="AE981" s="75" t="n"/>
      <c r="AF981" s="75" t="n"/>
    </row>
    <row r="982" ht="15.75" customHeight="1" s="133">
      <c r="A982" s="75" t="n"/>
      <c r="B982" s="75" t="n"/>
      <c r="C982" s="75" t="n"/>
      <c r="D982" s="75" t="n"/>
      <c r="E982" s="76" t="n"/>
      <c r="F982" s="77" t="n"/>
      <c r="G982" s="75" t="n"/>
      <c r="H982" s="75">
        <f>IF(ISBLANK(E982),"",IF(OR(D982="Butterfly",D982="Butterfly ",D982="Iron Fly", D982="Iron Fly "),LEN(E982)-LEN(SUBSTITUTE(E982,"/",""))+2,LEN(E982)-LEN(SUBSTITUTE(E982,"/",""))+1))</f>
        <v/>
      </c>
      <c r="I982" s="78">
        <f>IF(ISBLANK(G982),"",IF(D982="Stock","0",Key!$A$3*H982*G982))</f>
        <v/>
      </c>
      <c r="J982" s="78">
        <f>IF(ISBLANK(E982),"",IF(ISNUMBER(SEARCH("/",E982)), IF(LEN(E982)-LEN(SUBSTITUTE(E982,"/",""))=1,(RIGHT(E982,LEN(E982)-FIND("/",E982)))-(LEFT(E982,FIND("/",E982)-1)),(MID(E982, SEARCH("/",E982) + 1, SEARCH("/",E982, SEARCH("/",E982)+1) - SEARCH("/",E982) - 1))-(LEFT(E982,FIND("/",E982)-1))), "NA"))</f>
        <v/>
      </c>
      <c r="K982" s="79">
        <f>IF(A982&lt;&gt;"", IF(ISBLANK(L982), TODAY(), K982), "")</f>
        <v/>
      </c>
      <c r="L982" s="78" t="n"/>
      <c r="M982" s="78">
        <f>IF(ISBLANK(L982),"",IF(D982="Stock",IF(C982="Buy",L982*G982,IF(C982="Sell",(L982*G982)-I982, X)),IF(C982="Buy",(L982*G982*100)+I982,IF(C982="Sell",(L982*G982*100)-I982, X))))</f>
        <v/>
      </c>
      <c r="N982" s="78">
        <f>IF(ISBLANK(L982),"",IF(AND(C982="Sell",D982="Stock"),M982,IF(ISBLANK(L982),"",IF(C982="Buy",M982, IF(AND(C982="Sell",J982="NA"),(E982*G982*100*0.1)+I982, IF(C982="Sell",(J982-L982)*(100*G982)+I982))))))</f>
        <v/>
      </c>
      <c r="O982" s="75" t="n"/>
      <c r="P982" s="75" t="n"/>
      <c r="Q982" s="75">
        <f>IF(ISBLANK(P982),"",IF(D982="Stock",P982*G982,IF(P982=0,"0",G982*P982*100-(G982*$AF$14))))</f>
        <v/>
      </c>
      <c r="R982" s="79">
        <f>IF(P982&lt;&gt;"", TODAY(), "")</f>
        <v/>
      </c>
      <c r="S982" s="78">
        <f>IF(AND(K982&lt;&gt;"", R982&lt;&gt;""), R982-K982, "")</f>
        <v/>
      </c>
      <c r="T982" s="78" t="n"/>
      <c r="U982" s="92">
        <f>IF(ISBLANK(P982),"",IF(C982="Buy",Q982-M982+T982, IF(C982="Sell",M982-Q982-T982, X)))</f>
        <v/>
      </c>
      <c r="V982" s="81">
        <f>IF(ISBLANK(P982),"",U982/N982)</f>
        <v/>
      </c>
      <c r="W982" s="81">
        <f>IF(ISBLANK(P982),"",IF(S982=0,(365/0.5)*V982,(365/S982)*V982))</f>
        <v/>
      </c>
      <c r="X982" s="75" t="n"/>
      <c r="Y982" s="77" t="n"/>
      <c r="Z982" s="77" t="n"/>
      <c r="AA982" s="75" t="n"/>
      <c r="AB982" s="75" t="n"/>
      <c r="AC982" s="6" t="n"/>
      <c r="AD982" s="75" t="n"/>
      <c r="AE982" s="75" t="n"/>
      <c r="AF982" s="75" t="n"/>
    </row>
    <row r="983" ht="15.75" customHeight="1" s="133">
      <c r="A983" s="75" t="n"/>
      <c r="B983" s="75" t="n"/>
      <c r="C983" s="75" t="n"/>
      <c r="D983" s="75" t="n"/>
      <c r="E983" s="76" t="n"/>
      <c r="F983" s="77" t="n"/>
      <c r="G983" s="75" t="n"/>
      <c r="H983" s="75">
        <f>IF(ISBLANK(E983),"",IF(OR(D983="Butterfly",D983="Butterfly ",D983="Iron Fly", D983="Iron Fly "),LEN(E983)-LEN(SUBSTITUTE(E983,"/",""))+2,LEN(E983)-LEN(SUBSTITUTE(E983,"/",""))+1))</f>
        <v/>
      </c>
      <c r="I983" s="78">
        <f>IF(ISBLANK(G983),"",IF(D983="Stock","0",Key!$A$3*H983*G983))</f>
        <v/>
      </c>
      <c r="J983" s="78">
        <f>IF(ISBLANK(E983),"",IF(ISNUMBER(SEARCH("/",E983)), IF(LEN(E983)-LEN(SUBSTITUTE(E983,"/",""))=1,(RIGHT(E983,LEN(E983)-FIND("/",E983)))-(LEFT(E983,FIND("/",E983)-1)),(MID(E983, SEARCH("/",E983) + 1, SEARCH("/",E983, SEARCH("/",E983)+1) - SEARCH("/",E983) - 1))-(LEFT(E983,FIND("/",E983)-1))), "NA"))</f>
        <v/>
      </c>
      <c r="K983" s="79">
        <f>IF(A983&lt;&gt;"", IF(ISBLANK(L983), TODAY(), K983), "")</f>
        <v/>
      </c>
      <c r="L983" s="78" t="n"/>
      <c r="M983" s="78">
        <f>IF(ISBLANK(L983),"",IF(D983="Stock",IF(C983="Buy",L983*G983,IF(C983="Sell",(L983*G983)-I983, X)),IF(C983="Buy",(L983*G983*100)+I983,IF(C983="Sell",(L983*G983*100)-I983, X))))</f>
        <v/>
      </c>
      <c r="N983" s="78">
        <f>IF(ISBLANK(L983),"",IF(AND(C983="Sell",D983="Stock"),M983,IF(ISBLANK(L983),"",IF(C983="Buy",M983, IF(AND(C983="Sell",J983="NA"),(E983*G983*100*0.1)+I983, IF(C983="Sell",(J983-L983)*(100*G983)+I983))))))</f>
        <v/>
      </c>
      <c r="O983" s="75" t="n"/>
      <c r="P983" s="75" t="n"/>
      <c r="Q983" s="75">
        <f>IF(ISBLANK(P983),"",IF(D983="Stock",P983*G983,IF(P983=0,"0",G983*P983*100-(G983*$AF$14))))</f>
        <v/>
      </c>
      <c r="R983" s="79">
        <f>IF(P983&lt;&gt;"", TODAY(), "")</f>
        <v/>
      </c>
      <c r="S983" s="78">
        <f>IF(AND(K983&lt;&gt;"", R983&lt;&gt;""), R983-K983, "")</f>
        <v/>
      </c>
      <c r="T983" s="78" t="n"/>
      <c r="U983" s="92">
        <f>IF(ISBLANK(P983),"",IF(C983="Buy",Q983-M983+T983, IF(C983="Sell",M983-Q983-T983, X)))</f>
        <v/>
      </c>
      <c r="V983" s="81">
        <f>IF(ISBLANK(P983),"",U983/N983)</f>
        <v/>
      </c>
      <c r="W983" s="81">
        <f>IF(ISBLANK(P983),"",IF(S983=0,(365/0.5)*V983,(365/S983)*V983))</f>
        <v/>
      </c>
      <c r="X983" s="75" t="n"/>
      <c r="Y983" s="77" t="n"/>
      <c r="Z983" s="77" t="n"/>
      <c r="AA983" s="75" t="n"/>
      <c r="AB983" s="75" t="n"/>
      <c r="AC983" s="6" t="n"/>
      <c r="AD983" s="75" t="n"/>
      <c r="AE983" s="75" t="n"/>
      <c r="AF983" s="75" t="n"/>
    </row>
    <row r="984" ht="15.75" customHeight="1" s="133">
      <c r="A984" s="75" t="n"/>
      <c r="B984" s="75" t="n"/>
      <c r="C984" s="75" t="n"/>
      <c r="D984" s="75" t="n"/>
      <c r="E984" s="76" t="n"/>
      <c r="F984" s="77" t="n"/>
      <c r="G984" s="75" t="n"/>
      <c r="H984" s="75">
        <f>IF(ISBLANK(E984),"",IF(OR(D984="Butterfly",D984="Butterfly ",D984="Iron Fly", D984="Iron Fly "),LEN(E984)-LEN(SUBSTITUTE(E984,"/",""))+2,LEN(E984)-LEN(SUBSTITUTE(E984,"/",""))+1))</f>
        <v/>
      </c>
      <c r="I984" s="78">
        <f>IF(ISBLANK(G984),"",IF(D984="Stock","0",Key!$A$3*H984*G984))</f>
        <v/>
      </c>
      <c r="J984" s="78">
        <f>IF(ISBLANK(E984),"",IF(ISNUMBER(SEARCH("/",E984)), IF(LEN(E984)-LEN(SUBSTITUTE(E984,"/",""))=1,(RIGHT(E984,LEN(E984)-FIND("/",E984)))-(LEFT(E984,FIND("/",E984)-1)),(MID(E984, SEARCH("/",E984) + 1, SEARCH("/",E984, SEARCH("/",E984)+1) - SEARCH("/",E984) - 1))-(LEFT(E984,FIND("/",E984)-1))), "NA"))</f>
        <v/>
      </c>
      <c r="K984" s="79">
        <f>IF(A984&lt;&gt;"", IF(ISBLANK(L984), TODAY(), K984), "")</f>
        <v/>
      </c>
      <c r="L984" s="78" t="n"/>
      <c r="M984" s="78">
        <f>IF(ISBLANK(L984),"",IF(D984="Stock",IF(C984="Buy",L984*G984,IF(C984="Sell",(L984*G984)-I984, X)),IF(C984="Buy",(L984*G984*100)+I984,IF(C984="Sell",(L984*G984*100)-I984, X))))</f>
        <v/>
      </c>
      <c r="N984" s="78">
        <f>IF(ISBLANK(L984),"",IF(AND(C984="Sell",D984="Stock"),M984,IF(ISBLANK(L984),"",IF(C984="Buy",M984, IF(AND(C984="Sell",J984="NA"),(E984*G984*100*0.1)+I984, IF(C984="Sell",(J984-L984)*(100*G984)+I984))))))</f>
        <v/>
      </c>
      <c r="O984" s="75" t="n"/>
      <c r="P984" s="75" t="n"/>
      <c r="Q984" s="75">
        <f>IF(ISBLANK(P984),"",IF(D984="Stock",P984*G984,IF(P984=0,"0",G984*P984*100-(G984*$AF$14))))</f>
        <v/>
      </c>
      <c r="R984" s="79">
        <f>IF(P984&lt;&gt;"", TODAY(), "")</f>
        <v/>
      </c>
      <c r="S984" s="78">
        <f>IF(AND(K984&lt;&gt;"", R984&lt;&gt;""), R984-K984, "")</f>
        <v/>
      </c>
      <c r="T984" s="78" t="n"/>
      <c r="U984" s="92">
        <f>IF(ISBLANK(P984),"",IF(C984="Buy",Q984-M984+T984, IF(C984="Sell",M984-Q984-T984, X)))</f>
        <v/>
      </c>
      <c r="V984" s="81">
        <f>IF(ISBLANK(P984),"",U984/N984)</f>
        <v/>
      </c>
      <c r="W984" s="81">
        <f>IF(ISBLANK(P984),"",IF(S984=0,(365/0.5)*V984,(365/S984)*V984))</f>
        <v/>
      </c>
      <c r="X984" s="75" t="n"/>
      <c r="Y984" s="77" t="n"/>
      <c r="Z984" s="77" t="n"/>
      <c r="AA984" s="75" t="n"/>
      <c r="AB984" s="75" t="n"/>
      <c r="AC984" s="6" t="n"/>
      <c r="AD984" s="75" t="n"/>
      <c r="AE984" s="75" t="n"/>
      <c r="AF984" s="75" t="n"/>
    </row>
    <row r="985" ht="15.75" customHeight="1" s="133">
      <c r="A985" s="75" t="n"/>
      <c r="B985" s="75" t="n"/>
      <c r="C985" s="75" t="n"/>
      <c r="D985" s="75" t="n"/>
      <c r="E985" s="76" t="n"/>
      <c r="F985" s="77" t="n"/>
      <c r="G985" s="75" t="n"/>
      <c r="H985" s="75">
        <f>IF(ISBLANK(E985),"",IF(OR(D985="Butterfly",D985="Butterfly ",D985="Iron Fly", D985="Iron Fly "),LEN(E985)-LEN(SUBSTITUTE(E985,"/",""))+2,LEN(E985)-LEN(SUBSTITUTE(E985,"/",""))+1))</f>
        <v/>
      </c>
      <c r="I985" s="78">
        <f>IF(ISBLANK(G985),"",IF(D985="Stock","0",Key!$A$3*H985*G985))</f>
        <v/>
      </c>
      <c r="J985" s="78">
        <f>IF(ISBLANK(E985),"",IF(ISNUMBER(SEARCH("/",E985)), IF(LEN(E985)-LEN(SUBSTITUTE(E985,"/",""))=1,(RIGHT(E985,LEN(E985)-FIND("/",E985)))-(LEFT(E985,FIND("/",E985)-1)),(MID(E985, SEARCH("/",E985) + 1, SEARCH("/",E985, SEARCH("/",E985)+1) - SEARCH("/",E985) - 1))-(LEFT(E985,FIND("/",E985)-1))), "NA"))</f>
        <v/>
      </c>
      <c r="K985" s="79">
        <f>IF(A985&lt;&gt;"", IF(ISBLANK(L985), TODAY(), K985), "")</f>
        <v/>
      </c>
      <c r="L985" s="78" t="n"/>
      <c r="M985" s="78">
        <f>IF(ISBLANK(L985),"",IF(D985="Stock",IF(C985="Buy",L985*G985,IF(C985="Sell",(L985*G985)-I985, X)),IF(C985="Buy",(L985*G985*100)+I985,IF(C985="Sell",(L985*G985*100)-I985, X))))</f>
        <v/>
      </c>
      <c r="N985" s="78">
        <f>IF(ISBLANK(L985),"",IF(AND(C985="Sell",D985="Stock"),M985,IF(ISBLANK(L985),"",IF(C985="Buy",M985, IF(AND(C985="Sell",J985="NA"),(E985*G985*100*0.1)+I985, IF(C985="Sell",(J985-L985)*(100*G985)+I985))))))</f>
        <v/>
      </c>
      <c r="O985" s="75" t="n"/>
      <c r="P985" s="75" t="n"/>
      <c r="Q985" s="75">
        <f>IF(ISBLANK(P985),"",IF(D985="Stock",P985*G985,IF(P985=0,"0",G985*P985*100-(G985*$AF$14))))</f>
        <v/>
      </c>
      <c r="R985" s="79">
        <f>IF(P985&lt;&gt;"", TODAY(), "")</f>
        <v/>
      </c>
      <c r="S985" s="78">
        <f>IF(AND(K985&lt;&gt;"", R985&lt;&gt;""), R985-K985, "")</f>
        <v/>
      </c>
      <c r="T985" s="78" t="n"/>
      <c r="U985" s="92">
        <f>IF(ISBLANK(P985),"",IF(C985="Buy",Q985-M985+T985, IF(C985="Sell",M985-Q985-T985, X)))</f>
        <v/>
      </c>
      <c r="V985" s="81">
        <f>IF(ISBLANK(P985),"",U985/N985)</f>
        <v/>
      </c>
      <c r="W985" s="81">
        <f>IF(ISBLANK(P985),"",IF(S985=0,(365/0.5)*V985,(365/S985)*V985))</f>
        <v/>
      </c>
      <c r="X985" s="75" t="n"/>
      <c r="Y985" s="77" t="n"/>
      <c r="Z985" s="77" t="n"/>
      <c r="AA985" s="75" t="n"/>
      <c r="AB985" s="75" t="n"/>
      <c r="AC985" s="6" t="n"/>
      <c r="AD985" s="75" t="n"/>
      <c r="AE985" s="75" t="n"/>
      <c r="AF985" s="75" t="n"/>
    </row>
    <row r="986" ht="15.75" customHeight="1" s="133">
      <c r="A986" s="75" t="n"/>
      <c r="B986" s="75" t="n"/>
      <c r="C986" s="75" t="n"/>
      <c r="D986" s="75" t="n"/>
      <c r="E986" s="76" t="n"/>
      <c r="F986" s="77" t="n"/>
      <c r="G986" s="75" t="n"/>
      <c r="H986" s="75">
        <f>IF(ISBLANK(E986),"",IF(OR(D986="Butterfly",D986="Butterfly ",D986="Iron Fly", D986="Iron Fly "),LEN(E986)-LEN(SUBSTITUTE(E986,"/",""))+2,LEN(E986)-LEN(SUBSTITUTE(E986,"/",""))+1))</f>
        <v/>
      </c>
      <c r="I986" s="78">
        <f>IF(ISBLANK(G986),"",IF(D986="Stock","0",Key!$A$3*H986*G986))</f>
        <v/>
      </c>
      <c r="J986" s="78">
        <f>IF(ISBLANK(E986),"",IF(ISNUMBER(SEARCH("/",E986)), IF(LEN(E986)-LEN(SUBSTITUTE(E986,"/",""))=1,(RIGHT(E986,LEN(E986)-FIND("/",E986)))-(LEFT(E986,FIND("/",E986)-1)),(MID(E986, SEARCH("/",E986) + 1, SEARCH("/",E986, SEARCH("/",E986)+1) - SEARCH("/",E986) - 1))-(LEFT(E986,FIND("/",E986)-1))), "NA"))</f>
        <v/>
      </c>
      <c r="K986" s="79">
        <f>IF(A986&lt;&gt;"", IF(ISBLANK(L986), TODAY(), K986), "")</f>
        <v/>
      </c>
      <c r="L986" s="78" t="n"/>
      <c r="M986" s="78">
        <f>IF(ISBLANK(L986),"",IF(D986="Stock",IF(C986="Buy",L986*G986,IF(C986="Sell",(L986*G986)-I986, X)),IF(C986="Buy",(L986*G986*100)+I986,IF(C986="Sell",(L986*G986*100)-I986, X))))</f>
        <v/>
      </c>
      <c r="N986" s="78">
        <f>IF(ISBLANK(L986),"",IF(AND(C986="Sell",D986="Stock"),M986,IF(ISBLANK(L986),"",IF(C986="Buy",M986, IF(AND(C986="Sell",J986="NA"),(E986*G986*100*0.1)+I986, IF(C986="Sell",(J986-L986)*(100*G986)+I986))))))</f>
        <v/>
      </c>
      <c r="O986" s="75" t="n"/>
      <c r="P986" s="75" t="n"/>
      <c r="Q986" s="75">
        <f>IF(ISBLANK(P986),"",IF(D986="Stock",P986*G986,IF(P986=0,"0",G986*P986*100-(G986*$AF$14))))</f>
        <v/>
      </c>
      <c r="R986" s="79">
        <f>IF(P986&lt;&gt;"", TODAY(), "")</f>
        <v/>
      </c>
      <c r="S986" s="78">
        <f>IF(AND(K986&lt;&gt;"", R986&lt;&gt;""), R986-K986, "")</f>
        <v/>
      </c>
      <c r="T986" s="78" t="n"/>
      <c r="U986" s="92">
        <f>IF(ISBLANK(P986),"",IF(C986="Buy",Q986-M986+T986, IF(C986="Sell",M986-Q986-T986, X)))</f>
        <v/>
      </c>
      <c r="V986" s="81">
        <f>IF(ISBLANK(P986),"",U986/N986)</f>
        <v/>
      </c>
      <c r="W986" s="81">
        <f>IF(ISBLANK(P986),"",IF(S986=0,(365/0.5)*V986,(365/S986)*V986))</f>
        <v/>
      </c>
      <c r="X986" s="75" t="n"/>
      <c r="Y986" s="77" t="n"/>
      <c r="Z986" s="77" t="n"/>
      <c r="AA986" s="75" t="n"/>
      <c r="AB986" s="75" t="n"/>
      <c r="AC986" s="6" t="n"/>
      <c r="AD986" s="75" t="n"/>
      <c r="AE986" s="75" t="n"/>
      <c r="AF986" s="75" t="n"/>
    </row>
    <row r="987" ht="15.75" customHeight="1" s="133">
      <c r="A987" s="75" t="n"/>
      <c r="B987" s="75" t="n"/>
      <c r="C987" s="75" t="n"/>
      <c r="D987" s="75" t="n"/>
      <c r="E987" s="76" t="n"/>
      <c r="F987" s="77" t="n"/>
      <c r="G987" s="75" t="n"/>
      <c r="H987" s="75">
        <f>IF(ISBLANK(E987),"",IF(OR(D987="Butterfly",D987="Butterfly ",D987="Iron Fly", D987="Iron Fly "),LEN(E987)-LEN(SUBSTITUTE(E987,"/",""))+2,LEN(E987)-LEN(SUBSTITUTE(E987,"/",""))+1))</f>
        <v/>
      </c>
      <c r="I987" s="78">
        <f>IF(ISBLANK(G987),"",IF(D987="Stock","0",Key!$A$3*H987*G987))</f>
        <v/>
      </c>
      <c r="J987" s="78">
        <f>IF(ISBLANK(E987),"",IF(ISNUMBER(SEARCH("/",E987)), IF(LEN(E987)-LEN(SUBSTITUTE(E987,"/",""))=1,(RIGHT(E987,LEN(E987)-FIND("/",E987)))-(LEFT(E987,FIND("/",E987)-1)),(MID(E987, SEARCH("/",E987) + 1, SEARCH("/",E987, SEARCH("/",E987)+1) - SEARCH("/",E987) - 1))-(LEFT(E987,FIND("/",E987)-1))), "NA"))</f>
        <v/>
      </c>
      <c r="K987" s="79">
        <f>IF(A987&lt;&gt;"", IF(ISBLANK(L987), TODAY(), K987), "")</f>
        <v/>
      </c>
      <c r="L987" s="78" t="n"/>
      <c r="M987" s="78">
        <f>IF(ISBLANK(L987),"",IF(D987="Stock",IF(C987="Buy",L987*G987,IF(C987="Sell",(L987*G987)-I987, X)),IF(C987="Buy",(L987*G987*100)+I987,IF(C987="Sell",(L987*G987*100)-I987, X))))</f>
        <v/>
      </c>
      <c r="N987" s="78">
        <f>IF(ISBLANK(L987),"",IF(AND(C987="Sell",D987="Stock"),M987,IF(ISBLANK(L987),"",IF(C987="Buy",M987, IF(AND(C987="Sell",J987="NA"),(E987*G987*100*0.1)+I987, IF(C987="Sell",(J987-L987)*(100*G987)+I987))))))</f>
        <v/>
      </c>
      <c r="O987" s="75" t="n"/>
      <c r="P987" s="75" t="n"/>
      <c r="Q987" s="75">
        <f>IF(ISBLANK(P987),"",IF(D987="Stock",P987*G987,IF(P987=0,"0",G987*P987*100-(G987*$AF$14))))</f>
        <v/>
      </c>
      <c r="R987" s="79">
        <f>IF(P987&lt;&gt;"", TODAY(), "")</f>
        <v/>
      </c>
      <c r="S987" s="78">
        <f>IF(AND(K987&lt;&gt;"", R987&lt;&gt;""), R987-K987, "")</f>
        <v/>
      </c>
      <c r="T987" s="78" t="n"/>
      <c r="U987" s="92">
        <f>IF(ISBLANK(P987),"",IF(C987="Buy",Q987-M987+T987, IF(C987="Sell",M987-Q987-T987, X)))</f>
        <v/>
      </c>
      <c r="V987" s="81">
        <f>IF(ISBLANK(P987),"",U987/N987)</f>
        <v/>
      </c>
      <c r="W987" s="81">
        <f>IF(ISBLANK(P987),"",IF(S987=0,(365/0.5)*V987,(365/S987)*V987))</f>
        <v/>
      </c>
      <c r="X987" s="75" t="n"/>
      <c r="Y987" s="77" t="n"/>
      <c r="Z987" s="77" t="n"/>
      <c r="AA987" s="75" t="n"/>
      <c r="AB987" s="75" t="n"/>
      <c r="AC987" s="6" t="n"/>
      <c r="AD987" s="75" t="n"/>
      <c r="AE987" s="75" t="n"/>
      <c r="AF987" s="75" t="n"/>
    </row>
    <row r="988" ht="15.75" customHeight="1" s="133">
      <c r="A988" s="75" t="n"/>
      <c r="B988" s="75" t="n"/>
      <c r="C988" s="75" t="n"/>
      <c r="D988" s="75" t="n"/>
      <c r="E988" s="76" t="n"/>
      <c r="F988" s="77" t="n"/>
      <c r="G988" s="75" t="n"/>
      <c r="H988" s="75">
        <f>IF(ISBLANK(E988),"",IF(OR(D988="Butterfly",D988="Butterfly ",D988="Iron Fly", D988="Iron Fly "),LEN(E988)-LEN(SUBSTITUTE(E988,"/",""))+2,LEN(E988)-LEN(SUBSTITUTE(E988,"/",""))+1))</f>
        <v/>
      </c>
      <c r="I988" s="78">
        <f>IF(ISBLANK(G988),"",IF(D988="Stock","0",Key!$A$3*H988*G988))</f>
        <v/>
      </c>
      <c r="J988" s="78">
        <f>IF(ISBLANK(E988),"",IF(ISNUMBER(SEARCH("/",E988)), IF(LEN(E988)-LEN(SUBSTITUTE(E988,"/",""))=1,(RIGHT(E988,LEN(E988)-FIND("/",E988)))-(LEFT(E988,FIND("/",E988)-1)),(MID(E988, SEARCH("/",E988) + 1, SEARCH("/",E988, SEARCH("/",E988)+1) - SEARCH("/",E988) - 1))-(LEFT(E988,FIND("/",E988)-1))), "NA"))</f>
        <v/>
      </c>
      <c r="K988" s="79">
        <f>IF(A988&lt;&gt;"", IF(ISBLANK(L988), TODAY(), K988), "")</f>
        <v/>
      </c>
      <c r="L988" s="78" t="n"/>
      <c r="M988" s="78">
        <f>IF(ISBLANK(L988),"",IF(D988="Stock",IF(C988="Buy",L988*G988,IF(C988="Sell",(L988*G988)-I988, X)),IF(C988="Buy",(L988*G988*100)+I988,IF(C988="Sell",(L988*G988*100)-I988, X))))</f>
        <v/>
      </c>
      <c r="N988" s="78">
        <f>IF(ISBLANK(L988),"",IF(AND(C988="Sell",D988="Stock"),M988,IF(ISBLANK(L988),"",IF(C988="Buy",M988, IF(AND(C988="Sell",J988="NA"),(E988*G988*100*0.1)+I988, IF(C988="Sell",(J988-L988)*(100*G988)+I988))))))</f>
        <v/>
      </c>
      <c r="O988" s="75" t="n"/>
      <c r="P988" s="75" t="n"/>
      <c r="Q988" s="75">
        <f>IF(ISBLANK(P988),"",IF(D988="Stock",P988*G988,IF(P988=0,"0",G988*P988*100-(G988*$AF$14))))</f>
        <v/>
      </c>
      <c r="R988" s="79">
        <f>IF(P988&lt;&gt;"", TODAY(), "")</f>
        <v/>
      </c>
      <c r="S988" s="78">
        <f>IF(AND(K988&lt;&gt;"", R988&lt;&gt;""), R988-K988, "")</f>
        <v/>
      </c>
      <c r="T988" s="78" t="n"/>
      <c r="U988" s="92">
        <f>IF(ISBLANK(P988),"",IF(C988="Buy",Q988-M988+T988, IF(C988="Sell",M988-Q988-T988, X)))</f>
        <v/>
      </c>
      <c r="V988" s="81">
        <f>IF(ISBLANK(P988),"",U988/N988)</f>
        <v/>
      </c>
      <c r="W988" s="81">
        <f>IF(ISBLANK(P988),"",IF(S988=0,(365/0.5)*V988,(365/S988)*V988))</f>
        <v/>
      </c>
      <c r="X988" s="75" t="n"/>
      <c r="Y988" s="77" t="n"/>
      <c r="Z988" s="77" t="n"/>
      <c r="AA988" s="75" t="n"/>
      <c r="AB988" s="75" t="n"/>
      <c r="AC988" s="6" t="n"/>
      <c r="AD988" s="75" t="n"/>
      <c r="AE988" s="75" t="n"/>
      <c r="AF988" s="75" t="n"/>
    </row>
    <row r="989" ht="15.75" customHeight="1" s="133">
      <c r="A989" s="75" t="n"/>
      <c r="B989" s="75" t="n"/>
      <c r="C989" s="75" t="n"/>
      <c r="D989" s="75" t="n"/>
      <c r="E989" s="76" t="n"/>
      <c r="F989" s="77" t="n"/>
      <c r="G989" s="75" t="n"/>
      <c r="H989" s="75">
        <f>IF(ISBLANK(E989),"",IF(OR(D989="Butterfly",D989="Butterfly ",D989="Iron Fly", D989="Iron Fly "),LEN(E989)-LEN(SUBSTITUTE(E989,"/",""))+2,LEN(E989)-LEN(SUBSTITUTE(E989,"/",""))+1))</f>
        <v/>
      </c>
      <c r="I989" s="78">
        <f>IF(ISBLANK(G989),"",IF(D989="Stock","0",Key!$A$3*H989*G989))</f>
        <v/>
      </c>
      <c r="J989" s="78">
        <f>IF(ISBLANK(E989),"",IF(ISNUMBER(SEARCH("/",E989)), IF(LEN(E989)-LEN(SUBSTITUTE(E989,"/",""))=1,(RIGHT(E989,LEN(E989)-FIND("/",E989)))-(LEFT(E989,FIND("/",E989)-1)),(MID(E989, SEARCH("/",E989) + 1, SEARCH("/",E989, SEARCH("/",E989)+1) - SEARCH("/",E989) - 1))-(LEFT(E989,FIND("/",E989)-1))), "NA"))</f>
        <v/>
      </c>
      <c r="K989" s="79">
        <f>IF(A989&lt;&gt;"", IF(ISBLANK(L989), TODAY(), K989), "")</f>
        <v/>
      </c>
      <c r="L989" s="78" t="n"/>
      <c r="M989" s="78">
        <f>IF(ISBLANK(L989),"",IF(D989="Stock",IF(C989="Buy",L989*G989,IF(C989="Sell",(L989*G989)-I989, X)),IF(C989="Buy",(L989*G989*100)+I989,IF(C989="Sell",(L989*G989*100)-I989, X))))</f>
        <v/>
      </c>
      <c r="N989" s="78">
        <f>IF(ISBLANK(L989),"",IF(AND(C989="Sell",D989="Stock"),M989,IF(ISBLANK(L989),"",IF(C989="Buy",M989, IF(AND(C989="Sell",J989="NA"),(E989*G989*100*0.1)+I989, IF(C989="Sell",(J989-L989)*(100*G989)+I989))))))</f>
        <v/>
      </c>
      <c r="O989" s="75" t="n"/>
      <c r="P989" s="75" t="n"/>
      <c r="Q989" s="75">
        <f>IF(ISBLANK(P989),"",IF(D989="Stock",P989*G989,IF(P989=0,"0",G989*P989*100-(G989*$AF$14))))</f>
        <v/>
      </c>
      <c r="R989" s="79">
        <f>IF(P989&lt;&gt;"", TODAY(), "")</f>
        <v/>
      </c>
      <c r="S989" s="78">
        <f>IF(AND(K989&lt;&gt;"", R989&lt;&gt;""), R989-K989, "")</f>
        <v/>
      </c>
      <c r="T989" s="78" t="n"/>
      <c r="U989" s="92">
        <f>IF(ISBLANK(P989),"",IF(C989="Buy",Q989-M989+T989, IF(C989="Sell",M989-Q989-T989, X)))</f>
        <v/>
      </c>
      <c r="V989" s="81">
        <f>IF(ISBLANK(P989),"",U989/N989)</f>
        <v/>
      </c>
      <c r="W989" s="81">
        <f>IF(ISBLANK(P989),"",IF(S989=0,(365/0.5)*V989,(365/S989)*V989))</f>
        <v/>
      </c>
      <c r="X989" s="75" t="n"/>
      <c r="Y989" s="77" t="n"/>
      <c r="Z989" s="77" t="n"/>
      <c r="AA989" s="75" t="n"/>
      <c r="AB989" s="75" t="n"/>
      <c r="AC989" s="6" t="n"/>
      <c r="AD989" s="75" t="n"/>
      <c r="AE989" s="75" t="n"/>
      <c r="AF989" s="75" t="n"/>
    </row>
    <row r="990" ht="15.75" customHeight="1" s="133">
      <c r="A990" s="75" t="n"/>
      <c r="B990" s="75" t="n"/>
      <c r="C990" s="75" t="n"/>
      <c r="D990" s="75" t="n"/>
      <c r="E990" s="76" t="n"/>
      <c r="F990" s="77" t="n"/>
      <c r="G990" s="75" t="n"/>
      <c r="H990" s="75">
        <f>IF(ISBLANK(E990),"",IF(OR(D990="Butterfly",D990="Butterfly ",D990="Iron Fly", D990="Iron Fly "),LEN(E990)-LEN(SUBSTITUTE(E990,"/",""))+2,LEN(E990)-LEN(SUBSTITUTE(E990,"/",""))+1))</f>
        <v/>
      </c>
      <c r="I990" s="78">
        <f>IF(ISBLANK(G990),"",IF(D990="Stock","0",Key!$A$3*H990*G990))</f>
        <v/>
      </c>
      <c r="J990" s="78">
        <f>IF(ISBLANK(E990),"",IF(ISNUMBER(SEARCH("/",E990)), IF(LEN(E990)-LEN(SUBSTITUTE(E990,"/",""))=1,(RIGHT(E990,LEN(E990)-FIND("/",E990)))-(LEFT(E990,FIND("/",E990)-1)),(MID(E990, SEARCH("/",E990) + 1, SEARCH("/",E990, SEARCH("/",E990)+1) - SEARCH("/",E990) - 1))-(LEFT(E990,FIND("/",E990)-1))), "NA"))</f>
        <v/>
      </c>
      <c r="K990" s="79">
        <f>IF(A990&lt;&gt;"", IF(ISBLANK(L990), TODAY(), K990), "")</f>
        <v/>
      </c>
      <c r="L990" s="78" t="n"/>
      <c r="M990" s="78">
        <f>IF(ISBLANK(L990),"",IF(D990="Stock",IF(C990="Buy",L990*G990,IF(C990="Sell",(L990*G990)-I990, X)),IF(C990="Buy",(L990*G990*100)+I990,IF(C990="Sell",(L990*G990*100)-I990, X))))</f>
        <v/>
      </c>
      <c r="N990" s="78">
        <f>IF(ISBLANK(L990),"",IF(AND(C990="Sell",D990="Stock"),M990,IF(ISBLANK(L990),"",IF(C990="Buy",M990, IF(AND(C990="Sell",J990="NA"),(E990*G990*100*0.1)+I990, IF(C990="Sell",(J990-L990)*(100*G990)+I990))))))</f>
        <v/>
      </c>
      <c r="O990" s="75" t="n"/>
      <c r="P990" s="75" t="n"/>
      <c r="Q990" s="75">
        <f>IF(ISBLANK(P990),"",IF(D990="Stock",P990*G990,IF(P990=0,"0",G990*P990*100-(G990*$AF$14))))</f>
        <v/>
      </c>
      <c r="R990" s="79">
        <f>IF(P990&lt;&gt;"", TODAY(), "")</f>
        <v/>
      </c>
      <c r="S990" s="78">
        <f>IF(AND(K990&lt;&gt;"", R990&lt;&gt;""), R990-K990, "")</f>
        <v/>
      </c>
      <c r="T990" s="78" t="n"/>
      <c r="U990" s="92">
        <f>IF(ISBLANK(P990),"",IF(C990="Buy",Q990-M990+T990, IF(C990="Sell",M990-Q990-T990, X)))</f>
        <v/>
      </c>
      <c r="V990" s="81">
        <f>IF(ISBLANK(P990),"",U990/N990)</f>
        <v/>
      </c>
      <c r="W990" s="81">
        <f>IF(ISBLANK(P990),"",IF(S990=0,(365/0.5)*V990,(365/S990)*V990))</f>
        <v/>
      </c>
      <c r="X990" s="75" t="n"/>
      <c r="Y990" s="77" t="n"/>
      <c r="Z990" s="77" t="n"/>
      <c r="AA990" s="75" t="n"/>
      <c r="AB990" s="75" t="n"/>
      <c r="AC990" s="6" t="n"/>
      <c r="AD990" s="75" t="n"/>
      <c r="AE990" s="75" t="n"/>
      <c r="AF990" s="75" t="n"/>
    </row>
    <row r="991" ht="15.75" customHeight="1" s="133">
      <c r="A991" s="75" t="n"/>
      <c r="B991" s="75" t="n"/>
      <c r="C991" s="75" t="n"/>
      <c r="D991" s="75" t="n"/>
      <c r="E991" s="76" t="n"/>
      <c r="F991" s="77" t="n"/>
      <c r="G991" s="75" t="n"/>
      <c r="H991" s="75">
        <f>IF(ISBLANK(E991),"",IF(OR(D991="Butterfly",D991="Butterfly ",D991="Iron Fly", D991="Iron Fly "),LEN(E991)-LEN(SUBSTITUTE(E991,"/",""))+2,LEN(E991)-LEN(SUBSTITUTE(E991,"/",""))+1))</f>
        <v/>
      </c>
      <c r="I991" s="78">
        <f>IF(ISBLANK(G991),"",IF(D991="Stock","0",Key!$A$3*H991*G991))</f>
        <v/>
      </c>
      <c r="J991" s="78">
        <f>IF(ISBLANK(E991),"",IF(ISNUMBER(SEARCH("/",E991)), IF(LEN(E991)-LEN(SUBSTITUTE(E991,"/",""))=1,(RIGHT(E991,LEN(E991)-FIND("/",E991)))-(LEFT(E991,FIND("/",E991)-1)),(MID(E991, SEARCH("/",E991) + 1, SEARCH("/",E991, SEARCH("/",E991)+1) - SEARCH("/",E991) - 1))-(LEFT(E991,FIND("/",E991)-1))), "NA"))</f>
        <v/>
      </c>
      <c r="K991" s="79">
        <f>IF(A991&lt;&gt;"", IF(ISBLANK(L991), TODAY(), K991), "")</f>
        <v/>
      </c>
      <c r="L991" s="78" t="n"/>
      <c r="M991" s="78">
        <f>IF(ISBLANK(L991),"",IF(D991="Stock",IF(C991="Buy",L991*G991,IF(C991="Sell",(L991*G991)-I991, X)),IF(C991="Buy",(L991*G991*100)+I991,IF(C991="Sell",(L991*G991*100)-I991, X))))</f>
        <v/>
      </c>
      <c r="N991" s="78">
        <f>IF(ISBLANK(L991),"",IF(AND(C991="Sell",D991="Stock"),M991,IF(ISBLANK(L991),"",IF(C991="Buy",M991, IF(AND(C991="Sell",J991="NA"),(E991*G991*100*0.1)+I991, IF(C991="Sell",(J991-L991)*(100*G991)+I991))))))</f>
        <v/>
      </c>
      <c r="O991" s="75" t="n"/>
      <c r="P991" s="75" t="n"/>
      <c r="Q991" s="75">
        <f>IF(ISBLANK(P991),"",IF(D991="Stock",P991*G991,IF(P991=0,"0",G991*P991*100-(G991*$AF$14))))</f>
        <v/>
      </c>
      <c r="R991" s="79">
        <f>IF(P991&lt;&gt;"", TODAY(), "")</f>
        <v/>
      </c>
      <c r="S991" s="78">
        <f>IF(AND(K991&lt;&gt;"", R991&lt;&gt;""), R991-K991, "")</f>
        <v/>
      </c>
      <c r="T991" s="78" t="n"/>
      <c r="U991" s="92">
        <f>IF(ISBLANK(P991),"",IF(C991="Buy",Q991-M991+T991, IF(C991="Sell",M991-Q991-T991, X)))</f>
        <v/>
      </c>
      <c r="V991" s="81">
        <f>IF(ISBLANK(P991),"",U991/N991)</f>
        <v/>
      </c>
      <c r="W991" s="81">
        <f>IF(ISBLANK(P991),"",IF(S991=0,(365/0.5)*V991,(365/S991)*V991))</f>
        <v/>
      </c>
      <c r="X991" s="75" t="n"/>
      <c r="Y991" s="77" t="n"/>
      <c r="Z991" s="77" t="n"/>
      <c r="AA991" s="75" t="n"/>
      <c r="AB991" s="75" t="n"/>
      <c r="AC991" s="6" t="n"/>
      <c r="AD991" s="75" t="n"/>
      <c r="AE991" s="75" t="n"/>
      <c r="AF991" s="75" t="n"/>
    </row>
    <row r="992" ht="15.75" customHeight="1" s="133">
      <c r="A992" s="75" t="n"/>
      <c r="B992" s="75" t="n"/>
      <c r="C992" s="75" t="n"/>
      <c r="D992" s="75" t="n"/>
      <c r="E992" s="76" t="n"/>
      <c r="F992" s="77" t="n"/>
      <c r="G992" s="75" t="n"/>
      <c r="H992" s="75">
        <f>IF(ISBLANK(E992),"",IF(OR(D992="Butterfly",D992="Butterfly ",D992="Iron Fly", D992="Iron Fly "),LEN(E992)-LEN(SUBSTITUTE(E992,"/",""))+2,LEN(E992)-LEN(SUBSTITUTE(E992,"/",""))+1))</f>
        <v/>
      </c>
      <c r="I992" s="78">
        <f>IF(ISBLANK(G992),"",IF(D992="Stock","0",Key!$A$3*H992*G992))</f>
        <v/>
      </c>
      <c r="J992" s="78">
        <f>IF(ISBLANK(E992),"",IF(ISNUMBER(SEARCH("/",E992)), IF(LEN(E992)-LEN(SUBSTITUTE(E992,"/",""))=1,(RIGHT(E992,LEN(E992)-FIND("/",E992)))-(LEFT(E992,FIND("/",E992)-1)),(MID(E992, SEARCH("/",E992) + 1, SEARCH("/",E992, SEARCH("/",E992)+1) - SEARCH("/",E992) - 1))-(LEFT(E992,FIND("/",E992)-1))), "NA"))</f>
        <v/>
      </c>
      <c r="K992" s="79">
        <f>IF(A992&lt;&gt;"", IF(ISBLANK(L992), TODAY(), K992), "")</f>
        <v/>
      </c>
      <c r="L992" s="78" t="n"/>
      <c r="M992" s="78">
        <f>IF(ISBLANK(L992),"",IF(D992="Stock",IF(C992="Buy",L992*G992,IF(C992="Sell",(L992*G992)-I992, X)),IF(C992="Buy",(L992*G992*100)+I992,IF(C992="Sell",(L992*G992*100)-I992, X))))</f>
        <v/>
      </c>
      <c r="N992" s="78">
        <f>IF(ISBLANK(L992),"",IF(AND(C992="Sell",D992="Stock"),M992,IF(ISBLANK(L992),"",IF(C992="Buy",M992, IF(AND(C992="Sell",J992="NA"),(E992*G992*100*0.1)+I992, IF(C992="Sell",(J992-L992)*(100*G992)+I992))))))</f>
        <v/>
      </c>
      <c r="O992" s="75" t="n"/>
      <c r="P992" s="75" t="n"/>
      <c r="Q992" s="75">
        <f>IF(ISBLANK(P992),"",IF(D992="Stock",P992*G992,IF(P992=0,"0",G992*P992*100-(G992*$AF$14))))</f>
        <v/>
      </c>
      <c r="R992" s="79">
        <f>IF(P992&lt;&gt;"", TODAY(), "")</f>
        <v/>
      </c>
      <c r="S992" s="78">
        <f>IF(AND(K992&lt;&gt;"", R992&lt;&gt;""), R992-K992, "")</f>
        <v/>
      </c>
      <c r="T992" s="78" t="n"/>
      <c r="U992" s="92">
        <f>IF(ISBLANK(P992),"",IF(C992="Buy",Q992-M992+T992, IF(C992="Sell",M992-Q992-T992, X)))</f>
        <v/>
      </c>
      <c r="V992" s="81">
        <f>IF(ISBLANK(P992),"",U992/N992)</f>
        <v/>
      </c>
      <c r="W992" s="81">
        <f>IF(ISBLANK(P992),"",IF(S992=0,(365/0.5)*V992,(365/S992)*V992))</f>
        <v/>
      </c>
      <c r="X992" s="75" t="n"/>
      <c r="Y992" s="77" t="n"/>
      <c r="Z992" s="77" t="n"/>
      <c r="AA992" s="75" t="n"/>
      <c r="AB992" s="75" t="n"/>
      <c r="AC992" s="6" t="n"/>
      <c r="AD992" s="75" t="n"/>
      <c r="AE992" s="75" t="n"/>
      <c r="AF992" s="75" t="n"/>
    </row>
    <row r="993" ht="15.75" customHeight="1" s="133">
      <c r="A993" s="75" t="n"/>
      <c r="B993" s="75" t="n"/>
      <c r="C993" s="75" t="n"/>
      <c r="D993" s="75" t="n"/>
      <c r="E993" s="76" t="n"/>
      <c r="F993" s="77" t="n"/>
      <c r="G993" s="75" t="n"/>
      <c r="H993" s="75">
        <f>IF(ISBLANK(E993),"",IF(OR(D993="Butterfly",D993="Butterfly ",D993="Iron Fly", D993="Iron Fly "),LEN(E993)-LEN(SUBSTITUTE(E993,"/",""))+2,LEN(E993)-LEN(SUBSTITUTE(E993,"/",""))+1))</f>
        <v/>
      </c>
      <c r="I993" s="78">
        <f>IF(ISBLANK(G993),"",IF(D993="Stock","0",Key!$A$3*H993*G993))</f>
        <v/>
      </c>
      <c r="J993" s="78">
        <f>IF(ISBLANK(E993),"",IF(ISNUMBER(SEARCH("/",E993)), IF(LEN(E993)-LEN(SUBSTITUTE(E993,"/",""))=1,(RIGHT(E993,LEN(E993)-FIND("/",E993)))-(LEFT(E993,FIND("/",E993)-1)),(MID(E993, SEARCH("/",E993) + 1, SEARCH("/",E993, SEARCH("/",E993)+1) - SEARCH("/",E993) - 1))-(LEFT(E993,FIND("/",E993)-1))), "NA"))</f>
        <v/>
      </c>
      <c r="K993" s="79">
        <f>IF(A993&lt;&gt;"", IF(ISBLANK(L993), TODAY(), K993), "")</f>
        <v/>
      </c>
      <c r="L993" s="78" t="n"/>
      <c r="M993" s="78">
        <f>IF(ISBLANK(L993),"",IF(D993="Stock",IF(C993="Buy",L993*G993,IF(C993="Sell",(L993*G993)-I993, X)),IF(C993="Buy",(L993*G993*100)+I993,IF(C993="Sell",(L993*G993*100)-I993, X))))</f>
        <v/>
      </c>
      <c r="N993" s="78">
        <f>IF(ISBLANK(L993),"",IF(AND(C993="Sell",D993="Stock"),M993,IF(ISBLANK(L993),"",IF(C993="Buy",M993, IF(AND(C993="Sell",J993="NA"),(E993*G993*100*0.1)+I993, IF(C993="Sell",(J993-L993)*(100*G993)+I993))))))</f>
        <v/>
      </c>
      <c r="O993" s="75" t="n"/>
      <c r="P993" s="75" t="n"/>
      <c r="Q993" s="75">
        <f>IF(ISBLANK(P993),"",IF(D993="Stock",P993*G993,IF(P993=0,"0",G993*P993*100-(G993*$AF$14))))</f>
        <v/>
      </c>
      <c r="R993" s="79">
        <f>IF(P993&lt;&gt;"", TODAY(), "")</f>
        <v/>
      </c>
      <c r="S993" s="78">
        <f>IF(AND(K993&lt;&gt;"", R993&lt;&gt;""), R993-K993, "")</f>
        <v/>
      </c>
      <c r="T993" s="78" t="n"/>
      <c r="U993" s="92">
        <f>IF(ISBLANK(P993),"",IF(C993="Buy",Q993-M993+T993, IF(C993="Sell",M993-Q993-T993, X)))</f>
        <v/>
      </c>
      <c r="V993" s="81">
        <f>IF(ISBLANK(P993),"",U993/N993)</f>
        <v/>
      </c>
      <c r="W993" s="81">
        <f>IF(ISBLANK(P993),"",IF(S993=0,(365/0.5)*V993,(365/S993)*V993))</f>
        <v/>
      </c>
      <c r="X993" s="75" t="n"/>
      <c r="Y993" s="77" t="n"/>
      <c r="Z993" s="77" t="n"/>
      <c r="AA993" s="75" t="n"/>
      <c r="AB993" s="75" t="n"/>
      <c r="AC993" s="6" t="n"/>
      <c r="AD993" s="75" t="n"/>
      <c r="AE993" s="75" t="n"/>
      <c r="AF993" s="75" t="n"/>
    </row>
    <row r="994" ht="15.75" customHeight="1" s="133">
      <c r="A994" s="75" t="n"/>
      <c r="B994" s="75" t="n"/>
      <c r="C994" s="75" t="n"/>
      <c r="D994" s="75" t="n"/>
      <c r="E994" s="76" t="n"/>
      <c r="F994" s="77" t="n"/>
      <c r="G994" s="75" t="n"/>
      <c r="H994" s="75">
        <f>IF(ISBLANK(E994),"",IF(OR(D994="Butterfly",D994="Butterfly ",D994="Iron Fly", D994="Iron Fly "),LEN(E994)-LEN(SUBSTITUTE(E994,"/",""))+2,LEN(E994)-LEN(SUBSTITUTE(E994,"/",""))+1))</f>
        <v/>
      </c>
      <c r="I994" s="78">
        <f>IF(ISBLANK(G994),"",IF(D994="Stock","0",Key!$A$3*H994*G994))</f>
        <v/>
      </c>
      <c r="J994" s="78">
        <f>IF(ISBLANK(E994),"",IF(ISNUMBER(SEARCH("/",E994)), IF(LEN(E994)-LEN(SUBSTITUTE(E994,"/",""))=1,(RIGHT(E994,LEN(E994)-FIND("/",E994)))-(LEFT(E994,FIND("/",E994)-1)),(MID(E994, SEARCH("/",E994) + 1, SEARCH("/",E994, SEARCH("/",E994)+1) - SEARCH("/",E994) - 1))-(LEFT(E994,FIND("/",E994)-1))), "NA"))</f>
        <v/>
      </c>
      <c r="K994" s="79">
        <f>IF(A994&lt;&gt;"", IF(ISBLANK(L994), TODAY(), K994), "")</f>
        <v/>
      </c>
      <c r="L994" s="78" t="n"/>
      <c r="M994" s="78">
        <f>IF(ISBLANK(L994),"",IF(D994="Stock",IF(C994="Buy",L994*G994,IF(C994="Sell",(L994*G994)-I994, X)),IF(C994="Buy",(L994*G994*100)+I994,IF(C994="Sell",(L994*G994*100)-I994, X))))</f>
        <v/>
      </c>
      <c r="N994" s="78">
        <f>IF(ISBLANK(L994),"",IF(AND(C994="Sell",D994="Stock"),M994,IF(ISBLANK(L994),"",IF(C994="Buy",M994, IF(AND(C994="Sell",J994="NA"),(E994*G994*100*0.1)+I994, IF(C994="Sell",(J994-L994)*(100*G994)+I994))))))</f>
        <v/>
      </c>
      <c r="O994" s="75" t="n"/>
      <c r="P994" s="75" t="n"/>
      <c r="Q994" s="75">
        <f>IF(ISBLANK(P994),"",IF(D994="Stock",P994*G994,IF(P994=0,"0",G994*P994*100-(G994*$AF$14))))</f>
        <v/>
      </c>
      <c r="R994" s="79">
        <f>IF(P994&lt;&gt;"", TODAY(), "")</f>
        <v/>
      </c>
      <c r="S994" s="78">
        <f>IF(AND(K994&lt;&gt;"", R994&lt;&gt;""), R994-K994, "")</f>
        <v/>
      </c>
      <c r="T994" s="78" t="n"/>
      <c r="U994" s="92">
        <f>IF(ISBLANK(P994),"",IF(C994="Buy",Q994-M994+T994, IF(C994="Sell",M994-Q994-T994, X)))</f>
        <v/>
      </c>
      <c r="V994" s="81">
        <f>IF(ISBLANK(P994),"",U994/N994)</f>
        <v/>
      </c>
      <c r="W994" s="81">
        <f>IF(ISBLANK(P994),"",IF(S994=0,(365/0.5)*V994,(365/S994)*V994))</f>
        <v/>
      </c>
      <c r="X994" s="75" t="n"/>
      <c r="Y994" s="77" t="n"/>
      <c r="Z994" s="77" t="n"/>
      <c r="AA994" s="75" t="n"/>
      <c r="AB994" s="75" t="n"/>
      <c r="AC994" s="6" t="n"/>
      <c r="AD994" s="75" t="n"/>
      <c r="AE994" s="75" t="n"/>
      <c r="AF994" s="75" t="n"/>
    </row>
    <row r="995" ht="15.75" customHeight="1" s="133">
      <c r="A995" s="75" t="n"/>
      <c r="B995" s="75" t="n"/>
      <c r="C995" s="75" t="n"/>
      <c r="D995" s="75" t="n"/>
      <c r="E995" s="76" t="n"/>
      <c r="F995" s="77" t="n"/>
      <c r="G995" s="75" t="n"/>
      <c r="H995" s="75">
        <f>IF(ISBLANK(E995),"",IF(OR(D995="Butterfly",D995="Butterfly ",D995="Iron Fly", D995="Iron Fly "),LEN(E995)-LEN(SUBSTITUTE(E995,"/",""))+2,LEN(E995)-LEN(SUBSTITUTE(E995,"/",""))+1))</f>
        <v/>
      </c>
      <c r="I995" s="78">
        <f>IF(ISBLANK(G995),"",IF(D995="Stock","0",Key!$A$3*H995*G995))</f>
        <v/>
      </c>
      <c r="J995" s="78">
        <f>IF(ISBLANK(E995),"",IF(ISNUMBER(SEARCH("/",E995)), IF(LEN(E995)-LEN(SUBSTITUTE(E995,"/",""))=1,(RIGHT(E995,LEN(E995)-FIND("/",E995)))-(LEFT(E995,FIND("/",E995)-1)),(MID(E995, SEARCH("/",E995) + 1, SEARCH("/",E995, SEARCH("/",E995)+1) - SEARCH("/",E995) - 1))-(LEFT(E995,FIND("/",E995)-1))), "NA"))</f>
        <v/>
      </c>
      <c r="K995" s="79">
        <f>IF(A995&lt;&gt;"", IF(ISBLANK(L995), TODAY(), K995), "")</f>
        <v/>
      </c>
      <c r="L995" s="78" t="n"/>
      <c r="M995" s="78">
        <f>IF(ISBLANK(L995),"",IF(D995="Stock",IF(C995="Buy",L995*G995,IF(C995="Sell",(L995*G995)-I995, X)),IF(C995="Buy",(L995*G995*100)+I995,IF(C995="Sell",(L995*G995*100)-I995, X))))</f>
        <v/>
      </c>
      <c r="N995" s="78">
        <f>IF(ISBLANK(L995),"",IF(AND(C995="Sell",D995="Stock"),M995,IF(ISBLANK(L995),"",IF(C995="Buy",M995, IF(AND(C995="Sell",J995="NA"),(E995*G995*100*0.1)+I995, IF(C995="Sell",(J995-L995)*(100*G995)+I995))))))</f>
        <v/>
      </c>
      <c r="O995" s="75" t="n"/>
      <c r="P995" s="75" t="n"/>
      <c r="Q995" s="75">
        <f>IF(ISBLANK(P995),"",IF(D995="Stock",P995*G995,IF(P995=0,"0",G995*P995*100-(G995*$AF$14))))</f>
        <v/>
      </c>
      <c r="R995" s="79">
        <f>IF(P995&lt;&gt;"", TODAY(), "")</f>
        <v/>
      </c>
      <c r="S995" s="78">
        <f>IF(AND(K995&lt;&gt;"", R995&lt;&gt;""), R995-K995, "")</f>
        <v/>
      </c>
      <c r="T995" s="78" t="n"/>
      <c r="U995" s="92">
        <f>IF(ISBLANK(P995),"",IF(C995="Buy",Q995-M995+T995, IF(C995="Sell",M995-Q995-T995, X)))</f>
        <v/>
      </c>
      <c r="V995" s="81">
        <f>IF(ISBLANK(P995),"",U995/N995)</f>
        <v/>
      </c>
      <c r="W995" s="81">
        <f>IF(ISBLANK(P995),"",IF(S995=0,(365/0.5)*V995,(365/S995)*V995))</f>
        <v/>
      </c>
      <c r="X995" s="75" t="n"/>
      <c r="Y995" s="77" t="n"/>
      <c r="Z995" s="77" t="n"/>
      <c r="AA995" s="75" t="n"/>
      <c r="AB995" s="75" t="n"/>
      <c r="AC995" s="6" t="n"/>
      <c r="AD995" s="75" t="n"/>
      <c r="AE995" s="75" t="n"/>
      <c r="AF995" s="75" t="n"/>
    </row>
    <row r="996" ht="15.75" customHeight="1" s="133">
      <c r="A996" s="75" t="n"/>
      <c r="B996" s="75" t="n"/>
      <c r="C996" s="75" t="n"/>
      <c r="D996" s="75" t="n"/>
      <c r="E996" s="76" t="n"/>
      <c r="F996" s="77" t="n"/>
      <c r="G996" s="75" t="n"/>
      <c r="H996" s="75">
        <f>IF(ISBLANK(E996),"",IF(OR(D996="Butterfly",D996="Butterfly ",D996="Iron Fly", D996="Iron Fly "),LEN(E996)-LEN(SUBSTITUTE(E996,"/",""))+2,LEN(E996)-LEN(SUBSTITUTE(E996,"/",""))+1))</f>
        <v/>
      </c>
      <c r="I996" s="78">
        <f>IF(ISBLANK(G996),"",IF(D996="Stock","0",Key!$A$3*H996*G996))</f>
        <v/>
      </c>
      <c r="J996" s="78">
        <f>IF(ISBLANK(E996),"",IF(ISNUMBER(SEARCH("/",E996)), IF(LEN(E996)-LEN(SUBSTITUTE(E996,"/",""))=1,(RIGHT(E996,LEN(E996)-FIND("/",E996)))-(LEFT(E996,FIND("/",E996)-1)),(MID(E996, SEARCH("/",E996) + 1, SEARCH("/",E996, SEARCH("/",E996)+1) - SEARCH("/",E996) - 1))-(LEFT(E996,FIND("/",E996)-1))), "NA"))</f>
        <v/>
      </c>
      <c r="K996" s="79">
        <f>IF(A996&lt;&gt;"", IF(ISBLANK(L996), TODAY(), K996), "")</f>
        <v/>
      </c>
      <c r="L996" s="78" t="n"/>
      <c r="M996" s="78">
        <f>IF(ISBLANK(L996),"",IF(D996="Stock",IF(C996="Buy",L996*G996,IF(C996="Sell",(L996*G996)-I996, X)),IF(C996="Buy",(L996*G996*100)+I996,IF(C996="Sell",(L996*G996*100)-I996, X))))</f>
        <v/>
      </c>
      <c r="N996" s="78">
        <f>IF(ISBLANK(L996),"",IF(AND(C996="Sell",D996="Stock"),M996,IF(ISBLANK(L996),"",IF(C996="Buy",M996, IF(AND(C996="Sell",J996="NA"),(E996*G996*100*0.1)+I996, IF(C996="Sell",(J996-L996)*(100*G996)+I996))))))</f>
        <v/>
      </c>
      <c r="O996" s="75" t="n"/>
      <c r="P996" s="75" t="n"/>
      <c r="Q996" s="75">
        <f>IF(ISBLANK(P996),"",IF(D996="Stock",P996*G996,IF(P996=0,"0",G996*P996*100-(G996*$AF$14))))</f>
        <v/>
      </c>
      <c r="R996" s="79">
        <f>IF(P996&lt;&gt;"", TODAY(), "")</f>
        <v/>
      </c>
      <c r="S996" s="78">
        <f>IF(AND(K996&lt;&gt;"", R996&lt;&gt;""), R996-K996, "")</f>
        <v/>
      </c>
      <c r="T996" s="78" t="n"/>
      <c r="U996" s="92">
        <f>IF(ISBLANK(P996),"",IF(C996="Buy",Q996-M996+T996, IF(C996="Sell",M996-Q996-T996, X)))</f>
        <v/>
      </c>
      <c r="V996" s="81">
        <f>IF(ISBLANK(P996),"",U996/N996)</f>
        <v/>
      </c>
      <c r="W996" s="81">
        <f>IF(ISBLANK(P996),"",IF(S996=0,(365/0.5)*V996,(365/S996)*V996))</f>
        <v/>
      </c>
      <c r="X996" s="75" t="n"/>
      <c r="Y996" s="77" t="n"/>
      <c r="Z996" s="77" t="n"/>
      <c r="AA996" s="75" t="n"/>
      <c r="AB996" s="75" t="n"/>
      <c r="AC996" s="6" t="n"/>
      <c r="AD996" s="75" t="n"/>
      <c r="AE996" s="75" t="n"/>
      <c r="AF996" s="75" t="n"/>
    </row>
    <row r="997" ht="15.75" customHeight="1" s="133">
      <c r="A997" s="75" t="n"/>
      <c r="B997" s="75" t="n"/>
      <c r="C997" s="75" t="n"/>
      <c r="D997" s="75" t="n"/>
      <c r="E997" s="76" t="n"/>
      <c r="F997" s="77" t="n"/>
      <c r="G997" s="75" t="n"/>
      <c r="H997" s="75">
        <f>IF(ISBLANK(E997),"",IF(OR(D997="Butterfly",D997="Butterfly ",D997="Iron Fly", D997="Iron Fly "),LEN(E997)-LEN(SUBSTITUTE(E997,"/",""))+2,LEN(E997)-LEN(SUBSTITUTE(E997,"/",""))+1))</f>
        <v/>
      </c>
      <c r="I997" s="78">
        <f>IF(ISBLANK(G997),"",IF(D997="Stock","0",Key!$A$3*H997*G997))</f>
        <v/>
      </c>
      <c r="J997" s="78">
        <f>IF(ISBLANK(E997),"",IF(ISNUMBER(SEARCH("/",E997)), IF(LEN(E997)-LEN(SUBSTITUTE(E997,"/",""))=1,(RIGHT(E997,LEN(E997)-FIND("/",E997)))-(LEFT(E997,FIND("/",E997)-1)),(MID(E997, SEARCH("/",E997) + 1, SEARCH("/",E997, SEARCH("/",E997)+1) - SEARCH("/",E997) - 1))-(LEFT(E997,FIND("/",E997)-1))), "NA"))</f>
        <v/>
      </c>
      <c r="K997" s="79">
        <f>IF(A997&lt;&gt;"", IF(ISBLANK(L997), TODAY(), K997), "")</f>
        <v/>
      </c>
      <c r="L997" s="78" t="n"/>
      <c r="M997" s="78">
        <f>IF(ISBLANK(L997),"",IF(D997="Stock",IF(C997="Buy",L997*G997,IF(C997="Sell",(L997*G997)-I997, X)),IF(C997="Buy",(L997*G997*100)+I997,IF(C997="Sell",(L997*G997*100)-I997, X))))</f>
        <v/>
      </c>
      <c r="N997" s="78">
        <f>IF(ISBLANK(L997),"",IF(AND(C997="Sell",D997="Stock"),M997,IF(ISBLANK(L997),"",IF(C997="Buy",M997, IF(AND(C997="Sell",J997="NA"),(E997*G997*100*0.1)+I997, IF(C997="Sell",(J997-L997)*(100*G997)+I997))))))</f>
        <v/>
      </c>
      <c r="O997" s="75" t="n"/>
      <c r="P997" s="75" t="n"/>
      <c r="Q997" s="75">
        <f>IF(ISBLANK(P997),"",IF(D997="Stock",P997*G997,IF(P997=0,"0",G997*P997*100-(G997*$AF$14))))</f>
        <v/>
      </c>
      <c r="R997" s="79">
        <f>IF(P997&lt;&gt;"", TODAY(), "")</f>
        <v/>
      </c>
      <c r="S997" s="78">
        <f>IF(AND(K997&lt;&gt;"", R997&lt;&gt;""), R997-K997, "")</f>
        <v/>
      </c>
      <c r="T997" s="78" t="n"/>
      <c r="U997" s="92">
        <f>IF(ISBLANK(P997),"",IF(C997="Buy",Q997-M997+T997, IF(C997="Sell",M997-Q997-T997, X)))</f>
        <v/>
      </c>
      <c r="V997" s="81">
        <f>IF(ISBLANK(P997),"",U997/N997)</f>
        <v/>
      </c>
      <c r="W997" s="81">
        <f>IF(ISBLANK(P997),"",IF(S997=0,(365/0.5)*V997,(365/S997)*V997))</f>
        <v/>
      </c>
      <c r="X997" s="75" t="n"/>
      <c r="Y997" s="77" t="n"/>
      <c r="Z997" s="77" t="n"/>
      <c r="AA997" s="75" t="n"/>
      <c r="AB997" s="75" t="n"/>
      <c r="AC997" s="6" t="n"/>
      <c r="AD997" s="75" t="n"/>
      <c r="AE997" s="75" t="n"/>
      <c r="AF997" s="75" t="n"/>
    </row>
    <row r="998" ht="15.75" customHeight="1" s="133">
      <c r="A998" s="75" t="n"/>
      <c r="B998" s="75" t="n"/>
      <c r="C998" s="75" t="n"/>
      <c r="D998" s="75" t="n"/>
      <c r="E998" s="76" t="n"/>
      <c r="F998" s="77" t="n"/>
      <c r="G998" s="75" t="n"/>
      <c r="H998" s="75">
        <f>IF(ISBLANK(E998),"",IF(OR(D998="Butterfly",D998="Butterfly ",D998="Iron Fly", D998="Iron Fly "),LEN(E998)-LEN(SUBSTITUTE(E998,"/",""))+2,LEN(E998)-LEN(SUBSTITUTE(E998,"/",""))+1))</f>
        <v/>
      </c>
      <c r="I998" s="78">
        <f>IF(ISBLANK(G998),"",IF(D998="Stock","0",Key!$A$3*H998*G998))</f>
        <v/>
      </c>
      <c r="J998" s="78">
        <f>IF(ISBLANK(E998),"",IF(ISNUMBER(SEARCH("/",E998)), IF(LEN(E998)-LEN(SUBSTITUTE(E998,"/",""))=1,(RIGHT(E998,LEN(E998)-FIND("/",E998)))-(LEFT(E998,FIND("/",E998)-1)),(MID(E998, SEARCH("/",E998) + 1, SEARCH("/",E998, SEARCH("/",E998)+1) - SEARCH("/",E998) - 1))-(LEFT(E998,FIND("/",E998)-1))), "NA"))</f>
        <v/>
      </c>
      <c r="K998" s="79">
        <f>IF(A998&lt;&gt;"", IF(ISBLANK(L998), TODAY(), K998), "")</f>
        <v/>
      </c>
      <c r="L998" s="78" t="n"/>
      <c r="M998" s="78">
        <f>IF(ISBLANK(L998),"",IF(D998="Stock",IF(C998="Buy",L998*G998,IF(C998="Sell",(L998*G998)-I998, X)),IF(C998="Buy",(L998*G998*100)+I998,IF(C998="Sell",(L998*G998*100)-I998, X))))</f>
        <v/>
      </c>
      <c r="N998" s="78">
        <f>IF(ISBLANK(L998),"",IF(AND(C998="Sell",D998="Stock"),M998,IF(ISBLANK(L998),"",IF(C998="Buy",M998, IF(AND(C998="Sell",J998="NA"),(E998*G998*100*0.1)+I998, IF(C998="Sell",(J998-L998)*(100*G998)+I998))))))</f>
        <v/>
      </c>
      <c r="O998" s="75" t="n"/>
      <c r="P998" s="75" t="n"/>
      <c r="Q998" s="75">
        <f>IF(ISBLANK(P998),"",IF(D998="Stock",P998*G998,IF(P998=0,"0",G998*P998*100-(G998*$AF$14))))</f>
        <v/>
      </c>
      <c r="R998" s="79">
        <f>IF(P998&lt;&gt;"", TODAY(), "")</f>
        <v/>
      </c>
      <c r="S998" s="78">
        <f>IF(AND(K998&lt;&gt;"", R998&lt;&gt;""), R998-K998, "")</f>
        <v/>
      </c>
      <c r="T998" s="78" t="n"/>
      <c r="U998" s="92">
        <f>IF(ISBLANK(P998),"",IF(C998="Buy",Q998-M998+T998, IF(C998="Sell",M998-Q998-T998, X)))</f>
        <v/>
      </c>
      <c r="V998" s="81">
        <f>IF(ISBLANK(P998),"",U998/N998)</f>
        <v/>
      </c>
      <c r="W998" s="81">
        <f>IF(ISBLANK(P998),"",IF(S998=0,(365/0.5)*V998,(365/S998)*V998))</f>
        <v/>
      </c>
      <c r="X998" s="75" t="n"/>
      <c r="Y998" s="77" t="n"/>
      <c r="Z998" s="77" t="n"/>
      <c r="AA998" s="75" t="n"/>
      <c r="AB998" s="75" t="n"/>
      <c r="AC998" s="6" t="n"/>
      <c r="AD998" s="75" t="n"/>
      <c r="AE998" s="75" t="n"/>
      <c r="AF998" s="75" t="n"/>
    </row>
    <row r="999" ht="15.75" customHeight="1" s="133">
      <c r="A999" s="75" t="n"/>
      <c r="B999" s="75" t="n"/>
      <c r="C999" s="75" t="n"/>
      <c r="D999" s="75" t="n"/>
      <c r="E999" s="76" t="n"/>
      <c r="F999" s="77" t="n"/>
      <c r="G999" s="75" t="n"/>
      <c r="H999" s="75">
        <f>IF(ISBLANK(E999),"",IF(OR(D999="Butterfly",D999="Butterfly ",D999="Iron Fly", D999="Iron Fly "),LEN(E999)-LEN(SUBSTITUTE(E999,"/",""))+2,LEN(E999)-LEN(SUBSTITUTE(E999,"/",""))+1))</f>
        <v/>
      </c>
      <c r="I999" s="78">
        <f>IF(ISBLANK(G999),"",IF(D999="Stock","0",Key!$A$3*H999*G999))</f>
        <v/>
      </c>
      <c r="J999" s="78">
        <f>IF(ISBLANK(E999),"",IF(ISNUMBER(SEARCH("/",E999)), IF(LEN(E999)-LEN(SUBSTITUTE(E999,"/",""))=1,(RIGHT(E999,LEN(E999)-FIND("/",E999)))-(LEFT(E999,FIND("/",E999)-1)),(MID(E999, SEARCH("/",E999) + 1, SEARCH("/",E999, SEARCH("/",E999)+1) - SEARCH("/",E999) - 1))-(LEFT(E999,FIND("/",E999)-1))), "NA"))</f>
        <v/>
      </c>
      <c r="K999" s="79">
        <f>IF(A999&lt;&gt;"", IF(ISBLANK(L999), TODAY(), K999), "")</f>
        <v/>
      </c>
      <c r="L999" s="78" t="n"/>
      <c r="M999" s="78">
        <f>IF(ISBLANK(L999),"",IF(D999="Stock",IF(C999="Buy",L999*G999,IF(C999="Sell",(L999*G999)-I999, X)),IF(C999="Buy",(L999*G999*100)+I999,IF(C999="Sell",(L999*G999*100)-I999, X))))</f>
        <v/>
      </c>
      <c r="N999" s="78">
        <f>IF(ISBLANK(L999),"",IF(AND(C999="Sell",D999="Stock"),M999,IF(ISBLANK(L999),"",IF(C999="Buy",M999, IF(AND(C999="Sell",J999="NA"),(E999*G999*100*0.1)+I999, IF(C999="Sell",(J999-L999)*(100*G999)+I999))))))</f>
        <v/>
      </c>
      <c r="O999" s="75" t="n"/>
      <c r="P999" s="75" t="n"/>
      <c r="Q999" s="75">
        <f>IF(ISBLANK(P999),"",IF(D999="Stock",P999*G999,IF(P999=0,"0",G999*P999*100-(G999*$AF$14))))</f>
        <v/>
      </c>
      <c r="R999" s="79">
        <f>IF(P999&lt;&gt;"", TODAY(), "")</f>
        <v/>
      </c>
      <c r="S999" s="78">
        <f>IF(AND(K999&lt;&gt;"", R999&lt;&gt;""), R999-K999, "")</f>
        <v/>
      </c>
      <c r="T999" s="78" t="n"/>
      <c r="U999" s="92">
        <f>IF(ISBLANK(P999),"",IF(C999="Buy",Q999-M999+T999, IF(C999="Sell",M999-Q999-T999, X)))</f>
        <v/>
      </c>
      <c r="V999" s="81">
        <f>IF(ISBLANK(P999),"",U999/N999)</f>
        <v/>
      </c>
      <c r="W999" s="81">
        <f>IF(ISBLANK(P999),"",IF(S999=0,(365/0.5)*V999,(365/S999)*V999))</f>
        <v/>
      </c>
      <c r="X999" s="75" t="n"/>
      <c r="Y999" s="77" t="n"/>
      <c r="Z999" s="77" t="n"/>
      <c r="AA999" s="75" t="n"/>
      <c r="AB999" s="75" t="n"/>
      <c r="AC999" s="6" t="n"/>
      <c r="AD999" s="75" t="n"/>
      <c r="AE999" s="75" t="n"/>
      <c r="AF999" s="75" t="n"/>
    </row>
    <row r="1000" ht="15.75" customHeight="1" s="133">
      <c r="A1000" s="75" t="n"/>
      <c r="B1000" s="75" t="n"/>
      <c r="C1000" s="75" t="n"/>
      <c r="D1000" s="75" t="n"/>
      <c r="E1000" s="76" t="n"/>
      <c r="F1000" s="77" t="n"/>
      <c r="G1000" s="75" t="n"/>
      <c r="H1000" s="75">
        <f>IF(ISBLANK(E1000),"",IF(OR(D1000="Butterfly",D1000="Butterfly ",D1000="Iron Fly", D1000="Iron Fly "),LEN(E1000)-LEN(SUBSTITUTE(E1000,"/",""))+2,LEN(E1000)-LEN(SUBSTITUTE(E1000,"/",""))+1))</f>
        <v/>
      </c>
      <c r="I1000" s="78">
        <f>IF(ISBLANK(G1000),"",IF(D1000="Stock","0",Key!$A$3*H1000*G1000))</f>
        <v/>
      </c>
      <c r="J1000" s="78">
        <f>IF(ISBLANK(E1000),"",IF(ISNUMBER(SEARCH("/",E1000)), IF(LEN(E1000)-LEN(SUBSTITUTE(E1000,"/",""))=1,(RIGHT(E1000,LEN(E1000)-FIND("/",E1000)))-(LEFT(E1000,FIND("/",E1000)-1)),(MID(E1000, SEARCH("/",E1000) + 1, SEARCH("/",E1000, SEARCH("/",E1000)+1) - SEARCH("/",E1000) - 1))-(LEFT(E1000,FIND("/",E1000)-1))), "NA"))</f>
        <v/>
      </c>
      <c r="K1000" s="79">
        <f>IF(A1000&lt;&gt;"", IF(ISBLANK(L1000), TODAY(), K1000), "")</f>
        <v/>
      </c>
      <c r="L1000" s="78" t="n"/>
      <c r="M1000" s="78">
        <f>IF(ISBLANK(L1000),"",IF(D1000="Stock",IF(C1000="Buy",L1000*G1000,IF(C1000="Sell",(L1000*G1000)-I1000, X)),IF(C1000="Buy",(L1000*G1000*100)+I1000,IF(C1000="Sell",(L1000*G1000*100)-I1000, X))))</f>
        <v/>
      </c>
      <c r="N1000" s="78">
        <f>IF(ISBLANK(L1000),"",IF(AND(C1000="Sell",D1000="Stock"),M1000,IF(ISBLANK(L1000),"",IF(C1000="Buy",M1000, IF(AND(C1000="Sell",J1000="NA"),(E1000*G1000*100*0.1)+I1000, IF(C1000="Sell",(J1000-L1000)*(100*G1000)+I1000))))))</f>
        <v/>
      </c>
      <c r="O1000" s="75" t="n"/>
      <c r="P1000" s="75" t="n"/>
      <c r="Q1000" s="75">
        <f>IF(ISBLANK(P1000),"",IF(D1000="Stock",P1000*G1000,IF(P1000=0,"0",G1000*P1000*100-(G1000*$AF$14))))</f>
        <v/>
      </c>
      <c r="R1000" s="79">
        <f>IF(P1000&lt;&gt;"", TODAY(), "")</f>
        <v/>
      </c>
      <c r="S1000" s="78">
        <f>IF(AND(K1000&lt;&gt;"", R1000&lt;&gt;""), R1000-K1000, "")</f>
        <v/>
      </c>
      <c r="T1000" s="78" t="n"/>
      <c r="U1000" s="92">
        <f>IF(ISBLANK(P1000),"",IF(C1000="Buy",Q1000-M1000+T1000, IF(C1000="Sell",M1000-Q1000-T1000, X)))</f>
        <v/>
      </c>
      <c r="V1000" s="81">
        <f>IF(ISBLANK(P1000),"",U1000/N1000)</f>
        <v/>
      </c>
      <c r="W1000" s="81">
        <f>IF(ISBLANK(P1000),"",IF(S1000=0,(365/0.5)*V1000,(365/S1000)*V1000))</f>
        <v/>
      </c>
      <c r="X1000" s="75" t="n"/>
      <c r="Y1000" s="77" t="n"/>
      <c r="Z1000" s="77" t="n"/>
      <c r="AA1000" s="75" t="n"/>
      <c r="AB1000" s="75" t="n"/>
      <c r="AC1000" s="6" t="n"/>
      <c r="AD1000" s="75" t="n"/>
      <c r="AE1000" s="75" t="n"/>
      <c r="AF1000" s="75" t="n"/>
    </row>
    <row r="1001" ht="15.75" customHeight="1" s="133">
      <c r="A1001" s="75" t="n"/>
      <c r="B1001" s="75" t="n"/>
      <c r="C1001" s="75" t="n"/>
      <c r="D1001" s="75" t="n"/>
      <c r="E1001" s="76" t="n"/>
      <c r="F1001" s="77" t="n"/>
      <c r="G1001" s="75" t="n"/>
      <c r="H1001" s="75">
        <f>IF(ISBLANK(E1001),"",IF(OR(D1001="Butterfly",D1001="Butterfly ",D1001="Iron Fly", D1001="Iron Fly "),LEN(E1001)-LEN(SUBSTITUTE(E1001,"/",""))+2,LEN(E1001)-LEN(SUBSTITUTE(E1001,"/",""))+1))</f>
        <v/>
      </c>
      <c r="I1001" s="78">
        <f>IF(ISBLANK(G1001),"",IF(D1001="Stock","0",Key!$A$3*H1001*G1001))</f>
        <v/>
      </c>
      <c r="J1001" s="78">
        <f>IF(ISBLANK(E1001),"",IF(ISNUMBER(SEARCH("/",E1001)), IF(LEN(E1001)-LEN(SUBSTITUTE(E1001,"/",""))=1,(RIGHT(E1001,LEN(E1001)-FIND("/",E1001)))-(LEFT(E1001,FIND("/",E1001)-1)),(MID(E1001, SEARCH("/",E1001) + 1, SEARCH("/",E1001, SEARCH("/",E1001)+1) - SEARCH("/",E1001) - 1))-(LEFT(E1001,FIND("/",E1001)-1))), "NA"))</f>
        <v/>
      </c>
      <c r="K1001" s="79">
        <f>IF(A1001&lt;&gt;"", IF(ISBLANK(L1001), TODAY(), K1001), "")</f>
        <v/>
      </c>
      <c r="L1001" s="78" t="n"/>
      <c r="M1001" s="78">
        <f>IF(ISBLANK(L1001),"",IF(D1001="Stock",IF(C1001="Buy",L1001*G1001,IF(C1001="Sell",(L1001*G1001)-I1001, X)),IF(C1001="Buy",(L1001*G1001*100)+I1001,IF(C1001="Sell",(L1001*G1001*100)-I1001, X))))</f>
        <v/>
      </c>
      <c r="N1001" s="78">
        <f>IF(ISBLANK(L1001),"",IF(AND(C1001="Sell",D1001="Stock"),M1001,IF(ISBLANK(L1001),"",IF(C1001="Buy",M1001, IF(AND(C1001="Sell",J1001="NA"),(E1001*G1001*100*0.1)+I1001, IF(C1001="Sell",(J1001-L1001)*(100*G1001)+I1001))))))</f>
        <v/>
      </c>
      <c r="O1001" s="75" t="n"/>
      <c r="P1001" s="75" t="n"/>
      <c r="Q1001" s="75">
        <f>IF(ISBLANK(P1001),"",IF(D1001="Stock",P1001*G1001,IF(P1001=0,"0",G1001*P1001*100-(G1001*$AF$14))))</f>
        <v/>
      </c>
      <c r="R1001" s="79">
        <f>IF(P1001&lt;&gt;"", TODAY(), "")</f>
        <v/>
      </c>
      <c r="S1001" s="78">
        <f>IF(AND(K1001&lt;&gt;"", R1001&lt;&gt;""), R1001-K1001, "")</f>
        <v/>
      </c>
      <c r="T1001" s="78" t="n"/>
      <c r="U1001" s="92">
        <f>IF(ISBLANK(P1001),"",IF(C1001="Buy",Q1001-M1001+T1001, IF(C1001="Sell",M1001-Q1001-T1001, X)))</f>
        <v/>
      </c>
      <c r="V1001" s="81">
        <f>IF(ISBLANK(P1001),"",U1001/N1001)</f>
        <v/>
      </c>
      <c r="W1001" s="81">
        <f>IF(ISBLANK(P1001),"",IF(S1001=0,(365/0.5)*V1001,(365/S1001)*V1001))</f>
        <v/>
      </c>
      <c r="X1001" s="75" t="n"/>
      <c r="Y1001" s="77" t="n"/>
      <c r="Z1001" s="77" t="n"/>
      <c r="AA1001" s="75" t="n"/>
      <c r="AB1001" s="75" t="n"/>
      <c r="AC1001" s="6" t="n"/>
      <c r="AD1001" s="75" t="n"/>
      <c r="AE1001" s="75" t="n"/>
      <c r="AF1001" s="75" t="n"/>
    </row>
    <row r="1002" ht="15.75" customHeight="1" s="133">
      <c r="A1002" s="75" t="n"/>
      <c r="B1002" s="75" t="n"/>
      <c r="C1002" s="75" t="n"/>
      <c r="D1002" s="75" t="n"/>
      <c r="E1002" s="76" t="n"/>
      <c r="F1002" s="77" t="n"/>
      <c r="G1002" s="75" t="n"/>
      <c r="H1002" s="75">
        <f>IF(ISBLANK(E1002),"",IF(OR(D1002="Butterfly",D1002="Butterfly ",D1002="Iron Fly", D1002="Iron Fly "),LEN(E1002)-LEN(SUBSTITUTE(E1002,"/",""))+2,LEN(E1002)-LEN(SUBSTITUTE(E1002,"/",""))+1))</f>
        <v/>
      </c>
      <c r="I1002" s="78">
        <f>IF(ISBLANK(G1002),"",IF(D1002="Stock","0",Key!$A$3*H1002*G1002))</f>
        <v/>
      </c>
      <c r="J1002" s="78">
        <f>IF(ISBLANK(E1002),"",IF(ISNUMBER(SEARCH("/",E1002)), IF(LEN(E1002)-LEN(SUBSTITUTE(E1002,"/",""))=1,(RIGHT(E1002,LEN(E1002)-FIND("/",E1002)))-(LEFT(E1002,FIND("/",E1002)-1)),(MID(E1002, SEARCH("/",E1002) + 1, SEARCH("/",E1002, SEARCH("/",E1002)+1) - SEARCH("/",E1002) - 1))-(LEFT(E1002,FIND("/",E1002)-1))), "NA"))</f>
        <v/>
      </c>
      <c r="K1002" s="79">
        <f>IF(A1002&lt;&gt;"", IF(ISBLANK(L1002), TODAY(), K1002), "")</f>
        <v/>
      </c>
      <c r="L1002" s="78" t="n"/>
      <c r="M1002" s="78">
        <f>IF(ISBLANK(L1002),"",IF(D1002="Stock",IF(C1002="Buy",L1002*G1002,IF(C1002="Sell",(L1002*G1002)-I1002, X)),IF(C1002="Buy",(L1002*G1002*100)+I1002,IF(C1002="Sell",(L1002*G1002*100)-I1002, X))))</f>
        <v/>
      </c>
      <c r="N1002" s="78">
        <f>IF(ISBLANK(L1002),"",IF(AND(C1002="Sell",D1002="Stock"),M1002,IF(ISBLANK(L1002),"",IF(C1002="Buy",M1002, IF(AND(C1002="Sell",J1002="NA"),(E1002*G1002*100*0.1)+I1002, IF(C1002="Sell",(J1002-L1002)*(100*G1002)+I1002))))))</f>
        <v/>
      </c>
      <c r="O1002" s="75" t="n"/>
      <c r="P1002" s="75" t="n"/>
      <c r="Q1002" s="75">
        <f>IF(ISBLANK(P1002),"",IF(D1002="Stock",P1002*G1002,IF(P1002=0,"0",G1002*P1002*100-(G1002*$AF$14))))</f>
        <v/>
      </c>
      <c r="R1002" s="79">
        <f>IF(P1002&lt;&gt;"", TODAY(), "")</f>
        <v/>
      </c>
      <c r="S1002" s="78">
        <f>IF(AND(K1002&lt;&gt;"", R1002&lt;&gt;""), R1002-K1002, "")</f>
        <v/>
      </c>
      <c r="T1002" s="78" t="n"/>
      <c r="U1002" s="92">
        <f>IF(ISBLANK(P1002),"",IF(C1002="Buy",Q1002-M1002+T1002, IF(C1002="Sell",M1002-Q1002-T1002, X)))</f>
        <v/>
      </c>
      <c r="V1002" s="81">
        <f>IF(ISBLANK(P1002),"",U1002/N1002)</f>
        <v/>
      </c>
      <c r="W1002" s="81">
        <f>IF(ISBLANK(P1002),"",IF(S1002=0,(365/0.5)*V1002,(365/S1002)*V1002))</f>
        <v/>
      </c>
      <c r="X1002" s="75" t="n"/>
      <c r="Y1002" s="77" t="n"/>
      <c r="Z1002" s="77" t="n"/>
      <c r="AA1002" s="75" t="n"/>
      <c r="AB1002" s="75" t="n"/>
      <c r="AC1002" s="6" t="n"/>
      <c r="AD1002" s="75" t="n"/>
      <c r="AE1002" s="75" t="n"/>
      <c r="AF1002" s="75" t="n"/>
    </row>
    <row r="1003" ht="15.75" customHeight="1" s="133">
      <c r="A1003" s="75" t="n"/>
      <c r="B1003" s="75" t="n"/>
      <c r="C1003" s="75" t="n"/>
      <c r="D1003" s="75" t="n"/>
      <c r="E1003" s="76" t="n"/>
      <c r="F1003" s="77" t="n"/>
      <c r="G1003" s="75" t="n"/>
      <c r="H1003" s="75">
        <f>IF(ISBLANK(E1003),"",IF(OR(D1003="Butterfly",D1003="Butterfly ",D1003="Iron Fly", D1003="Iron Fly "),LEN(E1003)-LEN(SUBSTITUTE(E1003,"/",""))+2,LEN(E1003)-LEN(SUBSTITUTE(E1003,"/",""))+1))</f>
        <v/>
      </c>
      <c r="I1003" s="78">
        <f>IF(ISBLANK(G1003),"",IF(D1003="Stock","0",Key!$A$3*H1003*G1003))</f>
        <v/>
      </c>
      <c r="J1003" s="78">
        <f>IF(ISBLANK(E1003),"",IF(ISNUMBER(SEARCH("/",E1003)), IF(LEN(E1003)-LEN(SUBSTITUTE(E1003,"/",""))=1,(RIGHT(E1003,LEN(E1003)-FIND("/",E1003)))-(LEFT(E1003,FIND("/",E1003)-1)),(MID(E1003, SEARCH("/",E1003) + 1, SEARCH("/",E1003, SEARCH("/",E1003)+1) - SEARCH("/",E1003) - 1))-(LEFT(E1003,FIND("/",E1003)-1))), "NA"))</f>
        <v/>
      </c>
      <c r="K1003" s="79">
        <f>IF(A1003&lt;&gt;"", IF(ISBLANK(L1003), TODAY(), K1003), "")</f>
        <v/>
      </c>
      <c r="L1003" s="78" t="n"/>
      <c r="M1003" s="78">
        <f>IF(ISBLANK(L1003),"",IF(D1003="Stock",IF(C1003="Buy",L1003*G1003,IF(C1003="Sell",(L1003*G1003)-I1003, X)),IF(C1003="Buy",(L1003*G1003*100)+I1003,IF(C1003="Sell",(L1003*G1003*100)-I1003, X))))</f>
        <v/>
      </c>
      <c r="N1003" s="78">
        <f>IF(ISBLANK(L1003),"",IF(AND(C1003="Sell",D1003="Stock"),M1003,IF(ISBLANK(L1003),"",IF(C1003="Buy",M1003, IF(AND(C1003="Sell",J1003="NA"),(E1003*G1003*100*0.1)+I1003, IF(C1003="Sell",(J1003-L1003)*(100*G1003)+I1003))))))</f>
        <v/>
      </c>
      <c r="O1003" s="75" t="n"/>
      <c r="P1003" s="75" t="n"/>
      <c r="Q1003" s="75">
        <f>IF(ISBLANK(P1003),"",IF(D1003="Stock",P1003*G1003,IF(P1003=0,"0",G1003*P1003*100-(G1003*$AF$14))))</f>
        <v/>
      </c>
      <c r="R1003" s="79">
        <f>IF(P1003&lt;&gt;"", TODAY(), "")</f>
        <v/>
      </c>
      <c r="S1003" s="78">
        <f>IF(AND(K1003&lt;&gt;"", R1003&lt;&gt;""), R1003-K1003, "")</f>
        <v/>
      </c>
      <c r="T1003" s="78" t="n"/>
      <c r="U1003" s="92">
        <f>IF(ISBLANK(P1003),"",IF(C1003="Buy",Q1003-M1003+T1003, IF(C1003="Sell",M1003-Q1003-T1003, X)))</f>
        <v/>
      </c>
      <c r="V1003" s="81">
        <f>IF(ISBLANK(P1003),"",U1003/N1003)</f>
        <v/>
      </c>
      <c r="W1003" s="81">
        <f>IF(ISBLANK(P1003),"",IF(S1003=0,(365/0.5)*V1003,(365/S1003)*V1003))</f>
        <v/>
      </c>
      <c r="X1003" s="75" t="n"/>
      <c r="Y1003" s="77" t="n"/>
      <c r="Z1003" s="77" t="n"/>
      <c r="AA1003" s="75" t="n"/>
      <c r="AB1003" s="75" t="n"/>
      <c r="AC1003" s="6" t="n"/>
      <c r="AD1003" s="75" t="n"/>
      <c r="AE1003" s="75" t="n"/>
      <c r="AF1003" s="75" t="n"/>
    </row>
    <row r="1004" ht="15.75" customHeight="1" s="133">
      <c r="A1004" s="75" t="n"/>
      <c r="B1004" s="75" t="n"/>
      <c r="C1004" s="75" t="n"/>
      <c r="D1004" s="75" t="n"/>
      <c r="E1004" s="76" t="n"/>
      <c r="F1004" s="77" t="n"/>
      <c r="G1004" s="75" t="n"/>
      <c r="H1004" s="75">
        <f>IF(ISBLANK(E1004),"",IF(OR(D1004="Butterfly",D1004="Butterfly ",D1004="Iron Fly", D1004="Iron Fly "),LEN(E1004)-LEN(SUBSTITUTE(E1004,"/",""))+2,LEN(E1004)-LEN(SUBSTITUTE(E1004,"/",""))+1))</f>
        <v/>
      </c>
      <c r="I1004" s="78">
        <f>IF(ISBLANK(G1004),"",IF(D1004="Stock","0",Key!$A$3*H1004*G1004))</f>
        <v/>
      </c>
      <c r="J1004" s="78">
        <f>IF(ISBLANK(E1004),"",IF(ISNUMBER(SEARCH("/",E1004)), IF(LEN(E1004)-LEN(SUBSTITUTE(E1004,"/",""))=1,(RIGHT(E1004,LEN(E1004)-FIND("/",E1004)))-(LEFT(E1004,FIND("/",E1004)-1)),(MID(E1004, SEARCH("/",E1004) + 1, SEARCH("/",E1004, SEARCH("/",E1004)+1) - SEARCH("/",E1004) - 1))-(LEFT(E1004,FIND("/",E1004)-1))), "NA"))</f>
        <v/>
      </c>
      <c r="K1004" s="79">
        <f>IF(A1004&lt;&gt;"", IF(ISBLANK(L1004), TODAY(), K1004), "")</f>
        <v/>
      </c>
      <c r="L1004" s="78" t="n"/>
      <c r="M1004" s="78">
        <f>IF(ISBLANK(L1004),"",IF(D1004="Stock",IF(C1004="Buy",L1004*G1004,IF(C1004="Sell",(L1004*G1004)-I1004, X)),IF(C1004="Buy",(L1004*G1004*100)+I1004,IF(C1004="Sell",(L1004*G1004*100)-I1004, X))))</f>
        <v/>
      </c>
      <c r="N1004" s="78">
        <f>IF(ISBLANK(L1004),"",IF(AND(C1004="Sell",D1004="Stock"),M1004,IF(ISBLANK(L1004),"",IF(C1004="Buy",M1004, IF(AND(C1004="Sell",J1004="NA"),(E1004*G1004*100*0.1)+I1004, IF(C1004="Sell",(J1004-L1004)*(100*G1004)+I1004))))))</f>
        <v/>
      </c>
      <c r="O1004" s="75" t="n"/>
      <c r="P1004" s="75" t="n"/>
      <c r="Q1004" s="75">
        <f>IF(ISBLANK(P1004),"",IF(D1004="Stock",P1004*G1004,IF(P1004=0,"0",G1004*P1004*100-(G1004*$AF$14))))</f>
        <v/>
      </c>
      <c r="R1004" s="79">
        <f>IF(P1004&lt;&gt;"", TODAY(), "")</f>
        <v/>
      </c>
      <c r="S1004" s="78">
        <f>IF(AND(K1004&lt;&gt;"", R1004&lt;&gt;""), R1004-K1004, "")</f>
        <v/>
      </c>
      <c r="T1004" s="78" t="n"/>
      <c r="U1004" s="92">
        <f>IF(ISBLANK(P1004),"",IF(C1004="Buy",Q1004-M1004+T1004, IF(C1004="Sell",M1004-Q1004-T1004, X)))</f>
        <v/>
      </c>
      <c r="V1004" s="81">
        <f>IF(ISBLANK(P1004),"",U1004/N1004)</f>
        <v/>
      </c>
      <c r="W1004" s="81">
        <f>IF(ISBLANK(P1004),"",IF(S1004=0,(365/0.5)*V1004,(365/S1004)*V1004))</f>
        <v/>
      </c>
      <c r="X1004" s="75" t="n"/>
      <c r="Y1004" s="77" t="n"/>
      <c r="Z1004" s="77" t="n"/>
      <c r="AA1004" s="75" t="n"/>
      <c r="AB1004" s="75" t="n"/>
      <c r="AC1004" s="6" t="n"/>
      <c r="AD1004" s="75" t="n"/>
      <c r="AE1004" s="75" t="n"/>
      <c r="AF1004" s="75" t="n"/>
    </row>
    <row r="1005" ht="15.75" customHeight="1" s="133">
      <c r="A1005" s="75" t="n"/>
      <c r="B1005" s="75" t="n"/>
      <c r="C1005" s="75" t="n"/>
      <c r="D1005" s="75" t="n"/>
      <c r="E1005" s="76" t="n"/>
      <c r="F1005" s="77" t="n"/>
      <c r="G1005" s="75" t="n"/>
      <c r="H1005" s="75">
        <f>IF(ISBLANK(E1005),"",IF(OR(D1005="Butterfly",D1005="Butterfly ",D1005="Iron Fly", D1005="Iron Fly "),LEN(E1005)-LEN(SUBSTITUTE(E1005,"/",""))+2,LEN(E1005)-LEN(SUBSTITUTE(E1005,"/",""))+1))</f>
        <v/>
      </c>
      <c r="I1005" s="78">
        <f>IF(ISBLANK(G1005),"",IF(D1005="Stock","0",Key!$A$3*H1005*G1005))</f>
        <v/>
      </c>
      <c r="J1005" s="78">
        <f>IF(ISBLANK(E1005),"",IF(ISNUMBER(SEARCH("/",E1005)), IF(LEN(E1005)-LEN(SUBSTITUTE(E1005,"/",""))=1,(RIGHT(E1005,LEN(E1005)-FIND("/",E1005)))-(LEFT(E1005,FIND("/",E1005)-1)),(MID(E1005, SEARCH("/",E1005) + 1, SEARCH("/",E1005, SEARCH("/",E1005)+1) - SEARCH("/",E1005) - 1))-(LEFT(E1005,FIND("/",E1005)-1))), "NA"))</f>
        <v/>
      </c>
      <c r="K1005" s="79">
        <f>IF(A1005&lt;&gt;"", IF(ISBLANK(L1005), TODAY(), K1005), "")</f>
        <v/>
      </c>
      <c r="L1005" s="78" t="n"/>
      <c r="M1005" s="78">
        <f>IF(ISBLANK(L1005),"",IF(D1005="Stock",IF(C1005="Buy",L1005*G1005,IF(C1005="Sell",(L1005*G1005)-I1005, X)),IF(C1005="Buy",(L1005*G1005*100)+I1005,IF(C1005="Sell",(L1005*G1005*100)-I1005, X))))</f>
        <v/>
      </c>
      <c r="N1005" s="78">
        <f>IF(ISBLANK(L1005),"",IF(AND(C1005="Sell",D1005="Stock"),M1005,IF(ISBLANK(L1005),"",IF(C1005="Buy",M1005, IF(AND(C1005="Sell",J1005="NA"),(E1005*G1005*100*0.1)+I1005, IF(C1005="Sell",(J1005-L1005)*(100*G1005)+I1005))))))</f>
        <v/>
      </c>
      <c r="O1005" s="75" t="n"/>
      <c r="P1005" s="75" t="n"/>
      <c r="Q1005" s="75">
        <f>IF(ISBLANK(P1005),"",IF(D1005="Stock",P1005*G1005,IF(P1005=0,"0",G1005*P1005*100-(G1005*$AF$14))))</f>
        <v/>
      </c>
      <c r="R1005" s="79">
        <f>IF(P1005&lt;&gt;"", TODAY(), "")</f>
        <v/>
      </c>
      <c r="S1005" s="78">
        <f>IF(AND(K1005&lt;&gt;"", R1005&lt;&gt;""), R1005-K1005, "")</f>
        <v/>
      </c>
      <c r="T1005" s="78" t="n"/>
      <c r="U1005" s="92">
        <f>IF(ISBLANK(P1005),"",IF(C1005="Buy",Q1005-M1005+T1005, IF(C1005="Sell",M1005-Q1005-T1005, X)))</f>
        <v/>
      </c>
      <c r="V1005" s="81">
        <f>IF(ISBLANK(P1005),"",U1005/N1005)</f>
        <v/>
      </c>
      <c r="W1005" s="81">
        <f>IF(ISBLANK(P1005),"",IF(S1005=0,(365/0.5)*V1005,(365/S1005)*V1005))</f>
        <v/>
      </c>
      <c r="X1005" s="75" t="n"/>
      <c r="Y1005" s="77" t="n"/>
      <c r="Z1005" s="77" t="n"/>
      <c r="AA1005" s="75" t="n"/>
      <c r="AB1005" s="75" t="n"/>
      <c r="AC1005" s="6" t="n"/>
      <c r="AD1005" s="75" t="n"/>
      <c r="AE1005" s="75" t="n"/>
      <c r="AF1005" s="75" t="n"/>
    </row>
    <row r="1006" ht="15.75" customHeight="1" s="133">
      <c r="A1006" s="75" t="n"/>
      <c r="B1006" s="75" t="n"/>
      <c r="C1006" s="75" t="n"/>
      <c r="D1006" s="75" t="n"/>
      <c r="E1006" s="76" t="n"/>
      <c r="F1006" s="77" t="n"/>
      <c r="G1006" s="75" t="n"/>
      <c r="H1006" s="75">
        <f>IF(ISBLANK(E1006),"",IF(OR(D1006="Butterfly",D1006="Butterfly ",D1006="Iron Fly", D1006="Iron Fly "),LEN(E1006)-LEN(SUBSTITUTE(E1006,"/",""))+2,LEN(E1006)-LEN(SUBSTITUTE(E1006,"/",""))+1))</f>
        <v/>
      </c>
      <c r="I1006" s="78">
        <f>IF(ISBLANK(G1006),"",IF(D1006="Stock","0",Key!$A$3*H1006*G1006))</f>
        <v/>
      </c>
      <c r="J1006" s="78">
        <f>IF(ISBLANK(E1006),"",IF(ISNUMBER(SEARCH("/",E1006)), IF(LEN(E1006)-LEN(SUBSTITUTE(E1006,"/",""))=1,(RIGHT(E1006,LEN(E1006)-FIND("/",E1006)))-(LEFT(E1006,FIND("/",E1006)-1)),(MID(E1006, SEARCH("/",E1006) + 1, SEARCH("/",E1006, SEARCH("/",E1006)+1) - SEARCH("/",E1006) - 1))-(LEFT(E1006,FIND("/",E1006)-1))), "NA"))</f>
        <v/>
      </c>
      <c r="K1006" s="79">
        <f>IF(A1006&lt;&gt;"", IF(ISBLANK(L1006), TODAY(), K1006), "")</f>
        <v/>
      </c>
      <c r="L1006" s="78" t="n"/>
      <c r="M1006" s="78">
        <f>IF(ISBLANK(L1006),"",IF(D1006="Stock",IF(C1006="Buy",L1006*G1006,IF(C1006="Sell",(L1006*G1006)-I1006, X)),IF(C1006="Buy",(L1006*G1006*100)+I1006,IF(C1006="Sell",(L1006*G1006*100)-I1006, X))))</f>
        <v/>
      </c>
      <c r="N1006" s="78">
        <f>IF(ISBLANK(L1006),"",IF(AND(C1006="Sell",D1006="Stock"),M1006,IF(ISBLANK(L1006),"",IF(C1006="Buy",M1006, IF(AND(C1006="Sell",J1006="NA"),(E1006*G1006*100*0.1)+I1006, IF(C1006="Sell",(J1006-L1006)*(100*G1006)+I1006))))))</f>
        <v/>
      </c>
      <c r="O1006" s="75" t="n"/>
      <c r="P1006" s="75" t="n"/>
      <c r="Q1006" s="75">
        <f>IF(ISBLANK(P1006),"",IF(D1006="Stock",P1006*G1006,IF(P1006=0,"0",G1006*P1006*100-(G1006*$AF$14))))</f>
        <v/>
      </c>
      <c r="R1006" s="79">
        <f>IF(P1006&lt;&gt;"", TODAY(), "")</f>
        <v/>
      </c>
      <c r="S1006" s="78">
        <f>IF(AND(K1006&lt;&gt;"", R1006&lt;&gt;""), R1006-K1006, "")</f>
        <v/>
      </c>
      <c r="T1006" s="78" t="n"/>
      <c r="U1006" s="92">
        <f>IF(ISBLANK(P1006),"",IF(C1006="Buy",Q1006-M1006+T1006, IF(C1006="Sell",M1006-Q1006-T1006, X)))</f>
        <v/>
      </c>
      <c r="V1006" s="81">
        <f>IF(ISBLANK(P1006),"",U1006/N1006)</f>
        <v/>
      </c>
      <c r="W1006" s="81">
        <f>IF(ISBLANK(P1006),"",IF(S1006=0,(365/0.5)*V1006,(365/S1006)*V1006))</f>
        <v/>
      </c>
      <c r="X1006" s="75" t="n"/>
      <c r="Y1006" s="77" t="n"/>
      <c r="Z1006" s="77" t="n"/>
      <c r="AA1006" s="75" t="n"/>
      <c r="AB1006" s="75" t="n"/>
      <c r="AC1006" s="6" t="n"/>
      <c r="AD1006" s="75" t="n"/>
      <c r="AE1006" s="75" t="n"/>
      <c r="AF1006" s="75" t="n"/>
    </row>
    <row r="1007" ht="15.75" customHeight="1" s="133">
      <c r="A1007" s="75" t="n"/>
      <c r="B1007" s="75" t="n"/>
      <c r="C1007" s="75" t="n"/>
      <c r="D1007" s="75" t="n"/>
      <c r="E1007" s="76" t="n"/>
      <c r="F1007" s="77" t="n"/>
      <c r="G1007" s="75" t="n"/>
      <c r="H1007" s="75">
        <f>IF(ISBLANK(E1007),"",IF(OR(D1007="Butterfly",D1007="Butterfly ",D1007="Iron Fly", D1007="Iron Fly "),LEN(E1007)-LEN(SUBSTITUTE(E1007,"/",""))+2,LEN(E1007)-LEN(SUBSTITUTE(E1007,"/",""))+1))</f>
        <v/>
      </c>
      <c r="I1007" s="78">
        <f>IF(ISBLANK(G1007),"",IF(D1007="Stock","0",Key!$A$3*H1007*G1007))</f>
        <v/>
      </c>
      <c r="J1007" s="78">
        <f>IF(ISBLANK(E1007),"",IF(ISNUMBER(SEARCH("/",E1007)), IF(LEN(E1007)-LEN(SUBSTITUTE(E1007,"/",""))=1,(RIGHT(E1007,LEN(E1007)-FIND("/",E1007)))-(LEFT(E1007,FIND("/",E1007)-1)),(MID(E1007, SEARCH("/",E1007) + 1, SEARCH("/",E1007, SEARCH("/",E1007)+1) - SEARCH("/",E1007) - 1))-(LEFT(E1007,FIND("/",E1007)-1))), "NA"))</f>
        <v/>
      </c>
      <c r="K1007" s="79">
        <f>IF(A1007&lt;&gt;"", IF(ISBLANK(L1007), TODAY(), K1007), "")</f>
        <v/>
      </c>
      <c r="L1007" s="78" t="n"/>
      <c r="M1007" s="78">
        <f>IF(ISBLANK(L1007),"",IF(D1007="Stock",IF(C1007="Buy",L1007*G1007,IF(C1007="Sell",(L1007*G1007)-I1007, X)),IF(C1007="Buy",(L1007*G1007*100)+I1007,IF(C1007="Sell",(L1007*G1007*100)-I1007, X))))</f>
        <v/>
      </c>
      <c r="N1007" s="78">
        <f>IF(ISBLANK(L1007),"",IF(AND(C1007="Sell",D1007="Stock"),M1007,IF(ISBLANK(L1007),"",IF(C1007="Buy",M1007, IF(AND(C1007="Sell",J1007="NA"),(E1007*G1007*100*0.1)+I1007, IF(C1007="Sell",(J1007-L1007)*(100*G1007)+I1007))))))</f>
        <v/>
      </c>
      <c r="O1007" s="75" t="n"/>
      <c r="P1007" s="75" t="n"/>
      <c r="Q1007" s="75">
        <f>IF(ISBLANK(P1007),"",IF(D1007="Stock",P1007*G1007,IF(P1007=0,"0",G1007*P1007*100-(G1007*$AF$14))))</f>
        <v/>
      </c>
      <c r="R1007" s="79">
        <f>IF(P1007&lt;&gt;"", TODAY(), "")</f>
        <v/>
      </c>
      <c r="S1007" s="78">
        <f>IF(AND(K1007&lt;&gt;"", R1007&lt;&gt;""), R1007-K1007, "")</f>
        <v/>
      </c>
      <c r="T1007" s="78" t="n"/>
      <c r="U1007" s="92">
        <f>IF(ISBLANK(P1007),"",IF(C1007="Buy",Q1007-M1007+T1007, IF(C1007="Sell",M1007-Q1007-T1007, X)))</f>
        <v/>
      </c>
      <c r="V1007" s="81">
        <f>IF(ISBLANK(P1007),"",U1007/N1007)</f>
        <v/>
      </c>
      <c r="W1007" s="81">
        <f>IF(ISBLANK(P1007),"",IF(S1007=0,(365/0.5)*V1007,(365/S1007)*V1007))</f>
        <v/>
      </c>
      <c r="X1007" s="75" t="n"/>
      <c r="Y1007" s="77" t="n"/>
      <c r="Z1007" s="77" t="n"/>
      <c r="AA1007" s="75" t="n"/>
      <c r="AB1007" s="75" t="n"/>
      <c r="AC1007" s="6" t="n"/>
      <c r="AD1007" s="75" t="n"/>
      <c r="AE1007" s="75" t="n"/>
      <c r="AF1007" s="75" t="n"/>
    </row>
    <row r="1008" ht="15.75" customHeight="1" s="133">
      <c r="A1008" s="75" t="n"/>
      <c r="B1008" s="75" t="n"/>
      <c r="C1008" s="75" t="n"/>
      <c r="D1008" s="75" t="n"/>
      <c r="E1008" s="76" t="n"/>
      <c r="F1008" s="77" t="n"/>
      <c r="G1008" s="75" t="n"/>
      <c r="H1008" s="75">
        <f>IF(ISBLANK(E1008),"",IF(OR(D1008="Butterfly",D1008="Butterfly ",D1008="Iron Fly", D1008="Iron Fly "),LEN(E1008)-LEN(SUBSTITUTE(E1008,"/",""))+2,LEN(E1008)-LEN(SUBSTITUTE(E1008,"/",""))+1))</f>
        <v/>
      </c>
      <c r="I1008" s="78">
        <f>IF(ISBLANK(G1008),"",IF(D1008="Stock","0",Key!$A$3*H1008*G1008))</f>
        <v/>
      </c>
      <c r="J1008" s="78">
        <f>IF(ISBLANK(E1008),"",IF(ISNUMBER(SEARCH("/",E1008)), IF(LEN(E1008)-LEN(SUBSTITUTE(E1008,"/",""))=1,(RIGHT(E1008,LEN(E1008)-FIND("/",E1008)))-(LEFT(E1008,FIND("/",E1008)-1)),(MID(E1008, SEARCH("/",E1008) + 1, SEARCH("/",E1008, SEARCH("/",E1008)+1) - SEARCH("/",E1008) - 1))-(LEFT(E1008,FIND("/",E1008)-1))), "NA"))</f>
        <v/>
      </c>
      <c r="K1008" s="79">
        <f>IF(A1008&lt;&gt;"", IF(ISBLANK(L1008), TODAY(), K1008), "")</f>
        <v/>
      </c>
      <c r="L1008" s="78" t="n"/>
      <c r="M1008" s="78">
        <f>IF(ISBLANK(L1008),"",IF(D1008="Stock",IF(C1008="Buy",L1008*G1008,IF(C1008="Sell",(L1008*G1008)-I1008, X)),IF(C1008="Buy",(L1008*G1008*100)+I1008,IF(C1008="Sell",(L1008*G1008*100)-I1008, X))))</f>
        <v/>
      </c>
      <c r="N1008" s="78">
        <f>IF(ISBLANK(L1008),"",IF(AND(C1008="Sell",D1008="Stock"),M1008,IF(ISBLANK(L1008),"",IF(C1008="Buy",M1008, IF(AND(C1008="Sell",J1008="NA"),(E1008*G1008*100*0.1)+I1008, IF(C1008="Sell",(J1008-L1008)*(100*G1008)+I1008))))))</f>
        <v/>
      </c>
      <c r="O1008" s="75" t="n"/>
      <c r="P1008" s="75" t="n"/>
      <c r="Q1008" s="75">
        <f>IF(ISBLANK(P1008),"",IF(D1008="Stock",P1008*G1008,IF(P1008=0,"0",G1008*P1008*100-(G1008*$AF$14))))</f>
        <v/>
      </c>
      <c r="R1008" s="79">
        <f>IF(P1008&lt;&gt;"", TODAY(), "")</f>
        <v/>
      </c>
      <c r="S1008" s="78">
        <f>IF(AND(K1008&lt;&gt;"", R1008&lt;&gt;""), R1008-K1008, "")</f>
        <v/>
      </c>
      <c r="T1008" s="78" t="n"/>
      <c r="U1008" s="92">
        <f>IF(ISBLANK(P1008),"",IF(C1008="Buy",Q1008-M1008+T1008, IF(C1008="Sell",M1008-Q1008-T1008, X)))</f>
        <v/>
      </c>
      <c r="V1008" s="81">
        <f>IF(ISBLANK(P1008),"",U1008/N1008)</f>
        <v/>
      </c>
      <c r="W1008" s="81">
        <f>IF(ISBLANK(P1008),"",IF(S1008=0,(365/0.5)*V1008,(365/S1008)*V1008))</f>
        <v/>
      </c>
      <c r="X1008" s="75" t="n"/>
      <c r="Y1008" s="77" t="n"/>
      <c r="Z1008" s="77" t="n"/>
      <c r="AA1008" s="75" t="n"/>
      <c r="AB1008" s="75" t="n"/>
      <c r="AC1008" s="6" t="n"/>
      <c r="AD1008" s="75" t="n"/>
      <c r="AE1008" s="75" t="n"/>
      <c r="AF1008" s="75" t="n"/>
    </row>
    <row r="1009" ht="15.75" customHeight="1" s="133">
      <c r="A1009" s="75" t="n"/>
      <c r="B1009" s="75" t="n"/>
      <c r="C1009" s="75" t="n"/>
      <c r="D1009" s="75" t="n"/>
      <c r="E1009" s="76" t="n"/>
      <c r="F1009" s="77" t="n"/>
      <c r="G1009" s="75" t="n"/>
      <c r="H1009" s="75">
        <f>IF(ISBLANK(E1009),"",IF(OR(D1009="Butterfly",D1009="Butterfly ",D1009="Iron Fly", D1009="Iron Fly "),LEN(E1009)-LEN(SUBSTITUTE(E1009,"/",""))+2,LEN(E1009)-LEN(SUBSTITUTE(E1009,"/",""))+1))</f>
        <v/>
      </c>
      <c r="I1009" s="78">
        <f>IF(ISBLANK(G1009),"",IF(D1009="Stock","0",Key!$A$3*H1009*G1009))</f>
        <v/>
      </c>
      <c r="J1009" s="78">
        <f>IF(ISBLANK(E1009),"",IF(ISNUMBER(SEARCH("/",E1009)), IF(LEN(E1009)-LEN(SUBSTITUTE(E1009,"/",""))=1,(RIGHT(E1009,LEN(E1009)-FIND("/",E1009)))-(LEFT(E1009,FIND("/",E1009)-1)),(MID(E1009, SEARCH("/",E1009) + 1, SEARCH("/",E1009, SEARCH("/",E1009)+1) - SEARCH("/",E1009) - 1))-(LEFT(E1009,FIND("/",E1009)-1))), "NA"))</f>
        <v/>
      </c>
      <c r="K1009" s="79">
        <f>IF(A1009&lt;&gt;"", IF(ISBLANK(L1009), TODAY(), K1009), "")</f>
        <v/>
      </c>
      <c r="L1009" s="78" t="n"/>
      <c r="M1009" s="78">
        <f>IF(ISBLANK(L1009),"",IF(D1009="Stock",IF(C1009="Buy",L1009*G1009,IF(C1009="Sell",(L1009*G1009)-I1009, X)),IF(C1009="Buy",(L1009*G1009*100)+I1009,IF(C1009="Sell",(L1009*G1009*100)-I1009, X))))</f>
        <v/>
      </c>
      <c r="N1009" s="78">
        <f>IF(ISBLANK(L1009),"",IF(AND(C1009="Sell",D1009="Stock"),M1009,IF(ISBLANK(L1009),"",IF(C1009="Buy",M1009, IF(AND(C1009="Sell",J1009="NA"),(E1009*G1009*100*0.1)+I1009, IF(C1009="Sell",(J1009-L1009)*(100*G1009)+I1009))))))</f>
        <v/>
      </c>
      <c r="O1009" s="75" t="n"/>
      <c r="P1009" s="75" t="n"/>
      <c r="Q1009" s="75">
        <f>IF(ISBLANK(P1009),"",IF(D1009="Stock",P1009*G1009,IF(P1009=0,"0",G1009*P1009*100-(G1009*$AF$14))))</f>
        <v/>
      </c>
      <c r="R1009" s="79">
        <f>IF(P1009&lt;&gt;"", TODAY(), "")</f>
        <v/>
      </c>
      <c r="S1009" s="78">
        <f>IF(AND(K1009&lt;&gt;"", R1009&lt;&gt;""), R1009-K1009, "")</f>
        <v/>
      </c>
      <c r="T1009" s="78" t="n"/>
      <c r="U1009" s="92">
        <f>IF(ISBLANK(P1009),"",IF(C1009="Buy",Q1009-M1009+T1009, IF(C1009="Sell",M1009-Q1009-T1009, X)))</f>
        <v/>
      </c>
      <c r="V1009" s="81">
        <f>IF(ISBLANK(P1009),"",U1009/N1009)</f>
        <v/>
      </c>
      <c r="W1009" s="81">
        <f>IF(ISBLANK(P1009),"",IF(S1009=0,(365/0.5)*V1009,(365/S1009)*V1009))</f>
        <v/>
      </c>
      <c r="X1009" s="75" t="n"/>
      <c r="Y1009" s="77" t="n"/>
      <c r="Z1009" s="77" t="n"/>
      <c r="AA1009" s="75" t="n"/>
      <c r="AB1009" s="75" t="n"/>
      <c r="AC1009" s="6" t="n"/>
      <c r="AD1009" s="75" t="n"/>
      <c r="AE1009" s="75" t="n"/>
      <c r="AF1009" s="75" t="n"/>
    </row>
    <row r="1010" ht="15.75" customHeight="1" s="133">
      <c r="A1010" s="75" t="n"/>
      <c r="B1010" s="75" t="n"/>
      <c r="C1010" s="75" t="n"/>
      <c r="D1010" s="75" t="n"/>
      <c r="E1010" s="76" t="n"/>
      <c r="F1010" s="77" t="n"/>
      <c r="G1010" s="75" t="n"/>
      <c r="H1010" s="75">
        <f>IF(ISBLANK(E1010),"",IF(OR(D1010="Butterfly",D1010="Butterfly ",D1010="Iron Fly", D1010="Iron Fly "),LEN(E1010)-LEN(SUBSTITUTE(E1010,"/",""))+2,LEN(E1010)-LEN(SUBSTITUTE(E1010,"/",""))+1))</f>
        <v/>
      </c>
      <c r="I1010" s="78">
        <f>IF(ISBLANK(G1010),"",IF(D1010="Stock","0",Key!$A$3*H1010*G1010))</f>
        <v/>
      </c>
      <c r="J1010" s="78">
        <f>IF(ISBLANK(E1010),"",IF(ISNUMBER(SEARCH("/",E1010)), IF(LEN(E1010)-LEN(SUBSTITUTE(E1010,"/",""))=1,(RIGHT(E1010,LEN(E1010)-FIND("/",E1010)))-(LEFT(E1010,FIND("/",E1010)-1)),(MID(E1010, SEARCH("/",E1010) + 1, SEARCH("/",E1010, SEARCH("/",E1010)+1) - SEARCH("/",E1010) - 1))-(LEFT(E1010,FIND("/",E1010)-1))), "NA"))</f>
        <v/>
      </c>
      <c r="K1010" s="79">
        <f>IF(A1010&lt;&gt;"", IF(ISBLANK(L1010), TODAY(), K1010), "")</f>
        <v/>
      </c>
      <c r="L1010" s="78" t="n"/>
      <c r="M1010" s="78">
        <f>IF(ISBLANK(L1010),"",IF(D1010="Stock",IF(C1010="Buy",L1010*G1010,IF(C1010="Sell",(L1010*G1010)-I1010, X)),IF(C1010="Buy",(L1010*G1010*100)+I1010,IF(C1010="Sell",(L1010*G1010*100)-I1010, X))))</f>
        <v/>
      </c>
      <c r="N1010" s="78">
        <f>IF(ISBLANK(L1010),"",IF(AND(C1010="Sell",D1010="Stock"),M1010,IF(ISBLANK(L1010),"",IF(C1010="Buy",M1010, IF(AND(C1010="Sell",J1010="NA"),(E1010*G1010*100*0.1)+I1010, IF(C1010="Sell",(J1010-L1010)*(100*G1010)+I1010))))))</f>
        <v/>
      </c>
      <c r="O1010" s="75" t="n"/>
      <c r="P1010" s="75" t="n"/>
      <c r="Q1010" s="75">
        <f>IF(ISBLANK(P1010),"",IF(D1010="Stock",P1010*G1010,IF(P1010=0,"0",G1010*P1010*100-(G1010*$AF$14))))</f>
        <v/>
      </c>
      <c r="R1010" s="79">
        <f>IF(P1010&lt;&gt;"", TODAY(), "")</f>
        <v/>
      </c>
      <c r="S1010" s="78">
        <f>IF(AND(K1010&lt;&gt;"", R1010&lt;&gt;""), R1010-K1010, "")</f>
        <v/>
      </c>
      <c r="T1010" s="78" t="n"/>
      <c r="U1010" s="92">
        <f>IF(ISBLANK(P1010),"",IF(C1010="Buy",Q1010-M1010+T1010, IF(C1010="Sell",M1010-Q1010-T1010, X)))</f>
        <v/>
      </c>
      <c r="V1010" s="81">
        <f>IF(ISBLANK(P1010),"",U1010/N1010)</f>
        <v/>
      </c>
      <c r="W1010" s="81">
        <f>IF(ISBLANK(P1010),"",IF(S1010=0,(365/0.5)*V1010,(365/S1010)*V1010))</f>
        <v/>
      </c>
      <c r="X1010" s="75" t="n"/>
      <c r="Y1010" s="77" t="n"/>
      <c r="Z1010" s="77" t="n"/>
      <c r="AA1010" s="75" t="n"/>
      <c r="AB1010" s="75" t="n"/>
      <c r="AC1010" s="6" t="n"/>
      <c r="AD1010" s="75" t="n"/>
      <c r="AE1010" s="75" t="n"/>
      <c r="AF1010" s="75" t="n"/>
    </row>
    <row r="1011" ht="15.75" customHeight="1" s="133">
      <c r="A1011" s="75" t="n"/>
      <c r="B1011" s="75" t="n"/>
      <c r="C1011" s="75" t="n"/>
      <c r="D1011" s="75" t="n"/>
      <c r="E1011" s="76" t="n"/>
      <c r="F1011" s="77" t="n"/>
      <c r="G1011" s="75" t="n"/>
      <c r="H1011" s="75">
        <f>IF(ISBLANK(E1011),"",IF(OR(D1011="Butterfly",D1011="Butterfly ",D1011="Iron Fly", D1011="Iron Fly "),LEN(E1011)-LEN(SUBSTITUTE(E1011,"/",""))+2,LEN(E1011)-LEN(SUBSTITUTE(E1011,"/",""))+1))</f>
        <v/>
      </c>
      <c r="I1011" s="78">
        <f>IF(ISBLANK(G1011),"",IF(D1011="Stock","0",Key!$A$3*H1011*G1011))</f>
        <v/>
      </c>
      <c r="J1011" s="78">
        <f>IF(ISBLANK(E1011),"",IF(ISNUMBER(SEARCH("/",E1011)), IF(LEN(E1011)-LEN(SUBSTITUTE(E1011,"/",""))=1,(RIGHT(E1011,LEN(E1011)-FIND("/",E1011)))-(LEFT(E1011,FIND("/",E1011)-1)),(MID(E1011, SEARCH("/",E1011) + 1, SEARCH("/",E1011, SEARCH("/",E1011)+1) - SEARCH("/",E1011) - 1))-(LEFT(E1011,FIND("/",E1011)-1))), "NA"))</f>
        <v/>
      </c>
      <c r="K1011" s="79">
        <f>IF(A1011&lt;&gt;"", IF(ISBLANK(L1011), TODAY(), K1011), "")</f>
        <v/>
      </c>
      <c r="L1011" s="78" t="n"/>
      <c r="M1011" s="78">
        <f>IF(ISBLANK(L1011),"",IF(D1011="Stock",IF(C1011="Buy",L1011*G1011,IF(C1011="Sell",(L1011*G1011)-I1011, X)),IF(C1011="Buy",(L1011*G1011*100)+I1011,IF(C1011="Sell",(L1011*G1011*100)-I1011, X))))</f>
        <v/>
      </c>
      <c r="N1011" s="78">
        <f>IF(ISBLANK(L1011),"",IF(AND(C1011="Sell",D1011="Stock"),M1011,IF(ISBLANK(L1011),"",IF(C1011="Buy",M1011, IF(AND(C1011="Sell",J1011="NA"),(E1011*G1011*100*0.1)+I1011, IF(C1011="Sell",(J1011-L1011)*(100*G1011)+I1011))))))</f>
        <v/>
      </c>
      <c r="O1011" s="75" t="n"/>
      <c r="P1011" s="75" t="n"/>
      <c r="Q1011" s="75">
        <f>IF(ISBLANK(P1011),"",IF(D1011="Stock",P1011*G1011,IF(P1011=0,"0",G1011*P1011*100-(G1011*$AF$14))))</f>
        <v/>
      </c>
      <c r="R1011" s="79">
        <f>IF(P1011&lt;&gt;"", TODAY(), "")</f>
        <v/>
      </c>
      <c r="S1011" s="78">
        <f>IF(AND(K1011&lt;&gt;"", R1011&lt;&gt;""), R1011-K1011, "")</f>
        <v/>
      </c>
      <c r="T1011" s="78" t="n"/>
      <c r="U1011" s="92">
        <f>IF(ISBLANK(P1011),"",IF(C1011="Buy",Q1011-M1011+T1011, IF(C1011="Sell",M1011-Q1011-T1011, X)))</f>
        <v/>
      </c>
      <c r="V1011" s="81">
        <f>IF(ISBLANK(P1011),"",U1011/N1011)</f>
        <v/>
      </c>
      <c r="W1011" s="81">
        <f>IF(ISBLANK(P1011),"",IF(S1011=0,(365/0.5)*V1011,(365/S1011)*V1011))</f>
        <v/>
      </c>
      <c r="X1011" s="75" t="n"/>
      <c r="Y1011" s="77" t="n"/>
      <c r="Z1011" s="77" t="n"/>
      <c r="AA1011" s="75" t="n"/>
      <c r="AB1011" s="75" t="n"/>
      <c r="AC1011" s="6" t="n"/>
      <c r="AD1011" s="75" t="n"/>
      <c r="AE1011" s="75" t="n"/>
      <c r="AF1011" s="75" t="n"/>
    </row>
    <row r="1012" ht="15.75" customHeight="1" s="133">
      <c r="A1012" s="75" t="n"/>
      <c r="B1012" s="75" t="n"/>
      <c r="C1012" s="75" t="n"/>
      <c r="D1012" s="75" t="n"/>
      <c r="E1012" s="76" t="n"/>
      <c r="F1012" s="77" t="n"/>
      <c r="G1012" s="75" t="n"/>
      <c r="H1012" s="75">
        <f>IF(ISBLANK(E1012),"",IF(OR(D1012="Butterfly",D1012="Butterfly ",D1012="Iron Fly", D1012="Iron Fly "),LEN(E1012)-LEN(SUBSTITUTE(E1012,"/",""))+2,LEN(E1012)-LEN(SUBSTITUTE(E1012,"/",""))+1))</f>
        <v/>
      </c>
      <c r="I1012" s="78">
        <f>IF(ISBLANK(G1012),"",IF(D1012="Stock","0",Key!$A$3*H1012*G1012))</f>
        <v/>
      </c>
      <c r="J1012" s="78">
        <f>IF(ISBLANK(E1012),"",IF(ISNUMBER(SEARCH("/",E1012)), IF(LEN(E1012)-LEN(SUBSTITUTE(E1012,"/",""))=1,(RIGHT(E1012,LEN(E1012)-FIND("/",E1012)))-(LEFT(E1012,FIND("/",E1012)-1)),(MID(E1012, SEARCH("/",E1012) + 1, SEARCH("/",E1012, SEARCH("/",E1012)+1) - SEARCH("/",E1012) - 1))-(LEFT(E1012,FIND("/",E1012)-1))), "NA"))</f>
        <v/>
      </c>
      <c r="K1012" s="79">
        <f>IF(A1012&lt;&gt;"", IF(ISBLANK(L1012), TODAY(), K1012), "")</f>
        <v/>
      </c>
      <c r="L1012" s="78" t="n"/>
      <c r="M1012" s="78">
        <f>IF(ISBLANK(L1012),"",IF(D1012="Stock",IF(C1012="Buy",L1012*G1012,IF(C1012="Sell",(L1012*G1012)-I1012, X)),IF(C1012="Buy",(L1012*G1012*100)+I1012,IF(C1012="Sell",(L1012*G1012*100)-I1012, X))))</f>
        <v/>
      </c>
      <c r="N1012" s="78">
        <f>IF(ISBLANK(L1012),"",IF(AND(C1012="Sell",D1012="Stock"),M1012,IF(ISBLANK(L1012),"",IF(C1012="Buy",M1012, IF(AND(C1012="Sell",J1012="NA"),(E1012*G1012*100*0.1)+I1012, IF(C1012="Sell",(J1012-L1012)*(100*G1012)+I1012))))))</f>
        <v/>
      </c>
      <c r="O1012" s="75" t="n"/>
      <c r="P1012" s="75" t="n"/>
      <c r="Q1012" s="75">
        <f>IF(ISBLANK(P1012),"",IF(D1012="Stock",P1012*G1012,IF(P1012=0,"0",G1012*P1012*100-(G1012*$AF$14))))</f>
        <v/>
      </c>
      <c r="R1012" s="79">
        <f>IF(P1012&lt;&gt;"", TODAY(), "")</f>
        <v/>
      </c>
      <c r="S1012" s="78">
        <f>IF(AND(K1012&lt;&gt;"", R1012&lt;&gt;""), R1012-K1012, "")</f>
        <v/>
      </c>
      <c r="T1012" s="78" t="n"/>
      <c r="U1012" s="92">
        <f>IF(ISBLANK(P1012),"",IF(C1012="Buy",Q1012-M1012+T1012, IF(C1012="Sell",M1012-Q1012-T1012, X)))</f>
        <v/>
      </c>
      <c r="V1012" s="81">
        <f>IF(ISBLANK(P1012),"",U1012/N1012)</f>
        <v/>
      </c>
      <c r="W1012" s="81">
        <f>IF(ISBLANK(P1012),"",IF(S1012=0,(365/0.5)*V1012,(365/S1012)*V1012))</f>
        <v/>
      </c>
      <c r="X1012" s="75" t="n"/>
      <c r="Y1012" s="77" t="n"/>
      <c r="Z1012" s="77" t="n"/>
      <c r="AA1012" s="75" t="n"/>
      <c r="AB1012" s="75" t="n"/>
      <c r="AC1012" s="6" t="n"/>
      <c r="AD1012" s="75" t="n"/>
      <c r="AE1012" s="75" t="n"/>
      <c r="AF1012" s="75" t="n"/>
    </row>
    <row r="1013" ht="15.75" customHeight="1" s="133">
      <c r="A1013" s="75" t="n"/>
      <c r="B1013" s="75" t="n"/>
      <c r="C1013" s="75" t="n"/>
      <c r="D1013" s="75" t="n"/>
      <c r="E1013" s="76" t="n"/>
      <c r="F1013" s="77" t="n"/>
      <c r="G1013" s="75" t="n"/>
      <c r="H1013" s="75">
        <f>IF(ISBLANK(E1013),"",IF(OR(D1013="Butterfly",D1013="Butterfly ",D1013="Iron Fly", D1013="Iron Fly "),LEN(E1013)-LEN(SUBSTITUTE(E1013,"/",""))+2,LEN(E1013)-LEN(SUBSTITUTE(E1013,"/",""))+1))</f>
        <v/>
      </c>
      <c r="I1013" s="78">
        <f>IF(ISBLANK(G1013),"",IF(D1013="Stock","0",Key!$A$3*H1013*G1013))</f>
        <v/>
      </c>
      <c r="J1013" s="78">
        <f>IF(ISBLANK(E1013),"",IF(ISNUMBER(SEARCH("/",E1013)), IF(LEN(E1013)-LEN(SUBSTITUTE(E1013,"/",""))=1,(RIGHT(E1013,LEN(E1013)-FIND("/",E1013)))-(LEFT(E1013,FIND("/",E1013)-1)),(MID(E1013, SEARCH("/",E1013) + 1, SEARCH("/",E1013, SEARCH("/",E1013)+1) - SEARCH("/",E1013) - 1))-(LEFT(E1013,FIND("/",E1013)-1))), "NA"))</f>
        <v/>
      </c>
      <c r="K1013" s="79">
        <f>IF(A1013&lt;&gt;"", IF(ISBLANK(L1013), TODAY(), K1013), "")</f>
        <v/>
      </c>
      <c r="L1013" s="78" t="n"/>
      <c r="M1013" s="78">
        <f>IF(ISBLANK(L1013),"",IF(D1013="Stock",IF(C1013="Buy",L1013*G1013,IF(C1013="Sell",(L1013*G1013)-I1013, X)),IF(C1013="Buy",(L1013*G1013*100)+I1013,IF(C1013="Sell",(L1013*G1013*100)-I1013, X))))</f>
        <v/>
      </c>
      <c r="N1013" s="78">
        <f>IF(ISBLANK(L1013),"",IF(AND(C1013="Sell",D1013="Stock"),M1013,IF(ISBLANK(L1013),"",IF(C1013="Buy",M1013, IF(AND(C1013="Sell",J1013="NA"),(E1013*G1013*100*0.1)+I1013, IF(C1013="Sell",(J1013-L1013)*(100*G1013)+I1013))))))</f>
        <v/>
      </c>
      <c r="O1013" s="75" t="n"/>
      <c r="P1013" s="75" t="n"/>
      <c r="Q1013" s="75">
        <f>IF(ISBLANK(P1013),"",IF(D1013="Stock",P1013*G1013,IF(P1013=0,"0",G1013*P1013*100-(G1013*$AF$14))))</f>
        <v/>
      </c>
      <c r="R1013" s="79">
        <f>IF(P1013&lt;&gt;"", TODAY(), "")</f>
        <v/>
      </c>
      <c r="S1013" s="78">
        <f>IF(AND(K1013&lt;&gt;"", R1013&lt;&gt;""), R1013-K1013, "")</f>
        <v/>
      </c>
      <c r="T1013" s="78" t="n"/>
      <c r="U1013" s="92">
        <f>IF(ISBLANK(P1013),"",IF(C1013="Buy",Q1013-M1013+T1013, IF(C1013="Sell",M1013-Q1013-T1013, X)))</f>
        <v/>
      </c>
      <c r="V1013" s="81">
        <f>IF(ISBLANK(P1013),"",U1013/N1013)</f>
        <v/>
      </c>
      <c r="W1013" s="81">
        <f>IF(ISBLANK(P1013),"",IF(S1013=0,(365/0.5)*V1013,(365/S1013)*V1013))</f>
        <v/>
      </c>
      <c r="X1013" s="75" t="n"/>
      <c r="Y1013" s="77" t="n"/>
      <c r="Z1013" s="77" t="n"/>
      <c r="AA1013" s="75" t="n"/>
      <c r="AB1013" s="75" t="n"/>
      <c r="AC1013" s="6" t="n"/>
      <c r="AD1013" s="75" t="n"/>
      <c r="AE1013" s="75" t="n"/>
      <c r="AF1013" s="75" t="n"/>
    </row>
    <row r="1014" ht="15.75" customHeight="1" s="133">
      <c r="A1014" s="75" t="n"/>
      <c r="B1014" s="75" t="n"/>
      <c r="C1014" s="75" t="n"/>
      <c r="D1014" s="75" t="n"/>
      <c r="E1014" s="76" t="n"/>
      <c r="F1014" s="77" t="n"/>
      <c r="G1014" s="75" t="n"/>
      <c r="H1014" s="75">
        <f>IF(ISBLANK(E1014),"",IF(OR(D1014="Butterfly",D1014="Butterfly ",D1014="Iron Fly", D1014="Iron Fly "),LEN(E1014)-LEN(SUBSTITUTE(E1014,"/",""))+2,LEN(E1014)-LEN(SUBSTITUTE(E1014,"/",""))+1))</f>
        <v/>
      </c>
      <c r="I1014" s="78">
        <f>IF(ISBLANK(G1014),"",IF(D1014="Stock","0",Key!$A$3*H1014*G1014))</f>
        <v/>
      </c>
      <c r="J1014" s="78">
        <f>IF(ISBLANK(E1014),"",IF(ISNUMBER(SEARCH("/",E1014)), IF(LEN(E1014)-LEN(SUBSTITUTE(E1014,"/",""))=1,(RIGHT(E1014,LEN(E1014)-FIND("/",E1014)))-(LEFT(E1014,FIND("/",E1014)-1)),(MID(E1014, SEARCH("/",E1014) + 1, SEARCH("/",E1014, SEARCH("/",E1014)+1) - SEARCH("/",E1014) - 1))-(LEFT(E1014,FIND("/",E1014)-1))), "NA"))</f>
        <v/>
      </c>
      <c r="K1014" s="79">
        <f>IF(A1014&lt;&gt;"", IF(ISBLANK(L1014), TODAY(), K1014), "")</f>
        <v/>
      </c>
      <c r="L1014" s="78" t="n"/>
      <c r="M1014" s="78">
        <f>IF(ISBLANK(L1014),"",IF(D1014="Stock",IF(C1014="Buy",L1014*G1014,IF(C1014="Sell",(L1014*G1014)-I1014, X)),IF(C1014="Buy",(L1014*G1014*100)+I1014,IF(C1014="Sell",(L1014*G1014*100)-I1014, X))))</f>
        <v/>
      </c>
      <c r="N1014" s="78">
        <f>IF(ISBLANK(L1014),"",IF(AND(C1014="Sell",D1014="Stock"),M1014,IF(ISBLANK(L1014),"",IF(C1014="Buy",M1014, IF(AND(C1014="Sell",J1014="NA"),(E1014*G1014*100*0.1)+I1014, IF(C1014="Sell",(J1014-L1014)*(100*G1014)+I1014))))))</f>
        <v/>
      </c>
      <c r="O1014" s="75" t="n"/>
      <c r="P1014" s="75" t="n"/>
      <c r="Q1014" s="75">
        <f>IF(ISBLANK(P1014),"",IF(D1014="Stock",P1014*G1014,IF(P1014=0,"0",G1014*P1014*100-(G1014*$AF$14))))</f>
        <v/>
      </c>
      <c r="R1014" s="79">
        <f>IF(P1014&lt;&gt;"", TODAY(), "")</f>
        <v/>
      </c>
      <c r="S1014" s="78">
        <f>IF(AND(K1014&lt;&gt;"", R1014&lt;&gt;""), R1014-K1014, "")</f>
        <v/>
      </c>
      <c r="T1014" s="78" t="n"/>
      <c r="U1014" s="92">
        <f>IF(ISBLANK(P1014),"",IF(C1014="Buy",Q1014-M1014+T1014, IF(C1014="Sell",M1014-Q1014-T1014, X)))</f>
        <v/>
      </c>
      <c r="V1014" s="81">
        <f>IF(ISBLANK(P1014),"",U1014/N1014)</f>
        <v/>
      </c>
      <c r="W1014" s="81">
        <f>IF(ISBLANK(P1014),"",IF(S1014=0,(365/0.5)*V1014,(365/S1014)*V1014))</f>
        <v/>
      </c>
      <c r="X1014" s="75" t="n"/>
      <c r="Y1014" s="77" t="n"/>
      <c r="Z1014" s="77" t="n"/>
      <c r="AA1014" s="75" t="n"/>
      <c r="AB1014" s="75" t="n"/>
      <c r="AC1014" s="6" t="n"/>
      <c r="AD1014" s="75" t="n"/>
      <c r="AE1014" s="75" t="n"/>
      <c r="AF1014" s="75" t="n"/>
    </row>
    <row r="1015" ht="15.75" customHeight="1" s="133">
      <c r="A1015" s="75" t="n"/>
      <c r="B1015" s="75" t="n"/>
      <c r="C1015" s="75" t="n"/>
      <c r="D1015" s="75" t="n"/>
      <c r="E1015" s="76" t="n"/>
      <c r="F1015" s="77" t="n"/>
      <c r="G1015" s="75" t="n"/>
      <c r="H1015" s="75">
        <f>IF(ISBLANK(E1015),"",IF(OR(D1015="Butterfly",D1015="Butterfly ",D1015="Iron Fly", D1015="Iron Fly "),LEN(E1015)-LEN(SUBSTITUTE(E1015,"/",""))+2,LEN(E1015)-LEN(SUBSTITUTE(E1015,"/",""))+1))</f>
        <v/>
      </c>
      <c r="I1015" s="78">
        <f>IF(ISBLANK(G1015),"",IF(D1015="Stock","0",Key!$A$3*H1015*G1015))</f>
        <v/>
      </c>
      <c r="J1015" s="78">
        <f>IF(ISBLANK(E1015),"",IF(ISNUMBER(SEARCH("/",E1015)), IF(LEN(E1015)-LEN(SUBSTITUTE(E1015,"/",""))=1,(RIGHT(E1015,LEN(E1015)-FIND("/",E1015)))-(LEFT(E1015,FIND("/",E1015)-1)),(MID(E1015, SEARCH("/",E1015) + 1, SEARCH("/",E1015, SEARCH("/",E1015)+1) - SEARCH("/",E1015) - 1))-(LEFT(E1015,FIND("/",E1015)-1))), "NA"))</f>
        <v/>
      </c>
      <c r="K1015" s="79">
        <f>IF(A1015&lt;&gt;"", IF(ISBLANK(L1015), TODAY(), K1015), "")</f>
        <v/>
      </c>
      <c r="L1015" s="78" t="n"/>
      <c r="M1015" s="78">
        <f>IF(ISBLANK(L1015),"",IF(D1015="Stock",IF(C1015="Buy",L1015*G1015,IF(C1015="Sell",(L1015*G1015)-I1015, X)),IF(C1015="Buy",(L1015*G1015*100)+I1015,IF(C1015="Sell",(L1015*G1015*100)-I1015, X))))</f>
        <v/>
      </c>
      <c r="N1015" s="78">
        <f>IF(ISBLANK(L1015),"",IF(AND(C1015="Sell",D1015="Stock"),M1015,IF(ISBLANK(L1015),"",IF(C1015="Buy",M1015, IF(AND(C1015="Sell",J1015="NA"),(E1015*G1015*100*0.1)+I1015, IF(C1015="Sell",(J1015-L1015)*(100*G1015)+I1015))))))</f>
        <v/>
      </c>
      <c r="O1015" s="75" t="n"/>
      <c r="P1015" s="75" t="n"/>
      <c r="Q1015" s="75">
        <f>IF(ISBLANK(P1015),"",IF(D1015="Stock",P1015*G1015,IF(P1015=0,"0",G1015*P1015*100-(G1015*$AF$14))))</f>
        <v/>
      </c>
      <c r="R1015" s="79">
        <f>IF(P1015&lt;&gt;"", TODAY(), "")</f>
        <v/>
      </c>
      <c r="S1015" s="78">
        <f>IF(AND(K1015&lt;&gt;"", R1015&lt;&gt;""), R1015-K1015, "")</f>
        <v/>
      </c>
      <c r="T1015" s="78" t="n"/>
      <c r="U1015" s="92">
        <f>IF(ISBLANK(P1015),"",IF(C1015="Buy",Q1015-M1015+T1015, IF(C1015="Sell",M1015-Q1015-T1015, X)))</f>
        <v/>
      </c>
      <c r="V1015" s="81">
        <f>IF(ISBLANK(P1015),"",U1015/N1015)</f>
        <v/>
      </c>
      <c r="W1015" s="81">
        <f>IF(ISBLANK(P1015),"",IF(S1015=0,(365/0.5)*V1015,(365/S1015)*V1015))</f>
        <v/>
      </c>
      <c r="X1015" s="75" t="n"/>
      <c r="Y1015" s="77" t="n"/>
      <c r="Z1015" s="77" t="n"/>
      <c r="AA1015" s="75" t="n"/>
      <c r="AB1015" s="75" t="n"/>
      <c r="AC1015" s="6" t="n"/>
      <c r="AD1015" s="75" t="n"/>
      <c r="AE1015" s="75" t="n"/>
      <c r="AF1015" s="75" t="n"/>
    </row>
    <row r="1016" ht="15.75" customHeight="1" s="133">
      <c r="A1016" s="75" t="n"/>
      <c r="B1016" s="75" t="n"/>
      <c r="C1016" s="75" t="n"/>
      <c r="D1016" s="75" t="n"/>
      <c r="E1016" s="76" t="n"/>
      <c r="F1016" s="77" t="n"/>
      <c r="G1016" s="75" t="n"/>
      <c r="H1016" s="75">
        <f>IF(ISBLANK(E1016),"",IF(OR(D1016="Butterfly",D1016="Butterfly ",D1016="Iron Fly", D1016="Iron Fly "),LEN(E1016)-LEN(SUBSTITUTE(E1016,"/",""))+2,LEN(E1016)-LEN(SUBSTITUTE(E1016,"/",""))+1))</f>
        <v/>
      </c>
      <c r="I1016" s="78">
        <f>IF(ISBLANK(G1016),"",IF(D1016="Stock","0",Key!$A$3*H1016*G1016))</f>
        <v/>
      </c>
      <c r="J1016" s="78">
        <f>IF(ISBLANK(E1016),"",IF(ISNUMBER(SEARCH("/",E1016)), IF(LEN(E1016)-LEN(SUBSTITUTE(E1016,"/",""))=1,(RIGHT(E1016,LEN(E1016)-FIND("/",E1016)))-(LEFT(E1016,FIND("/",E1016)-1)),(MID(E1016, SEARCH("/",E1016) + 1, SEARCH("/",E1016, SEARCH("/",E1016)+1) - SEARCH("/",E1016) - 1))-(LEFT(E1016,FIND("/",E1016)-1))), "NA"))</f>
        <v/>
      </c>
      <c r="K1016" s="79">
        <f>IF(A1016&lt;&gt;"", IF(ISBLANK(L1016), TODAY(), K1016), "")</f>
        <v/>
      </c>
      <c r="L1016" s="78" t="n"/>
      <c r="M1016" s="78">
        <f>IF(ISBLANK(L1016),"",IF(D1016="Stock",IF(C1016="Buy",L1016*G1016,IF(C1016="Sell",(L1016*G1016)-I1016, X)),IF(C1016="Buy",(L1016*G1016*100)+I1016,IF(C1016="Sell",(L1016*G1016*100)-I1016, X))))</f>
        <v/>
      </c>
      <c r="N1016" s="78">
        <f>IF(ISBLANK(L1016),"",IF(AND(C1016="Sell",D1016="Stock"),M1016,IF(ISBLANK(L1016),"",IF(C1016="Buy",M1016, IF(AND(C1016="Sell",J1016="NA"),(E1016*G1016*100*0.1)+I1016, IF(C1016="Sell",(J1016-L1016)*(100*G1016)+I1016))))))</f>
        <v/>
      </c>
      <c r="O1016" s="75" t="n"/>
      <c r="P1016" s="75" t="n"/>
      <c r="Q1016" s="75">
        <f>IF(ISBLANK(P1016),"",IF(D1016="Stock",P1016*G1016,IF(P1016=0,"0",G1016*P1016*100-(G1016*$AF$14))))</f>
        <v/>
      </c>
      <c r="R1016" s="79">
        <f>IF(P1016&lt;&gt;"", TODAY(), "")</f>
        <v/>
      </c>
      <c r="S1016" s="78">
        <f>IF(AND(K1016&lt;&gt;"", R1016&lt;&gt;""), R1016-K1016, "")</f>
        <v/>
      </c>
      <c r="T1016" s="78" t="n"/>
      <c r="U1016" s="92">
        <f>IF(ISBLANK(P1016),"",IF(C1016="Buy",Q1016-M1016+T1016, IF(C1016="Sell",M1016-Q1016-T1016, X)))</f>
        <v/>
      </c>
      <c r="V1016" s="81">
        <f>IF(ISBLANK(P1016),"",U1016/N1016)</f>
        <v/>
      </c>
      <c r="W1016" s="81">
        <f>IF(ISBLANK(P1016),"",IF(S1016=0,(365/0.5)*V1016,(365/S1016)*V1016))</f>
        <v/>
      </c>
      <c r="X1016" s="75" t="n"/>
      <c r="Y1016" s="77" t="n"/>
      <c r="Z1016" s="77" t="n"/>
      <c r="AA1016" s="75" t="n"/>
      <c r="AB1016" s="75" t="n"/>
      <c r="AC1016" s="6" t="n"/>
      <c r="AD1016" s="75" t="n"/>
      <c r="AE1016" s="75" t="n"/>
      <c r="AF1016" s="75" t="n"/>
    </row>
    <row r="1017" ht="15.75" customHeight="1" s="133">
      <c r="A1017" s="75" t="n"/>
      <c r="B1017" s="75" t="n"/>
      <c r="C1017" s="75" t="n"/>
      <c r="D1017" s="75" t="n"/>
      <c r="E1017" s="76" t="n"/>
      <c r="F1017" s="77" t="n"/>
      <c r="G1017" s="75" t="n"/>
      <c r="H1017" s="75">
        <f>IF(ISBLANK(E1017),"",IF(OR(D1017="Butterfly",D1017="Butterfly ",D1017="Iron Fly", D1017="Iron Fly "),LEN(E1017)-LEN(SUBSTITUTE(E1017,"/",""))+2,LEN(E1017)-LEN(SUBSTITUTE(E1017,"/",""))+1))</f>
        <v/>
      </c>
      <c r="I1017" s="78">
        <f>IF(ISBLANK(G1017),"",IF(D1017="Stock","0",Key!$A$3*H1017*G1017))</f>
        <v/>
      </c>
      <c r="J1017" s="78">
        <f>IF(ISBLANK(E1017),"",IF(ISNUMBER(SEARCH("/",E1017)), IF(LEN(E1017)-LEN(SUBSTITUTE(E1017,"/",""))=1,(RIGHT(E1017,LEN(E1017)-FIND("/",E1017)))-(LEFT(E1017,FIND("/",E1017)-1)),(MID(E1017, SEARCH("/",E1017) + 1, SEARCH("/",E1017, SEARCH("/",E1017)+1) - SEARCH("/",E1017) - 1))-(LEFT(E1017,FIND("/",E1017)-1))), "NA"))</f>
        <v/>
      </c>
      <c r="K1017" s="79">
        <f>IF(A1017&lt;&gt;"", IF(ISBLANK(L1017), TODAY(), K1017), "")</f>
        <v/>
      </c>
      <c r="L1017" s="78" t="n"/>
      <c r="M1017" s="78">
        <f>IF(ISBLANK(L1017),"",IF(D1017="Stock",IF(C1017="Buy",L1017*G1017,IF(C1017="Sell",(L1017*G1017)-I1017, X)),IF(C1017="Buy",(L1017*G1017*100)+I1017,IF(C1017="Sell",(L1017*G1017*100)-I1017, X))))</f>
        <v/>
      </c>
      <c r="N1017" s="78">
        <f>IF(ISBLANK(L1017),"",IF(AND(C1017="Sell",D1017="Stock"),M1017,IF(ISBLANK(L1017),"",IF(C1017="Buy",M1017, IF(AND(C1017="Sell",J1017="NA"),(E1017*G1017*100*0.1)+I1017, IF(C1017="Sell",(J1017-L1017)*(100*G1017)+I1017))))))</f>
        <v/>
      </c>
      <c r="O1017" s="75" t="n"/>
      <c r="P1017" s="75" t="n"/>
      <c r="Q1017" s="75">
        <f>IF(ISBLANK(P1017),"",IF(D1017="Stock",P1017*G1017,IF(P1017=0,"0",G1017*P1017*100-(G1017*$AF$14))))</f>
        <v/>
      </c>
      <c r="R1017" s="79">
        <f>IF(P1017&lt;&gt;"", TODAY(), "")</f>
        <v/>
      </c>
      <c r="S1017" s="78">
        <f>IF(AND(K1017&lt;&gt;"", R1017&lt;&gt;""), R1017-K1017, "")</f>
        <v/>
      </c>
      <c r="T1017" s="78" t="n"/>
      <c r="U1017" s="92">
        <f>IF(ISBLANK(P1017),"",IF(C1017="Buy",Q1017-M1017+T1017, IF(C1017="Sell",M1017-Q1017-T1017, X)))</f>
        <v/>
      </c>
      <c r="V1017" s="81">
        <f>IF(ISBLANK(P1017),"",U1017/N1017)</f>
        <v/>
      </c>
      <c r="W1017" s="81">
        <f>IF(ISBLANK(P1017),"",IF(S1017=0,(365/0.5)*V1017,(365/S1017)*V1017))</f>
        <v/>
      </c>
      <c r="X1017" s="75" t="n"/>
      <c r="Y1017" s="77" t="n"/>
      <c r="Z1017" s="77" t="n"/>
      <c r="AA1017" s="75" t="n"/>
      <c r="AB1017" s="75" t="n"/>
      <c r="AC1017" s="6" t="n"/>
      <c r="AD1017" s="75" t="n"/>
      <c r="AE1017" s="75" t="n"/>
      <c r="AF1017" s="75" t="n"/>
    </row>
    <row r="1018" ht="15.75" customHeight="1" s="133">
      <c r="A1018" s="75" t="n"/>
      <c r="B1018" s="75" t="n"/>
      <c r="C1018" s="75" t="n"/>
      <c r="D1018" s="75" t="n"/>
      <c r="E1018" s="76" t="n"/>
      <c r="F1018" s="77" t="n"/>
      <c r="G1018" s="75" t="n"/>
      <c r="H1018" s="75">
        <f>IF(ISBLANK(E1018),"",IF(OR(D1018="Butterfly",D1018="Butterfly ",D1018="Iron Fly", D1018="Iron Fly "),LEN(E1018)-LEN(SUBSTITUTE(E1018,"/",""))+2,LEN(E1018)-LEN(SUBSTITUTE(E1018,"/",""))+1))</f>
        <v/>
      </c>
      <c r="I1018" s="78">
        <f>IF(ISBLANK(G1018),"",IF(D1018="Stock","0",Key!$A$3*H1018*G1018))</f>
        <v/>
      </c>
      <c r="J1018" s="78">
        <f>IF(ISBLANK(E1018),"",IF(ISNUMBER(SEARCH("/",E1018)), IF(LEN(E1018)-LEN(SUBSTITUTE(E1018,"/",""))=1,(RIGHT(E1018,LEN(E1018)-FIND("/",E1018)))-(LEFT(E1018,FIND("/",E1018)-1)),(MID(E1018, SEARCH("/",E1018) + 1, SEARCH("/",E1018, SEARCH("/",E1018)+1) - SEARCH("/",E1018) - 1))-(LEFT(E1018,FIND("/",E1018)-1))), "NA"))</f>
        <v/>
      </c>
      <c r="K1018" s="79">
        <f>IF(A1018&lt;&gt;"", IF(ISBLANK(L1018), TODAY(), K1018), "")</f>
        <v/>
      </c>
      <c r="L1018" s="78" t="n"/>
      <c r="M1018" s="78">
        <f>IF(ISBLANK(L1018),"",IF(D1018="Stock",IF(C1018="Buy",L1018*G1018,IF(C1018="Sell",(L1018*G1018)-I1018, X)),IF(C1018="Buy",(L1018*G1018*100)+I1018,IF(C1018="Sell",(L1018*G1018*100)-I1018, X))))</f>
        <v/>
      </c>
      <c r="N1018" s="78">
        <f>IF(ISBLANK(L1018),"",IF(AND(C1018="Sell",D1018="Stock"),M1018,IF(ISBLANK(L1018),"",IF(C1018="Buy",M1018, IF(AND(C1018="Sell",J1018="NA"),(E1018*G1018*100*0.1)+I1018, IF(C1018="Sell",(J1018-L1018)*(100*G1018)+I1018))))))</f>
        <v/>
      </c>
      <c r="O1018" s="75" t="n"/>
      <c r="P1018" s="75" t="n"/>
      <c r="Q1018" s="75">
        <f>IF(ISBLANK(P1018),"",IF(D1018="Stock",P1018*G1018,IF(P1018=0,"0",G1018*P1018*100-(G1018*$AF$14))))</f>
        <v/>
      </c>
      <c r="R1018" s="79">
        <f>IF(P1018&lt;&gt;"", TODAY(), "")</f>
        <v/>
      </c>
      <c r="S1018" s="78">
        <f>IF(AND(K1018&lt;&gt;"", R1018&lt;&gt;""), R1018-K1018, "")</f>
        <v/>
      </c>
      <c r="T1018" s="78" t="n"/>
      <c r="U1018" s="92">
        <f>IF(ISBLANK(P1018),"",IF(C1018="Buy",Q1018-M1018+T1018, IF(C1018="Sell",M1018-Q1018-T1018, X)))</f>
        <v/>
      </c>
      <c r="V1018" s="81">
        <f>IF(ISBLANK(P1018),"",U1018/N1018)</f>
        <v/>
      </c>
      <c r="W1018" s="81">
        <f>IF(ISBLANK(P1018),"",IF(S1018=0,(365/0.5)*V1018,(365/S1018)*V1018))</f>
        <v/>
      </c>
      <c r="X1018" s="75" t="n"/>
      <c r="Y1018" s="77" t="n"/>
      <c r="Z1018" s="77" t="n"/>
      <c r="AA1018" s="75" t="n"/>
      <c r="AB1018" s="75" t="n"/>
      <c r="AC1018" s="6" t="n"/>
      <c r="AD1018" s="75" t="n"/>
      <c r="AE1018" s="75" t="n"/>
      <c r="AF1018" s="75" t="n"/>
    </row>
    <row r="1019" ht="15.75" customHeight="1" s="133">
      <c r="A1019" s="75" t="n"/>
      <c r="B1019" s="75" t="n"/>
      <c r="C1019" s="75" t="n"/>
      <c r="D1019" s="75" t="n"/>
      <c r="E1019" s="76" t="n"/>
      <c r="F1019" s="77" t="n"/>
      <c r="G1019" s="75" t="n"/>
      <c r="H1019" s="75">
        <f>IF(ISBLANK(E1019),"",IF(OR(D1019="Butterfly",D1019="Butterfly ",D1019="Iron Fly", D1019="Iron Fly "),LEN(E1019)-LEN(SUBSTITUTE(E1019,"/",""))+2,LEN(E1019)-LEN(SUBSTITUTE(E1019,"/",""))+1))</f>
        <v/>
      </c>
      <c r="I1019" s="78">
        <f>IF(ISBLANK(G1019),"",IF(D1019="Stock","0",Key!$A$3*H1019*G1019))</f>
        <v/>
      </c>
      <c r="J1019" s="78">
        <f>IF(ISBLANK(E1019),"",IF(ISNUMBER(SEARCH("/",E1019)), IF(LEN(E1019)-LEN(SUBSTITUTE(E1019,"/",""))=1,(RIGHT(E1019,LEN(E1019)-FIND("/",E1019)))-(LEFT(E1019,FIND("/",E1019)-1)),(MID(E1019, SEARCH("/",E1019) + 1, SEARCH("/",E1019, SEARCH("/",E1019)+1) - SEARCH("/",E1019) - 1))-(LEFT(E1019,FIND("/",E1019)-1))), "NA"))</f>
        <v/>
      </c>
      <c r="K1019" s="79">
        <f>IF(A1019&lt;&gt;"", IF(ISBLANK(L1019), TODAY(), K1019), "")</f>
        <v/>
      </c>
      <c r="L1019" s="78" t="n"/>
      <c r="M1019" s="78">
        <f>IF(ISBLANK(L1019),"",IF(D1019="Stock",IF(C1019="Buy",L1019*G1019,IF(C1019="Sell",(L1019*G1019)-I1019, X)),IF(C1019="Buy",(L1019*G1019*100)+I1019,IF(C1019="Sell",(L1019*G1019*100)-I1019, X))))</f>
        <v/>
      </c>
      <c r="N1019" s="78">
        <f>IF(ISBLANK(L1019),"",IF(AND(C1019="Sell",D1019="Stock"),M1019,IF(ISBLANK(L1019),"",IF(C1019="Buy",M1019, IF(AND(C1019="Sell",J1019="NA"),(E1019*G1019*100*0.1)+I1019, IF(C1019="Sell",(J1019-L1019)*(100*G1019)+I1019))))))</f>
        <v/>
      </c>
      <c r="O1019" s="75" t="n"/>
      <c r="P1019" s="75" t="n"/>
      <c r="Q1019" s="75">
        <f>IF(ISBLANK(P1019),"",IF(D1019="Stock",P1019*G1019,IF(P1019=0,"0",G1019*P1019*100-(G1019*$AF$14))))</f>
        <v/>
      </c>
      <c r="R1019" s="79">
        <f>IF(P1019&lt;&gt;"", TODAY(), "")</f>
        <v/>
      </c>
      <c r="S1019" s="78">
        <f>IF(AND(K1019&lt;&gt;"", R1019&lt;&gt;""), R1019-K1019, "")</f>
        <v/>
      </c>
      <c r="T1019" s="78" t="n"/>
      <c r="U1019" s="92">
        <f>IF(ISBLANK(P1019),"",IF(C1019="Buy",Q1019-M1019+T1019, IF(C1019="Sell",M1019-Q1019-T1019, X)))</f>
        <v/>
      </c>
      <c r="V1019" s="81">
        <f>IF(ISBLANK(P1019),"",U1019/N1019)</f>
        <v/>
      </c>
      <c r="W1019" s="81">
        <f>IF(ISBLANK(P1019),"",IF(S1019=0,(365/0.5)*V1019,(365/S1019)*V1019))</f>
        <v/>
      </c>
      <c r="X1019" s="75" t="n"/>
      <c r="Y1019" s="77" t="n"/>
      <c r="Z1019" s="77" t="n"/>
      <c r="AA1019" s="75" t="n"/>
      <c r="AB1019" s="75" t="n"/>
      <c r="AC1019" s="6" t="n"/>
      <c r="AD1019" s="75" t="n"/>
      <c r="AE1019" s="75" t="n"/>
      <c r="AF1019" s="75" t="n"/>
    </row>
    <row r="1020" ht="15.75" customHeight="1" s="133">
      <c r="A1020" s="75" t="n"/>
      <c r="B1020" s="75" t="n"/>
      <c r="C1020" s="75" t="n"/>
      <c r="D1020" s="75" t="n"/>
      <c r="E1020" s="76" t="n"/>
      <c r="F1020" s="77" t="n"/>
      <c r="G1020" s="75" t="n"/>
      <c r="H1020" s="75">
        <f>IF(ISBLANK(E1020),"",IF(OR(D1020="Butterfly",D1020="Butterfly ",D1020="Iron Fly", D1020="Iron Fly "),LEN(E1020)-LEN(SUBSTITUTE(E1020,"/",""))+2,LEN(E1020)-LEN(SUBSTITUTE(E1020,"/",""))+1))</f>
        <v/>
      </c>
      <c r="I1020" s="78">
        <f>IF(ISBLANK(G1020),"",IF(D1020="Stock","0",Key!$A$3*H1020*G1020))</f>
        <v/>
      </c>
      <c r="J1020" s="78">
        <f>IF(ISBLANK(E1020),"",IF(ISNUMBER(SEARCH("/",E1020)), IF(LEN(E1020)-LEN(SUBSTITUTE(E1020,"/",""))=1,(RIGHT(E1020,LEN(E1020)-FIND("/",E1020)))-(LEFT(E1020,FIND("/",E1020)-1)),(MID(E1020, SEARCH("/",E1020) + 1, SEARCH("/",E1020, SEARCH("/",E1020)+1) - SEARCH("/",E1020) - 1))-(LEFT(E1020,FIND("/",E1020)-1))), "NA"))</f>
        <v/>
      </c>
      <c r="K1020" s="79">
        <f>IF(A1020&lt;&gt;"", IF(ISBLANK(L1020), TODAY(), K1020), "")</f>
        <v/>
      </c>
      <c r="L1020" s="78" t="n"/>
      <c r="M1020" s="78">
        <f>IF(ISBLANK(L1020),"",IF(D1020="Stock",IF(C1020="Buy",L1020*G1020,IF(C1020="Sell",(L1020*G1020)-I1020, X)),IF(C1020="Buy",(L1020*G1020*100)+I1020,IF(C1020="Sell",(L1020*G1020*100)-I1020, X))))</f>
        <v/>
      </c>
      <c r="N1020" s="78">
        <f>IF(ISBLANK(L1020),"",IF(AND(C1020="Sell",D1020="Stock"),M1020,IF(ISBLANK(L1020),"",IF(C1020="Buy",M1020, IF(AND(C1020="Sell",J1020="NA"),(E1020*G1020*100*0.1)+I1020, IF(C1020="Sell",(J1020-L1020)*(100*G1020)+I1020))))))</f>
        <v/>
      </c>
      <c r="O1020" s="75" t="n"/>
      <c r="P1020" s="75" t="n"/>
      <c r="Q1020" s="75">
        <f>IF(ISBLANK(P1020),"",IF(D1020="Stock",P1020*G1020,IF(P1020=0,"0",G1020*P1020*100-(G1020*$AF$14))))</f>
        <v/>
      </c>
      <c r="R1020" s="79">
        <f>IF(P1020&lt;&gt;"", TODAY(), "")</f>
        <v/>
      </c>
      <c r="S1020" s="78">
        <f>IF(AND(K1020&lt;&gt;"", R1020&lt;&gt;""), R1020-K1020, "")</f>
        <v/>
      </c>
      <c r="T1020" s="78" t="n"/>
      <c r="U1020" s="92">
        <f>IF(ISBLANK(P1020),"",IF(C1020="Buy",Q1020-M1020+T1020, IF(C1020="Sell",M1020-Q1020-T1020, X)))</f>
        <v/>
      </c>
      <c r="V1020" s="81">
        <f>IF(ISBLANK(P1020),"",U1020/N1020)</f>
        <v/>
      </c>
      <c r="W1020" s="81">
        <f>IF(ISBLANK(P1020),"",IF(S1020=0,(365/0.5)*V1020,(365/S1020)*V1020))</f>
        <v/>
      </c>
      <c r="X1020" s="75" t="n"/>
      <c r="Y1020" s="77" t="n"/>
      <c r="Z1020" s="77" t="n"/>
      <c r="AA1020" s="75" t="n"/>
      <c r="AB1020" s="75" t="n"/>
      <c r="AC1020" s="6" t="n"/>
      <c r="AD1020" s="75" t="n"/>
      <c r="AE1020" s="75" t="n"/>
      <c r="AF1020" s="75" t="n"/>
    </row>
    <row r="1021" ht="15.75" customHeight="1" s="133">
      <c r="A1021" s="75" t="n"/>
      <c r="B1021" s="75" t="n"/>
      <c r="C1021" s="75" t="n"/>
      <c r="D1021" s="75" t="n"/>
      <c r="E1021" s="76" t="n"/>
      <c r="F1021" s="77" t="n"/>
      <c r="G1021" s="75" t="n"/>
      <c r="H1021" s="75">
        <f>IF(ISBLANK(E1021),"",IF(OR(D1021="Butterfly",D1021="Butterfly ",D1021="Iron Fly", D1021="Iron Fly "),LEN(E1021)-LEN(SUBSTITUTE(E1021,"/",""))+2,LEN(E1021)-LEN(SUBSTITUTE(E1021,"/",""))+1))</f>
        <v/>
      </c>
      <c r="I1021" s="78">
        <f>IF(ISBLANK(G1021),"",IF(D1021="Stock","0",Key!$A$3*H1021*G1021))</f>
        <v/>
      </c>
      <c r="J1021" s="78">
        <f>IF(ISBLANK(E1021),"",IF(ISNUMBER(SEARCH("/",E1021)), IF(LEN(E1021)-LEN(SUBSTITUTE(E1021,"/",""))=1,(RIGHT(E1021,LEN(E1021)-FIND("/",E1021)))-(LEFT(E1021,FIND("/",E1021)-1)),(MID(E1021, SEARCH("/",E1021) + 1, SEARCH("/",E1021, SEARCH("/",E1021)+1) - SEARCH("/",E1021) - 1))-(LEFT(E1021,FIND("/",E1021)-1))), "NA"))</f>
        <v/>
      </c>
      <c r="K1021" s="79">
        <f>IF(A1021&lt;&gt;"", IF(ISBLANK(L1021), TODAY(), K1021), "")</f>
        <v/>
      </c>
      <c r="L1021" s="78" t="n"/>
      <c r="M1021" s="78">
        <f>IF(ISBLANK(L1021),"",IF(D1021="Stock",IF(C1021="Buy",L1021*G1021,IF(C1021="Sell",(L1021*G1021)-I1021, X)),IF(C1021="Buy",(L1021*G1021*100)+I1021,IF(C1021="Sell",(L1021*G1021*100)-I1021, X))))</f>
        <v/>
      </c>
      <c r="N1021" s="78">
        <f>IF(ISBLANK(L1021),"",IF(AND(C1021="Sell",D1021="Stock"),M1021,IF(ISBLANK(L1021),"",IF(C1021="Buy",M1021, IF(AND(C1021="Sell",J1021="NA"),(E1021*G1021*100*0.1)+I1021, IF(C1021="Sell",(J1021-L1021)*(100*G1021)+I1021))))))</f>
        <v/>
      </c>
      <c r="O1021" s="75" t="n"/>
      <c r="P1021" s="75" t="n"/>
      <c r="Q1021" s="75">
        <f>IF(ISBLANK(P1021),"",IF(D1021="Stock",P1021*G1021,IF(P1021=0,"0",G1021*P1021*100-(G1021*$AF$14))))</f>
        <v/>
      </c>
      <c r="R1021" s="79">
        <f>IF(P1021&lt;&gt;"", TODAY(), "")</f>
        <v/>
      </c>
      <c r="S1021" s="78">
        <f>IF(AND(K1021&lt;&gt;"", R1021&lt;&gt;""), R1021-K1021, "")</f>
        <v/>
      </c>
      <c r="T1021" s="78" t="n"/>
      <c r="U1021" s="92">
        <f>IF(ISBLANK(P1021),"",IF(C1021="Buy",Q1021-M1021+T1021, IF(C1021="Sell",M1021-Q1021-T1021, X)))</f>
        <v/>
      </c>
      <c r="V1021" s="81">
        <f>IF(ISBLANK(P1021),"",U1021/N1021)</f>
        <v/>
      </c>
      <c r="W1021" s="81">
        <f>IF(ISBLANK(P1021),"",IF(S1021=0,(365/0.5)*V1021,(365/S1021)*V1021))</f>
        <v/>
      </c>
      <c r="X1021" s="75" t="n"/>
      <c r="Y1021" s="77" t="n"/>
      <c r="Z1021" s="77" t="n"/>
      <c r="AA1021" s="75" t="n"/>
      <c r="AB1021" s="75" t="n"/>
      <c r="AC1021" s="6" t="n"/>
      <c r="AD1021" s="75" t="n"/>
      <c r="AE1021" s="75" t="n"/>
      <c r="AF1021" s="75" t="n"/>
    </row>
    <row r="1022" ht="15.75" customHeight="1" s="133">
      <c r="A1022" s="75" t="n"/>
      <c r="B1022" s="75" t="n"/>
      <c r="C1022" s="75" t="n"/>
      <c r="D1022" s="75" t="n"/>
      <c r="E1022" s="76" t="n"/>
      <c r="F1022" s="77" t="n"/>
      <c r="G1022" s="75" t="n"/>
      <c r="H1022" s="75">
        <f>IF(ISBLANK(E1022),"",IF(OR(D1022="Butterfly",D1022="Butterfly ",D1022="Iron Fly", D1022="Iron Fly "),LEN(E1022)-LEN(SUBSTITUTE(E1022,"/",""))+2,LEN(E1022)-LEN(SUBSTITUTE(E1022,"/",""))+1))</f>
        <v/>
      </c>
      <c r="I1022" s="78">
        <f>IF(ISBLANK(G1022),"",IF(D1022="Stock","0",Key!$A$3*H1022*G1022))</f>
        <v/>
      </c>
      <c r="J1022" s="78">
        <f>IF(ISBLANK(E1022),"",IF(ISNUMBER(SEARCH("/",E1022)), IF(LEN(E1022)-LEN(SUBSTITUTE(E1022,"/",""))=1,(RIGHT(E1022,LEN(E1022)-FIND("/",E1022)))-(LEFT(E1022,FIND("/",E1022)-1)),(MID(E1022, SEARCH("/",E1022) + 1, SEARCH("/",E1022, SEARCH("/",E1022)+1) - SEARCH("/",E1022) - 1))-(LEFT(E1022,FIND("/",E1022)-1))), "NA"))</f>
        <v/>
      </c>
      <c r="K1022" s="79">
        <f>IF(A1022&lt;&gt;"", IF(ISBLANK(L1022), TODAY(), K1022), "")</f>
        <v/>
      </c>
      <c r="L1022" s="78" t="n"/>
      <c r="M1022" s="78">
        <f>IF(ISBLANK(L1022),"",IF(D1022="Stock",IF(C1022="Buy",L1022*G1022,IF(C1022="Sell",(L1022*G1022)-I1022, X)),IF(C1022="Buy",(L1022*G1022*100)+I1022,IF(C1022="Sell",(L1022*G1022*100)-I1022, X))))</f>
        <v/>
      </c>
      <c r="N1022" s="78">
        <f>IF(ISBLANK(L1022),"",IF(AND(C1022="Sell",D1022="Stock"),M1022,IF(ISBLANK(L1022),"",IF(C1022="Buy",M1022, IF(AND(C1022="Sell",J1022="NA"),(E1022*G1022*100*0.1)+I1022, IF(C1022="Sell",(J1022-L1022)*(100*G1022)+I1022))))))</f>
        <v/>
      </c>
      <c r="O1022" s="75" t="n"/>
      <c r="P1022" s="75" t="n"/>
      <c r="Q1022" s="75">
        <f>IF(ISBLANK(P1022),"",IF(D1022="Stock",P1022*G1022,IF(P1022=0,"0",G1022*P1022*100-(G1022*$AF$14))))</f>
        <v/>
      </c>
      <c r="R1022" s="79">
        <f>IF(P1022&lt;&gt;"", TODAY(), "")</f>
        <v/>
      </c>
      <c r="S1022" s="78">
        <f>IF(AND(K1022&lt;&gt;"", R1022&lt;&gt;""), R1022-K1022, "")</f>
        <v/>
      </c>
      <c r="T1022" s="78" t="n"/>
      <c r="U1022" s="92">
        <f>IF(ISBLANK(P1022),"",IF(C1022="Buy",Q1022-M1022+T1022, IF(C1022="Sell",M1022-Q1022-T1022, X)))</f>
        <v/>
      </c>
      <c r="V1022" s="81">
        <f>IF(ISBLANK(P1022),"",U1022/N1022)</f>
        <v/>
      </c>
      <c r="W1022" s="81">
        <f>IF(ISBLANK(P1022),"",IF(S1022=0,(365/0.5)*V1022,(365/S1022)*V1022))</f>
        <v/>
      </c>
      <c r="X1022" s="75" t="n"/>
      <c r="Y1022" s="77" t="n"/>
      <c r="Z1022" s="77" t="n"/>
      <c r="AA1022" s="75" t="n"/>
      <c r="AB1022" s="75" t="n"/>
      <c r="AC1022" s="6" t="n"/>
      <c r="AD1022" s="75" t="n"/>
      <c r="AE1022" s="75" t="n"/>
      <c r="AF1022" s="75" t="n"/>
    </row>
    <row r="1023" ht="15.75" customHeight="1" s="133">
      <c r="A1023" s="75" t="n"/>
      <c r="B1023" s="75" t="n"/>
      <c r="C1023" s="75" t="n"/>
      <c r="D1023" s="75" t="n"/>
      <c r="E1023" s="76" t="n"/>
      <c r="F1023" s="77" t="n"/>
      <c r="G1023" s="75" t="n"/>
      <c r="H1023" s="75">
        <f>IF(ISBLANK(E1023),"",IF(OR(D1023="Butterfly",D1023="Butterfly ",D1023="Iron Fly", D1023="Iron Fly "),LEN(E1023)-LEN(SUBSTITUTE(E1023,"/",""))+2,LEN(E1023)-LEN(SUBSTITUTE(E1023,"/",""))+1))</f>
        <v/>
      </c>
      <c r="I1023" s="78">
        <f>IF(ISBLANK(G1023),"",IF(D1023="Stock","0",Key!$A$3*H1023*G1023))</f>
        <v/>
      </c>
      <c r="J1023" s="78">
        <f>IF(ISBLANK(E1023),"",IF(ISNUMBER(SEARCH("/",E1023)), IF(LEN(E1023)-LEN(SUBSTITUTE(E1023,"/",""))=1,(RIGHT(E1023,LEN(E1023)-FIND("/",E1023)))-(LEFT(E1023,FIND("/",E1023)-1)),(MID(E1023, SEARCH("/",E1023) + 1, SEARCH("/",E1023, SEARCH("/",E1023)+1) - SEARCH("/",E1023) - 1))-(LEFT(E1023,FIND("/",E1023)-1))), "NA"))</f>
        <v/>
      </c>
      <c r="K1023" s="79">
        <f>IF(A1023&lt;&gt;"", IF(ISBLANK(L1023), TODAY(), K1023), "")</f>
        <v/>
      </c>
      <c r="L1023" s="78" t="n"/>
      <c r="M1023" s="78">
        <f>IF(ISBLANK(L1023),"",IF(D1023="Stock",IF(C1023="Buy",L1023*G1023,IF(C1023="Sell",(L1023*G1023)-I1023, X)),IF(C1023="Buy",(L1023*G1023*100)+I1023,IF(C1023="Sell",(L1023*G1023*100)-I1023, X))))</f>
        <v/>
      </c>
      <c r="N1023" s="78">
        <f>IF(ISBLANK(L1023),"",IF(AND(C1023="Sell",D1023="Stock"),M1023,IF(ISBLANK(L1023),"",IF(C1023="Buy",M1023, IF(AND(C1023="Sell",J1023="NA"),(E1023*G1023*100*0.1)+I1023, IF(C1023="Sell",(J1023-L1023)*(100*G1023)+I1023))))))</f>
        <v/>
      </c>
      <c r="O1023" s="75" t="n"/>
      <c r="P1023" s="75" t="n"/>
      <c r="Q1023" s="75">
        <f>IF(ISBLANK(P1023),"",IF(D1023="Stock",P1023*G1023,IF(P1023=0,"0",G1023*P1023*100-(G1023*$AF$14))))</f>
        <v/>
      </c>
      <c r="R1023" s="79">
        <f>IF(P1023&lt;&gt;"", TODAY(), "")</f>
        <v/>
      </c>
      <c r="S1023" s="78">
        <f>IF(AND(K1023&lt;&gt;"", R1023&lt;&gt;""), R1023-K1023, "")</f>
        <v/>
      </c>
      <c r="T1023" s="78" t="n"/>
      <c r="U1023" s="92">
        <f>IF(ISBLANK(P1023),"",IF(C1023="Buy",Q1023-M1023+T1023, IF(C1023="Sell",M1023-Q1023-T1023, X)))</f>
        <v/>
      </c>
      <c r="V1023" s="81">
        <f>IF(ISBLANK(P1023),"",U1023/N1023)</f>
        <v/>
      </c>
      <c r="W1023" s="81">
        <f>IF(ISBLANK(P1023),"",IF(S1023=0,(365/0.5)*V1023,(365/S1023)*V1023))</f>
        <v/>
      </c>
      <c r="X1023" s="75" t="n"/>
      <c r="Y1023" s="77" t="n"/>
      <c r="Z1023" s="77" t="n"/>
      <c r="AA1023" s="75" t="n"/>
      <c r="AB1023" s="75" t="n"/>
      <c r="AC1023" s="6" t="n"/>
      <c r="AD1023" s="75" t="n"/>
      <c r="AE1023" s="75" t="n"/>
      <c r="AF1023" s="75" t="n"/>
    </row>
    <row r="1024" ht="15.75" customHeight="1" s="133">
      <c r="A1024" s="75" t="n"/>
      <c r="B1024" s="75" t="n"/>
      <c r="C1024" s="75" t="n"/>
      <c r="D1024" s="75" t="n"/>
      <c r="E1024" s="76" t="n"/>
      <c r="F1024" s="77" t="n"/>
      <c r="G1024" s="75" t="n"/>
      <c r="H1024" s="75">
        <f>IF(ISBLANK(E1024),"",IF(OR(D1024="Butterfly",D1024="Butterfly ",D1024="Iron Fly", D1024="Iron Fly "),LEN(E1024)-LEN(SUBSTITUTE(E1024,"/",""))+2,LEN(E1024)-LEN(SUBSTITUTE(E1024,"/",""))+1))</f>
        <v/>
      </c>
      <c r="I1024" s="78">
        <f>IF(ISBLANK(G1024),"",IF(D1024="Stock","0",Key!$A$3*H1024*G1024))</f>
        <v/>
      </c>
      <c r="J1024" s="78">
        <f>IF(ISBLANK(E1024),"",IF(ISNUMBER(SEARCH("/",E1024)), IF(LEN(E1024)-LEN(SUBSTITUTE(E1024,"/",""))=1,(RIGHT(E1024,LEN(E1024)-FIND("/",E1024)))-(LEFT(E1024,FIND("/",E1024)-1)),(MID(E1024, SEARCH("/",E1024) + 1, SEARCH("/",E1024, SEARCH("/",E1024)+1) - SEARCH("/",E1024) - 1))-(LEFT(E1024,FIND("/",E1024)-1))), "NA"))</f>
        <v/>
      </c>
      <c r="K1024" s="79">
        <f>IF(A1024&lt;&gt;"", IF(ISBLANK(L1024), TODAY(), K1024), "")</f>
        <v/>
      </c>
      <c r="L1024" s="78" t="n"/>
      <c r="M1024" s="78">
        <f>IF(ISBLANK(L1024),"",IF(D1024="Stock",IF(C1024="Buy",L1024*G1024,IF(C1024="Sell",(L1024*G1024)-I1024, X)),IF(C1024="Buy",(L1024*G1024*100)+I1024,IF(C1024="Sell",(L1024*G1024*100)-I1024, X))))</f>
        <v/>
      </c>
      <c r="N1024" s="78">
        <f>IF(ISBLANK(L1024),"",IF(AND(C1024="Sell",D1024="Stock"),M1024,IF(ISBLANK(L1024),"",IF(C1024="Buy",M1024, IF(AND(C1024="Sell",J1024="NA"),(E1024*G1024*100*0.1)+I1024, IF(C1024="Sell",(J1024-L1024)*(100*G1024)+I1024))))))</f>
        <v/>
      </c>
      <c r="O1024" s="75" t="n"/>
      <c r="P1024" s="75" t="n"/>
      <c r="Q1024" s="75">
        <f>IF(ISBLANK(P1024),"",IF(D1024="Stock",P1024*G1024,IF(P1024=0,"0",G1024*P1024*100-(G1024*$AF$14))))</f>
        <v/>
      </c>
      <c r="R1024" s="79">
        <f>IF(P1024&lt;&gt;"", TODAY(), "")</f>
        <v/>
      </c>
      <c r="S1024" s="78">
        <f>IF(AND(K1024&lt;&gt;"", R1024&lt;&gt;""), R1024-K1024, "")</f>
        <v/>
      </c>
      <c r="T1024" s="78" t="n"/>
      <c r="U1024" s="92">
        <f>IF(ISBLANK(P1024),"",IF(C1024="Buy",Q1024-M1024+T1024, IF(C1024="Sell",M1024-Q1024-T1024, X)))</f>
        <v/>
      </c>
      <c r="V1024" s="81">
        <f>IF(ISBLANK(P1024),"",U1024/N1024)</f>
        <v/>
      </c>
      <c r="W1024" s="81">
        <f>IF(ISBLANK(P1024),"",IF(S1024=0,(365/0.5)*V1024,(365/S1024)*V1024))</f>
        <v/>
      </c>
      <c r="X1024" s="75" t="n"/>
      <c r="Y1024" s="77" t="n"/>
      <c r="Z1024" s="77" t="n"/>
      <c r="AA1024" s="75" t="n"/>
      <c r="AB1024" s="75" t="n"/>
      <c r="AC1024" s="6" t="n"/>
      <c r="AD1024" s="75" t="n"/>
      <c r="AE1024" s="75" t="n"/>
      <c r="AF1024" s="75" t="n"/>
    </row>
    <row r="1025" ht="15.75" customHeight="1" s="133">
      <c r="A1025" s="75" t="n"/>
      <c r="B1025" s="75" t="n"/>
      <c r="C1025" s="75" t="n"/>
      <c r="D1025" s="75" t="n"/>
      <c r="E1025" s="76" t="n"/>
      <c r="F1025" s="77" t="n"/>
      <c r="G1025" s="75" t="n"/>
      <c r="H1025" s="75">
        <f>IF(ISBLANK(E1025),"",IF(OR(D1025="Butterfly",D1025="Butterfly ",D1025="Iron Fly", D1025="Iron Fly "),LEN(E1025)-LEN(SUBSTITUTE(E1025,"/",""))+2,LEN(E1025)-LEN(SUBSTITUTE(E1025,"/",""))+1))</f>
        <v/>
      </c>
      <c r="I1025" s="78">
        <f>IF(ISBLANK(G1025),"",IF(D1025="Stock","0",Key!$A$3*H1025*G1025))</f>
        <v/>
      </c>
      <c r="J1025" s="78">
        <f>IF(ISBLANK(E1025),"",IF(ISNUMBER(SEARCH("/",E1025)), IF(LEN(E1025)-LEN(SUBSTITUTE(E1025,"/",""))=1,(RIGHT(E1025,LEN(E1025)-FIND("/",E1025)))-(LEFT(E1025,FIND("/",E1025)-1)),(MID(E1025, SEARCH("/",E1025) + 1, SEARCH("/",E1025, SEARCH("/",E1025)+1) - SEARCH("/",E1025) - 1))-(LEFT(E1025,FIND("/",E1025)-1))), "NA"))</f>
        <v/>
      </c>
      <c r="K1025" s="79">
        <f>IF(A1025&lt;&gt;"", IF(ISBLANK(L1025), TODAY(), K1025), "")</f>
        <v/>
      </c>
      <c r="L1025" s="78" t="n"/>
      <c r="M1025" s="78">
        <f>IF(ISBLANK(L1025),"",IF(D1025="Stock",IF(C1025="Buy",L1025*G1025,IF(C1025="Sell",(L1025*G1025)-I1025, X)),IF(C1025="Buy",(L1025*G1025*100)+I1025,IF(C1025="Sell",(L1025*G1025*100)-I1025, X))))</f>
        <v/>
      </c>
      <c r="N1025" s="78">
        <f>IF(ISBLANK(L1025),"",IF(AND(C1025="Sell",D1025="Stock"),M1025,IF(ISBLANK(L1025),"",IF(C1025="Buy",M1025, IF(AND(C1025="Sell",J1025="NA"),(E1025*G1025*100*0.1)+I1025, IF(C1025="Sell",(J1025-L1025)*(100*G1025)+I1025))))))</f>
        <v/>
      </c>
      <c r="O1025" s="75" t="n"/>
      <c r="P1025" s="75" t="n"/>
      <c r="Q1025" s="75">
        <f>IF(ISBLANK(P1025),"",IF(D1025="Stock",P1025*G1025,IF(P1025=0,"0",G1025*P1025*100-(G1025*$AF$14))))</f>
        <v/>
      </c>
      <c r="R1025" s="79">
        <f>IF(P1025&lt;&gt;"", TODAY(), "")</f>
        <v/>
      </c>
      <c r="S1025" s="78">
        <f>IF(AND(K1025&lt;&gt;"", R1025&lt;&gt;""), R1025-K1025, "")</f>
        <v/>
      </c>
      <c r="T1025" s="78" t="n"/>
      <c r="U1025" s="92">
        <f>IF(ISBLANK(P1025),"",IF(C1025="Buy",Q1025-M1025+T1025, IF(C1025="Sell",M1025-Q1025-T1025, X)))</f>
        <v/>
      </c>
      <c r="V1025" s="81">
        <f>IF(ISBLANK(P1025),"",U1025/N1025)</f>
        <v/>
      </c>
      <c r="W1025" s="81">
        <f>IF(ISBLANK(P1025),"",IF(S1025=0,(365/0.5)*V1025,(365/S1025)*V1025))</f>
        <v/>
      </c>
      <c r="X1025" s="75" t="n"/>
      <c r="Y1025" s="77" t="n"/>
      <c r="Z1025" s="77" t="n"/>
      <c r="AA1025" s="75" t="n"/>
      <c r="AB1025" s="75" t="n"/>
      <c r="AC1025" s="6" t="n"/>
      <c r="AD1025" s="75" t="n"/>
      <c r="AE1025" s="75" t="n"/>
      <c r="AF1025" s="75" t="n"/>
    </row>
    <row r="1026" ht="15.75" customHeight="1" s="133">
      <c r="A1026" s="75" t="n"/>
      <c r="B1026" s="75" t="n"/>
      <c r="C1026" s="75" t="n"/>
      <c r="D1026" s="75" t="n"/>
      <c r="E1026" s="76" t="n"/>
      <c r="F1026" s="77" t="n"/>
      <c r="G1026" s="75" t="n"/>
      <c r="H1026" s="75">
        <f>IF(ISBLANK(E1026),"",IF(OR(D1026="Butterfly",D1026="Butterfly ",D1026="Iron Fly", D1026="Iron Fly "),LEN(E1026)-LEN(SUBSTITUTE(E1026,"/",""))+2,LEN(E1026)-LEN(SUBSTITUTE(E1026,"/",""))+1))</f>
        <v/>
      </c>
      <c r="I1026" s="78">
        <f>IF(ISBLANK(G1026),"",IF(D1026="Stock","0",Key!$A$3*H1026*G1026))</f>
        <v/>
      </c>
      <c r="J1026" s="78">
        <f>IF(ISBLANK(E1026),"",IF(ISNUMBER(SEARCH("/",E1026)), IF(LEN(E1026)-LEN(SUBSTITUTE(E1026,"/",""))=1,(RIGHT(E1026,LEN(E1026)-FIND("/",E1026)))-(LEFT(E1026,FIND("/",E1026)-1)),(MID(E1026, SEARCH("/",E1026) + 1, SEARCH("/",E1026, SEARCH("/",E1026)+1) - SEARCH("/",E1026) - 1))-(LEFT(E1026,FIND("/",E1026)-1))), "NA"))</f>
        <v/>
      </c>
      <c r="K1026" s="79">
        <f>IF(A1026&lt;&gt;"", IF(ISBLANK(L1026), TODAY(), K1026), "")</f>
        <v/>
      </c>
      <c r="L1026" s="78" t="n"/>
      <c r="M1026" s="78">
        <f>IF(ISBLANK(L1026),"",IF(D1026="Stock",IF(C1026="Buy",L1026*G1026,IF(C1026="Sell",(L1026*G1026)-I1026, X)),IF(C1026="Buy",(L1026*G1026*100)+I1026,IF(C1026="Sell",(L1026*G1026*100)-I1026, X))))</f>
        <v/>
      </c>
      <c r="N1026" s="78">
        <f>IF(ISBLANK(L1026),"",IF(AND(C1026="Sell",D1026="Stock"),M1026,IF(ISBLANK(L1026),"",IF(C1026="Buy",M1026, IF(AND(C1026="Sell",J1026="NA"),(E1026*G1026*100*0.1)+I1026, IF(C1026="Sell",(J1026-L1026)*(100*G1026)+I1026))))))</f>
        <v/>
      </c>
      <c r="O1026" s="75" t="n"/>
      <c r="P1026" s="75" t="n"/>
      <c r="Q1026" s="75">
        <f>IF(ISBLANK(P1026),"",IF(D1026="Stock",P1026*G1026,IF(P1026=0,"0",G1026*P1026*100-(G1026*$AF$14))))</f>
        <v/>
      </c>
      <c r="R1026" s="79">
        <f>IF(P1026&lt;&gt;"", TODAY(), "")</f>
        <v/>
      </c>
      <c r="S1026" s="78">
        <f>IF(AND(K1026&lt;&gt;"", R1026&lt;&gt;""), R1026-K1026, "")</f>
        <v/>
      </c>
      <c r="T1026" s="78" t="n"/>
      <c r="U1026" s="92">
        <f>IF(ISBLANK(P1026),"",IF(C1026="Buy",Q1026-M1026+T1026, IF(C1026="Sell",M1026-Q1026-T1026, X)))</f>
        <v/>
      </c>
      <c r="V1026" s="81">
        <f>IF(ISBLANK(P1026),"",U1026/N1026)</f>
        <v/>
      </c>
      <c r="W1026" s="81">
        <f>IF(ISBLANK(P1026),"",IF(S1026=0,(365/0.5)*V1026,(365/S1026)*V1026))</f>
        <v/>
      </c>
      <c r="X1026" s="75" t="n"/>
      <c r="Y1026" s="77" t="n"/>
      <c r="Z1026" s="77" t="n"/>
      <c r="AA1026" s="75" t="n"/>
      <c r="AB1026" s="75" t="n"/>
      <c r="AC1026" s="6" t="n"/>
      <c r="AD1026" s="75" t="n"/>
      <c r="AE1026" s="75" t="n"/>
      <c r="AF1026" s="75" t="n"/>
    </row>
    <row r="1027" ht="15.75" customHeight="1" s="133">
      <c r="A1027" s="75" t="n"/>
      <c r="B1027" s="75" t="n"/>
      <c r="C1027" s="75" t="n"/>
      <c r="D1027" s="75" t="n"/>
      <c r="E1027" s="76" t="n"/>
      <c r="F1027" s="77" t="n"/>
      <c r="G1027" s="75" t="n"/>
      <c r="H1027" s="75">
        <f>IF(ISBLANK(E1027),"",IF(OR(D1027="Butterfly",D1027="Butterfly ",D1027="Iron Fly", D1027="Iron Fly "),LEN(E1027)-LEN(SUBSTITUTE(E1027,"/",""))+2,LEN(E1027)-LEN(SUBSTITUTE(E1027,"/",""))+1))</f>
        <v/>
      </c>
      <c r="I1027" s="78">
        <f>IF(ISBLANK(G1027),"",IF(D1027="Stock","0",Key!$A$3*H1027*G1027))</f>
        <v/>
      </c>
      <c r="J1027" s="78">
        <f>IF(ISBLANK(E1027),"",IF(ISNUMBER(SEARCH("/",E1027)), IF(LEN(E1027)-LEN(SUBSTITUTE(E1027,"/",""))=1,(RIGHT(E1027,LEN(E1027)-FIND("/",E1027)))-(LEFT(E1027,FIND("/",E1027)-1)),(MID(E1027, SEARCH("/",E1027) + 1, SEARCH("/",E1027, SEARCH("/",E1027)+1) - SEARCH("/",E1027) - 1))-(LEFT(E1027,FIND("/",E1027)-1))), "NA"))</f>
        <v/>
      </c>
      <c r="K1027" s="79">
        <f>IF(A1027&lt;&gt;"", IF(ISBLANK(L1027), TODAY(), K1027), "")</f>
        <v/>
      </c>
      <c r="L1027" s="78" t="n"/>
      <c r="M1027" s="78">
        <f>IF(ISBLANK(L1027),"",IF(D1027="Stock",IF(C1027="Buy",L1027*G1027,IF(C1027="Sell",(L1027*G1027)-I1027, X)),IF(C1027="Buy",(L1027*G1027*100)+I1027,IF(C1027="Sell",(L1027*G1027*100)-I1027, X))))</f>
        <v/>
      </c>
      <c r="N1027" s="78">
        <f>IF(ISBLANK(L1027),"",IF(AND(C1027="Sell",D1027="Stock"),M1027,IF(ISBLANK(L1027),"",IF(C1027="Buy",M1027, IF(AND(C1027="Sell",J1027="NA"),(E1027*G1027*100*0.1)+I1027, IF(C1027="Sell",(J1027-L1027)*(100*G1027)+I1027))))))</f>
        <v/>
      </c>
      <c r="O1027" s="75" t="n"/>
      <c r="P1027" s="75" t="n"/>
      <c r="Q1027" s="75">
        <f>IF(ISBLANK(P1027),"",IF(D1027="Stock",P1027*G1027,IF(P1027=0,"0",G1027*P1027*100-(G1027*$AF$14))))</f>
        <v/>
      </c>
      <c r="R1027" s="79">
        <f>IF(P1027&lt;&gt;"", TODAY(), "")</f>
        <v/>
      </c>
      <c r="S1027" s="78">
        <f>IF(AND(K1027&lt;&gt;"", R1027&lt;&gt;""), R1027-K1027, "")</f>
        <v/>
      </c>
      <c r="T1027" s="78" t="n"/>
      <c r="U1027" s="92">
        <f>IF(ISBLANK(P1027),"",IF(C1027="Buy",Q1027-M1027+T1027, IF(C1027="Sell",M1027-Q1027-T1027, X)))</f>
        <v/>
      </c>
      <c r="V1027" s="81">
        <f>IF(ISBLANK(P1027),"",U1027/N1027)</f>
        <v/>
      </c>
      <c r="W1027" s="81">
        <f>IF(ISBLANK(P1027),"",IF(S1027=0,(365/0.5)*V1027,(365/S1027)*V1027))</f>
        <v/>
      </c>
      <c r="X1027" s="75" t="n"/>
      <c r="Y1027" s="77" t="n"/>
      <c r="Z1027" s="77" t="n"/>
      <c r="AA1027" s="75" t="n"/>
      <c r="AB1027" s="75" t="n"/>
      <c r="AC1027" s="6" t="n"/>
      <c r="AD1027" s="75" t="n"/>
      <c r="AE1027" s="75" t="n"/>
      <c r="AF1027" s="75" t="n"/>
    </row>
    <row r="1028" ht="15.75" customHeight="1" s="133">
      <c r="A1028" s="75" t="n"/>
      <c r="B1028" s="75" t="n"/>
      <c r="C1028" s="75" t="n"/>
      <c r="D1028" s="75" t="n"/>
      <c r="E1028" s="76" t="n"/>
      <c r="F1028" s="77" t="n"/>
      <c r="G1028" s="75" t="n"/>
      <c r="H1028" s="75">
        <f>IF(ISBLANK(E1028),"",IF(OR(D1028="Butterfly",D1028="Butterfly ",D1028="Iron Fly", D1028="Iron Fly "),LEN(E1028)-LEN(SUBSTITUTE(E1028,"/",""))+2,LEN(E1028)-LEN(SUBSTITUTE(E1028,"/",""))+1))</f>
        <v/>
      </c>
      <c r="I1028" s="78">
        <f>IF(ISBLANK(G1028),"",IF(D1028="Stock","0",Key!$A$3*H1028*G1028))</f>
        <v/>
      </c>
      <c r="J1028" s="78">
        <f>IF(ISBLANK(E1028),"",IF(ISNUMBER(SEARCH("/",E1028)), IF(LEN(E1028)-LEN(SUBSTITUTE(E1028,"/",""))=1,(RIGHT(E1028,LEN(E1028)-FIND("/",E1028)))-(LEFT(E1028,FIND("/",E1028)-1)),(MID(E1028, SEARCH("/",E1028) + 1, SEARCH("/",E1028, SEARCH("/",E1028)+1) - SEARCH("/",E1028) - 1))-(LEFT(E1028,FIND("/",E1028)-1))), "NA"))</f>
        <v/>
      </c>
      <c r="K1028" s="79">
        <f>IF(A1028&lt;&gt;"", IF(ISBLANK(L1028), TODAY(), K1028), "")</f>
        <v/>
      </c>
      <c r="L1028" s="78" t="n"/>
      <c r="M1028" s="78">
        <f>IF(ISBLANK(L1028),"",IF(D1028="Stock",IF(C1028="Buy",L1028*G1028,IF(C1028="Sell",(L1028*G1028)-I1028, X)),IF(C1028="Buy",(L1028*G1028*100)+I1028,IF(C1028="Sell",(L1028*G1028*100)-I1028, X))))</f>
        <v/>
      </c>
      <c r="N1028" s="78">
        <f>IF(ISBLANK(L1028),"",IF(AND(C1028="Sell",D1028="Stock"),M1028,IF(ISBLANK(L1028),"",IF(C1028="Buy",M1028, IF(AND(C1028="Sell",J1028="NA"),(E1028*G1028*100*0.1)+I1028, IF(C1028="Sell",(J1028-L1028)*(100*G1028)+I1028))))))</f>
        <v/>
      </c>
      <c r="O1028" s="75" t="n"/>
      <c r="P1028" s="75" t="n"/>
      <c r="Q1028" s="75">
        <f>IF(ISBLANK(P1028),"",IF(D1028="Stock",P1028*G1028,IF(P1028=0,"0",G1028*P1028*100-(G1028*$AF$14))))</f>
        <v/>
      </c>
      <c r="R1028" s="79">
        <f>IF(P1028&lt;&gt;"", TODAY(), "")</f>
        <v/>
      </c>
      <c r="S1028" s="78">
        <f>IF(AND(K1028&lt;&gt;"", R1028&lt;&gt;""), R1028-K1028, "")</f>
        <v/>
      </c>
      <c r="T1028" s="78" t="n"/>
      <c r="U1028" s="92">
        <f>IF(ISBLANK(P1028),"",IF(C1028="Buy",Q1028-M1028+T1028, IF(C1028="Sell",M1028-Q1028-T1028, X)))</f>
        <v/>
      </c>
      <c r="V1028" s="81">
        <f>IF(ISBLANK(P1028),"",U1028/N1028)</f>
        <v/>
      </c>
      <c r="W1028" s="81">
        <f>IF(ISBLANK(P1028),"",IF(S1028=0,(365/0.5)*V1028,(365/S1028)*V1028))</f>
        <v/>
      </c>
      <c r="X1028" s="75" t="n"/>
      <c r="Y1028" s="77" t="n"/>
      <c r="Z1028" s="77" t="n"/>
      <c r="AA1028" s="75" t="n"/>
      <c r="AB1028" s="75" t="n"/>
      <c r="AC1028" s="6" t="n"/>
      <c r="AD1028" s="75" t="n"/>
      <c r="AE1028" s="75" t="n"/>
      <c r="AF1028" s="75" t="n"/>
    </row>
    <row r="1029" ht="15.75" customHeight="1" s="133">
      <c r="A1029" s="75" t="n"/>
      <c r="B1029" s="75" t="n"/>
      <c r="C1029" s="75" t="n"/>
      <c r="D1029" s="75" t="n"/>
      <c r="E1029" s="76" t="n"/>
      <c r="F1029" s="77" t="n"/>
      <c r="G1029" s="75" t="n"/>
      <c r="H1029" s="75">
        <f>IF(ISBLANK(E1029),"",IF(OR(D1029="Butterfly",D1029="Butterfly ",D1029="Iron Fly", D1029="Iron Fly "),LEN(E1029)-LEN(SUBSTITUTE(E1029,"/",""))+2,LEN(E1029)-LEN(SUBSTITUTE(E1029,"/",""))+1))</f>
        <v/>
      </c>
      <c r="I1029" s="78">
        <f>IF(ISBLANK(G1029),"",IF(D1029="Stock","0",Key!$A$3*H1029*G1029))</f>
        <v/>
      </c>
      <c r="J1029" s="78">
        <f>IF(ISBLANK(E1029),"",IF(ISNUMBER(SEARCH("/",E1029)), IF(LEN(E1029)-LEN(SUBSTITUTE(E1029,"/",""))=1,(RIGHT(E1029,LEN(E1029)-FIND("/",E1029)))-(LEFT(E1029,FIND("/",E1029)-1)),(MID(E1029, SEARCH("/",E1029) + 1, SEARCH("/",E1029, SEARCH("/",E1029)+1) - SEARCH("/",E1029) - 1))-(LEFT(E1029,FIND("/",E1029)-1))), "NA"))</f>
        <v/>
      </c>
      <c r="K1029" s="79">
        <f>IF(A1029&lt;&gt;"", IF(ISBLANK(L1029), TODAY(), K1029), "")</f>
        <v/>
      </c>
      <c r="L1029" s="78" t="n"/>
      <c r="M1029" s="78">
        <f>IF(ISBLANK(L1029),"",IF(D1029="Stock",IF(C1029="Buy",L1029*G1029,IF(C1029="Sell",(L1029*G1029)-I1029, X)),IF(C1029="Buy",(L1029*G1029*100)+I1029,IF(C1029="Sell",(L1029*G1029*100)-I1029, X))))</f>
        <v/>
      </c>
      <c r="N1029" s="78">
        <f>IF(ISBLANK(L1029),"",IF(AND(C1029="Sell",D1029="Stock"),M1029,IF(ISBLANK(L1029),"",IF(C1029="Buy",M1029, IF(AND(C1029="Sell",J1029="NA"),(E1029*G1029*100*0.1)+I1029, IF(C1029="Sell",(J1029-L1029)*(100*G1029)+I1029))))))</f>
        <v/>
      </c>
      <c r="O1029" s="75" t="n"/>
      <c r="P1029" s="75" t="n"/>
      <c r="Q1029" s="75">
        <f>IF(ISBLANK(P1029),"",IF(D1029="Stock",P1029*G1029,IF(P1029=0,"0",G1029*P1029*100-(G1029*$AF$14))))</f>
        <v/>
      </c>
      <c r="R1029" s="79">
        <f>IF(P1029&lt;&gt;"", TODAY(), "")</f>
        <v/>
      </c>
      <c r="S1029" s="78">
        <f>IF(AND(K1029&lt;&gt;"", R1029&lt;&gt;""), R1029-K1029, "")</f>
        <v/>
      </c>
      <c r="T1029" s="78" t="n"/>
      <c r="U1029" s="92">
        <f>IF(ISBLANK(P1029),"",IF(C1029="Buy",Q1029-M1029+T1029, IF(C1029="Sell",M1029-Q1029-T1029, X)))</f>
        <v/>
      </c>
      <c r="V1029" s="81">
        <f>IF(ISBLANK(P1029),"",U1029/N1029)</f>
        <v/>
      </c>
      <c r="W1029" s="81">
        <f>IF(ISBLANK(P1029),"",IF(S1029=0,(365/0.5)*V1029,(365/S1029)*V1029))</f>
        <v/>
      </c>
      <c r="X1029" s="75" t="n"/>
      <c r="Y1029" s="77" t="n"/>
      <c r="Z1029" s="77" t="n"/>
      <c r="AA1029" s="75" t="n"/>
      <c r="AB1029" s="75" t="n"/>
      <c r="AC1029" s="6" t="n"/>
      <c r="AD1029" s="75" t="n"/>
      <c r="AE1029" s="75" t="n"/>
      <c r="AF1029" s="75" t="n"/>
    </row>
    <row r="1030" ht="15.75" customHeight="1" s="133">
      <c r="A1030" s="75" t="n"/>
      <c r="B1030" s="75" t="n"/>
      <c r="C1030" s="75" t="n"/>
      <c r="D1030" s="75" t="n"/>
      <c r="E1030" s="76" t="n"/>
      <c r="F1030" s="77" t="n"/>
      <c r="G1030" s="75" t="n"/>
      <c r="H1030" s="75">
        <f>IF(ISBLANK(E1030),"",IF(OR(D1030="Butterfly",D1030="Butterfly ",D1030="Iron Fly", D1030="Iron Fly "),LEN(E1030)-LEN(SUBSTITUTE(E1030,"/",""))+2,LEN(E1030)-LEN(SUBSTITUTE(E1030,"/",""))+1))</f>
        <v/>
      </c>
      <c r="I1030" s="78">
        <f>IF(ISBLANK(G1030),"",IF(D1030="Stock","0",Key!$A$3*H1030*G1030))</f>
        <v/>
      </c>
      <c r="J1030" s="78">
        <f>IF(ISBLANK(E1030),"",IF(ISNUMBER(SEARCH("/",E1030)), IF(LEN(E1030)-LEN(SUBSTITUTE(E1030,"/",""))=1,(RIGHT(E1030,LEN(E1030)-FIND("/",E1030)))-(LEFT(E1030,FIND("/",E1030)-1)),(MID(E1030, SEARCH("/",E1030) + 1, SEARCH("/",E1030, SEARCH("/",E1030)+1) - SEARCH("/",E1030) - 1))-(LEFT(E1030,FIND("/",E1030)-1))), "NA"))</f>
        <v/>
      </c>
      <c r="K1030" s="79">
        <f>IF(A1030&lt;&gt;"", IF(ISBLANK(L1030), TODAY(), K1030), "")</f>
        <v/>
      </c>
      <c r="L1030" s="78" t="n"/>
      <c r="M1030" s="78">
        <f>IF(ISBLANK(L1030),"",IF(D1030="Stock",IF(C1030="Buy",L1030*G1030,IF(C1030="Sell",(L1030*G1030)-I1030, X)),IF(C1030="Buy",(L1030*G1030*100)+I1030,IF(C1030="Sell",(L1030*G1030*100)-I1030, X))))</f>
        <v/>
      </c>
      <c r="N1030" s="78">
        <f>IF(ISBLANK(L1030),"",IF(AND(C1030="Sell",D1030="Stock"),M1030,IF(ISBLANK(L1030),"",IF(C1030="Buy",M1030, IF(AND(C1030="Sell",J1030="NA"),(E1030*G1030*100*0.1)+I1030, IF(C1030="Sell",(J1030-L1030)*(100*G1030)+I1030))))))</f>
        <v/>
      </c>
      <c r="O1030" s="75" t="n"/>
      <c r="P1030" s="75" t="n"/>
      <c r="Q1030" s="75">
        <f>IF(ISBLANK(P1030),"",IF(D1030="Stock",P1030*G1030,IF(P1030=0,"0",G1030*P1030*100-(G1030*$AF$14))))</f>
        <v/>
      </c>
      <c r="R1030" s="79">
        <f>IF(P1030&lt;&gt;"", TODAY(), "")</f>
        <v/>
      </c>
      <c r="S1030" s="78">
        <f>IF(AND(K1030&lt;&gt;"", R1030&lt;&gt;""), R1030-K1030, "")</f>
        <v/>
      </c>
      <c r="T1030" s="78" t="n"/>
      <c r="U1030" s="92">
        <f>IF(ISBLANK(P1030),"",IF(C1030="Buy",Q1030-M1030+T1030, IF(C1030="Sell",M1030-Q1030-T1030, X)))</f>
        <v/>
      </c>
      <c r="V1030" s="81">
        <f>IF(ISBLANK(P1030),"",U1030/N1030)</f>
        <v/>
      </c>
      <c r="W1030" s="81">
        <f>IF(ISBLANK(P1030),"",IF(S1030=0,(365/0.5)*V1030,(365/S1030)*V1030))</f>
        <v/>
      </c>
      <c r="X1030" s="75" t="n"/>
      <c r="Y1030" s="77" t="n"/>
      <c r="Z1030" s="77" t="n"/>
      <c r="AA1030" s="75" t="n"/>
      <c r="AB1030" s="75" t="n"/>
      <c r="AC1030" s="6" t="n"/>
      <c r="AD1030" s="75" t="n"/>
      <c r="AE1030" s="75" t="n"/>
      <c r="AF1030" s="75" t="n"/>
    </row>
    <row r="1031" ht="15.75" customHeight="1" s="133">
      <c r="A1031" s="75" t="n"/>
      <c r="B1031" s="75" t="n"/>
      <c r="C1031" s="75" t="n"/>
      <c r="D1031" s="75" t="n"/>
      <c r="E1031" s="76" t="n"/>
      <c r="F1031" s="77" t="n"/>
      <c r="G1031" s="75" t="n"/>
      <c r="H1031" s="75">
        <f>IF(ISBLANK(E1031),"",IF(OR(D1031="Butterfly",D1031="Butterfly ",D1031="Iron Fly", D1031="Iron Fly "),LEN(E1031)-LEN(SUBSTITUTE(E1031,"/",""))+2,LEN(E1031)-LEN(SUBSTITUTE(E1031,"/",""))+1))</f>
        <v/>
      </c>
      <c r="I1031" s="78">
        <f>IF(ISBLANK(G1031),"",IF(D1031="Stock","0",Key!$A$3*H1031*G1031))</f>
        <v/>
      </c>
      <c r="J1031" s="78">
        <f>IF(ISBLANK(E1031),"",IF(ISNUMBER(SEARCH("/",E1031)), IF(LEN(E1031)-LEN(SUBSTITUTE(E1031,"/",""))=1,(RIGHT(E1031,LEN(E1031)-FIND("/",E1031)))-(LEFT(E1031,FIND("/",E1031)-1)),(MID(E1031, SEARCH("/",E1031) + 1, SEARCH("/",E1031, SEARCH("/",E1031)+1) - SEARCH("/",E1031) - 1))-(LEFT(E1031,FIND("/",E1031)-1))), "NA"))</f>
        <v/>
      </c>
      <c r="K1031" s="79">
        <f>IF(A1031&lt;&gt;"", IF(ISBLANK(L1031), TODAY(), K1031), "")</f>
        <v/>
      </c>
      <c r="L1031" s="78" t="n"/>
      <c r="M1031" s="78">
        <f>IF(ISBLANK(L1031),"",IF(D1031="Stock",IF(C1031="Buy",L1031*G1031,IF(C1031="Sell",(L1031*G1031)-I1031, X)),IF(C1031="Buy",(L1031*G1031*100)+I1031,IF(C1031="Sell",(L1031*G1031*100)-I1031, X))))</f>
        <v/>
      </c>
      <c r="N1031" s="78">
        <f>IF(ISBLANK(L1031),"",IF(AND(C1031="Sell",D1031="Stock"),M1031,IF(ISBLANK(L1031),"",IF(C1031="Buy",M1031, IF(AND(C1031="Sell",J1031="NA"),(E1031*G1031*100*0.1)+I1031, IF(C1031="Sell",(J1031-L1031)*(100*G1031)+I1031))))))</f>
        <v/>
      </c>
      <c r="O1031" s="75" t="n"/>
      <c r="P1031" s="75" t="n"/>
      <c r="Q1031" s="75">
        <f>IF(ISBLANK(P1031),"",IF(D1031="Stock",P1031*G1031,IF(P1031=0,"0",G1031*P1031*100-(G1031*$AF$14))))</f>
        <v/>
      </c>
      <c r="R1031" s="79">
        <f>IF(P1031&lt;&gt;"", TODAY(), "")</f>
        <v/>
      </c>
      <c r="S1031" s="78">
        <f>IF(AND(K1031&lt;&gt;"", R1031&lt;&gt;""), R1031-K1031, "")</f>
        <v/>
      </c>
      <c r="T1031" s="78" t="n"/>
      <c r="U1031" s="92">
        <f>IF(ISBLANK(P1031),"",IF(C1031="Buy",Q1031-M1031+T1031, IF(C1031="Sell",M1031-Q1031-T1031, X)))</f>
        <v/>
      </c>
      <c r="V1031" s="81">
        <f>IF(ISBLANK(P1031),"",U1031/N1031)</f>
        <v/>
      </c>
      <c r="W1031" s="81">
        <f>IF(ISBLANK(P1031),"",IF(S1031=0,(365/0.5)*V1031,(365/S1031)*V1031))</f>
        <v/>
      </c>
      <c r="X1031" s="75" t="n"/>
      <c r="Y1031" s="77" t="n"/>
      <c r="Z1031" s="77" t="n"/>
      <c r="AA1031" s="75" t="n"/>
      <c r="AB1031" s="75" t="n"/>
      <c r="AC1031" s="6" t="n"/>
      <c r="AD1031" s="75" t="n"/>
      <c r="AE1031" s="75" t="n"/>
      <c r="AF1031" s="75" t="n"/>
    </row>
    <row r="1032" ht="15.75" customHeight="1" s="133">
      <c r="A1032" s="75" t="n"/>
      <c r="B1032" s="75" t="n"/>
      <c r="C1032" s="75" t="n"/>
      <c r="D1032" s="75" t="n"/>
      <c r="E1032" s="76" t="n"/>
      <c r="F1032" s="77" t="n"/>
      <c r="G1032" s="75" t="n"/>
      <c r="H1032" s="75">
        <f>IF(ISBLANK(E1032),"",IF(OR(D1032="Butterfly",D1032="Butterfly ",D1032="Iron Fly", D1032="Iron Fly "),LEN(E1032)-LEN(SUBSTITUTE(E1032,"/",""))+2,LEN(E1032)-LEN(SUBSTITUTE(E1032,"/",""))+1))</f>
        <v/>
      </c>
      <c r="I1032" s="78">
        <f>IF(ISBLANK(G1032),"",IF(D1032="Stock","0",Key!$A$3*H1032*G1032))</f>
        <v/>
      </c>
      <c r="J1032" s="78">
        <f>IF(ISBLANK(E1032),"",IF(ISNUMBER(SEARCH("/",E1032)), IF(LEN(E1032)-LEN(SUBSTITUTE(E1032,"/",""))=1,(RIGHT(E1032,LEN(E1032)-FIND("/",E1032)))-(LEFT(E1032,FIND("/",E1032)-1)),(MID(E1032, SEARCH("/",E1032) + 1, SEARCH("/",E1032, SEARCH("/",E1032)+1) - SEARCH("/",E1032) - 1))-(LEFT(E1032,FIND("/",E1032)-1))), "NA"))</f>
        <v/>
      </c>
      <c r="K1032" s="79">
        <f>IF(A1032&lt;&gt;"", IF(ISBLANK(L1032), TODAY(), K1032), "")</f>
        <v/>
      </c>
      <c r="L1032" s="78" t="n"/>
      <c r="M1032" s="78">
        <f>IF(ISBLANK(L1032),"",IF(D1032="Stock",IF(C1032="Buy",L1032*G1032,IF(C1032="Sell",(L1032*G1032)-I1032, X)),IF(C1032="Buy",(L1032*G1032*100)+I1032,IF(C1032="Sell",(L1032*G1032*100)-I1032, X))))</f>
        <v/>
      </c>
      <c r="N1032" s="78">
        <f>IF(ISBLANK(L1032),"",IF(AND(C1032="Sell",D1032="Stock"),M1032,IF(ISBLANK(L1032),"",IF(C1032="Buy",M1032, IF(AND(C1032="Sell",J1032="NA"),(E1032*G1032*100*0.1)+I1032, IF(C1032="Sell",(J1032-L1032)*(100*G1032)+I1032))))))</f>
        <v/>
      </c>
      <c r="O1032" s="75" t="n"/>
      <c r="P1032" s="75" t="n"/>
      <c r="Q1032" s="75">
        <f>IF(ISBLANK(P1032),"",IF(D1032="Stock",P1032*G1032,IF(P1032=0,"0",G1032*P1032*100-(G1032*$AF$14))))</f>
        <v/>
      </c>
      <c r="R1032" s="79">
        <f>IF(P1032&lt;&gt;"", TODAY(), "")</f>
        <v/>
      </c>
      <c r="S1032" s="78">
        <f>IF(AND(K1032&lt;&gt;"", R1032&lt;&gt;""), R1032-K1032, "")</f>
        <v/>
      </c>
      <c r="T1032" s="78" t="n"/>
      <c r="U1032" s="92">
        <f>IF(ISBLANK(P1032),"",IF(C1032="Buy",Q1032-M1032+T1032, IF(C1032="Sell",M1032-Q1032-T1032, X)))</f>
        <v/>
      </c>
      <c r="V1032" s="81">
        <f>IF(ISBLANK(P1032),"",U1032/N1032)</f>
        <v/>
      </c>
      <c r="W1032" s="81">
        <f>IF(ISBLANK(P1032),"",IF(S1032=0,(365/0.5)*V1032,(365/S1032)*V1032))</f>
        <v/>
      </c>
      <c r="X1032" s="75" t="n"/>
      <c r="Y1032" s="77" t="n"/>
      <c r="Z1032" s="77" t="n"/>
      <c r="AA1032" s="75" t="n"/>
      <c r="AB1032" s="75" t="n"/>
      <c r="AC1032" s="6" t="n"/>
      <c r="AD1032" s="75" t="n"/>
      <c r="AE1032" s="75" t="n"/>
      <c r="AF1032" s="75" t="n"/>
    </row>
    <row r="1033" ht="15.75" customHeight="1" s="133">
      <c r="A1033" s="75" t="n"/>
      <c r="B1033" s="75" t="n"/>
      <c r="C1033" s="75" t="n"/>
      <c r="D1033" s="75" t="n"/>
      <c r="E1033" s="76" t="n"/>
      <c r="F1033" s="77" t="n"/>
      <c r="G1033" s="75" t="n"/>
      <c r="H1033" s="75">
        <f>IF(ISBLANK(E1033),"",IF(OR(D1033="Butterfly",D1033="Butterfly ",D1033="Iron Fly", D1033="Iron Fly "),LEN(E1033)-LEN(SUBSTITUTE(E1033,"/",""))+2,LEN(E1033)-LEN(SUBSTITUTE(E1033,"/",""))+1))</f>
        <v/>
      </c>
      <c r="I1033" s="78">
        <f>IF(ISBLANK(G1033),"",IF(D1033="Stock","0",Key!$A$3*H1033*G1033))</f>
        <v/>
      </c>
      <c r="J1033" s="78">
        <f>IF(ISBLANK(E1033),"",IF(ISNUMBER(SEARCH("/",E1033)), IF(LEN(E1033)-LEN(SUBSTITUTE(E1033,"/",""))=1,(RIGHT(E1033,LEN(E1033)-FIND("/",E1033)))-(LEFT(E1033,FIND("/",E1033)-1)),(MID(E1033, SEARCH("/",E1033) + 1, SEARCH("/",E1033, SEARCH("/",E1033)+1) - SEARCH("/",E1033) - 1))-(LEFT(E1033,FIND("/",E1033)-1))), "NA"))</f>
        <v/>
      </c>
      <c r="K1033" s="79">
        <f>IF(A1033&lt;&gt;"", IF(ISBLANK(L1033), TODAY(), K1033), "")</f>
        <v/>
      </c>
      <c r="L1033" s="78" t="n"/>
      <c r="M1033" s="78">
        <f>IF(ISBLANK(L1033),"",IF(D1033="Stock",IF(C1033="Buy",L1033*G1033,IF(C1033="Sell",(L1033*G1033)-I1033, X)),IF(C1033="Buy",(L1033*G1033*100)+I1033,IF(C1033="Sell",(L1033*G1033*100)-I1033, X))))</f>
        <v/>
      </c>
      <c r="N1033" s="78">
        <f>IF(ISBLANK(L1033),"",IF(AND(C1033="Sell",D1033="Stock"),M1033,IF(ISBLANK(L1033),"",IF(C1033="Buy",M1033, IF(AND(C1033="Sell",J1033="NA"),(E1033*G1033*100*0.1)+I1033, IF(C1033="Sell",(J1033-L1033)*(100*G1033)+I1033))))))</f>
        <v/>
      </c>
      <c r="O1033" s="75" t="n"/>
      <c r="P1033" s="75" t="n"/>
      <c r="Q1033" s="75">
        <f>IF(ISBLANK(P1033),"",IF(D1033="Stock",P1033*G1033,IF(P1033=0,"0",G1033*P1033*100-(G1033*$AF$14))))</f>
        <v/>
      </c>
      <c r="R1033" s="79">
        <f>IF(P1033&lt;&gt;"", TODAY(), "")</f>
        <v/>
      </c>
      <c r="S1033" s="78">
        <f>IF(AND(K1033&lt;&gt;"", R1033&lt;&gt;""), R1033-K1033, "")</f>
        <v/>
      </c>
      <c r="T1033" s="78" t="n"/>
      <c r="U1033" s="92">
        <f>IF(ISBLANK(P1033),"",IF(C1033="Buy",Q1033-M1033+T1033, IF(C1033="Sell",M1033-Q1033-T1033, X)))</f>
        <v/>
      </c>
      <c r="V1033" s="81">
        <f>IF(ISBLANK(P1033),"",U1033/N1033)</f>
        <v/>
      </c>
      <c r="W1033" s="81">
        <f>IF(ISBLANK(P1033),"",IF(S1033=0,(365/0.5)*V1033,(365/S1033)*V1033))</f>
        <v/>
      </c>
      <c r="X1033" s="75" t="n"/>
      <c r="Y1033" s="77" t="n"/>
      <c r="Z1033" s="77" t="n"/>
      <c r="AA1033" s="75" t="n"/>
      <c r="AB1033" s="75" t="n"/>
      <c r="AC1033" s="6" t="n"/>
      <c r="AD1033" s="75" t="n"/>
      <c r="AE1033" s="75" t="n"/>
      <c r="AF1033" s="75" t="n"/>
    </row>
    <row r="1034" ht="15.75" customHeight="1" s="133">
      <c r="A1034" s="75" t="n"/>
      <c r="B1034" s="75" t="n"/>
      <c r="C1034" s="75" t="n"/>
      <c r="D1034" s="75" t="n"/>
      <c r="E1034" s="76" t="n"/>
      <c r="F1034" s="77" t="n"/>
      <c r="G1034" s="75" t="n"/>
      <c r="H1034" s="75">
        <f>IF(ISBLANK(E1034),"",IF(OR(D1034="Butterfly",D1034="Butterfly ",D1034="Iron Fly", D1034="Iron Fly "),LEN(E1034)-LEN(SUBSTITUTE(E1034,"/",""))+2,LEN(E1034)-LEN(SUBSTITUTE(E1034,"/",""))+1))</f>
        <v/>
      </c>
      <c r="I1034" s="78">
        <f>IF(ISBLANK(G1034),"",IF(D1034="Stock","0",Key!$A$3*H1034*G1034))</f>
        <v/>
      </c>
      <c r="J1034" s="78">
        <f>IF(ISBLANK(E1034),"",IF(ISNUMBER(SEARCH("/",E1034)), IF(LEN(E1034)-LEN(SUBSTITUTE(E1034,"/",""))=1,(RIGHT(E1034,LEN(E1034)-FIND("/",E1034)))-(LEFT(E1034,FIND("/",E1034)-1)),(MID(E1034, SEARCH("/",E1034) + 1, SEARCH("/",E1034, SEARCH("/",E1034)+1) - SEARCH("/",E1034) - 1))-(LEFT(E1034,FIND("/",E1034)-1))), "NA"))</f>
        <v/>
      </c>
      <c r="K1034" s="79">
        <f>IF(A1034&lt;&gt;"", IF(ISBLANK(L1034), TODAY(), K1034), "")</f>
        <v/>
      </c>
      <c r="L1034" s="78" t="n"/>
      <c r="M1034" s="78">
        <f>IF(ISBLANK(L1034),"",IF(D1034="Stock",IF(C1034="Buy",L1034*G1034,IF(C1034="Sell",(L1034*G1034)-I1034, X)),IF(C1034="Buy",(L1034*G1034*100)+I1034,IF(C1034="Sell",(L1034*G1034*100)-I1034, X))))</f>
        <v/>
      </c>
      <c r="N1034" s="78">
        <f>IF(ISBLANK(L1034),"",IF(AND(C1034="Sell",D1034="Stock"),M1034,IF(ISBLANK(L1034),"",IF(C1034="Buy",M1034, IF(AND(C1034="Sell",J1034="NA"),(E1034*G1034*100*0.1)+I1034, IF(C1034="Sell",(J1034-L1034)*(100*G1034)+I1034))))))</f>
        <v/>
      </c>
      <c r="O1034" s="75" t="n"/>
      <c r="P1034" s="75" t="n"/>
      <c r="Q1034" s="75">
        <f>IF(ISBLANK(P1034),"",IF(D1034="Stock",P1034*G1034,IF(P1034=0,"0",G1034*P1034*100-(G1034*$AF$14))))</f>
        <v/>
      </c>
      <c r="R1034" s="79">
        <f>IF(P1034&lt;&gt;"", TODAY(), "")</f>
        <v/>
      </c>
      <c r="S1034" s="78">
        <f>IF(AND(K1034&lt;&gt;"", R1034&lt;&gt;""), R1034-K1034, "")</f>
        <v/>
      </c>
      <c r="T1034" s="78" t="n"/>
      <c r="U1034" s="92">
        <f>IF(ISBLANK(P1034),"",IF(C1034="Buy",Q1034-M1034+T1034, IF(C1034="Sell",M1034-Q1034-T1034, X)))</f>
        <v/>
      </c>
      <c r="V1034" s="81">
        <f>IF(ISBLANK(P1034),"",U1034/N1034)</f>
        <v/>
      </c>
      <c r="W1034" s="81">
        <f>IF(ISBLANK(P1034),"",IF(S1034=0,(365/0.5)*V1034,(365/S1034)*V1034))</f>
        <v/>
      </c>
      <c r="X1034" s="75" t="n"/>
      <c r="Y1034" s="77" t="n"/>
      <c r="Z1034" s="77" t="n"/>
      <c r="AA1034" s="75" t="n"/>
      <c r="AB1034" s="75" t="n"/>
      <c r="AC1034" s="6" t="n"/>
      <c r="AD1034" s="75" t="n"/>
      <c r="AE1034" s="75" t="n"/>
      <c r="AF1034" s="75" t="n"/>
    </row>
    <row r="1035" ht="15.75" customHeight="1" s="133">
      <c r="A1035" s="75" t="n"/>
      <c r="B1035" s="75" t="n"/>
      <c r="C1035" s="75" t="n"/>
      <c r="D1035" s="75" t="n"/>
      <c r="E1035" s="76" t="n"/>
      <c r="F1035" s="77" t="n"/>
      <c r="G1035" s="75" t="n"/>
      <c r="H1035" s="75">
        <f>IF(ISBLANK(E1035),"",IF(OR(D1035="Butterfly",D1035="Butterfly ",D1035="Iron Fly", D1035="Iron Fly "),LEN(E1035)-LEN(SUBSTITUTE(E1035,"/",""))+2,LEN(E1035)-LEN(SUBSTITUTE(E1035,"/",""))+1))</f>
        <v/>
      </c>
      <c r="I1035" s="78">
        <f>IF(ISBLANK(G1035),"",IF(D1035="Stock","0",Key!$A$3*H1035*G1035))</f>
        <v/>
      </c>
      <c r="J1035" s="78">
        <f>IF(ISBLANK(E1035),"",IF(ISNUMBER(SEARCH("/",E1035)), IF(LEN(E1035)-LEN(SUBSTITUTE(E1035,"/",""))=1,(RIGHT(E1035,LEN(E1035)-FIND("/",E1035)))-(LEFT(E1035,FIND("/",E1035)-1)),(MID(E1035, SEARCH("/",E1035) + 1, SEARCH("/",E1035, SEARCH("/",E1035)+1) - SEARCH("/",E1035) - 1))-(LEFT(E1035,FIND("/",E1035)-1))), "NA"))</f>
        <v/>
      </c>
      <c r="K1035" s="79">
        <f>IF(A1035&lt;&gt;"", IF(ISBLANK(L1035), TODAY(), K1035), "")</f>
        <v/>
      </c>
      <c r="L1035" s="78" t="n"/>
      <c r="M1035" s="78">
        <f>IF(ISBLANK(L1035),"",IF(D1035="Stock",IF(C1035="Buy",L1035*G1035,IF(C1035="Sell",(L1035*G1035)-I1035, X)),IF(C1035="Buy",(L1035*G1035*100)+I1035,IF(C1035="Sell",(L1035*G1035*100)-I1035, X))))</f>
        <v/>
      </c>
      <c r="N1035" s="78">
        <f>IF(ISBLANK(L1035),"",IF(AND(C1035="Sell",D1035="Stock"),M1035,IF(ISBLANK(L1035),"",IF(C1035="Buy",M1035, IF(AND(C1035="Sell",J1035="NA"),(E1035*G1035*100*0.1)+I1035, IF(C1035="Sell",(J1035-L1035)*(100*G1035)+I1035))))))</f>
        <v/>
      </c>
      <c r="O1035" s="75" t="n"/>
      <c r="P1035" s="75" t="n"/>
      <c r="Q1035" s="75">
        <f>IF(ISBLANK(P1035),"",IF(D1035="Stock",P1035*G1035,IF(P1035=0,"0",G1035*P1035*100-(G1035*$AF$14))))</f>
        <v/>
      </c>
      <c r="R1035" s="79">
        <f>IF(P1035&lt;&gt;"", TODAY(), "")</f>
        <v/>
      </c>
      <c r="S1035" s="78">
        <f>IF(AND(K1035&lt;&gt;"", R1035&lt;&gt;""), R1035-K1035, "")</f>
        <v/>
      </c>
      <c r="T1035" s="78" t="n"/>
      <c r="U1035" s="92">
        <f>IF(ISBLANK(P1035),"",IF(C1035="Buy",Q1035-M1035+T1035, IF(C1035="Sell",M1035-Q1035-T1035, X)))</f>
        <v/>
      </c>
      <c r="V1035" s="81">
        <f>IF(ISBLANK(P1035),"",U1035/N1035)</f>
        <v/>
      </c>
      <c r="W1035" s="81">
        <f>IF(ISBLANK(P1035),"",IF(S1035=0,(365/0.5)*V1035,(365/S1035)*V1035))</f>
        <v/>
      </c>
      <c r="X1035" s="75" t="n"/>
      <c r="Y1035" s="77" t="n"/>
      <c r="Z1035" s="77" t="n"/>
      <c r="AA1035" s="75" t="n"/>
      <c r="AB1035" s="75" t="n"/>
      <c r="AC1035" s="6" t="n"/>
      <c r="AD1035" s="75" t="n"/>
      <c r="AE1035" s="75" t="n"/>
      <c r="AF1035" s="75" t="n"/>
    </row>
    <row r="1036" ht="15.75" customHeight="1" s="133">
      <c r="A1036" s="75" t="n"/>
      <c r="B1036" s="75" t="n"/>
      <c r="C1036" s="75" t="n"/>
      <c r="D1036" s="75" t="n"/>
      <c r="E1036" s="76" t="n"/>
      <c r="F1036" s="77" t="n"/>
      <c r="G1036" s="75" t="n"/>
      <c r="H1036" s="75">
        <f>IF(ISBLANK(E1036),"",IF(OR(D1036="Butterfly",D1036="Butterfly ",D1036="Iron Fly", D1036="Iron Fly "),LEN(E1036)-LEN(SUBSTITUTE(E1036,"/",""))+2,LEN(E1036)-LEN(SUBSTITUTE(E1036,"/",""))+1))</f>
        <v/>
      </c>
      <c r="I1036" s="78">
        <f>IF(ISBLANK(G1036),"",IF(D1036="Stock","0",Key!$A$3*H1036*G1036))</f>
        <v/>
      </c>
      <c r="J1036" s="78">
        <f>IF(ISBLANK(E1036),"",IF(ISNUMBER(SEARCH("/",E1036)), IF(LEN(E1036)-LEN(SUBSTITUTE(E1036,"/",""))=1,(RIGHT(E1036,LEN(E1036)-FIND("/",E1036)))-(LEFT(E1036,FIND("/",E1036)-1)),(MID(E1036, SEARCH("/",E1036) + 1, SEARCH("/",E1036, SEARCH("/",E1036)+1) - SEARCH("/",E1036) - 1))-(LEFT(E1036,FIND("/",E1036)-1))), "NA"))</f>
        <v/>
      </c>
      <c r="K1036" s="79">
        <f>IF(A1036&lt;&gt;"", IF(ISBLANK(L1036), TODAY(), K1036), "")</f>
        <v/>
      </c>
      <c r="L1036" s="78" t="n"/>
      <c r="M1036" s="78">
        <f>IF(ISBLANK(L1036),"",IF(D1036="Stock",IF(C1036="Buy",L1036*G1036,IF(C1036="Sell",(L1036*G1036)-I1036, X)),IF(C1036="Buy",(L1036*G1036*100)+I1036,IF(C1036="Sell",(L1036*G1036*100)-I1036, X))))</f>
        <v/>
      </c>
      <c r="N1036" s="78">
        <f>IF(ISBLANK(L1036),"",IF(AND(C1036="Sell",D1036="Stock"),M1036,IF(ISBLANK(L1036),"",IF(C1036="Buy",M1036, IF(AND(C1036="Sell",J1036="NA"),(E1036*G1036*100*0.1)+I1036, IF(C1036="Sell",(J1036-L1036)*(100*G1036)+I1036))))))</f>
        <v/>
      </c>
      <c r="O1036" s="75" t="n"/>
      <c r="P1036" s="75" t="n"/>
      <c r="Q1036" s="75">
        <f>IF(ISBLANK(P1036),"",IF(D1036="Stock",P1036*G1036,IF(P1036=0,"0",G1036*P1036*100-(G1036*$AF$14))))</f>
        <v/>
      </c>
      <c r="R1036" s="79">
        <f>IF(P1036&lt;&gt;"", TODAY(), "")</f>
        <v/>
      </c>
      <c r="S1036" s="78">
        <f>IF(AND(K1036&lt;&gt;"", R1036&lt;&gt;""), R1036-K1036, "")</f>
        <v/>
      </c>
      <c r="T1036" s="78" t="n"/>
      <c r="U1036" s="92">
        <f>IF(ISBLANK(P1036),"",IF(C1036="Buy",Q1036-M1036+T1036, IF(C1036="Sell",M1036-Q1036-T1036, X)))</f>
        <v/>
      </c>
      <c r="V1036" s="81">
        <f>IF(ISBLANK(P1036),"",U1036/N1036)</f>
        <v/>
      </c>
      <c r="W1036" s="81">
        <f>IF(ISBLANK(P1036),"",IF(S1036=0,(365/0.5)*V1036,(365/S1036)*V1036))</f>
        <v/>
      </c>
      <c r="X1036" s="75" t="n"/>
      <c r="Y1036" s="77" t="n"/>
      <c r="Z1036" s="77" t="n"/>
      <c r="AA1036" s="75" t="n"/>
      <c r="AB1036" s="75" t="n"/>
      <c r="AC1036" s="6" t="n"/>
      <c r="AD1036" s="75" t="n"/>
      <c r="AE1036" s="75" t="n"/>
      <c r="AF1036" s="75" t="n"/>
    </row>
    <row r="1037" ht="15.75" customHeight="1" s="133">
      <c r="A1037" s="75" t="n"/>
      <c r="B1037" s="75" t="n"/>
      <c r="C1037" s="75" t="n"/>
      <c r="D1037" s="75" t="n"/>
      <c r="E1037" s="76" t="n"/>
      <c r="F1037" s="77" t="n"/>
      <c r="G1037" s="75" t="n"/>
      <c r="H1037" s="75">
        <f>IF(ISBLANK(E1037),"",IF(OR(D1037="Butterfly",D1037="Butterfly ",D1037="Iron Fly", D1037="Iron Fly "),LEN(E1037)-LEN(SUBSTITUTE(E1037,"/",""))+2,LEN(E1037)-LEN(SUBSTITUTE(E1037,"/",""))+1))</f>
        <v/>
      </c>
      <c r="I1037" s="78">
        <f>IF(ISBLANK(G1037),"",IF(D1037="Stock","0",Key!$A$3*H1037*G1037))</f>
        <v/>
      </c>
      <c r="J1037" s="78">
        <f>IF(ISBLANK(E1037),"",IF(ISNUMBER(SEARCH("/",E1037)), IF(LEN(E1037)-LEN(SUBSTITUTE(E1037,"/",""))=1,(RIGHT(E1037,LEN(E1037)-FIND("/",E1037)))-(LEFT(E1037,FIND("/",E1037)-1)),(MID(E1037, SEARCH("/",E1037) + 1, SEARCH("/",E1037, SEARCH("/",E1037)+1) - SEARCH("/",E1037) - 1))-(LEFT(E1037,FIND("/",E1037)-1))), "NA"))</f>
        <v/>
      </c>
      <c r="K1037" s="79">
        <f>IF(A1037&lt;&gt;"", IF(ISBLANK(L1037), TODAY(), K1037), "")</f>
        <v/>
      </c>
      <c r="L1037" s="78" t="n"/>
      <c r="M1037" s="78">
        <f>IF(ISBLANK(L1037),"",IF(D1037="Stock",IF(C1037="Buy",L1037*G1037,IF(C1037="Sell",(L1037*G1037)-I1037, X)),IF(C1037="Buy",(L1037*G1037*100)+I1037,IF(C1037="Sell",(L1037*G1037*100)-I1037, X))))</f>
        <v/>
      </c>
      <c r="N1037" s="78">
        <f>IF(ISBLANK(L1037),"",IF(AND(C1037="Sell",D1037="Stock"),M1037,IF(ISBLANK(L1037),"",IF(C1037="Buy",M1037, IF(AND(C1037="Sell",J1037="NA"),(E1037*G1037*100*0.1)+I1037, IF(C1037="Sell",(J1037-L1037)*(100*G1037)+I1037))))))</f>
        <v/>
      </c>
      <c r="O1037" s="75" t="n"/>
      <c r="P1037" s="75" t="n"/>
      <c r="Q1037" s="75">
        <f>IF(ISBLANK(P1037),"",IF(D1037="Stock",P1037*G1037,IF(P1037=0,"0",G1037*P1037*100-(G1037*$AF$14))))</f>
        <v/>
      </c>
      <c r="R1037" s="79">
        <f>IF(P1037&lt;&gt;"", TODAY(), "")</f>
        <v/>
      </c>
      <c r="S1037" s="78">
        <f>IF(AND(K1037&lt;&gt;"", R1037&lt;&gt;""), R1037-K1037, "")</f>
        <v/>
      </c>
      <c r="T1037" s="78" t="n"/>
      <c r="U1037" s="92">
        <f>IF(ISBLANK(P1037),"",IF(C1037="Buy",Q1037-M1037+T1037, IF(C1037="Sell",M1037-Q1037-T1037, X)))</f>
        <v/>
      </c>
      <c r="V1037" s="81">
        <f>IF(ISBLANK(P1037),"",U1037/N1037)</f>
        <v/>
      </c>
      <c r="W1037" s="81">
        <f>IF(ISBLANK(P1037),"",IF(S1037=0,(365/0.5)*V1037,(365/S1037)*V1037))</f>
        <v/>
      </c>
      <c r="X1037" s="75" t="n"/>
      <c r="Y1037" s="77" t="n"/>
      <c r="Z1037" s="77" t="n"/>
      <c r="AA1037" s="75" t="n"/>
      <c r="AB1037" s="75" t="n"/>
      <c r="AC1037" s="6" t="n"/>
      <c r="AD1037" s="75" t="n"/>
      <c r="AE1037" s="75" t="n"/>
      <c r="AF1037" s="75" t="n"/>
    </row>
    <row r="1038" ht="15.75" customHeight="1" s="133">
      <c r="A1038" s="75" t="n"/>
      <c r="B1038" s="75" t="n"/>
      <c r="C1038" s="75" t="n"/>
      <c r="D1038" s="75" t="n"/>
      <c r="E1038" s="76" t="n"/>
      <c r="F1038" s="77" t="n"/>
      <c r="G1038" s="75" t="n"/>
      <c r="H1038" s="75">
        <f>IF(ISBLANK(E1038),"",IF(OR(D1038="Butterfly",D1038="Butterfly ",D1038="Iron Fly", D1038="Iron Fly "),LEN(E1038)-LEN(SUBSTITUTE(E1038,"/",""))+2,LEN(E1038)-LEN(SUBSTITUTE(E1038,"/",""))+1))</f>
        <v/>
      </c>
      <c r="I1038" s="78">
        <f>IF(ISBLANK(G1038),"",IF(D1038="Stock","0",Key!$A$3*H1038*G1038))</f>
        <v/>
      </c>
      <c r="J1038" s="78">
        <f>IF(ISBLANK(E1038),"",IF(ISNUMBER(SEARCH("/",E1038)), IF(LEN(E1038)-LEN(SUBSTITUTE(E1038,"/",""))=1,(RIGHT(E1038,LEN(E1038)-FIND("/",E1038)))-(LEFT(E1038,FIND("/",E1038)-1)),(MID(E1038, SEARCH("/",E1038) + 1, SEARCH("/",E1038, SEARCH("/",E1038)+1) - SEARCH("/",E1038) - 1))-(LEFT(E1038,FIND("/",E1038)-1))), "NA"))</f>
        <v/>
      </c>
      <c r="K1038" s="79">
        <f>IF(A1038&lt;&gt;"", IF(ISBLANK(L1038), TODAY(), K1038), "")</f>
        <v/>
      </c>
      <c r="L1038" s="78" t="n"/>
      <c r="M1038" s="78">
        <f>IF(ISBLANK(L1038),"",IF(D1038="Stock",IF(C1038="Buy",L1038*G1038,IF(C1038="Sell",(L1038*G1038)-I1038, X)),IF(C1038="Buy",(L1038*G1038*100)+I1038,IF(C1038="Sell",(L1038*G1038*100)-I1038, X))))</f>
        <v/>
      </c>
      <c r="N1038" s="78">
        <f>IF(ISBLANK(L1038),"",IF(AND(C1038="Sell",D1038="Stock"),M1038,IF(ISBLANK(L1038),"",IF(C1038="Buy",M1038, IF(AND(C1038="Sell",J1038="NA"),(E1038*G1038*100*0.1)+I1038, IF(C1038="Sell",(J1038-L1038)*(100*G1038)+I1038))))))</f>
        <v/>
      </c>
      <c r="O1038" s="75" t="n"/>
      <c r="P1038" s="75" t="n"/>
      <c r="Q1038" s="75">
        <f>IF(ISBLANK(P1038),"",IF(D1038="Stock",P1038*G1038,IF(P1038=0,"0",G1038*P1038*100-(G1038*$AF$14))))</f>
        <v/>
      </c>
      <c r="R1038" s="79">
        <f>IF(P1038&lt;&gt;"", TODAY(), "")</f>
        <v/>
      </c>
      <c r="S1038" s="78">
        <f>IF(AND(K1038&lt;&gt;"", R1038&lt;&gt;""), R1038-K1038, "")</f>
        <v/>
      </c>
      <c r="T1038" s="78" t="n"/>
      <c r="U1038" s="92">
        <f>IF(ISBLANK(P1038),"",IF(C1038="Buy",Q1038-M1038+T1038, IF(C1038="Sell",M1038-Q1038-T1038, X)))</f>
        <v/>
      </c>
      <c r="V1038" s="81">
        <f>IF(ISBLANK(P1038),"",U1038/N1038)</f>
        <v/>
      </c>
      <c r="W1038" s="81">
        <f>IF(ISBLANK(P1038),"",IF(S1038=0,(365/0.5)*V1038,(365/S1038)*V1038))</f>
        <v/>
      </c>
      <c r="X1038" s="75" t="n"/>
      <c r="Y1038" s="77" t="n"/>
      <c r="Z1038" s="77" t="n"/>
      <c r="AA1038" s="75" t="n"/>
      <c r="AB1038" s="75" t="n"/>
      <c r="AC1038" s="6" t="n"/>
      <c r="AD1038" s="75" t="n"/>
      <c r="AE1038" s="75" t="n"/>
      <c r="AF1038" s="75" t="n"/>
    </row>
    <row r="1039" ht="15.75" customHeight="1" s="133">
      <c r="A1039" s="75" t="n"/>
      <c r="B1039" s="75" t="n"/>
      <c r="C1039" s="75" t="n"/>
      <c r="D1039" s="75" t="n"/>
      <c r="E1039" s="76" t="n"/>
      <c r="F1039" s="77" t="n"/>
      <c r="G1039" s="75" t="n"/>
      <c r="H1039" s="75">
        <f>IF(ISBLANK(E1039),"",IF(OR(D1039="Butterfly",D1039="Butterfly ",D1039="Iron Fly", D1039="Iron Fly "),LEN(E1039)-LEN(SUBSTITUTE(E1039,"/",""))+2,LEN(E1039)-LEN(SUBSTITUTE(E1039,"/",""))+1))</f>
        <v/>
      </c>
      <c r="I1039" s="78">
        <f>IF(ISBLANK(G1039),"",IF(D1039="Stock","0",Key!$A$3*H1039*G1039))</f>
        <v/>
      </c>
      <c r="J1039" s="78">
        <f>IF(ISBLANK(E1039),"",IF(ISNUMBER(SEARCH("/",E1039)), IF(LEN(E1039)-LEN(SUBSTITUTE(E1039,"/",""))=1,(RIGHT(E1039,LEN(E1039)-FIND("/",E1039)))-(LEFT(E1039,FIND("/",E1039)-1)),(MID(E1039, SEARCH("/",E1039) + 1, SEARCH("/",E1039, SEARCH("/",E1039)+1) - SEARCH("/",E1039) - 1))-(LEFT(E1039,FIND("/",E1039)-1))), "NA"))</f>
        <v/>
      </c>
      <c r="K1039" s="79">
        <f>IF(A1039&lt;&gt;"", IF(ISBLANK(L1039), TODAY(), K1039), "")</f>
        <v/>
      </c>
      <c r="L1039" s="78" t="n"/>
      <c r="M1039" s="78">
        <f>IF(ISBLANK(L1039),"",IF(D1039="Stock",IF(C1039="Buy",L1039*G1039,IF(C1039="Sell",(L1039*G1039)-I1039, X)),IF(C1039="Buy",(L1039*G1039*100)+I1039,IF(C1039="Sell",(L1039*G1039*100)-I1039, X))))</f>
        <v/>
      </c>
      <c r="N1039" s="78">
        <f>IF(ISBLANK(L1039),"",IF(AND(C1039="Sell",D1039="Stock"),M1039,IF(ISBLANK(L1039),"",IF(C1039="Buy",M1039, IF(AND(C1039="Sell",J1039="NA"),(E1039*G1039*100*0.1)+I1039, IF(C1039="Sell",(J1039-L1039)*(100*G1039)+I1039))))))</f>
        <v/>
      </c>
      <c r="O1039" s="75" t="n"/>
      <c r="P1039" s="75" t="n"/>
      <c r="Q1039" s="75">
        <f>IF(ISBLANK(P1039),"",IF(D1039="Stock",P1039*G1039,IF(P1039=0,"0",G1039*P1039*100-(G1039*$AF$14))))</f>
        <v/>
      </c>
      <c r="R1039" s="79">
        <f>IF(P1039&lt;&gt;"", TODAY(), "")</f>
        <v/>
      </c>
      <c r="S1039" s="78">
        <f>IF(AND(K1039&lt;&gt;"", R1039&lt;&gt;""), R1039-K1039, "")</f>
        <v/>
      </c>
      <c r="T1039" s="78" t="n"/>
      <c r="U1039" s="92">
        <f>IF(ISBLANK(P1039),"",IF(C1039="Buy",Q1039-M1039+T1039, IF(C1039="Sell",M1039-Q1039-T1039, X)))</f>
        <v/>
      </c>
      <c r="V1039" s="81">
        <f>IF(ISBLANK(P1039),"",U1039/N1039)</f>
        <v/>
      </c>
      <c r="W1039" s="81">
        <f>IF(ISBLANK(P1039),"",IF(S1039=0,(365/0.5)*V1039,(365/S1039)*V1039))</f>
        <v/>
      </c>
      <c r="X1039" s="75" t="n"/>
      <c r="Y1039" s="77" t="n"/>
      <c r="Z1039" s="77" t="n"/>
      <c r="AA1039" s="75" t="n"/>
      <c r="AB1039" s="75" t="n"/>
      <c r="AC1039" s="6" t="n"/>
      <c r="AD1039" s="75" t="n"/>
      <c r="AE1039" s="75" t="n"/>
      <c r="AF1039" s="75" t="n"/>
    </row>
    <row r="1040" ht="15.75" customHeight="1" s="133">
      <c r="A1040" s="75" t="n"/>
      <c r="B1040" s="75" t="n"/>
      <c r="C1040" s="75" t="n"/>
      <c r="D1040" s="75" t="n"/>
      <c r="E1040" s="76" t="n"/>
      <c r="F1040" s="77" t="n"/>
      <c r="G1040" s="75" t="n"/>
      <c r="H1040" s="75">
        <f>IF(ISBLANK(E1040),"",IF(OR(D1040="Butterfly",D1040="Butterfly ",D1040="Iron Fly", D1040="Iron Fly "),LEN(E1040)-LEN(SUBSTITUTE(E1040,"/",""))+2,LEN(E1040)-LEN(SUBSTITUTE(E1040,"/",""))+1))</f>
        <v/>
      </c>
      <c r="I1040" s="78">
        <f>IF(ISBLANK(G1040),"",IF(D1040="Stock","0",Key!$A$3*H1040*G1040))</f>
        <v/>
      </c>
      <c r="J1040" s="78">
        <f>IF(ISBLANK(E1040),"",IF(ISNUMBER(SEARCH("/",E1040)), IF(LEN(E1040)-LEN(SUBSTITUTE(E1040,"/",""))=1,(RIGHT(E1040,LEN(E1040)-FIND("/",E1040)))-(LEFT(E1040,FIND("/",E1040)-1)),(MID(E1040, SEARCH("/",E1040) + 1, SEARCH("/",E1040, SEARCH("/",E1040)+1) - SEARCH("/",E1040) - 1))-(LEFT(E1040,FIND("/",E1040)-1))), "NA"))</f>
        <v/>
      </c>
      <c r="K1040" s="79">
        <f>IF(A1040&lt;&gt;"", IF(ISBLANK(L1040), TODAY(), K1040), "")</f>
        <v/>
      </c>
      <c r="L1040" s="78" t="n"/>
      <c r="M1040" s="78">
        <f>IF(ISBLANK(L1040),"",IF(D1040="Stock",IF(C1040="Buy",L1040*G1040,IF(C1040="Sell",(L1040*G1040)-I1040, X)),IF(C1040="Buy",(L1040*G1040*100)+I1040,IF(C1040="Sell",(L1040*G1040*100)-I1040, X))))</f>
        <v/>
      </c>
      <c r="N1040" s="78">
        <f>IF(ISBLANK(L1040),"",IF(AND(C1040="Sell",D1040="Stock"),M1040,IF(ISBLANK(L1040),"",IF(C1040="Buy",M1040, IF(AND(C1040="Sell",J1040="NA"),(E1040*G1040*100*0.1)+I1040, IF(C1040="Sell",(J1040-L1040)*(100*G1040)+I1040))))))</f>
        <v/>
      </c>
      <c r="O1040" s="75" t="n"/>
      <c r="P1040" s="75" t="n"/>
      <c r="Q1040" s="75">
        <f>IF(ISBLANK(P1040),"",IF(D1040="Stock",P1040*G1040,IF(P1040=0,"0",G1040*P1040*100-(G1040*$AF$14))))</f>
        <v/>
      </c>
      <c r="R1040" s="79">
        <f>IF(P1040&lt;&gt;"", TODAY(), "")</f>
        <v/>
      </c>
      <c r="S1040" s="78">
        <f>IF(AND(K1040&lt;&gt;"", R1040&lt;&gt;""), R1040-K1040, "")</f>
        <v/>
      </c>
      <c r="T1040" s="78" t="n"/>
      <c r="U1040" s="92">
        <f>IF(ISBLANK(P1040),"",IF(C1040="Buy",Q1040-M1040+T1040, IF(C1040="Sell",M1040-Q1040-T1040, X)))</f>
        <v/>
      </c>
      <c r="V1040" s="81">
        <f>IF(ISBLANK(P1040),"",U1040/N1040)</f>
        <v/>
      </c>
      <c r="W1040" s="81">
        <f>IF(ISBLANK(P1040),"",IF(S1040=0,(365/0.5)*V1040,(365/S1040)*V1040))</f>
        <v/>
      </c>
      <c r="X1040" s="75" t="n"/>
      <c r="Y1040" s="77" t="n"/>
      <c r="Z1040" s="77" t="n"/>
      <c r="AA1040" s="75" t="n"/>
      <c r="AB1040" s="75" t="n"/>
      <c r="AC1040" s="6" t="n"/>
      <c r="AD1040" s="75" t="n"/>
      <c r="AE1040" s="75" t="n"/>
      <c r="AF1040" s="75" t="n"/>
    </row>
    <row r="1041" ht="15.75" customHeight="1" s="133">
      <c r="A1041" s="75" t="n"/>
      <c r="B1041" s="75" t="n"/>
      <c r="C1041" s="75" t="n"/>
      <c r="D1041" s="75" t="n"/>
      <c r="E1041" s="76" t="n"/>
      <c r="F1041" s="77" t="n"/>
      <c r="G1041" s="75" t="n"/>
      <c r="H1041" s="75">
        <f>IF(ISBLANK(E1041),"",IF(OR(D1041="Butterfly",D1041="Butterfly ",D1041="Iron Fly", D1041="Iron Fly "),LEN(E1041)-LEN(SUBSTITUTE(E1041,"/",""))+2,LEN(E1041)-LEN(SUBSTITUTE(E1041,"/",""))+1))</f>
        <v/>
      </c>
      <c r="I1041" s="78">
        <f>IF(ISBLANK(G1041),"",IF(D1041="Stock","0",Key!$A$3*H1041*G1041))</f>
        <v/>
      </c>
      <c r="J1041" s="78">
        <f>IF(ISBLANK(E1041),"",IF(ISNUMBER(SEARCH("/",E1041)), IF(LEN(E1041)-LEN(SUBSTITUTE(E1041,"/",""))=1,(RIGHT(E1041,LEN(E1041)-FIND("/",E1041)))-(LEFT(E1041,FIND("/",E1041)-1)),(MID(E1041, SEARCH("/",E1041) + 1, SEARCH("/",E1041, SEARCH("/",E1041)+1) - SEARCH("/",E1041) - 1))-(LEFT(E1041,FIND("/",E1041)-1))), "NA"))</f>
        <v/>
      </c>
      <c r="K1041" s="79">
        <f>IF(A1041&lt;&gt;"", IF(ISBLANK(L1041), TODAY(), K1041), "")</f>
        <v/>
      </c>
      <c r="L1041" s="78" t="n"/>
      <c r="M1041" s="78">
        <f>IF(ISBLANK(L1041),"",IF(D1041="Stock",IF(C1041="Buy",L1041*G1041,IF(C1041="Sell",(L1041*G1041)-I1041, X)),IF(C1041="Buy",(L1041*G1041*100)+I1041,IF(C1041="Sell",(L1041*G1041*100)-I1041, X))))</f>
        <v/>
      </c>
      <c r="N1041" s="78">
        <f>IF(ISBLANK(L1041),"",IF(AND(C1041="Sell",D1041="Stock"),M1041,IF(ISBLANK(L1041),"",IF(C1041="Buy",M1041, IF(AND(C1041="Sell",J1041="NA"),(E1041*G1041*100*0.1)+I1041, IF(C1041="Sell",(J1041-L1041)*(100*G1041)+I1041))))))</f>
        <v/>
      </c>
      <c r="O1041" s="75" t="n"/>
      <c r="P1041" s="75" t="n"/>
      <c r="Q1041" s="75">
        <f>IF(ISBLANK(P1041),"",IF(D1041="Stock",P1041*G1041,IF(P1041=0,"0",G1041*P1041*100-(G1041*$AF$14))))</f>
        <v/>
      </c>
      <c r="R1041" s="79">
        <f>IF(P1041&lt;&gt;"", TODAY(), "")</f>
        <v/>
      </c>
      <c r="S1041" s="78">
        <f>IF(AND(K1041&lt;&gt;"", R1041&lt;&gt;""), R1041-K1041, "")</f>
        <v/>
      </c>
      <c r="T1041" s="78" t="n"/>
      <c r="U1041" s="92">
        <f>IF(ISBLANK(P1041),"",IF(C1041="Buy",Q1041-M1041+T1041, IF(C1041="Sell",M1041-Q1041-T1041, X)))</f>
        <v/>
      </c>
      <c r="V1041" s="81">
        <f>IF(ISBLANK(P1041),"",U1041/N1041)</f>
        <v/>
      </c>
      <c r="W1041" s="81">
        <f>IF(ISBLANK(P1041),"",IF(S1041=0,(365/0.5)*V1041,(365/S1041)*V1041))</f>
        <v/>
      </c>
      <c r="X1041" s="75" t="n"/>
      <c r="Y1041" s="77" t="n"/>
      <c r="Z1041" s="77" t="n"/>
      <c r="AA1041" s="75" t="n"/>
      <c r="AB1041" s="75" t="n"/>
      <c r="AC1041" s="6" t="n"/>
      <c r="AD1041" s="75" t="n"/>
      <c r="AE1041" s="75" t="n"/>
      <c r="AF1041" s="75" t="n"/>
    </row>
    <row r="1042" ht="15.75" customHeight="1" s="133">
      <c r="A1042" s="75" t="n"/>
      <c r="B1042" s="75" t="n"/>
      <c r="C1042" s="75" t="n"/>
      <c r="D1042" s="75" t="n"/>
      <c r="E1042" s="76" t="n"/>
      <c r="F1042" s="77" t="n"/>
      <c r="G1042" s="75" t="n"/>
      <c r="H1042" s="75">
        <f>IF(ISBLANK(E1042),"",IF(OR(D1042="Butterfly",D1042="Butterfly ",D1042="Iron Fly", D1042="Iron Fly "),LEN(E1042)-LEN(SUBSTITUTE(E1042,"/",""))+2,LEN(E1042)-LEN(SUBSTITUTE(E1042,"/",""))+1))</f>
        <v/>
      </c>
      <c r="I1042" s="78">
        <f>IF(ISBLANK(G1042),"",IF(D1042="Stock","0",Key!$A$3*H1042*G1042))</f>
        <v/>
      </c>
      <c r="J1042" s="78">
        <f>IF(ISBLANK(E1042),"",IF(ISNUMBER(SEARCH("/",E1042)), IF(LEN(E1042)-LEN(SUBSTITUTE(E1042,"/",""))=1,(RIGHT(E1042,LEN(E1042)-FIND("/",E1042)))-(LEFT(E1042,FIND("/",E1042)-1)),(MID(E1042, SEARCH("/",E1042) + 1, SEARCH("/",E1042, SEARCH("/",E1042)+1) - SEARCH("/",E1042) - 1))-(LEFT(E1042,FIND("/",E1042)-1))), "NA"))</f>
        <v/>
      </c>
      <c r="K1042" s="79">
        <f>IF(A1042&lt;&gt;"", IF(ISBLANK(L1042), TODAY(), K1042), "")</f>
        <v/>
      </c>
      <c r="L1042" s="78" t="n"/>
      <c r="M1042" s="78">
        <f>IF(ISBLANK(L1042),"",IF(D1042="Stock",IF(C1042="Buy",L1042*G1042,IF(C1042="Sell",(L1042*G1042)-I1042, X)),IF(C1042="Buy",(L1042*G1042*100)+I1042,IF(C1042="Sell",(L1042*G1042*100)-I1042, X))))</f>
        <v/>
      </c>
      <c r="N1042" s="78">
        <f>IF(ISBLANK(L1042),"",IF(AND(C1042="Sell",D1042="Stock"),M1042,IF(ISBLANK(L1042),"",IF(C1042="Buy",M1042, IF(AND(C1042="Sell",J1042="NA"),(E1042*G1042*100*0.1)+I1042, IF(C1042="Sell",(J1042-L1042)*(100*G1042)+I1042))))))</f>
        <v/>
      </c>
      <c r="O1042" s="75" t="n"/>
      <c r="P1042" s="75" t="n"/>
      <c r="Q1042" s="75">
        <f>IF(ISBLANK(P1042),"",IF(D1042="Stock",P1042*G1042,IF(P1042=0,"0",G1042*P1042*100-(G1042*$AF$14))))</f>
        <v/>
      </c>
      <c r="R1042" s="79">
        <f>IF(P1042&lt;&gt;"", TODAY(), "")</f>
        <v/>
      </c>
      <c r="S1042" s="78">
        <f>IF(AND(K1042&lt;&gt;"", R1042&lt;&gt;""), R1042-K1042, "")</f>
        <v/>
      </c>
      <c r="T1042" s="78" t="n"/>
      <c r="U1042" s="92">
        <f>IF(ISBLANK(P1042),"",IF(C1042="Buy",Q1042-M1042+T1042, IF(C1042="Sell",M1042-Q1042-T1042, X)))</f>
        <v/>
      </c>
      <c r="V1042" s="81">
        <f>IF(ISBLANK(P1042),"",U1042/N1042)</f>
        <v/>
      </c>
      <c r="W1042" s="81">
        <f>IF(ISBLANK(P1042),"",IF(S1042=0,(365/0.5)*V1042,(365/S1042)*V1042))</f>
        <v/>
      </c>
      <c r="X1042" s="75" t="n"/>
      <c r="Y1042" s="77" t="n"/>
      <c r="Z1042" s="77" t="n"/>
      <c r="AA1042" s="75" t="n"/>
      <c r="AB1042" s="75" t="n"/>
      <c r="AC1042" s="6" t="n"/>
      <c r="AD1042" s="75" t="n"/>
      <c r="AE1042" s="75" t="n"/>
      <c r="AF1042" s="75" t="n"/>
    </row>
    <row r="1043" ht="15.75" customHeight="1" s="133">
      <c r="A1043" s="75" t="n"/>
      <c r="B1043" s="75" t="n"/>
      <c r="C1043" s="75" t="n"/>
      <c r="D1043" s="75" t="n"/>
      <c r="E1043" s="76" t="n"/>
      <c r="F1043" s="77" t="n"/>
      <c r="G1043" s="75" t="n"/>
      <c r="H1043" s="75">
        <f>IF(ISBLANK(E1043),"",IF(OR(D1043="Butterfly",D1043="Butterfly ",D1043="Iron Fly", D1043="Iron Fly "),LEN(E1043)-LEN(SUBSTITUTE(E1043,"/",""))+2,LEN(E1043)-LEN(SUBSTITUTE(E1043,"/",""))+1))</f>
        <v/>
      </c>
      <c r="I1043" s="78">
        <f>IF(ISBLANK(G1043),"",IF(D1043="Stock","0",Key!$A$3*H1043*G1043))</f>
        <v/>
      </c>
      <c r="J1043" s="78">
        <f>IF(ISBLANK(E1043),"",IF(ISNUMBER(SEARCH("/",E1043)), IF(LEN(E1043)-LEN(SUBSTITUTE(E1043,"/",""))=1,(RIGHT(E1043,LEN(E1043)-FIND("/",E1043)))-(LEFT(E1043,FIND("/",E1043)-1)),(MID(E1043, SEARCH("/",E1043) + 1, SEARCH("/",E1043, SEARCH("/",E1043)+1) - SEARCH("/",E1043) - 1))-(LEFT(E1043,FIND("/",E1043)-1))), "NA"))</f>
        <v/>
      </c>
      <c r="K1043" s="79">
        <f>IF(A1043&lt;&gt;"", IF(ISBLANK(L1043), TODAY(), K1043), "")</f>
        <v/>
      </c>
      <c r="L1043" s="78" t="n"/>
      <c r="M1043" s="78">
        <f>IF(ISBLANK(L1043),"",IF(D1043="Stock",IF(C1043="Buy",L1043*G1043,IF(C1043="Sell",(L1043*G1043)-I1043, X)),IF(C1043="Buy",(L1043*G1043*100)+I1043,IF(C1043="Sell",(L1043*G1043*100)-I1043, X))))</f>
        <v/>
      </c>
      <c r="N1043" s="78">
        <f>IF(ISBLANK(L1043),"",IF(AND(C1043="Sell",D1043="Stock"),M1043,IF(ISBLANK(L1043),"",IF(C1043="Buy",M1043, IF(AND(C1043="Sell",J1043="NA"),(E1043*G1043*100*0.1)+I1043, IF(C1043="Sell",(J1043-L1043)*(100*G1043)+I1043))))))</f>
        <v/>
      </c>
      <c r="O1043" s="75" t="n"/>
      <c r="P1043" s="75" t="n"/>
      <c r="Q1043" s="75">
        <f>IF(ISBLANK(P1043),"",IF(D1043="Stock",P1043*G1043,IF(P1043=0,"0",G1043*P1043*100-(G1043*$AF$14))))</f>
        <v/>
      </c>
      <c r="R1043" s="79">
        <f>IF(P1043&lt;&gt;"", TODAY(), "")</f>
        <v/>
      </c>
      <c r="S1043" s="78">
        <f>IF(AND(K1043&lt;&gt;"", R1043&lt;&gt;""), R1043-K1043, "")</f>
        <v/>
      </c>
      <c r="T1043" s="78" t="n"/>
      <c r="U1043" s="92">
        <f>IF(ISBLANK(P1043),"",IF(C1043="Buy",Q1043-M1043+T1043, IF(C1043="Sell",M1043-Q1043-T1043, X)))</f>
        <v/>
      </c>
      <c r="V1043" s="81">
        <f>IF(ISBLANK(P1043),"",U1043/N1043)</f>
        <v/>
      </c>
      <c r="W1043" s="81">
        <f>IF(ISBLANK(P1043),"",IF(S1043=0,(365/0.5)*V1043,(365/S1043)*V1043))</f>
        <v/>
      </c>
      <c r="X1043" s="75" t="n"/>
      <c r="Y1043" s="77" t="n"/>
      <c r="Z1043" s="77" t="n"/>
      <c r="AA1043" s="75" t="n"/>
      <c r="AB1043" s="75" t="n"/>
      <c r="AC1043" s="6" t="n"/>
      <c r="AD1043" s="75" t="n"/>
      <c r="AE1043" s="75" t="n"/>
      <c r="AF1043" s="75" t="n"/>
    </row>
    <row r="1044" ht="15.75" customHeight="1" s="133">
      <c r="A1044" s="75" t="n"/>
      <c r="B1044" s="75" t="n"/>
      <c r="C1044" s="75" t="n"/>
      <c r="D1044" s="75" t="n"/>
      <c r="E1044" s="76" t="n"/>
      <c r="F1044" s="77" t="n"/>
      <c r="G1044" s="75" t="n"/>
      <c r="H1044" s="75">
        <f>IF(ISBLANK(E1044),"",IF(OR(D1044="Butterfly",D1044="Butterfly ",D1044="Iron Fly", D1044="Iron Fly "),LEN(E1044)-LEN(SUBSTITUTE(E1044,"/",""))+2,LEN(E1044)-LEN(SUBSTITUTE(E1044,"/",""))+1))</f>
        <v/>
      </c>
      <c r="I1044" s="78">
        <f>IF(ISBLANK(G1044),"",IF(D1044="Stock","0",Key!$A$3*H1044*G1044))</f>
        <v/>
      </c>
      <c r="J1044" s="78">
        <f>IF(ISBLANK(E1044),"",IF(ISNUMBER(SEARCH("/",E1044)), IF(LEN(E1044)-LEN(SUBSTITUTE(E1044,"/",""))=1,(RIGHT(E1044,LEN(E1044)-FIND("/",E1044)))-(LEFT(E1044,FIND("/",E1044)-1)),(MID(E1044, SEARCH("/",E1044) + 1, SEARCH("/",E1044, SEARCH("/",E1044)+1) - SEARCH("/",E1044) - 1))-(LEFT(E1044,FIND("/",E1044)-1))), "NA"))</f>
        <v/>
      </c>
      <c r="K1044" s="79">
        <f>IF(A1044&lt;&gt;"", IF(ISBLANK(L1044), TODAY(), K1044), "")</f>
        <v/>
      </c>
      <c r="L1044" s="78" t="n"/>
      <c r="M1044" s="78">
        <f>IF(ISBLANK(L1044),"",IF(D1044="Stock",IF(C1044="Buy",L1044*G1044,IF(C1044="Sell",(L1044*G1044)-I1044, X)),IF(C1044="Buy",(L1044*G1044*100)+I1044,IF(C1044="Sell",(L1044*G1044*100)-I1044, X))))</f>
        <v/>
      </c>
      <c r="N1044" s="78">
        <f>IF(ISBLANK(L1044),"",IF(AND(C1044="Sell",D1044="Stock"),M1044,IF(ISBLANK(L1044),"",IF(C1044="Buy",M1044, IF(AND(C1044="Sell",J1044="NA"),(E1044*G1044*100*0.1)+I1044, IF(C1044="Sell",(J1044-L1044)*(100*G1044)+I1044))))))</f>
        <v/>
      </c>
      <c r="O1044" s="75" t="n"/>
      <c r="P1044" s="75" t="n"/>
      <c r="Q1044" s="75">
        <f>IF(ISBLANK(P1044),"",IF(D1044="Stock",P1044*G1044,IF(P1044=0,"0",G1044*P1044*100-(G1044*$AF$14))))</f>
        <v/>
      </c>
      <c r="R1044" s="79">
        <f>IF(P1044&lt;&gt;"", TODAY(), "")</f>
        <v/>
      </c>
      <c r="S1044" s="78">
        <f>IF(AND(K1044&lt;&gt;"", R1044&lt;&gt;""), R1044-K1044, "")</f>
        <v/>
      </c>
      <c r="T1044" s="78" t="n"/>
      <c r="U1044" s="92">
        <f>IF(ISBLANK(P1044),"",IF(C1044="Buy",Q1044-M1044+T1044, IF(C1044="Sell",M1044-Q1044-T1044, X)))</f>
        <v/>
      </c>
      <c r="V1044" s="81">
        <f>IF(ISBLANK(P1044),"",U1044/N1044)</f>
        <v/>
      </c>
      <c r="W1044" s="81">
        <f>IF(ISBLANK(P1044),"",IF(S1044=0,(365/0.5)*V1044,(365/S1044)*V1044))</f>
        <v/>
      </c>
      <c r="X1044" s="75" t="n"/>
      <c r="Y1044" s="77" t="n"/>
      <c r="Z1044" s="77" t="n"/>
      <c r="AA1044" s="75" t="n"/>
      <c r="AB1044" s="75" t="n"/>
      <c r="AC1044" s="6" t="n"/>
      <c r="AD1044" s="75" t="n"/>
      <c r="AE1044" s="75" t="n"/>
      <c r="AF1044" s="75" t="n"/>
    </row>
    <row r="1045" ht="15.75" customHeight="1" s="133">
      <c r="A1045" s="75" t="n"/>
      <c r="B1045" s="75" t="n"/>
      <c r="C1045" s="75" t="n"/>
      <c r="D1045" s="75" t="n"/>
      <c r="E1045" s="76" t="n"/>
      <c r="F1045" s="77" t="n"/>
      <c r="G1045" s="75" t="n"/>
      <c r="H1045" s="75">
        <f>IF(ISBLANK(E1045),"",IF(OR(D1045="Butterfly",D1045="Butterfly ",D1045="Iron Fly", D1045="Iron Fly "),LEN(E1045)-LEN(SUBSTITUTE(E1045,"/",""))+2,LEN(E1045)-LEN(SUBSTITUTE(E1045,"/",""))+1))</f>
        <v/>
      </c>
      <c r="I1045" s="78">
        <f>IF(ISBLANK(G1045),"",IF(D1045="Stock","0",Key!$A$3*H1045*G1045))</f>
        <v/>
      </c>
      <c r="J1045" s="78">
        <f>IF(ISBLANK(E1045),"",IF(ISNUMBER(SEARCH("/",E1045)), IF(LEN(E1045)-LEN(SUBSTITUTE(E1045,"/",""))=1,(RIGHT(E1045,LEN(E1045)-FIND("/",E1045)))-(LEFT(E1045,FIND("/",E1045)-1)),(MID(E1045, SEARCH("/",E1045) + 1, SEARCH("/",E1045, SEARCH("/",E1045)+1) - SEARCH("/",E1045) - 1))-(LEFT(E1045,FIND("/",E1045)-1))), "NA"))</f>
        <v/>
      </c>
      <c r="K1045" s="79">
        <f>IF(A1045&lt;&gt;"", IF(ISBLANK(L1045), TODAY(), K1045), "")</f>
        <v/>
      </c>
      <c r="L1045" s="78" t="n"/>
      <c r="M1045" s="78">
        <f>IF(ISBLANK(L1045),"",IF(D1045="Stock",IF(C1045="Buy",L1045*G1045,IF(C1045="Sell",(L1045*G1045)-I1045, X)),IF(C1045="Buy",(L1045*G1045*100)+I1045,IF(C1045="Sell",(L1045*G1045*100)-I1045, X))))</f>
        <v/>
      </c>
      <c r="N1045" s="78">
        <f>IF(ISBLANK(L1045),"",IF(AND(C1045="Sell",D1045="Stock"),M1045,IF(ISBLANK(L1045),"",IF(C1045="Buy",M1045, IF(AND(C1045="Sell",J1045="NA"),(E1045*G1045*100*0.1)+I1045, IF(C1045="Sell",(J1045-L1045)*(100*G1045)+I1045))))))</f>
        <v/>
      </c>
      <c r="O1045" s="75" t="n"/>
      <c r="P1045" s="75" t="n"/>
      <c r="Q1045" s="75">
        <f>IF(ISBLANK(P1045),"",IF(D1045="Stock",P1045*G1045,IF(P1045=0,"0",G1045*P1045*100-(G1045*$AF$14))))</f>
        <v/>
      </c>
      <c r="R1045" s="79">
        <f>IF(P1045&lt;&gt;"", TODAY(), "")</f>
        <v/>
      </c>
      <c r="S1045" s="78">
        <f>IF(AND(K1045&lt;&gt;"", R1045&lt;&gt;""), R1045-K1045, "")</f>
        <v/>
      </c>
      <c r="T1045" s="78" t="n"/>
      <c r="U1045" s="92">
        <f>IF(ISBLANK(P1045),"",IF(C1045="Buy",Q1045-M1045+T1045, IF(C1045="Sell",M1045-Q1045-T1045, X)))</f>
        <v/>
      </c>
      <c r="V1045" s="81">
        <f>IF(ISBLANK(P1045),"",U1045/N1045)</f>
        <v/>
      </c>
      <c r="W1045" s="81">
        <f>IF(ISBLANK(P1045),"",IF(S1045=0,(365/0.5)*V1045,(365/S1045)*V1045))</f>
        <v/>
      </c>
      <c r="X1045" s="75" t="n"/>
      <c r="Y1045" s="77" t="n"/>
      <c r="Z1045" s="77" t="n"/>
      <c r="AA1045" s="75" t="n"/>
      <c r="AB1045" s="75" t="n"/>
      <c r="AC1045" s="6" t="n"/>
      <c r="AD1045" s="75" t="n"/>
      <c r="AE1045" s="75" t="n"/>
      <c r="AF1045" s="75" t="n"/>
    </row>
    <row r="1046" ht="15.75" customHeight="1" s="133">
      <c r="A1046" s="75" t="n"/>
      <c r="B1046" s="75" t="n"/>
      <c r="C1046" s="75" t="n"/>
      <c r="D1046" s="75" t="n"/>
      <c r="E1046" s="76" t="n"/>
      <c r="F1046" s="77" t="n"/>
      <c r="G1046" s="75" t="n"/>
      <c r="H1046" s="75">
        <f>IF(ISBLANK(E1046),"",IF(OR(D1046="Butterfly",D1046="Butterfly ",D1046="Iron Fly", D1046="Iron Fly "),LEN(E1046)-LEN(SUBSTITUTE(E1046,"/",""))+2,LEN(E1046)-LEN(SUBSTITUTE(E1046,"/",""))+1))</f>
        <v/>
      </c>
      <c r="I1046" s="78">
        <f>IF(ISBLANK(G1046),"",IF(D1046="Stock","0",Key!$A$3*H1046*G1046))</f>
        <v/>
      </c>
      <c r="J1046" s="78">
        <f>IF(ISBLANK(E1046),"",IF(ISNUMBER(SEARCH("/",E1046)), IF(LEN(E1046)-LEN(SUBSTITUTE(E1046,"/",""))=1,(RIGHT(E1046,LEN(E1046)-FIND("/",E1046)))-(LEFT(E1046,FIND("/",E1046)-1)),(MID(E1046, SEARCH("/",E1046) + 1, SEARCH("/",E1046, SEARCH("/",E1046)+1) - SEARCH("/",E1046) - 1))-(LEFT(E1046,FIND("/",E1046)-1))), "NA"))</f>
        <v/>
      </c>
      <c r="K1046" s="79">
        <f>IF(A1046&lt;&gt;"", IF(ISBLANK(L1046), TODAY(), K1046), "")</f>
        <v/>
      </c>
      <c r="L1046" s="78" t="n"/>
      <c r="M1046" s="78">
        <f>IF(ISBLANK(L1046),"",IF(D1046="Stock",IF(C1046="Buy",L1046*G1046,IF(C1046="Sell",(L1046*G1046)-I1046, X)),IF(C1046="Buy",(L1046*G1046*100)+I1046,IF(C1046="Sell",(L1046*G1046*100)-I1046, X))))</f>
        <v/>
      </c>
      <c r="N1046" s="78">
        <f>IF(ISBLANK(L1046),"",IF(AND(C1046="Sell",D1046="Stock"),M1046,IF(ISBLANK(L1046),"",IF(C1046="Buy",M1046, IF(AND(C1046="Sell",J1046="NA"),(E1046*G1046*100*0.1)+I1046, IF(C1046="Sell",(J1046-L1046)*(100*G1046)+I1046))))))</f>
        <v/>
      </c>
      <c r="O1046" s="75" t="n"/>
      <c r="P1046" s="75" t="n"/>
      <c r="Q1046" s="75">
        <f>IF(ISBLANK(P1046),"",IF(D1046="Stock",P1046*G1046,IF(P1046=0,"0",G1046*P1046*100-(G1046*$AF$14))))</f>
        <v/>
      </c>
      <c r="R1046" s="79">
        <f>IF(P1046&lt;&gt;"", TODAY(), "")</f>
        <v/>
      </c>
      <c r="S1046" s="78">
        <f>IF(AND(K1046&lt;&gt;"", R1046&lt;&gt;""), R1046-K1046, "")</f>
        <v/>
      </c>
      <c r="T1046" s="78" t="n"/>
      <c r="U1046" s="92">
        <f>IF(ISBLANK(P1046),"",IF(C1046="Buy",Q1046-M1046+T1046, IF(C1046="Sell",M1046-Q1046-T1046, X)))</f>
        <v/>
      </c>
      <c r="V1046" s="81">
        <f>IF(ISBLANK(P1046),"",U1046/N1046)</f>
        <v/>
      </c>
      <c r="W1046" s="81">
        <f>IF(ISBLANK(P1046),"",IF(S1046=0,(365/0.5)*V1046,(365/S1046)*V1046))</f>
        <v/>
      </c>
      <c r="X1046" s="75" t="n"/>
      <c r="Y1046" s="77" t="n"/>
      <c r="Z1046" s="77" t="n"/>
      <c r="AA1046" s="75" t="n"/>
      <c r="AB1046" s="75" t="n"/>
      <c r="AC1046" s="6" t="n"/>
      <c r="AD1046" s="75" t="n"/>
      <c r="AE1046" s="75" t="n"/>
      <c r="AF1046" s="75" t="n"/>
    </row>
    <row r="1047" ht="15.75" customHeight="1" s="133">
      <c r="A1047" s="75" t="n"/>
      <c r="B1047" s="75" t="n"/>
      <c r="C1047" s="75" t="n"/>
      <c r="D1047" s="75" t="n"/>
      <c r="E1047" s="76" t="n"/>
      <c r="F1047" s="77" t="n"/>
      <c r="G1047" s="75" t="n"/>
      <c r="H1047" s="75">
        <f>IF(ISBLANK(E1047),"",IF(OR(D1047="Butterfly",D1047="Butterfly ",D1047="Iron Fly", D1047="Iron Fly "),LEN(E1047)-LEN(SUBSTITUTE(E1047,"/",""))+2,LEN(E1047)-LEN(SUBSTITUTE(E1047,"/",""))+1))</f>
        <v/>
      </c>
      <c r="I1047" s="78">
        <f>IF(ISBLANK(G1047),"",IF(D1047="Stock","0",Key!$A$3*H1047*G1047))</f>
        <v/>
      </c>
      <c r="J1047" s="78">
        <f>IF(ISBLANK(E1047),"",IF(ISNUMBER(SEARCH("/",E1047)), IF(LEN(E1047)-LEN(SUBSTITUTE(E1047,"/",""))=1,(RIGHT(E1047,LEN(E1047)-FIND("/",E1047)))-(LEFT(E1047,FIND("/",E1047)-1)),(MID(E1047, SEARCH("/",E1047) + 1, SEARCH("/",E1047, SEARCH("/",E1047)+1) - SEARCH("/",E1047) - 1))-(LEFT(E1047,FIND("/",E1047)-1))), "NA"))</f>
        <v/>
      </c>
      <c r="K1047" s="79">
        <f>IF(A1047&lt;&gt;"", IF(ISBLANK(L1047), TODAY(), K1047), "")</f>
        <v/>
      </c>
      <c r="L1047" s="78" t="n"/>
      <c r="M1047" s="78">
        <f>IF(ISBLANK(L1047),"",IF(D1047="Stock",IF(C1047="Buy",L1047*G1047,IF(C1047="Sell",(L1047*G1047)-I1047, X)),IF(C1047="Buy",(L1047*G1047*100)+I1047,IF(C1047="Sell",(L1047*G1047*100)-I1047, X))))</f>
        <v/>
      </c>
      <c r="N1047" s="78">
        <f>IF(ISBLANK(L1047),"",IF(AND(C1047="Sell",D1047="Stock"),M1047,IF(ISBLANK(L1047),"",IF(C1047="Buy",M1047, IF(AND(C1047="Sell",J1047="NA"),(E1047*G1047*100*0.1)+I1047, IF(C1047="Sell",(J1047-L1047)*(100*G1047)+I1047))))))</f>
        <v/>
      </c>
      <c r="O1047" s="75" t="n"/>
      <c r="P1047" s="75" t="n"/>
      <c r="Q1047" s="75">
        <f>IF(ISBLANK(P1047),"",IF(D1047="Stock",P1047*G1047,IF(P1047=0,"0",G1047*P1047*100-(G1047*$AF$14))))</f>
        <v/>
      </c>
      <c r="R1047" s="79">
        <f>IF(P1047&lt;&gt;"", TODAY(), "")</f>
        <v/>
      </c>
      <c r="S1047" s="78">
        <f>IF(AND(K1047&lt;&gt;"", R1047&lt;&gt;""), R1047-K1047, "")</f>
        <v/>
      </c>
      <c r="T1047" s="78" t="n"/>
      <c r="U1047" s="92">
        <f>IF(ISBLANK(P1047),"",IF(C1047="Buy",Q1047-M1047+T1047, IF(C1047="Sell",M1047-Q1047-T1047, X)))</f>
        <v/>
      </c>
      <c r="V1047" s="81">
        <f>IF(ISBLANK(P1047),"",U1047/N1047)</f>
        <v/>
      </c>
      <c r="W1047" s="81">
        <f>IF(ISBLANK(P1047),"",IF(S1047=0,(365/0.5)*V1047,(365/S1047)*V1047))</f>
        <v/>
      </c>
      <c r="X1047" s="75" t="n"/>
      <c r="Y1047" s="77" t="n"/>
      <c r="Z1047" s="77" t="n"/>
      <c r="AA1047" s="75" t="n"/>
      <c r="AB1047" s="75" t="n"/>
      <c r="AC1047" s="6" t="n"/>
      <c r="AD1047" s="75" t="n"/>
      <c r="AE1047" s="75" t="n"/>
      <c r="AF1047" s="75" t="n"/>
    </row>
    <row r="1048" ht="15.75" customHeight="1" s="133">
      <c r="A1048" s="75" t="n"/>
      <c r="B1048" s="75" t="n"/>
      <c r="C1048" s="75" t="n"/>
      <c r="D1048" s="75" t="n"/>
      <c r="E1048" s="76" t="n"/>
      <c r="F1048" s="77" t="n"/>
      <c r="G1048" s="75" t="n"/>
      <c r="H1048" s="75">
        <f>IF(ISBLANK(E1048),"",IF(OR(D1048="Butterfly",D1048="Butterfly ",D1048="Iron Fly", D1048="Iron Fly "),LEN(E1048)-LEN(SUBSTITUTE(E1048,"/",""))+2,LEN(E1048)-LEN(SUBSTITUTE(E1048,"/",""))+1))</f>
        <v/>
      </c>
      <c r="I1048" s="78">
        <f>IF(ISBLANK(G1048),"",IF(D1048="Stock","0",Key!$A$3*H1048*G1048))</f>
        <v/>
      </c>
      <c r="J1048" s="78">
        <f>IF(ISBLANK(E1048),"",IF(ISNUMBER(SEARCH("/",E1048)), IF(LEN(E1048)-LEN(SUBSTITUTE(E1048,"/",""))=1,(RIGHT(E1048,LEN(E1048)-FIND("/",E1048)))-(LEFT(E1048,FIND("/",E1048)-1)),(MID(E1048, SEARCH("/",E1048) + 1, SEARCH("/",E1048, SEARCH("/",E1048)+1) - SEARCH("/",E1048) - 1))-(LEFT(E1048,FIND("/",E1048)-1))), "NA"))</f>
        <v/>
      </c>
      <c r="K1048" s="79">
        <f>IF(A1048&lt;&gt;"", IF(ISBLANK(L1048), TODAY(), K1048), "")</f>
        <v/>
      </c>
      <c r="L1048" s="78" t="n"/>
      <c r="M1048" s="78">
        <f>IF(ISBLANK(L1048),"",IF(D1048="Stock",IF(C1048="Buy",L1048*G1048,IF(C1048="Sell",(L1048*G1048)-I1048, X)),IF(C1048="Buy",(L1048*G1048*100)+I1048,IF(C1048="Sell",(L1048*G1048*100)-I1048, X))))</f>
        <v/>
      </c>
      <c r="N1048" s="78">
        <f>IF(ISBLANK(L1048),"",IF(AND(C1048="Sell",D1048="Stock"),M1048,IF(ISBLANK(L1048),"",IF(C1048="Buy",M1048, IF(AND(C1048="Sell",J1048="NA"),(E1048*G1048*100*0.1)+I1048, IF(C1048="Sell",(J1048-L1048)*(100*G1048)+I1048))))))</f>
        <v/>
      </c>
      <c r="O1048" s="75" t="n"/>
      <c r="P1048" s="75" t="n"/>
      <c r="Q1048" s="75">
        <f>IF(ISBLANK(P1048),"",IF(D1048="Stock",P1048*G1048,IF(P1048=0,"0",G1048*P1048*100-(G1048*$AF$14))))</f>
        <v/>
      </c>
      <c r="R1048" s="79">
        <f>IF(P1048&lt;&gt;"", TODAY(), "")</f>
        <v/>
      </c>
      <c r="S1048" s="78">
        <f>IF(AND(K1048&lt;&gt;"", R1048&lt;&gt;""), R1048-K1048, "")</f>
        <v/>
      </c>
      <c r="T1048" s="78" t="n"/>
      <c r="U1048" s="92">
        <f>IF(ISBLANK(P1048),"",IF(C1048="Buy",Q1048-M1048+T1048, IF(C1048="Sell",M1048-Q1048-T1048, X)))</f>
        <v/>
      </c>
      <c r="V1048" s="81">
        <f>IF(ISBLANK(P1048),"",U1048/N1048)</f>
        <v/>
      </c>
      <c r="W1048" s="81">
        <f>IF(ISBLANK(P1048),"",IF(S1048=0,(365/0.5)*V1048,(365/S1048)*V1048))</f>
        <v/>
      </c>
      <c r="X1048" s="75" t="n"/>
      <c r="Y1048" s="77" t="n"/>
      <c r="Z1048" s="77" t="n"/>
      <c r="AA1048" s="75" t="n"/>
      <c r="AB1048" s="75" t="n"/>
      <c r="AC1048" s="6" t="n"/>
      <c r="AD1048" s="75" t="n"/>
      <c r="AE1048" s="75" t="n"/>
      <c r="AF1048" s="75" t="n"/>
    </row>
    <row r="1049" ht="15.75" customHeight="1" s="133">
      <c r="A1049" s="75" t="n"/>
      <c r="B1049" s="75" t="n"/>
      <c r="C1049" s="75" t="n"/>
      <c r="D1049" s="75" t="n"/>
      <c r="E1049" s="76" t="n"/>
      <c r="F1049" s="77" t="n"/>
      <c r="G1049" s="75" t="n"/>
      <c r="H1049" s="75">
        <f>IF(ISBLANK(E1049),"",IF(OR(D1049="Butterfly",D1049="Butterfly ",D1049="Iron Fly", D1049="Iron Fly "),LEN(E1049)-LEN(SUBSTITUTE(E1049,"/",""))+2,LEN(E1049)-LEN(SUBSTITUTE(E1049,"/",""))+1))</f>
        <v/>
      </c>
      <c r="I1049" s="78">
        <f>IF(ISBLANK(G1049),"",IF(D1049="Stock","0",Key!$A$3*H1049*G1049))</f>
        <v/>
      </c>
      <c r="J1049" s="78">
        <f>IF(ISBLANK(E1049),"",IF(ISNUMBER(SEARCH("/",E1049)), IF(LEN(E1049)-LEN(SUBSTITUTE(E1049,"/",""))=1,(RIGHT(E1049,LEN(E1049)-FIND("/",E1049)))-(LEFT(E1049,FIND("/",E1049)-1)),(MID(E1049, SEARCH("/",E1049) + 1, SEARCH("/",E1049, SEARCH("/",E1049)+1) - SEARCH("/",E1049) - 1))-(LEFT(E1049,FIND("/",E1049)-1))), "NA"))</f>
        <v/>
      </c>
      <c r="K1049" s="79">
        <f>IF(A1049&lt;&gt;"", IF(ISBLANK(L1049), TODAY(), K1049), "")</f>
        <v/>
      </c>
      <c r="L1049" s="78" t="n"/>
      <c r="M1049" s="78">
        <f>IF(ISBLANK(L1049),"",IF(D1049="Stock",IF(C1049="Buy",L1049*G1049,IF(C1049="Sell",(L1049*G1049)-I1049, X)),IF(C1049="Buy",(L1049*G1049*100)+I1049,IF(C1049="Sell",(L1049*G1049*100)-I1049, X))))</f>
        <v/>
      </c>
      <c r="N1049" s="78">
        <f>IF(ISBLANK(L1049),"",IF(AND(C1049="Sell",D1049="Stock"),M1049,IF(ISBLANK(L1049),"",IF(C1049="Buy",M1049, IF(AND(C1049="Sell",J1049="NA"),(E1049*G1049*100*0.1)+I1049, IF(C1049="Sell",(J1049-L1049)*(100*G1049)+I1049))))))</f>
        <v/>
      </c>
      <c r="O1049" s="75" t="n"/>
      <c r="P1049" s="75" t="n"/>
      <c r="Q1049" s="75">
        <f>IF(ISBLANK(P1049),"",IF(D1049="Stock",P1049*G1049,IF(P1049=0,"0",G1049*P1049*100-(G1049*$AF$14))))</f>
        <v/>
      </c>
      <c r="R1049" s="79">
        <f>IF(P1049&lt;&gt;"", TODAY(), "")</f>
        <v/>
      </c>
      <c r="S1049" s="78">
        <f>IF(AND(K1049&lt;&gt;"", R1049&lt;&gt;""), R1049-K1049, "")</f>
        <v/>
      </c>
      <c r="T1049" s="78" t="n"/>
      <c r="U1049" s="92">
        <f>IF(ISBLANK(P1049),"",IF(C1049="Buy",Q1049-M1049+T1049, IF(C1049="Sell",M1049-Q1049-T1049, X)))</f>
        <v/>
      </c>
      <c r="V1049" s="81">
        <f>IF(ISBLANK(P1049),"",U1049/N1049)</f>
        <v/>
      </c>
      <c r="W1049" s="81">
        <f>IF(ISBLANK(P1049),"",IF(S1049=0,(365/0.5)*V1049,(365/S1049)*V1049))</f>
        <v/>
      </c>
      <c r="X1049" s="75" t="n"/>
      <c r="Y1049" s="77" t="n"/>
      <c r="Z1049" s="77" t="n"/>
      <c r="AA1049" s="75" t="n"/>
      <c r="AB1049" s="75" t="n"/>
      <c r="AC1049" s="6" t="n"/>
      <c r="AD1049" s="75" t="n"/>
      <c r="AE1049" s="75" t="n"/>
      <c r="AF1049" s="75" t="n"/>
    </row>
    <row r="1050" ht="15.75" customHeight="1" s="133">
      <c r="A1050" s="75" t="n"/>
      <c r="B1050" s="75" t="n"/>
      <c r="C1050" s="75" t="n"/>
      <c r="D1050" s="75" t="n"/>
      <c r="E1050" s="76" t="n"/>
      <c r="F1050" s="77" t="n"/>
      <c r="G1050" s="75" t="n"/>
      <c r="H1050" s="75">
        <f>IF(ISBLANK(E1050),"",IF(OR(D1050="Butterfly",D1050="Butterfly ",D1050="Iron Fly", D1050="Iron Fly "),LEN(E1050)-LEN(SUBSTITUTE(E1050,"/",""))+2,LEN(E1050)-LEN(SUBSTITUTE(E1050,"/",""))+1))</f>
        <v/>
      </c>
      <c r="I1050" s="78">
        <f>IF(ISBLANK(G1050),"",IF(D1050="Stock","0",Key!$A$3*H1050*G1050))</f>
        <v/>
      </c>
      <c r="J1050" s="78">
        <f>IF(ISBLANK(E1050),"",IF(ISNUMBER(SEARCH("/",E1050)), IF(LEN(E1050)-LEN(SUBSTITUTE(E1050,"/",""))=1,(RIGHT(E1050,LEN(E1050)-FIND("/",E1050)))-(LEFT(E1050,FIND("/",E1050)-1)),(MID(E1050, SEARCH("/",E1050) + 1, SEARCH("/",E1050, SEARCH("/",E1050)+1) - SEARCH("/",E1050) - 1))-(LEFT(E1050,FIND("/",E1050)-1))), "NA"))</f>
        <v/>
      </c>
      <c r="K1050" s="79">
        <f>IF(A1050&lt;&gt;"", IF(ISBLANK(L1050), TODAY(), K1050), "")</f>
        <v/>
      </c>
      <c r="L1050" s="78" t="n"/>
      <c r="M1050" s="78">
        <f>IF(ISBLANK(L1050),"",IF(D1050="Stock",IF(C1050="Buy",L1050*G1050,IF(C1050="Sell",(L1050*G1050)-I1050, X)),IF(C1050="Buy",(L1050*G1050*100)+I1050,IF(C1050="Sell",(L1050*G1050*100)-I1050, X))))</f>
        <v/>
      </c>
      <c r="N1050" s="78">
        <f>IF(ISBLANK(L1050),"",IF(AND(C1050="Sell",D1050="Stock"),M1050,IF(ISBLANK(L1050),"",IF(C1050="Buy",M1050, IF(AND(C1050="Sell",J1050="NA"),(E1050*G1050*100*0.1)+I1050, IF(C1050="Sell",(J1050-L1050)*(100*G1050)+I1050))))))</f>
        <v/>
      </c>
      <c r="O1050" s="75" t="n"/>
      <c r="P1050" s="75" t="n"/>
      <c r="Q1050" s="75">
        <f>IF(ISBLANK(P1050),"",IF(D1050="Stock",P1050*G1050,IF(P1050=0,"0",G1050*P1050*100-(G1050*$AF$14))))</f>
        <v/>
      </c>
      <c r="R1050" s="79">
        <f>IF(P1050&lt;&gt;"", TODAY(), "")</f>
        <v/>
      </c>
      <c r="S1050" s="78">
        <f>IF(AND(K1050&lt;&gt;"", R1050&lt;&gt;""), R1050-K1050, "")</f>
        <v/>
      </c>
      <c r="T1050" s="78" t="n"/>
      <c r="U1050" s="92">
        <f>IF(ISBLANK(P1050),"",IF(C1050="Buy",Q1050-M1050+T1050, IF(C1050="Sell",M1050-Q1050-T1050, X)))</f>
        <v/>
      </c>
      <c r="V1050" s="81">
        <f>IF(ISBLANK(P1050),"",U1050/N1050)</f>
        <v/>
      </c>
      <c r="W1050" s="81">
        <f>IF(ISBLANK(P1050),"",IF(S1050=0,(365/0.5)*V1050,(365/S1050)*V1050))</f>
        <v/>
      </c>
      <c r="X1050" s="75" t="n"/>
      <c r="Y1050" s="77" t="n"/>
      <c r="Z1050" s="77" t="n"/>
      <c r="AA1050" s="75" t="n"/>
      <c r="AB1050" s="75" t="n"/>
      <c r="AC1050" s="6" t="n"/>
      <c r="AD1050" s="75" t="n"/>
      <c r="AE1050" s="75" t="n"/>
      <c r="AF1050" s="75" t="n"/>
    </row>
    <row r="1051" ht="15.75" customHeight="1" s="133">
      <c r="A1051" s="75" t="n"/>
      <c r="B1051" s="75" t="n"/>
      <c r="C1051" s="75" t="n"/>
      <c r="D1051" s="75" t="n"/>
      <c r="E1051" s="76" t="n"/>
      <c r="F1051" s="77" t="n"/>
      <c r="G1051" s="75" t="n"/>
      <c r="H1051" s="75">
        <f>IF(ISBLANK(E1051),"",IF(OR(D1051="Butterfly",D1051="Butterfly ",D1051="Iron Fly", D1051="Iron Fly "),LEN(E1051)-LEN(SUBSTITUTE(E1051,"/",""))+2,LEN(E1051)-LEN(SUBSTITUTE(E1051,"/",""))+1))</f>
        <v/>
      </c>
      <c r="I1051" s="78">
        <f>IF(ISBLANK(G1051),"",IF(D1051="Stock","0",Key!$A$3*H1051*G1051))</f>
        <v/>
      </c>
      <c r="J1051" s="78">
        <f>IF(ISBLANK(E1051),"",IF(ISNUMBER(SEARCH("/",E1051)), IF(LEN(E1051)-LEN(SUBSTITUTE(E1051,"/",""))=1,(RIGHT(E1051,LEN(E1051)-FIND("/",E1051)))-(LEFT(E1051,FIND("/",E1051)-1)),(MID(E1051, SEARCH("/",E1051) + 1, SEARCH("/",E1051, SEARCH("/",E1051)+1) - SEARCH("/",E1051) - 1))-(LEFT(E1051,FIND("/",E1051)-1))), "NA"))</f>
        <v/>
      </c>
      <c r="K1051" s="79">
        <f>IF(A1051&lt;&gt;"", IF(ISBLANK(L1051), TODAY(), K1051), "")</f>
        <v/>
      </c>
      <c r="L1051" s="78" t="n"/>
      <c r="M1051" s="78">
        <f>IF(ISBLANK(L1051),"",IF(D1051="Stock",IF(C1051="Buy",L1051*G1051,IF(C1051="Sell",(L1051*G1051)-I1051, X)),IF(C1051="Buy",(L1051*G1051*100)+I1051,IF(C1051="Sell",(L1051*G1051*100)-I1051, X))))</f>
        <v/>
      </c>
      <c r="N1051" s="78">
        <f>IF(ISBLANK(L1051),"",IF(AND(C1051="Sell",D1051="Stock"),M1051,IF(ISBLANK(L1051),"",IF(C1051="Buy",M1051, IF(AND(C1051="Sell",J1051="NA"),(E1051*G1051*100*0.1)+I1051, IF(C1051="Sell",(J1051-L1051)*(100*G1051)+I1051))))))</f>
        <v/>
      </c>
      <c r="O1051" s="75" t="n"/>
      <c r="P1051" s="75" t="n"/>
      <c r="Q1051" s="75">
        <f>IF(ISBLANK(P1051),"",IF(D1051="Stock",P1051*G1051,IF(P1051=0,"0",G1051*P1051*100-(G1051*$AF$14))))</f>
        <v/>
      </c>
      <c r="R1051" s="79">
        <f>IF(P1051&lt;&gt;"", TODAY(), "")</f>
        <v/>
      </c>
      <c r="S1051" s="78">
        <f>IF(AND(K1051&lt;&gt;"", R1051&lt;&gt;""), R1051-K1051, "")</f>
        <v/>
      </c>
      <c r="T1051" s="78" t="n"/>
      <c r="U1051" s="92">
        <f>IF(ISBLANK(P1051),"",IF(C1051="Buy",Q1051-M1051+T1051, IF(C1051="Sell",M1051-Q1051-T1051, X)))</f>
        <v/>
      </c>
      <c r="V1051" s="81">
        <f>IF(ISBLANK(P1051),"",U1051/N1051)</f>
        <v/>
      </c>
      <c r="W1051" s="81">
        <f>IF(ISBLANK(P1051),"",IF(S1051=0,(365/0.5)*V1051,(365/S1051)*V1051))</f>
        <v/>
      </c>
      <c r="X1051" s="75" t="n"/>
      <c r="Y1051" s="77" t="n"/>
      <c r="Z1051" s="77" t="n"/>
      <c r="AA1051" s="75" t="n"/>
      <c r="AB1051" s="75" t="n"/>
      <c r="AC1051" s="6" t="n"/>
      <c r="AD1051" s="75" t="n"/>
      <c r="AE1051" s="75" t="n"/>
      <c r="AF1051" s="75" t="n"/>
    </row>
    <row r="1052" ht="15.75" customHeight="1" s="133">
      <c r="A1052" s="75" t="n"/>
      <c r="B1052" s="75" t="n"/>
      <c r="C1052" s="75" t="n"/>
      <c r="D1052" s="75" t="n"/>
      <c r="E1052" s="76" t="n"/>
      <c r="F1052" s="77" t="n"/>
      <c r="G1052" s="75" t="n"/>
      <c r="H1052" s="75">
        <f>IF(ISBLANK(E1052),"",IF(OR(D1052="Butterfly",D1052="Butterfly ",D1052="Iron Fly", D1052="Iron Fly "),LEN(E1052)-LEN(SUBSTITUTE(E1052,"/",""))+2,LEN(E1052)-LEN(SUBSTITUTE(E1052,"/",""))+1))</f>
        <v/>
      </c>
      <c r="I1052" s="78">
        <f>IF(ISBLANK(G1052),"",IF(D1052="Stock","0",Key!$A$3*H1052*G1052))</f>
        <v/>
      </c>
      <c r="J1052" s="78">
        <f>IF(ISBLANK(E1052),"",IF(ISNUMBER(SEARCH("/",E1052)), IF(LEN(E1052)-LEN(SUBSTITUTE(E1052,"/",""))=1,(RIGHT(E1052,LEN(E1052)-FIND("/",E1052)))-(LEFT(E1052,FIND("/",E1052)-1)),(MID(E1052, SEARCH("/",E1052) + 1, SEARCH("/",E1052, SEARCH("/",E1052)+1) - SEARCH("/",E1052) - 1))-(LEFT(E1052,FIND("/",E1052)-1))), "NA"))</f>
        <v/>
      </c>
      <c r="K1052" s="79">
        <f>IF(A1052&lt;&gt;"", IF(ISBLANK(L1052), TODAY(), K1052), "")</f>
        <v/>
      </c>
      <c r="L1052" s="78" t="n"/>
      <c r="M1052" s="78">
        <f>IF(ISBLANK(L1052),"",IF(D1052="Stock",IF(C1052="Buy",L1052*G1052,IF(C1052="Sell",(L1052*G1052)-I1052, X)),IF(C1052="Buy",(L1052*G1052*100)+I1052,IF(C1052="Sell",(L1052*G1052*100)-I1052, X))))</f>
        <v/>
      </c>
      <c r="N1052" s="78">
        <f>IF(ISBLANK(L1052),"",IF(AND(C1052="Sell",D1052="Stock"),M1052,IF(ISBLANK(L1052),"",IF(C1052="Buy",M1052, IF(AND(C1052="Sell",J1052="NA"),(E1052*G1052*100*0.1)+I1052, IF(C1052="Sell",(J1052-L1052)*(100*G1052)+I1052))))))</f>
        <v/>
      </c>
      <c r="O1052" s="75" t="n"/>
      <c r="P1052" s="75" t="n"/>
      <c r="Q1052" s="75">
        <f>IF(ISBLANK(P1052),"",IF(D1052="Stock",P1052*G1052,IF(P1052=0,"0",G1052*P1052*100-(G1052*$AF$14))))</f>
        <v/>
      </c>
      <c r="R1052" s="79">
        <f>IF(P1052&lt;&gt;"", TODAY(), "")</f>
        <v/>
      </c>
      <c r="S1052" s="78">
        <f>IF(AND(K1052&lt;&gt;"", R1052&lt;&gt;""), R1052-K1052, "")</f>
        <v/>
      </c>
      <c r="T1052" s="78" t="n"/>
      <c r="U1052" s="92">
        <f>IF(ISBLANK(P1052),"",IF(C1052="Buy",Q1052-M1052+T1052, IF(C1052="Sell",M1052-Q1052-T1052, X)))</f>
        <v/>
      </c>
      <c r="V1052" s="81">
        <f>IF(ISBLANK(P1052),"",U1052/N1052)</f>
        <v/>
      </c>
      <c r="W1052" s="81">
        <f>IF(ISBLANK(P1052),"",IF(S1052=0,(365/0.5)*V1052,(365/S1052)*V1052))</f>
        <v/>
      </c>
      <c r="X1052" s="75" t="n"/>
      <c r="Y1052" s="77" t="n"/>
      <c r="Z1052" s="77" t="n"/>
      <c r="AA1052" s="75" t="n"/>
      <c r="AB1052" s="75" t="n"/>
      <c r="AC1052" s="6" t="n"/>
      <c r="AD1052" s="75" t="n"/>
      <c r="AE1052" s="75" t="n"/>
      <c r="AF1052" s="75" t="n"/>
    </row>
    <row r="1053" ht="15.75" customHeight="1" s="133">
      <c r="A1053" s="75" t="n"/>
      <c r="B1053" s="75" t="n"/>
      <c r="C1053" s="75" t="n"/>
      <c r="D1053" s="75" t="n"/>
      <c r="E1053" s="76" t="n"/>
      <c r="F1053" s="77" t="n"/>
      <c r="G1053" s="75" t="n"/>
      <c r="H1053" s="75">
        <f>IF(ISBLANK(E1053),"",IF(OR(D1053="Butterfly",D1053="Butterfly ",D1053="Iron Fly", D1053="Iron Fly "),LEN(E1053)-LEN(SUBSTITUTE(E1053,"/",""))+2,LEN(E1053)-LEN(SUBSTITUTE(E1053,"/",""))+1))</f>
        <v/>
      </c>
      <c r="I1053" s="78">
        <f>IF(ISBLANK(G1053),"",IF(D1053="Stock","0",Key!$A$3*H1053*G1053))</f>
        <v/>
      </c>
      <c r="J1053" s="78">
        <f>IF(ISBLANK(E1053),"",IF(ISNUMBER(SEARCH("/",E1053)), IF(LEN(E1053)-LEN(SUBSTITUTE(E1053,"/",""))=1,(RIGHT(E1053,LEN(E1053)-FIND("/",E1053)))-(LEFT(E1053,FIND("/",E1053)-1)),(MID(E1053, SEARCH("/",E1053) + 1, SEARCH("/",E1053, SEARCH("/",E1053)+1) - SEARCH("/",E1053) - 1))-(LEFT(E1053,FIND("/",E1053)-1))), "NA"))</f>
        <v/>
      </c>
      <c r="K1053" s="79">
        <f>IF(A1053&lt;&gt;"", IF(ISBLANK(L1053), TODAY(), K1053), "")</f>
        <v/>
      </c>
      <c r="L1053" s="78" t="n"/>
      <c r="M1053" s="78">
        <f>IF(ISBLANK(L1053),"",IF(D1053="Stock",IF(C1053="Buy",L1053*G1053,IF(C1053="Sell",(L1053*G1053)-I1053, X)),IF(C1053="Buy",(L1053*G1053*100)+I1053,IF(C1053="Sell",(L1053*G1053*100)-I1053, X))))</f>
        <v/>
      </c>
      <c r="N1053" s="78">
        <f>IF(ISBLANK(L1053),"",IF(AND(C1053="Sell",D1053="Stock"),M1053,IF(ISBLANK(L1053),"",IF(C1053="Buy",M1053, IF(AND(C1053="Sell",J1053="NA"),(E1053*G1053*100*0.1)+I1053, IF(C1053="Sell",(J1053-L1053)*(100*G1053)+I1053))))))</f>
        <v/>
      </c>
      <c r="O1053" s="75" t="n"/>
      <c r="P1053" s="75" t="n"/>
      <c r="Q1053" s="75">
        <f>IF(ISBLANK(P1053),"",IF(D1053="Stock",P1053*G1053,IF(P1053=0,"0",G1053*P1053*100-(G1053*$AF$14))))</f>
        <v/>
      </c>
      <c r="R1053" s="79">
        <f>IF(P1053&lt;&gt;"", TODAY(), "")</f>
        <v/>
      </c>
      <c r="S1053" s="78">
        <f>IF(AND(K1053&lt;&gt;"", R1053&lt;&gt;""), R1053-K1053, "")</f>
        <v/>
      </c>
      <c r="T1053" s="78" t="n"/>
      <c r="U1053" s="92">
        <f>IF(ISBLANK(P1053),"",IF(C1053="Buy",Q1053-M1053+T1053, IF(C1053="Sell",M1053-Q1053-T1053, X)))</f>
        <v/>
      </c>
      <c r="V1053" s="81">
        <f>IF(ISBLANK(P1053),"",U1053/N1053)</f>
        <v/>
      </c>
      <c r="W1053" s="81">
        <f>IF(ISBLANK(P1053),"",IF(S1053=0,(365/0.5)*V1053,(365/S1053)*V1053))</f>
        <v/>
      </c>
      <c r="X1053" s="75" t="n"/>
      <c r="Y1053" s="77" t="n"/>
      <c r="Z1053" s="77" t="n"/>
      <c r="AA1053" s="75" t="n"/>
      <c r="AB1053" s="75" t="n"/>
      <c r="AC1053" s="6" t="n"/>
      <c r="AD1053" s="75" t="n"/>
      <c r="AE1053" s="75" t="n"/>
      <c r="AF1053" s="75" t="n"/>
    </row>
    <row r="1054" ht="15.75" customHeight="1" s="133">
      <c r="A1054" s="75" t="n"/>
      <c r="B1054" s="75" t="n"/>
      <c r="C1054" s="75" t="n"/>
      <c r="D1054" s="75" t="n"/>
      <c r="E1054" s="76" t="n"/>
      <c r="F1054" s="77" t="n"/>
      <c r="G1054" s="75" t="n"/>
      <c r="H1054" s="75">
        <f>IF(ISBLANK(E1054),"",IF(OR(D1054="Butterfly",D1054="Butterfly ",D1054="Iron Fly", D1054="Iron Fly "),LEN(E1054)-LEN(SUBSTITUTE(E1054,"/",""))+2,LEN(E1054)-LEN(SUBSTITUTE(E1054,"/",""))+1))</f>
        <v/>
      </c>
      <c r="I1054" s="78">
        <f>IF(ISBLANK(G1054),"",IF(D1054="Stock","0",Key!$A$3*H1054*G1054))</f>
        <v/>
      </c>
      <c r="J1054" s="78">
        <f>IF(ISBLANK(E1054),"",IF(ISNUMBER(SEARCH("/",E1054)), IF(LEN(E1054)-LEN(SUBSTITUTE(E1054,"/",""))=1,(RIGHT(E1054,LEN(E1054)-FIND("/",E1054)))-(LEFT(E1054,FIND("/",E1054)-1)),(MID(E1054, SEARCH("/",E1054) + 1, SEARCH("/",E1054, SEARCH("/",E1054)+1) - SEARCH("/",E1054) - 1))-(LEFT(E1054,FIND("/",E1054)-1))), "NA"))</f>
        <v/>
      </c>
      <c r="K1054" s="79">
        <f>IF(A1054&lt;&gt;"", IF(ISBLANK(L1054), TODAY(), K1054), "")</f>
        <v/>
      </c>
      <c r="L1054" s="78" t="n"/>
      <c r="M1054" s="78">
        <f>IF(ISBLANK(L1054),"",IF(D1054="Stock",IF(C1054="Buy",L1054*G1054,IF(C1054="Sell",(L1054*G1054)-I1054, X)),IF(C1054="Buy",(L1054*G1054*100)+I1054,IF(C1054="Sell",(L1054*G1054*100)-I1054, X))))</f>
        <v/>
      </c>
      <c r="N1054" s="78">
        <f>IF(ISBLANK(L1054),"",IF(AND(C1054="Sell",D1054="Stock"),M1054,IF(ISBLANK(L1054),"",IF(C1054="Buy",M1054, IF(AND(C1054="Sell",J1054="NA"),(E1054*G1054*100*0.1)+I1054, IF(C1054="Sell",(J1054-L1054)*(100*G1054)+I1054))))))</f>
        <v/>
      </c>
      <c r="O1054" s="75" t="n"/>
      <c r="P1054" s="75" t="n"/>
      <c r="Q1054" s="75">
        <f>IF(ISBLANK(P1054),"",IF(D1054="Stock",P1054*G1054,IF(P1054=0,"0",G1054*P1054*100-(G1054*$AF$14))))</f>
        <v/>
      </c>
      <c r="R1054" s="79">
        <f>IF(P1054&lt;&gt;"", TODAY(), "")</f>
        <v/>
      </c>
      <c r="S1054" s="78">
        <f>IF(AND(K1054&lt;&gt;"", R1054&lt;&gt;""), R1054-K1054, "")</f>
        <v/>
      </c>
      <c r="T1054" s="78" t="n"/>
      <c r="U1054" s="92">
        <f>IF(ISBLANK(P1054),"",IF(C1054="Buy",Q1054-M1054+T1054, IF(C1054="Sell",M1054-Q1054-T1054, X)))</f>
        <v/>
      </c>
      <c r="V1054" s="81">
        <f>IF(ISBLANK(P1054),"",U1054/N1054)</f>
        <v/>
      </c>
      <c r="W1054" s="81">
        <f>IF(ISBLANK(P1054),"",IF(S1054=0,(365/0.5)*V1054,(365/S1054)*V1054))</f>
        <v/>
      </c>
      <c r="X1054" s="75" t="n"/>
      <c r="Y1054" s="77" t="n"/>
      <c r="Z1054" s="77" t="n"/>
      <c r="AA1054" s="75" t="n"/>
      <c r="AB1054" s="75" t="n"/>
      <c r="AC1054" s="6" t="n"/>
      <c r="AD1054" s="75" t="n"/>
      <c r="AE1054" s="75" t="n"/>
      <c r="AF1054" s="75" t="n"/>
    </row>
    <row r="1055" ht="15.75" customHeight="1" s="133">
      <c r="A1055" s="75" t="n"/>
      <c r="B1055" s="75" t="n"/>
      <c r="C1055" s="75" t="n"/>
      <c r="D1055" s="75" t="n"/>
      <c r="E1055" s="76" t="n"/>
      <c r="F1055" s="77" t="n"/>
      <c r="G1055" s="75" t="n"/>
      <c r="H1055" s="75">
        <f>IF(ISBLANK(E1055),"",IF(OR(D1055="Butterfly",D1055="Butterfly ",D1055="Iron Fly", D1055="Iron Fly "),LEN(E1055)-LEN(SUBSTITUTE(E1055,"/",""))+2,LEN(E1055)-LEN(SUBSTITUTE(E1055,"/",""))+1))</f>
        <v/>
      </c>
      <c r="I1055" s="78">
        <f>IF(ISBLANK(G1055),"",IF(D1055="Stock","0",Key!$A$3*H1055*G1055))</f>
        <v/>
      </c>
      <c r="J1055" s="78">
        <f>IF(ISBLANK(E1055),"",IF(ISNUMBER(SEARCH("/",E1055)), IF(LEN(E1055)-LEN(SUBSTITUTE(E1055,"/",""))=1,(RIGHT(E1055,LEN(E1055)-FIND("/",E1055)))-(LEFT(E1055,FIND("/",E1055)-1)),(MID(E1055, SEARCH("/",E1055) + 1, SEARCH("/",E1055, SEARCH("/",E1055)+1) - SEARCH("/",E1055) - 1))-(LEFT(E1055,FIND("/",E1055)-1))), "NA"))</f>
        <v/>
      </c>
      <c r="K1055" s="79">
        <f>IF(A1055&lt;&gt;"", IF(ISBLANK(L1055), TODAY(), K1055), "")</f>
        <v/>
      </c>
      <c r="L1055" s="78" t="n"/>
      <c r="M1055" s="78">
        <f>IF(ISBLANK(L1055),"",IF(D1055="Stock",IF(C1055="Buy",L1055*G1055,IF(C1055="Sell",(L1055*G1055)-I1055, X)),IF(C1055="Buy",(L1055*G1055*100)+I1055,IF(C1055="Sell",(L1055*G1055*100)-I1055, X))))</f>
        <v/>
      </c>
      <c r="N1055" s="78">
        <f>IF(ISBLANK(L1055),"",IF(AND(C1055="Sell",D1055="Stock"),M1055,IF(ISBLANK(L1055),"",IF(C1055="Buy",M1055, IF(AND(C1055="Sell",J1055="NA"),(E1055*G1055*100*0.1)+I1055, IF(C1055="Sell",(J1055-L1055)*(100*G1055)+I1055))))))</f>
        <v/>
      </c>
      <c r="O1055" s="75" t="n"/>
      <c r="P1055" s="75" t="n"/>
      <c r="Q1055" s="75">
        <f>IF(ISBLANK(P1055),"",IF(D1055="Stock",P1055*G1055,IF(P1055=0,"0",G1055*P1055*100-(G1055*$AF$14))))</f>
        <v/>
      </c>
      <c r="R1055" s="79">
        <f>IF(P1055&lt;&gt;"", TODAY(), "")</f>
        <v/>
      </c>
      <c r="S1055" s="78">
        <f>IF(AND(K1055&lt;&gt;"", R1055&lt;&gt;""), R1055-K1055, "")</f>
        <v/>
      </c>
      <c r="T1055" s="78" t="n"/>
      <c r="U1055" s="92">
        <f>IF(ISBLANK(P1055),"",IF(C1055="Buy",Q1055-M1055+T1055, IF(C1055="Sell",M1055-Q1055-T1055, X)))</f>
        <v/>
      </c>
      <c r="V1055" s="81">
        <f>IF(ISBLANK(P1055),"",U1055/N1055)</f>
        <v/>
      </c>
      <c r="W1055" s="81">
        <f>IF(ISBLANK(P1055),"",IF(S1055=0,(365/0.5)*V1055,(365/S1055)*V1055))</f>
        <v/>
      </c>
      <c r="X1055" s="75" t="n"/>
      <c r="Y1055" s="77" t="n"/>
      <c r="Z1055" s="77" t="n"/>
      <c r="AA1055" s="75" t="n"/>
      <c r="AB1055" s="75" t="n"/>
      <c r="AC1055" s="6" t="n"/>
      <c r="AD1055" s="75" t="n"/>
      <c r="AE1055" s="75" t="n"/>
      <c r="AF1055" s="75" t="n"/>
    </row>
    <row r="1056" ht="15.75" customHeight="1" s="133">
      <c r="A1056" s="75" t="n"/>
      <c r="B1056" s="75" t="n"/>
      <c r="C1056" s="75" t="n"/>
      <c r="D1056" s="75" t="n"/>
      <c r="E1056" s="76" t="n"/>
      <c r="F1056" s="77" t="n"/>
      <c r="G1056" s="75" t="n"/>
      <c r="H1056" s="75">
        <f>IF(ISBLANK(E1056),"",IF(OR(D1056="Butterfly",D1056="Butterfly ",D1056="Iron Fly", D1056="Iron Fly "),LEN(E1056)-LEN(SUBSTITUTE(E1056,"/",""))+2,LEN(E1056)-LEN(SUBSTITUTE(E1056,"/",""))+1))</f>
        <v/>
      </c>
      <c r="I1056" s="78">
        <f>IF(ISBLANK(G1056),"",IF(D1056="Stock","0",Key!$A$3*H1056*G1056))</f>
        <v/>
      </c>
      <c r="J1056" s="78">
        <f>IF(ISBLANK(E1056),"",IF(ISNUMBER(SEARCH("/",E1056)), IF(LEN(E1056)-LEN(SUBSTITUTE(E1056,"/",""))=1,(RIGHT(E1056,LEN(E1056)-FIND("/",E1056)))-(LEFT(E1056,FIND("/",E1056)-1)),(MID(E1056, SEARCH("/",E1056) + 1, SEARCH("/",E1056, SEARCH("/",E1056)+1) - SEARCH("/",E1056) - 1))-(LEFT(E1056,FIND("/",E1056)-1))), "NA"))</f>
        <v/>
      </c>
      <c r="K1056" s="79">
        <f>IF(A1056&lt;&gt;"", IF(ISBLANK(L1056), TODAY(), K1056), "")</f>
        <v/>
      </c>
      <c r="L1056" s="78" t="n"/>
      <c r="M1056" s="78">
        <f>IF(ISBLANK(L1056),"",IF(D1056="Stock",IF(C1056="Buy",L1056*G1056,IF(C1056="Sell",(L1056*G1056)-I1056, X)),IF(C1056="Buy",(L1056*G1056*100)+I1056,IF(C1056="Sell",(L1056*G1056*100)-I1056, X))))</f>
        <v/>
      </c>
      <c r="N1056" s="78">
        <f>IF(ISBLANK(L1056),"",IF(AND(C1056="Sell",D1056="Stock"),M1056,IF(ISBLANK(L1056),"",IF(C1056="Buy",M1056, IF(AND(C1056="Sell",J1056="NA"),(E1056*G1056*100*0.1)+I1056, IF(C1056="Sell",(J1056-L1056)*(100*G1056)+I1056))))))</f>
        <v/>
      </c>
      <c r="O1056" s="75" t="n"/>
      <c r="P1056" s="75" t="n"/>
      <c r="Q1056" s="75">
        <f>IF(ISBLANK(P1056),"",IF(D1056="Stock",P1056*G1056,IF(P1056=0,"0",G1056*P1056*100-(G1056*$AF$14))))</f>
        <v/>
      </c>
      <c r="R1056" s="79">
        <f>IF(P1056&lt;&gt;"", TODAY(), "")</f>
        <v/>
      </c>
      <c r="S1056" s="78">
        <f>IF(AND(K1056&lt;&gt;"", R1056&lt;&gt;""), R1056-K1056, "")</f>
        <v/>
      </c>
      <c r="T1056" s="78" t="n"/>
      <c r="U1056" s="92">
        <f>IF(ISBLANK(P1056),"",IF(C1056="Buy",Q1056-M1056+T1056, IF(C1056="Sell",M1056-Q1056-T1056, X)))</f>
        <v/>
      </c>
      <c r="V1056" s="81">
        <f>IF(ISBLANK(P1056),"",U1056/N1056)</f>
        <v/>
      </c>
      <c r="W1056" s="81">
        <f>IF(ISBLANK(P1056),"",IF(S1056=0,(365/0.5)*V1056,(365/S1056)*V1056))</f>
        <v/>
      </c>
      <c r="X1056" s="75" t="n"/>
      <c r="Y1056" s="77" t="n"/>
      <c r="Z1056" s="77" t="n"/>
      <c r="AA1056" s="75" t="n"/>
      <c r="AB1056" s="75" t="n"/>
      <c r="AC1056" s="6" t="n"/>
      <c r="AD1056" s="75" t="n"/>
      <c r="AE1056" s="75" t="n"/>
      <c r="AF1056" s="75" t="n"/>
    </row>
    <row r="1057" ht="15.75" customHeight="1" s="133">
      <c r="A1057" s="75" t="n"/>
      <c r="B1057" s="75" t="n"/>
      <c r="C1057" s="75" t="n"/>
      <c r="D1057" s="75" t="n"/>
      <c r="E1057" s="76" t="n"/>
      <c r="F1057" s="77" t="n"/>
      <c r="G1057" s="75" t="n"/>
      <c r="H1057" s="75">
        <f>IF(ISBLANK(E1057),"",IF(OR(D1057="Butterfly",D1057="Butterfly ",D1057="Iron Fly", D1057="Iron Fly "),LEN(E1057)-LEN(SUBSTITUTE(E1057,"/",""))+2,LEN(E1057)-LEN(SUBSTITUTE(E1057,"/",""))+1))</f>
        <v/>
      </c>
      <c r="I1057" s="78">
        <f>IF(ISBLANK(G1057),"",IF(D1057="Stock","0",Key!$A$3*H1057*G1057))</f>
        <v/>
      </c>
      <c r="J1057" s="78">
        <f>IF(ISBLANK(E1057),"",IF(ISNUMBER(SEARCH("/",E1057)), IF(LEN(E1057)-LEN(SUBSTITUTE(E1057,"/",""))=1,(RIGHT(E1057,LEN(E1057)-FIND("/",E1057)))-(LEFT(E1057,FIND("/",E1057)-1)),(MID(E1057, SEARCH("/",E1057) + 1, SEARCH("/",E1057, SEARCH("/",E1057)+1) - SEARCH("/",E1057) - 1))-(LEFT(E1057,FIND("/",E1057)-1))), "NA"))</f>
        <v/>
      </c>
      <c r="K1057" s="79">
        <f>IF(A1057&lt;&gt;"", IF(ISBLANK(L1057), TODAY(), K1057), "")</f>
        <v/>
      </c>
      <c r="L1057" s="78" t="n"/>
      <c r="M1057" s="78">
        <f>IF(ISBLANK(L1057),"",IF(D1057="Stock",IF(C1057="Buy",L1057*G1057,IF(C1057="Sell",(L1057*G1057)-I1057, X)),IF(C1057="Buy",(L1057*G1057*100)+I1057,IF(C1057="Sell",(L1057*G1057*100)-I1057, X))))</f>
        <v/>
      </c>
      <c r="N1057" s="78">
        <f>IF(ISBLANK(L1057),"",IF(AND(C1057="Sell",D1057="Stock"),M1057,IF(ISBLANK(L1057),"",IF(C1057="Buy",M1057, IF(AND(C1057="Sell",J1057="NA"),(E1057*G1057*100*0.1)+I1057, IF(C1057="Sell",(J1057-L1057)*(100*G1057)+I1057))))))</f>
        <v/>
      </c>
      <c r="O1057" s="75" t="n"/>
      <c r="P1057" s="75" t="n"/>
      <c r="Q1057" s="75">
        <f>IF(ISBLANK(P1057),"",IF(D1057="Stock",P1057*G1057,IF(P1057=0,"0",G1057*P1057*100-(G1057*$AF$14))))</f>
        <v/>
      </c>
      <c r="R1057" s="79">
        <f>IF(P1057&lt;&gt;"", TODAY(), "")</f>
        <v/>
      </c>
      <c r="S1057" s="78">
        <f>IF(AND(K1057&lt;&gt;"", R1057&lt;&gt;""), R1057-K1057, "")</f>
        <v/>
      </c>
      <c r="T1057" s="78" t="n"/>
      <c r="U1057" s="92">
        <f>IF(ISBLANK(P1057),"",IF(C1057="Buy",Q1057-M1057+T1057, IF(C1057="Sell",M1057-Q1057-T1057, X)))</f>
        <v/>
      </c>
      <c r="V1057" s="81">
        <f>IF(ISBLANK(P1057),"",U1057/N1057)</f>
        <v/>
      </c>
      <c r="W1057" s="81">
        <f>IF(ISBLANK(P1057),"",IF(S1057=0,(365/0.5)*V1057,(365/S1057)*V1057))</f>
        <v/>
      </c>
      <c r="X1057" s="75" t="n"/>
      <c r="Y1057" s="77" t="n"/>
      <c r="Z1057" s="77" t="n"/>
      <c r="AA1057" s="75" t="n"/>
      <c r="AB1057" s="75" t="n"/>
      <c r="AC1057" s="6" t="n"/>
      <c r="AD1057" s="75" t="n"/>
      <c r="AE1057" s="75" t="n"/>
      <c r="AF1057" s="75" t="n"/>
    </row>
    <row r="1058" ht="15.75" customHeight="1" s="133">
      <c r="A1058" s="75" t="n"/>
      <c r="B1058" s="75" t="n"/>
      <c r="C1058" s="75" t="n"/>
      <c r="D1058" s="75" t="n"/>
      <c r="E1058" s="76" t="n"/>
      <c r="F1058" s="77" t="n"/>
      <c r="G1058" s="75" t="n"/>
      <c r="H1058" s="75">
        <f>IF(ISBLANK(E1058),"",IF(OR(D1058="Butterfly",D1058="Butterfly ",D1058="Iron Fly", D1058="Iron Fly "),LEN(E1058)-LEN(SUBSTITUTE(E1058,"/",""))+2,LEN(E1058)-LEN(SUBSTITUTE(E1058,"/",""))+1))</f>
        <v/>
      </c>
      <c r="I1058" s="78">
        <f>IF(ISBLANK(G1058),"",IF(D1058="Stock","0",Key!$A$3*H1058*G1058))</f>
        <v/>
      </c>
      <c r="J1058" s="78">
        <f>IF(ISBLANK(E1058),"",IF(ISNUMBER(SEARCH("/",E1058)), IF(LEN(E1058)-LEN(SUBSTITUTE(E1058,"/",""))=1,(RIGHT(E1058,LEN(E1058)-FIND("/",E1058)))-(LEFT(E1058,FIND("/",E1058)-1)),(MID(E1058, SEARCH("/",E1058) + 1, SEARCH("/",E1058, SEARCH("/",E1058)+1) - SEARCH("/",E1058) - 1))-(LEFT(E1058,FIND("/",E1058)-1))), "NA"))</f>
        <v/>
      </c>
      <c r="K1058" s="79">
        <f>IF(A1058&lt;&gt;"", IF(ISBLANK(L1058), TODAY(), K1058), "")</f>
        <v/>
      </c>
      <c r="L1058" s="78" t="n"/>
      <c r="M1058" s="78">
        <f>IF(ISBLANK(L1058),"",IF(D1058="Stock",IF(C1058="Buy",L1058*G1058,IF(C1058="Sell",(L1058*G1058)-I1058, X)),IF(C1058="Buy",(L1058*G1058*100)+I1058,IF(C1058="Sell",(L1058*G1058*100)-I1058, X))))</f>
        <v/>
      </c>
      <c r="N1058" s="78">
        <f>IF(ISBLANK(L1058),"",IF(AND(C1058="Sell",D1058="Stock"),M1058,IF(ISBLANK(L1058),"",IF(C1058="Buy",M1058, IF(AND(C1058="Sell",J1058="NA"),(E1058*G1058*100*0.1)+I1058, IF(C1058="Sell",(J1058-L1058)*(100*G1058)+I1058))))))</f>
        <v/>
      </c>
      <c r="O1058" s="75" t="n"/>
      <c r="P1058" s="75" t="n"/>
      <c r="Q1058" s="75">
        <f>IF(ISBLANK(P1058),"",IF(D1058="Stock",P1058*G1058,IF(P1058=0,"0",G1058*P1058*100-(G1058*$AF$14))))</f>
        <v/>
      </c>
      <c r="R1058" s="79">
        <f>IF(P1058&lt;&gt;"", TODAY(), "")</f>
        <v/>
      </c>
      <c r="S1058" s="78">
        <f>IF(AND(K1058&lt;&gt;"", R1058&lt;&gt;""), R1058-K1058, "")</f>
        <v/>
      </c>
      <c r="T1058" s="78" t="n"/>
      <c r="U1058" s="92">
        <f>IF(ISBLANK(P1058),"",IF(C1058="Buy",Q1058-M1058+T1058, IF(C1058="Sell",M1058-Q1058-T1058, X)))</f>
        <v/>
      </c>
      <c r="V1058" s="81">
        <f>IF(ISBLANK(P1058),"",U1058/N1058)</f>
        <v/>
      </c>
      <c r="W1058" s="81">
        <f>IF(ISBLANK(P1058),"",IF(S1058=0,(365/0.5)*V1058,(365/S1058)*V1058))</f>
        <v/>
      </c>
      <c r="X1058" s="75" t="n"/>
      <c r="Y1058" s="77" t="n"/>
      <c r="Z1058" s="77" t="n"/>
      <c r="AA1058" s="75" t="n"/>
      <c r="AB1058" s="75" t="n"/>
      <c r="AC1058" s="6" t="n"/>
      <c r="AD1058" s="75" t="n"/>
      <c r="AE1058" s="75" t="n"/>
      <c r="AF1058" s="75" t="n"/>
    </row>
    <row r="1059" ht="15.75" customHeight="1" s="133">
      <c r="A1059" s="75" t="n"/>
      <c r="B1059" s="75" t="n"/>
      <c r="C1059" s="75" t="n"/>
      <c r="D1059" s="75" t="n"/>
      <c r="E1059" s="76" t="n"/>
      <c r="F1059" s="77" t="n"/>
      <c r="G1059" s="75" t="n"/>
      <c r="H1059" s="75">
        <f>IF(ISBLANK(E1059),"",IF(OR(D1059="Butterfly",D1059="Butterfly ",D1059="Iron Fly", D1059="Iron Fly "),LEN(E1059)-LEN(SUBSTITUTE(E1059,"/",""))+2,LEN(E1059)-LEN(SUBSTITUTE(E1059,"/",""))+1))</f>
        <v/>
      </c>
      <c r="I1059" s="78">
        <f>IF(ISBLANK(G1059),"",IF(D1059="Stock","0",Key!$A$3*H1059*G1059))</f>
        <v/>
      </c>
      <c r="J1059" s="78">
        <f>IF(ISBLANK(E1059),"",IF(ISNUMBER(SEARCH("/",E1059)), IF(LEN(E1059)-LEN(SUBSTITUTE(E1059,"/",""))=1,(RIGHT(E1059,LEN(E1059)-FIND("/",E1059)))-(LEFT(E1059,FIND("/",E1059)-1)),(MID(E1059, SEARCH("/",E1059) + 1, SEARCH("/",E1059, SEARCH("/",E1059)+1) - SEARCH("/",E1059) - 1))-(LEFT(E1059,FIND("/",E1059)-1))), "NA"))</f>
        <v/>
      </c>
      <c r="K1059" s="79">
        <f>IF(A1059&lt;&gt;"", IF(ISBLANK(L1059), TODAY(), K1059), "")</f>
        <v/>
      </c>
      <c r="L1059" s="78" t="n"/>
      <c r="M1059" s="78">
        <f>IF(ISBLANK(L1059),"",IF(D1059="Stock",IF(C1059="Buy",L1059*G1059,IF(C1059="Sell",(L1059*G1059)-I1059, X)),IF(C1059="Buy",(L1059*G1059*100)+I1059,IF(C1059="Sell",(L1059*G1059*100)-I1059, X))))</f>
        <v/>
      </c>
      <c r="N1059" s="78">
        <f>IF(ISBLANK(L1059),"",IF(AND(C1059="Sell",D1059="Stock"),M1059,IF(ISBLANK(L1059),"",IF(C1059="Buy",M1059, IF(AND(C1059="Sell",J1059="NA"),(E1059*G1059*100*0.1)+I1059, IF(C1059="Sell",(J1059-L1059)*(100*G1059)+I1059))))))</f>
        <v/>
      </c>
      <c r="O1059" s="75" t="n"/>
      <c r="P1059" s="75" t="n"/>
      <c r="Q1059" s="75">
        <f>IF(ISBLANK(P1059),"",IF(D1059="Stock",P1059*G1059,IF(P1059=0,"0",G1059*P1059*100-(G1059*$AF$14))))</f>
        <v/>
      </c>
      <c r="R1059" s="79">
        <f>IF(P1059&lt;&gt;"", TODAY(), "")</f>
        <v/>
      </c>
      <c r="S1059" s="78">
        <f>IF(AND(K1059&lt;&gt;"", R1059&lt;&gt;""), R1059-K1059, "")</f>
        <v/>
      </c>
      <c r="T1059" s="78" t="n"/>
      <c r="U1059" s="92">
        <f>IF(ISBLANK(P1059),"",IF(C1059="Buy",Q1059-M1059+T1059, IF(C1059="Sell",M1059-Q1059-T1059, X)))</f>
        <v/>
      </c>
      <c r="V1059" s="81">
        <f>IF(ISBLANK(P1059),"",U1059/N1059)</f>
        <v/>
      </c>
      <c r="W1059" s="81">
        <f>IF(ISBLANK(P1059),"",IF(S1059=0,(365/0.5)*V1059,(365/S1059)*V1059))</f>
        <v/>
      </c>
      <c r="X1059" s="75" t="n"/>
      <c r="Y1059" s="77" t="n"/>
      <c r="Z1059" s="77" t="n"/>
      <c r="AA1059" s="75" t="n"/>
      <c r="AB1059" s="75" t="n"/>
      <c r="AC1059" s="6" t="n"/>
      <c r="AD1059" s="75" t="n"/>
      <c r="AE1059" s="75" t="n"/>
      <c r="AF1059" s="75" t="n"/>
    </row>
    <row r="1060" ht="15.75" customHeight="1" s="133">
      <c r="A1060" s="75" t="n"/>
      <c r="B1060" s="75" t="n"/>
      <c r="C1060" s="75" t="n"/>
      <c r="D1060" s="75" t="n"/>
      <c r="E1060" s="76" t="n"/>
      <c r="F1060" s="77" t="n"/>
      <c r="G1060" s="75" t="n"/>
      <c r="H1060" s="75">
        <f>IF(ISBLANK(E1060),"",IF(OR(D1060="Butterfly",D1060="Butterfly ",D1060="Iron Fly", D1060="Iron Fly "),LEN(E1060)-LEN(SUBSTITUTE(E1060,"/",""))+2,LEN(E1060)-LEN(SUBSTITUTE(E1060,"/",""))+1))</f>
        <v/>
      </c>
      <c r="I1060" s="78">
        <f>IF(ISBLANK(G1060),"",IF(D1060="Stock","0",Key!$A$3*H1060*G1060))</f>
        <v/>
      </c>
      <c r="J1060" s="78">
        <f>IF(ISBLANK(E1060),"",IF(ISNUMBER(SEARCH("/",E1060)), IF(LEN(E1060)-LEN(SUBSTITUTE(E1060,"/",""))=1,(RIGHT(E1060,LEN(E1060)-FIND("/",E1060)))-(LEFT(E1060,FIND("/",E1060)-1)),(MID(E1060, SEARCH("/",E1060) + 1, SEARCH("/",E1060, SEARCH("/",E1060)+1) - SEARCH("/",E1060) - 1))-(LEFT(E1060,FIND("/",E1060)-1))), "NA"))</f>
        <v/>
      </c>
      <c r="K1060" s="79">
        <f>IF(A1060&lt;&gt;"", IF(ISBLANK(L1060), TODAY(), K1060), "")</f>
        <v/>
      </c>
      <c r="L1060" s="78" t="n"/>
      <c r="M1060" s="78">
        <f>IF(ISBLANK(L1060),"",IF(D1060="Stock",IF(C1060="Buy",L1060*G1060,IF(C1060="Sell",(L1060*G1060)-I1060, X)),IF(C1060="Buy",(L1060*G1060*100)+I1060,IF(C1060="Sell",(L1060*G1060*100)-I1060, X))))</f>
        <v/>
      </c>
      <c r="N1060" s="78">
        <f>IF(ISBLANK(L1060),"",IF(AND(C1060="Sell",D1060="Stock"),M1060,IF(ISBLANK(L1060),"",IF(C1060="Buy",M1060, IF(AND(C1060="Sell",J1060="NA"),(E1060*G1060*100*0.1)+I1060, IF(C1060="Sell",(J1060-L1060)*(100*G1060)+I1060))))))</f>
        <v/>
      </c>
      <c r="O1060" s="75" t="n"/>
      <c r="P1060" s="75" t="n"/>
      <c r="Q1060" s="75">
        <f>IF(ISBLANK(P1060),"",IF(D1060="Stock",P1060*G1060,IF(P1060=0,"0",G1060*P1060*100-(G1060*$AF$14))))</f>
        <v/>
      </c>
      <c r="R1060" s="79">
        <f>IF(P1060&lt;&gt;"", TODAY(), "")</f>
        <v/>
      </c>
      <c r="S1060" s="78">
        <f>IF(AND(K1060&lt;&gt;"", R1060&lt;&gt;""), R1060-K1060, "")</f>
        <v/>
      </c>
      <c r="T1060" s="78" t="n"/>
      <c r="U1060" s="92">
        <f>IF(ISBLANK(P1060),"",IF(C1060="Buy",Q1060-M1060+T1060, IF(C1060="Sell",M1060-Q1060-T1060, X)))</f>
        <v/>
      </c>
      <c r="V1060" s="81">
        <f>IF(ISBLANK(P1060),"",U1060/N1060)</f>
        <v/>
      </c>
      <c r="W1060" s="81">
        <f>IF(ISBLANK(P1060),"",IF(S1060=0,(365/0.5)*V1060,(365/S1060)*V1060))</f>
        <v/>
      </c>
      <c r="X1060" s="75" t="n"/>
      <c r="Y1060" s="77" t="n"/>
      <c r="Z1060" s="77" t="n"/>
      <c r="AA1060" s="75" t="n"/>
      <c r="AB1060" s="75" t="n"/>
      <c r="AC1060" s="6" t="n"/>
      <c r="AD1060" s="75" t="n"/>
      <c r="AE1060" s="75" t="n"/>
      <c r="AF1060" s="75" t="n"/>
    </row>
    <row r="1061" ht="15.75" customHeight="1" s="133">
      <c r="A1061" s="75" t="n"/>
      <c r="B1061" s="75" t="n"/>
      <c r="C1061" s="75" t="n"/>
      <c r="D1061" s="75" t="n"/>
      <c r="E1061" s="76" t="n"/>
      <c r="F1061" s="77" t="n"/>
      <c r="G1061" s="75" t="n"/>
      <c r="H1061" s="75">
        <f>IF(ISBLANK(E1061),"",IF(OR(D1061="Butterfly",D1061="Butterfly ",D1061="Iron Fly", D1061="Iron Fly "),LEN(E1061)-LEN(SUBSTITUTE(E1061,"/",""))+2,LEN(E1061)-LEN(SUBSTITUTE(E1061,"/",""))+1))</f>
        <v/>
      </c>
      <c r="I1061" s="78">
        <f>IF(ISBLANK(G1061),"",IF(D1061="Stock","0",Key!$A$3*H1061*G1061))</f>
        <v/>
      </c>
      <c r="J1061" s="78">
        <f>IF(ISBLANK(E1061),"",IF(ISNUMBER(SEARCH("/",E1061)), IF(LEN(E1061)-LEN(SUBSTITUTE(E1061,"/",""))=1,(RIGHT(E1061,LEN(E1061)-FIND("/",E1061)))-(LEFT(E1061,FIND("/",E1061)-1)),(MID(E1061, SEARCH("/",E1061) + 1, SEARCH("/",E1061, SEARCH("/",E1061)+1) - SEARCH("/",E1061) - 1))-(LEFT(E1061,FIND("/",E1061)-1))), "NA"))</f>
        <v/>
      </c>
      <c r="K1061" s="79">
        <f>IF(A1061&lt;&gt;"", IF(ISBLANK(L1061), TODAY(), K1061), "")</f>
        <v/>
      </c>
      <c r="L1061" s="78" t="n"/>
      <c r="M1061" s="78">
        <f>IF(ISBLANK(L1061),"",IF(D1061="Stock",IF(C1061="Buy",L1061*G1061,IF(C1061="Sell",(L1061*G1061)-I1061, X)),IF(C1061="Buy",(L1061*G1061*100)+I1061,IF(C1061="Sell",(L1061*G1061*100)-I1061, X))))</f>
        <v/>
      </c>
      <c r="N1061" s="78">
        <f>IF(ISBLANK(L1061),"",IF(AND(C1061="Sell",D1061="Stock"),M1061,IF(ISBLANK(L1061),"",IF(C1061="Buy",M1061, IF(AND(C1061="Sell",J1061="NA"),(E1061*G1061*100*0.1)+I1061, IF(C1061="Sell",(J1061-L1061)*(100*G1061)+I1061))))))</f>
        <v/>
      </c>
      <c r="O1061" s="75" t="n"/>
      <c r="P1061" s="75" t="n"/>
      <c r="Q1061" s="75">
        <f>IF(ISBLANK(P1061),"",IF(D1061="Stock",P1061*G1061,IF(P1061=0,"0",G1061*P1061*100-(G1061*$AF$14))))</f>
        <v/>
      </c>
      <c r="R1061" s="79">
        <f>IF(P1061&lt;&gt;"", TODAY(), "")</f>
        <v/>
      </c>
      <c r="S1061" s="78">
        <f>IF(AND(K1061&lt;&gt;"", R1061&lt;&gt;""), R1061-K1061, "")</f>
        <v/>
      </c>
      <c r="T1061" s="78" t="n"/>
      <c r="U1061" s="92">
        <f>IF(ISBLANK(P1061),"",IF(C1061="Buy",Q1061-M1061+T1061, IF(C1061="Sell",M1061-Q1061-T1061, X)))</f>
        <v/>
      </c>
      <c r="V1061" s="81">
        <f>IF(ISBLANK(P1061),"",U1061/N1061)</f>
        <v/>
      </c>
      <c r="W1061" s="81">
        <f>IF(ISBLANK(P1061),"",IF(S1061=0,(365/0.5)*V1061,(365/S1061)*V1061))</f>
        <v/>
      </c>
      <c r="X1061" s="75" t="n"/>
      <c r="Y1061" s="77" t="n"/>
      <c r="Z1061" s="77" t="n"/>
      <c r="AA1061" s="75" t="n"/>
      <c r="AB1061" s="75" t="n"/>
      <c r="AC1061" s="6" t="n"/>
      <c r="AD1061" s="75" t="n"/>
      <c r="AE1061" s="75" t="n"/>
      <c r="AF1061" s="75" t="n"/>
    </row>
    <row r="1062" ht="15.75" customHeight="1" s="133">
      <c r="A1062" s="75" t="n"/>
      <c r="B1062" s="75" t="n"/>
      <c r="C1062" s="75" t="n"/>
      <c r="D1062" s="75" t="n"/>
      <c r="E1062" s="76" t="n"/>
      <c r="F1062" s="77" t="n"/>
      <c r="G1062" s="75" t="n"/>
      <c r="H1062" s="75">
        <f>IF(ISBLANK(E1062),"",IF(OR(D1062="Butterfly",D1062="Butterfly ",D1062="Iron Fly", D1062="Iron Fly "),LEN(E1062)-LEN(SUBSTITUTE(E1062,"/",""))+2,LEN(E1062)-LEN(SUBSTITUTE(E1062,"/",""))+1))</f>
        <v/>
      </c>
      <c r="I1062" s="78">
        <f>IF(ISBLANK(G1062),"",IF(D1062="Stock","0",Key!$A$3*H1062*G1062))</f>
        <v/>
      </c>
      <c r="J1062" s="78">
        <f>IF(ISBLANK(E1062),"",IF(ISNUMBER(SEARCH("/",E1062)), IF(LEN(E1062)-LEN(SUBSTITUTE(E1062,"/",""))=1,(RIGHT(E1062,LEN(E1062)-FIND("/",E1062)))-(LEFT(E1062,FIND("/",E1062)-1)),(MID(E1062, SEARCH("/",E1062) + 1, SEARCH("/",E1062, SEARCH("/",E1062)+1) - SEARCH("/",E1062) - 1))-(LEFT(E1062,FIND("/",E1062)-1))), "NA"))</f>
        <v/>
      </c>
      <c r="K1062" s="79">
        <f>IF(A1062&lt;&gt;"", IF(ISBLANK(L1062), TODAY(), K1062), "")</f>
        <v/>
      </c>
      <c r="L1062" s="78" t="n"/>
      <c r="M1062" s="78">
        <f>IF(ISBLANK(L1062),"",IF(D1062="Stock",IF(C1062="Buy",L1062*G1062,IF(C1062="Sell",(L1062*G1062)-I1062, X)),IF(C1062="Buy",(L1062*G1062*100)+I1062,IF(C1062="Sell",(L1062*G1062*100)-I1062, X))))</f>
        <v/>
      </c>
      <c r="N1062" s="78">
        <f>IF(ISBLANK(L1062),"",IF(AND(C1062="Sell",D1062="Stock"),M1062,IF(ISBLANK(L1062),"",IF(C1062="Buy",M1062, IF(AND(C1062="Sell",J1062="NA"),(E1062*G1062*100*0.1)+I1062, IF(C1062="Sell",(J1062-L1062)*(100*G1062)+I1062))))))</f>
        <v/>
      </c>
      <c r="O1062" s="75" t="n"/>
      <c r="P1062" s="75" t="n"/>
      <c r="Q1062" s="75">
        <f>IF(ISBLANK(P1062),"",IF(D1062="Stock",P1062*G1062,IF(P1062=0,"0",G1062*P1062*100-(G1062*$AF$14))))</f>
        <v/>
      </c>
      <c r="R1062" s="79">
        <f>IF(P1062&lt;&gt;"", TODAY(), "")</f>
        <v/>
      </c>
      <c r="S1062" s="78">
        <f>IF(AND(K1062&lt;&gt;"", R1062&lt;&gt;""), R1062-K1062, "")</f>
        <v/>
      </c>
      <c r="T1062" s="78" t="n"/>
      <c r="U1062" s="92">
        <f>IF(ISBLANK(P1062),"",IF(C1062="Buy",Q1062-M1062+T1062, IF(C1062="Sell",M1062-Q1062-T1062, X)))</f>
        <v/>
      </c>
      <c r="V1062" s="81">
        <f>IF(ISBLANK(P1062),"",U1062/N1062)</f>
        <v/>
      </c>
      <c r="W1062" s="81">
        <f>IF(ISBLANK(P1062),"",IF(S1062=0,(365/0.5)*V1062,(365/S1062)*V1062))</f>
        <v/>
      </c>
      <c r="X1062" s="75" t="n"/>
      <c r="Y1062" s="77" t="n"/>
      <c r="Z1062" s="77" t="n"/>
      <c r="AA1062" s="75" t="n"/>
      <c r="AB1062" s="75" t="n"/>
      <c r="AC1062" s="6" t="n"/>
      <c r="AD1062" s="75" t="n"/>
      <c r="AE1062" s="75" t="n"/>
      <c r="AF1062" s="75" t="n"/>
    </row>
    <row r="1063" ht="15.75" customHeight="1" s="133">
      <c r="A1063" s="75" t="n"/>
      <c r="B1063" s="75" t="n"/>
      <c r="C1063" s="75" t="n"/>
      <c r="D1063" s="75" t="n"/>
      <c r="E1063" s="76" t="n"/>
      <c r="F1063" s="77" t="n"/>
      <c r="G1063" s="75" t="n"/>
      <c r="H1063" s="75">
        <f>IF(ISBLANK(E1063),"",IF(OR(D1063="Butterfly",D1063="Butterfly ",D1063="Iron Fly", D1063="Iron Fly "),LEN(E1063)-LEN(SUBSTITUTE(E1063,"/",""))+2,LEN(E1063)-LEN(SUBSTITUTE(E1063,"/",""))+1))</f>
        <v/>
      </c>
      <c r="I1063" s="78">
        <f>IF(ISBLANK(G1063),"",IF(D1063="Stock","0",Key!$A$3*H1063*G1063))</f>
        <v/>
      </c>
      <c r="J1063" s="78">
        <f>IF(ISBLANK(E1063),"",IF(ISNUMBER(SEARCH("/",E1063)), IF(LEN(E1063)-LEN(SUBSTITUTE(E1063,"/",""))=1,(RIGHT(E1063,LEN(E1063)-FIND("/",E1063)))-(LEFT(E1063,FIND("/",E1063)-1)),(MID(E1063, SEARCH("/",E1063) + 1, SEARCH("/",E1063, SEARCH("/",E1063)+1) - SEARCH("/",E1063) - 1))-(LEFT(E1063,FIND("/",E1063)-1))), "NA"))</f>
        <v/>
      </c>
      <c r="K1063" s="79">
        <f>IF(A1063&lt;&gt;"", IF(ISBLANK(L1063), TODAY(), K1063), "")</f>
        <v/>
      </c>
      <c r="L1063" s="78" t="n"/>
      <c r="M1063" s="78">
        <f>IF(ISBLANK(L1063),"",IF(D1063="Stock",IF(C1063="Buy",L1063*G1063,IF(C1063="Sell",(L1063*G1063)-I1063, X)),IF(C1063="Buy",(L1063*G1063*100)+I1063,IF(C1063="Sell",(L1063*G1063*100)-I1063, X))))</f>
        <v/>
      </c>
      <c r="N1063" s="78">
        <f>IF(ISBLANK(L1063),"",IF(AND(C1063="Sell",D1063="Stock"),M1063,IF(ISBLANK(L1063),"",IF(C1063="Buy",M1063, IF(AND(C1063="Sell",J1063="NA"),(E1063*G1063*100*0.1)+I1063, IF(C1063="Sell",(J1063-L1063)*(100*G1063)+I1063))))))</f>
        <v/>
      </c>
      <c r="O1063" s="75" t="n"/>
      <c r="P1063" s="75" t="n"/>
      <c r="Q1063" s="75">
        <f>IF(ISBLANK(P1063),"",IF(D1063="Stock",P1063*G1063,IF(P1063=0,"0",G1063*P1063*100-(G1063*$AF$14))))</f>
        <v/>
      </c>
      <c r="R1063" s="79">
        <f>IF(P1063&lt;&gt;"", TODAY(), "")</f>
        <v/>
      </c>
      <c r="S1063" s="78">
        <f>IF(AND(K1063&lt;&gt;"", R1063&lt;&gt;""), R1063-K1063, "")</f>
        <v/>
      </c>
      <c r="T1063" s="78" t="n"/>
      <c r="U1063" s="92">
        <f>IF(ISBLANK(P1063),"",IF(C1063="Buy",Q1063-M1063+T1063, IF(C1063="Sell",M1063-Q1063-T1063, X)))</f>
        <v/>
      </c>
      <c r="V1063" s="81">
        <f>IF(ISBLANK(P1063),"",U1063/N1063)</f>
        <v/>
      </c>
      <c r="W1063" s="81">
        <f>IF(ISBLANK(P1063),"",IF(S1063=0,(365/0.5)*V1063,(365/S1063)*V1063))</f>
        <v/>
      </c>
      <c r="X1063" s="75" t="n"/>
      <c r="Y1063" s="77" t="n"/>
      <c r="Z1063" s="77" t="n"/>
      <c r="AA1063" s="75" t="n"/>
      <c r="AB1063" s="75" t="n"/>
      <c r="AC1063" s="6" t="n"/>
      <c r="AD1063" s="75" t="n"/>
      <c r="AE1063" s="75" t="n"/>
      <c r="AF1063" s="75" t="n"/>
    </row>
    <row r="1064" ht="15.75" customHeight="1" s="133">
      <c r="A1064" s="75" t="n"/>
      <c r="B1064" s="75" t="n"/>
      <c r="C1064" s="75" t="n"/>
      <c r="D1064" s="75" t="n"/>
      <c r="E1064" s="76" t="n"/>
      <c r="F1064" s="77" t="n"/>
      <c r="G1064" s="75" t="n"/>
      <c r="H1064" s="75">
        <f>IF(ISBLANK(E1064),"",IF(OR(D1064="Butterfly",D1064="Butterfly ",D1064="Iron Fly", D1064="Iron Fly "),LEN(E1064)-LEN(SUBSTITUTE(E1064,"/",""))+2,LEN(E1064)-LEN(SUBSTITUTE(E1064,"/",""))+1))</f>
        <v/>
      </c>
      <c r="I1064" s="78">
        <f>IF(ISBLANK(G1064),"",IF(D1064="Stock","0",Key!$A$3*H1064*G1064))</f>
        <v/>
      </c>
      <c r="J1064" s="78">
        <f>IF(ISBLANK(E1064),"",IF(ISNUMBER(SEARCH("/",E1064)), IF(LEN(E1064)-LEN(SUBSTITUTE(E1064,"/",""))=1,(RIGHT(E1064,LEN(E1064)-FIND("/",E1064)))-(LEFT(E1064,FIND("/",E1064)-1)),(MID(E1064, SEARCH("/",E1064) + 1, SEARCH("/",E1064, SEARCH("/",E1064)+1) - SEARCH("/",E1064) - 1))-(LEFT(E1064,FIND("/",E1064)-1))), "NA"))</f>
        <v/>
      </c>
      <c r="K1064" s="79">
        <f>IF(A1064&lt;&gt;"", IF(ISBLANK(L1064), TODAY(), K1064), "")</f>
        <v/>
      </c>
      <c r="L1064" s="78" t="n"/>
      <c r="M1064" s="78">
        <f>IF(ISBLANK(L1064),"",IF(D1064="Stock",IF(C1064="Buy",L1064*G1064,IF(C1064="Sell",(L1064*G1064)-I1064, X)),IF(C1064="Buy",(L1064*G1064*100)+I1064,IF(C1064="Sell",(L1064*G1064*100)-I1064, X))))</f>
        <v/>
      </c>
      <c r="N1064" s="78">
        <f>IF(ISBLANK(L1064),"",IF(AND(C1064="Sell",D1064="Stock"),M1064,IF(ISBLANK(L1064),"",IF(C1064="Buy",M1064, IF(AND(C1064="Sell",J1064="NA"),(E1064*G1064*100*0.1)+I1064, IF(C1064="Sell",(J1064-L1064)*(100*G1064)+I1064))))))</f>
        <v/>
      </c>
      <c r="O1064" s="75" t="n"/>
      <c r="P1064" s="75" t="n"/>
      <c r="Q1064" s="75">
        <f>IF(ISBLANK(P1064),"",IF(D1064="Stock",P1064*G1064,IF(P1064=0,"0",G1064*P1064*100-(G1064*$AF$14))))</f>
        <v/>
      </c>
      <c r="R1064" s="79">
        <f>IF(P1064&lt;&gt;"", TODAY(), "")</f>
        <v/>
      </c>
      <c r="S1064" s="78">
        <f>IF(AND(K1064&lt;&gt;"", R1064&lt;&gt;""), R1064-K1064, "")</f>
        <v/>
      </c>
      <c r="T1064" s="78" t="n"/>
      <c r="U1064" s="92">
        <f>IF(ISBLANK(P1064),"",IF(C1064="Buy",Q1064-M1064+T1064, IF(C1064="Sell",M1064-Q1064-T1064, X)))</f>
        <v/>
      </c>
      <c r="V1064" s="81">
        <f>IF(ISBLANK(P1064),"",U1064/N1064)</f>
        <v/>
      </c>
      <c r="W1064" s="81">
        <f>IF(ISBLANK(P1064),"",IF(S1064=0,(365/0.5)*V1064,(365/S1064)*V1064))</f>
        <v/>
      </c>
      <c r="X1064" s="75" t="n"/>
      <c r="Y1064" s="77" t="n"/>
      <c r="Z1064" s="77" t="n"/>
      <c r="AA1064" s="75" t="n"/>
      <c r="AB1064" s="75" t="n"/>
      <c r="AC1064" s="6" t="n"/>
      <c r="AD1064" s="75" t="n"/>
      <c r="AE1064" s="75" t="n"/>
      <c r="AF1064" s="75" t="n"/>
    </row>
    <row r="1065" ht="15.75" customHeight="1" s="133">
      <c r="A1065" s="75" t="n"/>
      <c r="B1065" s="75" t="n"/>
      <c r="C1065" s="75" t="n"/>
      <c r="D1065" s="75" t="n"/>
      <c r="E1065" s="76" t="n"/>
      <c r="F1065" s="77" t="n"/>
      <c r="G1065" s="75" t="n"/>
      <c r="H1065" s="75">
        <f>IF(ISBLANK(E1065),"",IF(OR(D1065="Butterfly",D1065="Butterfly ",D1065="Iron Fly", D1065="Iron Fly "),LEN(E1065)-LEN(SUBSTITUTE(E1065,"/",""))+2,LEN(E1065)-LEN(SUBSTITUTE(E1065,"/",""))+1))</f>
        <v/>
      </c>
      <c r="I1065" s="78">
        <f>IF(ISBLANK(G1065),"",IF(D1065="Stock","0",Key!$A$3*H1065*G1065))</f>
        <v/>
      </c>
      <c r="J1065" s="78">
        <f>IF(ISBLANK(E1065),"",IF(ISNUMBER(SEARCH("/",E1065)), IF(LEN(E1065)-LEN(SUBSTITUTE(E1065,"/",""))=1,(RIGHT(E1065,LEN(E1065)-FIND("/",E1065)))-(LEFT(E1065,FIND("/",E1065)-1)),(MID(E1065, SEARCH("/",E1065) + 1, SEARCH("/",E1065, SEARCH("/",E1065)+1) - SEARCH("/",E1065) - 1))-(LEFT(E1065,FIND("/",E1065)-1))), "NA"))</f>
        <v/>
      </c>
      <c r="K1065" s="79">
        <f>IF(A1065&lt;&gt;"", IF(ISBLANK(L1065), TODAY(), K1065), "")</f>
        <v/>
      </c>
      <c r="L1065" s="78" t="n"/>
      <c r="M1065" s="78">
        <f>IF(ISBLANK(L1065),"",IF(D1065="Stock",IF(C1065="Buy",L1065*G1065,IF(C1065="Sell",(L1065*G1065)-I1065, X)),IF(C1065="Buy",(L1065*G1065*100)+I1065,IF(C1065="Sell",(L1065*G1065*100)-I1065, X))))</f>
        <v/>
      </c>
      <c r="N1065" s="78">
        <f>IF(ISBLANK(L1065),"",IF(AND(C1065="Sell",D1065="Stock"),M1065,IF(ISBLANK(L1065),"",IF(C1065="Buy",M1065, IF(AND(C1065="Sell",J1065="NA"),(E1065*G1065*100*0.1)+I1065, IF(C1065="Sell",(J1065-L1065)*(100*G1065)+I1065))))))</f>
        <v/>
      </c>
      <c r="O1065" s="75" t="n"/>
      <c r="P1065" s="75" t="n"/>
      <c r="Q1065" s="75">
        <f>IF(ISBLANK(P1065),"",IF(D1065="Stock",P1065*G1065,IF(P1065=0,"0",G1065*P1065*100-(G1065*$AF$14))))</f>
        <v/>
      </c>
      <c r="R1065" s="79">
        <f>IF(P1065&lt;&gt;"", TODAY(), "")</f>
        <v/>
      </c>
      <c r="S1065" s="78">
        <f>IF(AND(K1065&lt;&gt;"", R1065&lt;&gt;""), R1065-K1065, "")</f>
        <v/>
      </c>
      <c r="T1065" s="78" t="n"/>
      <c r="U1065" s="92">
        <f>IF(ISBLANK(P1065),"",IF(C1065="Buy",Q1065-M1065+T1065, IF(C1065="Sell",M1065-Q1065-T1065, X)))</f>
        <v/>
      </c>
      <c r="V1065" s="81">
        <f>IF(ISBLANK(P1065),"",U1065/N1065)</f>
        <v/>
      </c>
      <c r="W1065" s="81">
        <f>IF(ISBLANK(P1065),"",IF(S1065=0,(365/0.5)*V1065,(365/S1065)*V1065))</f>
        <v/>
      </c>
      <c r="X1065" s="75" t="n"/>
      <c r="Y1065" s="77" t="n"/>
      <c r="Z1065" s="77" t="n"/>
      <c r="AA1065" s="75" t="n"/>
      <c r="AB1065" s="75" t="n"/>
      <c r="AC1065" s="6" t="n"/>
      <c r="AD1065" s="75" t="n"/>
      <c r="AE1065" s="75" t="n"/>
      <c r="AF1065" s="75" t="n"/>
    </row>
    <row r="1066" ht="15.75" customHeight="1" s="133">
      <c r="A1066" s="75" t="n"/>
      <c r="B1066" s="75" t="n"/>
      <c r="C1066" s="75" t="n"/>
      <c r="D1066" s="75" t="n"/>
      <c r="E1066" s="76" t="n"/>
      <c r="F1066" s="77" t="n"/>
      <c r="G1066" s="75" t="n"/>
      <c r="H1066" s="75">
        <f>IF(ISBLANK(E1066),"",IF(OR(D1066="Butterfly",D1066="Butterfly ",D1066="Iron Fly", D1066="Iron Fly "),LEN(E1066)-LEN(SUBSTITUTE(E1066,"/",""))+2,LEN(E1066)-LEN(SUBSTITUTE(E1066,"/",""))+1))</f>
        <v/>
      </c>
      <c r="I1066" s="78">
        <f>IF(ISBLANK(G1066),"",IF(D1066="Stock","0",Key!$A$3*H1066*G1066))</f>
        <v/>
      </c>
      <c r="J1066" s="78">
        <f>IF(ISBLANK(E1066),"",IF(ISNUMBER(SEARCH("/",E1066)), IF(LEN(E1066)-LEN(SUBSTITUTE(E1066,"/",""))=1,(RIGHT(E1066,LEN(E1066)-FIND("/",E1066)))-(LEFT(E1066,FIND("/",E1066)-1)),(MID(E1066, SEARCH("/",E1066) + 1, SEARCH("/",E1066, SEARCH("/",E1066)+1) - SEARCH("/",E1066) - 1))-(LEFT(E1066,FIND("/",E1066)-1))), "NA"))</f>
        <v/>
      </c>
      <c r="K1066" s="79">
        <f>IF(A1066&lt;&gt;"", IF(ISBLANK(L1066), TODAY(), K1066), "")</f>
        <v/>
      </c>
      <c r="L1066" s="78" t="n"/>
      <c r="M1066" s="78">
        <f>IF(ISBLANK(L1066),"",IF(D1066="Stock",IF(C1066="Buy",L1066*G1066,IF(C1066="Sell",(L1066*G1066)-I1066, X)),IF(C1066="Buy",(L1066*G1066*100)+I1066,IF(C1066="Sell",(L1066*G1066*100)-I1066, X))))</f>
        <v/>
      </c>
      <c r="N1066" s="78">
        <f>IF(ISBLANK(L1066),"",IF(AND(C1066="Sell",D1066="Stock"),M1066,IF(ISBLANK(L1066),"",IF(C1066="Buy",M1066, IF(AND(C1066="Sell",J1066="NA"),(E1066*G1066*100*0.1)+I1066, IF(C1066="Sell",(J1066-L1066)*(100*G1066)+I1066))))))</f>
        <v/>
      </c>
      <c r="O1066" s="75" t="n"/>
      <c r="P1066" s="75" t="n"/>
      <c r="Q1066" s="75">
        <f>IF(ISBLANK(P1066),"",IF(D1066="Stock",P1066*G1066,IF(P1066=0,"0",G1066*P1066*100-(G1066*$AF$14))))</f>
        <v/>
      </c>
      <c r="R1066" s="79">
        <f>IF(P1066&lt;&gt;"", TODAY(), "")</f>
        <v/>
      </c>
      <c r="S1066" s="78">
        <f>IF(AND(K1066&lt;&gt;"", R1066&lt;&gt;""), R1066-K1066, "")</f>
        <v/>
      </c>
      <c r="T1066" s="78" t="n"/>
      <c r="U1066" s="92">
        <f>IF(ISBLANK(P1066),"",IF(C1066="Buy",Q1066-M1066+T1066, IF(C1066="Sell",M1066-Q1066-T1066, X)))</f>
        <v/>
      </c>
      <c r="V1066" s="81">
        <f>IF(ISBLANK(P1066),"",U1066/N1066)</f>
        <v/>
      </c>
      <c r="W1066" s="81">
        <f>IF(ISBLANK(P1066),"",IF(S1066=0,(365/0.5)*V1066,(365/S1066)*V1066))</f>
        <v/>
      </c>
      <c r="X1066" s="75" t="n"/>
      <c r="Y1066" s="77" t="n"/>
      <c r="Z1066" s="77" t="n"/>
      <c r="AA1066" s="75" t="n"/>
      <c r="AB1066" s="75" t="n"/>
      <c r="AC1066" s="6" t="n"/>
      <c r="AD1066" s="75" t="n"/>
      <c r="AE1066" s="75" t="n"/>
      <c r="AF1066" s="75" t="n"/>
    </row>
    <row r="1067" ht="15.75" customHeight="1" s="133">
      <c r="A1067" s="75" t="n"/>
      <c r="B1067" s="75" t="n"/>
      <c r="C1067" s="75" t="n"/>
      <c r="D1067" s="75" t="n"/>
      <c r="E1067" s="76" t="n"/>
      <c r="F1067" s="77" t="n"/>
      <c r="G1067" s="75" t="n"/>
      <c r="H1067" s="75">
        <f>IF(ISBLANK(E1067),"",IF(OR(D1067="Butterfly",D1067="Butterfly ",D1067="Iron Fly", D1067="Iron Fly "),LEN(E1067)-LEN(SUBSTITUTE(E1067,"/",""))+2,LEN(E1067)-LEN(SUBSTITUTE(E1067,"/",""))+1))</f>
        <v/>
      </c>
      <c r="I1067" s="78">
        <f>IF(ISBLANK(G1067),"",IF(D1067="Stock","0",Key!$A$3*H1067*G1067))</f>
        <v/>
      </c>
      <c r="J1067" s="78">
        <f>IF(ISBLANK(E1067),"",IF(ISNUMBER(SEARCH("/",E1067)), IF(LEN(E1067)-LEN(SUBSTITUTE(E1067,"/",""))=1,(RIGHT(E1067,LEN(E1067)-FIND("/",E1067)))-(LEFT(E1067,FIND("/",E1067)-1)),(MID(E1067, SEARCH("/",E1067) + 1, SEARCH("/",E1067, SEARCH("/",E1067)+1) - SEARCH("/",E1067) - 1))-(LEFT(E1067,FIND("/",E1067)-1))), "NA"))</f>
        <v/>
      </c>
      <c r="K1067" s="79">
        <f>IF(A1067&lt;&gt;"", IF(ISBLANK(L1067), TODAY(), K1067), "")</f>
        <v/>
      </c>
      <c r="L1067" s="78" t="n"/>
      <c r="M1067" s="78">
        <f>IF(ISBLANK(L1067),"",IF(D1067="Stock",IF(C1067="Buy",L1067*G1067,IF(C1067="Sell",(L1067*G1067)-I1067, X)),IF(C1067="Buy",(L1067*G1067*100)+I1067,IF(C1067="Sell",(L1067*G1067*100)-I1067, X))))</f>
        <v/>
      </c>
      <c r="N1067" s="78">
        <f>IF(ISBLANK(L1067),"",IF(AND(C1067="Sell",D1067="Stock"),M1067,IF(ISBLANK(L1067),"",IF(C1067="Buy",M1067, IF(AND(C1067="Sell",J1067="NA"),(E1067*G1067*100*0.1)+I1067, IF(C1067="Sell",(J1067-L1067)*(100*G1067)+I1067))))))</f>
        <v/>
      </c>
      <c r="O1067" s="75" t="n"/>
      <c r="P1067" s="75" t="n"/>
      <c r="Q1067" s="75">
        <f>IF(ISBLANK(P1067),"",IF(D1067="Stock",P1067*G1067,IF(P1067=0,"0",G1067*P1067*100-(G1067*$AF$14))))</f>
        <v/>
      </c>
      <c r="R1067" s="79">
        <f>IF(P1067&lt;&gt;"", TODAY(), "")</f>
        <v/>
      </c>
      <c r="S1067" s="78">
        <f>IF(AND(K1067&lt;&gt;"", R1067&lt;&gt;""), R1067-K1067, "")</f>
        <v/>
      </c>
      <c r="T1067" s="78" t="n"/>
      <c r="U1067" s="92">
        <f>IF(ISBLANK(P1067),"",IF(C1067="Buy",Q1067-M1067+T1067, IF(C1067="Sell",M1067-Q1067-T1067, X)))</f>
        <v/>
      </c>
      <c r="V1067" s="81">
        <f>IF(ISBLANK(P1067),"",U1067/N1067)</f>
        <v/>
      </c>
      <c r="W1067" s="81">
        <f>IF(ISBLANK(P1067),"",IF(S1067=0,(365/0.5)*V1067,(365/S1067)*V1067))</f>
        <v/>
      </c>
      <c r="X1067" s="75" t="n"/>
      <c r="Y1067" s="77" t="n"/>
      <c r="Z1067" s="77" t="n"/>
      <c r="AA1067" s="75" t="n"/>
      <c r="AB1067" s="75" t="n"/>
      <c r="AC1067" s="6" t="n"/>
      <c r="AD1067" s="75" t="n"/>
      <c r="AE1067" s="75" t="n"/>
      <c r="AF1067" s="75" t="n"/>
    </row>
    <row r="1068" ht="15.75" customHeight="1" s="133">
      <c r="A1068" s="75" t="n"/>
      <c r="B1068" s="75" t="n"/>
      <c r="C1068" s="75" t="n"/>
      <c r="D1068" s="75" t="n"/>
      <c r="E1068" s="76" t="n"/>
      <c r="F1068" s="77" t="n"/>
      <c r="G1068" s="75" t="n"/>
      <c r="H1068" s="75">
        <f>IF(ISBLANK(E1068),"",IF(OR(D1068="Butterfly",D1068="Butterfly ",D1068="Iron Fly", D1068="Iron Fly "),LEN(E1068)-LEN(SUBSTITUTE(E1068,"/",""))+2,LEN(E1068)-LEN(SUBSTITUTE(E1068,"/",""))+1))</f>
        <v/>
      </c>
      <c r="I1068" s="78">
        <f>IF(ISBLANK(G1068),"",IF(D1068="Stock","0",Key!$A$3*H1068*G1068))</f>
        <v/>
      </c>
      <c r="J1068" s="78">
        <f>IF(ISBLANK(E1068),"",IF(ISNUMBER(SEARCH("/",E1068)), IF(LEN(E1068)-LEN(SUBSTITUTE(E1068,"/",""))=1,(RIGHT(E1068,LEN(E1068)-FIND("/",E1068)))-(LEFT(E1068,FIND("/",E1068)-1)),(MID(E1068, SEARCH("/",E1068) + 1, SEARCH("/",E1068, SEARCH("/",E1068)+1) - SEARCH("/",E1068) - 1))-(LEFT(E1068,FIND("/",E1068)-1))), "NA"))</f>
        <v/>
      </c>
      <c r="K1068" s="79">
        <f>IF(A1068&lt;&gt;"", IF(ISBLANK(L1068), TODAY(), K1068), "")</f>
        <v/>
      </c>
      <c r="L1068" s="78" t="n"/>
      <c r="M1068" s="78">
        <f>IF(ISBLANK(L1068),"",IF(D1068="Stock",IF(C1068="Buy",L1068*G1068,IF(C1068="Sell",(L1068*G1068)-I1068, X)),IF(C1068="Buy",(L1068*G1068*100)+I1068,IF(C1068="Sell",(L1068*G1068*100)-I1068, X))))</f>
        <v/>
      </c>
      <c r="N1068" s="78">
        <f>IF(ISBLANK(L1068),"",IF(AND(C1068="Sell",D1068="Stock"),M1068,IF(ISBLANK(L1068),"",IF(C1068="Buy",M1068, IF(AND(C1068="Sell",J1068="NA"),(E1068*G1068*100*0.1)+I1068, IF(C1068="Sell",(J1068-L1068)*(100*G1068)+I1068))))))</f>
        <v/>
      </c>
      <c r="O1068" s="75" t="n"/>
      <c r="P1068" s="75" t="n"/>
      <c r="Q1068" s="75">
        <f>IF(ISBLANK(P1068),"",IF(D1068="Stock",P1068*G1068,IF(P1068=0,"0",G1068*P1068*100-(G1068*$AF$14))))</f>
        <v/>
      </c>
      <c r="R1068" s="79">
        <f>IF(P1068&lt;&gt;"", TODAY(), "")</f>
        <v/>
      </c>
      <c r="S1068" s="78">
        <f>IF(AND(K1068&lt;&gt;"", R1068&lt;&gt;""), R1068-K1068, "")</f>
        <v/>
      </c>
      <c r="T1068" s="78" t="n"/>
      <c r="U1068" s="92">
        <f>IF(ISBLANK(P1068),"",IF(C1068="Buy",Q1068-M1068+T1068, IF(C1068="Sell",M1068-Q1068-T1068, X)))</f>
        <v/>
      </c>
      <c r="V1068" s="81">
        <f>IF(ISBLANK(P1068),"",U1068/N1068)</f>
        <v/>
      </c>
      <c r="W1068" s="81">
        <f>IF(ISBLANK(P1068),"",IF(S1068=0,(365/0.5)*V1068,(365/S1068)*V1068))</f>
        <v/>
      </c>
      <c r="X1068" s="75" t="n"/>
      <c r="Y1068" s="77" t="n"/>
      <c r="Z1068" s="77" t="n"/>
      <c r="AA1068" s="75" t="n"/>
      <c r="AB1068" s="75" t="n"/>
      <c r="AC1068" s="6" t="n"/>
      <c r="AD1068" s="75" t="n"/>
      <c r="AE1068" s="75" t="n"/>
      <c r="AF1068" s="75" t="n"/>
    </row>
    <row r="1069" ht="15.75" customHeight="1" s="133">
      <c r="A1069" s="75" t="n"/>
      <c r="B1069" s="75" t="n"/>
      <c r="C1069" s="75" t="n"/>
      <c r="D1069" s="75" t="n"/>
      <c r="E1069" s="76" t="n"/>
      <c r="F1069" s="77" t="n"/>
      <c r="G1069" s="75" t="n"/>
      <c r="H1069" s="75">
        <f>IF(ISBLANK(E1069),"",IF(OR(D1069="Butterfly",D1069="Butterfly ",D1069="Iron Fly", D1069="Iron Fly "),LEN(E1069)-LEN(SUBSTITUTE(E1069,"/",""))+2,LEN(E1069)-LEN(SUBSTITUTE(E1069,"/",""))+1))</f>
        <v/>
      </c>
      <c r="I1069" s="78">
        <f>IF(ISBLANK(G1069),"",IF(D1069="Stock","0",Key!$A$3*H1069*G1069))</f>
        <v/>
      </c>
      <c r="J1069" s="78">
        <f>IF(ISBLANK(E1069),"",IF(ISNUMBER(SEARCH("/",E1069)), IF(LEN(E1069)-LEN(SUBSTITUTE(E1069,"/",""))=1,(RIGHT(E1069,LEN(E1069)-FIND("/",E1069)))-(LEFT(E1069,FIND("/",E1069)-1)),(MID(E1069, SEARCH("/",E1069) + 1, SEARCH("/",E1069, SEARCH("/",E1069)+1) - SEARCH("/",E1069) - 1))-(LEFT(E1069,FIND("/",E1069)-1))), "NA"))</f>
        <v/>
      </c>
      <c r="K1069" s="79">
        <f>IF(A1069&lt;&gt;"", IF(ISBLANK(L1069), TODAY(), K1069), "")</f>
        <v/>
      </c>
      <c r="L1069" s="78" t="n"/>
      <c r="M1069" s="78">
        <f>IF(ISBLANK(L1069),"",IF(D1069="Stock",IF(C1069="Buy",L1069*G1069,IF(C1069="Sell",(L1069*G1069)-I1069, X)),IF(C1069="Buy",(L1069*G1069*100)+I1069,IF(C1069="Sell",(L1069*G1069*100)-I1069, X))))</f>
        <v/>
      </c>
      <c r="N1069" s="78">
        <f>IF(ISBLANK(L1069),"",IF(AND(C1069="Sell",D1069="Stock"),M1069,IF(ISBLANK(L1069),"",IF(C1069="Buy",M1069, IF(AND(C1069="Sell",J1069="NA"),(E1069*G1069*100*0.1)+I1069, IF(C1069="Sell",(J1069-L1069)*(100*G1069)+I1069))))))</f>
        <v/>
      </c>
      <c r="O1069" s="75" t="n"/>
      <c r="P1069" s="75" t="n"/>
      <c r="Q1069" s="75">
        <f>IF(ISBLANK(P1069),"",IF(D1069="Stock",P1069*G1069,IF(P1069=0,"0",G1069*P1069*100-(G1069*$AF$14))))</f>
        <v/>
      </c>
      <c r="R1069" s="79">
        <f>IF(P1069&lt;&gt;"", TODAY(), "")</f>
        <v/>
      </c>
      <c r="S1069" s="78">
        <f>IF(AND(K1069&lt;&gt;"", R1069&lt;&gt;""), R1069-K1069, "")</f>
        <v/>
      </c>
      <c r="T1069" s="78" t="n"/>
      <c r="U1069" s="92">
        <f>IF(ISBLANK(P1069),"",IF(C1069="Buy",Q1069-M1069+T1069, IF(C1069="Sell",M1069-Q1069-T1069, X)))</f>
        <v/>
      </c>
      <c r="V1069" s="81">
        <f>IF(ISBLANK(P1069),"",U1069/N1069)</f>
        <v/>
      </c>
      <c r="W1069" s="81">
        <f>IF(ISBLANK(P1069),"",IF(S1069=0,(365/0.5)*V1069,(365/S1069)*V1069))</f>
        <v/>
      </c>
      <c r="X1069" s="75" t="n"/>
      <c r="Y1069" s="77" t="n"/>
      <c r="Z1069" s="77" t="n"/>
      <c r="AA1069" s="75" t="n"/>
      <c r="AB1069" s="75" t="n"/>
      <c r="AC1069" s="6" t="n"/>
      <c r="AD1069" s="75" t="n"/>
      <c r="AE1069" s="75" t="n"/>
      <c r="AF1069" s="75" t="n"/>
    </row>
    <row r="1070" ht="15.75" customHeight="1" s="133">
      <c r="A1070" s="75" t="n"/>
      <c r="B1070" s="75" t="n"/>
      <c r="C1070" s="75" t="n"/>
      <c r="D1070" s="75" t="n"/>
      <c r="E1070" s="76" t="n"/>
      <c r="F1070" s="77" t="n"/>
      <c r="G1070" s="75" t="n"/>
      <c r="H1070" s="75">
        <f>IF(ISBLANK(E1070),"",IF(OR(D1070="Butterfly",D1070="Butterfly ",D1070="Iron Fly", D1070="Iron Fly "),LEN(E1070)-LEN(SUBSTITUTE(E1070,"/",""))+2,LEN(E1070)-LEN(SUBSTITUTE(E1070,"/",""))+1))</f>
        <v/>
      </c>
      <c r="I1070" s="78">
        <f>IF(ISBLANK(G1070),"",IF(D1070="Stock","0",Key!$A$3*H1070*G1070))</f>
        <v/>
      </c>
      <c r="J1070" s="78">
        <f>IF(ISBLANK(E1070),"",IF(ISNUMBER(SEARCH("/",E1070)), IF(LEN(E1070)-LEN(SUBSTITUTE(E1070,"/",""))=1,(RIGHT(E1070,LEN(E1070)-FIND("/",E1070)))-(LEFT(E1070,FIND("/",E1070)-1)),(MID(E1070, SEARCH("/",E1070) + 1, SEARCH("/",E1070, SEARCH("/",E1070)+1) - SEARCH("/",E1070) - 1))-(LEFT(E1070,FIND("/",E1070)-1))), "NA"))</f>
        <v/>
      </c>
      <c r="K1070" s="79">
        <f>IF(A1070&lt;&gt;"", IF(ISBLANK(L1070), TODAY(), K1070), "")</f>
        <v/>
      </c>
      <c r="L1070" s="78" t="n"/>
      <c r="M1070" s="78">
        <f>IF(ISBLANK(L1070),"",IF(D1070="Stock",IF(C1070="Buy",L1070*G1070,IF(C1070="Sell",(L1070*G1070)-I1070, X)),IF(C1070="Buy",(L1070*G1070*100)+I1070,IF(C1070="Sell",(L1070*G1070*100)-I1070, X))))</f>
        <v/>
      </c>
      <c r="N1070" s="78">
        <f>IF(ISBLANK(L1070),"",IF(AND(C1070="Sell",D1070="Stock"),M1070,IF(ISBLANK(L1070),"",IF(C1070="Buy",M1070, IF(AND(C1070="Sell",J1070="NA"),(E1070*G1070*100*0.1)+I1070, IF(C1070="Sell",(J1070-L1070)*(100*G1070)+I1070))))))</f>
        <v/>
      </c>
      <c r="O1070" s="75" t="n"/>
      <c r="P1070" s="75" t="n"/>
      <c r="Q1070" s="75">
        <f>IF(ISBLANK(P1070),"",IF(D1070="Stock",P1070*G1070,IF(P1070=0,"0",G1070*P1070*100-(G1070*$AF$14))))</f>
        <v/>
      </c>
      <c r="R1070" s="79">
        <f>IF(P1070&lt;&gt;"", TODAY(), "")</f>
        <v/>
      </c>
      <c r="S1070" s="78">
        <f>IF(AND(K1070&lt;&gt;"", R1070&lt;&gt;""), R1070-K1070, "")</f>
        <v/>
      </c>
      <c r="T1070" s="78" t="n"/>
      <c r="U1070" s="92">
        <f>IF(ISBLANK(P1070),"",IF(C1070="Buy",Q1070-M1070+T1070, IF(C1070="Sell",M1070-Q1070-T1070, X)))</f>
        <v/>
      </c>
      <c r="V1070" s="81">
        <f>IF(ISBLANK(P1070),"",U1070/N1070)</f>
        <v/>
      </c>
      <c r="W1070" s="81">
        <f>IF(ISBLANK(P1070),"",IF(S1070=0,(365/0.5)*V1070,(365/S1070)*V1070))</f>
        <v/>
      </c>
      <c r="X1070" s="75" t="n"/>
      <c r="Y1070" s="77" t="n"/>
      <c r="Z1070" s="77" t="n"/>
      <c r="AA1070" s="75" t="n"/>
      <c r="AB1070" s="75" t="n"/>
      <c r="AC1070" s="6" t="n"/>
      <c r="AD1070" s="75" t="n"/>
      <c r="AE1070" s="75" t="n"/>
      <c r="AF1070" s="75" t="n"/>
    </row>
    <row r="1071" ht="15.75" customHeight="1" s="133">
      <c r="A1071" s="75" t="n"/>
      <c r="B1071" s="75" t="n"/>
      <c r="C1071" s="75" t="n"/>
      <c r="D1071" s="75" t="n"/>
      <c r="E1071" s="76" t="n"/>
      <c r="F1071" s="77" t="n"/>
      <c r="G1071" s="75" t="n"/>
      <c r="H1071" s="75">
        <f>IF(ISBLANK(E1071),"",IF(OR(D1071="Butterfly",D1071="Butterfly ",D1071="Iron Fly", D1071="Iron Fly "),LEN(E1071)-LEN(SUBSTITUTE(E1071,"/",""))+2,LEN(E1071)-LEN(SUBSTITUTE(E1071,"/",""))+1))</f>
        <v/>
      </c>
      <c r="I1071" s="78">
        <f>IF(ISBLANK(G1071),"",IF(D1071="Stock","0",Key!$A$3*H1071*G1071))</f>
        <v/>
      </c>
      <c r="J1071" s="78">
        <f>IF(ISBLANK(E1071),"",IF(ISNUMBER(SEARCH("/",E1071)), IF(LEN(E1071)-LEN(SUBSTITUTE(E1071,"/",""))=1,(RIGHT(E1071,LEN(E1071)-FIND("/",E1071)))-(LEFT(E1071,FIND("/",E1071)-1)),(MID(E1071, SEARCH("/",E1071) + 1, SEARCH("/",E1071, SEARCH("/",E1071)+1) - SEARCH("/",E1071) - 1))-(LEFT(E1071,FIND("/",E1071)-1))), "NA"))</f>
        <v/>
      </c>
      <c r="K1071" s="79">
        <f>IF(A1071&lt;&gt;"", IF(ISBLANK(L1071), TODAY(), K1071), "")</f>
        <v/>
      </c>
      <c r="L1071" s="78" t="n"/>
      <c r="M1071" s="78">
        <f>IF(ISBLANK(L1071),"",IF(D1071="Stock",IF(C1071="Buy",L1071*G1071,IF(C1071="Sell",(L1071*G1071)-I1071, X)),IF(C1071="Buy",(L1071*G1071*100)+I1071,IF(C1071="Sell",(L1071*G1071*100)-I1071, X))))</f>
        <v/>
      </c>
      <c r="N1071" s="78">
        <f>IF(ISBLANK(L1071),"",IF(AND(C1071="Sell",D1071="Stock"),M1071,IF(ISBLANK(L1071),"",IF(C1071="Buy",M1071, IF(AND(C1071="Sell",J1071="NA"),(E1071*G1071*100*0.1)+I1071, IF(C1071="Sell",(J1071-L1071)*(100*G1071)+I1071))))))</f>
        <v/>
      </c>
      <c r="O1071" s="75" t="n"/>
      <c r="P1071" s="75" t="n"/>
      <c r="Q1071" s="75">
        <f>IF(ISBLANK(P1071),"",IF(D1071="Stock",P1071*G1071,IF(P1071=0,"0",G1071*P1071*100-(G1071*$AF$14))))</f>
        <v/>
      </c>
      <c r="R1071" s="79">
        <f>IF(P1071&lt;&gt;"", TODAY(), "")</f>
        <v/>
      </c>
      <c r="S1071" s="78">
        <f>IF(AND(K1071&lt;&gt;"", R1071&lt;&gt;""), R1071-K1071, "")</f>
        <v/>
      </c>
      <c r="T1071" s="78" t="n"/>
      <c r="U1071" s="92">
        <f>IF(ISBLANK(P1071),"",IF(C1071="Buy",Q1071-M1071+T1071, IF(C1071="Sell",M1071-Q1071-T1071, X)))</f>
        <v/>
      </c>
      <c r="V1071" s="81">
        <f>IF(ISBLANK(P1071),"",U1071/N1071)</f>
        <v/>
      </c>
      <c r="W1071" s="81">
        <f>IF(ISBLANK(P1071),"",IF(S1071=0,(365/0.5)*V1071,(365/S1071)*V1071))</f>
        <v/>
      </c>
      <c r="X1071" s="75" t="n"/>
      <c r="Y1071" s="77" t="n"/>
      <c r="Z1071" s="77" t="n"/>
      <c r="AA1071" s="75" t="n"/>
      <c r="AB1071" s="75" t="n"/>
      <c r="AC1071" s="6" t="n"/>
      <c r="AD1071" s="75" t="n"/>
      <c r="AE1071" s="75" t="n"/>
      <c r="AF1071" s="75" t="n"/>
    </row>
    <row r="1072" ht="15.75" customHeight="1" s="133">
      <c r="A1072" s="75" t="n"/>
      <c r="B1072" s="75" t="n"/>
      <c r="C1072" s="75" t="n"/>
      <c r="D1072" s="75" t="n"/>
      <c r="E1072" s="76" t="n"/>
      <c r="F1072" s="77" t="n"/>
      <c r="G1072" s="75" t="n"/>
      <c r="H1072" s="75">
        <f>IF(ISBLANK(E1072),"",IF(OR(D1072="Butterfly",D1072="Butterfly ",D1072="Iron Fly", D1072="Iron Fly "),LEN(E1072)-LEN(SUBSTITUTE(E1072,"/",""))+2,LEN(E1072)-LEN(SUBSTITUTE(E1072,"/",""))+1))</f>
        <v/>
      </c>
      <c r="I1072" s="78">
        <f>IF(ISBLANK(G1072),"",IF(D1072="Stock","0",Key!$A$3*H1072*G1072))</f>
        <v/>
      </c>
      <c r="J1072" s="78">
        <f>IF(ISBLANK(E1072),"",IF(ISNUMBER(SEARCH("/",E1072)), IF(LEN(E1072)-LEN(SUBSTITUTE(E1072,"/",""))=1,(RIGHT(E1072,LEN(E1072)-FIND("/",E1072)))-(LEFT(E1072,FIND("/",E1072)-1)),(MID(E1072, SEARCH("/",E1072) + 1, SEARCH("/",E1072, SEARCH("/",E1072)+1) - SEARCH("/",E1072) - 1))-(LEFT(E1072,FIND("/",E1072)-1))), "NA"))</f>
        <v/>
      </c>
      <c r="K1072" s="79">
        <f>IF(A1072&lt;&gt;"", IF(ISBLANK(L1072), TODAY(), K1072), "")</f>
        <v/>
      </c>
      <c r="L1072" s="78" t="n"/>
      <c r="M1072" s="78">
        <f>IF(ISBLANK(L1072),"",IF(D1072="Stock",IF(C1072="Buy",L1072*G1072,IF(C1072="Sell",(L1072*G1072)-I1072, X)),IF(C1072="Buy",(L1072*G1072*100)+I1072,IF(C1072="Sell",(L1072*G1072*100)-I1072, X))))</f>
        <v/>
      </c>
      <c r="N1072" s="78">
        <f>IF(ISBLANK(L1072),"",IF(AND(C1072="Sell",D1072="Stock"),M1072,IF(ISBLANK(L1072),"",IF(C1072="Buy",M1072, IF(AND(C1072="Sell",J1072="NA"),(E1072*G1072*100*0.1)+I1072, IF(C1072="Sell",(J1072-L1072)*(100*G1072)+I1072))))))</f>
        <v/>
      </c>
      <c r="O1072" s="75" t="n"/>
      <c r="P1072" s="75" t="n"/>
      <c r="Q1072" s="75">
        <f>IF(ISBLANK(P1072),"",IF(D1072="Stock",P1072*G1072,IF(P1072=0,"0",G1072*P1072*100-(G1072*$AF$14))))</f>
        <v/>
      </c>
      <c r="R1072" s="79">
        <f>IF(P1072&lt;&gt;"", TODAY(), "")</f>
        <v/>
      </c>
      <c r="S1072" s="78">
        <f>IF(AND(K1072&lt;&gt;"", R1072&lt;&gt;""), R1072-K1072, "")</f>
        <v/>
      </c>
      <c r="T1072" s="78" t="n"/>
      <c r="U1072" s="92">
        <f>IF(ISBLANK(P1072),"",IF(C1072="Buy",Q1072-M1072+T1072, IF(C1072="Sell",M1072-Q1072-T1072, X)))</f>
        <v/>
      </c>
      <c r="V1072" s="81">
        <f>IF(ISBLANK(P1072),"",U1072/N1072)</f>
        <v/>
      </c>
      <c r="W1072" s="81">
        <f>IF(ISBLANK(P1072),"",IF(S1072=0,(365/0.5)*V1072,(365/S1072)*V1072))</f>
        <v/>
      </c>
      <c r="X1072" s="75" t="n"/>
      <c r="Y1072" s="77" t="n"/>
      <c r="Z1072" s="77" t="n"/>
      <c r="AA1072" s="75" t="n"/>
      <c r="AB1072" s="75" t="n"/>
      <c r="AC1072" s="6" t="n"/>
      <c r="AD1072" s="75" t="n"/>
      <c r="AE1072" s="75" t="n"/>
      <c r="AF1072" s="75" t="n"/>
    </row>
    <row r="1073" ht="15.75" customHeight="1" s="133">
      <c r="A1073" s="75" t="n"/>
      <c r="B1073" s="75" t="n"/>
      <c r="C1073" s="75" t="n"/>
      <c r="D1073" s="75" t="n"/>
      <c r="E1073" s="76" t="n"/>
      <c r="F1073" s="77" t="n"/>
      <c r="G1073" s="75" t="n"/>
      <c r="H1073" s="75">
        <f>IF(ISBLANK(E1073),"",IF(OR(D1073="Butterfly",D1073="Butterfly ",D1073="Iron Fly", D1073="Iron Fly "),LEN(E1073)-LEN(SUBSTITUTE(E1073,"/",""))+2,LEN(E1073)-LEN(SUBSTITUTE(E1073,"/",""))+1))</f>
        <v/>
      </c>
      <c r="I1073" s="78">
        <f>IF(ISBLANK(G1073),"",IF(D1073="Stock","0",Key!$A$3*H1073*G1073))</f>
        <v/>
      </c>
      <c r="J1073" s="78">
        <f>IF(ISBLANK(E1073),"",IF(ISNUMBER(SEARCH("/",E1073)), IF(LEN(E1073)-LEN(SUBSTITUTE(E1073,"/",""))=1,(RIGHT(E1073,LEN(E1073)-FIND("/",E1073)))-(LEFT(E1073,FIND("/",E1073)-1)),(MID(E1073, SEARCH("/",E1073) + 1, SEARCH("/",E1073, SEARCH("/",E1073)+1) - SEARCH("/",E1073) - 1))-(LEFT(E1073,FIND("/",E1073)-1))), "NA"))</f>
        <v/>
      </c>
      <c r="K1073" s="79">
        <f>IF(A1073&lt;&gt;"", IF(ISBLANK(L1073), TODAY(), K1073), "")</f>
        <v/>
      </c>
      <c r="L1073" s="78" t="n"/>
      <c r="M1073" s="78">
        <f>IF(ISBLANK(L1073),"",IF(D1073="Stock",IF(C1073="Buy",L1073*G1073,IF(C1073="Sell",(L1073*G1073)-I1073, X)),IF(C1073="Buy",(L1073*G1073*100)+I1073,IF(C1073="Sell",(L1073*G1073*100)-I1073, X))))</f>
        <v/>
      </c>
      <c r="N1073" s="78">
        <f>IF(ISBLANK(L1073),"",IF(AND(C1073="Sell",D1073="Stock"),M1073,IF(ISBLANK(L1073),"",IF(C1073="Buy",M1073, IF(AND(C1073="Sell",J1073="NA"),(E1073*G1073*100*0.1)+I1073, IF(C1073="Sell",(J1073-L1073)*(100*G1073)+I1073))))))</f>
        <v/>
      </c>
      <c r="O1073" s="75" t="n"/>
      <c r="P1073" s="75" t="n"/>
      <c r="Q1073" s="75">
        <f>IF(ISBLANK(P1073),"",IF(D1073="Stock",P1073*G1073,IF(P1073=0,"0",G1073*P1073*100-(G1073*$AF$14))))</f>
        <v/>
      </c>
      <c r="R1073" s="79">
        <f>IF(P1073&lt;&gt;"", TODAY(), "")</f>
        <v/>
      </c>
      <c r="S1073" s="78">
        <f>IF(AND(K1073&lt;&gt;"", R1073&lt;&gt;""), R1073-K1073, "")</f>
        <v/>
      </c>
      <c r="T1073" s="78" t="n"/>
      <c r="U1073" s="92">
        <f>IF(ISBLANK(P1073),"",IF(C1073="Buy",Q1073-M1073+T1073, IF(C1073="Sell",M1073-Q1073-T1073, X)))</f>
        <v/>
      </c>
      <c r="V1073" s="81">
        <f>IF(ISBLANK(P1073),"",U1073/N1073)</f>
        <v/>
      </c>
      <c r="W1073" s="81">
        <f>IF(ISBLANK(P1073),"",IF(S1073=0,(365/0.5)*V1073,(365/S1073)*V1073))</f>
        <v/>
      </c>
      <c r="X1073" s="75" t="n"/>
      <c r="Y1073" s="77" t="n"/>
      <c r="Z1073" s="77" t="n"/>
      <c r="AA1073" s="75" t="n"/>
      <c r="AB1073" s="75" t="n"/>
      <c r="AC1073" s="6" t="n"/>
      <c r="AD1073" s="75" t="n"/>
      <c r="AE1073" s="75" t="n"/>
      <c r="AF1073" s="75" t="n"/>
    </row>
    <row r="1074" ht="15.75" customHeight="1" s="133">
      <c r="A1074" s="75" t="n"/>
      <c r="B1074" s="75" t="n"/>
      <c r="C1074" s="75" t="n"/>
      <c r="D1074" s="75" t="n"/>
      <c r="E1074" s="76" t="n"/>
      <c r="F1074" s="77" t="n"/>
      <c r="G1074" s="75" t="n"/>
      <c r="H1074" s="75">
        <f>IF(ISBLANK(E1074),"",IF(OR(D1074="Butterfly",D1074="Butterfly ",D1074="Iron Fly", D1074="Iron Fly "),LEN(E1074)-LEN(SUBSTITUTE(E1074,"/",""))+2,LEN(E1074)-LEN(SUBSTITUTE(E1074,"/",""))+1))</f>
        <v/>
      </c>
      <c r="I1074" s="78">
        <f>IF(ISBLANK(G1074),"",IF(D1074="Stock","0",Key!$A$3*H1074*G1074))</f>
        <v/>
      </c>
      <c r="J1074" s="78">
        <f>IF(ISBLANK(E1074),"",IF(ISNUMBER(SEARCH("/",E1074)), IF(LEN(E1074)-LEN(SUBSTITUTE(E1074,"/",""))=1,(RIGHT(E1074,LEN(E1074)-FIND("/",E1074)))-(LEFT(E1074,FIND("/",E1074)-1)),(MID(E1074, SEARCH("/",E1074) + 1, SEARCH("/",E1074, SEARCH("/",E1074)+1) - SEARCH("/",E1074) - 1))-(LEFT(E1074,FIND("/",E1074)-1))), "NA"))</f>
        <v/>
      </c>
      <c r="K1074" s="79">
        <f>IF(A1074&lt;&gt;"", IF(ISBLANK(L1074), TODAY(), K1074), "")</f>
        <v/>
      </c>
      <c r="L1074" s="78" t="n"/>
      <c r="M1074" s="78">
        <f>IF(ISBLANK(L1074),"",IF(D1074="Stock",IF(C1074="Buy",L1074*G1074,IF(C1074="Sell",(L1074*G1074)-I1074, X)),IF(C1074="Buy",(L1074*G1074*100)+I1074,IF(C1074="Sell",(L1074*G1074*100)-I1074, X))))</f>
        <v/>
      </c>
      <c r="N1074" s="78">
        <f>IF(ISBLANK(L1074),"",IF(AND(C1074="Sell",D1074="Stock"),M1074,IF(ISBLANK(L1074),"",IF(C1074="Buy",M1074, IF(AND(C1074="Sell",J1074="NA"),(E1074*G1074*100*0.1)+I1074, IF(C1074="Sell",(J1074-L1074)*(100*G1074)+I1074))))))</f>
        <v/>
      </c>
      <c r="O1074" s="75" t="n"/>
      <c r="P1074" s="75" t="n"/>
      <c r="Q1074" s="75">
        <f>IF(ISBLANK(P1074),"",IF(D1074="Stock",P1074*G1074,IF(P1074=0,"0",G1074*P1074*100-(G1074*$AF$14))))</f>
        <v/>
      </c>
      <c r="R1074" s="79">
        <f>IF(P1074&lt;&gt;"", TODAY(), "")</f>
        <v/>
      </c>
      <c r="S1074" s="78">
        <f>IF(AND(K1074&lt;&gt;"", R1074&lt;&gt;""), R1074-K1074, "")</f>
        <v/>
      </c>
      <c r="T1074" s="78" t="n"/>
      <c r="U1074" s="92">
        <f>IF(ISBLANK(P1074),"",IF(C1074="Buy",Q1074-M1074+T1074, IF(C1074="Sell",M1074-Q1074-T1074, X)))</f>
        <v/>
      </c>
      <c r="V1074" s="81">
        <f>IF(ISBLANK(P1074),"",U1074/N1074)</f>
        <v/>
      </c>
      <c r="W1074" s="81">
        <f>IF(ISBLANK(P1074),"",IF(S1074=0,(365/0.5)*V1074,(365/S1074)*V1074))</f>
        <v/>
      </c>
      <c r="X1074" s="75" t="n"/>
      <c r="Y1074" s="77" t="n"/>
      <c r="Z1074" s="77" t="n"/>
      <c r="AA1074" s="75" t="n"/>
      <c r="AB1074" s="75" t="n"/>
      <c r="AC1074" s="6" t="n"/>
      <c r="AD1074" s="75" t="n"/>
      <c r="AE1074" s="75" t="n"/>
      <c r="AF1074" s="75" t="n"/>
    </row>
    <row r="1075" ht="15.75" customHeight="1" s="133">
      <c r="A1075" s="75" t="n"/>
      <c r="B1075" s="75" t="n"/>
      <c r="C1075" s="75" t="n"/>
      <c r="D1075" s="75" t="n"/>
      <c r="E1075" s="76" t="n"/>
      <c r="F1075" s="77" t="n"/>
      <c r="G1075" s="75" t="n"/>
      <c r="H1075" s="75">
        <f>IF(ISBLANK(E1075),"",IF(OR(D1075="Butterfly",D1075="Butterfly ",D1075="Iron Fly", D1075="Iron Fly "),LEN(E1075)-LEN(SUBSTITUTE(E1075,"/",""))+2,LEN(E1075)-LEN(SUBSTITUTE(E1075,"/",""))+1))</f>
        <v/>
      </c>
      <c r="I1075" s="78">
        <f>IF(ISBLANK(G1075),"",IF(D1075="Stock","0",Key!$A$3*H1075*G1075))</f>
        <v/>
      </c>
      <c r="J1075" s="78">
        <f>IF(ISBLANK(E1075),"",IF(ISNUMBER(SEARCH("/",E1075)), IF(LEN(E1075)-LEN(SUBSTITUTE(E1075,"/",""))=1,(RIGHT(E1075,LEN(E1075)-FIND("/",E1075)))-(LEFT(E1075,FIND("/",E1075)-1)),(MID(E1075, SEARCH("/",E1075) + 1, SEARCH("/",E1075, SEARCH("/",E1075)+1) - SEARCH("/",E1075) - 1))-(LEFT(E1075,FIND("/",E1075)-1))), "NA"))</f>
        <v/>
      </c>
      <c r="K1075" s="79">
        <f>IF(A1075&lt;&gt;"", IF(ISBLANK(L1075), TODAY(), K1075), "")</f>
        <v/>
      </c>
      <c r="L1075" s="78" t="n"/>
      <c r="M1075" s="78">
        <f>IF(ISBLANK(L1075),"",IF(D1075="Stock",IF(C1075="Buy",L1075*G1075,IF(C1075="Sell",(L1075*G1075)-I1075, X)),IF(C1075="Buy",(L1075*G1075*100)+I1075,IF(C1075="Sell",(L1075*G1075*100)-I1075, X))))</f>
        <v/>
      </c>
      <c r="N1075" s="78">
        <f>IF(ISBLANK(L1075),"",IF(AND(C1075="Sell",D1075="Stock"),M1075,IF(ISBLANK(L1075),"",IF(C1075="Buy",M1075, IF(AND(C1075="Sell",J1075="NA"),(E1075*G1075*100*0.1)+I1075, IF(C1075="Sell",(J1075-L1075)*(100*G1075)+I1075))))))</f>
        <v/>
      </c>
      <c r="O1075" s="75" t="n"/>
      <c r="P1075" s="75" t="n"/>
      <c r="Q1075" s="75">
        <f>IF(ISBLANK(P1075),"",IF(D1075="Stock",P1075*G1075,IF(P1075=0,"0",G1075*P1075*100-(G1075*$AF$14))))</f>
        <v/>
      </c>
      <c r="R1075" s="79">
        <f>IF(P1075&lt;&gt;"", TODAY(), "")</f>
        <v/>
      </c>
      <c r="S1075" s="78">
        <f>IF(AND(K1075&lt;&gt;"", R1075&lt;&gt;""), R1075-K1075, "")</f>
        <v/>
      </c>
      <c r="T1075" s="78" t="n"/>
      <c r="U1075" s="92">
        <f>IF(ISBLANK(P1075),"",IF(C1075="Buy",Q1075-M1075+T1075, IF(C1075="Sell",M1075-Q1075-T1075, X)))</f>
        <v/>
      </c>
      <c r="V1075" s="81">
        <f>IF(ISBLANK(P1075),"",U1075/N1075)</f>
        <v/>
      </c>
      <c r="W1075" s="81">
        <f>IF(ISBLANK(P1075),"",IF(S1075=0,(365/0.5)*V1075,(365/S1075)*V1075))</f>
        <v/>
      </c>
      <c r="X1075" s="75" t="n"/>
      <c r="Y1075" s="77" t="n"/>
      <c r="Z1075" s="77" t="n"/>
      <c r="AA1075" s="75" t="n"/>
      <c r="AB1075" s="75" t="n"/>
      <c r="AC1075" s="6" t="n"/>
      <c r="AD1075" s="75" t="n"/>
      <c r="AE1075" s="75" t="n"/>
      <c r="AF1075" s="75" t="n"/>
    </row>
    <row r="1076" ht="15.75" customHeight="1" s="133">
      <c r="A1076" s="75" t="n"/>
      <c r="B1076" s="75" t="n"/>
      <c r="C1076" s="75" t="n"/>
      <c r="D1076" s="75" t="n"/>
      <c r="E1076" s="76" t="n"/>
      <c r="F1076" s="77" t="n"/>
      <c r="G1076" s="75" t="n"/>
      <c r="H1076" s="75">
        <f>IF(ISBLANK(E1076),"",IF(OR(D1076="Butterfly",D1076="Butterfly ",D1076="Iron Fly", D1076="Iron Fly "),LEN(E1076)-LEN(SUBSTITUTE(E1076,"/",""))+2,LEN(E1076)-LEN(SUBSTITUTE(E1076,"/",""))+1))</f>
        <v/>
      </c>
      <c r="I1076" s="78">
        <f>IF(ISBLANK(G1076),"",IF(D1076="Stock","0",Key!$A$3*H1076*G1076))</f>
        <v/>
      </c>
      <c r="J1076" s="78">
        <f>IF(ISBLANK(E1076),"",IF(ISNUMBER(SEARCH("/",E1076)), IF(LEN(E1076)-LEN(SUBSTITUTE(E1076,"/",""))=1,(RIGHT(E1076,LEN(E1076)-FIND("/",E1076)))-(LEFT(E1076,FIND("/",E1076)-1)),(MID(E1076, SEARCH("/",E1076) + 1, SEARCH("/",E1076, SEARCH("/",E1076)+1) - SEARCH("/",E1076) - 1))-(LEFT(E1076,FIND("/",E1076)-1))), "NA"))</f>
        <v/>
      </c>
      <c r="K1076" s="79">
        <f>IF(A1076&lt;&gt;"", IF(ISBLANK(L1076), TODAY(), K1076), "")</f>
        <v/>
      </c>
      <c r="L1076" s="78" t="n"/>
      <c r="M1076" s="78">
        <f>IF(ISBLANK(L1076),"",IF(D1076="Stock",IF(C1076="Buy",L1076*G1076,IF(C1076="Sell",(L1076*G1076)-I1076, X)),IF(C1076="Buy",(L1076*G1076*100)+I1076,IF(C1076="Sell",(L1076*G1076*100)-I1076, X))))</f>
        <v/>
      </c>
      <c r="N1076" s="78">
        <f>IF(ISBLANK(L1076),"",IF(AND(C1076="Sell",D1076="Stock"),M1076,IF(ISBLANK(L1076),"",IF(C1076="Buy",M1076, IF(AND(C1076="Sell",J1076="NA"),(E1076*G1076*100*0.1)+I1076, IF(C1076="Sell",(J1076-L1076)*(100*G1076)+I1076))))))</f>
        <v/>
      </c>
      <c r="O1076" s="75" t="n"/>
      <c r="P1076" s="75" t="n"/>
      <c r="Q1076" s="75">
        <f>IF(ISBLANK(P1076),"",IF(D1076="Stock",P1076*G1076,IF(P1076=0,"0",G1076*P1076*100-(G1076*$AF$14))))</f>
        <v/>
      </c>
      <c r="R1076" s="79">
        <f>IF(P1076&lt;&gt;"", TODAY(), "")</f>
        <v/>
      </c>
      <c r="S1076" s="78">
        <f>IF(AND(K1076&lt;&gt;"", R1076&lt;&gt;""), R1076-K1076, "")</f>
        <v/>
      </c>
      <c r="T1076" s="78" t="n"/>
      <c r="U1076" s="92">
        <f>IF(ISBLANK(P1076),"",IF(C1076="Buy",Q1076-M1076+T1076, IF(C1076="Sell",M1076-Q1076-T1076, X)))</f>
        <v/>
      </c>
      <c r="V1076" s="81">
        <f>IF(ISBLANK(P1076),"",U1076/N1076)</f>
        <v/>
      </c>
      <c r="W1076" s="81">
        <f>IF(ISBLANK(P1076),"",IF(S1076=0,(365/0.5)*V1076,(365/S1076)*V1076))</f>
        <v/>
      </c>
      <c r="X1076" s="75" t="n"/>
      <c r="Y1076" s="77" t="n"/>
      <c r="Z1076" s="77" t="n"/>
      <c r="AA1076" s="75" t="n"/>
      <c r="AB1076" s="75" t="n"/>
      <c r="AC1076" s="6" t="n"/>
      <c r="AD1076" s="75" t="n"/>
      <c r="AE1076" s="75" t="n"/>
      <c r="AF1076" s="75" t="n"/>
    </row>
    <row r="1077" ht="15.75" customHeight="1" s="133">
      <c r="A1077" s="75" t="n"/>
      <c r="B1077" s="75" t="n"/>
      <c r="C1077" s="75" t="n"/>
      <c r="D1077" s="75" t="n"/>
      <c r="E1077" s="76" t="n"/>
      <c r="F1077" s="77" t="n"/>
      <c r="G1077" s="75" t="n"/>
      <c r="H1077" s="75">
        <f>IF(ISBLANK(E1077),"",IF(OR(D1077="Butterfly",D1077="Butterfly ",D1077="Iron Fly", D1077="Iron Fly "),LEN(E1077)-LEN(SUBSTITUTE(E1077,"/",""))+2,LEN(E1077)-LEN(SUBSTITUTE(E1077,"/",""))+1))</f>
        <v/>
      </c>
      <c r="I1077" s="78">
        <f>IF(ISBLANK(G1077),"",IF(D1077="Stock","0",Key!$A$3*H1077*G1077))</f>
        <v/>
      </c>
      <c r="J1077" s="78">
        <f>IF(ISBLANK(E1077),"",IF(ISNUMBER(SEARCH("/",E1077)), IF(LEN(E1077)-LEN(SUBSTITUTE(E1077,"/",""))=1,(RIGHT(E1077,LEN(E1077)-FIND("/",E1077)))-(LEFT(E1077,FIND("/",E1077)-1)),(MID(E1077, SEARCH("/",E1077) + 1, SEARCH("/",E1077, SEARCH("/",E1077)+1) - SEARCH("/",E1077) - 1))-(LEFT(E1077,FIND("/",E1077)-1))), "NA"))</f>
        <v/>
      </c>
      <c r="K1077" s="79">
        <f>IF(A1077&lt;&gt;"", IF(ISBLANK(L1077), TODAY(), K1077), "")</f>
        <v/>
      </c>
      <c r="L1077" s="78" t="n"/>
      <c r="M1077" s="78">
        <f>IF(ISBLANK(L1077),"",IF(D1077="Stock",IF(C1077="Buy",L1077*G1077,IF(C1077="Sell",(L1077*G1077)-I1077, X)),IF(C1077="Buy",(L1077*G1077*100)+I1077,IF(C1077="Sell",(L1077*G1077*100)-I1077, X))))</f>
        <v/>
      </c>
      <c r="N1077" s="78">
        <f>IF(ISBLANK(L1077),"",IF(AND(C1077="Sell",D1077="Stock"),M1077,IF(ISBLANK(L1077),"",IF(C1077="Buy",M1077, IF(AND(C1077="Sell",J1077="NA"),(E1077*G1077*100*0.1)+I1077, IF(C1077="Sell",(J1077-L1077)*(100*G1077)+I1077))))))</f>
        <v/>
      </c>
      <c r="O1077" s="75" t="n"/>
      <c r="P1077" s="75" t="n"/>
      <c r="Q1077" s="75">
        <f>IF(ISBLANK(P1077),"",IF(D1077="Stock",P1077*G1077,IF(P1077=0,"0",G1077*P1077*100-(G1077*$AF$14))))</f>
        <v/>
      </c>
      <c r="R1077" s="79">
        <f>IF(P1077&lt;&gt;"", TODAY(), "")</f>
        <v/>
      </c>
      <c r="S1077" s="78">
        <f>IF(AND(K1077&lt;&gt;"", R1077&lt;&gt;""), R1077-K1077, "")</f>
        <v/>
      </c>
      <c r="T1077" s="78" t="n"/>
      <c r="U1077" s="92">
        <f>IF(ISBLANK(P1077),"",IF(C1077="Buy",Q1077-M1077+T1077, IF(C1077="Sell",M1077-Q1077-T1077, X)))</f>
        <v/>
      </c>
      <c r="V1077" s="81">
        <f>IF(ISBLANK(P1077),"",U1077/N1077)</f>
        <v/>
      </c>
      <c r="W1077" s="81">
        <f>IF(ISBLANK(P1077),"",IF(S1077=0,(365/0.5)*V1077,(365/S1077)*V1077))</f>
        <v/>
      </c>
      <c r="X1077" s="75" t="n"/>
      <c r="Y1077" s="77" t="n"/>
      <c r="Z1077" s="77" t="n"/>
      <c r="AA1077" s="75" t="n"/>
      <c r="AB1077" s="75" t="n"/>
      <c r="AC1077" s="6" t="n"/>
      <c r="AD1077" s="75" t="n"/>
      <c r="AE1077" s="75" t="n"/>
      <c r="AF1077" s="75" t="n"/>
    </row>
    <row r="1078" ht="15.75" customHeight="1" s="133">
      <c r="A1078" s="75" t="n"/>
      <c r="B1078" s="75" t="n"/>
      <c r="C1078" s="75" t="n"/>
      <c r="D1078" s="75" t="n"/>
      <c r="E1078" s="76" t="n"/>
      <c r="F1078" s="77" t="n"/>
      <c r="G1078" s="75" t="n"/>
      <c r="H1078" s="75">
        <f>IF(ISBLANK(E1078),"",IF(OR(D1078="Butterfly",D1078="Butterfly ",D1078="Iron Fly", D1078="Iron Fly "),LEN(E1078)-LEN(SUBSTITUTE(E1078,"/",""))+2,LEN(E1078)-LEN(SUBSTITUTE(E1078,"/",""))+1))</f>
        <v/>
      </c>
      <c r="I1078" s="78">
        <f>IF(ISBLANK(G1078),"",IF(D1078="Stock","0",Key!$A$3*H1078*G1078))</f>
        <v/>
      </c>
      <c r="J1078" s="78">
        <f>IF(ISBLANK(E1078),"",IF(ISNUMBER(SEARCH("/",E1078)), IF(LEN(E1078)-LEN(SUBSTITUTE(E1078,"/",""))=1,(RIGHT(E1078,LEN(E1078)-FIND("/",E1078)))-(LEFT(E1078,FIND("/",E1078)-1)),(MID(E1078, SEARCH("/",E1078) + 1, SEARCH("/",E1078, SEARCH("/",E1078)+1) - SEARCH("/",E1078) - 1))-(LEFT(E1078,FIND("/",E1078)-1))), "NA"))</f>
        <v/>
      </c>
      <c r="K1078" s="79">
        <f>IF(A1078&lt;&gt;"", IF(ISBLANK(L1078), TODAY(), K1078), "")</f>
        <v/>
      </c>
      <c r="L1078" s="78" t="n"/>
      <c r="M1078" s="78">
        <f>IF(ISBLANK(L1078),"",IF(D1078="Stock",IF(C1078="Buy",L1078*G1078,IF(C1078="Sell",(L1078*G1078)-I1078, X)),IF(C1078="Buy",(L1078*G1078*100)+I1078,IF(C1078="Sell",(L1078*G1078*100)-I1078, X))))</f>
        <v/>
      </c>
      <c r="N1078" s="78">
        <f>IF(ISBLANK(L1078),"",IF(AND(C1078="Sell",D1078="Stock"),M1078,IF(ISBLANK(L1078),"",IF(C1078="Buy",M1078, IF(AND(C1078="Sell",J1078="NA"),(E1078*G1078*100*0.1)+I1078, IF(C1078="Sell",(J1078-L1078)*(100*G1078)+I1078))))))</f>
        <v/>
      </c>
      <c r="O1078" s="75" t="n"/>
      <c r="P1078" s="75" t="n"/>
      <c r="Q1078" s="75">
        <f>IF(ISBLANK(P1078),"",IF(D1078="Stock",P1078*G1078,IF(P1078=0,"0",G1078*P1078*100-(G1078*$AF$14))))</f>
        <v/>
      </c>
      <c r="R1078" s="79">
        <f>IF(P1078&lt;&gt;"", TODAY(), "")</f>
        <v/>
      </c>
      <c r="S1078" s="78">
        <f>IF(AND(K1078&lt;&gt;"", R1078&lt;&gt;""), R1078-K1078, "")</f>
        <v/>
      </c>
      <c r="T1078" s="78" t="n"/>
      <c r="U1078" s="92">
        <f>IF(ISBLANK(P1078),"",IF(C1078="Buy",Q1078-M1078+T1078, IF(C1078="Sell",M1078-Q1078-T1078, X)))</f>
        <v/>
      </c>
      <c r="V1078" s="81">
        <f>IF(ISBLANK(P1078),"",U1078/N1078)</f>
        <v/>
      </c>
      <c r="W1078" s="81">
        <f>IF(ISBLANK(P1078),"",IF(S1078=0,(365/0.5)*V1078,(365/S1078)*V1078))</f>
        <v/>
      </c>
      <c r="X1078" s="75" t="n"/>
      <c r="Y1078" s="77" t="n"/>
      <c r="Z1078" s="77" t="n"/>
      <c r="AA1078" s="75" t="n"/>
      <c r="AB1078" s="75" t="n"/>
      <c r="AC1078" s="6" t="n"/>
      <c r="AD1078" s="75" t="n"/>
      <c r="AE1078" s="75" t="n"/>
      <c r="AF1078" s="75" t="n"/>
    </row>
    <row r="1079" ht="15.75" customHeight="1" s="133">
      <c r="A1079" s="75" t="n"/>
      <c r="B1079" s="75" t="n"/>
      <c r="C1079" s="75" t="n"/>
      <c r="D1079" s="75" t="n"/>
      <c r="E1079" s="76" t="n"/>
      <c r="F1079" s="77" t="n"/>
      <c r="G1079" s="75" t="n"/>
      <c r="H1079" s="75">
        <f>IF(ISBLANK(E1079),"",IF(OR(D1079="Butterfly",D1079="Butterfly ",D1079="Iron Fly", D1079="Iron Fly "),LEN(E1079)-LEN(SUBSTITUTE(E1079,"/",""))+2,LEN(E1079)-LEN(SUBSTITUTE(E1079,"/",""))+1))</f>
        <v/>
      </c>
      <c r="I1079" s="78">
        <f>IF(ISBLANK(G1079),"",IF(D1079="Stock","0",Key!$A$3*H1079*G1079))</f>
        <v/>
      </c>
      <c r="J1079" s="78">
        <f>IF(ISBLANK(E1079),"",IF(ISNUMBER(SEARCH("/",E1079)), IF(LEN(E1079)-LEN(SUBSTITUTE(E1079,"/",""))=1,(RIGHT(E1079,LEN(E1079)-FIND("/",E1079)))-(LEFT(E1079,FIND("/",E1079)-1)),(MID(E1079, SEARCH("/",E1079) + 1, SEARCH("/",E1079, SEARCH("/",E1079)+1) - SEARCH("/",E1079) - 1))-(LEFT(E1079,FIND("/",E1079)-1))), "NA"))</f>
        <v/>
      </c>
      <c r="K1079" s="79">
        <f>IF(A1079&lt;&gt;"", IF(ISBLANK(L1079), TODAY(), K1079), "")</f>
        <v/>
      </c>
      <c r="L1079" s="78" t="n"/>
      <c r="M1079" s="78">
        <f>IF(ISBLANK(L1079),"",IF(D1079="Stock",IF(C1079="Buy",L1079*G1079,IF(C1079="Sell",(L1079*G1079)-I1079, X)),IF(C1079="Buy",(L1079*G1079*100)+I1079,IF(C1079="Sell",(L1079*G1079*100)-I1079, X))))</f>
        <v/>
      </c>
      <c r="N1079" s="78">
        <f>IF(ISBLANK(L1079),"",IF(AND(C1079="Sell",D1079="Stock"),M1079,IF(ISBLANK(L1079),"",IF(C1079="Buy",M1079, IF(AND(C1079="Sell",J1079="NA"),(E1079*G1079*100*0.1)+I1079, IF(C1079="Sell",(J1079-L1079)*(100*G1079)+I1079))))))</f>
        <v/>
      </c>
      <c r="O1079" s="75" t="n"/>
      <c r="P1079" s="75" t="n"/>
      <c r="Q1079" s="75">
        <f>IF(ISBLANK(P1079),"",IF(D1079="Stock",P1079*G1079,IF(P1079=0,"0",G1079*P1079*100-(G1079*$AF$14))))</f>
        <v/>
      </c>
      <c r="R1079" s="79">
        <f>IF(P1079&lt;&gt;"", TODAY(), "")</f>
        <v/>
      </c>
      <c r="S1079" s="78">
        <f>IF(AND(K1079&lt;&gt;"", R1079&lt;&gt;""), R1079-K1079, "")</f>
        <v/>
      </c>
      <c r="T1079" s="78" t="n"/>
      <c r="U1079" s="92">
        <f>IF(ISBLANK(P1079),"",IF(C1079="Buy",Q1079-M1079+T1079, IF(C1079="Sell",M1079-Q1079-T1079, X)))</f>
        <v/>
      </c>
      <c r="V1079" s="81">
        <f>IF(ISBLANK(P1079),"",U1079/N1079)</f>
        <v/>
      </c>
      <c r="W1079" s="81">
        <f>IF(ISBLANK(P1079),"",IF(S1079=0,(365/0.5)*V1079,(365/S1079)*V1079))</f>
        <v/>
      </c>
      <c r="X1079" s="75" t="n"/>
      <c r="Y1079" s="77" t="n"/>
      <c r="Z1079" s="77" t="n"/>
      <c r="AA1079" s="75" t="n"/>
      <c r="AB1079" s="75" t="n"/>
      <c r="AC1079" s="6" t="n"/>
      <c r="AD1079" s="75" t="n"/>
      <c r="AE1079" s="75" t="n"/>
      <c r="AF1079" s="75" t="n"/>
    </row>
    <row r="1080" ht="15.75" customHeight="1" s="133">
      <c r="A1080" s="75" t="n"/>
      <c r="B1080" s="75" t="n"/>
      <c r="C1080" s="75" t="n"/>
      <c r="D1080" s="75" t="n"/>
      <c r="E1080" s="76" t="n"/>
      <c r="F1080" s="77" t="n"/>
      <c r="G1080" s="75" t="n"/>
      <c r="H1080" s="75">
        <f>IF(ISBLANK(E1080),"",IF(OR(D1080="Butterfly",D1080="Butterfly ",D1080="Iron Fly", D1080="Iron Fly "),LEN(E1080)-LEN(SUBSTITUTE(E1080,"/",""))+2,LEN(E1080)-LEN(SUBSTITUTE(E1080,"/",""))+1))</f>
        <v/>
      </c>
      <c r="I1080" s="78">
        <f>IF(ISBLANK(G1080),"",IF(D1080="Stock","0",Key!$A$3*H1080*G1080))</f>
        <v/>
      </c>
      <c r="J1080" s="78">
        <f>IF(ISBLANK(E1080),"",IF(ISNUMBER(SEARCH("/",E1080)), IF(LEN(E1080)-LEN(SUBSTITUTE(E1080,"/",""))=1,(RIGHT(E1080,LEN(E1080)-FIND("/",E1080)))-(LEFT(E1080,FIND("/",E1080)-1)),(MID(E1080, SEARCH("/",E1080) + 1, SEARCH("/",E1080, SEARCH("/",E1080)+1) - SEARCH("/",E1080) - 1))-(LEFT(E1080,FIND("/",E1080)-1))), "NA"))</f>
        <v/>
      </c>
      <c r="K1080" s="79">
        <f>IF(A1080&lt;&gt;"", IF(ISBLANK(L1080), TODAY(), K1080), "")</f>
        <v/>
      </c>
      <c r="L1080" s="78" t="n"/>
      <c r="M1080" s="78">
        <f>IF(ISBLANK(L1080),"",IF(D1080="Stock",IF(C1080="Buy",L1080*G1080,IF(C1080="Sell",(L1080*G1080)-I1080, X)),IF(C1080="Buy",(L1080*G1080*100)+I1080,IF(C1080="Sell",(L1080*G1080*100)-I1080, X))))</f>
        <v/>
      </c>
      <c r="N1080" s="78">
        <f>IF(ISBLANK(L1080),"",IF(AND(C1080="Sell",D1080="Stock"),M1080,IF(ISBLANK(L1080),"",IF(C1080="Buy",M1080, IF(AND(C1080="Sell",J1080="NA"),(E1080*G1080*100*0.1)+I1080, IF(C1080="Sell",(J1080-L1080)*(100*G1080)+I1080))))))</f>
        <v/>
      </c>
      <c r="O1080" s="75" t="n"/>
      <c r="P1080" s="75" t="n"/>
      <c r="Q1080" s="75">
        <f>IF(ISBLANK(P1080),"",IF(D1080="Stock",P1080*G1080,IF(P1080=0,"0",G1080*P1080*100-(G1080*$AF$14))))</f>
        <v/>
      </c>
      <c r="R1080" s="79">
        <f>IF(P1080&lt;&gt;"", TODAY(), "")</f>
        <v/>
      </c>
      <c r="S1080" s="78">
        <f>IF(AND(K1080&lt;&gt;"", R1080&lt;&gt;""), R1080-K1080, "")</f>
        <v/>
      </c>
      <c r="T1080" s="78" t="n"/>
      <c r="U1080" s="92">
        <f>IF(ISBLANK(P1080),"",IF(C1080="Buy",Q1080-M1080+T1080, IF(C1080="Sell",M1080-Q1080-T1080, X)))</f>
        <v/>
      </c>
      <c r="V1080" s="81">
        <f>IF(ISBLANK(P1080),"",U1080/N1080)</f>
        <v/>
      </c>
      <c r="W1080" s="81">
        <f>IF(ISBLANK(P1080),"",IF(S1080=0,(365/0.5)*V1080,(365/S1080)*V1080))</f>
        <v/>
      </c>
      <c r="X1080" s="75" t="n"/>
      <c r="Y1080" s="77" t="n"/>
      <c r="Z1080" s="77" t="n"/>
      <c r="AA1080" s="75" t="n"/>
      <c r="AB1080" s="75" t="n"/>
      <c r="AC1080" s="6" t="n"/>
      <c r="AD1080" s="75" t="n"/>
      <c r="AE1080" s="75" t="n"/>
      <c r="AF1080" s="75" t="n"/>
    </row>
    <row r="1081" ht="15.75" customHeight="1" s="133">
      <c r="A1081" s="75" t="n"/>
      <c r="B1081" s="75" t="n"/>
      <c r="C1081" s="75" t="n"/>
      <c r="D1081" s="75" t="n"/>
      <c r="E1081" s="76" t="n"/>
      <c r="F1081" s="77" t="n"/>
      <c r="G1081" s="75" t="n"/>
      <c r="H1081" s="75">
        <f>IF(ISBLANK(E1081),"",IF(OR(D1081="Butterfly",D1081="Butterfly ",D1081="Iron Fly", D1081="Iron Fly "),LEN(E1081)-LEN(SUBSTITUTE(E1081,"/",""))+2,LEN(E1081)-LEN(SUBSTITUTE(E1081,"/",""))+1))</f>
        <v/>
      </c>
      <c r="I1081" s="78">
        <f>IF(ISBLANK(G1081),"",IF(D1081="Stock","0",Key!$A$3*H1081*G1081))</f>
        <v/>
      </c>
      <c r="J1081" s="78">
        <f>IF(ISBLANK(E1081),"",IF(ISNUMBER(SEARCH("/",E1081)), IF(LEN(E1081)-LEN(SUBSTITUTE(E1081,"/",""))=1,(RIGHT(E1081,LEN(E1081)-FIND("/",E1081)))-(LEFT(E1081,FIND("/",E1081)-1)),(MID(E1081, SEARCH("/",E1081) + 1, SEARCH("/",E1081, SEARCH("/",E1081)+1) - SEARCH("/",E1081) - 1))-(LEFT(E1081,FIND("/",E1081)-1))), "NA"))</f>
        <v/>
      </c>
      <c r="K1081" s="79">
        <f>IF(A1081&lt;&gt;"", IF(ISBLANK(L1081), TODAY(), K1081), "")</f>
        <v/>
      </c>
      <c r="L1081" s="78" t="n"/>
      <c r="M1081" s="78">
        <f>IF(ISBLANK(L1081),"",IF(D1081="Stock",IF(C1081="Buy",L1081*G1081,IF(C1081="Sell",(L1081*G1081)-I1081, X)),IF(C1081="Buy",(L1081*G1081*100)+I1081,IF(C1081="Sell",(L1081*G1081*100)-I1081, X))))</f>
        <v/>
      </c>
      <c r="N1081" s="78">
        <f>IF(ISBLANK(L1081),"",IF(AND(C1081="Sell",D1081="Stock"),M1081,IF(ISBLANK(L1081),"",IF(C1081="Buy",M1081, IF(AND(C1081="Sell",J1081="NA"),(E1081*G1081*100*0.1)+I1081, IF(C1081="Sell",(J1081-L1081)*(100*G1081)+I1081))))))</f>
        <v/>
      </c>
      <c r="O1081" s="75" t="n"/>
      <c r="P1081" s="75" t="n"/>
      <c r="Q1081" s="75">
        <f>IF(ISBLANK(P1081),"",IF(D1081="Stock",P1081*G1081,IF(P1081=0,"0",G1081*P1081*100-(G1081*$AF$14))))</f>
        <v/>
      </c>
      <c r="R1081" s="79">
        <f>IF(P1081&lt;&gt;"", TODAY(), "")</f>
        <v/>
      </c>
      <c r="S1081" s="78">
        <f>IF(AND(K1081&lt;&gt;"", R1081&lt;&gt;""), R1081-K1081, "")</f>
        <v/>
      </c>
      <c r="T1081" s="78" t="n"/>
      <c r="U1081" s="92">
        <f>IF(ISBLANK(P1081),"",IF(C1081="Buy",Q1081-M1081+T1081, IF(C1081="Sell",M1081-Q1081-T1081, X)))</f>
        <v/>
      </c>
      <c r="V1081" s="81">
        <f>IF(ISBLANK(P1081),"",U1081/N1081)</f>
        <v/>
      </c>
      <c r="W1081" s="81">
        <f>IF(ISBLANK(P1081),"",IF(S1081=0,(365/0.5)*V1081,(365/S1081)*V1081))</f>
        <v/>
      </c>
      <c r="X1081" s="75" t="n"/>
      <c r="Y1081" s="77" t="n"/>
      <c r="Z1081" s="77" t="n"/>
      <c r="AA1081" s="75" t="n"/>
      <c r="AB1081" s="75" t="n"/>
      <c r="AC1081" s="6" t="n"/>
      <c r="AD1081" s="75" t="n"/>
      <c r="AE1081" s="75" t="n"/>
      <c r="AF1081" s="75" t="n"/>
    </row>
    <row r="1082" ht="15.75" customHeight="1" s="133">
      <c r="A1082" s="75" t="n"/>
      <c r="B1082" s="75" t="n"/>
      <c r="C1082" s="75" t="n"/>
      <c r="D1082" s="75" t="n"/>
      <c r="E1082" s="76" t="n"/>
      <c r="F1082" s="77" t="n"/>
      <c r="G1082" s="75" t="n"/>
      <c r="H1082" s="75">
        <f>IF(ISBLANK(E1082),"",IF(OR(D1082="Butterfly",D1082="Butterfly ",D1082="Iron Fly", D1082="Iron Fly "),LEN(E1082)-LEN(SUBSTITUTE(E1082,"/",""))+2,LEN(E1082)-LEN(SUBSTITUTE(E1082,"/",""))+1))</f>
        <v/>
      </c>
      <c r="I1082" s="78">
        <f>IF(ISBLANK(G1082),"",IF(D1082="Stock","0",Key!$A$3*H1082*G1082))</f>
        <v/>
      </c>
      <c r="J1082" s="78">
        <f>IF(ISBLANK(E1082),"",IF(ISNUMBER(SEARCH("/",E1082)), IF(LEN(E1082)-LEN(SUBSTITUTE(E1082,"/",""))=1,(RIGHT(E1082,LEN(E1082)-FIND("/",E1082)))-(LEFT(E1082,FIND("/",E1082)-1)),(MID(E1082, SEARCH("/",E1082) + 1, SEARCH("/",E1082, SEARCH("/",E1082)+1) - SEARCH("/",E1082) - 1))-(LEFT(E1082,FIND("/",E1082)-1))), "NA"))</f>
        <v/>
      </c>
      <c r="K1082" s="79">
        <f>IF(A1082&lt;&gt;"", IF(ISBLANK(L1082), TODAY(), K1082), "")</f>
        <v/>
      </c>
      <c r="L1082" s="78" t="n"/>
      <c r="M1082" s="78">
        <f>IF(ISBLANK(L1082),"",IF(D1082="Stock",IF(C1082="Buy",L1082*G1082,IF(C1082="Sell",(L1082*G1082)-I1082, X)),IF(C1082="Buy",(L1082*G1082*100)+I1082,IF(C1082="Sell",(L1082*G1082*100)-I1082, X))))</f>
        <v/>
      </c>
      <c r="N1082" s="78">
        <f>IF(ISBLANK(L1082),"",IF(AND(C1082="Sell",D1082="Stock"),M1082,IF(ISBLANK(L1082),"",IF(C1082="Buy",M1082, IF(AND(C1082="Sell",J1082="NA"),(E1082*G1082*100*0.1)+I1082, IF(C1082="Sell",(J1082-L1082)*(100*G1082)+I1082))))))</f>
        <v/>
      </c>
      <c r="O1082" s="75" t="n"/>
      <c r="P1082" s="75" t="n"/>
      <c r="Q1082" s="75">
        <f>IF(ISBLANK(P1082),"",IF(D1082="Stock",P1082*G1082,IF(P1082=0,"0",G1082*P1082*100-(G1082*$AF$14))))</f>
        <v/>
      </c>
      <c r="R1082" s="79">
        <f>IF(P1082&lt;&gt;"", TODAY(), "")</f>
        <v/>
      </c>
      <c r="S1082" s="78">
        <f>IF(AND(K1082&lt;&gt;"", R1082&lt;&gt;""), R1082-K1082, "")</f>
        <v/>
      </c>
      <c r="T1082" s="78" t="n"/>
      <c r="U1082" s="92">
        <f>IF(ISBLANK(P1082),"",IF(C1082="Buy",Q1082-M1082+T1082, IF(C1082="Sell",M1082-Q1082-T1082, X)))</f>
        <v/>
      </c>
      <c r="V1082" s="81">
        <f>IF(ISBLANK(P1082),"",U1082/N1082)</f>
        <v/>
      </c>
      <c r="W1082" s="81">
        <f>IF(ISBLANK(P1082),"",IF(S1082=0,(365/0.5)*V1082,(365/S1082)*V1082))</f>
        <v/>
      </c>
      <c r="X1082" s="75" t="n"/>
      <c r="Y1082" s="77" t="n"/>
      <c r="Z1082" s="77" t="n"/>
      <c r="AA1082" s="75" t="n"/>
      <c r="AB1082" s="75" t="n"/>
      <c r="AC1082" s="6" t="n"/>
      <c r="AD1082" s="75" t="n"/>
      <c r="AE1082" s="75" t="n"/>
      <c r="AF1082" s="75" t="n"/>
    </row>
    <row r="1083" ht="15.75" customHeight="1" s="133">
      <c r="A1083" s="75" t="n"/>
      <c r="B1083" s="75" t="n"/>
      <c r="C1083" s="75" t="n"/>
      <c r="D1083" s="75" t="n"/>
      <c r="E1083" s="76" t="n"/>
      <c r="F1083" s="77" t="n"/>
      <c r="G1083" s="75" t="n"/>
      <c r="H1083" s="75">
        <f>IF(ISBLANK(E1083),"",IF(OR(D1083="Butterfly",D1083="Butterfly ",D1083="Iron Fly", D1083="Iron Fly "),LEN(E1083)-LEN(SUBSTITUTE(E1083,"/",""))+2,LEN(E1083)-LEN(SUBSTITUTE(E1083,"/",""))+1))</f>
        <v/>
      </c>
      <c r="I1083" s="78">
        <f>IF(ISBLANK(G1083),"",IF(D1083="Stock","0",Key!$A$3*H1083*G1083))</f>
        <v/>
      </c>
      <c r="J1083" s="78">
        <f>IF(ISBLANK(E1083),"",IF(ISNUMBER(SEARCH("/",E1083)), IF(LEN(E1083)-LEN(SUBSTITUTE(E1083,"/",""))=1,(RIGHT(E1083,LEN(E1083)-FIND("/",E1083)))-(LEFT(E1083,FIND("/",E1083)-1)),(MID(E1083, SEARCH("/",E1083) + 1, SEARCH("/",E1083, SEARCH("/",E1083)+1) - SEARCH("/",E1083) - 1))-(LEFT(E1083,FIND("/",E1083)-1))), "NA"))</f>
        <v/>
      </c>
      <c r="K1083" s="79">
        <f>IF(A1083&lt;&gt;"", IF(ISBLANK(L1083), TODAY(), K1083), "")</f>
        <v/>
      </c>
      <c r="L1083" s="78" t="n"/>
      <c r="M1083" s="78">
        <f>IF(ISBLANK(L1083),"",IF(D1083="Stock",IF(C1083="Buy",L1083*G1083,IF(C1083="Sell",(L1083*G1083)-I1083, X)),IF(C1083="Buy",(L1083*G1083*100)+I1083,IF(C1083="Sell",(L1083*G1083*100)-I1083, X))))</f>
        <v/>
      </c>
      <c r="N1083" s="78">
        <f>IF(ISBLANK(L1083),"",IF(AND(C1083="Sell",D1083="Stock"),M1083,IF(ISBLANK(L1083),"",IF(C1083="Buy",M1083, IF(AND(C1083="Sell",J1083="NA"),(E1083*G1083*100*0.1)+I1083, IF(C1083="Sell",(J1083-L1083)*(100*G1083)+I1083))))))</f>
        <v/>
      </c>
      <c r="O1083" s="75" t="n"/>
      <c r="P1083" s="75" t="n"/>
      <c r="Q1083" s="75">
        <f>IF(ISBLANK(P1083),"",IF(D1083="Stock",P1083*G1083,IF(P1083=0,"0",G1083*P1083*100-(G1083*$AF$14))))</f>
        <v/>
      </c>
      <c r="R1083" s="79">
        <f>IF(P1083&lt;&gt;"", TODAY(), "")</f>
        <v/>
      </c>
      <c r="S1083" s="78">
        <f>IF(AND(K1083&lt;&gt;"", R1083&lt;&gt;""), R1083-K1083, "")</f>
        <v/>
      </c>
      <c r="T1083" s="78" t="n"/>
      <c r="U1083" s="92">
        <f>IF(ISBLANK(P1083),"",IF(C1083="Buy",Q1083-M1083+T1083, IF(C1083="Sell",M1083-Q1083-T1083, X)))</f>
        <v/>
      </c>
      <c r="V1083" s="81">
        <f>IF(ISBLANK(P1083),"",U1083/N1083)</f>
        <v/>
      </c>
      <c r="W1083" s="81">
        <f>IF(ISBLANK(P1083),"",IF(S1083=0,(365/0.5)*V1083,(365/S1083)*V1083))</f>
        <v/>
      </c>
      <c r="X1083" s="75" t="n"/>
      <c r="Y1083" s="77" t="n"/>
      <c r="Z1083" s="77" t="n"/>
      <c r="AA1083" s="75" t="n"/>
      <c r="AB1083" s="75" t="n"/>
      <c r="AC1083" s="6" t="n"/>
      <c r="AD1083" s="75" t="n"/>
      <c r="AE1083" s="75" t="n"/>
      <c r="AF1083" s="75" t="n"/>
    </row>
    <row r="1084" ht="15.75" customHeight="1" s="133">
      <c r="A1084" s="75" t="n"/>
      <c r="B1084" s="75" t="n"/>
      <c r="C1084" s="75" t="n"/>
      <c r="D1084" s="75" t="n"/>
      <c r="E1084" s="76" t="n"/>
      <c r="F1084" s="77" t="n"/>
      <c r="G1084" s="75" t="n"/>
      <c r="H1084" s="75">
        <f>IF(ISBLANK(E1084),"",IF(OR(D1084="Butterfly",D1084="Butterfly ",D1084="Iron Fly", D1084="Iron Fly "),LEN(E1084)-LEN(SUBSTITUTE(E1084,"/",""))+2,LEN(E1084)-LEN(SUBSTITUTE(E1084,"/",""))+1))</f>
        <v/>
      </c>
      <c r="I1084" s="78">
        <f>IF(ISBLANK(G1084),"",IF(D1084="Stock","0",Key!$A$3*H1084*G1084))</f>
        <v/>
      </c>
      <c r="J1084" s="78">
        <f>IF(ISBLANK(E1084),"",IF(ISNUMBER(SEARCH("/",E1084)), IF(LEN(E1084)-LEN(SUBSTITUTE(E1084,"/",""))=1,(RIGHT(E1084,LEN(E1084)-FIND("/",E1084)))-(LEFT(E1084,FIND("/",E1084)-1)),(MID(E1084, SEARCH("/",E1084) + 1, SEARCH("/",E1084, SEARCH("/",E1084)+1) - SEARCH("/",E1084) - 1))-(LEFT(E1084,FIND("/",E1084)-1))), "NA"))</f>
        <v/>
      </c>
      <c r="K1084" s="79">
        <f>IF(A1084&lt;&gt;"", IF(ISBLANK(L1084), TODAY(), K1084), "")</f>
        <v/>
      </c>
      <c r="L1084" s="78" t="n"/>
      <c r="M1084" s="78">
        <f>IF(ISBLANK(L1084),"",IF(D1084="Stock",IF(C1084="Buy",L1084*G1084,IF(C1084="Sell",(L1084*G1084)-I1084, X)),IF(C1084="Buy",(L1084*G1084*100)+I1084,IF(C1084="Sell",(L1084*G1084*100)-I1084, X))))</f>
        <v/>
      </c>
      <c r="N1084" s="78">
        <f>IF(ISBLANK(L1084),"",IF(AND(C1084="Sell",D1084="Stock"),M1084,IF(ISBLANK(L1084),"",IF(C1084="Buy",M1084, IF(AND(C1084="Sell",J1084="NA"),(E1084*G1084*100*0.1)+I1084, IF(C1084="Sell",(J1084-L1084)*(100*G1084)+I1084))))))</f>
        <v/>
      </c>
      <c r="O1084" s="75" t="n"/>
      <c r="P1084" s="75" t="n"/>
      <c r="Q1084" s="75">
        <f>IF(ISBLANK(P1084),"",IF(D1084="Stock",P1084*G1084,IF(P1084=0,"0",G1084*P1084*100-(G1084*$AF$14))))</f>
        <v/>
      </c>
      <c r="R1084" s="79">
        <f>IF(P1084&lt;&gt;"", TODAY(), "")</f>
        <v/>
      </c>
      <c r="S1084" s="78">
        <f>IF(AND(K1084&lt;&gt;"", R1084&lt;&gt;""), R1084-K1084, "")</f>
        <v/>
      </c>
      <c r="T1084" s="78" t="n"/>
      <c r="U1084" s="92">
        <f>IF(ISBLANK(P1084),"",IF(C1084="Buy",Q1084-M1084+T1084, IF(C1084="Sell",M1084-Q1084-T1084, X)))</f>
        <v/>
      </c>
      <c r="V1084" s="81">
        <f>IF(ISBLANK(P1084),"",U1084/N1084)</f>
        <v/>
      </c>
      <c r="W1084" s="81">
        <f>IF(ISBLANK(P1084),"",IF(S1084=0,(365/0.5)*V1084,(365/S1084)*V1084))</f>
        <v/>
      </c>
      <c r="X1084" s="75" t="n"/>
      <c r="Y1084" s="77" t="n"/>
      <c r="Z1084" s="77" t="n"/>
      <c r="AA1084" s="75" t="n"/>
      <c r="AB1084" s="75" t="n"/>
      <c r="AC1084" s="6" t="n"/>
      <c r="AD1084" s="75" t="n"/>
      <c r="AE1084" s="75" t="n"/>
      <c r="AF1084" s="75" t="n"/>
    </row>
    <row r="1085" ht="15.75" customHeight="1" s="133">
      <c r="A1085" s="75" t="n"/>
      <c r="B1085" s="75" t="n"/>
      <c r="C1085" s="75" t="n"/>
      <c r="D1085" s="75" t="n"/>
      <c r="E1085" s="76" t="n"/>
      <c r="F1085" s="77" t="n"/>
      <c r="G1085" s="75" t="n"/>
      <c r="H1085" s="75">
        <f>IF(ISBLANK(E1085),"",IF(OR(D1085="Butterfly",D1085="Butterfly ",D1085="Iron Fly", D1085="Iron Fly "),LEN(E1085)-LEN(SUBSTITUTE(E1085,"/",""))+2,LEN(E1085)-LEN(SUBSTITUTE(E1085,"/",""))+1))</f>
        <v/>
      </c>
      <c r="I1085" s="78">
        <f>IF(ISBLANK(G1085),"",IF(D1085="Stock","0",Key!$A$3*H1085*G1085))</f>
        <v/>
      </c>
      <c r="J1085" s="78">
        <f>IF(ISBLANK(E1085),"",IF(ISNUMBER(SEARCH("/",E1085)), IF(LEN(E1085)-LEN(SUBSTITUTE(E1085,"/",""))=1,(RIGHT(E1085,LEN(E1085)-FIND("/",E1085)))-(LEFT(E1085,FIND("/",E1085)-1)),(MID(E1085, SEARCH("/",E1085) + 1, SEARCH("/",E1085, SEARCH("/",E1085)+1) - SEARCH("/",E1085) - 1))-(LEFT(E1085,FIND("/",E1085)-1))), "NA"))</f>
        <v/>
      </c>
      <c r="K1085" s="79">
        <f>IF(A1085&lt;&gt;"", IF(ISBLANK(L1085), TODAY(), K1085), "")</f>
        <v/>
      </c>
      <c r="L1085" s="78" t="n"/>
      <c r="M1085" s="78">
        <f>IF(ISBLANK(L1085),"",IF(D1085="Stock",IF(C1085="Buy",L1085*G1085,IF(C1085="Sell",(L1085*G1085)-I1085, X)),IF(C1085="Buy",(L1085*G1085*100)+I1085,IF(C1085="Sell",(L1085*G1085*100)-I1085, X))))</f>
        <v/>
      </c>
      <c r="N1085" s="78">
        <f>IF(ISBLANK(L1085),"",IF(AND(C1085="Sell",D1085="Stock"),M1085,IF(ISBLANK(L1085),"",IF(C1085="Buy",M1085, IF(AND(C1085="Sell",J1085="NA"),(E1085*G1085*100*0.1)+I1085, IF(C1085="Sell",(J1085-L1085)*(100*G1085)+I1085))))))</f>
        <v/>
      </c>
      <c r="O1085" s="75" t="n"/>
      <c r="P1085" s="75" t="n"/>
      <c r="Q1085" s="75">
        <f>IF(ISBLANK(P1085),"",IF(D1085="Stock",P1085*G1085,IF(P1085=0,"0",G1085*P1085*100-(G1085*$AF$14))))</f>
        <v/>
      </c>
      <c r="R1085" s="79">
        <f>IF(P1085&lt;&gt;"", TODAY(), "")</f>
        <v/>
      </c>
      <c r="S1085" s="78">
        <f>IF(AND(K1085&lt;&gt;"", R1085&lt;&gt;""), R1085-K1085, "")</f>
        <v/>
      </c>
      <c r="T1085" s="78" t="n"/>
      <c r="U1085" s="92">
        <f>IF(ISBLANK(P1085),"",IF(C1085="Buy",Q1085-M1085+T1085, IF(C1085="Sell",M1085-Q1085-T1085, X)))</f>
        <v/>
      </c>
      <c r="V1085" s="81">
        <f>IF(ISBLANK(P1085),"",U1085/N1085)</f>
        <v/>
      </c>
      <c r="W1085" s="81">
        <f>IF(ISBLANK(P1085),"",IF(S1085=0,(365/0.5)*V1085,(365/S1085)*V1085))</f>
        <v/>
      </c>
      <c r="X1085" s="75" t="n"/>
      <c r="Y1085" s="77" t="n"/>
      <c r="Z1085" s="77" t="n"/>
      <c r="AA1085" s="75" t="n"/>
      <c r="AB1085" s="75" t="n"/>
      <c r="AC1085" s="6" t="n"/>
      <c r="AD1085" s="75" t="n"/>
      <c r="AE1085" s="75" t="n"/>
      <c r="AF1085" s="75" t="n"/>
    </row>
    <row r="1086" ht="15.75" customHeight="1" s="133">
      <c r="A1086" s="75" t="n"/>
      <c r="B1086" s="75" t="n"/>
      <c r="C1086" s="75" t="n"/>
      <c r="D1086" s="75" t="n"/>
      <c r="E1086" s="76" t="n"/>
      <c r="F1086" s="77" t="n"/>
      <c r="G1086" s="75" t="n"/>
      <c r="H1086" s="75">
        <f>IF(ISBLANK(E1086),"",IF(OR(D1086="Butterfly",D1086="Butterfly ",D1086="Iron Fly", D1086="Iron Fly "),LEN(E1086)-LEN(SUBSTITUTE(E1086,"/",""))+2,LEN(E1086)-LEN(SUBSTITUTE(E1086,"/",""))+1))</f>
        <v/>
      </c>
      <c r="I1086" s="78">
        <f>IF(ISBLANK(G1086),"",IF(D1086="Stock","0",Key!$A$3*H1086*G1086))</f>
        <v/>
      </c>
      <c r="J1086" s="78">
        <f>IF(ISBLANK(E1086),"",IF(ISNUMBER(SEARCH("/",E1086)), IF(LEN(E1086)-LEN(SUBSTITUTE(E1086,"/",""))=1,(RIGHT(E1086,LEN(E1086)-FIND("/",E1086)))-(LEFT(E1086,FIND("/",E1086)-1)),(MID(E1086, SEARCH("/",E1086) + 1, SEARCH("/",E1086, SEARCH("/",E1086)+1) - SEARCH("/",E1086) - 1))-(LEFT(E1086,FIND("/",E1086)-1))), "NA"))</f>
        <v/>
      </c>
      <c r="K1086" s="79">
        <f>IF(A1086&lt;&gt;"", IF(ISBLANK(L1086), TODAY(), K1086), "")</f>
        <v/>
      </c>
      <c r="L1086" s="78" t="n"/>
      <c r="M1086" s="78">
        <f>IF(ISBLANK(L1086),"",IF(D1086="Stock",IF(C1086="Buy",L1086*G1086,IF(C1086="Sell",(L1086*G1086)-I1086, X)),IF(C1086="Buy",(L1086*G1086*100)+I1086,IF(C1086="Sell",(L1086*G1086*100)-I1086, X))))</f>
        <v/>
      </c>
      <c r="N1086" s="78">
        <f>IF(ISBLANK(L1086),"",IF(AND(C1086="Sell",D1086="Stock"),M1086,IF(ISBLANK(L1086),"",IF(C1086="Buy",M1086, IF(AND(C1086="Sell",J1086="NA"),(E1086*G1086*100*0.1)+I1086, IF(C1086="Sell",(J1086-L1086)*(100*G1086)+I1086))))))</f>
        <v/>
      </c>
      <c r="O1086" s="75" t="n"/>
      <c r="P1086" s="75" t="n"/>
      <c r="Q1086" s="75">
        <f>IF(ISBLANK(P1086),"",IF(D1086="Stock",P1086*G1086,IF(P1086=0,"0",G1086*P1086*100-(G1086*$AF$14))))</f>
        <v/>
      </c>
      <c r="R1086" s="79">
        <f>IF(P1086&lt;&gt;"", TODAY(), "")</f>
        <v/>
      </c>
      <c r="S1086" s="78">
        <f>IF(AND(K1086&lt;&gt;"", R1086&lt;&gt;""), R1086-K1086, "")</f>
        <v/>
      </c>
      <c r="T1086" s="78" t="n"/>
      <c r="U1086" s="92">
        <f>IF(ISBLANK(P1086),"",IF(C1086="Buy",Q1086-M1086+T1086, IF(C1086="Sell",M1086-Q1086-T1086, X)))</f>
        <v/>
      </c>
      <c r="V1086" s="81">
        <f>IF(ISBLANK(P1086),"",U1086/N1086)</f>
        <v/>
      </c>
      <c r="W1086" s="81">
        <f>IF(ISBLANK(P1086),"",IF(S1086=0,(365/0.5)*V1086,(365/S1086)*V1086))</f>
        <v/>
      </c>
      <c r="X1086" s="75" t="n"/>
      <c r="Y1086" s="77" t="n"/>
      <c r="Z1086" s="77" t="n"/>
      <c r="AA1086" s="75" t="n"/>
      <c r="AB1086" s="75" t="n"/>
      <c r="AC1086" s="6" t="n"/>
      <c r="AD1086" s="75" t="n"/>
      <c r="AE1086" s="75" t="n"/>
      <c r="AF1086" s="75" t="n"/>
    </row>
    <row r="1087" ht="15.75" customHeight="1" s="133">
      <c r="A1087" s="75" t="n"/>
      <c r="B1087" s="75" t="n"/>
      <c r="C1087" s="75" t="n"/>
      <c r="D1087" s="75" t="n"/>
      <c r="E1087" s="76" t="n"/>
      <c r="F1087" s="77" t="n"/>
      <c r="G1087" s="75" t="n"/>
      <c r="H1087" s="75">
        <f>IF(ISBLANK(E1087),"",IF(OR(D1087="Butterfly",D1087="Butterfly ",D1087="Iron Fly", D1087="Iron Fly "),LEN(E1087)-LEN(SUBSTITUTE(E1087,"/",""))+2,LEN(E1087)-LEN(SUBSTITUTE(E1087,"/",""))+1))</f>
        <v/>
      </c>
      <c r="I1087" s="78">
        <f>IF(ISBLANK(G1087),"",IF(D1087="Stock","0",Key!$A$3*H1087*G1087))</f>
        <v/>
      </c>
      <c r="J1087" s="78">
        <f>IF(ISBLANK(E1087),"",IF(ISNUMBER(SEARCH("/",E1087)), IF(LEN(E1087)-LEN(SUBSTITUTE(E1087,"/",""))=1,(RIGHT(E1087,LEN(E1087)-FIND("/",E1087)))-(LEFT(E1087,FIND("/",E1087)-1)),(MID(E1087, SEARCH("/",E1087) + 1, SEARCH("/",E1087, SEARCH("/",E1087)+1) - SEARCH("/",E1087) - 1))-(LEFT(E1087,FIND("/",E1087)-1))), "NA"))</f>
        <v/>
      </c>
      <c r="K1087" s="79">
        <f>IF(A1087&lt;&gt;"", IF(ISBLANK(L1087), TODAY(), K1087), "")</f>
        <v/>
      </c>
      <c r="L1087" s="78" t="n"/>
      <c r="M1087" s="78">
        <f>IF(ISBLANK(L1087),"",IF(D1087="Stock",IF(C1087="Buy",L1087*G1087,IF(C1087="Sell",(L1087*G1087)-I1087, X)),IF(C1087="Buy",(L1087*G1087*100)+I1087,IF(C1087="Sell",(L1087*G1087*100)-I1087, X))))</f>
        <v/>
      </c>
      <c r="N1087" s="78">
        <f>IF(ISBLANK(L1087),"",IF(AND(C1087="Sell",D1087="Stock"),M1087,IF(ISBLANK(L1087),"",IF(C1087="Buy",M1087, IF(AND(C1087="Sell",J1087="NA"),(E1087*G1087*100*0.1)+I1087, IF(C1087="Sell",(J1087-L1087)*(100*G1087)+I1087))))))</f>
        <v/>
      </c>
      <c r="O1087" s="75" t="n"/>
      <c r="P1087" s="75" t="n"/>
      <c r="Q1087" s="75">
        <f>IF(ISBLANK(P1087),"",IF(D1087="Stock",P1087*G1087,IF(P1087=0,"0",G1087*P1087*100-(G1087*$AF$14))))</f>
        <v/>
      </c>
      <c r="R1087" s="79">
        <f>IF(P1087&lt;&gt;"", TODAY(), "")</f>
        <v/>
      </c>
      <c r="S1087" s="78">
        <f>IF(AND(K1087&lt;&gt;"", R1087&lt;&gt;""), R1087-K1087, "")</f>
        <v/>
      </c>
      <c r="T1087" s="78" t="n"/>
      <c r="U1087" s="92">
        <f>IF(ISBLANK(P1087),"",IF(C1087="Buy",Q1087-M1087+T1087, IF(C1087="Sell",M1087-Q1087-T1087, X)))</f>
        <v/>
      </c>
      <c r="V1087" s="81">
        <f>IF(ISBLANK(P1087),"",U1087/N1087)</f>
        <v/>
      </c>
      <c r="W1087" s="81">
        <f>IF(ISBLANK(P1087),"",IF(S1087=0,(365/0.5)*V1087,(365/S1087)*V1087))</f>
        <v/>
      </c>
      <c r="X1087" s="75" t="n"/>
      <c r="Y1087" s="77" t="n"/>
      <c r="Z1087" s="77" t="n"/>
      <c r="AA1087" s="75" t="n"/>
      <c r="AB1087" s="75" t="n"/>
      <c r="AC1087" s="6" t="n"/>
      <c r="AD1087" s="75" t="n"/>
      <c r="AE1087" s="75" t="n"/>
      <c r="AF1087" s="75" t="n"/>
    </row>
    <row r="1088" ht="15.75" customHeight="1" s="133">
      <c r="A1088" s="75" t="n"/>
      <c r="B1088" s="75" t="n"/>
      <c r="C1088" s="75" t="n"/>
      <c r="D1088" s="75" t="n"/>
      <c r="E1088" s="76" t="n"/>
      <c r="F1088" s="77" t="n"/>
      <c r="G1088" s="75" t="n"/>
      <c r="H1088" s="75">
        <f>IF(ISBLANK(E1088),"",IF(OR(D1088="Butterfly",D1088="Butterfly ",D1088="Iron Fly", D1088="Iron Fly "),LEN(E1088)-LEN(SUBSTITUTE(E1088,"/",""))+2,LEN(E1088)-LEN(SUBSTITUTE(E1088,"/",""))+1))</f>
        <v/>
      </c>
      <c r="I1088" s="78">
        <f>IF(ISBLANK(G1088),"",IF(D1088="Stock","0",Key!$A$3*H1088*G1088))</f>
        <v/>
      </c>
      <c r="J1088" s="78">
        <f>IF(ISBLANK(E1088),"",IF(ISNUMBER(SEARCH("/",E1088)), IF(LEN(E1088)-LEN(SUBSTITUTE(E1088,"/",""))=1,(RIGHT(E1088,LEN(E1088)-FIND("/",E1088)))-(LEFT(E1088,FIND("/",E1088)-1)),(MID(E1088, SEARCH("/",E1088) + 1, SEARCH("/",E1088, SEARCH("/",E1088)+1) - SEARCH("/",E1088) - 1))-(LEFT(E1088,FIND("/",E1088)-1))), "NA"))</f>
        <v/>
      </c>
      <c r="K1088" s="79">
        <f>IF(A1088&lt;&gt;"", IF(ISBLANK(L1088), TODAY(), K1088), "")</f>
        <v/>
      </c>
      <c r="L1088" s="78" t="n"/>
      <c r="M1088" s="78">
        <f>IF(ISBLANK(L1088),"",IF(D1088="Stock",IF(C1088="Buy",L1088*G1088,IF(C1088="Sell",(L1088*G1088)-I1088, X)),IF(C1088="Buy",(L1088*G1088*100)+I1088,IF(C1088="Sell",(L1088*G1088*100)-I1088, X))))</f>
        <v/>
      </c>
      <c r="N1088" s="78">
        <f>IF(ISBLANK(L1088),"",IF(AND(C1088="Sell",D1088="Stock"),M1088,IF(ISBLANK(L1088),"",IF(C1088="Buy",M1088, IF(AND(C1088="Sell",J1088="NA"),(E1088*G1088*100*0.1)+I1088, IF(C1088="Sell",(J1088-L1088)*(100*G1088)+I1088))))))</f>
        <v/>
      </c>
      <c r="O1088" s="75" t="n"/>
      <c r="P1088" s="75" t="n"/>
      <c r="Q1088" s="75">
        <f>IF(ISBLANK(P1088),"",IF(D1088="Stock",P1088*G1088,IF(P1088=0,"0",G1088*P1088*100-(G1088*$AF$14))))</f>
        <v/>
      </c>
      <c r="R1088" s="79">
        <f>IF(P1088&lt;&gt;"", TODAY(), "")</f>
        <v/>
      </c>
      <c r="S1088" s="78">
        <f>IF(AND(K1088&lt;&gt;"", R1088&lt;&gt;""), R1088-K1088, "")</f>
        <v/>
      </c>
      <c r="T1088" s="78" t="n"/>
      <c r="U1088" s="92">
        <f>IF(ISBLANK(P1088),"",IF(C1088="Buy",Q1088-M1088+T1088, IF(C1088="Sell",M1088-Q1088-T1088, X)))</f>
        <v/>
      </c>
      <c r="V1088" s="81">
        <f>IF(ISBLANK(P1088),"",U1088/N1088)</f>
        <v/>
      </c>
      <c r="W1088" s="81">
        <f>IF(ISBLANK(P1088),"",IF(S1088=0,(365/0.5)*V1088,(365/S1088)*V1088))</f>
        <v/>
      </c>
      <c r="X1088" s="75" t="n"/>
      <c r="Y1088" s="77" t="n"/>
      <c r="Z1088" s="77" t="n"/>
      <c r="AA1088" s="75" t="n"/>
      <c r="AB1088" s="75" t="n"/>
      <c r="AC1088" s="6" t="n"/>
      <c r="AD1088" s="75" t="n"/>
      <c r="AE1088" s="75" t="n"/>
      <c r="AF1088" s="75" t="n"/>
    </row>
    <row r="1089" ht="15.75" customHeight="1" s="133">
      <c r="A1089" s="75" t="n"/>
      <c r="B1089" s="75" t="n"/>
      <c r="C1089" s="75" t="n"/>
      <c r="D1089" s="75" t="n"/>
      <c r="E1089" s="76" t="n"/>
      <c r="F1089" s="77" t="n"/>
      <c r="G1089" s="75" t="n"/>
      <c r="H1089" s="75">
        <f>IF(ISBLANK(E1089),"",IF(OR(D1089="Butterfly",D1089="Butterfly ",D1089="Iron Fly", D1089="Iron Fly "),LEN(E1089)-LEN(SUBSTITUTE(E1089,"/",""))+2,LEN(E1089)-LEN(SUBSTITUTE(E1089,"/",""))+1))</f>
        <v/>
      </c>
      <c r="I1089" s="78">
        <f>IF(ISBLANK(G1089),"",IF(D1089="Stock","0",Key!$A$3*H1089*G1089))</f>
        <v/>
      </c>
      <c r="J1089" s="78">
        <f>IF(ISBLANK(E1089),"",IF(ISNUMBER(SEARCH("/",E1089)), IF(LEN(E1089)-LEN(SUBSTITUTE(E1089,"/",""))=1,(RIGHT(E1089,LEN(E1089)-FIND("/",E1089)))-(LEFT(E1089,FIND("/",E1089)-1)),(MID(E1089, SEARCH("/",E1089) + 1, SEARCH("/",E1089, SEARCH("/",E1089)+1) - SEARCH("/",E1089) - 1))-(LEFT(E1089,FIND("/",E1089)-1))), "NA"))</f>
        <v/>
      </c>
      <c r="K1089" s="79">
        <f>IF(A1089&lt;&gt;"", IF(ISBLANK(L1089), TODAY(), K1089), "")</f>
        <v/>
      </c>
      <c r="L1089" s="78" t="n"/>
      <c r="M1089" s="78">
        <f>IF(ISBLANK(L1089),"",IF(D1089="Stock",IF(C1089="Buy",L1089*G1089,IF(C1089="Sell",(L1089*G1089)-I1089, X)),IF(C1089="Buy",(L1089*G1089*100)+I1089,IF(C1089="Sell",(L1089*G1089*100)-I1089, X))))</f>
        <v/>
      </c>
      <c r="N1089" s="78">
        <f>IF(ISBLANK(L1089),"",IF(AND(C1089="Sell",D1089="Stock"),M1089,IF(ISBLANK(L1089),"",IF(C1089="Buy",M1089, IF(AND(C1089="Sell",J1089="NA"),(E1089*G1089*100*0.1)+I1089, IF(C1089="Sell",(J1089-L1089)*(100*G1089)+I1089))))))</f>
        <v/>
      </c>
      <c r="O1089" s="75" t="n"/>
      <c r="P1089" s="75" t="n"/>
      <c r="Q1089" s="75">
        <f>IF(ISBLANK(P1089),"",IF(D1089="Stock",P1089*G1089,IF(P1089=0,"0",G1089*P1089*100-(G1089*$AF$14))))</f>
        <v/>
      </c>
      <c r="R1089" s="79">
        <f>IF(P1089&lt;&gt;"", TODAY(), "")</f>
        <v/>
      </c>
      <c r="S1089" s="78">
        <f>IF(AND(K1089&lt;&gt;"", R1089&lt;&gt;""), R1089-K1089, "")</f>
        <v/>
      </c>
      <c r="T1089" s="78" t="n"/>
      <c r="U1089" s="92">
        <f>IF(ISBLANK(P1089),"",IF(C1089="Buy",Q1089-M1089+T1089, IF(C1089="Sell",M1089-Q1089-T1089, X)))</f>
        <v/>
      </c>
      <c r="V1089" s="81">
        <f>IF(ISBLANK(P1089),"",U1089/N1089)</f>
        <v/>
      </c>
      <c r="W1089" s="81">
        <f>IF(ISBLANK(P1089),"",IF(S1089=0,(365/0.5)*V1089,(365/S1089)*V1089))</f>
        <v/>
      </c>
      <c r="X1089" s="75" t="n"/>
      <c r="Y1089" s="77" t="n"/>
      <c r="Z1089" s="77" t="n"/>
      <c r="AA1089" s="75" t="n"/>
      <c r="AB1089" s="75" t="n"/>
      <c r="AC1089" s="6" t="n"/>
      <c r="AD1089" s="75" t="n"/>
      <c r="AE1089" s="75" t="n"/>
      <c r="AF1089" s="75" t="n"/>
    </row>
    <row r="1090" ht="15.75" customHeight="1" s="133">
      <c r="A1090" s="75" t="n"/>
      <c r="B1090" s="75" t="n"/>
      <c r="C1090" s="75" t="n"/>
      <c r="D1090" s="75" t="n"/>
      <c r="E1090" s="76" t="n"/>
      <c r="F1090" s="77" t="n"/>
      <c r="G1090" s="75" t="n"/>
      <c r="H1090" s="75">
        <f>IF(ISBLANK(E1090),"",IF(OR(D1090="Butterfly",D1090="Butterfly ",D1090="Iron Fly", D1090="Iron Fly "),LEN(E1090)-LEN(SUBSTITUTE(E1090,"/",""))+2,LEN(E1090)-LEN(SUBSTITUTE(E1090,"/",""))+1))</f>
        <v/>
      </c>
      <c r="I1090" s="78">
        <f>IF(ISBLANK(G1090),"",IF(D1090="Stock","0",Key!$A$3*H1090*G1090))</f>
        <v/>
      </c>
      <c r="J1090" s="78">
        <f>IF(ISBLANK(E1090),"",IF(ISNUMBER(SEARCH("/",E1090)), IF(LEN(E1090)-LEN(SUBSTITUTE(E1090,"/",""))=1,(RIGHT(E1090,LEN(E1090)-FIND("/",E1090)))-(LEFT(E1090,FIND("/",E1090)-1)),(MID(E1090, SEARCH("/",E1090) + 1, SEARCH("/",E1090, SEARCH("/",E1090)+1) - SEARCH("/",E1090) - 1))-(LEFT(E1090,FIND("/",E1090)-1))), "NA"))</f>
        <v/>
      </c>
      <c r="K1090" s="79">
        <f>IF(A1090&lt;&gt;"", IF(ISBLANK(L1090), TODAY(), K1090), "")</f>
        <v/>
      </c>
      <c r="L1090" s="78" t="n"/>
      <c r="M1090" s="78">
        <f>IF(ISBLANK(L1090),"",IF(D1090="Stock",IF(C1090="Buy",L1090*G1090,IF(C1090="Sell",(L1090*G1090)-I1090, X)),IF(C1090="Buy",(L1090*G1090*100)+I1090,IF(C1090="Sell",(L1090*G1090*100)-I1090, X))))</f>
        <v/>
      </c>
      <c r="N1090" s="78">
        <f>IF(ISBLANK(L1090),"",IF(AND(C1090="Sell",D1090="Stock"),M1090,IF(ISBLANK(L1090),"",IF(C1090="Buy",M1090, IF(AND(C1090="Sell",J1090="NA"),(E1090*G1090*100*0.1)+I1090, IF(C1090="Sell",(J1090-L1090)*(100*G1090)+I1090))))))</f>
        <v/>
      </c>
      <c r="O1090" s="75" t="n"/>
      <c r="P1090" s="75" t="n"/>
      <c r="Q1090" s="75">
        <f>IF(ISBLANK(P1090),"",IF(D1090="Stock",P1090*G1090,IF(P1090=0,"0",G1090*P1090*100-(G1090*$AF$14))))</f>
        <v/>
      </c>
      <c r="R1090" s="79">
        <f>IF(P1090&lt;&gt;"", TODAY(), "")</f>
        <v/>
      </c>
      <c r="S1090" s="78">
        <f>IF(AND(K1090&lt;&gt;"", R1090&lt;&gt;""), R1090-K1090, "")</f>
        <v/>
      </c>
      <c r="T1090" s="78" t="n"/>
      <c r="U1090" s="92">
        <f>IF(ISBLANK(P1090),"",IF(C1090="Buy",Q1090-M1090+T1090, IF(C1090="Sell",M1090-Q1090-T1090, X)))</f>
        <v/>
      </c>
      <c r="V1090" s="81">
        <f>IF(ISBLANK(P1090),"",U1090/N1090)</f>
        <v/>
      </c>
      <c r="W1090" s="81">
        <f>IF(ISBLANK(P1090),"",IF(S1090=0,(365/0.5)*V1090,(365/S1090)*V1090))</f>
        <v/>
      </c>
      <c r="X1090" s="75" t="n"/>
      <c r="Y1090" s="77" t="n"/>
      <c r="Z1090" s="77" t="n"/>
      <c r="AA1090" s="75" t="n"/>
      <c r="AB1090" s="75" t="n"/>
      <c r="AC1090" s="6" t="n"/>
      <c r="AD1090" s="75" t="n"/>
      <c r="AE1090" s="75" t="n"/>
      <c r="AF1090" s="75" t="n"/>
    </row>
    <row r="1091" ht="15.75" customHeight="1" s="133">
      <c r="A1091" s="75" t="n"/>
      <c r="B1091" s="75" t="n"/>
      <c r="C1091" s="75" t="n"/>
      <c r="D1091" s="75" t="n"/>
      <c r="E1091" s="76" t="n"/>
      <c r="F1091" s="77" t="n"/>
      <c r="G1091" s="75" t="n"/>
      <c r="H1091" s="75">
        <f>IF(ISBLANK(E1091),"",IF(OR(D1091="Butterfly",D1091="Butterfly ",D1091="Iron Fly", D1091="Iron Fly "),LEN(E1091)-LEN(SUBSTITUTE(E1091,"/",""))+2,LEN(E1091)-LEN(SUBSTITUTE(E1091,"/",""))+1))</f>
        <v/>
      </c>
      <c r="I1091" s="78">
        <f>IF(ISBLANK(G1091),"",IF(D1091="Stock","0",Key!$A$3*H1091*G1091))</f>
        <v/>
      </c>
      <c r="J1091" s="78">
        <f>IF(ISBLANK(E1091),"",IF(ISNUMBER(SEARCH("/",E1091)), IF(LEN(E1091)-LEN(SUBSTITUTE(E1091,"/",""))=1,(RIGHT(E1091,LEN(E1091)-FIND("/",E1091)))-(LEFT(E1091,FIND("/",E1091)-1)),(MID(E1091, SEARCH("/",E1091) + 1, SEARCH("/",E1091, SEARCH("/",E1091)+1) - SEARCH("/",E1091) - 1))-(LEFT(E1091,FIND("/",E1091)-1))), "NA"))</f>
        <v/>
      </c>
      <c r="K1091" s="79">
        <f>IF(A1091&lt;&gt;"", IF(ISBLANK(L1091), TODAY(), K1091), "")</f>
        <v/>
      </c>
      <c r="L1091" s="78" t="n"/>
      <c r="M1091" s="78">
        <f>IF(ISBLANK(L1091),"",IF(D1091="Stock",IF(C1091="Buy",L1091*G1091,IF(C1091="Sell",(L1091*G1091)-I1091, X)),IF(C1091="Buy",(L1091*G1091*100)+I1091,IF(C1091="Sell",(L1091*G1091*100)-I1091, X))))</f>
        <v/>
      </c>
      <c r="N1091" s="78">
        <f>IF(ISBLANK(L1091),"",IF(AND(C1091="Sell",D1091="Stock"),M1091,IF(ISBLANK(L1091),"",IF(C1091="Buy",M1091, IF(AND(C1091="Sell",J1091="NA"),(E1091*G1091*100*0.1)+I1091, IF(C1091="Sell",(J1091-L1091)*(100*G1091)+I1091))))))</f>
        <v/>
      </c>
      <c r="O1091" s="75" t="n"/>
      <c r="P1091" s="75" t="n"/>
      <c r="Q1091" s="75">
        <f>IF(ISBLANK(P1091),"",IF(D1091="Stock",P1091*G1091,IF(P1091=0,"0",G1091*P1091*100-(G1091*$AF$14))))</f>
        <v/>
      </c>
      <c r="R1091" s="79">
        <f>IF(P1091&lt;&gt;"", TODAY(), "")</f>
        <v/>
      </c>
      <c r="S1091" s="78">
        <f>IF(AND(K1091&lt;&gt;"", R1091&lt;&gt;""), R1091-K1091, "")</f>
        <v/>
      </c>
      <c r="T1091" s="78" t="n"/>
      <c r="U1091" s="92">
        <f>IF(ISBLANK(P1091),"",IF(C1091="Buy",Q1091-M1091+T1091, IF(C1091="Sell",M1091-Q1091-T1091, X)))</f>
        <v/>
      </c>
      <c r="V1091" s="81">
        <f>IF(ISBLANK(P1091),"",U1091/N1091)</f>
        <v/>
      </c>
      <c r="W1091" s="81">
        <f>IF(ISBLANK(P1091),"",IF(S1091=0,(365/0.5)*V1091,(365/S1091)*V1091))</f>
        <v/>
      </c>
      <c r="X1091" s="75" t="n"/>
      <c r="Y1091" s="77" t="n"/>
      <c r="Z1091" s="77" t="n"/>
      <c r="AA1091" s="75" t="n"/>
      <c r="AB1091" s="75" t="n"/>
      <c r="AC1091" s="6" t="n"/>
      <c r="AD1091" s="75" t="n"/>
      <c r="AE1091" s="75" t="n"/>
      <c r="AF1091" s="75" t="n"/>
    </row>
    <row r="1092" ht="15.75" customHeight="1" s="133">
      <c r="A1092" s="75" t="n"/>
      <c r="B1092" s="75" t="n"/>
      <c r="C1092" s="75" t="n"/>
      <c r="D1092" s="75" t="n"/>
      <c r="E1092" s="76" t="n"/>
      <c r="F1092" s="77" t="n"/>
      <c r="G1092" s="75" t="n"/>
      <c r="H1092" s="75">
        <f>IF(ISBLANK(E1092),"",IF(OR(D1092="Butterfly",D1092="Butterfly ",D1092="Iron Fly", D1092="Iron Fly "),LEN(E1092)-LEN(SUBSTITUTE(E1092,"/",""))+2,LEN(E1092)-LEN(SUBSTITUTE(E1092,"/",""))+1))</f>
        <v/>
      </c>
      <c r="I1092" s="78">
        <f>IF(ISBLANK(G1092),"",IF(D1092="Stock","0",Key!$A$3*H1092*G1092))</f>
        <v/>
      </c>
      <c r="J1092" s="78">
        <f>IF(ISBLANK(E1092),"",IF(ISNUMBER(SEARCH("/",E1092)), IF(LEN(E1092)-LEN(SUBSTITUTE(E1092,"/",""))=1,(RIGHT(E1092,LEN(E1092)-FIND("/",E1092)))-(LEFT(E1092,FIND("/",E1092)-1)),(MID(E1092, SEARCH("/",E1092) + 1, SEARCH("/",E1092, SEARCH("/",E1092)+1) - SEARCH("/",E1092) - 1))-(LEFT(E1092,FIND("/",E1092)-1))), "NA"))</f>
        <v/>
      </c>
      <c r="K1092" s="79">
        <f>IF(A1092&lt;&gt;"", IF(ISBLANK(L1092), TODAY(), K1092), "")</f>
        <v/>
      </c>
      <c r="L1092" s="78" t="n"/>
      <c r="M1092" s="78">
        <f>IF(ISBLANK(L1092),"",IF(D1092="Stock",IF(C1092="Buy",L1092*G1092,IF(C1092="Sell",(L1092*G1092)-I1092, X)),IF(C1092="Buy",(L1092*G1092*100)+I1092,IF(C1092="Sell",(L1092*G1092*100)-I1092, X))))</f>
        <v/>
      </c>
      <c r="N1092" s="78">
        <f>IF(ISBLANK(L1092),"",IF(AND(C1092="Sell",D1092="Stock"),M1092,IF(ISBLANK(L1092),"",IF(C1092="Buy",M1092, IF(AND(C1092="Sell",J1092="NA"),(E1092*G1092*100*0.1)+I1092, IF(C1092="Sell",(J1092-L1092)*(100*G1092)+I1092))))))</f>
        <v/>
      </c>
      <c r="O1092" s="75" t="n"/>
      <c r="P1092" s="75" t="n"/>
      <c r="Q1092" s="75">
        <f>IF(ISBLANK(P1092),"",IF(D1092="Stock",P1092*G1092,IF(P1092=0,"0",G1092*P1092*100-(G1092*$AF$14))))</f>
        <v/>
      </c>
      <c r="R1092" s="79">
        <f>IF(P1092&lt;&gt;"", TODAY(), "")</f>
        <v/>
      </c>
      <c r="S1092" s="78">
        <f>IF(AND(K1092&lt;&gt;"", R1092&lt;&gt;""), R1092-K1092, "")</f>
        <v/>
      </c>
      <c r="T1092" s="78" t="n"/>
      <c r="U1092" s="92">
        <f>IF(ISBLANK(P1092),"",IF(C1092="Buy",Q1092-M1092+T1092, IF(C1092="Sell",M1092-Q1092-T1092, X)))</f>
        <v/>
      </c>
      <c r="V1092" s="81">
        <f>IF(ISBLANK(P1092),"",U1092/N1092)</f>
        <v/>
      </c>
      <c r="W1092" s="81">
        <f>IF(ISBLANK(P1092),"",IF(S1092=0,(365/0.5)*V1092,(365/S1092)*V1092))</f>
        <v/>
      </c>
      <c r="X1092" s="75" t="n"/>
      <c r="Y1092" s="77" t="n"/>
      <c r="Z1092" s="77" t="n"/>
      <c r="AA1092" s="75" t="n"/>
      <c r="AB1092" s="75" t="n"/>
      <c r="AC1092" s="6" t="n"/>
      <c r="AD1092" s="75" t="n"/>
      <c r="AE1092" s="75" t="n"/>
      <c r="AF1092" s="75" t="n"/>
    </row>
    <row r="1093" ht="15.75" customHeight="1" s="133">
      <c r="A1093" s="75" t="n"/>
      <c r="B1093" s="75" t="n"/>
      <c r="C1093" s="75" t="n"/>
      <c r="D1093" s="75" t="n"/>
      <c r="E1093" s="76" t="n"/>
      <c r="F1093" s="77" t="n"/>
      <c r="G1093" s="75" t="n"/>
      <c r="H1093" s="75">
        <f>IF(ISBLANK(E1093),"",IF(OR(D1093="Butterfly",D1093="Butterfly ",D1093="Iron Fly", D1093="Iron Fly "),LEN(E1093)-LEN(SUBSTITUTE(E1093,"/",""))+2,LEN(E1093)-LEN(SUBSTITUTE(E1093,"/",""))+1))</f>
        <v/>
      </c>
      <c r="I1093" s="78">
        <f>IF(ISBLANK(G1093),"",IF(D1093="Stock","0",Key!$A$3*H1093*G1093))</f>
        <v/>
      </c>
      <c r="J1093" s="78">
        <f>IF(ISBLANK(E1093),"",IF(ISNUMBER(SEARCH("/",E1093)), IF(LEN(E1093)-LEN(SUBSTITUTE(E1093,"/",""))=1,(RIGHT(E1093,LEN(E1093)-FIND("/",E1093)))-(LEFT(E1093,FIND("/",E1093)-1)),(MID(E1093, SEARCH("/",E1093) + 1, SEARCH("/",E1093, SEARCH("/",E1093)+1) - SEARCH("/",E1093) - 1))-(LEFT(E1093,FIND("/",E1093)-1))), "NA"))</f>
        <v/>
      </c>
      <c r="K1093" s="79">
        <f>IF(A1093&lt;&gt;"", IF(ISBLANK(L1093), TODAY(), K1093), "")</f>
        <v/>
      </c>
      <c r="L1093" s="78" t="n"/>
      <c r="M1093" s="78">
        <f>IF(ISBLANK(L1093),"",IF(D1093="Stock",IF(C1093="Buy",L1093*G1093,IF(C1093="Sell",(L1093*G1093)-I1093, X)),IF(C1093="Buy",(L1093*G1093*100)+I1093,IF(C1093="Sell",(L1093*G1093*100)-I1093, X))))</f>
        <v/>
      </c>
      <c r="N1093" s="78">
        <f>IF(ISBLANK(L1093),"",IF(AND(C1093="Sell",D1093="Stock"),M1093,IF(ISBLANK(L1093),"",IF(C1093="Buy",M1093, IF(AND(C1093="Sell",J1093="NA"),(E1093*G1093*100*0.1)+I1093, IF(C1093="Sell",(J1093-L1093)*(100*G1093)+I1093))))))</f>
        <v/>
      </c>
      <c r="O1093" s="75" t="n"/>
      <c r="P1093" s="75" t="n"/>
      <c r="Q1093" s="75">
        <f>IF(ISBLANK(P1093),"",IF(D1093="Stock",P1093*G1093,IF(P1093=0,"0",G1093*P1093*100-(G1093*$AF$14))))</f>
        <v/>
      </c>
      <c r="R1093" s="79">
        <f>IF(P1093&lt;&gt;"", TODAY(), "")</f>
        <v/>
      </c>
      <c r="S1093" s="78">
        <f>IF(AND(K1093&lt;&gt;"", R1093&lt;&gt;""), R1093-K1093, "")</f>
        <v/>
      </c>
      <c r="T1093" s="78" t="n"/>
      <c r="U1093" s="92">
        <f>IF(ISBLANK(P1093),"",IF(C1093="Buy",Q1093-M1093+T1093, IF(C1093="Sell",M1093-Q1093-T1093, X)))</f>
        <v/>
      </c>
      <c r="V1093" s="81">
        <f>IF(ISBLANK(P1093),"",U1093/N1093)</f>
        <v/>
      </c>
      <c r="W1093" s="81">
        <f>IF(ISBLANK(P1093),"",IF(S1093=0,(365/0.5)*V1093,(365/S1093)*V1093))</f>
        <v/>
      </c>
      <c r="X1093" s="75" t="n"/>
      <c r="Y1093" s="77" t="n"/>
      <c r="Z1093" s="77" t="n"/>
      <c r="AA1093" s="75" t="n"/>
      <c r="AB1093" s="75" t="n"/>
      <c r="AC1093" s="6" t="n"/>
      <c r="AD1093" s="75" t="n"/>
      <c r="AE1093" s="75" t="n"/>
      <c r="AF1093" s="75" t="n"/>
    </row>
    <row r="1094" ht="15.75" customHeight="1" s="133">
      <c r="A1094" s="75" t="n"/>
      <c r="B1094" s="75" t="n"/>
      <c r="C1094" s="75" t="n"/>
      <c r="D1094" s="75" t="n"/>
      <c r="E1094" s="76" t="n"/>
      <c r="F1094" s="77" t="n"/>
      <c r="G1094" s="75" t="n"/>
      <c r="H1094" s="75">
        <f>IF(ISBLANK(E1094),"",IF(OR(D1094="Butterfly",D1094="Butterfly ",D1094="Iron Fly", D1094="Iron Fly "),LEN(E1094)-LEN(SUBSTITUTE(E1094,"/",""))+2,LEN(E1094)-LEN(SUBSTITUTE(E1094,"/",""))+1))</f>
        <v/>
      </c>
      <c r="I1094" s="78">
        <f>IF(ISBLANK(G1094),"",IF(D1094="Stock","0",Key!$A$3*H1094*G1094))</f>
        <v/>
      </c>
      <c r="J1094" s="78">
        <f>IF(ISBLANK(E1094),"",IF(ISNUMBER(SEARCH("/",E1094)), IF(LEN(E1094)-LEN(SUBSTITUTE(E1094,"/",""))=1,(RIGHT(E1094,LEN(E1094)-FIND("/",E1094)))-(LEFT(E1094,FIND("/",E1094)-1)),(MID(E1094, SEARCH("/",E1094) + 1, SEARCH("/",E1094, SEARCH("/",E1094)+1) - SEARCH("/",E1094) - 1))-(LEFT(E1094,FIND("/",E1094)-1))), "NA"))</f>
        <v/>
      </c>
      <c r="K1094" s="79">
        <f>IF(A1094&lt;&gt;"", IF(ISBLANK(L1094), TODAY(), K1094), "")</f>
        <v/>
      </c>
      <c r="L1094" s="78" t="n"/>
      <c r="M1094" s="78">
        <f>IF(ISBLANK(L1094),"",IF(D1094="Stock",IF(C1094="Buy",L1094*G1094,IF(C1094="Sell",(L1094*G1094)-I1094, X)),IF(C1094="Buy",(L1094*G1094*100)+I1094,IF(C1094="Sell",(L1094*G1094*100)-I1094, X))))</f>
        <v/>
      </c>
      <c r="N1094" s="78">
        <f>IF(ISBLANK(L1094),"",IF(AND(C1094="Sell",D1094="Stock"),M1094,IF(ISBLANK(L1094),"",IF(C1094="Buy",M1094, IF(AND(C1094="Sell",J1094="NA"),(E1094*G1094*100*0.1)+I1094, IF(C1094="Sell",(J1094-L1094)*(100*G1094)+I1094))))))</f>
        <v/>
      </c>
      <c r="O1094" s="75" t="n"/>
      <c r="P1094" s="75" t="n"/>
      <c r="Q1094" s="75">
        <f>IF(ISBLANK(P1094),"",IF(D1094="Stock",P1094*G1094,IF(P1094=0,"0",G1094*P1094*100-(G1094*$AF$14))))</f>
        <v/>
      </c>
      <c r="R1094" s="79">
        <f>IF(P1094&lt;&gt;"", TODAY(), "")</f>
        <v/>
      </c>
      <c r="S1094" s="78">
        <f>IF(AND(K1094&lt;&gt;"", R1094&lt;&gt;""), R1094-K1094, "")</f>
        <v/>
      </c>
      <c r="T1094" s="78" t="n"/>
      <c r="U1094" s="92">
        <f>IF(ISBLANK(P1094),"",IF(C1094="Buy",Q1094-M1094+T1094, IF(C1094="Sell",M1094-Q1094-T1094, X)))</f>
        <v/>
      </c>
      <c r="V1094" s="81">
        <f>IF(ISBLANK(P1094),"",U1094/N1094)</f>
        <v/>
      </c>
      <c r="W1094" s="81">
        <f>IF(ISBLANK(P1094),"",IF(S1094=0,(365/0.5)*V1094,(365/S1094)*V1094))</f>
        <v/>
      </c>
      <c r="X1094" s="75" t="n"/>
      <c r="Y1094" s="77" t="n"/>
      <c r="Z1094" s="77" t="n"/>
      <c r="AA1094" s="75" t="n"/>
      <c r="AB1094" s="75" t="n"/>
      <c r="AC1094" s="6" t="n"/>
      <c r="AD1094" s="75" t="n"/>
      <c r="AE1094" s="75" t="n"/>
      <c r="AF1094" s="75" t="n"/>
    </row>
    <row r="1095" ht="15.75" customHeight="1" s="133">
      <c r="A1095" s="75" t="n"/>
      <c r="B1095" s="75" t="n"/>
      <c r="C1095" s="75" t="n"/>
      <c r="D1095" s="75" t="n"/>
      <c r="E1095" s="76" t="n"/>
      <c r="F1095" s="77" t="n"/>
      <c r="G1095" s="75" t="n"/>
      <c r="H1095" s="75">
        <f>IF(ISBLANK(E1095),"",IF(OR(D1095="Butterfly",D1095="Butterfly ",D1095="Iron Fly", D1095="Iron Fly "),LEN(E1095)-LEN(SUBSTITUTE(E1095,"/",""))+2,LEN(E1095)-LEN(SUBSTITUTE(E1095,"/",""))+1))</f>
        <v/>
      </c>
      <c r="I1095" s="78">
        <f>IF(ISBLANK(G1095),"",IF(D1095="Stock","0",Key!$A$3*H1095*G1095))</f>
        <v/>
      </c>
      <c r="J1095" s="78">
        <f>IF(ISBLANK(E1095),"",IF(ISNUMBER(SEARCH("/",E1095)), IF(LEN(E1095)-LEN(SUBSTITUTE(E1095,"/",""))=1,(RIGHT(E1095,LEN(E1095)-FIND("/",E1095)))-(LEFT(E1095,FIND("/",E1095)-1)),(MID(E1095, SEARCH("/",E1095) + 1, SEARCH("/",E1095, SEARCH("/",E1095)+1) - SEARCH("/",E1095) - 1))-(LEFT(E1095,FIND("/",E1095)-1))), "NA"))</f>
        <v/>
      </c>
      <c r="K1095" s="79">
        <f>IF(A1095&lt;&gt;"", IF(ISBLANK(L1095), TODAY(), K1095), "")</f>
        <v/>
      </c>
      <c r="L1095" s="78" t="n"/>
      <c r="M1095" s="78">
        <f>IF(ISBLANK(L1095),"",IF(D1095="Stock",IF(C1095="Buy",L1095*G1095,IF(C1095="Sell",(L1095*G1095)-I1095, X)),IF(C1095="Buy",(L1095*G1095*100)+I1095,IF(C1095="Sell",(L1095*G1095*100)-I1095, X))))</f>
        <v/>
      </c>
      <c r="N1095" s="78">
        <f>IF(ISBLANK(L1095),"",IF(AND(C1095="Sell",D1095="Stock"),M1095,IF(ISBLANK(L1095),"",IF(C1095="Buy",M1095, IF(AND(C1095="Sell",J1095="NA"),(E1095*G1095*100*0.1)+I1095, IF(C1095="Sell",(J1095-L1095)*(100*G1095)+I1095))))))</f>
        <v/>
      </c>
      <c r="O1095" s="75" t="n"/>
      <c r="P1095" s="75" t="n"/>
      <c r="Q1095" s="75">
        <f>IF(ISBLANK(P1095),"",IF(D1095="Stock",P1095*G1095,IF(P1095=0,"0",G1095*P1095*100-(G1095*$AF$14))))</f>
        <v/>
      </c>
      <c r="R1095" s="79">
        <f>IF(P1095&lt;&gt;"", TODAY(), "")</f>
        <v/>
      </c>
      <c r="S1095" s="78">
        <f>IF(AND(K1095&lt;&gt;"", R1095&lt;&gt;""), R1095-K1095, "")</f>
        <v/>
      </c>
      <c r="T1095" s="78" t="n"/>
      <c r="U1095" s="92">
        <f>IF(ISBLANK(P1095),"",IF(C1095="Buy",Q1095-M1095+T1095, IF(C1095="Sell",M1095-Q1095-T1095, X)))</f>
        <v/>
      </c>
      <c r="V1095" s="81">
        <f>IF(ISBLANK(P1095),"",U1095/N1095)</f>
        <v/>
      </c>
      <c r="W1095" s="81">
        <f>IF(ISBLANK(P1095),"",IF(S1095=0,(365/0.5)*V1095,(365/S1095)*V1095))</f>
        <v/>
      </c>
      <c r="X1095" s="75" t="n"/>
      <c r="Y1095" s="77" t="n"/>
      <c r="Z1095" s="77" t="n"/>
      <c r="AA1095" s="75" t="n"/>
      <c r="AB1095" s="75" t="n"/>
      <c r="AC1095" s="6" t="n"/>
      <c r="AD1095" s="75" t="n"/>
      <c r="AE1095" s="75" t="n"/>
      <c r="AF1095" s="75" t="n"/>
    </row>
    <row r="1096" ht="15.75" customHeight="1" s="133">
      <c r="A1096" s="75" t="n"/>
      <c r="B1096" s="75" t="n"/>
      <c r="C1096" s="75" t="n"/>
      <c r="D1096" s="75" t="n"/>
      <c r="E1096" s="76" t="n"/>
      <c r="F1096" s="77" t="n"/>
      <c r="G1096" s="75" t="n"/>
      <c r="H1096" s="75">
        <f>IF(ISBLANK(E1096),"",IF(OR(D1096="Butterfly",D1096="Butterfly ",D1096="Iron Fly", D1096="Iron Fly "),LEN(E1096)-LEN(SUBSTITUTE(E1096,"/",""))+2,LEN(E1096)-LEN(SUBSTITUTE(E1096,"/",""))+1))</f>
        <v/>
      </c>
      <c r="I1096" s="78">
        <f>IF(ISBLANK(G1096),"",IF(D1096="Stock","0",Key!$A$3*H1096*G1096))</f>
        <v/>
      </c>
      <c r="J1096" s="78">
        <f>IF(ISBLANK(E1096),"",IF(ISNUMBER(SEARCH("/",E1096)), IF(LEN(E1096)-LEN(SUBSTITUTE(E1096,"/",""))=1,(RIGHT(E1096,LEN(E1096)-FIND("/",E1096)))-(LEFT(E1096,FIND("/",E1096)-1)),(MID(E1096, SEARCH("/",E1096) + 1, SEARCH("/",E1096, SEARCH("/",E1096)+1) - SEARCH("/",E1096) - 1))-(LEFT(E1096,FIND("/",E1096)-1))), "NA"))</f>
        <v/>
      </c>
      <c r="K1096" s="79">
        <f>IF(A1096&lt;&gt;"", IF(ISBLANK(L1096), TODAY(), K1096), "")</f>
        <v/>
      </c>
      <c r="L1096" s="78" t="n"/>
      <c r="M1096" s="78">
        <f>IF(ISBLANK(L1096),"",IF(D1096="Stock",IF(C1096="Buy",L1096*G1096,IF(C1096="Sell",(L1096*G1096)-I1096, X)),IF(C1096="Buy",(L1096*G1096*100)+I1096,IF(C1096="Sell",(L1096*G1096*100)-I1096, X))))</f>
        <v/>
      </c>
      <c r="N1096" s="78">
        <f>IF(ISBLANK(L1096),"",IF(AND(C1096="Sell",D1096="Stock"),M1096,IF(ISBLANK(L1096),"",IF(C1096="Buy",M1096, IF(AND(C1096="Sell",J1096="NA"),(E1096*G1096*100*0.1)+I1096, IF(C1096="Sell",(J1096-L1096)*(100*G1096)+I1096))))))</f>
        <v/>
      </c>
      <c r="O1096" s="75" t="n"/>
      <c r="P1096" s="75" t="n"/>
      <c r="Q1096" s="75">
        <f>IF(ISBLANK(P1096),"",IF(D1096="Stock",P1096*G1096,IF(P1096=0,"0",G1096*P1096*100-(G1096*$AF$14))))</f>
        <v/>
      </c>
      <c r="R1096" s="79">
        <f>IF(P1096&lt;&gt;"", TODAY(), "")</f>
        <v/>
      </c>
      <c r="S1096" s="78">
        <f>IF(AND(K1096&lt;&gt;"", R1096&lt;&gt;""), R1096-K1096, "")</f>
        <v/>
      </c>
      <c r="T1096" s="78" t="n"/>
      <c r="U1096" s="92">
        <f>IF(ISBLANK(P1096),"",IF(C1096="Buy",Q1096-M1096+T1096, IF(C1096="Sell",M1096-Q1096-T1096, X)))</f>
        <v/>
      </c>
      <c r="V1096" s="81">
        <f>IF(ISBLANK(P1096),"",U1096/N1096)</f>
        <v/>
      </c>
      <c r="W1096" s="81">
        <f>IF(ISBLANK(P1096),"",IF(S1096=0,(365/0.5)*V1096,(365/S1096)*V1096))</f>
        <v/>
      </c>
      <c r="X1096" s="75" t="n"/>
      <c r="Y1096" s="77" t="n"/>
      <c r="Z1096" s="77" t="n"/>
      <c r="AA1096" s="75" t="n"/>
      <c r="AB1096" s="75" t="n"/>
      <c r="AC1096" s="6" t="n"/>
      <c r="AD1096" s="75" t="n"/>
      <c r="AE1096" s="75" t="n"/>
      <c r="AF1096" s="75" t="n"/>
    </row>
    <row r="1097" ht="15.75" customHeight="1" s="133">
      <c r="A1097" s="75" t="n"/>
      <c r="B1097" s="75" t="n"/>
      <c r="C1097" s="75" t="n"/>
      <c r="D1097" s="75" t="n"/>
      <c r="E1097" s="76" t="n"/>
      <c r="F1097" s="77" t="n"/>
      <c r="G1097" s="75" t="n"/>
      <c r="H1097" s="75">
        <f>IF(ISBLANK(E1097),"",IF(OR(D1097="Butterfly",D1097="Butterfly ",D1097="Iron Fly", D1097="Iron Fly "),LEN(E1097)-LEN(SUBSTITUTE(E1097,"/",""))+2,LEN(E1097)-LEN(SUBSTITUTE(E1097,"/",""))+1))</f>
        <v/>
      </c>
      <c r="I1097" s="78">
        <f>IF(ISBLANK(G1097),"",IF(D1097="Stock","0",Key!$A$3*H1097*G1097))</f>
        <v/>
      </c>
      <c r="J1097" s="78">
        <f>IF(ISBLANK(E1097),"",IF(ISNUMBER(SEARCH("/",E1097)), IF(LEN(E1097)-LEN(SUBSTITUTE(E1097,"/",""))=1,(RIGHT(E1097,LEN(E1097)-FIND("/",E1097)))-(LEFT(E1097,FIND("/",E1097)-1)),(MID(E1097, SEARCH("/",E1097) + 1, SEARCH("/",E1097, SEARCH("/",E1097)+1) - SEARCH("/",E1097) - 1))-(LEFT(E1097,FIND("/",E1097)-1))), "NA"))</f>
        <v/>
      </c>
      <c r="K1097" s="79">
        <f>IF(A1097&lt;&gt;"", IF(ISBLANK(L1097), TODAY(), K1097), "")</f>
        <v/>
      </c>
      <c r="L1097" s="78" t="n"/>
      <c r="M1097" s="78">
        <f>IF(ISBLANK(L1097),"",IF(D1097="Stock",IF(C1097="Buy",L1097*G1097,IF(C1097="Sell",(L1097*G1097)-I1097, X)),IF(C1097="Buy",(L1097*G1097*100)+I1097,IF(C1097="Sell",(L1097*G1097*100)-I1097, X))))</f>
        <v/>
      </c>
      <c r="N1097" s="78">
        <f>IF(ISBLANK(L1097),"",IF(AND(C1097="Sell",D1097="Stock"),M1097,IF(ISBLANK(L1097),"",IF(C1097="Buy",M1097, IF(AND(C1097="Sell",J1097="NA"),(E1097*G1097*100*0.1)+I1097, IF(C1097="Sell",(J1097-L1097)*(100*G1097)+I1097))))))</f>
        <v/>
      </c>
      <c r="O1097" s="75" t="n"/>
      <c r="P1097" s="75" t="n"/>
      <c r="Q1097" s="75">
        <f>IF(ISBLANK(P1097),"",IF(D1097="Stock",P1097*G1097,IF(P1097=0,"0",G1097*P1097*100-(G1097*$AF$14))))</f>
        <v/>
      </c>
      <c r="R1097" s="79">
        <f>IF(P1097&lt;&gt;"", TODAY(), "")</f>
        <v/>
      </c>
      <c r="S1097" s="78">
        <f>IF(AND(K1097&lt;&gt;"", R1097&lt;&gt;""), R1097-K1097, "")</f>
        <v/>
      </c>
      <c r="T1097" s="78" t="n"/>
      <c r="U1097" s="92">
        <f>IF(ISBLANK(P1097),"",IF(C1097="Buy",Q1097-M1097+T1097, IF(C1097="Sell",M1097-Q1097-T1097, X)))</f>
        <v/>
      </c>
      <c r="V1097" s="81">
        <f>IF(ISBLANK(P1097),"",U1097/N1097)</f>
        <v/>
      </c>
      <c r="W1097" s="81">
        <f>IF(ISBLANK(P1097),"",IF(S1097=0,(365/0.5)*V1097,(365/S1097)*V1097))</f>
        <v/>
      </c>
      <c r="X1097" s="75" t="n"/>
      <c r="Y1097" s="77" t="n"/>
      <c r="Z1097" s="77" t="n"/>
      <c r="AA1097" s="75" t="n"/>
      <c r="AB1097" s="75" t="n"/>
      <c r="AC1097" s="6" t="n"/>
      <c r="AD1097" s="75" t="n"/>
      <c r="AE1097" s="75" t="n"/>
      <c r="AF1097" s="75" t="n"/>
    </row>
    <row r="1098" ht="15.75" customHeight="1" s="133">
      <c r="A1098" s="75" t="n"/>
      <c r="B1098" s="75" t="n"/>
      <c r="C1098" s="75" t="n"/>
      <c r="D1098" s="75" t="n"/>
      <c r="E1098" s="76" t="n"/>
      <c r="F1098" s="77" t="n"/>
      <c r="G1098" s="75" t="n"/>
      <c r="H1098" s="75">
        <f>IF(ISBLANK(E1098),"",IF(OR(D1098="Butterfly",D1098="Butterfly ",D1098="Iron Fly", D1098="Iron Fly "),LEN(E1098)-LEN(SUBSTITUTE(E1098,"/",""))+2,LEN(E1098)-LEN(SUBSTITUTE(E1098,"/",""))+1))</f>
        <v/>
      </c>
      <c r="I1098" s="78">
        <f>IF(ISBLANK(G1098),"",IF(D1098="Stock","0",Key!$A$3*H1098*G1098))</f>
        <v/>
      </c>
      <c r="J1098" s="78">
        <f>IF(ISBLANK(E1098),"",IF(ISNUMBER(SEARCH("/",E1098)), IF(LEN(E1098)-LEN(SUBSTITUTE(E1098,"/",""))=1,(RIGHT(E1098,LEN(E1098)-FIND("/",E1098)))-(LEFT(E1098,FIND("/",E1098)-1)),(MID(E1098, SEARCH("/",E1098) + 1, SEARCH("/",E1098, SEARCH("/",E1098)+1) - SEARCH("/",E1098) - 1))-(LEFT(E1098,FIND("/",E1098)-1))), "NA"))</f>
        <v/>
      </c>
      <c r="K1098" s="79">
        <f>IF(A1098&lt;&gt;"", IF(ISBLANK(L1098), TODAY(), K1098), "")</f>
        <v/>
      </c>
      <c r="L1098" s="78" t="n"/>
      <c r="M1098" s="78">
        <f>IF(ISBLANK(L1098),"",IF(D1098="Stock",IF(C1098="Buy",L1098*G1098,IF(C1098="Sell",(L1098*G1098)-I1098, X)),IF(C1098="Buy",(L1098*G1098*100)+I1098,IF(C1098="Sell",(L1098*G1098*100)-I1098, X))))</f>
        <v/>
      </c>
      <c r="N1098" s="78">
        <f>IF(ISBLANK(L1098),"",IF(AND(C1098="Sell",D1098="Stock"),M1098,IF(ISBLANK(L1098),"",IF(C1098="Buy",M1098, IF(AND(C1098="Sell",J1098="NA"),(E1098*G1098*100*0.1)+I1098, IF(C1098="Sell",(J1098-L1098)*(100*G1098)+I1098))))))</f>
        <v/>
      </c>
      <c r="O1098" s="75" t="n"/>
      <c r="P1098" s="75" t="n"/>
      <c r="Q1098" s="75">
        <f>IF(ISBLANK(P1098),"",IF(D1098="Stock",P1098*G1098,IF(P1098=0,"0",G1098*P1098*100-(G1098*$AF$14))))</f>
        <v/>
      </c>
      <c r="R1098" s="79">
        <f>IF(P1098&lt;&gt;"", TODAY(), "")</f>
        <v/>
      </c>
      <c r="S1098" s="78">
        <f>IF(AND(K1098&lt;&gt;"", R1098&lt;&gt;""), R1098-K1098, "")</f>
        <v/>
      </c>
      <c r="T1098" s="78" t="n"/>
      <c r="U1098" s="92">
        <f>IF(ISBLANK(P1098),"",IF(C1098="Buy",Q1098-M1098+T1098, IF(C1098="Sell",M1098-Q1098-T1098, X)))</f>
        <v/>
      </c>
      <c r="V1098" s="81">
        <f>IF(ISBLANK(P1098),"",U1098/N1098)</f>
        <v/>
      </c>
      <c r="W1098" s="81">
        <f>IF(ISBLANK(P1098),"",IF(S1098=0,(365/0.5)*V1098,(365/S1098)*V1098))</f>
        <v/>
      </c>
      <c r="X1098" s="75" t="n"/>
      <c r="Y1098" s="77" t="n"/>
      <c r="Z1098" s="77" t="n"/>
      <c r="AA1098" s="75" t="n"/>
      <c r="AB1098" s="75" t="n"/>
      <c r="AC1098" s="6" t="n"/>
      <c r="AD1098" s="75" t="n"/>
      <c r="AE1098" s="75" t="n"/>
      <c r="AF1098" s="75" t="n"/>
    </row>
    <row r="1099" ht="15.75" customHeight="1" s="133">
      <c r="A1099" s="75" t="n"/>
      <c r="B1099" s="75" t="n"/>
      <c r="C1099" s="75" t="n"/>
      <c r="D1099" s="75" t="n"/>
      <c r="E1099" s="76" t="n"/>
      <c r="F1099" s="77" t="n"/>
      <c r="G1099" s="75" t="n"/>
      <c r="H1099" s="75">
        <f>IF(ISBLANK(E1099),"",IF(OR(D1099="Butterfly",D1099="Butterfly ",D1099="Iron Fly", D1099="Iron Fly "),LEN(E1099)-LEN(SUBSTITUTE(E1099,"/",""))+2,LEN(E1099)-LEN(SUBSTITUTE(E1099,"/",""))+1))</f>
        <v/>
      </c>
      <c r="I1099" s="78">
        <f>IF(ISBLANK(G1099),"",IF(D1099="Stock","0",Key!$A$3*H1099*G1099))</f>
        <v/>
      </c>
      <c r="J1099" s="78">
        <f>IF(ISBLANK(E1099),"",IF(ISNUMBER(SEARCH("/",E1099)), IF(LEN(E1099)-LEN(SUBSTITUTE(E1099,"/",""))=1,(RIGHT(E1099,LEN(E1099)-FIND("/",E1099)))-(LEFT(E1099,FIND("/",E1099)-1)),(MID(E1099, SEARCH("/",E1099) + 1, SEARCH("/",E1099, SEARCH("/",E1099)+1) - SEARCH("/",E1099) - 1))-(LEFT(E1099,FIND("/",E1099)-1))), "NA"))</f>
        <v/>
      </c>
      <c r="K1099" s="79">
        <f>IF(A1099&lt;&gt;"", IF(ISBLANK(L1099), TODAY(), K1099), "")</f>
        <v/>
      </c>
      <c r="L1099" s="78" t="n"/>
      <c r="M1099" s="78">
        <f>IF(ISBLANK(L1099),"",IF(D1099="Stock",IF(C1099="Buy",L1099*G1099,IF(C1099="Sell",(L1099*G1099)-I1099, X)),IF(C1099="Buy",(L1099*G1099*100)+I1099,IF(C1099="Sell",(L1099*G1099*100)-I1099, X))))</f>
        <v/>
      </c>
      <c r="N1099" s="78">
        <f>IF(ISBLANK(L1099),"",IF(AND(C1099="Sell",D1099="Stock"),M1099,IF(ISBLANK(L1099),"",IF(C1099="Buy",M1099, IF(AND(C1099="Sell",J1099="NA"),(E1099*G1099*100*0.1)+I1099, IF(C1099="Sell",(J1099-L1099)*(100*G1099)+I1099))))))</f>
        <v/>
      </c>
      <c r="O1099" s="75" t="n"/>
      <c r="P1099" s="75" t="n"/>
      <c r="Q1099" s="75">
        <f>IF(ISBLANK(P1099),"",IF(D1099="Stock",P1099*G1099,IF(P1099=0,"0",G1099*P1099*100-(G1099*$AF$14))))</f>
        <v/>
      </c>
      <c r="R1099" s="79">
        <f>IF(P1099&lt;&gt;"", TODAY(), "")</f>
        <v/>
      </c>
      <c r="S1099" s="78">
        <f>IF(AND(K1099&lt;&gt;"", R1099&lt;&gt;""), R1099-K1099, "")</f>
        <v/>
      </c>
      <c r="T1099" s="78" t="n"/>
      <c r="U1099" s="92">
        <f>IF(ISBLANK(P1099),"",IF(C1099="Buy",Q1099-M1099+T1099, IF(C1099="Sell",M1099-Q1099-T1099, X)))</f>
        <v/>
      </c>
      <c r="V1099" s="81">
        <f>IF(ISBLANK(P1099),"",U1099/N1099)</f>
        <v/>
      </c>
      <c r="W1099" s="81">
        <f>IF(ISBLANK(P1099),"",IF(S1099=0,(365/0.5)*V1099,(365/S1099)*V1099))</f>
        <v/>
      </c>
      <c r="X1099" s="75" t="n"/>
      <c r="Y1099" s="77" t="n"/>
      <c r="Z1099" s="77" t="n"/>
      <c r="AA1099" s="75" t="n"/>
      <c r="AB1099" s="75" t="n"/>
      <c r="AC1099" s="6" t="n"/>
      <c r="AD1099" s="75" t="n"/>
      <c r="AE1099" s="75" t="n"/>
      <c r="AF1099" s="75" t="n"/>
    </row>
    <row r="1100" ht="15.75" customHeight="1" s="133">
      <c r="A1100" s="75" t="n"/>
      <c r="B1100" s="75" t="n"/>
      <c r="C1100" s="75" t="n"/>
      <c r="D1100" s="75" t="n"/>
      <c r="E1100" s="76" t="n"/>
      <c r="F1100" s="77" t="n"/>
      <c r="G1100" s="75" t="n"/>
      <c r="H1100" s="75">
        <f>IF(ISBLANK(E1100),"",IF(OR(D1100="Butterfly",D1100="Butterfly ",D1100="Iron Fly", D1100="Iron Fly "),LEN(E1100)-LEN(SUBSTITUTE(E1100,"/",""))+2,LEN(E1100)-LEN(SUBSTITUTE(E1100,"/",""))+1))</f>
        <v/>
      </c>
      <c r="I1100" s="78">
        <f>IF(ISBLANK(G1100),"",IF(D1100="Stock","0",Key!$A$3*H1100*G1100))</f>
        <v/>
      </c>
      <c r="J1100" s="78">
        <f>IF(ISBLANK(E1100),"",IF(ISNUMBER(SEARCH("/",E1100)), IF(LEN(E1100)-LEN(SUBSTITUTE(E1100,"/",""))=1,(RIGHT(E1100,LEN(E1100)-FIND("/",E1100)))-(LEFT(E1100,FIND("/",E1100)-1)),(MID(E1100, SEARCH("/",E1100) + 1, SEARCH("/",E1100, SEARCH("/",E1100)+1) - SEARCH("/",E1100) - 1))-(LEFT(E1100,FIND("/",E1100)-1))), "NA"))</f>
        <v/>
      </c>
      <c r="K1100" s="79">
        <f>IF(A1100&lt;&gt;"", IF(ISBLANK(L1100), TODAY(), K1100), "")</f>
        <v/>
      </c>
      <c r="L1100" s="78" t="n"/>
      <c r="M1100" s="78">
        <f>IF(ISBLANK(L1100),"",IF(D1100="Stock",IF(C1100="Buy",L1100*G1100,IF(C1100="Sell",(L1100*G1100)-I1100, X)),IF(C1100="Buy",(L1100*G1100*100)+I1100,IF(C1100="Sell",(L1100*G1100*100)-I1100, X))))</f>
        <v/>
      </c>
      <c r="N1100" s="78">
        <f>IF(ISBLANK(L1100),"",IF(AND(C1100="Sell",D1100="Stock"),M1100,IF(ISBLANK(L1100),"",IF(C1100="Buy",M1100, IF(AND(C1100="Sell",J1100="NA"),(E1100*G1100*100*0.1)+I1100, IF(C1100="Sell",(J1100-L1100)*(100*G1100)+I1100))))))</f>
        <v/>
      </c>
      <c r="O1100" s="75" t="n"/>
      <c r="P1100" s="75" t="n"/>
      <c r="Q1100" s="75">
        <f>IF(ISBLANK(P1100),"",IF(D1100="Stock",P1100*G1100,IF(P1100=0,"0",G1100*P1100*100-(G1100*$AF$14))))</f>
        <v/>
      </c>
      <c r="R1100" s="79">
        <f>IF(P1100&lt;&gt;"", TODAY(), "")</f>
        <v/>
      </c>
      <c r="S1100" s="78">
        <f>IF(AND(K1100&lt;&gt;"", R1100&lt;&gt;""), R1100-K1100, "")</f>
        <v/>
      </c>
      <c r="T1100" s="78" t="n"/>
      <c r="U1100" s="92">
        <f>IF(ISBLANK(P1100),"",IF(C1100="Buy",Q1100-M1100+T1100, IF(C1100="Sell",M1100-Q1100-T1100, X)))</f>
        <v/>
      </c>
      <c r="V1100" s="81">
        <f>IF(ISBLANK(P1100),"",U1100/N1100)</f>
        <v/>
      </c>
      <c r="W1100" s="81">
        <f>IF(ISBLANK(P1100),"",IF(S1100=0,(365/0.5)*V1100,(365/S1100)*V1100))</f>
        <v/>
      </c>
      <c r="X1100" s="75" t="n"/>
      <c r="Y1100" s="77" t="n"/>
      <c r="Z1100" s="77" t="n"/>
      <c r="AA1100" s="75" t="n"/>
      <c r="AB1100" s="75" t="n"/>
      <c r="AC1100" s="6" t="n"/>
      <c r="AD1100" s="75" t="n"/>
      <c r="AE1100" s="75" t="n"/>
      <c r="AF1100" s="75" t="n"/>
    </row>
    <row r="1101" ht="15.75" customHeight="1" s="133">
      <c r="A1101" s="75" t="n"/>
      <c r="B1101" s="75" t="n"/>
      <c r="C1101" s="75" t="n"/>
      <c r="D1101" s="75" t="n"/>
      <c r="E1101" s="76" t="n"/>
      <c r="F1101" s="77" t="n"/>
      <c r="G1101" s="75" t="n"/>
      <c r="H1101" s="75">
        <f>IF(ISBLANK(E1101),"",IF(OR(D1101="Butterfly",D1101="Butterfly ",D1101="Iron Fly", D1101="Iron Fly "),LEN(E1101)-LEN(SUBSTITUTE(E1101,"/",""))+2,LEN(E1101)-LEN(SUBSTITUTE(E1101,"/",""))+1))</f>
        <v/>
      </c>
      <c r="I1101" s="78">
        <f>IF(ISBLANK(G1101),"",IF(D1101="Stock","0",Key!$A$3*H1101*G1101))</f>
        <v/>
      </c>
      <c r="J1101" s="78">
        <f>IF(ISBLANK(E1101),"",IF(ISNUMBER(SEARCH("/",E1101)), IF(LEN(E1101)-LEN(SUBSTITUTE(E1101,"/",""))=1,(RIGHT(E1101,LEN(E1101)-FIND("/",E1101)))-(LEFT(E1101,FIND("/",E1101)-1)),(MID(E1101, SEARCH("/",E1101) + 1, SEARCH("/",E1101, SEARCH("/",E1101)+1) - SEARCH("/",E1101) - 1))-(LEFT(E1101,FIND("/",E1101)-1))), "NA"))</f>
        <v/>
      </c>
      <c r="K1101" s="79">
        <f>IF(A1101&lt;&gt;"", IF(ISBLANK(L1101), TODAY(), K1101), "")</f>
        <v/>
      </c>
      <c r="L1101" s="78" t="n"/>
      <c r="M1101" s="78">
        <f>IF(ISBLANK(L1101),"",IF(D1101="Stock",IF(C1101="Buy",L1101*G1101,IF(C1101="Sell",(L1101*G1101)-I1101, X)),IF(C1101="Buy",(L1101*G1101*100)+I1101,IF(C1101="Sell",(L1101*G1101*100)-I1101, X))))</f>
        <v/>
      </c>
      <c r="N1101" s="78">
        <f>IF(ISBLANK(L1101),"",IF(AND(C1101="Sell",D1101="Stock"),M1101,IF(ISBLANK(L1101),"",IF(C1101="Buy",M1101, IF(AND(C1101="Sell",J1101="NA"),(E1101*G1101*100*0.1)+I1101, IF(C1101="Sell",(J1101-L1101)*(100*G1101)+I1101))))))</f>
        <v/>
      </c>
      <c r="O1101" s="75" t="n"/>
      <c r="P1101" s="75" t="n"/>
      <c r="Q1101" s="75">
        <f>IF(ISBLANK(P1101),"",IF(D1101="Stock",P1101*G1101,IF(P1101=0,"0",G1101*P1101*100-(G1101*$AF$14))))</f>
        <v/>
      </c>
      <c r="R1101" s="79">
        <f>IF(P1101&lt;&gt;"", TODAY(), "")</f>
        <v/>
      </c>
      <c r="S1101" s="78">
        <f>IF(AND(K1101&lt;&gt;"", R1101&lt;&gt;""), R1101-K1101, "")</f>
        <v/>
      </c>
      <c r="T1101" s="78" t="n"/>
      <c r="U1101" s="92">
        <f>IF(ISBLANK(P1101),"",IF(C1101="Buy",Q1101-M1101+T1101, IF(C1101="Sell",M1101-Q1101-T1101, X)))</f>
        <v/>
      </c>
      <c r="V1101" s="81">
        <f>IF(ISBLANK(P1101),"",U1101/N1101)</f>
        <v/>
      </c>
      <c r="W1101" s="81">
        <f>IF(ISBLANK(P1101),"",IF(S1101=0,(365/0.5)*V1101,(365/S1101)*V1101))</f>
        <v/>
      </c>
      <c r="X1101" s="75" t="n"/>
      <c r="Y1101" s="77" t="n"/>
      <c r="Z1101" s="77" t="n"/>
      <c r="AA1101" s="75" t="n"/>
      <c r="AB1101" s="75" t="n"/>
      <c r="AC1101" s="6" t="n"/>
      <c r="AD1101" s="75" t="n"/>
      <c r="AE1101" s="75" t="n"/>
      <c r="AF1101" s="75" t="n"/>
    </row>
    <row r="1102" ht="15.75" customHeight="1" s="133">
      <c r="A1102" s="75" t="n"/>
      <c r="B1102" s="75" t="n"/>
      <c r="C1102" s="75" t="n"/>
      <c r="D1102" s="75" t="n"/>
      <c r="E1102" s="76" t="n"/>
      <c r="F1102" s="77" t="n"/>
      <c r="G1102" s="75" t="n"/>
      <c r="H1102" s="75">
        <f>IF(ISBLANK(E1102),"",IF(OR(D1102="Butterfly",D1102="Butterfly ",D1102="Iron Fly", D1102="Iron Fly "),LEN(E1102)-LEN(SUBSTITUTE(E1102,"/",""))+2,LEN(E1102)-LEN(SUBSTITUTE(E1102,"/",""))+1))</f>
        <v/>
      </c>
      <c r="I1102" s="78">
        <f>IF(ISBLANK(G1102),"",IF(D1102="Stock","0",Key!$A$3*H1102*G1102))</f>
        <v/>
      </c>
      <c r="J1102" s="78">
        <f>IF(ISBLANK(E1102),"",IF(ISNUMBER(SEARCH("/",E1102)), IF(LEN(E1102)-LEN(SUBSTITUTE(E1102,"/",""))=1,(RIGHT(E1102,LEN(E1102)-FIND("/",E1102)))-(LEFT(E1102,FIND("/",E1102)-1)),(MID(E1102, SEARCH("/",E1102) + 1, SEARCH("/",E1102, SEARCH("/",E1102)+1) - SEARCH("/",E1102) - 1))-(LEFT(E1102,FIND("/",E1102)-1))), "NA"))</f>
        <v/>
      </c>
      <c r="K1102" s="79">
        <f>IF(A1102&lt;&gt;"", IF(ISBLANK(L1102), TODAY(), K1102), "")</f>
        <v/>
      </c>
      <c r="L1102" s="78" t="n"/>
      <c r="M1102" s="78">
        <f>IF(ISBLANK(L1102),"",IF(D1102="Stock",IF(C1102="Buy",L1102*G1102,IF(C1102="Sell",(L1102*G1102)-I1102, X)),IF(C1102="Buy",(L1102*G1102*100)+I1102,IF(C1102="Sell",(L1102*G1102*100)-I1102, X))))</f>
        <v/>
      </c>
      <c r="N1102" s="78">
        <f>IF(ISBLANK(L1102),"",IF(AND(C1102="Sell",D1102="Stock"),M1102,IF(ISBLANK(L1102),"",IF(C1102="Buy",M1102, IF(AND(C1102="Sell",J1102="NA"),(E1102*G1102*100*0.1)+I1102, IF(C1102="Sell",(J1102-L1102)*(100*G1102)+I1102))))))</f>
        <v/>
      </c>
      <c r="O1102" s="75" t="n"/>
      <c r="P1102" s="75" t="n"/>
      <c r="Q1102" s="75">
        <f>IF(ISBLANK(P1102),"",IF(D1102="Stock",P1102*G1102,IF(P1102=0,"0",G1102*P1102*100-(G1102*$AF$14))))</f>
        <v/>
      </c>
      <c r="R1102" s="79">
        <f>IF(P1102&lt;&gt;"", TODAY(), "")</f>
        <v/>
      </c>
      <c r="S1102" s="78">
        <f>IF(AND(K1102&lt;&gt;"", R1102&lt;&gt;""), R1102-K1102, "")</f>
        <v/>
      </c>
      <c r="T1102" s="78" t="n"/>
      <c r="U1102" s="92">
        <f>IF(ISBLANK(P1102),"",IF(C1102="Buy",Q1102-M1102+T1102, IF(C1102="Sell",M1102-Q1102-T1102, X)))</f>
        <v/>
      </c>
      <c r="V1102" s="81">
        <f>IF(ISBLANK(P1102),"",U1102/N1102)</f>
        <v/>
      </c>
      <c r="W1102" s="81">
        <f>IF(ISBLANK(P1102),"",IF(S1102=0,(365/0.5)*V1102,(365/S1102)*V1102))</f>
        <v/>
      </c>
      <c r="X1102" s="75" t="n"/>
      <c r="Y1102" s="77" t="n"/>
      <c r="Z1102" s="77" t="n"/>
      <c r="AA1102" s="75" t="n"/>
      <c r="AB1102" s="75" t="n"/>
      <c r="AC1102" s="6" t="n"/>
      <c r="AD1102" s="75" t="n"/>
      <c r="AE1102" s="75" t="n"/>
      <c r="AF1102" s="75" t="n"/>
    </row>
    <row r="1103" ht="15.75" customHeight="1" s="133">
      <c r="A1103" s="75" t="n"/>
      <c r="B1103" s="75" t="n"/>
      <c r="C1103" s="75" t="n"/>
      <c r="D1103" s="75" t="n"/>
      <c r="E1103" s="76" t="n"/>
      <c r="F1103" s="77" t="n"/>
      <c r="G1103" s="75" t="n"/>
      <c r="H1103" s="75">
        <f>IF(ISBLANK(E1103),"",IF(OR(D1103="Butterfly",D1103="Butterfly ",D1103="Iron Fly", D1103="Iron Fly "),LEN(E1103)-LEN(SUBSTITUTE(E1103,"/",""))+2,LEN(E1103)-LEN(SUBSTITUTE(E1103,"/",""))+1))</f>
        <v/>
      </c>
      <c r="I1103" s="78">
        <f>IF(ISBLANK(G1103),"",IF(D1103="Stock","0",Key!$A$3*H1103*G1103))</f>
        <v/>
      </c>
      <c r="J1103" s="78">
        <f>IF(ISBLANK(E1103),"",IF(ISNUMBER(SEARCH("/",E1103)), IF(LEN(E1103)-LEN(SUBSTITUTE(E1103,"/",""))=1,(RIGHT(E1103,LEN(E1103)-FIND("/",E1103)))-(LEFT(E1103,FIND("/",E1103)-1)),(MID(E1103, SEARCH("/",E1103) + 1, SEARCH("/",E1103, SEARCH("/",E1103)+1) - SEARCH("/",E1103) - 1))-(LEFT(E1103,FIND("/",E1103)-1))), "NA"))</f>
        <v/>
      </c>
      <c r="K1103" s="79">
        <f>IF(A1103&lt;&gt;"", IF(ISBLANK(L1103), TODAY(), K1103), "")</f>
        <v/>
      </c>
      <c r="L1103" s="78" t="n"/>
      <c r="M1103" s="78">
        <f>IF(ISBLANK(L1103),"",IF(D1103="Stock",IF(C1103="Buy",L1103*G1103,IF(C1103="Sell",(L1103*G1103)-I1103, X)),IF(C1103="Buy",(L1103*G1103*100)+I1103,IF(C1103="Sell",(L1103*G1103*100)-I1103, X))))</f>
        <v/>
      </c>
      <c r="N1103" s="78">
        <f>IF(ISBLANK(L1103),"",IF(AND(C1103="Sell",D1103="Stock"),M1103,IF(ISBLANK(L1103),"",IF(C1103="Buy",M1103, IF(AND(C1103="Sell",J1103="NA"),(E1103*G1103*100*0.1)+I1103, IF(C1103="Sell",(J1103-L1103)*(100*G1103)+I1103))))))</f>
        <v/>
      </c>
      <c r="O1103" s="75" t="n"/>
      <c r="P1103" s="75" t="n"/>
      <c r="Q1103" s="75">
        <f>IF(ISBLANK(P1103),"",IF(D1103="Stock",P1103*G1103,IF(P1103=0,"0",G1103*P1103*100-(G1103*$AF$14))))</f>
        <v/>
      </c>
      <c r="R1103" s="79">
        <f>IF(P1103&lt;&gt;"", TODAY(), "")</f>
        <v/>
      </c>
      <c r="S1103" s="78">
        <f>IF(AND(K1103&lt;&gt;"", R1103&lt;&gt;""), R1103-K1103, "")</f>
        <v/>
      </c>
      <c r="T1103" s="78" t="n"/>
      <c r="U1103" s="92">
        <f>IF(ISBLANK(P1103),"",IF(C1103="Buy",Q1103-M1103+T1103, IF(C1103="Sell",M1103-Q1103-T1103, X)))</f>
        <v/>
      </c>
      <c r="V1103" s="81">
        <f>IF(ISBLANK(P1103),"",U1103/N1103)</f>
        <v/>
      </c>
      <c r="W1103" s="81">
        <f>IF(ISBLANK(P1103),"",IF(S1103=0,(365/0.5)*V1103,(365/S1103)*V1103))</f>
        <v/>
      </c>
      <c r="X1103" s="75" t="n"/>
      <c r="Y1103" s="77" t="n"/>
      <c r="Z1103" s="77" t="n"/>
      <c r="AA1103" s="75" t="n"/>
      <c r="AB1103" s="75" t="n"/>
      <c r="AC1103" s="6" t="n"/>
      <c r="AD1103" s="75" t="n"/>
      <c r="AE1103" s="75" t="n"/>
      <c r="AF1103" s="75" t="n"/>
    </row>
    <row r="1104" ht="15.75" customHeight="1" s="133">
      <c r="A1104" s="75" t="n"/>
      <c r="B1104" s="75" t="n"/>
      <c r="C1104" s="75" t="n"/>
      <c r="D1104" s="75" t="n"/>
      <c r="E1104" s="76" t="n"/>
      <c r="F1104" s="77" t="n"/>
      <c r="G1104" s="75" t="n"/>
      <c r="H1104" s="75">
        <f>IF(ISBLANK(E1104),"",IF(OR(D1104="Butterfly",D1104="Butterfly ",D1104="Iron Fly", D1104="Iron Fly "),LEN(E1104)-LEN(SUBSTITUTE(E1104,"/",""))+2,LEN(E1104)-LEN(SUBSTITUTE(E1104,"/",""))+1))</f>
        <v/>
      </c>
      <c r="I1104" s="78">
        <f>IF(ISBLANK(G1104),"",IF(D1104="Stock","0",Key!$A$3*H1104*G1104))</f>
        <v/>
      </c>
      <c r="J1104" s="78">
        <f>IF(ISBLANK(E1104),"",IF(ISNUMBER(SEARCH("/",E1104)), IF(LEN(E1104)-LEN(SUBSTITUTE(E1104,"/",""))=1,(RIGHT(E1104,LEN(E1104)-FIND("/",E1104)))-(LEFT(E1104,FIND("/",E1104)-1)),(MID(E1104, SEARCH("/",E1104) + 1, SEARCH("/",E1104, SEARCH("/",E1104)+1) - SEARCH("/",E1104) - 1))-(LEFT(E1104,FIND("/",E1104)-1))), "NA"))</f>
        <v/>
      </c>
      <c r="K1104" s="79">
        <f>IF(A1104&lt;&gt;"", IF(ISBLANK(L1104), TODAY(), K1104), "")</f>
        <v/>
      </c>
      <c r="L1104" s="78" t="n"/>
      <c r="M1104" s="78">
        <f>IF(ISBLANK(L1104),"",IF(D1104="Stock",IF(C1104="Buy",L1104*G1104,IF(C1104="Sell",(L1104*G1104)-I1104, X)),IF(C1104="Buy",(L1104*G1104*100)+I1104,IF(C1104="Sell",(L1104*G1104*100)-I1104, X))))</f>
        <v/>
      </c>
      <c r="N1104" s="78">
        <f>IF(ISBLANK(L1104),"",IF(AND(C1104="Sell",D1104="Stock"),M1104,IF(ISBLANK(L1104),"",IF(C1104="Buy",M1104, IF(AND(C1104="Sell",J1104="NA"),(E1104*G1104*100*0.1)+I1104, IF(C1104="Sell",(J1104-L1104)*(100*G1104)+I1104))))))</f>
        <v/>
      </c>
      <c r="O1104" s="75" t="n"/>
      <c r="P1104" s="75" t="n"/>
      <c r="Q1104" s="75">
        <f>IF(ISBLANK(P1104),"",IF(D1104="Stock",P1104*G1104,IF(P1104=0,"0",G1104*P1104*100-(G1104*$AF$14))))</f>
        <v/>
      </c>
      <c r="R1104" s="79">
        <f>IF(P1104&lt;&gt;"", TODAY(), "")</f>
        <v/>
      </c>
      <c r="S1104" s="78">
        <f>IF(AND(K1104&lt;&gt;"", R1104&lt;&gt;""), R1104-K1104, "")</f>
        <v/>
      </c>
      <c r="T1104" s="78" t="n"/>
      <c r="U1104" s="92">
        <f>IF(ISBLANK(P1104),"",IF(C1104="Buy",Q1104-M1104+T1104, IF(C1104="Sell",M1104-Q1104-T1104, X)))</f>
        <v/>
      </c>
      <c r="V1104" s="81">
        <f>IF(ISBLANK(P1104),"",U1104/N1104)</f>
        <v/>
      </c>
      <c r="W1104" s="81">
        <f>IF(ISBLANK(P1104),"",IF(S1104=0,(365/0.5)*V1104,(365/S1104)*V1104))</f>
        <v/>
      </c>
      <c r="X1104" s="75" t="n"/>
      <c r="Y1104" s="77" t="n"/>
      <c r="Z1104" s="77" t="n"/>
      <c r="AA1104" s="75" t="n"/>
      <c r="AB1104" s="75" t="n"/>
      <c r="AC1104" s="6" t="n"/>
      <c r="AD1104" s="75" t="n"/>
      <c r="AE1104" s="75" t="n"/>
      <c r="AF1104" s="75" t="n"/>
    </row>
    <row r="1105" ht="15.75" customHeight="1" s="133">
      <c r="A1105" s="75" t="n"/>
      <c r="B1105" s="75" t="n"/>
      <c r="C1105" s="75" t="n"/>
      <c r="D1105" s="75" t="n"/>
      <c r="E1105" s="76" t="n"/>
      <c r="F1105" s="77" t="n"/>
      <c r="G1105" s="75" t="n"/>
      <c r="H1105" s="75">
        <f>IF(ISBLANK(E1105),"",IF(OR(D1105="Butterfly",D1105="Butterfly ",D1105="Iron Fly", D1105="Iron Fly "),LEN(E1105)-LEN(SUBSTITUTE(E1105,"/",""))+2,LEN(E1105)-LEN(SUBSTITUTE(E1105,"/",""))+1))</f>
        <v/>
      </c>
      <c r="I1105" s="78">
        <f>IF(ISBLANK(G1105),"",IF(D1105="Stock","0",Key!$A$3*H1105*G1105))</f>
        <v/>
      </c>
      <c r="J1105" s="78">
        <f>IF(ISBLANK(E1105),"",IF(ISNUMBER(SEARCH("/",E1105)), IF(LEN(E1105)-LEN(SUBSTITUTE(E1105,"/",""))=1,(RIGHT(E1105,LEN(E1105)-FIND("/",E1105)))-(LEFT(E1105,FIND("/",E1105)-1)),(MID(E1105, SEARCH("/",E1105) + 1, SEARCH("/",E1105, SEARCH("/",E1105)+1) - SEARCH("/",E1105) - 1))-(LEFT(E1105,FIND("/",E1105)-1))), "NA"))</f>
        <v/>
      </c>
      <c r="K1105" s="79">
        <f>IF(A1105&lt;&gt;"", IF(ISBLANK(L1105), TODAY(), K1105), "")</f>
        <v/>
      </c>
      <c r="L1105" s="78" t="n"/>
      <c r="M1105" s="78">
        <f>IF(ISBLANK(L1105),"",IF(D1105="Stock",IF(C1105="Buy",L1105*G1105,IF(C1105="Sell",(L1105*G1105)-I1105, X)),IF(C1105="Buy",(L1105*G1105*100)+I1105,IF(C1105="Sell",(L1105*G1105*100)-I1105, X))))</f>
        <v/>
      </c>
      <c r="N1105" s="78">
        <f>IF(ISBLANK(L1105),"",IF(AND(C1105="Sell",D1105="Stock"),M1105,IF(ISBLANK(L1105),"",IF(C1105="Buy",M1105, IF(AND(C1105="Sell",J1105="NA"),(E1105*G1105*100*0.1)+I1105, IF(C1105="Sell",(J1105-L1105)*(100*G1105)+I1105))))))</f>
        <v/>
      </c>
      <c r="O1105" s="75" t="n"/>
      <c r="P1105" s="75" t="n"/>
      <c r="Q1105" s="75">
        <f>IF(ISBLANK(P1105),"",IF(D1105="Stock",P1105*G1105,IF(P1105=0,"0",G1105*P1105*100-(G1105*$AF$14))))</f>
        <v/>
      </c>
      <c r="R1105" s="79">
        <f>IF(P1105&lt;&gt;"", TODAY(), "")</f>
        <v/>
      </c>
      <c r="S1105" s="78">
        <f>IF(AND(K1105&lt;&gt;"", R1105&lt;&gt;""), R1105-K1105, "")</f>
        <v/>
      </c>
      <c r="T1105" s="78" t="n"/>
      <c r="U1105" s="92">
        <f>IF(ISBLANK(P1105),"",IF(C1105="Buy",Q1105-M1105+T1105, IF(C1105="Sell",M1105-Q1105-T1105, X)))</f>
        <v/>
      </c>
      <c r="V1105" s="81">
        <f>IF(ISBLANK(P1105),"",U1105/N1105)</f>
        <v/>
      </c>
      <c r="W1105" s="81">
        <f>IF(ISBLANK(P1105),"",IF(S1105=0,(365/0.5)*V1105,(365/S1105)*V1105))</f>
        <v/>
      </c>
      <c r="X1105" s="75" t="n"/>
      <c r="Y1105" s="77" t="n"/>
      <c r="Z1105" s="77" t="n"/>
      <c r="AA1105" s="75" t="n"/>
      <c r="AB1105" s="75" t="n"/>
      <c r="AC1105" s="6" t="n"/>
      <c r="AD1105" s="75" t="n"/>
      <c r="AE1105" s="75" t="n"/>
      <c r="AF1105" s="75" t="n"/>
    </row>
    <row r="1106" ht="15.75" customHeight="1" s="133">
      <c r="A1106" s="75" t="n"/>
      <c r="B1106" s="75" t="n"/>
      <c r="C1106" s="75" t="n"/>
      <c r="D1106" s="75" t="n"/>
      <c r="E1106" s="76" t="n"/>
      <c r="F1106" s="77" t="n"/>
      <c r="G1106" s="75" t="n"/>
      <c r="H1106" s="75">
        <f>IF(ISBLANK(E1106),"",IF(OR(D1106="Butterfly",D1106="Butterfly ",D1106="Iron Fly", D1106="Iron Fly "),LEN(E1106)-LEN(SUBSTITUTE(E1106,"/",""))+2,LEN(E1106)-LEN(SUBSTITUTE(E1106,"/",""))+1))</f>
        <v/>
      </c>
      <c r="I1106" s="78">
        <f>IF(ISBLANK(G1106),"",IF(D1106="Stock","0",Key!$A$3*H1106*G1106))</f>
        <v/>
      </c>
      <c r="J1106" s="78">
        <f>IF(ISBLANK(E1106),"",IF(ISNUMBER(SEARCH("/",E1106)), IF(LEN(E1106)-LEN(SUBSTITUTE(E1106,"/",""))=1,(RIGHT(E1106,LEN(E1106)-FIND("/",E1106)))-(LEFT(E1106,FIND("/",E1106)-1)),(MID(E1106, SEARCH("/",E1106) + 1, SEARCH("/",E1106, SEARCH("/",E1106)+1) - SEARCH("/",E1106) - 1))-(LEFT(E1106,FIND("/",E1106)-1))), "NA"))</f>
        <v/>
      </c>
      <c r="K1106" s="79">
        <f>IF(A1106&lt;&gt;"", IF(ISBLANK(L1106), TODAY(), K1106), "")</f>
        <v/>
      </c>
      <c r="L1106" s="78" t="n"/>
      <c r="M1106" s="78">
        <f>IF(ISBLANK(L1106),"",IF(D1106="Stock",IF(C1106="Buy",L1106*G1106,IF(C1106="Sell",(L1106*G1106)-I1106, X)),IF(C1106="Buy",(L1106*G1106*100)+I1106,IF(C1106="Sell",(L1106*G1106*100)-I1106, X))))</f>
        <v/>
      </c>
      <c r="N1106" s="78">
        <f>IF(ISBLANK(L1106),"",IF(AND(C1106="Sell",D1106="Stock"),M1106,IF(ISBLANK(L1106),"",IF(C1106="Buy",M1106, IF(AND(C1106="Sell",J1106="NA"),(E1106*G1106*100*0.1)+I1106, IF(C1106="Sell",(J1106-L1106)*(100*G1106)+I1106))))))</f>
        <v/>
      </c>
      <c r="O1106" s="75" t="n"/>
      <c r="P1106" s="75" t="n"/>
      <c r="Q1106" s="75">
        <f>IF(ISBLANK(P1106),"",IF(D1106="Stock",P1106*G1106,IF(P1106=0,"0",G1106*P1106*100-(G1106*$AF$14))))</f>
        <v/>
      </c>
      <c r="R1106" s="79">
        <f>IF(P1106&lt;&gt;"", TODAY(), "")</f>
        <v/>
      </c>
      <c r="S1106" s="78">
        <f>IF(AND(K1106&lt;&gt;"", R1106&lt;&gt;""), R1106-K1106, "")</f>
        <v/>
      </c>
      <c r="T1106" s="78" t="n"/>
      <c r="U1106" s="92">
        <f>IF(ISBLANK(P1106),"",IF(C1106="Buy",Q1106-M1106+T1106, IF(C1106="Sell",M1106-Q1106-T1106, X)))</f>
        <v/>
      </c>
      <c r="V1106" s="81">
        <f>IF(ISBLANK(P1106),"",U1106/N1106)</f>
        <v/>
      </c>
      <c r="W1106" s="81">
        <f>IF(ISBLANK(P1106),"",IF(S1106=0,(365/0.5)*V1106,(365/S1106)*V1106))</f>
        <v/>
      </c>
      <c r="X1106" s="75" t="n"/>
      <c r="Y1106" s="77" t="n"/>
      <c r="Z1106" s="77" t="n"/>
      <c r="AA1106" s="75" t="n"/>
      <c r="AB1106" s="75" t="n"/>
      <c r="AC1106" s="6" t="n"/>
      <c r="AD1106" s="75" t="n"/>
      <c r="AE1106" s="75" t="n"/>
      <c r="AF1106" s="75" t="n"/>
    </row>
    <row r="1107" ht="15.75" customHeight="1" s="133">
      <c r="A1107" s="75" t="n"/>
      <c r="B1107" s="75" t="n"/>
      <c r="C1107" s="75" t="n"/>
      <c r="D1107" s="75" t="n"/>
      <c r="E1107" s="76" t="n"/>
      <c r="F1107" s="77" t="n"/>
      <c r="G1107" s="75" t="n"/>
      <c r="H1107" s="75">
        <f>IF(ISBLANK(E1107),"",IF(OR(D1107="Butterfly",D1107="Butterfly ",D1107="Iron Fly", D1107="Iron Fly "),LEN(E1107)-LEN(SUBSTITUTE(E1107,"/",""))+2,LEN(E1107)-LEN(SUBSTITUTE(E1107,"/",""))+1))</f>
        <v/>
      </c>
      <c r="I1107" s="78">
        <f>IF(ISBLANK(G1107),"",IF(D1107="Stock","0",Key!$A$3*H1107*G1107))</f>
        <v/>
      </c>
      <c r="J1107" s="78">
        <f>IF(ISBLANK(E1107),"",IF(ISNUMBER(SEARCH("/",E1107)), IF(LEN(E1107)-LEN(SUBSTITUTE(E1107,"/",""))=1,(RIGHT(E1107,LEN(E1107)-FIND("/",E1107)))-(LEFT(E1107,FIND("/",E1107)-1)),(MID(E1107, SEARCH("/",E1107) + 1, SEARCH("/",E1107, SEARCH("/",E1107)+1) - SEARCH("/",E1107) - 1))-(LEFT(E1107,FIND("/",E1107)-1))), "NA"))</f>
        <v/>
      </c>
      <c r="K1107" s="79">
        <f>IF(A1107&lt;&gt;"", IF(ISBLANK(L1107), TODAY(), K1107), "")</f>
        <v/>
      </c>
      <c r="L1107" s="78" t="n"/>
      <c r="M1107" s="78">
        <f>IF(ISBLANK(L1107),"",IF(D1107="Stock",IF(C1107="Buy",L1107*G1107,IF(C1107="Sell",(L1107*G1107)-I1107, X)),IF(C1107="Buy",(L1107*G1107*100)+I1107,IF(C1107="Sell",(L1107*G1107*100)-I1107, X))))</f>
        <v/>
      </c>
      <c r="N1107" s="78">
        <f>IF(ISBLANK(L1107),"",IF(AND(C1107="Sell",D1107="Stock"),M1107,IF(ISBLANK(L1107),"",IF(C1107="Buy",M1107, IF(AND(C1107="Sell",J1107="NA"),(E1107*G1107*100*0.1)+I1107, IF(C1107="Sell",(J1107-L1107)*(100*G1107)+I1107))))))</f>
        <v/>
      </c>
      <c r="O1107" s="75" t="n"/>
      <c r="P1107" s="75" t="n"/>
      <c r="Q1107" s="75">
        <f>IF(ISBLANK(P1107),"",IF(D1107="Stock",P1107*G1107,IF(P1107=0,"0",G1107*P1107*100-(G1107*$AF$14))))</f>
        <v/>
      </c>
      <c r="R1107" s="79">
        <f>IF(P1107&lt;&gt;"", TODAY(), "")</f>
        <v/>
      </c>
      <c r="S1107" s="78">
        <f>IF(AND(K1107&lt;&gt;"", R1107&lt;&gt;""), R1107-K1107, "")</f>
        <v/>
      </c>
      <c r="T1107" s="78" t="n"/>
      <c r="U1107" s="92">
        <f>IF(ISBLANK(P1107),"",IF(C1107="Buy",Q1107-M1107+T1107, IF(C1107="Sell",M1107-Q1107-T1107, X)))</f>
        <v/>
      </c>
      <c r="V1107" s="81">
        <f>IF(ISBLANK(P1107),"",U1107/N1107)</f>
        <v/>
      </c>
      <c r="W1107" s="81">
        <f>IF(ISBLANK(P1107),"",IF(S1107=0,(365/0.5)*V1107,(365/S1107)*V1107))</f>
        <v/>
      </c>
      <c r="X1107" s="75" t="n"/>
      <c r="Y1107" s="77" t="n"/>
      <c r="Z1107" s="77" t="n"/>
      <c r="AA1107" s="75" t="n"/>
      <c r="AB1107" s="75" t="n"/>
      <c r="AC1107" s="6" t="n"/>
      <c r="AD1107" s="75" t="n"/>
      <c r="AE1107" s="75" t="n"/>
      <c r="AF1107" s="75" t="n"/>
    </row>
    <row r="1108" ht="15.75" customHeight="1" s="133">
      <c r="A1108" s="75" t="n"/>
      <c r="B1108" s="75" t="n"/>
      <c r="C1108" s="75" t="n"/>
      <c r="D1108" s="75" t="n"/>
      <c r="E1108" s="76" t="n"/>
      <c r="F1108" s="77" t="n"/>
      <c r="G1108" s="75" t="n"/>
      <c r="H1108" s="75">
        <f>IF(ISBLANK(E1108),"",IF(OR(D1108="Butterfly",D1108="Butterfly ",D1108="Iron Fly", D1108="Iron Fly "),LEN(E1108)-LEN(SUBSTITUTE(E1108,"/",""))+2,LEN(E1108)-LEN(SUBSTITUTE(E1108,"/",""))+1))</f>
        <v/>
      </c>
      <c r="I1108" s="78">
        <f>IF(ISBLANK(G1108),"",IF(D1108="Stock","0",Key!$A$3*H1108*G1108))</f>
        <v/>
      </c>
      <c r="J1108" s="78">
        <f>IF(ISBLANK(E1108),"",IF(ISNUMBER(SEARCH("/",E1108)), IF(LEN(E1108)-LEN(SUBSTITUTE(E1108,"/",""))=1,(RIGHT(E1108,LEN(E1108)-FIND("/",E1108)))-(LEFT(E1108,FIND("/",E1108)-1)),(MID(E1108, SEARCH("/",E1108) + 1, SEARCH("/",E1108, SEARCH("/",E1108)+1) - SEARCH("/",E1108) - 1))-(LEFT(E1108,FIND("/",E1108)-1))), "NA"))</f>
        <v/>
      </c>
      <c r="K1108" s="79">
        <f>IF(A1108&lt;&gt;"", IF(ISBLANK(L1108), TODAY(), K1108), "")</f>
        <v/>
      </c>
      <c r="L1108" s="78" t="n"/>
      <c r="M1108" s="78">
        <f>IF(ISBLANK(L1108),"",IF(D1108="Stock",IF(C1108="Buy",L1108*G1108,IF(C1108="Sell",(L1108*G1108)-I1108, X)),IF(C1108="Buy",(L1108*G1108*100)+I1108,IF(C1108="Sell",(L1108*G1108*100)-I1108, X))))</f>
        <v/>
      </c>
      <c r="N1108" s="78">
        <f>IF(ISBLANK(L1108),"",IF(AND(C1108="Sell",D1108="Stock"),M1108,IF(ISBLANK(L1108),"",IF(C1108="Buy",M1108, IF(AND(C1108="Sell",J1108="NA"),(E1108*G1108*100*0.1)+I1108, IF(C1108="Sell",(J1108-L1108)*(100*G1108)+I1108))))))</f>
        <v/>
      </c>
      <c r="O1108" s="75" t="n"/>
      <c r="P1108" s="75" t="n"/>
      <c r="Q1108" s="75">
        <f>IF(ISBLANK(P1108),"",IF(D1108="Stock",P1108*G1108,IF(P1108=0,"0",G1108*P1108*100-(G1108*$AF$14))))</f>
        <v/>
      </c>
      <c r="R1108" s="79">
        <f>IF(P1108&lt;&gt;"", TODAY(), "")</f>
        <v/>
      </c>
      <c r="S1108" s="78">
        <f>IF(AND(K1108&lt;&gt;"", R1108&lt;&gt;""), R1108-K1108, "")</f>
        <v/>
      </c>
      <c r="T1108" s="78" t="n"/>
      <c r="U1108" s="92">
        <f>IF(ISBLANK(P1108),"",IF(C1108="Buy",Q1108-M1108+T1108, IF(C1108="Sell",M1108-Q1108-T1108, X)))</f>
        <v/>
      </c>
      <c r="V1108" s="81">
        <f>IF(ISBLANK(P1108),"",U1108/N1108)</f>
        <v/>
      </c>
      <c r="W1108" s="81">
        <f>IF(ISBLANK(P1108),"",IF(S1108=0,(365/0.5)*V1108,(365/S1108)*V1108))</f>
        <v/>
      </c>
      <c r="X1108" s="75" t="n"/>
      <c r="Y1108" s="77" t="n"/>
      <c r="Z1108" s="77" t="n"/>
      <c r="AA1108" s="75" t="n"/>
      <c r="AB1108" s="75" t="n"/>
      <c r="AC1108" s="6" t="n"/>
      <c r="AD1108" s="75" t="n"/>
      <c r="AE1108" s="75" t="n"/>
      <c r="AF1108" s="75" t="n"/>
    </row>
    <row r="1109" ht="15.75" customHeight="1" s="133">
      <c r="A1109" s="75" t="n"/>
      <c r="B1109" s="75" t="n"/>
      <c r="C1109" s="75" t="n"/>
      <c r="D1109" s="75" t="n"/>
      <c r="E1109" s="76" t="n"/>
      <c r="F1109" s="77" t="n"/>
      <c r="G1109" s="75" t="n"/>
      <c r="H1109" s="75">
        <f>IF(ISBLANK(E1109),"",IF(OR(D1109="Butterfly",D1109="Butterfly ",D1109="Iron Fly", D1109="Iron Fly "),LEN(E1109)-LEN(SUBSTITUTE(E1109,"/",""))+2,LEN(E1109)-LEN(SUBSTITUTE(E1109,"/",""))+1))</f>
        <v/>
      </c>
      <c r="I1109" s="78">
        <f>IF(ISBLANK(G1109),"",IF(D1109="Stock","0",Key!$A$3*H1109*G1109))</f>
        <v/>
      </c>
      <c r="J1109" s="78">
        <f>IF(ISBLANK(E1109),"",IF(ISNUMBER(SEARCH("/",E1109)), IF(LEN(E1109)-LEN(SUBSTITUTE(E1109,"/",""))=1,(RIGHT(E1109,LEN(E1109)-FIND("/",E1109)))-(LEFT(E1109,FIND("/",E1109)-1)),(MID(E1109, SEARCH("/",E1109) + 1, SEARCH("/",E1109, SEARCH("/",E1109)+1) - SEARCH("/",E1109) - 1))-(LEFT(E1109,FIND("/",E1109)-1))), "NA"))</f>
        <v/>
      </c>
      <c r="K1109" s="79">
        <f>IF(A1109&lt;&gt;"", IF(ISBLANK(L1109), TODAY(), K1109), "")</f>
        <v/>
      </c>
      <c r="L1109" s="78" t="n"/>
      <c r="M1109" s="78">
        <f>IF(ISBLANK(L1109),"",IF(D1109="Stock",IF(C1109="Buy",L1109*G1109,IF(C1109="Sell",(L1109*G1109)-I1109, X)),IF(C1109="Buy",(L1109*G1109*100)+I1109,IF(C1109="Sell",(L1109*G1109*100)-I1109, X))))</f>
        <v/>
      </c>
      <c r="N1109" s="78">
        <f>IF(ISBLANK(L1109),"",IF(AND(C1109="Sell",D1109="Stock"),M1109,IF(ISBLANK(L1109),"",IF(C1109="Buy",M1109, IF(AND(C1109="Sell",J1109="NA"),(E1109*G1109*100*0.1)+I1109, IF(C1109="Sell",(J1109-L1109)*(100*G1109)+I1109))))))</f>
        <v/>
      </c>
      <c r="O1109" s="75" t="n"/>
      <c r="P1109" s="75" t="n"/>
      <c r="Q1109" s="75">
        <f>IF(ISBLANK(P1109),"",IF(D1109="Stock",P1109*G1109,IF(P1109=0,"0",G1109*P1109*100-(G1109*$AF$14))))</f>
        <v/>
      </c>
      <c r="R1109" s="79">
        <f>IF(P1109&lt;&gt;"", TODAY(), "")</f>
        <v/>
      </c>
      <c r="S1109" s="78">
        <f>IF(AND(K1109&lt;&gt;"", R1109&lt;&gt;""), R1109-K1109, "")</f>
        <v/>
      </c>
      <c r="T1109" s="78" t="n"/>
      <c r="U1109" s="92">
        <f>IF(ISBLANK(P1109),"",IF(C1109="Buy",Q1109-M1109+T1109, IF(C1109="Sell",M1109-Q1109-T1109, X)))</f>
        <v/>
      </c>
      <c r="V1109" s="81">
        <f>IF(ISBLANK(P1109),"",U1109/N1109)</f>
        <v/>
      </c>
      <c r="W1109" s="81">
        <f>IF(ISBLANK(P1109),"",IF(S1109=0,(365/0.5)*V1109,(365/S1109)*V1109))</f>
        <v/>
      </c>
      <c r="X1109" s="75" t="n"/>
      <c r="Y1109" s="77" t="n"/>
      <c r="Z1109" s="77" t="n"/>
      <c r="AA1109" s="75" t="n"/>
      <c r="AB1109" s="75" t="n"/>
      <c r="AC1109" s="6" t="n"/>
      <c r="AD1109" s="75" t="n"/>
      <c r="AE1109" s="75" t="n"/>
      <c r="AF1109" s="75" t="n"/>
    </row>
    <row r="1110" ht="15.75" customHeight="1" s="133">
      <c r="A1110" s="75" t="n"/>
      <c r="B1110" s="75" t="n"/>
      <c r="C1110" s="75" t="n"/>
      <c r="D1110" s="75" t="n"/>
      <c r="E1110" s="76" t="n"/>
      <c r="F1110" s="77" t="n"/>
      <c r="G1110" s="75" t="n"/>
      <c r="H1110" s="75">
        <f>IF(ISBLANK(E1110),"",IF(OR(D1110="Butterfly",D1110="Butterfly ",D1110="Iron Fly", D1110="Iron Fly "),LEN(E1110)-LEN(SUBSTITUTE(E1110,"/",""))+2,LEN(E1110)-LEN(SUBSTITUTE(E1110,"/",""))+1))</f>
        <v/>
      </c>
      <c r="I1110" s="78">
        <f>IF(ISBLANK(G1110),"",IF(D1110="Stock","0",Key!$A$3*H1110*G1110))</f>
        <v/>
      </c>
      <c r="J1110" s="78">
        <f>IF(ISBLANK(E1110),"",IF(ISNUMBER(SEARCH("/",E1110)), IF(LEN(E1110)-LEN(SUBSTITUTE(E1110,"/",""))=1,(RIGHT(E1110,LEN(E1110)-FIND("/",E1110)))-(LEFT(E1110,FIND("/",E1110)-1)),(MID(E1110, SEARCH("/",E1110) + 1, SEARCH("/",E1110, SEARCH("/",E1110)+1) - SEARCH("/",E1110) - 1))-(LEFT(E1110,FIND("/",E1110)-1))), "NA"))</f>
        <v/>
      </c>
      <c r="K1110" s="79">
        <f>IF(A1110&lt;&gt;"", IF(ISBLANK(L1110), TODAY(), K1110), "")</f>
        <v/>
      </c>
      <c r="L1110" s="78" t="n"/>
      <c r="M1110" s="78">
        <f>IF(ISBLANK(L1110),"",IF(D1110="Stock",IF(C1110="Buy",L1110*G1110,IF(C1110="Sell",(L1110*G1110)-I1110, X)),IF(C1110="Buy",(L1110*G1110*100)+I1110,IF(C1110="Sell",(L1110*G1110*100)-I1110, X))))</f>
        <v/>
      </c>
      <c r="N1110" s="78">
        <f>IF(ISBLANK(L1110),"",IF(AND(C1110="Sell",D1110="Stock"),M1110,IF(ISBLANK(L1110),"",IF(C1110="Buy",M1110, IF(AND(C1110="Sell",J1110="NA"),(E1110*G1110*100*0.1)+I1110, IF(C1110="Sell",(J1110-L1110)*(100*G1110)+I1110))))))</f>
        <v/>
      </c>
      <c r="O1110" s="75" t="n"/>
      <c r="P1110" s="75" t="n"/>
      <c r="Q1110" s="75">
        <f>IF(ISBLANK(P1110),"",IF(D1110="Stock",P1110*G1110,IF(P1110=0,"0",G1110*P1110*100-(G1110*$AF$14))))</f>
        <v/>
      </c>
      <c r="R1110" s="79">
        <f>IF(P1110&lt;&gt;"", TODAY(), "")</f>
        <v/>
      </c>
      <c r="S1110" s="78">
        <f>IF(AND(K1110&lt;&gt;"", R1110&lt;&gt;""), R1110-K1110, "")</f>
        <v/>
      </c>
      <c r="T1110" s="78" t="n"/>
      <c r="U1110" s="92">
        <f>IF(ISBLANK(P1110),"",IF(C1110="Buy",Q1110-M1110+T1110, IF(C1110="Sell",M1110-Q1110-T1110, X)))</f>
        <v/>
      </c>
      <c r="V1110" s="81">
        <f>IF(ISBLANK(P1110),"",U1110/N1110)</f>
        <v/>
      </c>
      <c r="W1110" s="81">
        <f>IF(ISBLANK(P1110),"",IF(S1110=0,(365/0.5)*V1110,(365/S1110)*V1110))</f>
        <v/>
      </c>
      <c r="X1110" s="75" t="n"/>
      <c r="Y1110" s="77" t="n"/>
      <c r="Z1110" s="77" t="n"/>
      <c r="AA1110" s="75" t="n"/>
      <c r="AB1110" s="75" t="n"/>
      <c r="AC1110" s="6" t="n"/>
      <c r="AD1110" s="75" t="n"/>
      <c r="AE1110" s="75" t="n"/>
      <c r="AF1110" s="75" t="n"/>
    </row>
    <row r="1111" ht="15.75" customHeight="1" s="133">
      <c r="A1111" s="75" t="n"/>
      <c r="B1111" s="75" t="n"/>
      <c r="C1111" s="75" t="n"/>
      <c r="D1111" s="75" t="n"/>
      <c r="E1111" s="76" t="n"/>
      <c r="F1111" s="77" t="n"/>
      <c r="G1111" s="75" t="n"/>
      <c r="H1111" s="75">
        <f>IF(ISBLANK(E1111),"",IF(OR(D1111="Butterfly",D1111="Butterfly ",D1111="Iron Fly", D1111="Iron Fly "),LEN(E1111)-LEN(SUBSTITUTE(E1111,"/",""))+2,LEN(E1111)-LEN(SUBSTITUTE(E1111,"/",""))+1))</f>
        <v/>
      </c>
      <c r="I1111" s="78">
        <f>IF(ISBLANK(G1111),"",IF(D1111="Stock","0",Key!$A$3*H1111*G1111))</f>
        <v/>
      </c>
      <c r="J1111" s="78">
        <f>IF(ISBLANK(E1111),"",IF(ISNUMBER(SEARCH("/",E1111)), IF(LEN(E1111)-LEN(SUBSTITUTE(E1111,"/",""))=1,(RIGHT(E1111,LEN(E1111)-FIND("/",E1111)))-(LEFT(E1111,FIND("/",E1111)-1)),(MID(E1111, SEARCH("/",E1111) + 1, SEARCH("/",E1111, SEARCH("/",E1111)+1) - SEARCH("/",E1111) - 1))-(LEFT(E1111,FIND("/",E1111)-1))), "NA"))</f>
        <v/>
      </c>
      <c r="K1111" s="79">
        <f>IF(A1111&lt;&gt;"", IF(ISBLANK(L1111), TODAY(), K1111), "")</f>
        <v/>
      </c>
      <c r="L1111" s="78" t="n"/>
      <c r="M1111" s="78">
        <f>IF(ISBLANK(L1111),"",IF(D1111="Stock",IF(C1111="Buy",L1111*G1111,IF(C1111="Sell",(L1111*G1111)-I1111, X)),IF(C1111="Buy",(L1111*G1111*100)+I1111,IF(C1111="Sell",(L1111*G1111*100)-I1111, X))))</f>
        <v/>
      </c>
      <c r="N1111" s="78">
        <f>IF(ISBLANK(L1111),"",IF(AND(C1111="Sell",D1111="Stock"),M1111,IF(ISBLANK(L1111),"",IF(C1111="Buy",M1111, IF(AND(C1111="Sell",J1111="NA"),(E1111*G1111*100*0.1)+I1111, IF(C1111="Sell",(J1111-L1111)*(100*G1111)+I1111))))))</f>
        <v/>
      </c>
      <c r="O1111" s="75" t="n"/>
      <c r="P1111" s="75" t="n"/>
      <c r="Q1111" s="75">
        <f>IF(ISBLANK(P1111),"",IF(D1111="Stock",P1111*G1111,IF(P1111=0,"0",G1111*P1111*100-(G1111*$AF$14))))</f>
        <v/>
      </c>
      <c r="R1111" s="79">
        <f>IF(P1111&lt;&gt;"", TODAY(), "")</f>
        <v/>
      </c>
      <c r="S1111" s="78">
        <f>IF(AND(K1111&lt;&gt;"", R1111&lt;&gt;""), R1111-K1111, "")</f>
        <v/>
      </c>
      <c r="T1111" s="78" t="n"/>
      <c r="U1111" s="92">
        <f>IF(ISBLANK(P1111),"",IF(C1111="Buy",Q1111-M1111+T1111, IF(C1111="Sell",M1111-Q1111-T1111, X)))</f>
        <v/>
      </c>
      <c r="V1111" s="81">
        <f>IF(ISBLANK(P1111),"",U1111/N1111)</f>
        <v/>
      </c>
      <c r="W1111" s="81">
        <f>IF(ISBLANK(P1111),"",IF(S1111=0,(365/0.5)*V1111,(365/S1111)*V1111))</f>
        <v/>
      </c>
      <c r="X1111" s="75" t="n"/>
      <c r="Y1111" s="77" t="n"/>
      <c r="Z1111" s="77" t="n"/>
      <c r="AA1111" s="75" t="n"/>
      <c r="AB1111" s="75" t="n"/>
      <c r="AC1111" s="6" t="n"/>
      <c r="AD1111" s="75" t="n"/>
      <c r="AE1111" s="75" t="n"/>
      <c r="AF1111" s="75" t="n"/>
    </row>
    <row r="1112" ht="15.75" customHeight="1" s="133">
      <c r="A1112" s="75" t="n"/>
      <c r="B1112" s="75" t="n"/>
      <c r="C1112" s="75" t="n"/>
      <c r="D1112" s="75" t="n"/>
      <c r="E1112" s="76" t="n"/>
      <c r="F1112" s="77" t="n"/>
      <c r="G1112" s="75" t="n"/>
      <c r="H1112" s="75">
        <f>IF(ISBLANK(E1112),"",IF(OR(D1112="Butterfly",D1112="Butterfly ",D1112="Iron Fly", D1112="Iron Fly "),LEN(E1112)-LEN(SUBSTITUTE(E1112,"/",""))+2,LEN(E1112)-LEN(SUBSTITUTE(E1112,"/",""))+1))</f>
        <v/>
      </c>
      <c r="I1112" s="78">
        <f>IF(ISBLANK(G1112),"",IF(D1112="Stock","0",Key!$A$3*H1112*G1112))</f>
        <v/>
      </c>
      <c r="J1112" s="78">
        <f>IF(ISBLANK(E1112),"",IF(ISNUMBER(SEARCH("/",E1112)), IF(LEN(E1112)-LEN(SUBSTITUTE(E1112,"/",""))=1,(RIGHT(E1112,LEN(E1112)-FIND("/",E1112)))-(LEFT(E1112,FIND("/",E1112)-1)),(MID(E1112, SEARCH("/",E1112) + 1, SEARCH("/",E1112, SEARCH("/",E1112)+1) - SEARCH("/",E1112) - 1))-(LEFT(E1112,FIND("/",E1112)-1))), "NA"))</f>
        <v/>
      </c>
      <c r="K1112" s="79">
        <f>IF(A1112&lt;&gt;"", IF(ISBLANK(L1112), TODAY(), K1112), "")</f>
        <v/>
      </c>
      <c r="L1112" s="78" t="n"/>
      <c r="M1112" s="78">
        <f>IF(ISBLANK(L1112),"",IF(D1112="Stock",IF(C1112="Buy",L1112*G1112,IF(C1112="Sell",(L1112*G1112)-I1112, X)),IF(C1112="Buy",(L1112*G1112*100)+I1112,IF(C1112="Sell",(L1112*G1112*100)-I1112, X))))</f>
        <v/>
      </c>
      <c r="N1112" s="78">
        <f>IF(ISBLANK(L1112),"",IF(AND(C1112="Sell",D1112="Stock"),M1112,IF(ISBLANK(L1112),"",IF(C1112="Buy",M1112, IF(AND(C1112="Sell",J1112="NA"),(E1112*G1112*100*0.1)+I1112, IF(C1112="Sell",(J1112-L1112)*(100*G1112)+I1112))))))</f>
        <v/>
      </c>
      <c r="O1112" s="75" t="n"/>
      <c r="P1112" s="75" t="n"/>
      <c r="Q1112" s="75">
        <f>IF(ISBLANK(P1112),"",IF(D1112="Stock",P1112*G1112,IF(P1112=0,"0",G1112*P1112*100-(G1112*$AF$14))))</f>
        <v/>
      </c>
      <c r="R1112" s="79">
        <f>IF(P1112&lt;&gt;"", TODAY(), "")</f>
        <v/>
      </c>
      <c r="S1112" s="78">
        <f>IF(AND(K1112&lt;&gt;"", R1112&lt;&gt;""), R1112-K1112, "")</f>
        <v/>
      </c>
      <c r="T1112" s="78" t="n"/>
      <c r="U1112" s="92">
        <f>IF(ISBLANK(P1112),"",IF(C1112="Buy",Q1112-M1112+T1112, IF(C1112="Sell",M1112-Q1112-T1112, X)))</f>
        <v/>
      </c>
      <c r="V1112" s="81">
        <f>IF(ISBLANK(P1112),"",U1112/N1112)</f>
        <v/>
      </c>
      <c r="W1112" s="81">
        <f>IF(ISBLANK(P1112),"",IF(S1112=0,(365/0.5)*V1112,(365/S1112)*V1112))</f>
        <v/>
      </c>
      <c r="X1112" s="75" t="n"/>
      <c r="Y1112" s="77" t="n"/>
      <c r="Z1112" s="77" t="n"/>
      <c r="AA1112" s="75" t="n"/>
      <c r="AB1112" s="75" t="n"/>
      <c r="AC1112" s="6" t="n"/>
      <c r="AD1112" s="75" t="n"/>
      <c r="AE1112" s="75" t="n"/>
      <c r="AF1112" s="75" t="n"/>
    </row>
    <row r="1113" ht="15.75" customHeight="1" s="133">
      <c r="A1113" s="75" t="n"/>
      <c r="B1113" s="75" t="n"/>
      <c r="C1113" s="75" t="n"/>
      <c r="D1113" s="75" t="n"/>
      <c r="E1113" s="76" t="n"/>
      <c r="F1113" s="77" t="n"/>
      <c r="G1113" s="75" t="n"/>
      <c r="H1113" s="75">
        <f>IF(ISBLANK(E1113),"",IF(OR(D1113="Butterfly",D1113="Butterfly ",D1113="Iron Fly", D1113="Iron Fly "),LEN(E1113)-LEN(SUBSTITUTE(E1113,"/",""))+2,LEN(E1113)-LEN(SUBSTITUTE(E1113,"/",""))+1))</f>
        <v/>
      </c>
      <c r="I1113" s="78">
        <f>IF(ISBLANK(G1113),"",IF(D1113="Stock","0",Key!$A$3*H1113*G1113))</f>
        <v/>
      </c>
      <c r="J1113" s="78">
        <f>IF(ISBLANK(E1113),"",IF(ISNUMBER(SEARCH("/",E1113)), IF(LEN(E1113)-LEN(SUBSTITUTE(E1113,"/",""))=1,(RIGHT(E1113,LEN(E1113)-FIND("/",E1113)))-(LEFT(E1113,FIND("/",E1113)-1)),(MID(E1113, SEARCH("/",E1113) + 1, SEARCH("/",E1113, SEARCH("/",E1113)+1) - SEARCH("/",E1113) - 1))-(LEFT(E1113,FIND("/",E1113)-1))), "NA"))</f>
        <v/>
      </c>
      <c r="K1113" s="79">
        <f>IF(A1113&lt;&gt;"", IF(ISBLANK(L1113), TODAY(), K1113), "")</f>
        <v/>
      </c>
      <c r="L1113" s="78" t="n"/>
      <c r="M1113" s="78">
        <f>IF(ISBLANK(L1113),"",IF(D1113="Stock",IF(C1113="Buy",L1113*G1113,IF(C1113="Sell",(L1113*G1113)-I1113, X)),IF(C1113="Buy",(L1113*G1113*100)+I1113,IF(C1113="Sell",(L1113*G1113*100)-I1113, X))))</f>
        <v/>
      </c>
      <c r="N1113" s="78">
        <f>IF(ISBLANK(L1113),"",IF(AND(C1113="Sell",D1113="Stock"),M1113,IF(ISBLANK(L1113),"",IF(C1113="Buy",M1113, IF(AND(C1113="Sell",J1113="NA"),(E1113*G1113*100*0.1)+I1113, IF(C1113="Sell",(J1113-L1113)*(100*G1113)+I1113))))))</f>
        <v/>
      </c>
      <c r="O1113" s="75" t="n"/>
      <c r="P1113" s="75" t="n"/>
      <c r="Q1113" s="75">
        <f>IF(ISBLANK(P1113),"",IF(D1113="Stock",P1113*G1113,IF(P1113=0,"0",G1113*P1113*100-(G1113*$AF$14))))</f>
        <v/>
      </c>
      <c r="R1113" s="79">
        <f>IF(P1113&lt;&gt;"", TODAY(), "")</f>
        <v/>
      </c>
      <c r="S1113" s="78">
        <f>IF(AND(K1113&lt;&gt;"", R1113&lt;&gt;""), R1113-K1113, "")</f>
        <v/>
      </c>
      <c r="T1113" s="78" t="n"/>
      <c r="U1113" s="92">
        <f>IF(ISBLANK(P1113),"",IF(C1113="Buy",Q1113-M1113+T1113, IF(C1113="Sell",M1113-Q1113-T1113, X)))</f>
        <v/>
      </c>
      <c r="V1113" s="81">
        <f>IF(ISBLANK(P1113),"",U1113/N1113)</f>
        <v/>
      </c>
      <c r="W1113" s="81">
        <f>IF(ISBLANK(P1113),"",IF(S1113=0,(365/0.5)*V1113,(365/S1113)*V1113))</f>
        <v/>
      </c>
      <c r="X1113" s="75" t="n"/>
      <c r="Y1113" s="77" t="n"/>
      <c r="Z1113" s="77" t="n"/>
      <c r="AA1113" s="75" t="n"/>
      <c r="AB1113" s="75" t="n"/>
      <c r="AC1113" s="6" t="n"/>
      <c r="AD1113" s="75" t="n"/>
      <c r="AE1113" s="75" t="n"/>
      <c r="AF1113" s="75" t="n"/>
    </row>
    <row r="1114" ht="15.75" customHeight="1" s="133">
      <c r="A1114" s="75" t="n"/>
      <c r="B1114" s="75" t="n"/>
      <c r="C1114" s="75" t="n"/>
      <c r="D1114" s="75" t="n"/>
      <c r="E1114" s="76" t="n"/>
      <c r="F1114" s="77" t="n"/>
      <c r="G1114" s="75" t="n"/>
      <c r="H1114" s="75">
        <f>IF(ISBLANK(E1114),"",IF(OR(D1114="Butterfly",D1114="Butterfly ",D1114="Iron Fly", D1114="Iron Fly "),LEN(E1114)-LEN(SUBSTITUTE(E1114,"/",""))+2,LEN(E1114)-LEN(SUBSTITUTE(E1114,"/",""))+1))</f>
        <v/>
      </c>
      <c r="I1114" s="78">
        <f>IF(ISBLANK(G1114),"",IF(D1114="Stock","0",Key!$A$3*H1114*G1114))</f>
        <v/>
      </c>
      <c r="J1114" s="78">
        <f>IF(ISBLANK(E1114),"",IF(ISNUMBER(SEARCH("/",E1114)), IF(LEN(E1114)-LEN(SUBSTITUTE(E1114,"/",""))=1,(RIGHT(E1114,LEN(E1114)-FIND("/",E1114)))-(LEFT(E1114,FIND("/",E1114)-1)),(MID(E1114, SEARCH("/",E1114) + 1, SEARCH("/",E1114, SEARCH("/",E1114)+1) - SEARCH("/",E1114) - 1))-(LEFT(E1114,FIND("/",E1114)-1))), "NA"))</f>
        <v/>
      </c>
      <c r="K1114" s="79">
        <f>IF(A1114&lt;&gt;"", IF(ISBLANK(L1114), TODAY(), K1114), "")</f>
        <v/>
      </c>
      <c r="L1114" s="78" t="n"/>
      <c r="M1114" s="78">
        <f>IF(ISBLANK(L1114),"",IF(D1114="Stock",IF(C1114="Buy",L1114*G1114,IF(C1114="Sell",(L1114*G1114)-I1114, X)),IF(C1114="Buy",(L1114*G1114*100)+I1114,IF(C1114="Sell",(L1114*G1114*100)-I1114, X))))</f>
        <v/>
      </c>
      <c r="N1114" s="78">
        <f>IF(ISBLANK(L1114),"",IF(AND(C1114="Sell",D1114="Stock"),M1114,IF(ISBLANK(L1114),"",IF(C1114="Buy",M1114, IF(AND(C1114="Sell",J1114="NA"),(E1114*G1114*100*0.1)+I1114, IF(C1114="Sell",(J1114-L1114)*(100*G1114)+I1114))))))</f>
        <v/>
      </c>
      <c r="O1114" s="75" t="n"/>
      <c r="P1114" s="75" t="n"/>
      <c r="Q1114" s="75">
        <f>IF(ISBLANK(P1114),"",IF(D1114="Stock",P1114*G1114,IF(P1114=0,"0",G1114*P1114*100-(G1114*$AF$14))))</f>
        <v/>
      </c>
      <c r="R1114" s="79">
        <f>IF(P1114&lt;&gt;"", TODAY(), "")</f>
        <v/>
      </c>
      <c r="S1114" s="78">
        <f>IF(AND(K1114&lt;&gt;"", R1114&lt;&gt;""), R1114-K1114, "")</f>
        <v/>
      </c>
      <c r="T1114" s="78" t="n"/>
      <c r="U1114" s="92">
        <f>IF(ISBLANK(P1114),"",IF(C1114="Buy",Q1114-M1114+T1114, IF(C1114="Sell",M1114-Q1114-T1114, X)))</f>
        <v/>
      </c>
      <c r="V1114" s="81">
        <f>IF(ISBLANK(P1114),"",U1114/N1114)</f>
        <v/>
      </c>
      <c r="W1114" s="81">
        <f>IF(ISBLANK(P1114),"",IF(S1114=0,(365/0.5)*V1114,(365/S1114)*V1114))</f>
        <v/>
      </c>
      <c r="X1114" s="75" t="n"/>
      <c r="Y1114" s="77" t="n"/>
      <c r="Z1114" s="77" t="n"/>
      <c r="AA1114" s="75" t="n"/>
      <c r="AB1114" s="75" t="n"/>
      <c r="AC1114" s="6" t="n"/>
      <c r="AD1114" s="75" t="n"/>
      <c r="AE1114" s="75" t="n"/>
      <c r="AF1114" s="75" t="n"/>
    </row>
    <row r="1115" ht="15.75" customHeight="1" s="133">
      <c r="A1115" s="75" t="n"/>
      <c r="B1115" s="75" t="n"/>
      <c r="C1115" s="75" t="n"/>
      <c r="D1115" s="75" t="n"/>
      <c r="E1115" s="76" t="n"/>
      <c r="F1115" s="77" t="n"/>
      <c r="G1115" s="75" t="n"/>
      <c r="H1115" s="75">
        <f>IF(ISBLANK(E1115),"",IF(OR(D1115="Butterfly",D1115="Butterfly ",D1115="Iron Fly", D1115="Iron Fly "),LEN(E1115)-LEN(SUBSTITUTE(E1115,"/",""))+2,LEN(E1115)-LEN(SUBSTITUTE(E1115,"/",""))+1))</f>
        <v/>
      </c>
      <c r="I1115" s="78">
        <f>IF(ISBLANK(G1115),"",IF(D1115="Stock","0",Key!$A$3*H1115*G1115))</f>
        <v/>
      </c>
      <c r="J1115" s="78">
        <f>IF(ISBLANK(E1115),"",IF(ISNUMBER(SEARCH("/",E1115)), IF(LEN(E1115)-LEN(SUBSTITUTE(E1115,"/",""))=1,(RIGHT(E1115,LEN(E1115)-FIND("/",E1115)))-(LEFT(E1115,FIND("/",E1115)-1)),(MID(E1115, SEARCH("/",E1115) + 1, SEARCH("/",E1115, SEARCH("/",E1115)+1) - SEARCH("/",E1115) - 1))-(LEFT(E1115,FIND("/",E1115)-1))), "NA"))</f>
        <v/>
      </c>
      <c r="K1115" s="79">
        <f>IF(A1115&lt;&gt;"", IF(ISBLANK(L1115), TODAY(), K1115), "")</f>
        <v/>
      </c>
      <c r="L1115" s="78" t="n"/>
      <c r="M1115" s="78">
        <f>IF(ISBLANK(L1115),"",IF(D1115="Stock",IF(C1115="Buy",L1115*G1115,IF(C1115="Sell",(L1115*G1115)-I1115, X)),IF(C1115="Buy",(L1115*G1115*100)+I1115,IF(C1115="Sell",(L1115*G1115*100)-I1115, X))))</f>
        <v/>
      </c>
      <c r="N1115" s="78">
        <f>IF(ISBLANK(L1115),"",IF(AND(C1115="Sell",D1115="Stock"),M1115,IF(ISBLANK(L1115),"",IF(C1115="Buy",M1115, IF(AND(C1115="Sell",J1115="NA"),(E1115*G1115*100*0.1)+I1115, IF(C1115="Sell",(J1115-L1115)*(100*G1115)+I1115))))))</f>
        <v/>
      </c>
      <c r="O1115" s="75" t="n"/>
      <c r="P1115" s="75" t="n"/>
      <c r="Q1115" s="75">
        <f>IF(ISBLANK(P1115),"",IF(D1115="Stock",P1115*G1115,IF(P1115=0,"0",G1115*P1115*100-(G1115*$AF$14))))</f>
        <v/>
      </c>
      <c r="R1115" s="79">
        <f>IF(P1115&lt;&gt;"", TODAY(), "")</f>
        <v/>
      </c>
      <c r="S1115" s="78">
        <f>IF(AND(K1115&lt;&gt;"", R1115&lt;&gt;""), R1115-K1115, "")</f>
        <v/>
      </c>
      <c r="T1115" s="78" t="n"/>
      <c r="U1115" s="92">
        <f>IF(ISBLANK(P1115),"",IF(C1115="Buy",Q1115-M1115+T1115, IF(C1115="Sell",M1115-Q1115-T1115, X)))</f>
        <v/>
      </c>
      <c r="V1115" s="81">
        <f>IF(ISBLANK(P1115),"",U1115/N1115)</f>
        <v/>
      </c>
      <c r="W1115" s="81">
        <f>IF(ISBLANK(P1115),"",IF(S1115=0,(365/0.5)*V1115,(365/S1115)*V1115))</f>
        <v/>
      </c>
      <c r="X1115" s="75" t="n"/>
      <c r="Y1115" s="77" t="n"/>
      <c r="Z1115" s="77" t="n"/>
      <c r="AA1115" s="75" t="n"/>
      <c r="AB1115" s="75" t="n"/>
      <c r="AC1115" s="6" t="n"/>
      <c r="AD1115" s="75" t="n"/>
      <c r="AE1115" s="75" t="n"/>
      <c r="AF1115" s="75" t="n"/>
    </row>
    <row r="1116" ht="15.75" customHeight="1" s="133">
      <c r="A1116" s="75" t="n"/>
      <c r="B1116" s="75" t="n"/>
      <c r="C1116" s="75" t="n"/>
      <c r="D1116" s="75" t="n"/>
      <c r="E1116" s="76" t="n"/>
      <c r="F1116" s="77" t="n"/>
      <c r="G1116" s="75" t="n"/>
      <c r="H1116" s="75">
        <f>IF(ISBLANK(E1116),"",IF(OR(D1116="Butterfly",D1116="Butterfly ",D1116="Iron Fly", D1116="Iron Fly "),LEN(E1116)-LEN(SUBSTITUTE(E1116,"/",""))+2,LEN(E1116)-LEN(SUBSTITUTE(E1116,"/",""))+1))</f>
        <v/>
      </c>
      <c r="I1116" s="78">
        <f>IF(ISBLANK(G1116),"",IF(D1116="Stock","0",Key!$A$3*H1116*G1116))</f>
        <v/>
      </c>
      <c r="J1116" s="78">
        <f>IF(ISBLANK(E1116),"",IF(ISNUMBER(SEARCH("/",E1116)), IF(LEN(E1116)-LEN(SUBSTITUTE(E1116,"/",""))=1,(RIGHT(E1116,LEN(E1116)-FIND("/",E1116)))-(LEFT(E1116,FIND("/",E1116)-1)),(MID(E1116, SEARCH("/",E1116) + 1, SEARCH("/",E1116, SEARCH("/",E1116)+1) - SEARCH("/",E1116) - 1))-(LEFT(E1116,FIND("/",E1116)-1))), "NA"))</f>
        <v/>
      </c>
      <c r="K1116" s="79">
        <f>IF(A1116&lt;&gt;"", IF(ISBLANK(L1116), TODAY(), K1116), "")</f>
        <v/>
      </c>
      <c r="L1116" s="78" t="n"/>
      <c r="M1116" s="78">
        <f>IF(ISBLANK(L1116),"",IF(D1116="Stock",IF(C1116="Buy",L1116*G1116,IF(C1116="Sell",(L1116*G1116)-I1116, X)),IF(C1116="Buy",(L1116*G1116*100)+I1116,IF(C1116="Sell",(L1116*G1116*100)-I1116, X))))</f>
        <v/>
      </c>
      <c r="N1116" s="78">
        <f>IF(ISBLANK(L1116),"",IF(AND(C1116="Sell",D1116="Stock"),M1116,IF(ISBLANK(L1116),"",IF(C1116="Buy",M1116, IF(AND(C1116="Sell",J1116="NA"),(E1116*G1116*100*0.1)+I1116, IF(C1116="Sell",(J1116-L1116)*(100*G1116)+I1116))))))</f>
        <v/>
      </c>
      <c r="O1116" s="75" t="n"/>
      <c r="P1116" s="75" t="n"/>
      <c r="Q1116" s="75">
        <f>IF(ISBLANK(P1116),"",IF(D1116="Stock",P1116*G1116,IF(P1116=0,"0",G1116*P1116*100-(G1116*$AF$14))))</f>
        <v/>
      </c>
      <c r="R1116" s="79">
        <f>IF(P1116&lt;&gt;"", TODAY(), "")</f>
        <v/>
      </c>
      <c r="S1116" s="78">
        <f>IF(AND(K1116&lt;&gt;"", R1116&lt;&gt;""), R1116-K1116, "")</f>
        <v/>
      </c>
      <c r="T1116" s="78" t="n"/>
      <c r="U1116" s="92">
        <f>IF(ISBLANK(P1116),"",IF(C1116="Buy",Q1116-M1116+T1116, IF(C1116="Sell",M1116-Q1116-T1116, X)))</f>
        <v/>
      </c>
      <c r="V1116" s="81">
        <f>IF(ISBLANK(P1116),"",U1116/N1116)</f>
        <v/>
      </c>
      <c r="W1116" s="81">
        <f>IF(ISBLANK(P1116),"",IF(S1116=0,(365/0.5)*V1116,(365/S1116)*V1116))</f>
        <v/>
      </c>
      <c r="X1116" s="75" t="n"/>
      <c r="Y1116" s="77" t="n"/>
      <c r="Z1116" s="77" t="n"/>
      <c r="AA1116" s="75" t="n"/>
      <c r="AB1116" s="75" t="n"/>
      <c r="AC1116" s="6" t="n"/>
      <c r="AD1116" s="75" t="n"/>
      <c r="AE1116" s="75" t="n"/>
      <c r="AF1116" s="75" t="n"/>
    </row>
    <row r="1117" ht="15.75" customHeight="1" s="133">
      <c r="A1117" s="75" t="n"/>
      <c r="B1117" s="75" t="n"/>
      <c r="C1117" s="75" t="n"/>
      <c r="D1117" s="75" t="n"/>
      <c r="E1117" s="76" t="n"/>
      <c r="F1117" s="77" t="n"/>
      <c r="G1117" s="75" t="n"/>
      <c r="H1117" s="75">
        <f>IF(ISBLANK(E1117),"",IF(OR(D1117="Butterfly",D1117="Butterfly ",D1117="Iron Fly", D1117="Iron Fly "),LEN(E1117)-LEN(SUBSTITUTE(E1117,"/",""))+2,LEN(E1117)-LEN(SUBSTITUTE(E1117,"/",""))+1))</f>
        <v/>
      </c>
      <c r="I1117" s="78">
        <f>IF(ISBLANK(G1117),"",IF(D1117="Stock","0",Key!$A$3*H1117*G1117))</f>
        <v/>
      </c>
      <c r="J1117" s="78">
        <f>IF(ISBLANK(E1117),"",IF(ISNUMBER(SEARCH("/",E1117)), IF(LEN(E1117)-LEN(SUBSTITUTE(E1117,"/",""))=1,(RIGHT(E1117,LEN(E1117)-FIND("/",E1117)))-(LEFT(E1117,FIND("/",E1117)-1)),(MID(E1117, SEARCH("/",E1117) + 1, SEARCH("/",E1117, SEARCH("/",E1117)+1) - SEARCH("/",E1117) - 1))-(LEFT(E1117,FIND("/",E1117)-1))), "NA"))</f>
        <v/>
      </c>
      <c r="K1117" s="79">
        <f>IF(A1117&lt;&gt;"", IF(ISBLANK(L1117), TODAY(), K1117), "")</f>
        <v/>
      </c>
      <c r="L1117" s="78" t="n"/>
      <c r="M1117" s="78">
        <f>IF(ISBLANK(L1117),"",IF(D1117="Stock",IF(C1117="Buy",L1117*G1117,IF(C1117="Sell",(L1117*G1117)-I1117, X)),IF(C1117="Buy",(L1117*G1117*100)+I1117,IF(C1117="Sell",(L1117*G1117*100)-I1117, X))))</f>
        <v/>
      </c>
      <c r="N1117" s="78">
        <f>IF(ISBLANK(L1117),"",IF(AND(C1117="Sell",D1117="Stock"),M1117,IF(ISBLANK(L1117),"",IF(C1117="Buy",M1117, IF(AND(C1117="Sell",J1117="NA"),(E1117*G1117*100*0.1)+I1117, IF(C1117="Sell",(J1117-L1117)*(100*G1117)+I1117))))))</f>
        <v/>
      </c>
      <c r="O1117" s="75" t="n"/>
      <c r="P1117" s="75" t="n"/>
      <c r="Q1117" s="75">
        <f>IF(ISBLANK(P1117),"",IF(D1117="Stock",P1117*G1117,IF(P1117=0,"0",G1117*P1117*100-(G1117*$AF$14))))</f>
        <v/>
      </c>
      <c r="R1117" s="79">
        <f>IF(P1117&lt;&gt;"", TODAY(), "")</f>
        <v/>
      </c>
      <c r="S1117" s="78">
        <f>IF(AND(K1117&lt;&gt;"", R1117&lt;&gt;""), R1117-K1117, "")</f>
        <v/>
      </c>
      <c r="T1117" s="78" t="n"/>
      <c r="U1117" s="92">
        <f>IF(ISBLANK(P1117),"",IF(C1117="Buy",Q1117-M1117+T1117, IF(C1117="Sell",M1117-Q1117-T1117, X)))</f>
        <v/>
      </c>
      <c r="V1117" s="81">
        <f>IF(ISBLANK(P1117),"",U1117/N1117)</f>
        <v/>
      </c>
      <c r="W1117" s="81">
        <f>IF(ISBLANK(P1117),"",IF(S1117=0,(365/0.5)*V1117,(365/S1117)*V1117))</f>
        <v/>
      </c>
      <c r="X1117" s="75" t="n"/>
      <c r="Y1117" s="77" t="n"/>
      <c r="Z1117" s="77" t="n"/>
      <c r="AA1117" s="75" t="n"/>
      <c r="AB1117" s="75" t="n"/>
      <c r="AC1117" s="6" t="n"/>
      <c r="AD1117" s="75" t="n"/>
      <c r="AE1117" s="75" t="n"/>
      <c r="AF1117" s="75" t="n"/>
    </row>
    <row r="1118" ht="15.75" customHeight="1" s="133">
      <c r="A1118" s="75" t="n"/>
      <c r="B1118" s="75" t="n"/>
      <c r="C1118" s="75" t="n"/>
      <c r="D1118" s="75" t="n"/>
      <c r="E1118" s="76" t="n"/>
      <c r="F1118" s="77" t="n"/>
      <c r="G1118" s="75" t="n"/>
      <c r="H1118" s="75">
        <f>IF(ISBLANK(E1118),"",IF(OR(D1118="Butterfly",D1118="Butterfly ",D1118="Iron Fly", D1118="Iron Fly "),LEN(E1118)-LEN(SUBSTITUTE(E1118,"/",""))+2,LEN(E1118)-LEN(SUBSTITUTE(E1118,"/",""))+1))</f>
        <v/>
      </c>
      <c r="I1118" s="78">
        <f>IF(ISBLANK(G1118),"",IF(D1118="Stock","0",Key!$A$3*H1118*G1118))</f>
        <v/>
      </c>
      <c r="J1118" s="78">
        <f>IF(ISBLANK(E1118),"",IF(ISNUMBER(SEARCH("/",E1118)), IF(LEN(E1118)-LEN(SUBSTITUTE(E1118,"/",""))=1,(RIGHT(E1118,LEN(E1118)-FIND("/",E1118)))-(LEFT(E1118,FIND("/",E1118)-1)),(MID(E1118, SEARCH("/",E1118) + 1, SEARCH("/",E1118, SEARCH("/",E1118)+1) - SEARCH("/",E1118) - 1))-(LEFT(E1118,FIND("/",E1118)-1))), "NA"))</f>
        <v/>
      </c>
      <c r="K1118" s="79">
        <f>IF(A1118&lt;&gt;"", IF(ISBLANK(L1118), TODAY(), K1118), "")</f>
        <v/>
      </c>
      <c r="L1118" s="78" t="n"/>
      <c r="M1118" s="78">
        <f>IF(ISBLANK(L1118),"",IF(D1118="Stock",IF(C1118="Buy",L1118*G1118,IF(C1118="Sell",(L1118*G1118)-I1118, X)),IF(C1118="Buy",(L1118*G1118*100)+I1118,IF(C1118="Sell",(L1118*G1118*100)-I1118, X))))</f>
        <v/>
      </c>
      <c r="N1118" s="78">
        <f>IF(ISBLANK(L1118),"",IF(AND(C1118="Sell",D1118="Stock"),M1118,IF(ISBLANK(L1118),"",IF(C1118="Buy",M1118, IF(AND(C1118="Sell",J1118="NA"),(E1118*G1118*100*0.1)+I1118, IF(C1118="Sell",(J1118-L1118)*(100*G1118)+I1118))))))</f>
        <v/>
      </c>
      <c r="O1118" s="75" t="n"/>
      <c r="P1118" s="75" t="n"/>
      <c r="Q1118" s="75">
        <f>IF(ISBLANK(P1118),"",IF(D1118="Stock",P1118*G1118,IF(P1118=0,"0",G1118*P1118*100-(G1118*$AF$14))))</f>
        <v/>
      </c>
      <c r="R1118" s="79">
        <f>IF(P1118&lt;&gt;"", TODAY(), "")</f>
        <v/>
      </c>
      <c r="S1118" s="78">
        <f>IF(AND(K1118&lt;&gt;"", R1118&lt;&gt;""), R1118-K1118, "")</f>
        <v/>
      </c>
      <c r="T1118" s="78" t="n"/>
      <c r="U1118" s="92">
        <f>IF(ISBLANK(P1118),"",IF(C1118="Buy",Q1118-M1118+T1118, IF(C1118="Sell",M1118-Q1118-T1118, X)))</f>
        <v/>
      </c>
      <c r="V1118" s="81">
        <f>IF(ISBLANK(P1118),"",U1118/N1118)</f>
        <v/>
      </c>
      <c r="W1118" s="81">
        <f>IF(ISBLANK(P1118),"",IF(S1118=0,(365/0.5)*V1118,(365/S1118)*V1118))</f>
        <v/>
      </c>
      <c r="X1118" s="75" t="n"/>
      <c r="Y1118" s="77" t="n"/>
      <c r="Z1118" s="77" t="n"/>
      <c r="AA1118" s="75" t="n"/>
      <c r="AB1118" s="75" t="n"/>
      <c r="AC1118" s="6" t="n"/>
      <c r="AD1118" s="75" t="n"/>
      <c r="AE1118" s="75" t="n"/>
      <c r="AF1118" s="75" t="n"/>
    </row>
    <row r="1119" ht="15.75" customHeight="1" s="133">
      <c r="A1119" s="75" t="n"/>
      <c r="B1119" s="75" t="n"/>
      <c r="C1119" s="75" t="n"/>
      <c r="D1119" s="75" t="n"/>
      <c r="E1119" s="76" t="n"/>
      <c r="F1119" s="77" t="n"/>
      <c r="G1119" s="75" t="n"/>
      <c r="H1119" s="75">
        <f>IF(ISBLANK(E1119),"",IF(OR(D1119="Butterfly",D1119="Butterfly ",D1119="Iron Fly", D1119="Iron Fly "),LEN(E1119)-LEN(SUBSTITUTE(E1119,"/",""))+2,LEN(E1119)-LEN(SUBSTITUTE(E1119,"/",""))+1))</f>
        <v/>
      </c>
      <c r="I1119" s="78">
        <f>IF(ISBLANK(G1119),"",IF(D1119="Stock","0",Key!$A$3*H1119*G1119))</f>
        <v/>
      </c>
      <c r="J1119" s="78">
        <f>IF(ISBLANK(E1119),"",IF(ISNUMBER(SEARCH("/",E1119)), IF(LEN(E1119)-LEN(SUBSTITUTE(E1119,"/",""))=1,(RIGHT(E1119,LEN(E1119)-FIND("/",E1119)))-(LEFT(E1119,FIND("/",E1119)-1)),(MID(E1119, SEARCH("/",E1119) + 1, SEARCH("/",E1119, SEARCH("/",E1119)+1) - SEARCH("/",E1119) - 1))-(LEFT(E1119,FIND("/",E1119)-1))), "NA"))</f>
        <v/>
      </c>
      <c r="K1119" s="79">
        <f>IF(A1119&lt;&gt;"", IF(ISBLANK(L1119), TODAY(), K1119), "")</f>
        <v/>
      </c>
      <c r="L1119" s="78" t="n"/>
      <c r="M1119" s="78">
        <f>IF(ISBLANK(L1119),"",IF(D1119="Stock",IF(C1119="Buy",L1119*G1119,IF(C1119="Sell",(L1119*G1119)-I1119, X)),IF(C1119="Buy",(L1119*G1119*100)+I1119,IF(C1119="Sell",(L1119*G1119*100)-I1119, X))))</f>
        <v/>
      </c>
      <c r="N1119" s="78">
        <f>IF(ISBLANK(L1119),"",IF(AND(C1119="Sell",D1119="Stock"),M1119,IF(ISBLANK(L1119),"",IF(C1119="Buy",M1119, IF(AND(C1119="Sell",J1119="NA"),(E1119*G1119*100*0.1)+I1119, IF(C1119="Sell",(J1119-L1119)*(100*G1119)+I1119))))))</f>
        <v/>
      </c>
      <c r="O1119" s="75" t="n"/>
      <c r="P1119" s="75" t="n"/>
      <c r="Q1119" s="75">
        <f>IF(ISBLANK(P1119),"",IF(D1119="Stock",P1119*G1119,IF(P1119=0,"0",G1119*P1119*100-(G1119*$AF$14))))</f>
        <v/>
      </c>
      <c r="R1119" s="79">
        <f>IF(P1119&lt;&gt;"", TODAY(), "")</f>
        <v/>
      </c>
      <c r="S1119" s="78">
        <f>IF(AND(K1119&lt;&gt;"", R1119&lt;&gt;""), R1119-K1119, "")</f>
        <v/>
      </c>
      <c r="T1119" s="78" t="n"/>
      <c r="U1119" s="92">
        <f>IF(ISBLANK(P1119),"",IF(C1119="Buy",Q1119-M1119+T1119, IF(C1119="Sell",M1119-Q1119-T1119, X)))</f>
        <v/>
      </c>
      <c r="V1119" s="81">
        <f>IF(ISBLANK(P1119),"",U1119/N1119)</f>
        <v/>
      </c>
      <c r="W1119" s="81">
        <f>IF(ISBLANK(P1119),"",IF(S1119=0,(365/0.5)*V1119,(365/S1119)*V1119))</f>
        <v/>
      </c>
      <c r="X1119" s="75" t="n"/>
      <c r="Y1119" s="77" t="n"/>
      <c r="Z1119" s="77" t="n"/>
      <c r="AA1119" s="75" t="n"/>
      <c r="AB1119" s="75" t="n"/>
      <c r="AC1119" s="6" t="n"/>
      <c r="AD1119" s="75" t="n"/>
      <c r="AE1119" s="75" t="n"/>
      <c r="AF1119" s="75" t="n"/>
    </row>
    <row r="1120" ht="15.75" customHeight="1" s="133">
      <c r="A1120" s="75" t="n"/>
      <c r="B1120" s="75" t="n"/>
      <c r="C1120" s="75" t="n"/>
      <c r="D1120" s="75" t="n"/>
      <c r="E1120" s="76" t="n"/>
      <c r="F1120" s="77" t="n"/>
      <c r="G1120" s="75" t="n"/>
      <c r="H1120" s="75">
        <f>IF(ISBLANK(E1120),"",IF(OR(D1120="Butterfly",D1120="Butterfly ",D1120="Iron Fly", D1120="Iron Fly "),LEN(E1120)-LEN(SUBSTITUTE(E1120,"/",""))+2,LEN(E1120)-LEN(SUBSTITUTE(E1120,"/",""))+1))</f>
        <v/>
      </c>
      <c r="I1120" s="78">
        <f>IF(ISBLANK(G1120),"",IF(D1120="Stock","0",Key!$A$3*H1120*G1120))</f>
        <v/>
      </c>
      <c r="J1120" s="78">
        <f>IF(ISBLANK(E1120),"",IF(ISNUMBER(SEARCH("/",E1120)), IF(LEN(E1120)-LEN(SUBSTITUTE(E1120,"/",""))=1,(RIGHT(E1120,LEN(E1120)-FIND("/",E1120)))-(LEFT(E1120,FIND("/",E1120)-1)),(MID(E1120, SEARCH("/",E1120) + 1, SEARCH("/",E1120, SEARCH("/",E1120)+1) - SEARCH("/",E1120) - 1))-(LEFT(E1120,FIND("/",E1120)-1))), "NA"))</f>
        <v/>
      </c>
      <c r="K1120" s="79">
        <f>IF(A1120&lt;&gt;"", IF(ISBLANK(L1120), TODAY(), K1120), "")</f>
        <v/>
      </c>
      <c r="L1120" s="78" t="n"/>
      <c r="M1120" s="78">
        <f>IF(ISBLANK(L1120),"",IF(D1120="Stock",IF(C1120="Buy",L1120*G1120,IF(C1120="Sell",(L1120*G1120)-I1120, X)),IF(C1120="Buy",(L1120*G1120*100)+I1120,IF(C1120="Sell",(L1120*G1120*100)-I1120, X))))</f>
        <v/>
      </c>
      <c r="N1120" s="78">
        <f>IF(ISBLANK(L1120),"",IF(AND(C1120="Sell",D1120="Stock"),M1120,IF(ISBLANK(L1120),"",IF(C1120="Buy",M1120, IF(AND(C1120="Sell",J1120="NA"),(E1120*G1120*100*0.1)+I1120, IF(C1120="Sell",(J1120-L1120)*(100*G1120)+I1120))))))</f>
        <v/>
      </c>
      <c r="O1120" s="75" t="n"/>
      <c r="P1120" s="75" t="n"/>
      <c r="Q1120" s="75">
        <f>IF(ISBLANK(P1120),"",IF(D1120="Stock",P1120*G1120,IF(P1120=0,"0",G1120*P1120*100-(G1120*$AF$14))))</f>
        <v/>
      </c>
      <c r="R1120" s="79">
        <f>IF(P1120&lt;&gt;"", TODAY(), "")</f>
        <v/>
      </c>
      <c r="S1120" s="78">
        <f>IF(AND(K1120&lt;&gt;"", R1120&lt;&gt;""), R1120-K1120, "")</f>
        <v/>
      </c>
      <c r="T1120" s="78" t="n"/>
      <c r="U1120" s="92">
        <f>IF(ISBLANK(P1120),"",IF(C1120="Buy",Q1120-M1120+T1120, IF(C1120="Sell",M1120-Q1120-T1120, X)))</f>
        <v/>
      </c>
      <c r="V1120" s="81">
        <f>IF(ISBLANK(P1120),"",U1120/N1120)</f>
        <v/>
      </c>
      <c r="W1120" s="81">
        <f>IF(ISBLANK(P1120),"",IF(S1120=0,(365/0.5)*V1120,(365/S1120)*V1120))</f>
        <v/>
      </c>
      <c r="X1120" s="75" t="n"/>
      <c r="Y1120" s="77" t="n"/>
      <c r="Z1120" s="77" t="n"/>
      <c r="AA1120" s="75" t="n"/>
      <c r="AB1120" s="75" t="n"/>
      <c r="AC1120" s="6" t="n"/>
      <c r="AD1120" s="75" t="n"/>
      <c r="AE1120" s="75" t="n"/>
      <c r="AF1120" s="75" t="n"/>
    </row>
    <row r="1121" ht="15.75" customHeight="1" s="133">
      <c r="A1121" s="75" t="n"/>
      <c r="B1121" s="75" t="n"/>
      <c r="C1121" s="75" t="n"/>
      <c r="D1121" s="75" t="n"/>
      <c r="E1121" s="76" t="n"/>
      <c r="F1121" s="77" t="n"/>
      <c r="G1121" s="75" t="n"/>
      <c r="H1121" s="75">
        <f>IF(ISBLANK(E1121),"",IF(OR(D1121="Butterfly",D1121="Butterfly ",D1121="Iron Fly", D1121="Iron Fly "),LEN(E1121)-LEN(SUBSTITUTE(E1121,"/",""))+2,LEN(E1121)-LEN(SUBSTITUTE(E1121,"/",""))+1))</f>
        <v/>
      </c>
      <c r="I1121" s="78">
        <f>IF(ISBLANK(G1121),"",IF(D1121="Stock","0",Key!$A$3*H1121*G1121))</f>
        <v/>
      </c>
      <c r="J1121" s="78">
        <f>IF(ISBLANK(E1121),"",IF(ISNUMBER(SEARCH("/",E1121)), IF(LEN(E1121)-LEN(SUBSTITUTE(E1121,"/",""))=1,(RIGHT(E1121,LEN(E1121)-FIND("/",E1121)))-(LEFT(E1121,FIND("/",E1121)-1)),(MID(E1121, SEARCH("/",E1121) + 1, SEARCH("/",E1121, SEARCH("/",E1121)+1) - SEARCH("/",E1121) - 1))-(LEFT(E1121,FIND("/",E1121)-1))), "NA"))</f>
        <v/>
      </c>
      <c r="K1121" s="79">
        <f>IF(A1121&lt;&gt;"", IF(ISBLANK(L1121), TODAY(), K1121), "")</f>
        <v/>
      </c>
      <c r="L1121" s="78" t="n"/>
      <c r="M1121" s="78">
        <f>IF(ISBLANK(L1121),"",IF(D1121="Stock",IF(C1121="Buy",L1121*G1121,IF(C1121="Sell",(L1121*G1121)-I1121, X)),IF(C1121="Buy",(L1121*G1121*100)+I1121,IF(C1121="Sell",(L1121*G1121*100)-I1121, X))))</f>
        <v/>
      </c>
      <c r="N1121" s="78">
        <f>IF(ISBLANK(L1121),"",IF(AND(C1121="Sell",D1121="Stock"),M1121,IF(ISBLANK(L1121),"",IF(C1121="Buy",M1121, IF(AND(C1121="Sell",J1121="NA"),(E1121*G1121*100*0.1)+I1121, IF(C1121="Sell",(J1121-L1121)*(100*G1121)+I1121))))))</f>
        <v/>
      </c>
      <c r="O1121" s="75" t="n"/>
      <c r="P1121" s="75" t="n"/>
      <c r="Q1121" s="75">
        <f>IF(ISBLANK(P1121),"",IF(D1121="Stock",P1121*G1121,IF(P1121=0,"0",G1121*P1121*100-(G1121*$AF$14))))</f>
        <v/>
      </c>
      <c r="R1121" s="79">
        <f>IF(P1121&lt;&gt;"", TODAY(), "")</f>
        <v/>
      </c>
      <c r="S1121" s="78">
        <f>IF(AND(K1121&lt;&gt;"", R1121&lt;&gt;""), R1121-K1121, "")</f>
        <v/>
      </c>
      <c r="T1121" s="78" t="n"/>
      <c r="U1121" s="92">
        <f>IF(ISBLANK(P1121),"",IF(C1121="Buy",Q1121-M1121+T1121, IF(C1121="Sell",M1121-Q1121-T1121, X)))</f>
        <v/>
      </c>
      <c r="V1121" s="81">
        <f>IF(ISBLANK(P1121),"",U1121/N1121)</f>
        <v/>
      </c>
      <c r="W1121" s="81">
        <f>IF(ISBLANK(P1121),"",IF(S1121=0,(365/0.5)*V1121,(365/S1121)*V1121))</f>
        <v/>
      </c>
      <c r="X1121" s="75" t="n"/>
      <c r="Y1121" s="77" t="n"/>
      <c r="Z1121" s="77" t="n"/>
      <c r="AA1121" s="75" t="n"/>
      <c r="AB1121" s="75" t="n"/>
      <c r="AC1121" s="6" t="n"/>
      <c r="AD1121" s="75" t="n"/>
      <c r="AE1121" s="75" t="n"/>
      <c r="AF1121" s="75" t="n"/>
    </row>
    <row r="1122" ht="15.75" customHeight="1" s="133">
      <c r="A1122" s="75" t="n"/>
      <c r="B1122" s="75" t="n"/>
      <c r="C1122" s="75" t="n"/>
      <c r="D1122" s="75" t="n"/>
      <c r="E1122" s="76" t="n"/>
      <c r="F1122" s="77" t="n"/>
      <c r="G1122" s="75" t="n"/>
      <c r="H1122" s="75">
        <f>IF(ISBLANK(E1122),"",IF(OR(D1122="Butterfly",D1122="Butterfly ",D1122="Iron Fly", D1122="Iron Fly "),LEN(E1122)-LEN(SUBSTITUTE(E1122,"/",""))+2,LEN(E1122)-LEN(SUBSTITUTE(E1122,"/",""))+1))</f>
        <v/>
      </c>
      <c r="I1122" s="78">
        <f>IF(ISBLANK(G1122),"",IF(D1122="Stock","0",Key!$A$3*H1122*G1122))</f>
        <v/>
      </c>
      <c r="J1122" s="78">
        <f>IF(ISBLANK(E1122),"",IF(ISNUMBER(SEARCH("/",E1122)), IF(LEN(E1122)-LEN(SUBSTITUTE(E1122,"/",""))=1,(RIGHT(E1122,LEN(E1122)-FIND("/",E1122)))-(LEFT(E1122,FIND("/",E1122)-1)),(MID(E1122, SEARCH("/",E1122) + 1, SEARCH("/",E1122, SEARCH("/",E1122)+1) - SEARCH("/",E1122) - 1))-(LEFT(E1122,FIND("/",E1122)-1))), "NA"))</f>
        <v/>
      </c>
      <c r="K1122" s="79">
        <f>IF(A1122&lt;&gt;"", IF(ISBLANK(L1122), TODAY(), K1122), "")</f>
        <v/>
      </c>
      <c r="L1122" s="78" t="n"/>
      <c r="M1122" s="78">
        <f>IF(ISBLANK(L1122),"",IF(D1122="Stock",IF(C1122="Buy",L1122*G1122,IF(C1122="Sell",(L1122*G1122)-I1122, X)),IF(C1122="Buy",(L1122*G1122*100)+I1122,IF(C1122="Sell",(L1122*G1122*100)-I1122, X))))</f>
        <v/>
      </c>
      <c r="N1122" s="78">
        <f>IF(ISBLANK(L1122),"",IF(AND(C1122="Sell",D1122="Stock"),M1122,IF(ISBLANK(L1122),"",IF(C1122="Buy",M1122, IF(AND(C1122="Sell",J1122="NA"),(E1122*G1122*100*0.1)+I1122, IF(C1122="Sell",(J1122-L1122)*(100*G1122)+I1122))))))</f>
        <v/>
      </c>
      <c r="O1122" s="75" t="n"/>
      <c r="P1122" s="75" t="n"/>
      <c r="Q1122" s="75">
        <f>IF(ISBLANK(P1122),"",IF(D1122="Stock",P1122*G1122,IF(P1122=0,"0",G1122*P1122*100-(G1122*$AF$14))))</f>
        <v/>
      </c>
      <c r="R1122" s="79">
        <f>IF(P1122&lt;&gt;"", TODAY(), "")</f>
        <v/>
      </c>
      <c r="S1122" s="78">
        <f>IF(AND(K1122&lt;&gt;"", R1122&lt;&gt;""), R1122-K1122, "")</f>
        <v/>
      </c>
      <c r="T1122" s="78" t="n"/>
      <c r="U1122" s="92">
        <f>IF(ISBLANK(P1122),"",IF(C1122="Buy",Q1122-M1122+T1122, IF(C1122="Sell",M1122-Q1122-T1122, X)))</f>
        <v/>
      </c>
      <c r="V1122" s="81">
        <f>IF(ISBLANK(P1122),"",U1122/N1122)</f>
        <v/>
      </c>
      <c r="W1122" s="81">
        <f>IF(ISBLANK(P1122),"",IF(S1122=0,(365/0.5)*V1122,(365/S1122)*V1122))</f>
        <v/>
      </c>
      <c r="X1122" s="75" t="n"/>
      <c r="Y1122" s="77" t="n"/>
      <c r="Z1122" s="77" t="n"/>
      <c r="AA1122" s="75" t="n"/>
      <c r="AB1122" s="75" t="n"/>
      <c r="AC1122" s="6" t="n"/>
      <c r="AD1122" s="75" t="n"/>
      <c r="AE1122" s="75" t="n"/>
      <c r="AF1122" s="75" t="n"/>
    </row>
    <row r="1123" ht="15.75" customHeight="1" s="133">
      <c r="A1123" s="75" t="n"/>
      <c r="B1123" s="75" t="n"/>
      <c r="C1123" s="75" t="n"/>
      <c r="D1123" s="75" t="n"/>
      <c r="E1123" s="76" t="n"/>
      <c r="F1123" s="77" t="n"/>
      <c r="G1123" s="75" t="n"/>
      <c r="H1123" s="75">
        <f>IF(ISBLANK(E1123),"",IF(OR(D1123="Butterfly",D1123="Butterfly ",D1123="Iron Fly", D1123="Iron Fly "),LEN(E1123)-LEN(SUBSTITUTE(E1123,"/",""))+2,LEN(E1123)-LEN(SUBSTITUTE(E1123,"/",""))+1))</f>
        <v/>
      </c>
      <c r="I1123" s="78">
        <f>IF(ISBLANK(G1123),"",IF(D1123="Stock","0",Key!$A$3*H1123*G1123))</f>
        <v/>
      </c>
      <c r="J1123" s="78">
        <f>IF(ISBLANK(E1123),"",IF(ISNUMBER(SEARCH("/",E1123)), IF(LEN(E1123)-LEN(SUBSTITUTE(E1123,"/",""))=1,(RIGHT(E1123,LEN(E1123)-FIND("/",E1123)))-(LEFT(E1123,FIND("/",E1123)-1)),(MID(E1123, SEARCH("/",E1123) + 1, SEARCH("/",E1123, SEARCH("/",E1123)+1) - SEARCH("/",E1123) - 1))-(LEFT(E1123,FIND("/",E1123)-1))), "NA"))</f>
        <v/>
      </c>
      <c r="K1123" s="79">
        <f>IF(A1123&lt;&gt;"", IF(ISBLANK(L1123), TODAY(), K1123), "")</f>
        <v/>
      </c>
      <c r="L1123" s="78" t="n"/>
      <c r="M1123" s="78">
        <f>IF(ISBLANK(L1123),"",IF(D1123="Stock",IF(C1123="Buy",L1123*G1123,IF(C1123="Sell",(L1123*G1123)-I1123, X)),IF(C1123="Buy",(L1123*G1123*100)+I1123,IF(C1123="Sell",(L1123*G1123*100)-I1123, X))))</f>
        <v/>
      </c>
      <c r="N1123" s="78">
        <f>IF(ISBLANK(L1123),"",IF(AND(C1123="Sell",D1123="Stock"),M1123,IF(ISBLANK(L1123),"",IF(C1123="Buy",M1123, IF(AND(C1123="Sell",J1123="NA"),(E1123*G1123*100*0.1)+I1123, IF(C1123="Sell",(J1123-L1123)*(100*G1123)+I1123))))))</f>
        <v/>
      </c>
      <c r="O1123" s="75" t="n"/>
      <c r="P1123" s="75" t="n"/>
      <c r="Q1123" s="75">
        <f>IF(ISBLANK(P1123),"",IF(D1123="Stock",P1123*G1123,IF(P1123=0,"0",G1123*P1123*100-(G1123*$AF$14))))</f>
        <v/>
      </c>
      <c r="R1123" s="79">
        <f>IF(P1123&lt;&gt;"", TODAY(), "")</f>
        <v/>
      </c>
      <c r="S1123" s="78">
        <f>IF(AND(K1123&lt;&gt;"", R1123&lt;&gt;""), R1123-K1123, "")</f>
        <v/>
      </c>
      <c r="T1123" s="78" t="n"/>
      <c r="U1123" s="92">
        <f>IF(ISBLANK(P1123),"",IF(C1123="Buy",Q1123-M1123+T1123, IF(C1123="Sell",M1123-Q1123-T1123, X)))</f>
        <v/>
      </c>
      <c r="V1123" s="81">
        <f>IF(ISBLANK(P1123),"",U1123/N1123)</f>
        <v/>
      </c>
      <c r="W1123" s="81">
        <f>IF(ISBLANK(P1123),"",IF(S1123=0,(365/0.5)*V1123,(365/S1123)*V1123))</f>
        <v/>
      </c>
      <c r="X1123" s="75" t="n"/>
      <c r="Y1123" s="77" t="n"/>
      <c r="Z1123" s="77" t="n"/>
      <c r="AA1123" s="75" t="n"/>
      <c r="AB1123" s="75" t="n"/>
      <c r="AC1123" s="6" t="n"/>
      <c r="AD1123" s="75" t="n"/>
      <c r="AE1123" s="75" t="n"/>
      <c r="AF1123" s="75" t="n"/>
    </row>
    <row r="1124" ht="15.75" customHeight="1" s="133">
      <c r="A1124" s="75" t="n"/>
      <c r="B1124" s="75" t="n"/>
      <c r="C1124" s="75" t="n"/>
      <c r="D1124" s="75" t="n"/>
      <c r="E1124" s="76" t="n"/>
      <c r="F1124" s="77" t="n"/>
      <c r="G1124" s="75" t="n"/>
      <c r="H1124" s="75">
        <f>IF(ISBLANK(E1124),"",IF(OR(D1124="Butterfly",D1124="Butterfly ",D1124="Iron Fly", D1124="Iron Fly "),LEN(E1124)-LEN(SUBSTITUTE(E1124,"/",""))+2,LEN(E1124)-LEN(SUBSTITUTE(E1124,"/",""))+1))</f>
        <v/>
      </c>
      <c r="I1124" s="78">
        <f>IF(ISBLANK(G1124),"",IF(D1124="Stock","0",Key!$A$3*H1124*G1124))</f>
        <v/>
      </c>
      <c r="J1124" s="78">
        <f>IF(ISBLANK(E1124),"",IF(ISNUMBER(SEARCH("/",E1124)), IF(LEN(E1124)-LEN(SUBSTITUTE(E1124,"/",""))=1,(RIGHT(E1124,LEN(E1124)-FIND("/",E1124)))-(LEFT(E1124,FIND("/",E1124)-1)),(MID(E1124, SEARCH("/",E1124) + 1, SEARCH("/",E1124, SEARCH("/",E1124)+1) - SEARCH("/",E1124) - 1))-(LEFT(E1124,FIND("/",E1124)-1))), "NA"))</f>
        <v/>
      </c>
      <c r="K1124" s="79">
        <f>IF(A1124&lt;&gt;"", IF(ISBLANK(L1124), TODAY(), K1124), "")</f>
        <v/>
      </c>
      <c r="L1124" s="78" t="n"/>
      <c r="M1124" s="78">
        <f>IF(ISBLANK(L1124),"",IF(D1124="Stock",IF(C1124="Buy",L1124*G1124,IF(C1124="Sell",(L1124*G1124)-I1124, X)),IF(C1124="Buy",(L1124*G1124*100)+I1124,IF(C1124="Sell",(L1124*G1124*100)-I1124, X))))</f>
        <v/>
      </c>
      <c r="N1124" s="78">
        <f>IF(ISBLANK(L1124),"",IF(AND(C1124="Sell",D1124="Stock"),M1124,IF(ISBLANK(L1124),"",IF(C1124="Buy",M1124, IF(AND(C1124="Sell",J1124="NA"),(E1124*G1124*100*0.1)+I1124, IF(C1124="Sell",(J1124-L1124)*(100*G1124)+I1124))))))</f>
        <v/>
      </c>
      <c r="O1124" s="75" t="n"/>
      <c r="P1124" s="75" t="n"/>
      <c r="Q1124" s="75">
        <f>IF(ISBLANK(P1124),"",IF(D1124="Stock",P1124*G1124,IF(P1124=0,"0",G1124*P1124*100-(G1124*$AF$14))))</f>
        <v/>
      </c>
      <c r="R1124" s="79">
        <f>IF(P1124&lt;&gt;"", TODAY(), "")</f>
        <v/>
      </c>
      <c r="S1124" s="78">
        <f>IF(AND(K1124&lt;&gt;"", R1124&lt;&gt;""), R1124-K1124, "")</f>
        <v/>
      </c>
      <c r="T1124" s="78" t="n"/>
      <c r="U1124" s="92">
        <f>IF(ISBLANK(P1124),"",IF(C1124="Buy",Q1124-M1124+T1124, IF(C1124="Sell",M1124-Q1124-T1124, X)))</f>
        <v/>
      </c>
      <c r="V1124" s="81">
        <f>IF(ISBLANK(P1124),"",U1124/N1124)</f>
        <v/>
      </c>
      <c r="W1124" s="81">
        <f>IF(ISBLANK(P1124),"",IF(S1124=0,(365/0.5)*V1124,(365/S1124)*V1124))</f>
        <v/>
      </c>
      <c r="X1124" s="75" t="n"/>
      <c r="Y1124" s="77" t="n"/>
      <c r="Z1124" s="77" t="n"/>
      <c r="AA1124" s="75" t="n"/>
      <c r="AB1124" s="75" t="n"/>
      <c r="AC1124" s="6" t="n"/>
      <c r="AD1124" s="75" t="n"/>
      <c r="AE1124" s="75" t="n"/>
      <c r="AF1124" s="75" t="n"/>
    </row>
    <row r="1125" ht="15.75" customHeight="1" s="133">
      <c r="A1125" s="75" t="n"/>
      <c r="B1125" s="75" t="n"/>
      <c r="C1125" s="75" t="n"/>
      <c r="D1125" s="75" t="n"/>
      <c r="E1125" s="76" t="n"/>
      <c r="F1125" s="77" t="n"/>
      <c r="G1125" s="75" t="n"/>
      <c r="H1125" s="75">
        <f>IF(ISBLANK(E1125),"",IF(OR(D1125="Butterfly",D1125="Butterfly ",D1125="Iron Fly", D1125="Iron Fly "),LEN(E1125)-LEN(SUBSTITUTE(E1125,"/",""))+2,LEN(E1125)-LEN(SUBSTITUTE(E1125,"/",""))+1))</f>
        <v/>
      </c>
      <c r="I1125" s="78">
        <f>IF(ISBLANK(G1125),"",IF(D1125="Stock","0",Key!$A$3*H1125*G1125))</f>
        <v/>
      </c>
      <c r="J1125" s="78">
        <f>IF(ISBLANK(E1125),"",IF(ISNUMBER(SEARCH("/",E1125)), IF(LEN(E1125)-LEN(SUBSTITUTE(E1125,"/",""))=1,(RIGHT(E1125,LEN(E1125)-FIND("/",E1125)))-(LEFT(E1125,FIND("/",E1125)-1)),(MID(E1125, SEARCH("/",E1125) + 1, SEARCH("/",E1125, SEARCH("/",E1125)+1) - SEARCH("/",E1125) - 1))-(LEFT(E1125,FIND("/",E1125)-1))), "NA"))</f>
        <v/>
      </c>
      <c r="K1125" s="79">
        <f>IF(A1125&lt;&gt;"", IF(ISBLANK(L1125), TODAY(), K1125), "")</f>
        <v/>
      </c>
      <c r="L1125" s="78" t="n"/>
      <c r="M1125" s="78">
        <f>IF(ISBLANK(L1125),"",IF(D1125="Stock",IF(C1125="Buy",L1125*G1125,IF(C1125="Sell",(L1125*G1125)-I1125, X)),IF(C1125="Buy",(L1125*G1125*100)+I1125,IF(C1125="Sell",(L1125*G1125*100)-I1125, X))))</f>
        <v/>
      </c>
      <c r="N1125" s="78">
        <f>IF(ISBLANK(L1125),"",IF(AND(C1125="Sell",D1125="Stock"),M1125,IF(ISBLANK(L1125),"",IF(C1125="Buy",M1125, IF(AND(C1125="Sell",J1125="NA"),(E1125*G1125*100*0.1)+I1125, IF(C1125="Sell",(J1125-L1125)*(100*G1125)+I1125))))))</f>
        <v/>
      </c>
      <c r="O1125" s="75" t="n"/>
      <c r="P1125" s="75" t="n"/>
      <c r="Q1125" s="75">
        <f>IF(ISBLANK(P1125),"",IF(D1125="Stock",P1125*G1125,IF(P1125=0,"0",G1125*P1125*100-(G1125*$AF$14))))</f>
        <v/>
      </c>
      <c r="R1125" s="79">
        <f>IF(P1125&lt;&gt;"", TODAY(), "")</f>
        <v/>
      </c>
      <c r="S1125" s="78">
        <f>IF(AND(K1125&lt;&gt;"", R1125&lt;&gt;""), R1125-K1125, "")</f>
        <v/>
      </c>
      <c r="T1125" s="78" t="n"/>
      <c r="U1125" s="92">
        <f>IF(ISBLANK(P1125),"",IF(C1125="Buy",Q1125-M1125+T1125, IF(C1125="Sell",M1125-Q1125-T1125, X)))</f>
        <v/>
      </c>
      <c r="V1125" s="81">
        <f>IF(ISBLANK(P1125),"",U1125/N1125)</f>
        <v/>
      </c>
      <c r="W1125" s="81">
        <f>IF(ISBLANK(P1125),"",IF(S1125=0,(365/0.5)*V1125,(365/S1125)*V1125))</f>
        <v/>
      </c>
      <c r="X1125" s="75" t="n"/>
      <c r="Y1125" s="77" t="n"/>
      <c r="Z1125" s="77" t="n"/>
      <c r="AA1125" s="75" t="n"/>
      <c r="AB1125" s="75" t="n"/>
      <c r="AC1125" s="6" t="n"/>
      <c r="AD1125" s="75" t="n"/>
      <c r="AE1125" s="75" t="n"/>
      <c r="AF1125" s="75" t="n"/>
    </row>
    <row r="1126" ht="15.75" customHeight="1" s="133">
      <c r="A1126" s="75" t="n"/>
      <c r="B1126" s="75" t="n"/>
      <c r="C1126" s="75" t="n"/>
      <c r="D1126" s="75" t="n"/>
      <c r="E1126" s="76" t="n"/>
      <c r="F1126" s="77" t="n"/>
      <c r="G1126" s="75" t="n"/>
      <c r="H1126" s="75">
        <f>IF(ISBLANK(E1126),"",IF(OR(D1126="Butterfly",D1126="Butterfly ",D1126="Iron Fly", D1126="Iron Fly "),LEN(E1126)-LEN(SUBSTITUTE(E1126,"/",""))+2,LEN(E1126)-LEN(SUBSTITUTE(E1126,"/",""))+1))</f>
        <v/>
      </c>
      <c r="I1126" s="78">
        <f>IF(ISBLANK(G1126),"",IF(D1126="Stock","0",Key!$A$3*H1126*G1126))</f>
        <v/>
      </c>
      <c r="J1126" s="78">
        <f>IF(ISBLANK(E1126),"",IF(ISNUMBER(SEARCH("/",E1126)), IF(LEN(E1126)-LEN(SUBSTITUTE(E1126,"/",""))=1,(RIGHT(E1126,LEN(E1126)-FIND("/",E1126)))-(LEFT(E1126,FIND("/",E1126)-1)),(MID(E1126, SEARCH("/",E1126) + 1, SEARCH("/",E1126, SEARCH("/",E1126)+1) - SEARCH("/",E1126) - 1))-(LEFT(E1126,FIND("/",E1126)-1))), "NA"))</f>
        <v/>
      </c>
      <c r="K1126" s="79">
        <f>IF(A1126&lt;&gt;"", IF(ISBLANK(L1126), TODAY(), K1126), "")</f>
        <v/>
      </c>
      <c r="L1126" s="78" t="n"/>
      <c r="M1126" s="78">
        <f>IF(ISBLANK(L1126),"",IF(D1126="Stock",IF(C1126="Buy",L1126*G1126,IF(C1126="Sell",(L1126*G1126)-I1126, X)),IF(C1126="Buy",(L1126*G1126*100)+I1126,IF(C1126="Sell",(L1126*G1126*100)-I1126, X))))</f>
        <v/>
      </c>
      <c r="N1126" s="78">
        <f>IF(ISBLANK(L1126),"",IF(AND(C1126="Sell",D1126="Stock"),M1126,IF(ISBLANK(L1126),"",IF(C1126="Buy",M1126, IF(AND(C1126="Sell",J1126="NA"),(E1126*G1126*100*0.1)+I1126, IF(C1126="Sell",(J1126-L1126)*(100*G1126)+I1126))))))</f>
        <v/>
      </c>
      <c r="O1126" s="75" t="n"/>
      <c r="P1126" s="75" t="n"/>
      <c r="Q1126" s="75">
        <f>IF(ISBLANK(P1126),"",IF(D1126="Stock",P1126*G1126,IF(P1126=0,"0",G1126*P1126*100-(G1126*$AF$14))))</f>
        <v/>
      </c>
      <c r="R1126" s="79">
        <f>IF(P1126&lt;&gt;"", TODAY(), "")</f>
        <v/>
      </c>
      <c r="S1126" s="78">
        <f>IF(AND(K1126&lt;&gt;"", R1126&lt;&gt;""), R1126-K1126, "")</f>
        <v/>
      </c>
      <c r="T1126" s="78" t="n"/>
      <c r="U1126" s="92">
        <f>IF(ISBLANK(P1126),"",IF(C1126="Buy",Q1126-M1126+T1126, IF(C1126="Sell",M1126-Q1126-T1126, X)))</f>
        <v/>
      </c>
      <c r="V1126" s="81">
        <f>IF(ISBLANK(P1126),"",U1126/N1126)</f>
        <v/>
      </c>
      <c r="W1126" s="81">
        <f>IF(ISBLANK(P1126),"",IF(S1126=0,(365/0.5)*V1126,(365/S1126)*V1126))</f>
        <v/>
      </c>
      <c r="X1126" s="75" t="n"/>
      <c r="Y1126" s="77" t="n"/>
      <c r="Z1126" s="77" t="n"/>
      <c r="AA1126" s="75" t="n"/>
      <c r="AB1126" s="75" t="n"/>
      <c r="AC1126" s="6" t="n"/>
      <c r="AD1126" s="75" t="n"/>
      <c r="AE1126" s="75" t="n"/>
      <c r="AF1126" s="75" t="n"/>
    </row>
    <row r="1127" ht="15.75" customHeight="1" s="133">
      <c r="A1127" s="75" t="n"/>
      <c r="B1127" s="75" t="n"/>
      <c r="C1127" s="75" t="n"/>
      <c r="D1127" s="75" t="n"/>
      <c r="E1127" s="76" t="n"/>
      <c r="F1127" s="77" t="n"/>
      <c r="G1127" s="75" t="n"/>
      <c r="H1127" s="75">
        <f>IF(ISBLANK(E1127),"",IF(OR(D1127="Butterfly",D1127="Butterfly ",D1127="Iron Fly", D1127="Iron Fly "),LEN(E1127)-LEN(SUBSTITUTE(E1127,"/",""))+2,LEN(E1127)-LEN(SUBSTITUTE(E1127,"/",""))+1))</f>
        <v/>
      </c>
      <c r="I1127" s="78">
        <f>IF(ISBLANK(G1127),"",IF(D1127="Stock","0",Key!$A$3*H1127*G1127))</f>
        <v/>
      </c>
      <c r="J1127" s="78">
        <f>IF(ISBLANK(E1127),"",IF(ISNUMBER(SEARCH("/",E1127)), IF(LEN(E1127)-LEN(SUBSTITUTE(E1127,"/",""))=1,(RIGHT(E1127,LEN(E1127)-FIND("/",E1127)))-(LEFT(E1127,FIND("/",E1127)-1)),(MID(E1127, SEARCH("/",E1127) + 1, SEARCH("/",E1127, SEARCH("/",E1127)+1) - SEARCH("/",E1127) - 1))-(LEFT(E1127,FIND("/",E1127)-1))), "NA"))</f>
        <v/>
      </c>
      <c r="K1127" s="79">
        <f>IF(A1127&lt;&gt;"", IF(ISBLANK(L1127), TODAY(), K1127), "")</f>
        <v/>
      </c>
      <c r="L1127" s="78" t="n"/>
      <c r="M1127" s="78">
        <f>IF(ISBLANK(L1127),"",IF(D1127="Stock",IF(C1127="Buy",L1127*G1127,IF(C1127="Sell",(L1127*G1127)-I1127, X)),IF(C1127="Buy",(L1127*G1127*100)+I1127,IF(C1127="Sell",(L1127*G1127*100)-I1127, X))))</f>
        <v/>
      </c>
      <c r="N1127" s="78">
        <f>IF(ISBLANK(L1127),"",IF(AND(C1127="Sell",D1127="Stock"),M1127,IF(ISBLANK(L1127),"",IF(C1127="Buy",M1127, IF(AND(C1127="Sell",J1127="NA"),(E1127*G1127*100*0.1)+I1127, IF(C1127="Sell",(J1127-L1127)*(100*G1127)+I1127))))))</f>
        <v/>
      </c>
      <c r="O1127" s="75" t="n"/>
      <c r="P1127" s="75" t="n"/>
      <c r="Q1127" s="75">
        <f>IF(ISBLANK(P1127),"",IF(D1127="Stock",P1127*G1127,IF(P1127=0,"0",G1127*P1127*100-(G1127*$AF$14))))</f>
        <v/>
      </c>
      <c r="R1127" s="79">
        <f>IF(P1127&lt;&gt;"", TODAY(), "")</f>
        <v/>
      </c>
      <c r="S1127" s="78">
        <f>IF(AND(K1127&lt;&gt;"", R1127&lt;&gt;""), R1127-K1127, "")</f>
        <v/>
      </c>
      <c r="T1127" s="78" t="n"/>
      <c r="U1127" s="92">
        <f>IF(ISBLANK(P1127),"",IF(C1127="Buy",Q1127-M1127+T1127, IF(C1127="Sell",M1127-Q1127-T1127, X)))</f>
        <v/>
      </c>
      <c r="V1127" s="81">
        <f>IF(ISBLANK(P1127),"",U1127/N1127)</f>
        <v/>
      </c>
      <c r="W1127" s="81">
        <f>IF(ISBLANK(P1127),"",IF(S1127=0,(365/0.5)*V1127,(365/S1127)*V1127))</f>
        <v/>
      </c>
      <c r="X1127" s="75" t="n"/>
      <c r="Y1127" s="77" t="n"/>
      <c r="Z1127" s="77" t="n"/>
      <c r="AA1127" s="75" t="n"/>
      <c r="AB1127" s="75" t="n"/>
      <c r="AC1127" s="6" t="n"/>
      <c r="AD1127" s="75" t="n"/>
      <c r="AE1127" s="75" t="n"/>
      <c r="AF1127" s="75" t="n"/>
    </row>
    <row r="1128" ht="15.75" customHeight="1" s="133">
      <c r="A1128" s="75" t="n"/>
      <c r="B1128" s="75" t="n"/>
      <c r="C1128" s="75" t="n"/>
      <c r="D1128" s="75" t="n"/>
      <c r="E1128" s="76" t="n"/>
      <c r="F1128" s="77" t="n"/>
      <c r="G1128" s="75" t="n"/>
      <c r="H1128" s="75">
        <f>IF(ISBLANK(E1128),"",IF(OR(D1128="Butterfly",D1128="Butterfly ",D1128="Iron Fly", D1128="Iron Fly "),LEN(E1128)-LEN(SUBSTITUTE(E1128,"/",""))+2,LEN(E1128)-LEN(SUBSTITUTE(E1128,"/",""))+1))</f>
        <v/>
      </c>
      <c r="I1128" s="78">
        <f>IF(ISBLANK(G1128),"",IF(D1128="Stock","0",Key!$A$3*H1128*G1128))</f>
        <v/>
      </c>
      <c r="J1128" s="78">
        <f>IF(ISBLANK(E1128),"",IF(ISNUMBER(SEARCH("/",E1128)), IF(LEN(E1128)-LEN(SUBSTITUTE(E1128,"/",""))=1,(RIGHT(E1128,LEN(E1128)-FIND("/",E1128)))-(LEFT(E1128,FIND("/",E1128)-1)),(MID(E1128, SEARCH("/",E1128) + 1, SEARCH("/",E1128, SEARCH("/",E1128)+1) - SEARCH("/",E1128) - 1))-(LEFT(E1128,FIND("/",E1128)-1))), "NA"))</f>
        <v/>
      </c>
      <c r="K1128" s="79">
        <f>IF(A1128&lt;&gt;"", IF(ISBLANK(L1128), TODAY(), K1128), "")</f>
        <v/>
      </c>
      <c r="L1128" s="78" t="n"/>
      <c r="M1128" s="78">
        <f>IF(ISBLANK(L1128),"",IF(D1128="Stock",IF(C1128="Buy",L1128*G1128,IF(C1128="Sell",(L1128*G1128)-I1128, X)),IF(C1128="Buy",(L1128*G1128*100)+I1128,IF(C1128="Sell",(L1128*G1128*100)-I1128, X))))</f>
        <v/>
      </c>
      <c r="N1128" s="78">
        <f>IF(ISBLANK(L1128),"",IF(AND(C1128="Sell",D1128="Stock"),M1128,IF(ISBLANK(L1128),"",IF(C1128="Buy",M1128, IF(AND(C1128="Sell",J1128="NA"),(E1128*G1128*100*0.1)+I1128, IF(C1128="Sell",(J1128-L1128)*(100*G1128)+I1128))))))</f>
        <v/>
      </c>
      <c r="O1128" s="75" t="n"/>
      <c r="P1128" s="75" t="n"/>
      <c r="Q1128" s="75">
        <f>IF(ISBLANK(P1128),"",IF(D1128="Stock",P1128*G1128,IF(P1128=0,"0",G1128*P1128*100-(G1128*$AF$14))))</f>
        <v/>
      </c>
      <c r="R1128" s="79">
        <f>IF(P1128&lt;&gt;"", TODAY(), "")</f>
        <v/>
      </c>
      <c r="S1128" s="78">
        <f>IF(AND(K1128&lt;&gt;"", R1128&lt;&gt;""), R1128-K1128, "")</f>
        <v/>
      </c>
      <c r="T1128" s="78" t="n"/>
      <c r="U1128" s="92">
        <f>IF(ISBLANK(P1128),"",IF(C1128="Buy",Q1128-M1128+T1128, IF(C1128="Sell",M1128-Q1128-T1128, X)))</f>
        <v/>
      </c>
      <c r="V1128" s="81">
        <f>IF(ISBLANK(P1128),"",U1128/N1128)</f>
        <v/>
      </c>
      <c r="W1128" s="81">
        <f>IF(ISBLANK(P1128),"",IF(S1128=0,(365/0.5)*V1128,(365/S1128)*V1128))</f>
        <v/>
      </c>
      <c r="X1128" s="75" t="n"/>
      <c r="Y1128" s="77" t="n"/>
      <c r="Z1128" s="77" t="n"/>
      <c r="AA1128" s="75" t="n"/>
      <c r="AB1128" s="75" t="n"/>
      <c r="AC1128" s="6" t="n"/>
      <c r="AD1128" s="75" t="n"/>
      <c r="AE1128" s="75" t="n"/>
      <c r="AF1128" s="75" t="n"/>
    </row>
    <row r="1129" ht="15.75" customHeight="1" s="133">
      <c r="A1129" s="75" t="n"/>
      <c r="B1129" s="75" t="n"/>
      <c r="C1129" s="75" t="n"/>
      <c r="D1129" s="75" t="n"/>
      <c r="E1129" s="76" t="n"/>
      <c r="F1129" s="77" t="n"/>
      <c r="G1129" s="75" t="n"/>
      <c r="H1129" s="75">
        <f>IF(ISBLANK(E1129),"",IF(OR(D1129="Butterfly",D1129="Butterfly ",D1129="Iron Fly", D1129="Iron Fly "),LEN(E1129)-LEN(SUBSTITUTE(E1129,"/",""))+2,LEN(E1129)-LEN(SUBSTITUTE(E1129,"/",""))+1))</f>
        <v/>
      </c>
      <c r="I1129" s="78">
        <f>IF(ISBLANK(G1129),"",IF(D1129="Stock","0",Key!$A$3*H1129*G1129))</f>
        <v/>
      </c>
      <c r="J1129" s="78">
        <f>IF(ISBLANK(E1129),"",IF(ISNUMBER(SEARCH("/",E1129)), IF(LEN(E1129)-LEN(SUBSTITUTE(E1129,"/",""))=1,(RIGHT(E1129,LEN(E1129)-FIND("/",E1129)))-(LEFT(E1129,FIND("/",E1129)-1)),(MID(E1129, SEARCH("/",E1129) + 1, SEARCH("/",E1129, SEARCH("/",E1129)+1) - SEARCH("/",E1129) - 1))-(LEFT(E1129,FIND("/",E1129)-1))), "NA"))</f>
        <v/>
      </c>
      <c r="K1129" s="79">
        <f>IF(A1129&lt;&gt;"", IF(ISBLANK(L1129), TODAY(), K1129), "")</f>
        <v/>
      </c>
      <c r="L1129" s="78" t="n"/>
      <c r="M1129" s="78">
        <f>IF(ISBLANK(L1129),"",IF(D1129="Stock",IF(C1129="Buy",L1129*G1129,IF(C1129="Sell",(L1129*G1129)-I1129, X)),IF(C1129="Buy",(L1129*G1129*100)+I1129,IF(C1129="Sell",(L1129*G1129*100)-I1129, X))))</f>
        <v/>
      </c>
      <c r="N1129" s="78">
        <f>IF(ISBLANK(L1129),"",IF(AND(C1129="Sell",D1129="Stock"),M1129,IF(ISBLANK(L1129),"",IF(C1129="Buy",M1129, IF(AND(C1129="Sell",J1129="NA"),(E1129*G1129*100*0.1)+I1129, IF(C1129="Sell",(J1129-L1129)*(100*G1129)+I1129))))))</f>
        <v/>
      </c>
      <c r="O1129" s="75" t="n"/>
      <c r="P1129" s="75" t="n"/>
      <c r="Q1129" s="75">
        <f>IF(ISBLANK(P1129),"",IF(D1129="Stock",P1129*G1129,IF(P1129=0,"0",G1129*P1129*100-(G1129*$AF$14))))</f>
        <v/>
      </c>
      <c r="R1129" s="79">
        <f>IF(P1129&lt;&gt;"", TODAY(), "")</f>
        <v/>
      </c>
      <c r="S1129" s="78">
        <f>IF(AND(K1129&lt;&gt;"", R1129&lt;&gt;""), R1129-K1129, "")</f>
        <v/>
      </c>
      <c r="T1129" s="78" t="n"/>
      <c r="U1129" s="92">
        <f>IF(ISBLANK(P1129),"",IF(C1129="Buy",Q1129-M1129+T1129, IF(C1129="Sell",M1129-Q1129-T1129, X)))</f>
        <v/>
      </c>
      <c r="V1129" s="81">
        <f>IF(ISBLANK(P1129),"",U1129/N1129)</f>
        <v/>
      </c>
      <c r="W1129" s="81">
        <f>IF(ISBLANK(P1129),"",IF(S1129=0,(365/0.5)*V1129,(365/S1129)*V1129))</f>
        <v/>
      </c>
      <c r="X1129" s="75" t="n"/>
      <c r="Y1129" s="77" t="n"/>
      <c r="Z1129" s="77" t="n"/>
      <c r="AA1129" s="75" t="n"/>
      <c r="AB1129" s="75" t="n"/>
      <c r="AC1129" s="6" t="n"/>
      <c r="AD1129" s="75" t="n"/>
      <c r="AE1129" s="75" t="n"/>
      <c r="AF1129" s="75" t="n"/>
    </row>
    <row r="1130" ht="15.75" customHeight="1" s="133">
      <c r="A1130" s="75" t="n"/>
      <c r="B1130" s="75" t="n"/>
      <c r="C1130" s="75" t="n"/>
      <c r="D1130" s="75" t="n"/>
      <c r="E1130" s="76" t="n"/>
      <c r="F1130" s="77" t="n"/>
      <c r="G1130" s="75" t="n"/>
      <c r="H1130" s="75">
        <f>IF(ISBLANK(E1130),"",IF(OR(D1130="Butterfly",D1130="Butterfly ",D1130="Iron Fly", D1130="Iron Fly "),LEN(E1130)-LEN(SUBSTITUTE(E1130,"/",""))+2,LEN(E1130)-LEN(SUBSTITUTE(E1130,"/",""))+1))</f>
        <v/>
      </c>
      <c r="I1130" s="78">
        <f>IF(ISBLANK(G1130),"",IF(D1130="Stock","0",Key!$A$3*H1130*G1130))</f>
        <v/>
      </c>
      <c r="J1130" s="78">
        <f>IF(ISBLANK(E1130),"",IF(ISNUMBER(SEARCH("/",E1130)), IF(LEN(E1130)-LEN(SUBSTITUTE(E1130,"/",""))=1,(RIGHT(E1130,LEN(E1130)-FIND("/",E1130)))-(LEFT(E1130,FIND("/",E1130)-1)),(MID(E1130, SEARCH("/",E1130) + 1, SEARCH("/",E1130, SEARCH("/",E1130)+1) - SEARCH("/",E1130) - 1))-(LEFT(E1130,FIND("/",E1130)-1))), "NA"))</f>
        <v/>
      </c>
      <c r="K1130" s="79">
        <f>IF(A1130&lt;&gt;"", IF(ISBLANK(L1130), TODAY(), K1130), "")</f>
        <v/>
      </c>
      <c r="L1130" s="78" t="n"/>
      <c r="M1130" s="78">
        <f>IF(ISBLANK(L1130),"",IF(D1130="Stock",IF(C1130="Buy",L1130*G1130,IF(C1130="Sell",(L1130*G1130)-I1130, X)),IF(C1130="Buy",(L1130*G1130*100)+I1130,IF(C1130="Sell",(L1130*G1130*100)-I1130, X))))</f>
        <v/>
      </c>
      <c r="N1130" s="78">
        <f>IF(ISBLANK(L1130),"",IF(AND(C1130="Sell",D1130="Stock"),M1130,IF(ISBLANK(L1130),"",IF(C1130="Buy",M1130, IF(AND(C1130="Sell",J1130="NA"),(E1130*G1130*100*0.1)+I1130, IF(C1130="Sell",(J1130-L1130)*(100*G1130)+I1130))))))</f>
        <v/>
      </c>
      <c r="O1130" s="75" t="n"/>
      <c r="P1130" s="75" t="n"/>
      <c r="Q1130" s="75">
        <f>IF(ISBLANK(P1130),"",IF(D1130="Stock",P1130*G1130,IF(P1130=0,"0",G1130*P1130*100-(G1130*$AF$14))))</f>
        <v/>
      </c>
      <c r="R1130" s="79">
        <f>IF(P1130&lt;&gt;"", TODAY(), "")</f>
        <v/>
      </c>
      <c r="S1130" s="78">
        <f>IF(AND(K1130&lt;&gt;"", R1130&lt;&gt;""), R1130-K1130, "")</f>
        <v/>
      </c>
      <c r="T1130" s="78" t="n"/>
      <c r="U1130" s="92">
        <f>IF(ISBLANK(P1130),"",IF(C1130="Buy",Q1130-M1130+T1130, IF(C1130="Sell",M1130-Q1130-T1130, X)))</f>
        <v/>
      </c>
      <c r="V1130" s="81">
        <f>IF(ISBLANK(P1130),"",U1130/N1130)</f>
        <v/>
      </c>
      <c r="W1130" s="81">
        <f>IF(ISBLANK(P1130),"",IF(S1130=0,(365/0.5)*V1130,(365/S1130)*V1130))</f>
        <v/>
      </c>
      <c r="X1130" s="75" t="n"/>
      <c r="Y1130" s="77" t="n"/>
      <c r="Z1130" s="77" t="n"/>
      <c r="AA1130" s="75" t="n"/>
      <c r="AB1130" s="75" t="n"/>
      <c r="AC1130" s="6" t="n"/>
      <c r="AD1130" s="75" t="n"/>
      <c r="AE1130" s="75" t="n"/>
      <c r="AF1130" s="75" t="n"/>
    </row>
    <row r="1131" ht="15.75" customHeight="1" s="133">
      <c r="A1131" s="75" t="n"/>
      <c r="B1131" s="75" t="n"/>
      <c r="C1131" s="75" t="n"/>
      <c r="D1131" s="75" t="n"/>
      <c r="E1131" s="76" t="n"/>
      <c r="F1131" s="77" t="n"/>
      <c r="G1131" s="75" t="n"/>
      <c r="H1131" s="75">
        <f>IF(ISBLANK(E1131),"",IF(OR(D1131="Butterfly",D1131="Butterfly ",D1131="Iron Fly", D1131="Iron Fly "),LEN(E1131)-LEN(SUBSTITUTE(E1131,"/",""))+2,LEN(E1131)-LEN(SUBSTITUTE(E1131,"/",""))+1))</f>
        <v/>
      </c>
      <c r="I1131" s="78">
        <f>IF(ISBLANK(G1131),"",IF(D1131="Stock","0",Key!$A$3*H1131*G1131))</f>
        <v/>
      </c>
      <c r="J1131" s="78">
        <f>IF(ISBLANK(E1131),"",IF(ISNUMBER(SEARCH("/",E1131)), IF(LEN(E1131)-LEN(SUBSTITUTE(E1131,"/",""))=1,(RIGHT(E1131,LEN(E1131)-FIND("/",E1131)))-(LEFT(E1131,FIND("/",E1131)-1)),(MID(E1131, SEARCH("/",E1131) + 1, SEARCH("/",E1131, SEARCH("/",E1131)+1) - SEARCH("/",E1131) - 1))-(LEFT(E1131,FIND("/",E1131)-1))), "NA"))</f>
        <v/>
      </c>
      <c r="K1131" s="79">
        <f>IF(A1131&lt;&gt;"", IF(ISBLANK(L1131), TODAY(), K1131), "")</f>
        <v/>
      </c>
      <c r="L1131" s="78" t="n"/>
      <c r="M1131" s="78">
        <f>IF(ISBLANK(L1131),"",IF(D1131="Stock",IF(C1131="Buy",L1131*G1131,IF(C1131="Sell",(L1131*G1131)-I1131, X)),IF(C1131="Buy",(L1131*G1131*100)+I1131,IF(C1131="Sell",(L1131*G1131*100)-I1131, X))))</f>
        <v/>
      </c>
      <c r="N1131" s="78">
        <f>IF(ISBLANK(L1131),"",IF(AND(C1131="Sell",D1131="Stock"),M1131,IF(ISBLANK(L1131),"",IF(C1131="Buy",M1131, IF(AND(C1131="Sell",J1131="NA"),(E1131*G1131*100*0.1)+I1131, IF(C1131="Sell",(J1131-L1131)*(100*G1131)+I1131))))))</f>
        <v/>
      </c>
      <c r="O1131" s="75" t="n"/>
      <c r="P1131" s="75" t="n"/>
      <c r="Q1131" s="75">
        <f>IF(ISBLANK(P1131),"",IF(D1131="Stock",P1131*G1131,IF(P1131=0,"0",G1131*P1131*100-(G1131*$AF$14))))</f>
        <v/>
      </c>
      <c r="R1131" s="79">
        <f>IF(P1131&lt;&gt;"", TODAY(), "")</f>
        <v/>
      </c>
      <c r="S1131" s="78">
        <f>IF(AND(K1131&lt;&gt;"", R1131&lt;&gt;""), R1131-K1131, "")</f>
        <v/>
      </c>
      <c r="T1131" s="78" t="n"/>
      <c r="U1131" s="92">
        <f>IF(ISBLANK(P1131),"",IF(C1131="Buy",Q1131-M1131+T1131, IF(C1131="Sell",M1131-Q1131-T1131, X)))</f>
        <v/>
      </c>
      <c r="V1131" s="81">
        <f>IF(ISBLANK(P1131),"",U1131/N1131)</f>
        <v/>
      </c>
      <c r="W1131" s="81">
        <f>IF(ISBLANK(P1131),"",IF(S1131=0,(365/0.5)*V1131,(365/S1131)*V1131))</f>
        <v/>
      </c>
      <c r="X1131" s="75" t="n"/>
      <c r="Y1131" s="77" t="n"/>
      <c r="Z1131" s="77" t="n"/>
      <c r="AA1131" s="75" t="n"/>
      <c r="AB1131" s="75" t="n"/>
      <c r="AC1131" s="6" t="n"/>
      <c r="AD1131" s="75" t="n"/>
      <c r="AE1131" s="75" t="n"/>
      <c r="AF1131" s="75" t="n"/>
    </row>
    <row r="1132" ht="15.75" customHeight="1" s="133">
      <c r="A1132" s="75" t="n"/>
      <c r="B1132" s="75" t="n"/>
      <c r="C1132" s="75" t="n"/>
      <c r="D1132" s="75" t="n"/>
      <c r="E1132" s="76" t="n"/>
      <c r="F1132" s="77" t="n"/>
      <c r="G1132" s="75" t="n"/>
      <c r="H1132" s="75">
        <f>IF(ISBLANK(E1132),"",IF(OR(D1132="Butterfly",D1132="Butterfly ",D1132="Iron Fly", D1132="Iron Fly "),LEN(E1132)-LEN(SUBSTITUTE(E1132,"/",""))+2,LEN(E1132)-LEN(SUBSTITUTE(E1132,"/",""))+1))</f>
        <v/>
      </c>
      <c r="I1132" s="78">
        <f>IF(ISBLANK(G1132),"",IF(D1132="Stock","0",Key!$A$3*H1132*G1132))</f>
        <v/>
      </c>
      <c r="J1132" s="78">
        <f>IF(ISBLANK(E1132),"",IF(ISNUMBER(SEARCH("/",E1132)), IF(LEN(E1132)-LEN(SUBSTITUTE(E1132,"/",""))=1,(RIGHT(E1132,LEN(E1132)-FIND("/",E1132)))-(LEFT(E1132,FIND("/",E1132)-1)),(MID(E1132, SEARCH("/",E1132) + 1, SEARCH("/",E1132, SEARCH("/",E1132)+1) - SEARCH("/",E1132) - 1))-(LEFT(E1132,FIND("/",E1132)-1))), "NA"))</f>
        <v/>
      </c>
      <c r="K1132" s="79">
        <f>IF(A1132&lt;&gt;"", IF(ISBLANK(L1132), TODAY(), K1132), "")</f>
        <v/>
      </c>
      <c r="L1132" s="78" t="n"/>
      <c r="M1132" s="78">
        <f>IF(ISBLANK(L1132),"",IF(D1132="Stock",IF(C1132="Buy",L1132*G1132,IF(C1132="Sell",(L1132*G1132)-I1132, X)),IF(C1132="Buy",(L1132*G1132*100)+I1132,IF(C1132="Sell",(L1132*G1132*100)-I1132, X))))</f>
        <v/>
      </c>
      <c r="N1132" s="78">
        <f>IF(ISBLANK(L1132),"",IF(AND(C1132="Sell",D1132="Stock"),M1132,IF(ISBLANK(L1132),"",IF(C1132="Buy",M1132, IF(AND(C1132="Sell",J1132="NA"),(E1132*G1132*100*0.1)+I1132, IF(C1132="Sell",(J1132-L1132)*(100*G1132)+I1132))))))</f>
        <v/>
      </c>
      <c r="O1132" s="75" t="n"/>
      <c r="P1132" s="75" t="n"/>
      <c r="Q1132" s="75">
        <f>IF(ISBLANK(P1132),"",IF(D1132="Stock",P1132*G1132,IF(P1132=0,"0",G1132*P1132*100-(G1132*$AF$14))))</f>
        <v/>
      </c>
      <c r="R1132" s="79">
        <f>IF(P1132&lt;&gt;"", TODAY(), "")</f>
        <v/>
      </c>
      <c r="S1132" s="78">
        <f>IF(AND(K1132&lt;&gt;"", R1132&lt;&gt;""), R1132-K1132, "")</f>
        <v/>
      </c>
      <c r="T1132" s="78" t="n"/>
      <c r="U1132" s="92">
        <f>IF(ISBLANK(P1132),"",IF(C1132="Buy",Q1132-M1132+T1132, IF(C1132="Sell",M1132-Q1132-T1132, X)))</f>
        <v/>
      </c>
      <c r="V1132" s="81">
        <f>IF(ISBLANK(P1132),"",U1132/N1132)</f>
        <v/>
      </c>
      <c r="W1132" s="81">
        <f>IF(ISBLANK(P1132),"",IF(S1132=0,(365/0.5)*V1132,(365/S1132)*V1132))</f>
        <v/>
      </c>
      <c r="X1132" s="75" t="n"/>
      <c r="Y1132" s="77" t="n"/>
      <c r="Z1132" s="77" t="n"/>
      <c r="AA1132" s="75" t="n"/>
      <c r="AB1132" s="75" t="n"/>
      <c r="AC1132" s="6" t="n"/>
      <c r="AD1132" s="75" t="n"/>
      <c r="AE1132" s="75" t="n"/>
      <c r="AF1132" s="75" t="n"/>
    </row>
    <row r="1133" ht="15.75" customHeight="1" s="133">
      <c r="A1133" s="75" t="n"/>
      <c r="B1133" s="75" t="n"/>
      <c r="C1133" s="75" t="n"/>
      <c r="D1133" s="75" t="n"/>
      <c r="E1133" s="76" t="n"/>
      <c r="F1133" s="77" t="n"/>
      <c r="G1133" s="75" t="n"/>
      <c r="H1133" s="75">
        <f>IF(ISBLANK(E1133),"",IF(OR(D1133="Butterfly",D1133="Butterfly ",D1133="Iron Fly", D1133="Iron Fly "),LEN(E1133)-LEN(SUBSTITUTE(E1133,"/",""))+2,LEN(E1133)-LEN(SUBSTITUTE(E1133,"/",""))+1))</f>
        <v/>
      </c>
      <c r="I1133" s="78">
        <f>IF(ISBLANK(G1133),"",IF(D1133="Stock","0",Key!$A$3*H1133*G1133))</f>
        <v/>
      </c>
      <c r="J1133" s="78">
        <f>IF(ISBLANK(E1133),"",IF(ISNUMBER(SEARCH("/",E1133)), IF(LEN(E1133)-LEN(SUBSTITUTE(E1133,"/",""))=1,(RIGHT(E1133,LEN(E1133)-FIND("/",E1133)))-(LEFT(E1133,FIND("/",E1133)-1)),(MID(E1133, SEARCH("/",E1133) + 1, SEARCH("/",E1133, SEARCH("/",E1133)+1) - SEARCH("/",E1133) - 1))-(LEFT(E1133,FIND("/",E1133)-1))), "NA"))</f>
        <v/>
      </c>
      <c r="K1133" s="79">
        <f>IF(A1133&lt;&gt;"", IF(ISBLANK(L1133), TODAY(), K1133), "")</f>
        <v/>
      </c>
      <c r="L1133" s="78" t="n"/>
      <c r="M1133" s="78">
        <f>IF(ISBLANK(L1133),"",IF(D1133="Stock",IF(C1133="Buy",L1133*G1133,IF(C1133="Sell",(L1133*G1133)-I1133, X)),IF(C1133="Buy",(L1133*G1133*100)+I1133,IF(C1133="Sell",(L1133*G1133*100)-I1133, X))))</f>
        <v/>
      </c>
      <c r="N1133" s="78">
        <f>IF(ISBLANK(L1133),"",IF(AND(C1133="Sell",D1133="Stock"),M1133,IF(ISBLANK(L1133),"",IF(C1133="Buy",M1133, IF(AND(C1133="Sell",J1133="NA"),(E1133*G1133*100*0.1)+I1133, IF(C1133="Sell",(J1133-L1133)*(100*G1133)+I1133))))))</f>
        <v/>
      </c>
      <c r="O1133" s="75" t="n"/>
      <c r="P1133" s="75" t="n"/>
      <c r="Q1133" s="75">
        <f>IF(ISBLANK(P1133),"",IF(D1133="Stock",P1133*G1133,IF(P1133=0,"0",G1133*P1133*100-(G1133*$AF$14))))</f>
        <v/>
      </c>
      <c r="R1133" s="79">
        <f>IF(P1133&lt;&gt;"", TODAY(), "")</f>
        <v/>
      </c>
      <c r="S1133" s="78">
        <f>IF(AND(K1133&lt;&gt;"", R1133&lt;&gt;""), R1133-K1133, "")</f>
        <v/>
      </c>
      <c r="T1133" s="78" t="n"/>
      <c r="U1133" s="92">
        <f>IF(ISBLANK(P1133),"",IF(C1133="Buy",Q1133-M1133+T1133, IF(C1133="Sell",M1133-Q1133-T1133, X)))</f>
        <v/>
      </c>
      <c r="V1133" s="81">
        <f>IF(ISBLANK(P1133),"",U1133/N1133)</f>
        <v/>
      </c>
      <c r="W1133" s="81">
        <f>IF(ISBLANK(P1133),"",IF(S1133=0,(365/0.5)*V1133,(365/S1133)*V1133))</f>
        <v/>
      </c>
      <c r="X1133" s="75" t="n"/>
      <c r="Y1133" s="77" t="n"/>
      <c r="Z1133" s="77" t="n"/>
      <c r="AA1133" s="75" t="n"/>
      <c r="AB1133" s="75" t="n"/>
      <c r="AC1133" s="6" t="n"/>
      <c r="AD1133" s="75" t="n"/>
      <c r="AE1133" s="75" t="n"/>
      <c r="AF1133" s="75" t="n"/>
    </row>
    <row r="1134" ht="15.75" customHeight="1" s="133">
      <c r="A1134" s="75" t="n"/>
      <c r="B1134" s="75" t="n"/>
      <c r="C1134" s="75" t="n"/>
      <c r="D1134" s="75" t="n"/>
      <c r="E1134" s="76" t="n"/>
      <c r="F1134" s="77" t="n"/>
      <c r="G1134" s="75" t="n"/>
      <c r="H1134" s="75">
        <f>IF(ISBLANK(E1134),"",IF(OR(D1134="Butterfly",D1134="Butterfly ",D1134="Iron Fly", D1134="Iron Fly "),LEN(E1134)-LEN(SUBSTITUTE(E1134,"/",""))+2,LEN(E1134)-LEN(SUBSTITUTE(E1134,"/",""))+1))</f>
        <v/>
      </c>
      <c r="I1134" s="78">
        <f>IF(ISBLANK(G1134),"",IF(D1134="Stock","0",Key!$A$3*H1134*G1134))</f>
        <v/>
      </c>
      <c r="J1134" s="78">
        <f>IF(ISBLANK(E1134),"",IF(ISNUMBER(SEARCH("/",E1134)), IF(LEN(E1134)-LEN(SUBSTITUTE(E1134,"/",""))=1,(RIGHT(E1134,LEN(E1134)-FIND("/",E1134)))-(LEFT(E1134,FIND("/",E1134)-1)),(MID(E1134, SEARCH("/",E1134) + 1, SEARCH("/",E1134, SEARCH("/",E1134)+1) - SEARCH("/",E1134) - 1))-(LEFT(E1134,FIND("/",E1134)-1))), "NA"))</f>
        <v/>
      </c>
      <c r="K1134" s="79">
        <f>IF(A1134&lt;&gt;"", IF(ISBLANK(L1134), TODAY(), K1134), "")</f>
        <v/>
      </c>
      <c r="L1134" s="78" t="n"/>
      <c r="M1134" s="78">
        <f>IF(ISBLANK(L1134),"",IF(D1134="Stock",IF(C1134="Buy",L1134*G1134,IF(C1134="Sell",(L1134*G1134)-I1134, X)),IF(C1134="Buy",(L1134*G1134*100)+I1134,IF(C1134="Sell",(L1134*G1134*100)-I1134, X))))</f>
        <v/>
      </c>
      <c r="N1134" s="78">
        <f>IF(ISBLANK(L1134),"",IF(AND(C1134="Sell",D1134="Stock"),M1134,IF(ISBLANK(L1134),"",IF(C1134="Buy",M1134, IF(AND(C1134="Sell",J1134="NA"),(E1134*G1134*100*0.1)+I1134, IF(C1134="Sell",(J1134-L1134)*(100*G1134)+I1134))))))</f>
        <v/>
      </c>
      <c r="O1134" s="75" t="n"/>
      <c r="P1134" s="75" t="n"/>
      <c r="Q1134" s="75">
        <f>IF(ISBLANK(P1134),"",IF(D1134="Stock",P1134*G1134,IF(P1134=0,"0",G1134*P1134*100-(G1134*$AF$14))))</f>
        <v/>
      </c>
      <c r="R1134" s="79">
        <f>IF(P1134&lt;&gt;"", TODAY(), "")</f>
        <v/>
      </c>
      <c r="S1134" s="78">
        <f>IF(AND(K1134&lt;&gt;"", R1134&lt;&gt;""), R1134-K1134, "")</f>
        <v/>
      </c>
      <c r="T1134" s="78" t="n"/>
      <c r="U1134" s="92">
        <f>IF(ISBLANK(P1134),"",IF(C1134="Buy",Q1134-M1134+T1134, IF(C1134="Sell",M1134-Q1134-T1134, X)))</f>
        <v/>
      </c>
      <c r="V1134" s="81">
        <f>IF(ISBLANK(P1134),"",U1134/N1134)</f>
        <v/>
      </c>
      <c r="W1134" s="81">
        <f>IF(ISBLANK(P1134),"",IF(S1134=0,(365/0.5)*V1134,(365/S1134)*V1134))</f>
        <v/>
      </c>
      <c r="X1134" s="75" t="n"/>
      <c r="Y1134" s="77" t="n"/>
      <c r="Z1134" s="77" t="n"/>
      <c r="AA1134" s="75" t="n"/>
      <c r="AB1134" s="75" t="n"/>
      <c r="AC1134" s="6" t="n"/>
      <c r="AD1134" s="75" t="n"/>
      <c r="AE1134" s="75" t="n"/>
      <c r="AF1134" s="75" t="n"/>
    </row>
    <row r="1135" ht="15.75" customHeight="1" s="133">
      <c r="A1135" s="75" t="n"/>
      <c r="B1135" s="75" t="n"/>
      <c r="C1135" s="75" t="n"/>
      <c r="D1135" s="75" t="n"/>
      <c r="E1135" s="76" t="n"/>
      <c r="F1135" s="77" t="n"/>
      <c r="G1135" s="75" t="n"/>
      <c r="H1135" s="75">
        <f>IF(ISBLANK(E1135),"",IF(OR(D1135="Butterfly",D1135="Butterfly ",D1135="Iron Fly", D1135="Iron Fly "),LEN(E1135)-LEN(SUBSTITUTE(E1135,"/",""))+2,LEN(E1135)-LEN(SUBSTITUTE(E1135,"/",""))+1))</f>
        <v/>
      </c>
      <c r="I1135" s="78">
        <f>IF(ISBLANK(G1135),"",IF(D1135="Stock","0",Key!$A$3*H1135*G1135))</f>
        <v/>
      </c>
      <c r="J1135" s="78">
        <f>IF(ISBLANK(E1135),"",IF(ISNUMBER(SEARCH("/",E1135)), IF(LEN(E1135)-LEN(SUBSTITUTE(E1135,"/",""))=1,(RIGHT(E1135,LEN(E1135)-FIND("/",E1135)))-(LEFT(E1135,FIND("/",E1135)-1)),(MID(E1135, SEARCH("/",E1135) + 1, SEARCH("/",E1135, SEARCH("/",E1135)+1) - SEARCH("/",E1135) - 1))-(LEFT(E1135,FIND("/",E1135)-1))), "NA"))</f>
        <v/>
      </c>
      <c r="K1135" s="79">
        <f>IF(A1135&lt;&gt;"", IF(ISBLANK(L1135), TODAY(), K1135), "")</f>
        <v/>
      </c>
      <c r="L1135" s="78" t="n"/>
      <c r="M1135" s="78">
        <f>IF(ISBLANK(L1135),"",IF(D1135="Stock",IF(C1135="Buy",L1135*G1135,IF(C1135="Sell",(L1135*G1135)-I1135, X)),IF(C1135="Buy",(L1135*G1135*100)+I1135,IF(C1135="Sell",(L1135*G1135*100)-I1135, X))))</f>
        <v/>
      </c>
      <c r="N1135" s="78">
        <f>IF(ISBLANK(L1135),"",IF(AND(C1135="Sell",D1135="Stock"),M1135,IF(ISBLANK(L1135),"",IF(C1135="Buy",M1135, IF(AND(C1135="Sell",J1135="NA"),(E1135*G1135*100*0.1)+I1135, IF(C1135="Sell",(J1135-L1135)*(100*G1135)+I1135))))))</f>
        <v/>
      </c>
      <c r="O1135" s="75" t="n"/>
      <c r="P1135" s="75" t="n"/>
      <c r="Q1135" s="75">
        <f>IF(ISBLANK(P1135),"",IF(D1135="Stock",P1135*G1135,IF(P1135=0,"0",G1135*P1135*100-(G1135*$AF$14))))</f>
        <v/>
      </c>
      <c r="R1135" s="79">
        <f>IF(P1135&lt;&gt;"", TODAY(), "")</f>
        <v/>
      </c>
      <c r="S1135" s="78">
        <f>IF(AND(K1135&lt;&gt;"", R1135&lt;&gt;""), R1135-K1135, "")</f>
        <v/>
      </c>
      <c r="T1135" s="78" t="n"/>
      <c r="U1135" s="92">
        <f>IF(ISBLANK(P1135),"",IF(C1135="Buy",Q1135-M1135+T1135, IF(C1135="Sell",M1135-Q1135-T1135, X)))</f>
        <v/>
      </c>
      <c r="V1135" s="81">
        <f>IF(ISBLANK(P1135),"",U1135/N1135)</f>
        <v/>
      </c>
      <c r="W1135" s="81">
        <f>IF(ISBLANK(P1135),"",IF(S1135=0,(365/0.5)*V1135,(365/S1135)*V1135))</f>
        <v/>
      </c>
      <c r="X1135" s="75" t="n"/>
      <c r="Y1135" s="77" t="n"/>
      <c r="Z1135" s="77" t="n"/>
      <c r="AA1135" s="75" t="n"/>
      <c r="AB1135" s="75" t="n"/>
      <c r="AC1135" s="6" t="n"/>
      <c r="AD1135" s="75" t="n"/>
      <c r="AE1135" s="75" t="n"/>
      <c r="AF1135" s="75" t="n"/>
    </row>
    <row r="1136" ht="15.75" customHeight="1" s="133">
      <c r="A1136" s="75" t="n"/>
      <c r="B1136" s="75" t="n"/>
      <c r="C1136" s="75" t="n"/>
      <c r="D1136" s="75" t="n"/>
      <c r="E1136" s="76" t="n"/>
      <c r="F1136" s="77" t="n"/>
      <c r="G1136" s="75" t="n"/>
      <c r="H1136" s="75">
        <f>IF(ISBLANK(E1136),"",IF(OR(D1136="Butterfly",D1136="Butterfly ",D1136="Iron Fly", D1136="Iron Fly "),LEN(E1136)-LEN(SUBSTITUTE(E1136,"/",""))+2,LEN(E1136)-LEN(SUBSTITUTE(E1136,"/",""))+1))</f>
        <v/>
      </c>
      <c r="I1136" s="78">
        <f>IF(ISBLANK(G1136),"",IF(D1136="Stock","0",Key!$A$3*H1136*G1136))</f>
        <v/>
      </c>
      <c r="J1136" s="78">
        <f>IF(ISBLANK(E1136),"",IF(ISNUMBER(SEARCH("/",E1136)), IF(LEN(E1136)-LEN(SUBSTITUTE(E1136,"/",""))=1,(RIGHT(E1136,LEN(E1136)-FIND("/",E1136)))-(LEFT(E1136,FIND("/",E1136)-1)),(MID(E1136, SEARCH("/",E1136) + 1, SEARCH("/",E1136, SEARCH("/",E1136)+1) - SEARCH("/",E1136) - 1))-(LEFT(E1136,FIND("/",E1136)-1))), "NA"))</f>
        <v/>
      </c>
      <c r="K1136" s="79">
        <f>IF(A1136&lt;&gt;"", IF(ISBLANK(L1136), TODAY(), K1136), "")</f>
        <v/>
      </c>
      <c r="L1136" s="78" t="n"/>
      <c r="M1136" s="78">
        <f>IF(ISBLANK(L1136),"",IF(D1136="Stock",IF(C1136="Buy",L1136*G1136,IF(C1136="Sell",(L1136*G1136)-I1136, X)),IF(C1136="Buy",(L1136*G1136*100)+I1136,IF(C1136="Sell",(L1136*G1136*100)-I1136, X))))</f>
        <v/>
      </c>
      <c r="N1136" s="78">
        <f>IF(ISBLANK(L1136),"",IF(AND(C1136="Sell",D1136="Stock"),M1136,IF(ISBLANK(L1136),"",IF(C1136="Buy",M1136, IF(AND(C1136="Sell",J1136="NA"),(E1136*G1136*100*0.1)+I1136, IF(C1136="Sell",(J1136-L1136)*(100*G1136)+I1136))))))</f>
        <v/>
      </c>
      <c r="O1136" s="75" t="n"/>
      <c r="P1136" s="75" t="n"/>
      <c r="Q1136" s="75">
        <f>IF(ISBLANK(P1136),"",IF(D1136="Stock",P1136*G1136,IF(P1136=0,"0",G1136*P1136*100-(G1136*$AF$14))))</f>
        <v/>
      </c>
      <c r="R1136" s="79">
        <f>IF(P1136&lt;&gt;"", TODAY(), "")</f>
        <v/>
      </c>
      <c r="S1136" s="78">
        <f>IF(AND(K1136&lt;&gt;"", R1136&lt;&gt;""), R1136-K1136, "")</f>
        <v/>
      </c>
      <c r="T1136" s="78" t="n"/>
      <c r="U1136" s="92">
        <f>IF(ISBLANK(P1136),"",IF(C1136="Buy",Q1136-M1136+T1136, IF(C1136="Sell",M1136-Q1136-T1136, X)))</f>
        <v/>
      </c>
      <c r="V1136" s="81">
        <f>IF(ISBLANK(P1136),"",U1136/N1136)</f>
        <v/>
      </c>
      <c r="W1136" s="81">
        <f>IF(ISBLANK(P1136),"",IF(S1136=0,(365/0.5)*V1136,(365/S1136)*V1136))</f>
        <v/>
      </c>
      <c r="X1136" s="75" t="n"/>
      <c r="Y1136" s="77" t="n"/>
      <c r="Z1136" s="77" t="n"/>
      <c r="AA1136" s="75" t="n"/>
      <c r="AB1136" s="75" t="n"/>
      <c r="AC1136" s="6" t="n"/>
      <c r="AD1136" s="75" t="n"/>
      <c r="AE1136" s="75" t="n"/>
      <c r="AF1136" s="75" t="n"/>
    </row>
    <row r="1137" ht="15.75" customHeight="1" s="133">
      <c r="A1137" s="75" t="n"/>
      <c r="B1137" s="75" t="n"/>
      <c r="C1137" s="75" t="n"/>
      <c r="D1137" s="75" t="n"/>
      <c r="E1137" s="76" t="n"/>
      <c r="F1137" s="77" t="n"/>
      <c r="G1137" s="75" t="n"/>
      <c r="H1137" s="75">
        <f>IF(ISBLANK(E1137),"",IF(OR(D1137="Butterfly",D1137="Butterfly ",D1137="Iron Fly", D1137="Iron Fly "),LEN(E1137)-LEN(SUBSTITUTE(E1137,"/",""))+2,LEN(E1137)-LEN(SUBSTITUTE(E1137,"/",""))+1))</f>
        <v/>
      </c>
      <c r="I1137" s="78">
        <f>IF(ISBLANK(G1137),"",IF(D1137="Stock","0",Key!$A$3*H1137*G1137))</f>
        <v/>
      </c>
      <c r="J1137" s="78">
        <f>IF(ISBLANK(E1137),"",IF(ISNUMBER(SEARCH("/",E1137)), IF(LEN(E1137)-LEN(SUBSTITUTE(E1137,"/",""))=1,(RIGHT(E1137,LEN(E1137)-FIND("/",E1137)))-(LEFT(E1137,FIND("/",E1137)-1)),(MID(E1137, SEARCH("/",E1137) + 1, SEARCH("/",E1137, SEARCH("/",E1137)+1) - SEARCH("/",E1137) - 1))-(LEFT(E1137,FIND("/",E1137)-1))), "NA"))</f>
        <v/>
      </c>
      <c r="K1137" s="79">
        <f>IF(A1137&lt;&gt;"", IF(ISBLANK(L1137), TODAY(), K1137), "")</f>
        <v/>
      </c>
      <c r="L1137" s="78" t="n"/>
      <c r="M1137" s="78">
        <f>IF(ISBLANK(L1137),"",IF(D1137="Stock",IF(C1137="Buy",L1137*G1137,IF(C1137="Sell",(L1137*G1137)-I1137, X)),IF(C1137="Buy",(L1137*G1137*100)+I1137,IF(C1137="Sell",(L1137*G1137*100)-I1137, X))))</f>
        <v/>
      </c>
      <c r="N1137" s="78">
        <f>IF(ISBLANK(L1137),"",IF(AND(C1137="Sell",D1137="Stock"),M1137,IF(ISBLANK(L1137),"",IF(C1137="Buy",M1137, IF(AND(C1137="Sell",J1137="NA"),(E1137*G1137*100*0.1)+I1137, IF(C1137="Sell",(J1137-L1137)*(100*G1137)+I1137))))))</f>
        <v/>
      </c>
      <c r="O1137" s="75" t="n"/>
      <c r="P1137" s="75" t="n"/>
      <c r="Q1137" s="75">
        <f>IF(ISBLANK(P1137),"",IF(D1137="Stock",P1137*G1137,IF(P1137=0,"0",G1137*P1137*100-(G1137*$AF$14))))</f>
        <v/>
      </c>
      <c r="R1137" s="79">
        <f>IF(P1137&lt;&gt;"", TODAY(), "")</f>
        <v/>
      </c>
      <c r="S1137" s="78">
        <f>IF(AND(K1137&lt;&gt;"", R1137&lt;&gt;""), R1137-K1137, "")</f>
        <v/>
      </c>
      <c r="T1137" s="78" t="n"/>
      <c r="U1137" s="92">
        <f>IF(ISBLANK(P1137),"",IF(C1137="Buy",Q1137-M1137+T1137, IF(C1137="Sell",M1137-Q1137-T1137, X)))</f>
        <v/>
      </c>
      <c r="V1137" s="81">
        <f>IF(ISBLANK(P1137),"",U1137/N1137)</f>
        <v/>
      </c>
      <c r="W1137" s="81">
        <f>IF(ISBLANK(P1137),"",IF(S1137=0,(365/0.5)*V1137,(365/S1137)*V1137))</f>
        <v/>
      </c>
      <c r="X1137" s="75" t="n"/>
      <c r="Y1137" s="77" t="n"/>
      <c r="Z1137" s="77" t="n"/>
      <c r="AA1137" s="75" t="n"/>
      <c r="AB1137" s="75" t="n"/>
      <c r="AC1137" s="6" t="n"/>
      <c r="AD1137" s="75" t="n"/>
      <c r="AE1137" s="75" t="n"/>
      <c r="AF1137" s="75" t="n"/>
    </row>
    <row r="1138" ht="15.75" customHeight="1" s="133">
      <c r="A1138" s="75" t="n"/>
      <c r="B1138" s="75" t="n"/>
      <c r="C1138" s="75" t="n"/>
      <c r="D1138" s="75" t="n"/>
      <c r="E1138" s="76" t="n"/>
      <c r="F1138" s="77" t="n"/>
      <c r="G1138" s="75" t="n"/>
      <c r="H1138" s="75">
        <f>IF(ISBLANK(E1138),"",IF(OR(D1138="Butterfly",D1138="Butterfly ",D1138="Iron Fly", D1138="Iron Fly "),LEN(E1138)-LEN(SUBSTITUTE(E1138,"/",""))+2,LEN(E1138)-LEN(SUBSTITUTE(E1138,"/",""))+1))</f>
        <v/>
      </c>
      <c r="I1138" s="78">
        <f>IF(ISBLANK(G1138),"",IF(D1138="Stock","0",Key!$A$3*H1138*G1138))</f>
        <v/>
      </c>
      <c r="J1138" s="78">
        <f>IF(ISBLANK(E1138),"",IF(ISNUMBER(SEARCH("/",E1138)), IF(LEN(E1138)-LEN(SUBSTITUTE(E1138,"/",""))=1,(RIGHT(E1138,LEN(E1138)-FIND("/",E1138)))-(LEFT(E1138,FIND("/",E1138)-1)),(MID(E1138, SEARCH("/",E1138) + 1, SEARCH("/",E1138, SEARCH("/",E1138)+1) - SEARCH("/",E1138) - 1))-(LEFT(E1138,FIND("/",E1138)-1))), "NA"))</f>
        <v/>
      </c>
      <c r="K1138" s="79">
        <f>IF(A1138&lt;&gt;"", IF(ISBLANK(L1138), TODAY(), K1138), "")</f>
        <v/>
      </c>
      <c r="L1138" s="78" t="n"/>
      <c r="M1138" s="78">
        <f>IF(ISBLANK(L1138),"",IF(D1138="Stock",IF(C1138="Buy",L1138*G1138,IF(C1138="Sell",(L1138*G1138)-I1138, X)),IF(C1138="Buy",(L1138*G1138*100)+I1138,IF(C1138="Sell",(L1138*G1138*100)-I1138, X))))</f>
        <v/>
      </c>
      <c r="N1138" s="78">
        <f>IF(ISBLANK(L1138),"",IF(AND(C1138="Sell",D1138="Stock"),M1138,IF(ISBLANK(L1138),"",IF(C1138="Buy",M1138, IF(AND(C1138="Sell",J1138="NA"),(E1138*G1138*100*0.1)+I1138, IF(C1138="Sell",(J1138-L1138)*(100*G1138)+I1138))))))</f>
        <v/>
      </c>
      <c r="O1138" s="75" t="n"/>
      <c r="P1138" s="75" t="n"/>
      <c r="Q1138" s="75">
        <f>IF(ISBLANK(P1138),"",IF(D1138="Stock",P1138*G1138,IF(P1138=0,"0",G1138*P1138*100-(G1138*$AF$14))))</f>
        <v/>
      </c>
      <c r="R1138" s="79">
        <f>IF(P1138&lt;&gt;"", TODAY(), "")</f>
        <v/>
      </c>
      <c r="S1138" s="78">
        <f>IF(AND(K1138&lt;&gt;"", R1138&lt;&gt;""), R1138-K1138, "")</f>
        <v/>
      </c>
      <c r="T1138" s="78" t="n"/>
      <c r="U1138" s="92">
        <f>IF(ISBLANK(P1138),"",IF(C1138="Buy",Q1138-M1138+T1138, IF(C1138="Sell",M1138-Q1138-T1138, X)))</f>
        <v/>
      </c>
      <c r="V1138" s="81">
        <f>IF(ISBLANK(P1138),"",U1138/N1138)</f>
        <v/>
      </c>
      <c r="W1138" s="81">
        <f>IF(ISBLANK(P1138),"",IF(S1138=0,(365/0.5)*V1138,(365/S1138)*V1138))</f>
        <v/>
      </c>
      <c r="X1138" s="75" t="n"/>
      <c r="Y1138" s="77" t="n"/>
      <c r="Z1138" s="77" t="n"/>
      <c r="AA1138" s="75" t="n"/>
      <c r="AB1138" s="75" t="n"/>
      <c r="AC1138" s="6" t="n"/>
      <c r="AD1138" s="75" t="n"/>
      <c r="AE1138" s="75" t="n"/>
      <c r="AF1138" s="75" t="n"/>
    </row>
    <row r="1139" ht="15.75" customHeight="1" s="133">
      <c r="A1139" s="75" t="n"/>
      <c r="B1139" s="75" t="n"/>
      <c r="C1139" s="75" t="n"/>
      <c r="D1139" s="75" t="n"/>
      <c r="E1139" s="76" t="n"/>
      <c r="F1139" s="77" t="n"/>
      <c r="G1139" s="75" t="n"/>
      <c r="H1139" s="75">
        <f>IF(ISBLANK(E1139),"",IF(OR(D1139="Butterfly",D1139="Butterfly ",D1139="Iron Fly", D1139="Iron Fly "),LEN(E1139)-LEN(SUBSTITUTE(E1139,"/",""))+2,LEN(E1139)-LEN(SUBSTITUTE(E1139,"/",""))+1))</f>
        <v/>
      </c>
      <c r="I1139" s="78">
        <f>IF(ISBLANK(G1139),"",IF(D1139="Stock","0",Key!$A$3*H1139*G1139))</f>
        <v/>
      </c>
      <c r="J1139" s="78">
        <f>IF(ISBLANK(E1139),"",IF(ISNUMBER(SEARCH("/",E1139)), IF(LEN(E1139)-LEN(SUBSTITUTE(E1139,"/",""))=1,(RIGHT(E1139,LEN(E1139)-FIND("/",E1139)))-(LEFT(E1139,FIND("/",E1139)-1)),(MID(E1139, SEARCH("/",E1139) + 1, SEARCH("/",E1139, SEARCH("/",E1139)+1) - SEARCH("/",E1139) - 1))-(LEFT(E1139,FIND("/",E1139)-1))), "NA"))</f>
        <v/>
      </c>
      <c r="K1139" s="79">
        <f>IF(A1139&lt;&gt;"", IF(ISBLANK(L1139), TODAY(), K1139), "")</f>
        <v/>
      </c>
      <c r="L1139" s="78" t="n"/>
      <c r="M1139" s="78">
        <f>IF(ISBLANK(L1139),"",IF(D1139="Stock",IF(C1139="Buy",L1139*G1139,IF(C1139="Sell",(L1139*G1139)-I1139, X)),IF(C1139="Buy",(L1139*G1139*100)+I1139,IF(C1139="Sell",(L1139*G1139*100)-I1139, X))))</f>
        <v/>
      </c>
      <c r="N1139" s="78">
        <f>IF(ISBLANK(L1139),"",IF(AND(C1139="Sell",D1139="Stock"),M1139,IF(ISBLANK(L1139),"",IF(C1139="Buy",M1139, IF(AND(C1139="Sell",J1139="NA"),(E1139*G1139*100*0.1)+I1139, IF(C1139="Sell",(J1139-L1139)*(100*G1139)+I1139))))))</f>
        <v/>
      </c>
      <c r="O1139" s="75" t="n"/>
      <c r="P1139" s="75" t="n"/>
      <c r="Q1139" s="75">
        <f>IF(ISBLANK(P1139),"",IF(D1139="Stock",P1139*G1139,IF(P1139=0,"0",G1139*P1139*100-(G1139*$AF$14))))</f>
        <v/>
      </c>
      <c r="R1139" s="79">
        <f>IF(P1139&lt;&gt;"", TODAY(), "")</f>
        <v/>
      </c>
      <c r="S1139" s="78">
        <f>IF(AND(K1139&lt;&gt;"", R1139&lt;&gt;""), R1139-K1139, "")</f>
        <v/>
      </c>
      <c r="T1139" s="78" t="n"/>
      <c r="U1139" s="92">
        <f>IF(ISBLANK(P1139),"",IF(C1139="Buy",Q1139-M1139+T1139, IF(C1139="Sell",M1139-Q1139-T1139, X)))</f>
        <v/>
      </c>
      <c r="V1139" s="81">
        <f>IF(ISBLANK(P1139),"",U1139/N1139)</f>
        <v/>
      </c>
      <c r="W1139" s="81">
        <f>IF(ISBLANK(P1139),"",IF(S1139=0,(365/0.5)*V1139,(365/S1139)*V1139))</f>
        <v/>
      </c>
      <c r="X1139" s="75" t="n"/>
      <c r="Y1139" s="77" t="n"/>
      <c r="Z1139" s="77" t="n"/>
      <c r="AA1139" s="75" t="n"/>
      <c r="AB1139" s="75" t="n"/>
      <c r="AC1139" s="6" t="n"/>
      <c r="AD1139" s="75" t="n"/>
      <c r="AE1139" s="75" t="n"/>
      <c r="AF1139" s="75" t="n"/>
    </row>
    <row r="1140" ht="15.75" customHeight="1" s="133">
      <c r="A1140" s="75" t="n"/>
      <c r="B1140" s="75" t="n"/>
      <c r="C1140" s="75" t="n"/>
      <c r="D1140" s="75" t="n"/>
      <c r="E1140" s="76" t="n"/>
      <c r="F1140" s="77" t="n"/>
      <c r="G1140" s="75" t="n"/>
      <c r="H1140" s="75">
        <f>IF(ISBLANK(E1140),"",IF(OR(D1140="Butterfly",D1140="Butterfly ",D1140="Iron Fly", D1140="Iron Fly "),LEN(E1140)-LEN(SUBSTITUTE(E1140,"/",""))+2,LEN(E1140)-LEN(SUBSTITUTE(E1140,"/",""))+1))</f>
        <v/>
      </c>
      <c r="I1140" s="78">
        <f>IF(ISBLANK(G1140),"",IF(D1140="Stock","0",Key!$A$3*H1140*G1140))</f>
        <v/>
      </c>
      <c r="J1140" s="78">
        <f>IF(ISBLANK(E1140),"",IF(ISNUMBER(SEARCH("/",E1140)), IF(LEN(E1140)-LEN(SUBSTITUTE(E1140,"/",""))=1,(RIGHT(E1140,LEN(E1140)-FIND("/",E1140)))-(LEFT(E1140,FIND("/",E1140)-1)),(MID(E1140, SEARCH("/",E1140) + 1, SEARCH("/",E1140, SEARCH("/",E1140)+1) - SEARCH("/",E1140) - 1))-(LEFT(E1140,FIND("/",E1140)-1))), "NA"))</f>
        <v/>
      </c>
      <c r="K1140" s="79">
        <f>IF(A1140&lt;&gt;"", IF(ISBLANK(L1140), TODAY(), K1140), "")</f>
        <v/>
      </c>
      <c r="L1140" s="78" t="n"/>
      <c r="M1140" s="78">
        <f>IF(ISBLANK(L1140),"",IF(D1140="Stock",IF(C1140="Buy",L1140*G1140,IF(C1140="Sell",(L1140*G1140)-I1140, X)),IF(C1140="Buy",(L1140*G1140*100)+I1140,IF(C1140="Sell",(L1140*G1140*100)-I1140, X))))</f>
        <v/>
      </c>
      <c r="N1140" s="78">
        <f>IF(ISBLANK(L1140),"",IF(AND(C1140="Sell",D1140="Stock"),M1140,IF(ISBLANK(L1140),"",IF(C1140="Buy",M1140, IF(AND(C1140="Sell",J1140="NA"),(E1140*G1140*100*0.1)+I1140, IF(C1140="Sell",(J1140-L1140)*(100*G1140)+I1140))))))</f>
        <v/>
      </c>
      <c r="O1140" s="75" t="n"/>
      <c r="P1140" s="75" t="n"/>
      <c r="Q1140" s="75">
        <f>IF(ISBLANK(P1140),"",IF(D1140="Stock",P1140*G1140,IF(P1140=0,"0",G1140*P1140*100-(G1140*$AF$14))))</f>
        <v/>
      </c>
      <c r="R1140" s="79">
        <f>IF(P1140&lt;&gt;"", TODAY(), "")</f>
        <v/>
      </c>
      <c r="S1140" s="78">
        <f>IF(AND(K1140&lt;&gt;"", R1140&lt;&gt;""), R1140-K1140, "")</f>
        <v/>
      </c>
      <c r="T1140" s="78" t="n"/>
      <c r="U1140" s="92">
        <f>IF(ISBLANK(P1140),"",IF(C1140="Buy",Q1140-M1140+T1140, IF(C1140="Sell",M1140-Q1140-T1140, X)))</f>
        <v/>
      </c>
      <c r="V1140" s="81">
        <f>IF(ISBLANK(P1140),"",U1140/N1140)</f>
        <v/>
      </c>
      <c r="W1140" s="81">
        <f>IF(ISBLANK(P1140),"",IF(S1140=0,(365/0.5)*V1140,(365/S1140)*V1140))</f>
        <v/>
      </c>
      <c r="X1140" s="75" t="n"/>
      <c r="Y1140" s="77" t="n"/>
      <c r="Z1140" s="77" t="n"/>
      <c r="AA1140" s="75" t="n"/>
      <c r="AB1140" s="75" t="n"/>
      <c r="AC1140" s="6" t="n"/>
      <c r="AD1140" s="75" t="n"/>
      <c r="AE1140" s="75" t="n"/>
      <c r="AF1140" s="75" t="n"/>
    </row>
    <row r="1141" ht="15.75" customHeight="1" s="133">
      <c r="A1141" s="75" t="n"/>
      <c r="B1141" s="75" t="n"/>
      <c r="C1141" s="75" t="n"/>
      <c r="D1141" s="75" t="n"/>
      <c r="E1141" s="76" t="n"/>
      <c r="F1141" s="77" t="n"/>
      <c r="G1141" s="75" t="n"/>
      <c r="H1141" s="75">
        <f>IF(ISBLANK(E1141),"",IF(OR(D1141="Butterfly",D1141="Butterfly ",D1141="Iron Fly", D1141="Iron Fly "),LEN(E1141)-LEN(SUBSTITUTE(E1141,"/",""))+2,LEN(E1141)-LEN(SUBSTITUTE(E1141,"/",""))+1))</f>
        <v/>
      </c>
      <c r="I1141" s="78">
        <f>IF(ISBLANK(G1141),"",IF(D1141="Stock","0",Key!$A$3*H1141*G1141))</f>
        <v/>
      </c>
      <c r="J1141" s="78">
        <f>IF(ISBLANK(E1141),"",IF(ISNUMBER(SEARCH("/",E1141)), IF(LEN(E1141)-LEN(SUBSTITUTE(E1141,"/",""))=1,(RIGHT(E1141,LEN(E1141)-FIND("/",E1141)))-(LEFT(E1141,FIND("/",E1141)-1)),(MID(E1141, SEARCH("/",E1141) + 1, SEARCH("/",E1141, SEARCH("/",E1141)+1) - SEARCH("/",E1141) - 1))-(LEFT(E1141,FIND("/",E1141)-1))), "NA"))</f>
        <v/>
      </c>
      <c r="K1141" s="79">
        <f>IF(A1141&lt;&gt;"", IF(ISBLANK(L1141), TODAY(), K1141), "")</f>
        <v/>
      </c>
      <c r="L1141" s="78" t="n"/>
      <c r="M1141" s="78">
        <f>IF(ISBLANK(L1141),"",IF(D1141="Stock",IF(C1141="Buy",L1141*G1141,IF(C1141="Sell",(L1141*G1141)-I1141, X)),IF(C1141="Buy",(L1141*G1141*100)+I1141,IF(C1141="Sell",(L1141*G1141*100)-I1141, X))))</f>
        <v/>
      </c>
      <c r="N1141" s="78">
        <f>IF(ISBLANK(L1141),"",IF(AND(C1141="Sell",D1141="Stock"),M1141,IF(ISBLANK(L1141),"",IF(C1141="Buy",M1141, IF(AND(C1141="Sell",J1141="NA"),(E1141*G1141*100*0.1)+I1141, IF(C1141="Sell",(J1141-L1141)*(100*G1141)+I1141))))))</f>
        <v/>
      </c>
      <c r="O1141" s="75" t="n"/>
      <c r="P1141" s="75" t="n"/>
      <c r="Q1141" s="75">
        <f>IF(ISBLANK(P1141),"",IF(D1141="Stock",P1141*G1141,IF(P1141=0,"0",G1141*P1141*100-(G1141*$AF$14))))</f>
        <v/>
      </c>
      <c r="R1141" s="79">
        <f>IF(P1141&lt;&gt;"", TODAY(), "")</f>
        <v/>
      </c>
      <c r="S1141" s="78">
        <f>IF(AND(K1141&lt;&gt;"", R1141&lt;&gt;""), R1141-K1141, "")</f>
        <v/>
      </c>
      <c r="T1141" s="78" t="n"/>
      <c r="U1141" s="92">
        <f>IF(ISBLANK(P1141),"",IF(C1141="Buy",Q1141-M1141+T1141, IF(C1141="Sell",M1141-Q1141-T1141, X)))</f>
        <v/>
      </c>
      <c r="V1141" s="81">
        <f>IF(ISBLANK(P1141),"",U1141/N1141)</f>
        <v/>
      </c>
      <c r="W1141" s="81">
        <f>IF(ISBLANK(P1141),"",IF(S1141=0,(365/0.5)*V1141,(365/S1141)*V1141))</f>
        <v/>
      </c>
      <c r="X1141" s="75" t="n"/>
      <c r="Y1141" s="77" t="n"/>
      <c r="Z1141" s="77" t="n"/>
      <c r="AA1141" s="75" t="n"/>
      <c r="AB1141" s="75" t="n"/>
      <c r="AC1141" s="6" t="n"/>
      <c r="AD1141" s="75" t="n"/>
      <c r="AE1141" s="75" t="n"/>
      <c r="AF1141" s="75" t="n"/>
    </row>
    <row r="1142" ht="15.75" customHeight="1" s="133">
      <c r="A1142" s="75" t="n"/>
      <c r="B1142" s="75" t="n"/>
      <c r="C1142" s="75" t="n"/>
      <c r="D1142" s="75" t="n"/>
      <c r="E1142" s="76" t="n"/>
      <c r="F1142" s="77" t="n"/>
      <c r="G1142" s="75" t="n"/>
      <c r="H1142" s="75">
        <f>IF(ISBLANK(E1142),"",IF(OR(D1142="Butterfly",D1142="Butterfly ",D1142="Iron Fly", D1142="Iron Fly "),LEN(E1142)-LEN(SUBSTITUTE(E1142,"/",""))+2,LEN(E1142)-LEN(SUBSTITUTE(E1142,"/",""))+1))</f>
        <v/>
      </c>
      <c r="I1142" s="78">
        <f>IF(ISBLANK(G1142),"",IF(D1142="Stock","0",Key!$A$3*H1142*G1142))</f>
        <v/>
      </c>
      <c r="J1142" s="78">
        <f>IF(ISBLANK(E1142),"",IF(ISNUMBER(SEARCH("/",E1142)), IF(LEN(E1142)-LEN(SUBSTITUTE(E1142,"/",""))=1,(RIGHT(E1142,LEN(E1142)-FIND("/",E1142)))-(LEFT(E1142,FIND("/",E1142)-1)),(MID(E1142, SEARCH("/",E1142) + 1, SEARCH("/",E1142, SEARCH("/",E1142)+1) - SEARCH("/",E1142) - 1))-(LEFT(E1142,FIND("/",E1142)-1))), "NA"))</f>
        <v/>
      </c>
      <c r="K1142" s="79">
        <f>IF(A1142&lt;&gt;"", IF(ISBLANK(L1142), TODAY(), K1142), "")</f>
        <v/>
      </c>
      <c r="L1142" s="78" t="n"/>
      <c r="M1142" s="78">
        <f>IF(ISBLANK(L1142),"",IF(D1142="Stock",IF(C1142="Buy",L1142*G1142,IF(C1142="Sell",(L1142*G1142)-I1142, X)),IF(C1142="Buy",(L1142*G1142*100)+I1142,IF(C1142="Sell",(L1142*G1142*100)-I1142, X))))</f>
        <v/>
      </c>
      <c r="N1142" s="78">
        <f>IF(ISBLANK(L1142),"",IF(AND(C1142="Sell",D1142="Stock"),M1142,IF(ISBLANK(L1142),"",IF(C1142="Buy",M1142, IF(AND(C1142="Sell",J1142="NA"),(E1142*G1142*100*0.1)+I1142, IF(C1142="Sell",(J1142-L1142)*(100*G1142)+I1142))))))</f>
        <v/>
      </c>
      <c r="O1142" s="75" t="n"/>
      <c r="P1142" s="75" t="n"/>
      <c r="Q1142" s="75">
        <f>IF(ISBLANK(P1142),"",IF(D1142="Stock",P1142*G1142,IF(P1142=0,"0",G1142*P1142*100-(G1142*$AF$14))))</f>
        <v/>
      </c>
      <c r="R1142" s="79">
        <f>IF(P1142&lt;&gt;"", TODAY(), "")</f>
        <v/>
      </c>
      <c r="S1142" s="78">
        <f>IF(AND(K1142&lt;&gt;"", R1142&lt;&gt;""), R1142-K1142, "")</f>
        <v/>
      </c>
      <c r="T1142" s="78" t="n"/>
      <c r="U1142" s="92">
        <f>IF(ISBLANK(P1142),"",IF(C1142="Buy",Q1142-M1142+T1142, IF(C1142="Sell",M1142-Q1142-T1142, X)))</f>
        <v/>
      </c>
      <c r="V1142" s="81">
        <f>IF(ISBLANK(P1142),"",U1142/N1142)</f>
        <v/>
      </c>
      <c r="W1142" s="81">
        <f>IF(ISBLANK(P1142),"",IF(S1142=0,(365/0.5)*V1142,(365/S1142)*V1142))</f>
        <v/>
      </c>
      <c r="X1142" s="75" t="n"/>
      <c r="Y1142" s="77" t="n"/>
      <c r="Z1142" s="77" t="n"/>
      <c r="AA1142" s="75" t="n"/>
      <c r="AB1142" s="75" t="n"/>
      <c r="AC1142" s="6" t="n"/>
      <c r="AD1142" s="75" t="n"/>
      <c r="AE1142" s="75" t="n"/>
      <c r="AF1142" s="75" t="n"/>
    </row>
    <row r="1143" ht="15.75" customHeight="1" s="133">
      <c r="A1143" s="75" t="n"/>
      <c r="B1143" s="75" t="n"/>
      <c r="C1143" s="75" t="n"/>
      <c r="D1143" s="75" t="n"/>
      <c r="E1143" s="76" t="n"/>
      <c r="F1143" s="77" t="n"/>
      <c r="G1143" s="75" t="n"/>
      <c r="H1143" s="75">
        <f>IF(ISBLANK(E1143),"",IF(OR(D1143="Butterfly",D1143="Butterfly ",D1143="Iron Fly", D1143="Iron Fly "),LEN(E1143)-LEN(SUBSTITUTE(E1143,"/",""))+2,LEN(E1143)-LEN(SUBSTITUTE(E1143,"/",""))+1))</f>
        <v/>
      </c>
      <c r="I1143" s="78">
        <f>IF(ISBLANK(G1143),"",IF(D1143="Stock","0",Key!$A$3*H1143*G1143))</f>
        <v/>
      </c>
      <c r="J1143" s="78">
        <f>IF(ISBLANK(E1143),"",IF(ISNUMBER(SEARCH("/",E1143)), IF(LEN(E1143)-LEN(SUBSTITUTE(E1143,"/",""))=1,(RIGHT(E1143,LEN(E1143)-FIND("/",E1143)))-(LEFT(E1143,FIND("/",E1143)-1)),(MID(E1143, SEARCH("/",E1143) + 1, SEARCH("/",E1143, SEARCH("/",E1143)+1) - SEARCH("/",E1143) - 1))-(LEFT(E1143,FIND("/",E1143)-1))), "NA"))</f>
        <v/>
      </c>
      <c r="K1143" s="79">
        <f>IF(A1143&lt;&gt;"", IF(ISBLANK(L1143), TODAY(), K1143), "")</f>
        <v/>
      </c>
      <c r="L1143" s="78" t="n"/>
      <c r="M1143" s="78">
        <f>IF(ISBLANK(L1143),"",IF(D1143="Stock",IF(C1143="Buy",L1143*G1143,IF(C1143="Sell",(L1143*G1143)-I1143, X)),IF(C1143="Buy",(L1143*G1143*100)+I1143,IF(C1143="Sell",(L1143*G1143*100)-I1143, X))))</f>
        <v/>
      </c>
      <c r="N1143" s="78">
        <f>IF(ISBLANK(L1143),"",IF(AND(C1143="Sell",D1143="Stock"),M1143,IF(ISBLANK(L1143),"",IF(C1143="Buy",M1143, IF(AND(C1143="Sell",J1143="NA"),(E1143*G1143*100*0.1)+I1143, IF(C1143="Sell",(J1143-L1143)*(100*G1143)+I1143))))))</f>
        <v/>
      </c>
      <c r="O1143" s="75" t="n"/>
      <c r="P1143" s="75" t="n"/>
      <c r="Q1143" s="75">
        <f>IF(ISBLANK(P1143),"",IF(D1143="Stock",P1143*G1143,IF(P1143=0,"0",G1143*P1143*100-(G1143*$AF$14))))</f>
        <v/>
      </c>
      <c r="R1143" s="79">
        <f>IF(P1143&lt;&gt;"", TODAY(), "")</f>
        <v/>
      </c>
      <c r="S1143" s="78">
        <f>IF(AND(K1143&lt;&gt;"", R1143&lt;&gt;""), R1143-K1143, "")</f>
        <v/>
      </c>
      <c r="T1143" s="78" t="n"/>
      <c r="U1143" s="92">
        <f>IF(ISBLANK(P1143),"",IF(C1143="Buy",Q1143-M1143+T1143, IF(C1143="Sell",M1143-Q1143-T1143, X)))</f>
        <v/>
      </c>
      <c r="V1143" s="81">
        <f>IF(ISBLANK(P1143),"",U1143/N1143)</f>
        <v/>
      </c>
      <c r="W1143" s="81">
        <f>IF(ISBLANK(P1143),"",IF(S1143=0,(365/0.5)*V1143,(365/S1143)*V1143))</f>
        <v/>
      </c>
      <c r="X1143" s="75" t="n"/>
      <c r="Y1143" s="77" t="n"/>
      <c r="Z1143" s="77" t="n"/>
      <c r="AA1143" s="75" t="n"/>
      <c r="AB1143" s="75" t="n"/>
      <c r="AC1143" s="6" t="n"/>
      <c r="AD1143" s="75" t="n"/>
      <c r="AE1143" s="75" t="n"/>
      <c r="AF1143" s="75" t="n"/>
    </row>
    <row r="1144" ht="15.75" customHeight="1" s="133">
      <c r="A1144" s="75" t="n"/>
      <c r="B1144" s="75" t="n"/>
      <c r="C1144" s="75" t="n"/>
      <c r="D1144" s="75" t="n"/>
      <c r="E1144" s="76" t="n"/>
      <c r="F1144" s="77" t="n"/>
      <c r="G1144" s="75" t="n"/>
      <c r="H1144" s="75">
        <f>IF(ISBLANK(E1144),"",IF(OR(D1144="Butterfly",D1144="Butterfly ",D1144="Iron Fly", D1144="Iron Fly "),LEN(E1144)-LEN(SUBSTITUTE(E1144,"/",""))+2,LEN(E1144)-LEN(SUBSTITUTE(E1144,"/",""))+1))</f>
        <v/>
      </c>
      <c r="I1144" s="78">
        <f>IF(ISBLANK(G1144),"",IF(D1144="Stock","0",Key!$A$3*H1144*G1144))</f>
        <v/>
      </c>
      <c r="J1144" s="78">
        <f>IF(ISBLANK(E1144),"",IF(ISNUMBER(SEARCH("/",E1144)), IF(LEN(E1144)-LEN(SUBSTITUTE(E1144,"/",""))=1,(RIGHT(E1144,LEN(E1144)-FIND("/",E1144)))-(LEFT(E1144,FIND("/",E1144)-1)),(MID(E1144, SEARCH("/",E1144) + 1, SEARCH("/",E1144, SEARCH("/",E1144)+1) - SEARCH("/",E1144) - 1))-(LEFT(E1144,FIND("/",E1144)-1))), "NA"))</f>
        <v/>
      </c>
      <c r="K1144" s="79">
        <f>IF(A1144&lt;&gt;"", IF(ISBLANK(L1144), TODAY(), K1144), "")</f>
        <v/>
      </c>
      <c r="L1144" s="78" t="n"/>
      <c r="M1144" s="78">
        <f>IF(ISBLANK(L1144),"",IF(D1144="Stock",IF(C1144="Buy",L1144*G1144,IF(C1144="Sell",(L1144*G1144)-I1144, X)),IF(C1144="Buy",(L1144*G1144*100)+I1144,IF(C1144="Sell",(L1144*G1144*100)-I1144, X))))</f>
        <v/>
      </c>
      <c r="N1144" s="78">
        <f>IF(ISBLANK(L1144),"",IF(AND(C1144="Sell",D1144="Stock"),M1144,IF(ISBLANK(L1144),"",IF(C1144="Buy",M1144, IF(AND(C1144="Sell",J1144="NA"),(E1144*G1144*100*0.1)+I1144, IF(C1144="Sell",(J1144-L1144)*(100*G1144)+I1144))))))</f>
        <v/>
      </c>
      <c r="O1144" s="75" t="n"/>
      <c r="P1144" s="75" t="n"/>
      <c r="Q1144" s="75">
        <f>IF(ISBLANK(P1144),"",IF(D1144="Stock",P1144*G1144,IF(P1144=0,"0",G1144*P1144*100-(G1144*$AF$14))))</f>
        <v/>
      </c>
      <c r="R1144" s="79">
        <f>IF(P1144&lt;&gt;"", TODAY(), "")</f>
        <v/>
      </c>
      <c r="S1144" s="78">
        <f>IF(AND(K1144&lt;&gt;"", R1144&lt;&gt;""), R1144-K1144, "")</f>
        <v/>
      </c>
      <c r="T1144" s="78" t="n"/>
      <c r="U1144" s="92">
        <f>IF(ISBLANK(P1144),"",IF(C1144="Buy",Q1144-M1144+T1144, IF(C1144="Sell",M1144-Q1144-T1144, X)))</f>
        <v/>
      </c>
      <c r="V1144" s="81">
        <f>IF(ISBLANK(P1144),"",U1144/N1144)</f>
        <v/>
      </c>
      <c r="W1144" s="81">
        <f>IF(ISBLANK(P1144),"",IF(S1144=0,(365/0.5)*V1144,(365/S1144)*V1144))</f>
        <v/>
      </c>
      <c r="X1144" s="75" t="n"/>
      <c r="Y1144" s="77" t="n"/>
      <c r="Z1144" s="77" t="n"/>
      <c r="AA1144" s="75" t="n"/>
      <c r="AB1144" s="75" t="n"/>
      <c r="AC1144" s="6" t="n"/>
      <c r="AD1144" s="75" t="n"/>
      <c r="AE1144" s="75" t="n"/>
      <c r="AF1144" s="75" t="n"/>
    </row>
    <row r="1145" ht="15.75" customHeight="1" s="133">
      <c r="A1145" s="75" t="n"/>
      <c r="B1145" s="75" t="n"/>
      <c r="C1145" s="75" t="n"/>
      <c r="D1145" s="75" t="n"/>
      <c r="E1145" s="76" t="n"/>
      <c r="F1145" s="77" t="n"/>
      <c r="G1145" s="75" t="n"/>
      <c r="H1145" s="75">
        <f>IF(ISBLANK(E1145),"",IF(OR(D1145="Butterfly",D1145="Butterfly ",D1145="Iron Fly", D1145="Iron Fly "),LEN(E1145)-LEN(SUBSTITUTE(E1145,"/",""))+2,LEN(E1145)-LEN(SUBSTITUTE(E1145,"/",""))+1))</f>
        <v/>
      </c>
      <c r="I1145" s="78">
        <f>IF(ISBLANK(G1145),"",IF(D1145="Stock","0",Key!$A$3*H1145*G1145))</f>
        <v/>
      </c>
      <c r="J1145" s="78">
        <f>IF(ISBLANK(E1145),"",IF(ISNUMBER(SEARCH("/",E1145)), IF(LEN(E1145)-LEN(SUBSTITUTE(E1145,"/",""))=1,(RIGHT(E1145,LEN(E1145)-FIND("/",E1145)))-(LEFT(E1145,FIND("/",E1145)-1)),(MID(E1145, SEARCH("/",E1145) + 1, SEARCH("/",E1145, SEARCH("/",E1145)+1) - SEARCH("/",E1145) - 1))-(LEFT(E1145,FIND("/",E1145)-1))), "NA"))</f>
        <v/>
      </c>
      <c r="K1145" s="79">
        <f>IF(A1145&lt;&gt;"", IF(ISBLANK(L1145), TODAY(), K1145), "")</f>
        <v/>
      </c>
      <c r="L1145" s="78" t="n"/>
      <c r="M1145" s="78">
        <f>IF(ISBLANK(L1145),"",IF(D1145="Stock",IF(C1145="Buy",L1145*G1145,IF(C1145="Sell",(L1145*G1145)-I1145, X)),IF(C1145="Buy",(L1145*G1145*100)+I1145,IF(C1145="Sell",(L1145*G1145*100)-I1145, X))))</f>
        <v/>
      </c>
      <c r="N1145" s="78">
        <f>IF(ISBLANK(L1145),"",IF(AND(C1145="Sell",D1145="Stock"),M1145,IF(ISBLANK(L1145),"",IF(C1145="Buy",M1145, IF(AND(C1145="Sell",J1145="NA"),(E1145*G1145*100*0.1)+I1145, IF(C1145="Sell",(J1145-L1145)*(100*G1145)+I1145))))))</f>
        <v/>
      </c>
      <c r="O1145" s="75" t="n"/>
      <c r="P1145" s="75" t="n"/>
      <c r="Q1145" s="75">
        <f>IF(ISBLANK(P1145),"",IF(D1145="Stock",P1145*G1145,IF(P1145=0,"0",G1145*P1145*100-(G1145*$AF$14))))</f>
        <v/>
      </c>
      <c r="R1145" s="79">
        <f>IF(P1145&lt;&gt;"", TODAY(), "")</f>
        <v/>
      </c>
      <c r="S1145" s="78">
        <f>IF(AND(K1145&lt;&gt;"", R1145&lt;&gt;""), R1145-K1145, "")</f>
        <v/>
      </c>
      <c r="T1145" s="78" t="n"/>
      <c r="U1145" s="92">
        <f>IF(ISBLANK(P1145),"",IF(C1145="Buy",Q1145-M1145+T1145, IF(C1145="Sell",M1145-Q1145-T1145, X)))</f>
        <v/>
      </c>
      <c r="V1145" s="81">
        <f>IF(ISBLANK(P1145),"",U1145/N1145)</f>
        <v/>
      </c>
      <c r="W1145" s="81">
        <f>IF(ISBLANK(P1145),"",IF(S1145=0,(365/0.5)*V1145,(365/S1145)*V1145))</f>
        <v/>
      </c>
      <c r="X1145" s="75" t="n"/>
      <c r="Y1145" s="77" t="n"/>
      <c r="Z1145" s="77" t="n"/>
      <c r="AA1145" s="75" t="n"/>
      <c r="AB1145" s="75" t="n"/>
      <c r="AC1145" s="6" t="n"/>
      <c r="AD1145" s="75" t="n"/>
      <c r="AE1145" s="75" t="n"/>
      <c r="AF1145" s="75" t="n"/>
    </row>
    <row r="1146" ht="15.75" customHeight="1" s="133">
      <c r="A1146" s="75" t="n"/>
      <c r="B1146" s="75" t="n"/>
      <c r="C1146" s="75" t="n"/>
      <c r="D1146" s="75" t="n"/>
      <c r="E1146" s="76" t="n"/>
      <c r="F1146" s="77" t="n"/>
      <c r="G1146" s="75" t="n"/>
      <c r="H1146" s="75">
        <f>IF(ISBLANK(E1146),"",IF(OR(D1146="Butterfly",D1146="Butterfly ",D1146="Iron Fly", D1146="Iron Fly "),LEN(E1146)-LEN(SUBSTITUTE(E1146,"/",""))+2,LEN(E1146)-LEN(SUBSTITUTE(E1146,"/",""))+1))</f>
        <v/>
      </c>
      <c r="I1146" s="78">
        <f>IF(ISBLANK(G1146),"",IF(D1146="Stock","0",Key!$A$3*H1146*G1146))</f>
        <v/>
      </c>
      <c r="J1146" s="78">
        <f>IF(ISBLANK(E1146),"",IF(ISNUMBER(SEARCH("/",E1146)), IF(LEN(E1146)-LEN(SUBSTITUTE(E1146,"/",""))=1,(RIGHT(E1146,LEN(E1146)-FIND("/",E1146)))-(LEFT(E1146,FIND("/",E1146)-1)),(MID(E1146, SEARCH("/",E1146) + 1, SEARCH("/",E1146, SEARCH("/",E1146)+1) - SEARCH("/",E1146) - 1))-(LEFT(E1146,FIND("/",E1146)-1))), "NA"))</f>
        <v/>
      </c>
      <c r="K1146" s="79">
        <f>IF(A1146&lt;&gt;"", IF(ISBLANK(L1146), TODAY(), K1146), "")</f>
        <v/>
      </c>
      <c r="L1146" s="78" t="n"/>
      <c r="M1146" s="78">
        <f>IF(ISBLANK(L1146),"",IF(D1146="Stock",IF(C1146="Buy",L1146*G1146,IF(C1146="Sell",(L1146*G1146)-I1146, X)),IF(C1146="Buy",(L1146*G1146*100)+I1146,IF(C1146="Sell",(L1146*G1146*100)-I1146, X))))</f>
        <v/>
      </c>
      <c r="N1146" s="78">
        <f>IF(ISBLANK(L1146),"",IF(AND(C1146="Sell",D1146="Stock"),M1146,IF(ISBLANK(L1146),"",IF(C1146="Buy",M1146, IF(AND(C1146="Sell",J1146="NA"),(E1146*G1146*100*0.1)+I1146, IF(C1146="Sell",(J1146-L1146)*(100*G1146)+I1146))))))</f>
        <v/>
      </c>
      <c r="O1146" s="75" t="n"/>
      <c r="P1146" s="75" t="n"/>
      <c r="Q1146" s="75">
        <f>IF(ISBLANK(P1146),"",IF(D1146="Stock",P1146*G1146,IF(P1146=0,"0",G1146*P1146*100-(G1146*$AF$14))))</f>
        <v/>
      </c>
      <c r="R1146" s="79">
        <f>IF(P1146&lt;&gt;"", TODAY(), "")</f>
        <v/>
      </c>
      <c r="S1146" s="78">
        <f>IF(AND(K1146&lt;&gt;"", R1146&lt;&gt;""), R1146-K1146, "")</f>
        <v/>
      </c>
      <c r="T1146" s="78" t="n"/>
      <c r="U1146" s="92">
        <f>IF(ISBLANK(P1146),"",IF(C1146="Buy",Q1146-M1146+T1146, IF(C1146="Sell",M1146-Q1146-T1146, X)))</f>
        <v/>
      </c>
      <c r="V1146" s="81">
        <f>IF(ISBLANK(P1146),"",U1146/N1146)</f>
        <v/>
      </c>
      <c r="W1146" s="81">
        <f>IF(ISBLANK(P1146),"",IF(S1146=0,(365/0.5)*V1146,(365/S1146)*V1146))</f>
        <v/>
      </c>
      <c r="X1146" s="75" t="n"/>
      <c r="Y1146" s="77" t="n"/>
      <c r="Z1146" s="77" t="n"/>
      <c r="AA1146" s="75" t="n"/>
      <c r="AB1146" s="75" t="n"/>
      <c r="AC1146" s="6" t="n"/>
      <c r="AD1146" s="75" t="n"/>
      <c r="AE1146" s="75" t="n"/>
      <c r="AF1146" s="75" t="n"/>
    </row>
    <row r="1147" ht="15.75" customHeight="1" s="133">
      <c r="A1147" s="75" t="n"/>
      <c r="B1147" s="75" t="n"/>
      <c r="C1147" s="75" t="n"/>
      <c r="D1147" s="75" t="n"/>
      <c r="E1147" s="76" t="n"/>
      <c r="F1147" s="77" t="n"/>
      <c r="G1147" s="75" t="n"/>
      <c r="H1147" s="75">
        <f>IF(ISBLANK(E1147),"",IF(OR(D1147="Butterfly",D1147="Butterfly ",D1147="Iron Fly", D1147="Iron Fly "),LEN(E1147)-LEN(SUBSTITUTE(E1147,"/",""))+2,LEN(E1147)-LEN(SUBSTITUTE(E1147,"/",""))+1))</f>
        <v/>
      </c>
      <c r="I1147" s="78">
        <f>IF(ISBLANK(G1147),"",IF(D1147="Stock","0",Key!$A$3*H1147*G1147))</f>
        <v/>
      </c>
      <c r="J1147" s="78">
        <f>IF(ISBLANK(E1147),"",IF(ISNUMBER(SEARCH("/",E1147)), IF(LEN(E1147)-LEN(SUBSTITUTE(E1147,"/",""))=1,(RIGHT(E1147,LEN(E1147)-FIND("/",E1147)))-(LEFT(E1147,FIND("/",E1147)-1)),(MID(E1147, SEARCH("/",E1147) + 1, SEARCH("/",E1147, SEARCH("/",E1147)+1) - SEARCH("/",E1147) - 1))-(LEFT(E1147,FIND("/",E1147)-1))), "NA"))</f>
        <v/>
      </c>
      <c r="K1147" s="79">
        <f>IF(A1147&lt;&gt;"", IF(ISBLANK(L1147), TODAY(), K1147), "")</f>
        <v/>
      </c>
      <c r="L1147" s="78" t="n"/>
      <c r="M1147" s="78">
        <f>IF(ISBLANK(L1147),"",IF(D1147="Stock",IF(C1147="Buy",L1147*G1147,IF(C1147="Sell",(L1147*G1147)-I1147, X)),IF(C1147="Buy",(L1147*G1147*100)+I1147,IF(C1147="Sell",(L1147*G1147*100)-I1147, X))))</f>
        <v/>
      </c>
      <c r="N1147" s="78">
        <f>IF(ISBLANK(L1147),"",IF(AND(C1147="Sell",D1147="Stock"),M1147,IF(ISBLANK(L1147),"",IF(C1147="Buy",M1147, IF(AND(C1147="Sell",J1147="NA"),(E1147*G1147*100*0.1)+I1147, IF(C1147="Sell",(J1147-L1147)*(100*G1147)+I1147))))))</f>
        <v/>
      </c>
      <c r="O1147" s="75" t="n"/>
      <c r="P1147" s="75" t="n"/>
      <c r="Q1147" s="75">
        <f>IF(ISBLANK(P1147),"",IF(D1147="Stock",P1147*G1147,IF(P1147=0,"0",G1147*P1147*100-(G1147*$AF$14))))</f>
        <v/>
      </c>
      <c r="R1147" s="79">
        <f>IF(P1147&lt;&gt;"", TODAY(), "")</f>
        <v/>
      </c>
      <c r="S1147" s="78">
        <f>IF(AND(K1147&lt;&gt;"", R1147&lt;&gt;""), R1147-K1147, "")</f>
        <v/>
      </c>
      <c r="T1147" s="78" t="n"/>
      <c r="U1147" s="92">
        <f>IF(ISBLANK(P1147),"",IF(C1147="Buy",Q1147-M1147+T1147, IF(C1147="Sell",M1147-Q1147-T1147, X)))</f>
        <v/>
      </c>
      <c r="V1147" s="81">
        <f>IF(ISBLANK(P1147),"",U1147/N1147)</f>
        <v/>
      </c>
      <c r="W1147" s="81">
        <f>IF(ISBLANK(P1147),"",IF(S1147=0,(365/0.5)*V1147,(365/S1147)*V1147))</f>
        <v/>
      </c>
      <c r="X1147" s="75" t="n"/>
      <c r="Y1147" s="77" t="n"/>
      <c r="Z1147" s="77" t="n"/>
      <c r="AA1147" s="75" t="n"/>
      <c r="AB1147" s="75" t="n"/>
      <c r="AC1147" s="6" t="n"/>
      <c r="AD1147" s="75" t="n"/>
      <c r="AE1147" s="75" t="n"/>
      <c r="AF1147" s="75" t="n"/>
    </row>
    <row r="1148" ht="15.75" customHeight="1" s="133">
      <c r="A1148" s="75" t="n"/>
      <c r="B1148" s="75" t="n"/>
      <c r="C1148" s="75" t="n"/>
      <c r="D1148" s="75" t="n"/>
      <c r="E1148" s="76" t="n"/>
      <c r="F1148" s="77" t="n"/>
      <c r="G1148" s="75" t="n"/>
      <c r="H1148" s="75">
        <f>IF(ISBLANK(E1148),"",IF(OR(D1148="Butterfly",D1148="Butterfly ",D1148="Iron Fly", D1148="Iron Fly "),LEN(E1148)-LEN(SUBSTITUTE(E1148,"/",""))+2,LEN(E1148)-LEN(SUBSTITUTE(E1148,"/",""))+1))</f>
        <v/>
      </c>
      <c r="I1148" s="78">
        <f>IF(ISBLANK(G1148),"",IF(D1148="Stock","0",Key!$A$3*H1148*G1148))</f>
        <v/>
      </c>
      <c r="J1148" s="78">
        <f>IF(ISBLANK(E1148),"",IF(ISNUMBER(SEARCH("/",E1148)), IF(LEN(E1148)-LEN(SUBSTITUTE(E1148,"/",""))=1,(RIGHT(E1148,LEN(E1148)-FIND("/",E1148)))-(LEFT(E1148,FIND("/",E1148)-1)),(MID(E1148, SEARCH("/",E1148) + 1, SEARCH("/",E1148, SEARCH("/",E1148)+1) - SEARCH("/",E1148) - 1))-(LEFT(E1148,FIND("/",E1148)-1))), "NA"))</f>
        <v/>
      </c>
      <c r="K1148" s="79">
        <f>IF(A1148&lt;&gt;"", IF(ISBLANK(L1148), TODAY(), K1148), "")</f>
        <v/>
      </c>
      <c r="L1148" s="78" t="n"/>
      <c r="M1148" s="78">
        <f>IF(ISBLANK(L1148),"",IF(D1148="Stock",IF(C1148="Buy",L1148*G1148,IF(C1148="Sell",(L1148*G1148)-I1148, X)),IF(C1148="Buy",(L1148*G1148*100)+I1148,IF(C1148="Sell",(L1148*G1148*100)-I1148, X))))</f>
        <v/>
      </c>
      <c r="N1148" s="78">
        <f>IF(ISBLANK(L1148),"",IF(AND(C1148="Sell",D1148="Stock"),M1148,IF(ISBLANK(L1148),"",IF(C1148="Buy",M1148, IF(AND(C1148="Sell",J1148="NA"),(E1148*G1148*100*0.1)+I1148, IF(C1148="Sell",(J1148-L1148)*(100*G1148)+I1148))))))</f>
        <v/>
      </c>
      <c r="O1148" s="75" t="n"/>
      <c r="P1148" s="75" t="n"/>
      <c r="Q1148" s="75">
        <f>IF(ISBLANK(P1148),"",IF(D1148="Stock",P1148*G1148,IF(P1148=0,"0",G1148*P1148*100-(G1148*$AF$14))))</f>
        <v/>
      </c>
      <c r="R1148" s="79">
        <f>IF(P1148&lt;&gt;"", TODAY(), "")</f>
        <v/>
      </c>
      <c r="S1148" s="78">
        <f>IF(AND(K1148&lt;&gt;"", R1148&lt;&gt;""), R1148-K1148, "")</f>
        <v/>
      </c>
      <c r="T1148" s="78" t="n"/>
      <c r="U1148" s="92">
        <f>IF(ISBLANK(P1148),"",IF(C1148="Buy",Q1148-M1148+T1148, IF(C1148="Sell",M1148-Q1148-T1148, X)))</f>
        <v/>
      </c>
      <c r="V1148" s="81">
        <f>IF(ISBLANK(P1148),"",U1148/N1148)</f>
        <v/>
      </c>
      <c r="W1148" s="81">
        <f>IF(ISBLANK(P1148),"",IF(S1148=0,(365/0.5)*V1148,(365/S1148)*V1148))</f>
        <v/>
      </c>
      <c r="X1148" s="75" t="n"/>
      <c r="Y1148" s="77" t="n"/>
      <c r="Z1148" s="77" t="n"/>
      <c r="AA1148" s="75" t="n"/>
      <c r="AB1148" s="75" t="n"/>
      <c r="AC1148" s="6" t="n"/>
      <c r="AD1148" s="75" t="n"/>
      <c r="AE1148" s="75" t="n"/>
      <c r="AF1148" s="75" t="n"/>
    </row>
    <row r="1149" ht="15.75" customHeight="1" s="133">
      <c r="A1149" s="75" t="n"/>
      <c r="B1149" s="75" t="n"/>
      <c r="C1149" s="75" t="n"/>
      <c r="D1149" s="75" t="n"/>
      <c r="E1149" s="76" t="n"/>
      <c r="F1149" s="77" t="n"/>
      <c r="G1149" s="75" t="n"/>
      <c r="H1149" s="75">
        <f>IF(ISBLANK(E1149),"",IF(OR(D1149="Butterfly",D1149="Butterfly ",D1149="Iron Fly", D1149="Iron Fly "),LEN(E1149)-LEN(SUBSTITUTE(E1149,"/",""))+2,LEN(E1149)-LEN(SUBSTITUTE(E1149,"/",""))+1))</f>
        <v/>
      </c>
      <c r="I1149" s="78">
        <f>IF(ISBLANK(G1149),"",IF(D1149="Stock","0",Key!$A$3*H1149*G1149))</f>
        <v/>
      </c>
      <c r="J1149" s="78">
        <f>IF(ISBLANK(E1149),"",IF(ISNUMBER(SEARCH("/",E1149)), IF(LEN(E1149)-LEN(SUBSTITUTE(E1149,"/",""))=1,(RIGHT(E1149,LEN(E1149)-FIND("/",E1149)))-(LEFT(E1149,FIND("/",E1149)-1)),(MID(E1149, SEARCH("/",E1149) + 1, SEARCH("/",E1149, SEARCH("/",E1149)+1) - SEARCH("/",E1149) - 1))-(LEFT(E1149,FIND("/",E1149)-1))), "NA"))</f>
        <v/>
      </c>
      <c r="K1149" s="79">
        <f>IF(A1149&lt;&gt;"", IF(ISBLANK(L1149), TODAY(), K1149), "")</f>
        <v/>
      </c>
      <c r="L1149" s="78" t="n"/>
      <c r="M1149" s="78">
        <f>IF(ISBLANK(L1149),"",IF(D1149="Stock",IF(C1149="Buy",L1149*G1149,IF(C1149="Sell",(L1149*G1149)-I1149, X)),IF(C1149="Buy",(L1149*G1149*100)+I1149,IF(C1149="Sell",(L1149*G1149*100)-I1149, X))))</f>
        <v/>
      </c>
      <c r="N1149" s="78">
        <f>IF(ISBLANK(L1149),"",IF(AND(C1149="Sell",D1149="Stock"),M1149,IF(ISBLANK(L1149),"",IF(C1149="Buy",M1149, IF(AND(C1149="Sell",J1149="NA"),(E1149*G1149*100*0.1)+I1149, IF(C1149="Sell",(J1149-L1149)*(100*G1149)+I1149))))))</f>
        <v/>
      </c>
      <c r="O1149" s="75" t="n"/>
      <c r="P1149" s="75" t="n"/>
      <c r="Q1149" s="75">
        <f>IF(ISBLANK(P1149),"",IF(D1149="Stock",P1149*G1149,IF(P1149=0,"0",G1149*P1149*100-(G1149*$AF$14))))</f>
        <v/>
      </c>
      <c r="R1149" s="79">
        <f>IF(P1149&lt;&gt;"", TODAY(), "")</f>
        <v/>
      </c>
      <c r="S1149" s="78">
        <f>IF(AND(K1149&lt;&gt;"", R1149&lt;&gt;""), R1149-K1149, "")</f>
        <v/>
      </c>
      <c r="T1149" s="78" t="n"/>
      <c r="U1149" s="92">
        <f>IF(ISBLANK(P1149),"",IF(C1149="Buy",Q1149-M1149+T1149, IF(C1149="Sell",M1149-Q1149-T1149, X)))</f>
        <v/>
      </c>
      <c r="V1149" s="81">
        <f>IF(ISBLANK(P1149),"",U1149/N1149)</f>
        <v/>
      </c>
      <c r="W1149" s="81">
        <f>IF(ISBLANK(P1149),"",IF(S1149=0,(365/0.5)*V1149,(365/S1149)*V1149))</f>
        <v/>
      </c>
      <c r="X1149" s="75" t="n"/>
      <c r="Y1149" s="77" t="n"/>
      <c r="Z1149" s="77" t="n"/>
      <c r="AA1149" s="75" t="n"/>
      <c r="AB1149" s="75" t="n"/>
      <c r="AC1149" s="6" t="n"/>
      <c r="AD1149" s="75" t="n"/>
      <c r="AE1149" s="75" t="n"/>
      <c r="AF1149" s="75" t="n"/>
    </row>
    <row r="1150" ht="15.75" customHeight="1" s="133">
      <c r="A1150" s="75" t="n"/>
      <c r="B1150" s="75" t="n"/>
      <c r="C1150" s="75" t="n"/>
      <c r="D1150" s="75" t="n"/>
      <c r="E1150" s="76" t="n"/>
      <c r="F1150" s="77" t="n"/>
      <c r="G1150" s="75" t="n"/>
      <c r="H1150" s="75">
        <f>IF(ISBLANK(E1150),"",IF(OR(D1150="Butterfly",D1150="Butterfly ",D1150="Iron Fly", D1150="Iron Fly "),LEN(E1150)-LEN(SUBSTITUTE(E1150,"/",""))+2,LEN(E1150)-LEN(SUBSTITUTE(E1150,"/",""))+1))</f>
        <v/>
      </c>
      <c r="I1150" s="78">
        <f>IF(ISBLANK(G1150),"",IF(D1150="Stock","0",Key!$A$3*H1150*G1150))</f>
        <v/>
      </c>
      <c r="J1150" s="78">
        <f>IF(ISBLANK(E1150),"",IF(ISNUMBER(SEARCH("/",E1150)), IF(LEN(E1150)-LEN(SUBSTITUTE(E1150,"/",""))=1,(RIGHT(E1150,LEN(E1150)-FIND("/",E1150)))-(LEFT(E1150,FIND("/",E1150)-1)),(MID(E1150, SEARCH("/",E1150) + 1, SEARCH("/",E1150, SEARCH("/",E1150)+1) - SEARCH("/",E1150) - 1))-(LEFT(E1150,FIND("/",E1150)-1))), "NA"))</f>
        <v/>
      </c>
      <c r="K1150" s="79">
        <f>IF(A1150&lt;&gt;"", IF(ISBLANK(L1150), TODAY(), K1150), "")</f>
        <v/>
      </c>
      <c r="L1150" s="78" t="n"/>
      <c r="M1150" s="78">
        <f>IF(ISBLANK(L1150),"",IF(D1150="Stock",IF(C1150="Buy",L1150*G1150,IF(C1150="Sell",(L1150*G1150)-I1150, X)),IF(C1150="Buy",(L1150*G1150*100)+I1150,IF(C1150="Sell",(L1150*G1150*100)-I1150, X))))</f>
        <v/>
      </c>
      <c r="N1150" s="78">
        <f>IF(ISBLANK(L1150),"",IF(AND(C1150="Sell",D1150="Stock"),M1150,IF(ISBLANK(L1150),"",IF(C1150="Buy",M1150, IF(AND(C1150="Sell",J1150="NA"),(E1150*G1150*100*0.1)+I1150, IF(C1150="Sell",(J1150-L1150)*(100*G1150)+I1150))))))</f>
        <v/>
      </c>
      <c r="O1150" s="75" t="n"/>
      <c r="P1150" s="75" t="n"/>
      <c r="Q1150" s="75">
        <f>IF(ISBLANK(P1150),"",IF(D1150="Stock",P1150*G1150,IF(P1150=0,"0",G1150*P1150*100-(G1150*$AF$14))))</f>
        <v/>
      </c>
      <c r="R1150" s="79">
        <f>IF(P1150&lt;&gt;"", TODAY(), "")</f>
        <v/>
      </c>
      <c r="S1150" s="78">
        <f>IF(AND(K1150&lt;&gt;"", R1150&lt;&gt;""), R1150-K1150, "")</f>
        <v/>
      </c>
      <c r="T1150" s="78" t="n"/>
      <c r="U1150" s="92">
        <f>IF(ISBLANK(P1150),"",IF(C1150="Buy",Q1150-M1150+T1150, IF(C1150="Sell",M1150-Q1150-T1150, X)))</f>
        <v/>
      </c>
      <c r="V1150" s="81">
        <f>IF(ISBLANK(P1150),"",U1150/N1150)</f>
        <v/>
      </c>
      <c r="W1150" s="81">
        <f>IF(ISBLANK(P1150),"",IF(S1150=0,(365/0.5)*V1150,(365/S1150)*V1150))</f>
        <v/>
      </c>
      <c r="X1150" s="75" t="n"/>
      <c r="Y1150" s="77" t="n"/>
      <c r="Z1150" s="77" t="n"/>
      <c r="AA1150" s="75" t="n"/>
      <c r="AB1150" s="75" t="n"/>
      <c r="AC1150" s="6" t="n"/>
      <c r="AD1150" s="75" t="n"/>
      <c r="AE1150" s="75" t="n"/>
      <c r="AF1150" s="75" t="n"/>
    </row>
    <row r="1151" ht="15.75" customHeight="1" s="133">
      <c r="A1151" s="75" t="n"/>
      <c r="B1151" s="75" t="n"/>
      <c r="C1151" s="75" t="n"/>
      <c r="D1151" s="75" t="n"/>
      <c r="E1151" s="76" t="n"/>
      <c r="F1151" s="77" t="n"/>
      <c r="G1151" s="75" t="n"/>
      <c r="H1151" s="75">
        <f>IF(ISBLANK(E1151),"",IF(OR(D1151="Butterfly",D1151="Butterfly ",D1151="Iron Fly", D1151="Iron Fly "),LEN(E1151)-LEN(SUBSTITUTE(E1151,"/",""))+2,LEN(E1151)-LEN(SUBSTITUTE(E1151,"/",""))+1))</f>
        <v/>
      </c>
      <c r="I1151" s="78">
        <f>IF(ISBLANK(G1151),"",IF(D1151="Stock","0",Key!$A$3*H1151*G1151))</f>
        <v/>
      </c>
      <c r="J1151" s="78">
        <f>IF(ISBLANK(E1151),"",IF(ISNUMBER(SEARCH("/",E1151)), IF(LEN(E1151)-LEN(SUBSTITUTE(E1151,"/",""))=1,(RIGHT(E1151,LEN(E1151)-FIND("/",E1151)))-(LEFT(E1151,FIND("/",E1151)-1)),(MID(E1151, SEARCH("/",E1151) + 1, SEARCH("/",E1151, SEARCH("/",E1151)+1) - SEARCH("/",E1151) - 1))-(LEFT(E1151,FIND("/",E1151)-1))), "NA"))</f>
        <v/>
      </c>
      <c r="K1151" s="79">
        <f>IF(A1151&lt;&gt;"", IF(ISBLANK(L1151), TODAY(), K1151), "")</f>
        <v/>
      </c>
      <c r="L1151" s="78" t="n"/>
      <c r="M1151" s="78">
        <f>IF(ISBLANK(L1151),"",IF(D1151="Stock",IF(C1151="Buy",L1151*G1151,IF(C1151="Sell",(L1151*G1151)-I1151, X)),IF(C1151="Buy",(L1151*G1151*100)+I1151,IF(C1151="Sell",(L1151*G1151*100)-I1151, X))))</f>
        <v/>
      </c>
      <c r="N1151" s="78">
        <f>IF(ISBLANK(L1151),"",IF(AND(C1151="Sell",D1151="Stock"),M1151,IF(ISBLANK(L1151),"",IF(C1151="Buy",M1151, IF(AND(C1151="Sell",J1151="NA"),(E1151*G1151*100*0.1)+I1151, IF(C1151="Sell",(J1151-L1151)*(100*G1151)+I1151))))))</f>
        <v/>
      </c>
      <c r="O1151" s="75" t="n"/>
      <c r="P1151" s="75" t="n"/>
      <c r="Q1151" s="75">
        <f>IF(ISBLANK(P1151),"",IF(D1151="Stock",P1151*G1151,IF(P1151=0,"0",G1151*P1151*100-(G1151*$AF$14))))</f>
        <v/>
      </c>
      <c r="R1151" s="79">
        <f>IF(P1151&lt;&gt;"", TODAY(), "")</f>
        <v/>
      </c>
      <c r="S1151" s="78">
        <f>IF(AND(K1151&lt;&gt;"", R1151&lt;&gt;""), R1151-K1151, "")</f>
        <v/>
      </c>
      <c r="T1151" s="78" t="n"/>
      <c r="U1151" s="92">
        <f>IF(ISBLANK(P1151),"",IF(C1151="Buy",Q1151-M1151+T1151, IF(C1151="Sell",M1151-Q1151-T1151, X)))</f>
        <v/>
      </c>
      <c r="V1151" s="81">
        <f>IF(ISBLANK(P1151),"",U1151/N1151)</f>
        <v/>
      </c>
      <c r="W1151" s="81">
        <f>IF(ISBLANK(P1151),"",IF(S1151=0,(365/0.5)*V1151,(365/S1151)*V1151))</f>
        <v/>
      </c>
      <c r="X1151" s="75" t="n"/>
      <c r="Y1151" s="77" t="n"/>
      <c r="Z1151" s="77" t="n"/>
      <c r="AA1151" s="75" t="n"/>
      <c r="AB1151" s="75" t="n"/>
      <c r="AC1151" s="6" t="n"/>
      <c r="AD1151" s="75" t="n"/>
      <c r="AE1151" s="75" t="n"/>
      <c r="AF1151" s="75" t="n"/>
    </row>
    <row r="1152" ht="15.75" customHeight="1" s="133">
      <c r="A1152" s="75" t="n"/>
      <c r="B1152" s="75" t="n"/>
      <c r="C1152" s="75" t="n"/>
      <c r="D1152" s="75" t="n"/>
      <c r="E1152" s="76" t="n"/>
      <c r="F1152" s="77" t="n"/>
      <c r="G1152" s="75" t="n"/>
      <c r="H1152" s="75">
        <f>IF(ISBLANK(E1152),"",IF(OR(D1152="Butterfly",D1152="Butterfly ",D1152="Iron Fly", D1152="Iron Fly "),LEN(E1152)-LEN(SUBSTITUTE(E1152,"/",""))+2,LEN(E1152)-LEN(SUBSTITUTE(E1152,"/",""))+1))</f>
        <v/>
      </c>
      <c r="I1152" s="78">
        <f>IF(ISBLANK(G1152),"",IF(D1152="Stock","0",Key!$A$3*H1152*G1152))</f>
        <v/>
      </c>
      <c r="J1152" s="78">
        <f>IF(ISBLANK(E1152),"",IF(ISNUMBER(SEARCH("/",E1152)), IF(LEN(E1152)-LEN(SUBSTITUTE(E1152,"/",""))=1,(RIGHT(E1152,LEN(E1152)-FIND("/",E1152)))-(LEFT(E1152,FIND("/",E1152)-1)),(MID(E1152, SEARCH("/",E1152) + 1, SEARCH("/",E1152, SEARCH("/",E1152)+1) - SEARCH("/",E1152) - 1))-(LEFT(E1152,FIND("/",E1152)-1))), "NA"))</f>
        <v/>
      </c>
      <c r="K1152" s="79">
        <f>IF(A1152&lt;&gt;"", IF(ISBLANK(L1152), TODAY(), K1152), "")</f>
        <v/>
      </c>
      <c r="L1152" s="78" t="n"/>
      <c r="M1152" s="78">
        <f>IF(ISBLANK(L1152),"",IF(D1152="Stock",IF(C1152="Buy",L1152*G1152,IF(C1152="Sell",(L1152*G1152)-I1152, X)),IF(C1152="Buy",(L1152*G1152*100)+I1152,IF(C1152="Sell",(L1152*G1152*100)-I1152, X))))</f>
        <v/>
      </c>
      <c r="N1152" s="78">
        <f>IF(ISBLANK(L1152),"",IF(AND(C1152="Sell",D1152="Stock"),M1152,IF(ISBLANK(L1152),"",IF(C1152="Buy",M1152, IF(AND(C1152="Sell",J1152="NA"),(E1152*G1152*100*0.1)+I1152, IF(C1152="Sell",(J1152-L1152)*(100*G1152)+I1152))))))</f>
        <v/>
      </c>
      <c r="O1152" s="75" t="n"/>
      <c r="P1152" s="75" t="n"/>
      <c r="Q1152" s="75">
        <f>IF(ISBLANK(P1152),"",IF(D1152="Stock",P1152*G1152,IF(P1152=0,"0",G1152*P1152*100-(G1152*$AF$14))))</f>
        <v/>
      </c>
      <c r="R1152" s="79">
        <f>IF(P1152&lt;&gt;"", TODAY(), "")</f>
        <v/>
      </c>
      <c r="S1152" s="78">
        <f>IF(AND(K1152&lt;&gt;"", R1152&lt;&gt;""), R1152-K1152, "")</f>
        <v/>
      </c>
      <c r="T1152" s="78" t="n"/>
      <c r="U1152" s="92">
        <f>IF(ISBLANK(P1152),"",IF(C1152="Buy",Q1152-M1152+T1152, IF(C1152="Sell",M1152-Q1152-T1152, X)))</f>
        <v/>
      </c>
      <c r="V1152" s="81">
        <f>IF(ISBLANK(P1152),"",U1152/N1152)</f>
        <v/>
      </c>
      <c r="W1152" s="81">
        <f>IF(ISBLANK(P1152),"",IF(S1152=0,(365/0.5)*V1152,(365/S1152)*V1152))</f>
        <v/>
      </c>
      <c r="X1152" s="75" t="n"/>
      <c r="Y1152" s="77" t="n"/>
      <c r="Z1152" s="77" t="n"/>
      <c r="AA1152" s="75" t="n"/>
      <c r="AB1152" s="75" t="n"/>
      <c r="AC1152" s="6" t="n"/>
      <c r="AD1152" s="75" t="n"/>
      <c r="AE1152" s="75" t="n"/>
      <c r="AF1152" s="75" t="n"/>
    </row>
    <row r="1153" ht="15.75" customHeight="1" s="133">
      <c r="A1153" s="75" t="n"/>
      <c r="B1153" s="75" t="n"/>
      <c r="C1153" s="75" t="n"/>
      <c r="D1153" s="75" t="n"/>
      <c r="E1153" s="76" t="n"/>
      <c r="F1153" s="77" t="n"/>
      <c r="G1153" s="75" t="n"/>
      <c r="H1153" s="75">
        <f>IF(ISBLANK(E1153),"",IF(OR(D1153="Butterfly",D1153="Butterfly ",D1153="Iron Fly", D1153="Iron Fly "),LEN(E1153)-LEN(SUBSTITUTE(E1153,"/",""))+2,LEN(E1153)-LEN(SUBSTITUTE(E1153,"/",""))+1))</f>
        <v/>
      </c>
      <c r="I1153" s="78">
        <f>IF(ISBLANK(G1153),"",IF(D1153="Stock","0",Key!$A$3*H1153*G1153))</f>
        <v/>
      </c>
      <c r="J1153" s="78">
        <f>IF(ISBLANK(E1153),"",IF(ISNUMBER(SEARCH("/",E1153)), IF(LEN(E1153)-LEN(SUBSTITUTE(E1153,"/",""))=1,(RIGHT(E1153,LEN(E1153)-FIND("/",E1153)))-(LEFT(E1153,FIND("/",E1153)-1)),(MID(E1153, SEARCH("/",E1153) + 1, SEARCH("/",E1153, SEARCH("/",E1153)+1) - SEARCH("/",E1153) - 1))-(LEFT(E1153,FIND("/",E1153)-1))), "NA"))</f>
        <v/>
      </c>
      <c r="K1153" s="79">
        <f>IF(A1153&lt;&gt;"", IF(ISBLANK(L1153), TODAY(), K1153), "")</f>
        <v/>
      </c>
      <c r="L1153" s="78" t="n"/>
      <c r="M1153" s="78">
        <f>IF(ISBLANK(L1153),"",IF(D1153="Stock",IF(C1153="Buy",L1153*G1153,IF(C1153="Sell",(L1153*G1153)-I1153, X)),IF(C1153="Buy",(L1153*G1153*100)+I1153,IF(C1153="Sell",(L1153*G1153*100)-I1153, X))))</f>
        <v/>
      </c>
      <c r="N1153" s="78">
        <f>IF(ISBLANK(L1153),"",IF(AND(C1153="Sell",D1153="Stock"),M1153,IF(ISBLANK(L1153),"",IF(C1153="Buy",M1153, IF(AND(C1153="Sell",J1153="NA"),(E1153*G1153*100*0.1)+I1153, IF(C1153="Sell",(J1153-L1153)*(100*G1153)+I1153))))))</f>
        <v/>
      </c>
      <c r="O1153" s="75" t="n"/>
      <c r="P1153" s="75" t="n"/>
      <c r="Q1153" s="75">
        <f>IF(ISBLANK(P1153),"",IF(D1153="Stock",P1153*G1153,IF(P1153=0,"0",G1153*P1153*100-(G1153*$AF$14))))</f>
        <v/>
      </c>
      <c r="R1153" s="79">
        <f>IF(P1153&lt;&gt;"", TODAY(), "")</f>
        <v/>
      </c>
      <c r="S1153" s="78">
        <f>IF(AND(K1153&lt;&gt;"", R1153&lt;&gt;""), R1153-K1153, "")</f>
        <v/>
      </c>
      <c r="T1153" s="78" t="n"/>
      <c r="U1153" s="92">
        <f>IF(ISBLANK(P1153),"",IF(C1153="Buy",Q1153-M1153+T1153, IF(C1153="Sell",M1153-Q1153-T1153, X)))</f>
        <v/>
      </c>
      <c r="V1153" s="81">
        <f>IF(ISBLANK(P1153),"",U1153/N1153)</f>
        <v/>
      </c>
      <c r="W1153" s="81">
        <f>IF(ISBLANK(P1153),"",IF(S1153=0,(365/0.5)*V1153,(365/S1153)*V1153))</f>
        <v/>
      </c>
      <c r="X1153" s="75" t="n"/>
      <c r="Y1153" s="77" t="n"/>
      <c r="Z1153" s="77" t="n"/>
      <c r="AA1153" s="75" t="n"/>
      <c r="AB1153" s="75" t="n"/>
      <c r="AC1153" s="6" t="n"/>
      <c r="AD1153" s="75" t="n"/>
      <c r="AE1153" s="75" t="n"/>
      <c r="AF1153" s="75" t="n"/>
    </row>
    <row r="1154" ht="15.75" customHeight="1" s="133">
      <c r="A1154" s="75" t="n"/>
      <c r="B1154" s="75" t="n"/>
      <c r="C1154" s="75" t="n"/>
      <c r="D1154" s="75" t="n"/>
      <c r="E1154" s="76" t="n"/>
      <c r="F1154" s="77" t="n"/>
      <c r="G1154" s="75" t="n"/>
      <c r="H1154" s="75">
        <f>IF(ISBLANK(E1154),"",IF(OR(D1154="Butterfly",D1154="Butterfly ",D1154="Iron Fly", D1154="Iron Fly "),LEN(E1154)-LEN(SUBSTITUTE(E1154,"/",""))+2,LEN(E1154)-LEN(SUBSTITUTE(E1154,"/",""))+1))</f>
        <v/>
      </c>
      <c r="I1154" s="78">
        <f>IF(ISBLANK(G1154),"",IF(D1154="Stock","0",Key!$A$3*H1154*G1154))</f>
        <v/>
      </c>
      <c r="J1154" s="78">
        <f>IF(ISBLANK(E1154),"",IF(ISNUMBER(SEARCH("/",E1154)), IF(LEN(E1154)-LEN(SUBSTITUTE(E1154,"/",""))=1,(RIGHT(E1154,LEN(E1154)-FIND("/",E1154)))-(LEFT(E1154,FIND("/",E1154)-1)),(MID(E1154, SEARCH("/",E1154) + 1, SEARCH("/",E1154, SEARCH("/",E1154)+1) - SEARCH("/",E1154) - 1))-(LEFT(E1154,FIND("/",E1154)-1))), "NA"))</f>
        <v/>
      </c>
      <c r="K1154" s="79">
        <f>IF(A1154&lt;&gt;"", IF(ISBLANK(L1154), TODAY(), K1154), "")</f>
        <v/>
      </c>
      <c r="L1154" s="78" t="n"/>
      <c r="M1154" s="78">
        <f>IF(ISBLANK(L1154),"",IF(D1154="Stock",IF(C1154="Buy",L1154*G1154,IF(C1154="Sell",(L1154*G1154)-I1154, X)),IF(C1154="Buy",(L1154*G1154*100)+I1154,IF(C1154="Sell",(L1154*G1154*100)-I1154, X))))</f>
        <v/>
      </c>
      <c r="N1154" s="78">
        <f>IF(ISBLANK(L1154),"",IF(AND(C1154="Sell",D1154="Stock"),M1154,IF(ISBLANK(L1154),"",IF(C1154="Buy",M1154, IF(AND(C1154="Sell",J1154="NA"),(E1154*G1154*100*0.1)+I1154, IF(C1154="Sell",(J1154-L1154)*(100*G1154)+I1154))))))</f>
        <v/>
      </c>
      <c r="O1154" s="75" t="n"/>
      <c r="P1154" s="75" t="n"/>
      <c r="Q1154" s="75">
        <f>IF(ISBLANK(P1154),"",IF(D1154="Stock",P1154*G1154,IF(P1154=0,"0",G1154*P1154*100-(G1154*$AF$14))))</f>
        <v/>
      </c>
      <c r="R1154" s="79">
        <f>IF(P1154&lt;&gt;"", TODAY(), "")</f>
        <v/>
      </c>
      <c r="S1154" s="78">
        <f>IF(AND(K1154&lt;&gt;"", R1154&lt;&gt;""), R1154-K1154, "")</f>
        <v/>
      </c>
      <c r="T1154" s="78" t="n"/>
      <c r="U1154" s="92">
        <f>IF(ISBLANK(P1154),"",IF(C1154="Buy",Q1154-M1154+T1154, IF(C1154="Sell",M1154-Q1154-T1154, X)))</f>
        <v/>
      </c>
      <c r="V1154" s="81">
        <f>IF(ISBLANK(P1154),"",U1154/N1154)</f>
        <v/>
      </c>
      <c r="W1154" s="81">
        <f>IF(ISBLANK(P1154),"",IF(S1154=0,(365/0.5)*V1154,(365/S1154)*V1154))</f>
        <v/>
      </c>
      <c r="X1154" s="75" t="n"/>
      <c r="Y1154" s="77" t="n"/>
      <c r="Z1154" s="77" t="n"/>
      <c r="AA1154" s="75" t="n"/>
      <c r="AB1154" s="75" t="n"/>
      <c r="AC1154" s="6" t="n"/>
      <c r="AD1154" s="75" t="n"/>
      <c r="AE1154" s="75" t="n"/>
      <c r="AF1154" s="75" t="n"/>
    </row>
    <row r="1155" ht="15.75" customHeight="1" s="133">
      <c r="A1155" s="75" t="n"/>
      <c r="B1155" s="75" t="n"/>
      <c r="C1155" s="75" t="n"/>
      <c r="D1155" s="75" t="n"/>
      <c r="E1155" s="76" t="n"/>
      <c r="F1155" s="77" t="n"/>
      <c r="G1155" s="75" t="n"/>
      <c r="H1155" s="75">
        <f>IF(ISBLANK(E1155),"",IF(OR(D1155="Butterfly",D1155="Butterfly ",D1155="Iron Fly", D1155="Iron Fly "),LEN(E1155)-LEN(SUBSTITUTE(E1155,"/",""))+2,LEN(E1155)-LEN(SUBSTITUTE(E1155,"/",""))+1))</f>
        <v/>
      </c>
      <c r="I1155" s="78">
        <f>IF(ISBLANK(G1155),"",IF(D1155="Stock","0",Key!$A$3*H1155*G1155))</f>
        <v/>
      </c>
      <c r="J1155" s="78">
        <f>IF(ISBLANK(E1155),"",IF(ISNUMBER(SEARCH("/",E1155)), IF(LEN(E1155)-LEN(SUBSTITUTE(E1155,"/",""))=1,(RIGHT(E1155,LEN(E1155)-FIND("/",E1155)))-(LEFT(E1155,FIND("/",E1155)-1)),(MID(E1155, SEARCH("/",E1155) + 1, SEARCH("/",E1155, SEARCH("/",E1155)+1) - SEARCH("/",E1155) - 1))-(LEFT(E1155,FIND("/",E1155)-1))), "NA"))</f>
        <v/>
      </c>
      <c r="K1155" s="79">
        <f>IF(A1155&lt;&gt;"", IF(ISBLANK(L1155), TODAY(), K1155), "")</f>
        <v/>
      </c>
      <c r="L1155" s="78" t="n"/>
      <c r="M1155" s="78">
        <f>IF(ISBLANK(L1155),"",IF(D1155="Stock",IF(C1155="Buy",L1155*G1155,IF(C1155="Sell",(L1155*G1155)-I1155, X)),IF(C1155="Buy",(L1155*G1155*100)+I1155,IF(C1155="Sell",(L1155*G1155*100)-I1155, X))))</f>
        <v/>
      </c>
      <c r="N1155" s="78">
        <f>IF(ISBLANK(L1155),"",IF(AND(C1155="Sell",D1155="Stock"),M1155,IF(ISBLANK(L1155),"",IF(C1155="Buy",M1155, IF(AND(C1155="Sell",J1155="NA"),(E1155*G1155*100*0.1)+I1155, IF(C1155="Sell",(J1155-L1155)*(100*G1155)+I1155))))))</f>
        <v/>
      </c>
      <c r="O1155" s="75" t="n"/>
      <c r="P1155" s="75" t="n"/>
      <c r="Q1155" s="75">
        <f>IF(ISBLANK(P1155),"",IF(D1155="Stock",P1155*G1155,IF(P1155=0,"0",G1155*P1155*100-(G1155*$AF$14))))</f>
        <v/>
      </c>
      <c r="R1155" s="79">
        <f>IF(P1155&lt;&gt;"", TODAY(), "")</f>
        <v/>
      </c>
      <c r="S1155" s="78">
        <f>IF(AND(K1155&lt;&gt;"", R1155&lt;&gt;""), R1155-K1155, "")</f>
        <v/>
      </c>
      <c r="T1155" s="78" t="n"/>
      <c r="U1155" s="92">
        <f>IF(ISBLANK(P1155),"",IF(C1155="Buy",Q1155-M1155+T1155, IF(C1155="Sell",M1155-Q1155-T1155, X)))</f>
        <v/>
      </c>
      <c r="V1155" s="81">
        <f>IF(ISBLANK(P1155),"",U1155/N1155)</f>
        <v/>
      </c>
      <c r="W1155" s="81">
        <f>IF(ISBLANK(P1155),"",IF(S1155=0,(365/0.5)*V1155,(365/S1155)*V1155))</f>
        <v/>
      </c>
      <c r="X1155" s="75" t="n"/>
      <c r="Y1155" s="77" t="n"/>
      <c r="Z1155" s="77" t="n"/>
      <c r="AA1155" s="75" t="n"/>
      <c r="AB1155" s="75" t="n"/>
      <c r="AC1155" s="6" t="n"/>
      <c r="AD1155" s="75" t="n"/>
      <c r="AE1155" s="75" t="n"/>
      <c r="AF1155" s="75" t="n"/>
    </row>
    <row r="1156" ht="15.75" customHeight="1" s="133">
      <c r="A1156" s="75" t="n"/>
      <c r="B1156" s="75" t="n"/>
      <c r="C1156" s="75" t="n"/>
      <c r="D1156" s="75" t="n"/>
      <c r="E1156" s="76" t="n"/>
      <c r="F1156" s="77" t="n"/>
      <c r="G1156" s="75" t="n"/>
      <c r="H1156" s="75">
        <f>IF(ISBLANK(E1156),"",IF(OR(D1156="Butterfly",D1156="Butterfly ",D1156="Iron Fly", D1156="Iron Fly "),LEN(E1156)-LEN(SUBSTITUTE(E1156,"/",""))+2,LEN(E1156)-LEN(SUBSTITUTE(E1156,"/",""))+1))</f>
        <v/>
      </c>
      <c r="I1156" s="78">
        <f>IF(ISBLANK(G1156),"",IF(D1156="Stock","0",Key!$A$3*H1156*G1156))</f>
        <v/>
      </c>
      <c r="J1156" s="78">
        <f>IF(ISBLANK(E1156),"",IF(ISNUMBER(SEARCH("/",E1156)), IF(LEN(E1156)-LEN(SUBSTITUTE(E1156,"/",""))=1,(RIGHT(E1156,LEN(E1156)-FIND("/",E1156)))-(LEFT(E1156,FIND("/",E1156)-1)),(MID(E1156, SEARCH("/",E1156) + 1, SEARCH("/",E1156, SEARCH("/",E1156)+1) - SEARCH("/",E1156) - 1))-(LEFT(E1156,FIND("/",E1156)-1))), "NA"))</f>
        <v/>
      </c>
      <c r="K1156" s="79">
        <f>IF(A1156&lt;&gt;"", IF(ISBLANK(L1156), TODAY(), K1156), "")</f>
        <v/>
      </c>
      <c r="L1156" s="78" t="n"/>
      <c r="M1156" s="78">
        <f>IF(ISBLANK(L1156),"",IF(D1156="Stock",IF(C1156="Buy",L1156*G1156,IF(C1156="Sell",(L1156*G1156)-I1156, X)),IF(C1156="Buy",(L1156*G1156*100)+I1156,IF(C1156="Sell",(L1156*G1156*100)-I1156, X))))</f>
        <v/>
      </c>
      <c r="N1156" s="78">
        <f>IF(ISBLANK(L1156),"",IF(AND(C1156="Sell",D1156="Stock"),M1156,IF(ISBLANK(L1156),"",IF(C1156="Buy",M1156, IF(AND(C1156="Sell",J1156="NA"),(E1156*G1156*100*0.1)+I1156, IF(C1156="Sell",(J1156-L1156)*(100*G1156)+I1156))))))</f>
        <v/>
      </c>
      <c r="O1156" s="75" t="n"/>
      <c r="P1156" s="75" t="n"/>
      <c r="Q1156" s="75">
        <f>IF(ISBLANK(P1156),"",IF(D1156="Stock",P1156*G1156,IF(P1156=0,"0",G1156*P1156*100-(G1156*$AF$14))))</f>
        <v/>
      </c>
      <c r="R1156" s="79">
        <f>IF(P1156&lt;&gt;"", TODAY(), "")</f>
        <v/>
      </c>
      <c r="S1156" s="78">
        <f>IF(AND(K1156&lt;&gt;"", R1156&lt;&gt;""), R1156-K1156, "")</f>
        <v/>
      </c>
      <c r="T1156" s="78" t="n"/>
      <c r="U1156" s="92">
        <f>IF(ISBLANK(P1156),"",IF(C1156="Buy",Q1156-M1156+T1156, IF(C1156="Sell",M1156-Q1156-T1156, X)))</f>
        <v/>
      </c>
      <c r="V1156" s="81">
        <f>IF(ISBLANK(P1156),"",U1156/N1156)</f>
        <v/>
      </c>
      <c r="W1156" s="81">
        <f>IF(ISBLANK(P1156),"",IF(S1156=0,(365/0.5)*V1156,(365/S1156)*V1156))</f>
        <v/>
      </c>
      <c r="X1156" s="75" t="n"/>
      <c r="Y1156" s="77" t="n"/>
      <c r="Z1156" s="77" t="n"/>
      <c r="AA1156" s="75" t="n"/>
      <c r="AB1156" s="75" t="n"/>
      <c r="AC1156" s="6" t="n"/>
      <c r="AD1156" s="75" t="n"/>
      <c r="AE1156" s="75" t="n"/>
      <c r="AF1156" s="75" t="n"/>
    </row>
    <row r="1157" ht="15.75" customHeight="1" s="133">
      <c r="A1157" s="75" t="n"/>
      <c r="B1157" s="75" t="n"/>
      <c r="C1157" s="75" t="n"/>
      <c r="D1157" s="75" t="n"/>
      <c r="E1157" s="76" t="n"/>
      <c r="F1157" s="77" t="n"/>
      <c r="G1157" s="75" t="n"/>
      <c r="H1157" s="75">
        <f>IF(ISBLANK(E1157),"",IF(OR(D1157="Butterfly",D1157="Butterfly ",D1157="Iron Fly", D1157="Iron Fly "),LEN(E1157)-LEN(SUBSTITUTE(E1157,"/",""))+2,LEN(E1157)-LEN(SUBSTITUTE(E1157,"/",""))+1))</f>
        <v/>
      </c>
      <c r="I1157" s="78">
        <f>IF(ISBLANK(G1157),"",IF(D1157="Stock","0",Key!$A$3*H1157*G1157))</f>
        <v/>
      </c>
      <c r="J1157" s="78">
        <f>IF(ISBLANK(E1157),"",IF(ISNUMBER(SEARCH("/",E1157)), IF(LEN(E1157)-LEN(SUBSTITUTE(E1157,"/",""))=1,(RIGHT(E1157,LEN(E1157)-FIND("/",E1157)))-(LEFT(E1157,FIND("/",E1157)-1)),(MID(E1157, SEARCH("/",E1157) + 1, SEARCH("/",E1157, SEARCH("/",E1157)+1) - SEARCH("/",E1157) - 1))-(LEFT(E1157,FIND("/",E1157)-1))), "NA"))</f>
        <v/>
      </c>
      <c r="K1157" s="79">
        <f>IF(A1157&lt;&gt;"", IF(ISBLANK(L1157), TODAY(), K1157), "")</f>
        <v/>
      </c>
      <c r="L1157" s="78" t="n"/>
      <c r="M1157" s="78">
        <f>IF(ISBLANK(L1157),"",IF(D1157="Stock",IF(C1157="Buy",L1157*G1157,IF(C1157="Sell",(L1157*G1157)-I1157, X)),IF(C1157="Buy",(L1157*G1157*100)+I1157,IF(C1157="Sell",(L1157*G1157*100)-I1157, X))))</f>
        <v/>
      </c>
      <c r="N1157" s="78">
        <f>IF(ISBLANK(L1157),"",IF(AND(C1157="Sell",D1157="Stock"),M1157,IF(ISBLANK(L1157),"",IF(C1157="Buy",M1157, IF(AND(C1157="Sell",J1157="NA"),(E1157*G1157*100*0.1)+I1157, IF(C1157="Sell",(J1157-L1157)*(100*G1157)+I1157))))))</f>
        <v/>
      </c>
      <c r="O1157" s="75" t="n"/>
      <c r="P1157" s="75" t="n"/>
      <c r="Q1157" s="75">
        <f>IF(ISBLANK(P1157),"",IF(D1157="Stock",P1157*G1157,IF(P1157=0,"0",G1157*P1157*100-(G1157*$AF$14))))</f>
        <v/>
      </c>
      <c r="R1157" s="79">
        <f>IF(P1157&lt;&gt;"", TODAY(), "")</f>
        <v/>
      </c>
      <c r="S1157" s="78">
        <f>IF(AND(K1157&lt;&gt;"", R1157&lt;&gt;""), R1157-K1157, "")</f>
        <v/>
      </c>
      <c r="T1157" s="78" t="n"/>
      <c r="U1157" s="92">
        <f>IF(ISBLANK(P1157),"",IF(C1157="Buy",Q1157-M1157+T1157, IF(C1157="Sell",M1157-Q1157-T1157, X)))</f>
        <v/>
      </c>
      <c r="V1157" s="81">
        <f>IF(ISBLANK(P1157),"",U1157/N1157)</f>
        <v/>
      </c>
      <c r="W1157" s="81">
        <f>IF(ISBLANK(P1157),"",IF(S1157=0,(365/0.5)*V1157,(365/S1157)*V1157))</f>
        <v/>
      </c>
      <c r="X1157" s="75" t="n"/>
      <c r="Y1157" s="77" t="n"/>
      <c r="Z1157" s="77" t="n"/>
      <c r="AA1157" s="75" t="n"/>
      <c r="AB1157" s="75" t="n"/>
      <c r="AC1157" s="6" t="n"/>
      <c r="AD1157" s="75" t="n"/>
      <c r="AE1157" s="75" t="n"/>
      <c r="AF1157" s="75" t="n"/>
    </row>
    <row r="1158" ht="15.75" customHeight="1" s="133">
      <c r="A1158" s="75" t="n"/>
      <c r="B1158" s="75" t="n"/>
      <c r="C1158" s="75" t="n"/>
      <c r="D1158" s="75" t="n"/>
      <c r="E1158" s="76" t="n"/>
      <c r="F1158" s="77" t="n"/>
      <c r="G1158" s="75" t="n"/>
      <c r="H1158" s="75">
        <f>IF(ISBLANK(E1158),"",IF(OR(D1158="Butterfly",D1158="Butterfly ",D1158="Iron Fly", D1158="Iron Fly "),LEN(E1158)-LEN(SUBSTITUTE(E1158,"/",""))+2,LEN(E1158)-LEN(SUBSTITUTE(E1158,"/",""))+1))</f>
        <v/>
      </c>
      <c r="I1158" s="78">
        <f>IF(ISBLANK(G1158),"",IF(D1158="Stock","0",Key!$A$3*H1158*G1158))</f>
        <v/>
      </c>
      <c r="J1158" s="78">
        <f>IF(ISBLANK(E1158),"",IF(ISNUMBER(SEARCH("/",E1158)), IF(LEN(E1158)-LEN(SUBSTITUTE(E1158,"/",""))=1,(RIGHT(E1158,LEN(E1158)-FIND("/",E1158)))-(LEFT(E1158,FIND("/",E1158)-1)),(MID(E1158, SEARCH("/",E1158) + 1, SEARCH("/",E1158, SEARCH("/",E1158)+1) - SEARCH("/",E1158) - 1))-(LEFT(E1158,FIND("/",E1158)-1))), "NA"))</f>
        <v/>
      </c>
      <c r="K1158" s="79">
        <f>IF(A1158&lt;&gt;"", IF(ISBLANK(L1158), TODAY(), K1158), "")</f>
        <v/>
      </c>
      <c r="L1158" s="78" t="n"/>
      <c r="M1158" s="78">
        <f>IF(ISBLANK(L1158),"",IF(D1158="Stock",IF(C1158="Buy",L1158*G1158,IF(C1158="Sell",(L1158*G1158)-I1158, X)),IF(C1158="Buy",(L1158*G1158*100)+I1158,IF(C1158="Sell",(L1158*G1158*100)-I1158, X))))</f>
        <v/>
      </c>
      <c r="N1158" s="78">
        <f>IF(ISBLANK(L1158),"",IF(AND(C1158="Sell",D1158="Stock"),M1158,IF(ISBLANK(L1158),"",IF(C1158="Buy",M1158, IF(AND(C1158="Sell",J1158="NA"),(E1158*G1158*100*0.1)+I1158, IF(C1158="Sell",(J1158-L1158)*(100*G1158)+I1158))))))</f>
        <v/>
      </c>
      <c r="O1158" s="75" t="n"/>
      <c r="P1158" s="75" t="n"/>
      <c r="Q1158" s="75">
        <f>IF(ISBLANK(P1158),"",IF(D1158="Stock",P1158*G1158,IF(P1158=0,"0",G1158*P1158*100-(G1158*$AF$14))))</f>
        <v/>
      </c>
      <c r="R1158" s="79">
        <f>IF(P1158&lt;&gt;"", TODAY(), "")</f>
        <v/>
      </c>
      <c r="S1158" s="78">
        <f>IF(AND(K1158&lt;&gt;"", R1158&lt;&gt;""), R1158-K1158, "")</f>
        <v/>
      </c>
      <c r="T1158" s="78" t="n"/>
      <c r="U1158" s="92">
        <f>IF(ISBLANK(P1158),"",IF(C1158="Buy",Q1158-M1158+T1158, IF(C1158="Sell",M1158-Q1158-T1158, X)))</f>
        <v/>
      </c>
      <c r="V1158" s="81">
        <f>IF(ISBLANK(P1158),"",U1158/N1158)</f>
        <v/>
      </c>
      <c r="W1158" s="81">
        <f>IF(ISBLANK(P1158),"",IF(S1158=0,(365/0.5)*V1158,(365/S1158)*V1158))</f>
        <v/>
      </c>
      <c r="X1158" s="75" t="n"/>
      <c r="Y1158" s="77" t="n"/>
      <c r="Z1158" s="77" t="n"/>
      <c r="AA1158" s="75" t="n"/>
      <c r="AB1158" s="75" t="n"/>
      <c r="AC1158" s="6" t="n"/>
      <c r="AD1158" s="75" t="n"/>
      <c r="AE1158" s="75" t="n"/>
      <c r="AF1158" s="75" t="n"/>
    </row>
    <row r="1159" ht="15.75" customHeight="1" s="133">
      <c r="A1159" s="75" t="n"/>
      <c r="B1159" s="75" t="n"/>
      <c r="C1159" s="75" t="n"/>
      <c r="D1159" s="75" t="n"/>
      <c r="E1159" s="76" t="n"/>
      <c r="F1159" s="77" t="n"/>
      <c r="G1159" s="75" t="n"/>
      <c r="H1159" s="75">
        <f>IF(ISBLANK(E1159),"",IF(OR(D1159="Butterfly",D1159="Butterfly ",D1159="Iron Fly", D1159="Iron Fly "),LEN(E1159)-LEN(SUBSTITUTE(E1159,"/",""))+2,LEN(E1159)-LEN(SUBSTITUTE(E1159,"/",""))+1))</f>
        <v/>
      </c>
      <c r="I1159" s="78">
        <f>IF(ISBLANK(G1159),"",IF(D1159="Stock","0",Key!$A$3*H1159*G1159))</f>
        <v/>
      </c>
      <c r="J1159" s="78">
        <f>IF(ISBLANK(E1159),"",IF(ISNUMBER(SEARCH("/",E1159)), IF(LEN(E1159)-LEN(SUBSTITUTE(E1159,"/",""))=1,(RIGHT(E1159,LEN(E1159)-FIND("/",E1159)))-(LEFT(E1159,FIND("/",E1159)-1)),(MID(E1159, SEARCH("/",E1159) + 1, SEARCH("/",E1159, SEARCH("/",E1159)+1) - SEARCH("/",E1159) - 1))-(LEFT(E1159,FIND("/",E1159)-1))), "NA"))</f>
        <v/>
      </c>
      <c r="K1159" s="79">
        <f>IF(A1159&lt;&gt;"", IF(ISBLANK(L1159), TODAY(), K1159), "")</f>
        <v/>
      </c>
      <c r="L1159" s="78" t="n"/>
      <c r="M1159" s="78">
        <f>IF(ISBLANK(L1159),"",IF(D1159="Stock",IF(C1159="Buy",L1159*G1159,IF(C1159="Sell",(L1159*G1159)-I1159, X)),IF(C1159="Buy",(L1159*G1159*100)+I1159,IF(C1159="Sell",(L1159*G1159*100)-I1159, X))))</f>
        <v/>
      </c>
      <c r="N1159" s="78">
        <f>IF(ISBLANK(L1159),"",IF(AND(C1159="Sell",D1159="Stock"),M1159,IF(ISBLANK(L1159),"",IF(C1159="Buy",M1159, IF(AND(C1159="Sell",J1159="NA"),(E1159*G1159*100*0.1)+I1159, IF(C1159="Sell",(J1159-L1159)*(100*G1159)+I1159))))))</f>
        <v/>
      </c>
      <c r="O1159" s="75" t="n"/>
      <c r="P1159" s="75" t="n"/>
      <c r="Q1159" s="75">
        <f>IF(ISBLANK(P1159),"",IF(D1159="Stock",P1159*G1159,IF(P1159=0,"0",G1159*P1159*100-(G1159*$AF$14))))</f>
        <v/>
      </c>
      <c r="R1159" s="79">
        <f>IF(P1159&lt;&gt;"", TODAY(), "")</f>
        <v/>
      </c>
      <c r="S1159" s="78">
        <f>IF(AND(K1159&lt;&gt;"", R1159&lt;&gt;""), R1159-K1159, "")</f>
        <v/>
      </c>
      <c r="T1159" s="78" t="n"/>
      <c r="U1159" s="92">
        <f>IF(ISBLANK(P1159),"",IF(C1159="Buy",Q1159-M1159+T1159, IF(C1159="Sell",M1159-Q1159-T1159, X)))</f>
        <v/>
      </c>
      <c r="V1159" s="81">
        <f>IF(ISBLANK(P1159),"",U1159/N1159)</f>
        <v/>
      </c>
      <c r="W1159" s="81">
        <f>IF(ISBLANK(P1159),"",IF(S1159=0,(365/0.5)*V1159,(365/S1159)*V1159))</f>
        <v/>
      </c>
      <c r="X1159" s="75" t="n"/>
      <c r="Y1159" s="77" t="n"/>
      <c r="Z1159" s="77" t="n"/>
      <c r="AA1159" s="75" t="n"/>
      <c r="AB1159" s="75" t="n"/>
      <c r="AC1159" s="6" t="n"/>
      <c r="AD1159" s="75" t="n"/>
      <c r="AE1159" s="75" t="n"/>
      <c r="AF1159" s="75" t="n"/>
    </row>
    <row r="1160" ht="15.75" customHeight="1" s="133">
      <c r="A1160" s="75" t="n"/>
      <c r="B1160" s="75" t="n"/>
      <c r="C1160" s="75" t="n"/>
      <c r="D1160" s="75" t="n"/>
      <c r="E1160" s="76" t="n"/>
      <c r="F1160" s="77" t="n"/>
      <c r="G1160" s="75" t="n"/>
      <c r="H1160" s="75">
        <f>IF(ISBLANK(E1160),"",IF(OR(D1160="Butterfly",D1160="Butterfly ",D1160="Iron Fly", D1160="Iron Fly "),LEN(E1160)-LEN(SUBSTITUTE(E1160,"/",""))+2,LEN(E1160)-LEN(SUBSTITUTE(E1160,"/",""))+1))</f>
        <v/>
      </c>
      <c r="I1160" s="78">
        <f>IF(ISBLANK(G1160),"",IF(D1160="Stock","0",Key!$A$3*H1160*G1160))</f>
        <v/>
      </c>
      <c r="J1160" s="78">
        <f>IF(ISBLANK(E1160),"",IF(ISNUMBER(SEARCH("/",E1160)), IF(LEN(E1160)-LEN(SUBSTITUTE(E1160,"/",""))=1,(RIGHT(E1160,LEN(E1160)-FIND("/",E1160)))-(LEFT(E1160,FIND("/",E1160)-1)),(MID(E1160, SEARCH("/",E1160) + 1, SEARCH("/",E1160, SEARCH("/",E1160)+1) - SEARCH("/",E1160) - 1))-(LEFT(E1160,FIND("/",E1160)-1))), "NA"))</f>
        <v/>
      </c>
      <c r="K1160" s="79">
        <f>IF(A1160&lt;&gt;"", IF(ISBLANK(L1160), TODAY(), K1160), "")</f>
        <v/>
      </c>
      <c r="L1160" s="78" t="n"/>
      <c r="M1160" s="78">
        <f>IF(ISBLANK(L1160),"",IF(D1160="Stock",IF(C1160="Buy",L1160*G1160,IF(C1160="Sell",(L1160*G1160)-I1160, X)),IF(C1160="Buy",(L1160*G1160*100)+I1160,IF(C1160="Sell",(L1160*G1160*100)-I1160, X))))</f>
        <v/>
      </c>
      <c r="N1160" s="78">
        <f>IF(ISBLANK(L1160),"",IF(AND(C1160="Sell",D1160="Stock"),M1160,IF(ISBLANK(L1160),"",IF(C1160="Buy",M1160, IF(AND(C1160="Sell",J1160="NA"),(E1160*G1160*100*0.1)+I1160, IF(C1160="Sell",(J1160-L1160)*(100*G1160)+I1160))))))</f>
        <v/>
      </c>
      <c r="O1160" s="75" t="n"/>
      <c r="P1160" s="75" t="n"/>
      <c r="Q1160" s="75">
        <f>IF(ISBLANK(P1160),"",IF(D1160="Stock",P1160*G1160,IF(P1160=0,"0",G1160*P1160*100-(G1160*$AF$14))))</f>
        <v/>
      </c>
      <c r="R1160" s="79">
        <f>IF(P1160&lt;&gt;"", TODAY(), "")</f>
        <v/>
      </c>
      <c r="S1160" s="78">
        <f>IF(AND(K1160&lt;&gt;"", R1160&lt;&gt;""), R1160-K1160, "")</f>
        <v/>
      </c>
      <c r="T1160" s="78" t="n"/>
      <c r="U1160" s="92">
        <f>IF(ISBLANK(P1160),"",IF(C1160="Buy",Q1160-M1160+T1160, IF(C1160="Sell",M1160-Q1160-T1160, X)))</f>
        <v/>
      </c>
      <c r="V1160" s="81">
        <f>IF(ISBLANK(P1160),"",U1160/N1160)</f>
        <v/>
      </c>
      <c r="W1160" s="81">
        <f>IF(ISBLANK(P1160),"",IF(S1160=0,(365/0.5)*V1160,(365/S1160)*V1160))</f>
        <v/>
      </c>
      <c r="X1160" s="75" t="n"/>
      <c r="Y1160" s="77" t="n"/>
      <c r="Z1160" s="77" t="n"/>
      <c r="AA1160" s="75" t="n"/>
      <c r="AB1160" s="75" t="n"/>
      <c r="AC1160" s="6" t="n"/>
      <c r="AD1160" s="75" t="n"/>
      <c r="AE1160" s="75" t="n"/>
      <c r="AF1160" s="75" t="n"/>
    </row>
    <row r="1161" ht="15.75" customHeight="1" s="133">
      <c r="A1161" s="75" t="n"/>
      <c r="B1161" s="75" t="n"/>
      <c r="C1161" s="75" t="n"/>
      <c r="D1161" s="75" t="n"/>
      <c r="E1161" s="76" t="n"/>
      <c r="F1161" s="77" t="n"/>
      <c r="G1161" s="75" t="n"/>
      <c r="H1161" s="75">
        <f>IF(ISBLANK(E1161),"",IF(OR(D1161="Butterfly",D1161="Butterfly ",D1161="Iron Fly", D1161="Iron Fly "),LEN(E1161)-LEN(SUBSTITUTE(E1161,"/",""))+2,LEN(E1161)-LEN(SUBSTITUTE(E1161,"/",""))+1))</f>
        <v/>
      </c>
      <c r="I1161" s="78">
        <f>IF(ISBLANK(G1161),"",IF(D1161="Stock","0",Key!$A$3*H1161*G1161))</f>
        <v/>
      </c>
      <c r="J1161" s="78">
        <f>IF(ISBLANK(E1161),"",IF(ISNUMBER(SEARCH("/",E1161)), IF(LEN(E1161)-LEN(SUBSTITUTE(E1161,"/",""))=1,(RIGHT(E1161,LEN(E1161)-FIND("/",E1161)))-(LEFT(E1161,FIND("/",E1161)-1)),(MID(E1161, SEARCH("/",E1161) + 1, SEARCH("/",E1161, SEARCH("/",E1161)+1) - SEARCH("/",E1161) - 1))-(LEFT(E1161,FIND("/",E1161)-1))), "NA"))</f>
        <v/>
      </c>
      <c r="K1161" s="79">
        <f>IF(A1161&lt;&gt;"", IF(ISBLANK(L1161), TODAY(), K1161), "")</f>
        <v/>
      </c>
      <c r="L1161" s="78" t="n"/>
      <c r="M1161" s="78">
        <f>IF(ISBLANK(L1161),"",IF(D1161="Stock",IF(C1161="Buy",L1161*G1161,IF(C1161="Sell",(L1161*G1161)-I1161, X)),IF(C1161="Buy",(L1161*G1161*100)+I1161,IF(C1161="Sell",(L1161*G1161*100)-I1161, X))))</f>
        <v/>
      </c>
      <c r="N1161" s="78">
        <f>IF(ISBLANK(L1161),"",IF(AND(C1161="Sell",D1161="Stock"),M1161,IF(ISBLANK(L1161),"",IF(C1161="Buy",M1161, IF(AND(C1161="Sell",J1161="NA"),(E1161*G1161*100*0.1)+I1161, IF(C1161="Sell",(J1161-L1161)*(100*G1161)+I1161))))))</f>
        <v/>
      </c>
      <c r="O1161" s="75" t="n"/>
      <c r="P1161" s="75" t="n"/>
      <c r="Q1161" s="75">
        <f>IF(ISBLANK(P1161),"",IF(D1161="Stock",P1161*G1161,IF(P1161=0,"0",G1161*P1161*100-(G1161*$AF$14))))</f>
        <v/>
      </c>
      <c r="R1161" s="79">
        <f>IF(P1161&lt;&gt;"", TODAY(), "")</f>
        <v/>
      </c>
      <c r="S1161" s="78">
        <f>IF(AND(K1161&lt;&gt;"", R1161&lt;&gt;""), R1161-K1161, "")</f>
        <v/>
      </c>
      <c r="T1161" s="78" t="n"/>
      <c r="U1161" s="92">
        <f>IF(ISBLANK(P1161),"",IF(C1161="Buy",Q1161-M1161+T1161, IF(C1161="Sell",M1161-Q1161-T1161, X)))</f>
        <v/>
      </c>
      <c r="V1161" s="81">
        <f>IF(ISBLANK(P1161),"",U1161/N1161)</f>
        <v/>
      </c>
      <c r="W1161" s="81">
        <f>IF(ISBLANK(P1161),"",IF(S1161=0,(365/0.5)*V1161,(365/S1161)*V1161))</f>
        <v/>
      </c>
      <c r="X1161" s="75" t="n"/>
      <c r="Y1161" s="77" t="n"/>
      <c r="Z1161" s="77" t="n"/>
      <c r="AA1161" s="75" t="n"/>
      <c r="AB1161" s="75" t="n"/>
      <c r="AC1161" s="6" t="n"/>
      <c r="AD1161" s="75" t="n"/>
      <c r="AE1161" s="75" t="n"/>
      <c r="AF1161" s="75" t="n"/>
    </row>
    <row r="1162" ht="15.75" customHeight="1" s="133">
      <c r="A1162" s="75" t="n"/>
      <c r="B1162" s="75" t="n"/>
      <c r="C1162" s="75" t="n"/>
      <c r="D1162" s="75" t="n"/>
      <c r="E1162" s="76" t="n"/>
      <c r="F1162" s="77" t="n"/>
      <c r="G1162" s="75" t="n"/>
      <c r="H1162" s="75">
        <f>IF(ISBLANK(E1162),"",IF(OR(D1162="Butterfly",D1162="Butterfly ",D1162="Iron Fly", D1162="Iron Fly "),LEN(E1162)-LEN(SUBSTITUTE(E1162,"/",""))+2,LEN(E1162)-LEN(SUBSTITUTE(E1162,"/",""))+1))</f>
        <v/>
      </c>
      <c r="I1162" s="78">
        <f>IF(ISBLANK(G1162),"",IF(D1162="Stock","0",Key!$A$3*H1162*G1162))</f>
        <v/>
      </c>
      <c r="J1162" s="78">
        <f>IF(ISBLANK(E1162),"",IF(ISNUMBER(SEARCH("/",E1162)), IF(LEN(E1162)-LEN(SUBSTITUTE(E1162,"/",""))=1,(RIGHT(E1162,LEN(E1162)-FIND("/",E1162)))-(LEFT(E1162,FIND("/",E1162)-1)),(MID(E1162, SEARCH("/",E1162) + 1, SEARCH("/",E1162, SEARCH("/",E1162)+1) - SEARCH("/",E1162) - 1))-(LEFT(E1162,FIND("/",E1162)-1))), "NA"))</f>
        <v/>
      </c>
      <c r="K1162" s="79">
        <f>IF(A1162&lt;&gt;"", IF(ISBLANK(L1162), TODAY(), K1162), "")</f>
        <v/>
      </c>
      <c r="L1162" s="78" t="n"/>
      <c r="M1162" s="78">
        <f>IF(ISBLANK(L1162),"",IF(D1162="Stock",IF(C1162="Buy",L1162*G1162,IF(C1162="Sell",(L1162*G1162)-I1162, X)),IF(C1162="Buy",(L1162*G1162*100)+I1162,IF(C1162="Sell",(L1162*G1162*100)-I1162, X))))</f>
        <v/>
      </c>
      <c r="N1162" s="78">
        <f>IF(ISBLANK(L1162),"",IF(AND(C1162="Sell",D1162="Stock"),M1162,IF(ISBLANK(L1162),"",IF(C1162="Buy",M1162, IF(AND(C1162="Sell",J1162="NA"),(E1162*G1162*100*0.1)+I1162, IF(C1162="Sell",(J1162-L1162)*(100*G1162)+I1162))))))</f>
        <v/>
      </c>
      <c r="O1162" s="75" t="n"/>
      <c r="P1162" s="75" t="n"/>
      <c r="Q1162" s="75">
        <f>IF(ISBLANK(P1162),"",IF(D1162="Stock",P1162*G1162,IF(P1162=0,"0",G1162*P1162*100-(G1162*$AF$14))))</f>
        <v/>
      </c>
      <c r="R1162" s="79">
        <f>IF(P1162&lt;&gt;"", TODAY(), "")</f>
        <v/>
      </c>
      <c r="S1162" s="78">
        <f>IF(AND(K1162&lt;&gt;"", R1162&lt;&gt;""), R1162-K1162, "")</f>
        <v/>
      </c>
      <c r="T1162" s="78" t="n"/>
      <c r="U1162" s="92">
        <f>IF(ISBLANK(P1162),"",IF(C1162="Buy",Q1162-M1162+T1162, IF(C1162="Sell",M1162-Q1162-T1162, X)))</f>
        <v/>
      </c>
      <c r="V1162" s="81">
        <f>IF(ISBLANK(P1162),"",U1162/N1162)</f>
        <v/>
      </c>
      <c r="W1162" s="81">
        <f>IF(ISBLANK(P1162),"",IF(S1162=0,(365/0.5)*V1162,(365/S1162)*V1162))</f>
        <v/>
      </c>
      <c r="X1162" s="75" t="n"/>
      <c r="Y1162" s="77" t="n"/>
      <c r="Z1162" s="77" t="n"/>
      <c r="AA1162" s="75" t="n"/>
      <c r="AB1162" s="75" t="n"/>
      <c r="AC1162" s="6" t="n"/>
      <c r="AD1162" s="75" t="n"/>
      <c r="AE1162" s="75" t="n"/>
      <c r="AF1162" s="75" t="n"/>
    </row>
    <row r="1163" ht="15.75" customHeight="1" s="133">
      <c r="A1163" s="75" t="n"/>
      <c r="B1163" s="75" t="n"/>
      <c r="C1163" s="75" t="n"/>
      <c r="D1163" s="75" t="n"/>
      <c r="E1163" s="76" t="n"/>
      <c r="F1163" s="77" t="n"/>
      <c r="G1163" s="75" t="n"/>
      <c r="H1163" s="75">
        <f>IF(ISBLANK(E1163),"",IF(OR(D1163="Butterfly",D1163="Butterfly ",D1163="Iron Fly", D1163="Iron Fly "),LEN(E1163)-LEN(SUBSTITUTE(E1163,"/",""))+2,LEN(E1163)-LEN(SUBSTITUTE(E1163,"/",""))+1))</f>
        <v/>
      </c>
      <c r="I1163" s="78">
        <f>IF(ISBLANK(G1163),"",IF(D1163="Stock","0",Key!$A$3*H1163*G1163))</f>
        <v/>
      </c>
      <c r="J1163" s="78">
        <f>IF(ISBLANK(E1163),"",IF(ISNUMBER(SEARCH("/",E1163)), IF(LEN(E1163)-LEN(SUBSTITUTE(E1163,"/",""))=1,(RIGHT(E1163,LEN(E1163)-FIND("/",E1163)))-(LEFT(E1163,FIND("/",E1163)-1)),(MID(E1163, SEARCH("/",E1163) + 1, SEARCH("/",E1163, SEARCH("/",E1163)+1) - SEARCH("/",E1163) - 1))-(LEFT(E1163,FIND("/",E1163)-1))), "NA"))</f>
        <v/>
      </c>
      <c r="K1163" s="79">
        <f>IF(A1163&lt;&gt;"", IF(ISBLANK(L1163), TODAY(), K1163), "")</f>
        <v/>
      </c>
      <c r="L1163" s="78" t="n"/>
      <c r="M1163" s="78">
        <f>IF(ISBLANK(L1163),"",IF(D1163="Stock",IF(C1163="Buy",L1163*G1163,IF(C1163="Sell",(L1163*G1163)-I1163, X)),IF(C1163="Buy",(L1163*G1163*100)+I1163,IF(C1163="Sell",(L1163*G1163*100)-I1163, X))))</f>
        <v/>
      </c>
      <c r="N1163" s="78">
        <f>IF(ISBLANK(L1163),"",IF(AND(C1163="Sell",D1163="Stock"),M1163,IF(ISBLANK(L1163),"",IF(C1163="Buy",M1163, IF(AND(C1163="Sell",J1163="NA"),(E1163*G1163*100*0.1)+I1163, IF(C1163="Sell",(J1163-L1163)*(100*G1163)+I1163))))))</f>
        <v/>
      </c>
      <c r="O1163" s="75" t="n"/>
      <c r="P1163" s="75" t="n"/>
      <c r="Q1163" s="75">
        <f>IF(ISBLANK(P1163),"",IF(D1163="Stock",P1163*G1163,IF(P1163=0,"0",G1163*P1163*100-(G1163*$AF$14))))</f>
        <v/>
      </c>
      <c r="R1163" s="79">
        <f>IF(P1163&lt;&gt;"", TODAY(), "")</f>
        <v/>
      </c>
      <c r="S1163" s="78">
        <f>IF(AND(K1163&lt;&gt;"", R1163&lt;&gt;""), R1163-K1163, "")</f>
        <v/>
      </c>
      <c r="T1163" s="78" t="n"/>
      <c r="U1163" s="92">
        <f>IF(ISBLANK(P1163),"",IF(C1163="Buy",Q1163-M1163+T1163, IF(C1163="Sell",M1163-Q1163-T1163, X)))</f>
        <v/>
      </c>
      <c r="V1163" s="81">
        <f>IF(ISBLANK(P1163),"",U1163/N1163)</f>
        <v/>
      </c>
      <c r="W1163" s="81">
        <f>IF(ISBLANK(P1163),"",IF(S1163=0,(365/0.5)*V1163,(365/S1163)*V1163))</f>
        <v/>
      </c>
      <c r="X1163" s="75" t="n"/>
      <c r="Y1163" s="77" t="n"/>
      <c r="Z1163" s="77" t="n"/>
      <c r="AA1163" s="75" t="n"/>
      <c r="AB1163" s="75" t="n"/>
      <c r="AC1163" s="6" t="n"/>
      <c r="AD1163" s="75" t="n"/>
      <c r="AE1163" s="75" t="n"/>
      <c r="AF1163" s="75" t="n"/>
    </row>
    <row r="1164" ht="15.75" customHeight="1" s="133">
      <c r="A1164" s="75" t="n"/>
      <c r="B1164" s="75" t="n"/>
      <c r="C1164" s="75" t="n"/>
      <c r="D1164" s="75" t="n"/>
      <c r="E1164" s="76" t="n"/>
      <c r="F1164" s="77" t="n"/>
      <c r="G1164" s="75" t="n"/>
      <c r="H1164" s="75">
        <f>IF(ISBLANK(E1164),"",IF(OR(D1164="Butterfly",D1164="Butterfly ",D1164="Iron Fly", D1164="Iron Fly "),LEN(E1164)-LEN(SUBSTITUTE(E1164,"/",""))+2,LEN(E1164)-LEN(SUBSTITUTE(E1164,"/",""))+1))</f>
        <v/>
      </c>
      <c r="I1164" s="78">
        <f>IF(ISBLANK(G1164),"",IF(D1164="Stock","0",Key!$A$3*H1164*G1164))</f>
        <v/>
      </c>
      <c r="J1164" s="78">
        <f>IF(ISBLANK(E1164),"",IF(ISNUMBER(SEARCH("/",E1164)), IF(LEN(E1164)-LEN(SUBSTITUTE(E1164,"/",""))=1,(RIGHT(E1164,LEN(E1164)-FIND("/",E1164)))-(LEFT(E1164,FIND("/",E1164)-1)),(MID(E1164, SEARCH("/",E1164) + 1, SEARCH("/",E1164, SEARCH("/",E1164)+1) - SEARCH("/",E1164) - 1))-(LEFT(E1164,FIND("/",E1164)-1))), "NA"))</f>
        <v/>
      </c>
      <c r="K1164" s="79">
        <f>IF(A1164&lt;&gt;"", IF(ISBLANK(L1164), TODAY(), K1164), "")</f>
        <v/>
      </c>
      <c r="L1164" s="78" t="n"/>
      <c r="M1164" s="78">
        <f>IF(ISBLANK(L1164),"",IF(D1164="Stock",IF(C1164="Buy",L1164*G1164,IF(C1164="Sell",(L1164*G1164)-I1164, X)),IF(C1164="Buy",(L1164*G1164*100)+I1164,IF(C1164="Sell",(L1164*G1164*100)-I1164, X))))</f>
        <v/>
      </c>
      <c r="N1164" s="78">
        <f>IF(ISBLANK(L1164),"",IF(AND(C1164="Sell",D1164="Stock"),M1164,IF(ISBLANK(L1164),"",IF(C1164="Buy",M1164, IF(AND(C1164="Sell",J1164="NA"),(E1164*G1164*100*0.1)+I1164, IF(C1164="Sell",(J1164-L1164)*(100*G1164)+I1164))))))</f>
        <v/>
      </c>
      <c r="O1164" s="75" t="n"/>
      <c r="P1164" s="75" t="n"/>
      <c r="Q1164" s="75">
        <f>IF(ISBLANK(P1164),"",IF(D1164="Stock",P1164*G1164,IF(P1164=0,"0",G1164*P1164*100-(G1164*$AF$14))))</f>
        <v/>
      </c>
      <c r="R1164" s="79">
        <f>IF(P1164&lt;&gt;"", TODAY(), "")</f>
        <v/>
      </c>
      <c r="S1164" s="78">
        <f>IF(AND(K1164&lt;&gt;"", R1164&lt;&gt;""), R1164-K1164, "")</f>
        <v/>
      </c>
      <c r="T1164" s="78" t="n"/>
      <c r="U1164" s="92">
        <f>IF(ISBLANK(P1164),"",IF(C1164="Buy",Q1164-M1164+T1164, IF(C1164="Sell",M1164-Q1164-T1164, X)))</f>
        <v/>
      </c>
      <c r="V1164" s="81">
        <f>IF(ISBLANK(P1164),"",U1164/N1164)</f>
        <v/>
      </c>
      <c r="W1164" s="81">
        <f>IF(ISBLANK(P1164),"",IF(S1164=0,(365/0.5)*V1164,(365/S1164)*V1164))</f>
        <v/>
      </c>
      <c r="X1164" s="75" t="n"/>
      <c r="Y1164" s="77" t="n"/>
      <c r="Z1164" s="77" t="n"/>
      <c r="AA1164" s="75" t="n"/>
      <c r="AB1164" s="75" t="n"/>
      <c r="AC1164" s="6" t="n"/>
      <c r="AD1164" s="75" t="n"/>
      <c r="AE1164" s="75" t="n"/>
      <c r="AF1164" s="75" t="n"/>
    </row>
    <row r="1165" ht="15.75" customHeight="1" s="133">
      <c r="A1165" s="75" t="n"/>
      <c r="B1165" s="75" t="n"/>
      <c r="C1165" s="75" t="n"/>
      <c r="D1165" s="75" t="n"/>
      <c r="E1165" s="76" t="n"/>
      <c r="F1165" s="77" t="n"/>
      <c r="G1165" s="75" t="n"/>
      <c r="H1165" s="75">
        <f>IF(ISBLANK(E1165),"",IF(OR(D1165="Butterfly",D1165="Butterfly ",D1165="Iron Fly", D1165="Iron Fly "),LEN(E1165)-LEN(SUBSTITUTE(E1165,"/",""))+2,LEN(E1165)-LEN(SUBSTITUTE(E1165,"/",""))+1))</f>
        <v/>
      </c>
      <c r="I1165" s="78">
        <f>IF(ISBLANK(G1165),"",IF(D1165="Stock","0",Key!$A$3*H1165*G1165))</f>
        <v/>
      </c>
      <c r="J1165" s="78">
        <f>IF(ISBLANK(E1165),"",IF(ISNUMBER(SEARCH("/",E1165)), IF(LEN(E1165)-LEN(SUBSTITUTE(E1165,"/",""))=1,(RIGHT(E1165,LEN(E1165)-FIND("/",E1165)))-(LEFT(E1165,FIND("/",E1165)-1)),(MID(E1165, SEARCH("/",E1165) + 1, SEARCH("/",E1165, SEARCH("/",E1165)+1) - SEARCH("/",E1165) - 1))-(LEFT(E1165,FIND("/",E1165)-1))), "NA"))</f>
        <v/>
      </c>
      <c r="K1165" s="79">
        <f>IF(A1165&lt;&gt;"", IF(ISBLANK(L1165), TODAY(), K1165), "")</f>
        <v/>
      </c>
      <c r="L1165" s="78" t="n"/>
      <c r="M1165" s="78">
        <f>IF(ISBLANK(L1165),"",IF(D1165="Stock",IF(C1165="Buy",L1165*G1165,IF(C1165="Sell",(L1165*G1165)-I1165, X)),IF(C1165="Buy",(L1165*G1165*100)+I1165,IF(C1165="Sell",(L1165*G1165*100)-I1165, X))))</f>
        <v/>
      </c>
      <c r="N1165" s="78">
        <f>IF(ISBLANK(L1165),"",IF(AND(C1165="Sell",D1165="Stock"),M1165,IF(ISBLANK(L1165),"",IF(C1165="Buy",M1165, IF(AND(C1165="Sell",J1165="NA"),(E1165*G1165*100*0.1)+I1165, IF(C1165="Sell",(J1165-L1165)*(100*G1165)+I1165))))))</f>
        <v/>
      </c>
      <c r="O1165" s="75" t="n"/>
      <c r="P1165" s="75" t="n"/>
      <c r="Q1165" s="75">
        <f>IF(ISBLANK(P1165),"",IF(D1165="Stock",P1165*G1165,IF(P1165=0,"0",G1165*P1165*100-(G1165*$AF$14))))</f>
        <v/>
      </c>
      <c r="R1165" s="79">
        <f>IF(P1165&lt;&gt;"", TODAY(), "")</f>
        <v/>
      </c>
      <c r="S1165" s="78">
        <f>IF(AND(K1165&lt;&gt;"", R1165&lt;&gt;""), R1165-K1165, "")</f>
        <v/>
      </c>
      <c r="T1165" s="78" t="n"/>
      <c r="U1165" s="92">
        <f>IF(ISBLANK(P1165),"",IF(C1165="Buy",Q1165-M1165+T1165, IF(C1165="Sell",M1165-Q1165-T1165, X)))</f>
        <v/>
      </c>
      <c r="V1165" s="81">
        <f>IF(ISBLANK(P1165),"",U1165/N1165)</f>
        <v/>
      </c>
      <c r="W1165" s="81">
        <f>IF(ISBLANK(P1165),"",IF(S1165=0,(365/0.5)*V1165,(365/S1165)*V1165))</f>
        <v/>
      </c>
      <c r="X1165" s="75" t="n"/>
      <c r="Y1165" s="77" t="n"/>
      <c r="Z1165" s="77" t="n"/>
      <c r="AA1165" s="75" t="n"/>
      <c r="AB1165" s="75" t="n"/>
      <c r="AC1165" s="6" t="n"/>
      <c r="AD1165" s="75" t="n"/>
      <c r="AE1165" s="75" t="n"/>
      <c r="AF1165" s="75" t="n"/>
    </row>
    <row r="1166" ht="15.75" customHeight="1" s="133">
      <c r="A1166" s="75" t="n"/>
      <c r="B1166" s="75" t="n"/>
      <c r="C1166" s="75" t="n"/>
      <c r="D1166" s="75" t="n"/>
      <c r="E1166" s="76" t="n"/>
      <c r="F1166" s="77" t="n"/>
      <c r="G1166" s="75" t="n"/>
      <c r="H1166" s="75">
        <f>IF(ISBLANK(E1166),"",IF(OR(D1166="Butterfly",D1166="Butterfly ",D1166="Iron Fly", D1166="Iron Fly "),LEN(E1166)-LEN(SUBSTITUTE(E1166,"/",""))+2,LEN(E1166)-LEN(SUBSTITUTE(E1166,"/",""))+1))</f>
        <v/>
      </c>
      <c r="I1166" s="78">
        <f>IF(ISBLANK(G1166),"",IF(D1166="Stock","0",Key!$A$3*H1166*G1166))</f>
        <v/>
      </c>
      <c r="J1166" s="78">
        <f>IF(ISBLANK(E1166),"",IF(ISNUMBER(SEARCH("/",E1166)), IF(LEN(E1166)-LEN(SUBSTITUTE(E1166,"/",""))=1,(RIGHT(E1166,LEN(E1166)-FIND("/",E1166)))-(LEFT(E1166,FIND("/",E1166)-1)),(MID(E1166, SEARCH("/",E1166) + 1, SEARCH("/",E1166, SEARCH("/",E1166)+1) - SEARCH("/",E1166) - 1))-(LEFT(E1166,FIND("/",E1166)-1))), "NA"))</f>
        <v/>
      </c>
      <c r="K1166" s="79">
        <f>IF(A1166&lt;&gt;"", IF(ISBLANK(L1166), TODAY(), K1166), "")</f>
        <v/>
      </c>
      <c r="L1166" s="78" t="n"/>
      <c r="M1166" s="78">
        <f>IF(ISBLANK(L1166),"",IF(D1166="Stock",IF(C1166="Buy",L1166*G1166,IF(C1166="Sell",(L1166*G1166)-I1166, X)),IF(C1166="Buy",(L1166*G1166*100)+I1166,IF(C1166="Sell",(L1166*G1166*100)-I1166, X))))</f>
        <v/>
      </c>
      <c r="N1166" s="78">
        <f>IF(ISBLANK(L1166),"",IF(AND(C1166="Sell",D1166="Stock"),M1166,IF(ISBLANK(L1166),"",IF(C1166="Buy",M1166, IF(AND(C1166="Sell",J1166="NA"),(E1166*G1166*100*0.1)+I1166, IF(C1166="Sell",(J1166-L1166)*(100*G1166)+I1166))))))</f>
        <v/>
      </c>
      <c r="O1166" s="75" t="n"/>
      <c r="P1166" s="75" t="n"/>
      <c r="Q1166" s="75">
        <f>IF(ISBLANK(P1166),"",IF(D1166="Stock",P1166*G1166,IF(P1166=0,"0",G1166*P1166*100-(G1166*$AF$14))))</f>
        <v/>
      </c>
      <c r="R1166" s="79">
        <f>IF(P1166&lt;&gt;"", TODAY(), "")</f>
        <v/>
      </c>
      <c r="S1166" s="78">
        <f>IF(AND(K1166&lt;&gt;"", R1166&lt;&gt;""), R1166-K1166, "")</f>
        <v/>
      </c>
      <c r="T1166" s="78" t="n"/>
      <c r="U1166" s="92">
        <f>IF(ISBLANK(P1166),"",IF(C1166="Buy",Q1166-M1166+T1166, IF(C1166="Sell",M1166-Q1166-T1166, X)))</f>
        <v/>
      </c>
      <c r="V1166" s="81">
        <f>IF(ISBLANK(P1166),"",U1166/N1166)</f>
        <v/>
      </c>
      <c r="W1166" s="81">
        <f>IF(ISBLANK(P1166),"",IF(S1166=0,(365/0.5)*V1166,(365/S1166)*V1166))</f>
        <v/>
      </c>
      <c r="X1166" s="75" t="n"/>
      <c r="Y1166" s="77" t="n"/>
      <c r="Z1166" s="77" t="n"/>
      <c r="AA1166" s="75" t="n"/>
      <c r="AB1166" s="75" t="n"/>
      <c r="AC1166" s="6" t="n"/>
      <c r="AD1166" s="75" t="n"/>
      <c r="AE1166" s="75" t="n"/>
      <c r="AF1166" s="75" t="n"/>
    </row>
    <row r="1167" ht="15.75" customHeight="1" s="133">
      <c r="A1167" s="75" t="n"/>
      <c r="B1167" s="75" t="n"/>
      <c r="C1167" s="75" t="n"/>
      <c r="D1167" s="75" t="n"/>
      <c r="E1167" s="76" t="n"/>
      <c r="F1167" s="77" t="n"/>
      <c r="G1167" s="75" t="n"/>
      <c r="H1167" s="75">
        <f>IF(ISBLANK(E1167),"",IF(OR(D1167="Butterfly",D1167="Butterfly ",D1167="Iron Fly", D1167="Iron Fly "),LEN(E1167)-LEN(SUBSTITUTE(E1167,"/",""))+2,LEN(E1167)-LEN(SUBSTITUTE(E1167,"/",""))+1))</f>
        <v/>
      </c>
      <c r="I1167" s="78">
        <f>IF(ISBLANK(G1167),"",IF(D1167="Stock","0",Key!$A$3*H1167*G1167))</f>
        <v/>
      </c>
      <c r="J1167" s="78">
        <f>IF(ISBLANK(E1167),"",IF(ISNUMBER(SEARCH("/",E1167)), IF(LEN(E1167)-LEN(SUBSTITUTE(E1167,"/",""))=1,(RIGHT(E1167,LEN(E1167)-FIND("/",E1167)))-(LEFT(E1167,FIND("/",E1167)-1)),(MID(E1167, SEARCH("/",E1167) + 1, SEARCH("/",E1167, SEARCH("/",E1167)+1) - SEARCH("/",E1167) - 1))-(LEFT(E1167,FIND("/",E1167)-1))), "NA"))</f>
        <v/>
      </c>
      <c r="K1167" s="79">
        <f>IF(A1167&lt;&gt;"", IF(ISBLANK(L1167), TODAY(), K1167), "")</f>
        <v/>
      </c>
      <c r="L1167" s="78" t="n"/>
      <c r="M1167" s="78">
        <f>IF(ISBLANK(L1167),"",IF(D1167="Stock",IF(C1167="Buy",L1167*G1167,IF(C1167="Sell",(L1167*G1167)-I1167, X)),IF(C1167="Buy",(L1167*G1167*100)+I1167,IF(C1167="Sell",(L1167*G1167*100)-I1167, X))))</f>
        <v/>
      </c>
      <c r="N1167" s="78">
        <f>IF(ISBLANK(L1167),"",IF(AND(C1167="Sell",D1167="Stock"),M1167,IF(ISBLANK(L1167),"",IF(C1167="Buy",M1167, IF(AND(C1167="Sell",J1167="NA"),(E1167*G1167*100*0.1)+I1167, IF(C1167="Sell",(J1167-L1167)*(100*G1167)+I1167))))))</f>
        <v/>
      </c>
      <c r="O1167" s="75" t="n"/>
      <c r="P1167" s="75" t="n"/>
      <c r="Q1167" s="75">
        <f>IF(ISBLANK(P1167),"",IF(D1167="Stock",P1167*G1167,IF(P1167=0,"0",G1167*P1167*100-(G1167*$AF$14))))</f>
        <v/>
      </c>
      <c r="R1167" s="79">
        <f>IF(P1167&lt;&gt;"", TODAY(), "")</f>
        <v/>
      </c>
      <c r="S1167" s="78">
        <f>IF(AND(K1167&lt;&gt;"", R1167&lt;&gt;""), R1167-K1167, "")</f>
        <v/>
      </c>
      <c r="T1167" s="78" t="n"/>
      <c r="U1167" s="92">
        <f>IF(ISBLANK(P1167),"",IF(C1167="Buy",Q1167-M1167+T1167, IF(C1167="Sell",M1167-Q1167-T1167, X)))</f>
        <v/>
      </c>
      <c r="V1167" s="81">
        <f>IF(ISBLANK(P1167),"",U1167/N1167)</f>
        <v/>
      </c>
      <c r="W1167" s="81">
        <f>IF(ISBLANK(P1167),"",IF(S1167=0,(365/0.5)*V1167,(365/S1167)*V1167))</f>
        <v/>
      </c>
      <c r="X1167" s="75" t="n"/>
      <c r="Y1167" s="77" t="n"/>
      <c r="Z1167" s="77" t="n"/>
      <c r="AA1167" s="75" t="n"/>
      <c r="AB1167" s="75" t="n"/>
      <c r="AC1167" s="6" t="n"/>
      <c r="AD1167" s="75" t="n"/>
      <c r="AE1167" s="75" t="n"/>
      <c r="AF1167" s="75" t="n"/>
    </row>
    <row r="1168" ht="15.75" customHeight="1" s="133">
      <c r="A1168" s="75" t="n"/>
      <c r="B1168" s="75" t="n"/>
      <c r="C1168" s="75" t="n"/>
      <c r="D1168" s="75" t="n"/>
      <c r="E1168" s="76" t="n"/>
      <c r="F1168" s="77" t="n"/>
      <c r="G1168" s="75" t="n"/>
      <c r="H1168" s="75">
        <f>IF(ISBLANK(E1168),"",IF(OR(D1168="Butterfly",D1168="Butterfly ",D1168="Iron Fly", D1168="Iron Fly "),LEN(E1168)-LEN(SUBSTITUTE(E1168,"/",""))+2,LEN(E1168)-LEN(SUBSTITUTE(E1168,"/",""))+1))</f>
        <v/>
      </c>
      <c r="I1168" s="78">
        <f>IF(ISBLANK(G1168),"",IF(D1168="Stock","0",Key!$A$3*H1168*G1168))</f>
        <v/>
      </c>
      <c r="J1168" s="78">
        <f>IF(ISBLANK(E1168),"",IF(ISNUMBER(SEARCH("/",E1168)), IF(LEN(E1168)-LEN(SUBSTITUTE(E1168,"/",""))=1,(RIGHT(E1168,LEN(E1168)-FIND("/",E1168)))-(LEFT(E1168,FIND("/",E1168)-1)),(MID(E1168, SEARCH("/",E1168) + 1, SEARCH("/",E1168, SEARCH("/",E1168)+1) - SEARCH("/",E1168) - 1))-(LEFT(E1168,FIND("/",E1168)-1))), "NA"))</f>
        <v/>
      </c>
      <c r="K1168" s="79">
        <f>IF(A1168&lt;&gt;"", IF(ISBLANK(L1168), TODAY(), K1168), "")</f>
        <v/>
      </c>
      <c r="L1168" s="78" t="n"/>
      <c r="M1168" s="78">
        <f>IF(ISBLANK(L1168),"",IF(D1168="Stock",IF(C1168="Buy",L1168*G1168,IF(C1168="Sell",(L1168*G1168)-I1168, X)),IF(C1168="Buy",(L1168*G1168*100)+I1168,IF(C1168="Sell",(L1168*G1168*100)-I1168, X))))</f>
        <v/>
      </c>
      <c r="N1168" s="78">
        <f>IF(ISBLANK(L1168),"",IF(AND(C1168="Sell",D1168="Stock"),M1168,IF(ISBLANK(L1168),"",IF(C1168="Buy",M1168, IF(AND(C1168="Sell",J1168="NA"),(E1168*G1168*100*0.1)+I1168, IF(C1168="Sell",(J1168-L1168)*(100*G1168)+I1168))))))</f>
        <v/>
      </c>
      <c r="O1168" s="75" t="n"/>
      <c r="P1168" s="75" t="n"/>
      <c r="Q1168" s="75">
        <f>IF(ISBLANK(P1168),"",IF(D1168="Stock",P1168*G1168,IF(P1168=0,"0",G1168*P1168*100-(G1168*$AF$14))))</f>
        <v/>
      </c>
      <c r="R1168" s="79">
        <f>IF(P1168&lt;&gt;"", TODAY(), "")</f>
        <v/>
      </c>
      <c r="S1168" s="78">
        <f>IF(AND(K1168&lt;&gt;"", R1168&lt;&gt;""), R1168-K1168, "")</f>
        <v/>
      </c>
      <c r="T1168" s="78" t="n"/>
      <c r="U1168" s="92">
        <f>IF(ISBLANK(P1168),"",IF(C1168="Buy",Q1168-M1168+T1168, IF(C1168="Sell",M1168-Q1168-T1168, X)))</f>
        <v/>
      </c>
      <c r="V1168" s="81">
        <f>IF(ISBLANK(P1168),"",U1168/N1168)</f>
        <v/>
      </c>
      <c r="W1168" s="81">
        <f>IF(ISBLANK(P1168),"",IF(S1168=0,(365/0.5)*V1168,(365/S1168)*V1168))</f>
        <v/>
      </c>
      <c r="X1168" s="75" t="n"/>
      <c r="Y1168" s="77" t="n"/>
      <c r="Z1168" s="77" t="n"/>
      <c r="AA1168" s="75" t="n"/>
      <c r="AB1168" s="75" t="n"/>
      <c r="AC1168" s="6" t="n"/>
      <c r="AD1168" s="75" t="n"/>
      <c r="AE1168" s="75" t="n"/>
      <c r="AF1168" s="75" t="n"/>
    </row>
    <row r="1169" ht="15.75" customHeight="1" s="133">
      <c r="A1169" s="75" t="n"/>
      <c r="B1169" s="75" t="n"/>
      <c r="C1169" s="75" t="n"/>
      <c r="D1169" s="75" t="n"/>
      <c r="E1169" s="76" t="n"/>
      <c r="F1169" s="77" t="n"/>
      <c r="G1169" s="75" t="n"/>
      <c r="H1169" s="75">
        <f>IF(ISBLANK(E1169),"",IF(OR(D1169="Butterfly",D1169="Butterfly ",D1169="Iron Fly", D1169="Iron Fly "),LEN(E1169)-LEN(SUBSTITUTE(E1169,"/",""))+2,LEN(E1169)-LEN(SUBSTITUTE(E1169,"/",""))+1))</f>
        <v/>
      </c>
      <c r="I1169" s="78">
        <f>IF(ISBLANK(G1169),"",IF(D1169="Stock","0",Key!$A$3*H1169*G1169))</f>
        <v/>
      </c>
      <c r="J1169" s="78">
        <f>IF(ISBLANK(E1169),"",IF(ISNUMBER(SEARCH("/",E1169)), IF(LEN(E1169)-LEN(SUBSTITUTE(E1169,"/",""))=1,(RIGHT(E1169,LEN(E1169)-FIND("/",E1169)))-(LEFT(E1169,FIND("/",E1169)-1)),(MID(E1169, SEARCH("/",E1169) + 1, SEARCH("/",E1169, SEARCH("/",E1169)+1) - SEARCH("/",E1169) - 1))-(LEFT(E1169,FIND("/",E1169)-1))), "NA"))</f>
        <v/>
      </c>
      <c r="K1169" s="79">
        <f>IF(A1169&lt;&gt;"", IF(ISBLANK(L1169), TODAY(), K1169), "")</f>
        <v/>
      </c>
      <c r="L1169" s="78" t="n"/>
      <c r="M1169" s="78">
        <f>IF(ISBLANK(L1169),"",IF(D1169="Stock",IF(C1169="Buy",L1169*G1169,IF(C1169="Sell",(L1169*G1169)-I1169, X)),IF(C1169="Buy",(L1169*G1169*100)+I1169,IF(C1169="Sell",(L1169*G1169*100)-I1169, X))))</f>
        <v/>
      </c>
      <c r="N1169" s="78">
        <f>IF(ISBLANK(L1169),"",IF(AND(C1169="Sell",D1169="Stock"),M1169,IF(ISBLANK(L1169),"",IF(C1169="Buy",M1169, IF(AND(C1169="Sell",J1169="NA"),(E1169*G1169*100*0.1)+I1169, IF(C1169="Sell",(J1169-L1169)*(100*G1169)+I1169))))))</f>
        <v/>
      </c>
      <c r="O1169" s="75" t="n"/>
      <c r="P1169" s="75" t="n"/>
      <c r="Q1169" s="75">
        <f>IF(ISBLANK(P1169),"",IF(D1169="Stock",P1169*G1169,IF(P1169=0,"0",G1169*P1169*100-(G1169*$AF$14))))</f>
        <v/>
      </c>
      <c r="R1169" s="79">
        <f>IF(P1169&lt;&gt;"", TODAY(), "")</f>
        <v/>
      </c>
      <c r="S1169" s="78">
        <f>IF(AND(K1169&lt;&gt;"", R1169&lt;&gt;""), R1169-K1169, "")</f>
        <v/>
      </c>
      <c r="T1169" s="78" t="n"/>
      <c r="U1169" s="92">
        <f>IF(ISBLANK(P1169),"",IF(C1169="Buy",Q1169-M1169+T1169, IF(C1169="Sell",M1169-Q1169-T1169, X)))</f>
        <v/>
      </c>
      <c r="V1169" s="81">
        <f>IF(ISBLANK(P1169),"",U1169/N1169)</f>
        <v/>
      </c>
      <c r="W1169" s="81">
        <f>IF(ISBLANK(P1169),"",IF(S1169=0,(365/0.5)*V1169,(365/S1169)*V1169))</f>
        <v/>
      </c>
      <c r="X1169" s="75" t="n"/>
      <c r="Y1169" s="77" t="n"/>
      <c r="Z1169" s="77" t="n"/>
      <c r="AA1169" s="75" t="n"/>
      <c r="AB1169" s="75" t="n"/>
      <c r="AC1169" s="6" t="n"/>
      <c r="AD1169" s="75" t="n"/>
      <c r="AE1169" s="75" t="n"/>
      <c r="AF1169" s="75" t="n"/>
    </row>
    <row r="1170" ht="15.75" customHeight="1" s="133">
      <c r="A1170" s="75" t="n"/>
      <c r="B1170" s="75" t="n"/>
      <c r="C1170" s="75" t="n"/>
      <c r="D1170" s="75" t="n"/>
      <c r="E1170" s="76" t="n"/>
      <c r="F1170" s="77" t="n"/>
      <c r="G1170" s="75" t="n"/>
      <c r="H1170" s="75">
        <f>IF(ISBLANK(E1170),"",IF(OR(D1170="Butterfly",D1170="Butterfly ",D1170="Iron Fly", D1170="Iron Fly "),LEN(E1170)-LEN(SUBSTITUTE(E1170,"/",""))+2,LEN(E1170)-LEN(SUBSTITUTE(E1170,"/",""))+1))</f>
        <v/>
      </c>
      <c r="I1170" s="78">
        <f>IF(ISBLANK(G1170),"",IF(D1170="Stock","0",Key!$A$3*H1170*G1170))</f>
        <v/>
      </c>
      <c r="J1170" s="78">
        <f>IF(ISBLANK(E1170),"",IF(ISNUMBER(SEARCH("/",E1170)), IF(LEN(E1170)-LEN(SUBSTITUTE(E1170,"/",""))=1,(RIGHT(E1170,LEN(E1170)-FIND("/",E1170)))-(LEFT(E1170,FIND("/",E1170)-1)),(MID(E1170, SEARCH("/",E1170) + 1, SEARCH("/",E1170, SEARCH("/",E1170)+1) - SEARCH("/",E1170) - 1))-(LEFT(E1170,FIND("/",E1170)-1))), "NA"))</f>
        <v/>
      </c>
      <c r="K1170" s="79">
        <f>IF(A1170&lt;&gt;"", IF(ISBLANK(L1170), TODAY(), K1170), "")</f>
        <v/>
      </c>
      <c r="L1170" s="78" t="n"/>
      <c r="M1170" s="78">
        <f>IF(ISBLANK(L1170),"",IF(D1170="Stock",IF(C1170="Buy",L1170*G1170,IF(C1170="Sell",(L1170*G1170)-I1170, X)),IF(C1170="Buy",(L1170*G1170*100)+I1170,IF(C1170="Sell",(L1170*G1170*100)-I1170, X))))</f>
        <v/>
      </c>
      <c r="N1170" s="78">
        <f>IF(ISBLANK(L1170),"",IF(AND(C1170="Sell",D1170="Stock"),M1170,IF(ISBLANK(L1170),"",IF(C1170="Buy",M1170, IF(AND(C1170="Sell",J1170="NA"),(E1170*G1170*100*0.1)+I1170, IF(C1170="Sell",(J1170-L1170)*(100*G1170)+I1170))))))</f>
        <v/>
      </c>
      <c r="O1170" s="75" t="n"/>
      <c r="P1170" s="75" t="n"/>
      <c r="Q1170" s="75">
        <f>IF(ISBLANK(P1170),"",IF(D1170="Stock",P1170*G1170,IF(P1170=0,"0",G1170*P1170*100-(G1170*$AF$14))))</f>
        <v/>
      </c>
      <c r="R1170" s="79">
        <f>IF(P1170&lt;&gt;"", TODAY(), "")</f>
        <v/>
      </c>
      <c r="S1170" s="78">
        <f>IF(AND(K1170&lt;&gt;"", R1170&lt;&gt;""), R1170-K1170, "")</f>
        <v/>
      </c>
      <c r="T1170" s="78" t="n"/>
      <c r="U1170" s="92">
        <f>IF(ISBLANK(P1170),"",IF(C1170="Buy",Q1170-M1170+T1170, IF(C1170="Sell",M1170-Q1170-T1170, X)))</f>
        <v/>
      </c>
      <c r="V1170" s="81">
        <f>IF(ISBLANK(P1170),"",U1170/N1170)</f>
        <v/>
      </c>
      <c r="W1170" s="81">
        <f>IF(ISBLANK(P1170),"",IF(S1170=0,(365/0.5)*V1170,(365/S1170)*V1170))</f>
        <v/>
      </c>
      <c r="X1170" s="75" t="n"/>
      <c r="Y1170" s="77" t="n"/>
      <c r="Z1170" s="77" t="n"/>
      <c r="AA1170" s="75" t="n"/>
      <c r="AB1170" s="75" t="n"/>
      <c r="AC1170" s="6" t="n"/>
      <c r="AD1170" s="75" t="n"/>
      <c r="AE1170" s="75" t="n"/>
      <c r="AF1170" s="75" t="n"/>
    </row>
    <row r="1171" ht="15.75" customHeight="1" s="133">
      <c r="A1171" s="75" t="n"/>
      <c r="B1171" s="75" t="n"/>
      <c r="C1171" s="75" t="n"/>
      <c r="D1171" s="75" t="n"/>
      <c r="E1171" s="76" t="n"/>
      <c r="F1171" s="77" t="n"/>
      <c r="G1171" s="75" t="n"/>
      <c r="H1171" s="75">
        <f>IF(ISBLANK(E1171),"",IF(OR(D1171="Butterfly",D1171="Butterfly ",D1171="Iron Fly", D1171="Iron Fly "),LEN(E1171)-LEN(SUBSTITUTE(E1171,"/",""))+2,LEN(E1171)-LEN(SUBSTITUTE(E1171,"/",""))+1))</f>
        <v/>
      </c>
      <c r="I1171" s="78">
        <f>IF(ISBLANK(G1171),"",IF(D1171="Stock","0",Key!$A$3*H1171*G1171))</f>
        <v/>
      </c>
      <c r="J1171" s="78">
        <f>IF(ISBLANK(E1171),"",IF(ISNUMBER(SEARCH("/",E1171)), IF(LEN(E1171)-LEN(SUBSTITUTE(E1171,"/",""))=1,(RIGHT(E1171,LEN(E1171)-FIND("/",E1171)))-(LEFT(E1171,FIND("/",E1171)-1)),(MID(E1171, SEARCH("/",E1171) + 1, SEARCH("/",E1171, SEARCH("/",E1171)+1) - SEARCH("/",E1171) - 1))-(LEFT(E1171,FIND("/",E1171)-1))), "NA"))</f>
        <v/>
      </c>
      <c r="K1171" s="79">
        <f>IF(A1171&lt;&gt;"", IF(ISBLANK(L1171), TODAY(), K1171), "")</f>
        <v/>
      </c>
      <c r="L1171" s="78" t="n"/>
      <c r="M1171" s="78">
        <f>IF(ISBLANK(L1171),"",IF(D1171="Stock",IF(C1171="Buy",L1171*G1171,IF(C1171="Sell",(L1171*G1171)-I1171, X)),IF(C1171="Buy",(L1171*G1171*100)+I1171,IF(C1171="Sell",(L1171*G1171*100)-I1171, X))))</f>
        <v/>
      </c>
      <c r="N1171" s="78">
        <f>IF(ISBLANK(L1171),"",IF(AND(C1171="Sell",D1171="Stock"),M1171,IF(ISBLANK(L1171),"",IF(C1171="Buy",M1171, IF(AND(C1171="Sell",J1171="NA"),(E1171*G1171*100*0.1)+I1171, IF(C1171="Sell",(J1171-L1171)*(100*G1171)+I1171))))))</f>
        <v/>
      </c>
      <c r="O1171" s="75" t="n"/>
      <c r="P1171" s="75" t="n"/>
      <c r="Q1171" s="75">
        <f>IF(ISBLANK(P1171),"",IF(D1171="Stock",P1171*G1171,IF(P1171=0,"0",G1171*P1171*100-(G1171*$AF$14))))</f>
        <v/>
      </c>
      <c r="R1171" s="79">
        <f>IF(P1171&lt;&gt;"", TODAY(), "")</f>
        <v/>
      </c>
      <c r="S1171" s="78">
        <f>IF(AND(K1171&lt;&gt;"", R1171&lt;&gt;""), R1171-K1171, "")</f>
        <v/>
      </c>
      <c r="T1171" s="78" t="n"/>
      <c r="U1171" s="92">
        <f>IF(ISBLANK(P1171),"",IF(C1171="Buy",Q1171-M1171+T1171, IF(C1171="Sell",M1171-Q1171-T1171, X)))</f>
        <v/>
      </c>
      <c r="V1171" s="81">
        <f>IF(ISBLANK(P1171),"",U1171/N1171)</f>
        <v/>
      </c>
      <c r="W1171" s="81">
        <f>IF(ISBLANK(P1171),"",IF(S1171=0,(365/0.5)*V1171,(365/S1171)*V1171))</f>
        <v/>
      </c>
      <c r="X1171" s="75" t="n"/>
      <c r="Y1171" s="77" t="n"/>
      <c r="Z1171" s="77" t="n"/>
      <c r="AA1171" s="75" t="n"/>
      <c r="AB1171" s="75" t="n"/>
      <c r="AC1171" s="6" t="n"/>
      <c r="AD1171" s="75" t="n"/>
      <c r="AE1171" s="75" t="n"/>
      <c r="AF1171" s="75" t="n"/>
    </row>
    <row r="1172" ht="15.75" customHeight="1" s="133">
      <c r="A1172" s="75" t="n"/>
      <c r="B1172" s="75" t="n"/>
      <c r="C1172" s="75" t="n"/>
      <c r="D1172" s="75" t="n"/>
      <c r="E1172" s="76" t="n"/>
      <c r="F1172" s="77" t="n"/>
      <c r="G1172" s="75" t="n"/>
      <c r="H1172" s="75">
        <f>IF(ISBLANK(E1172),"",IF(OR(D1172="Butterfly",D1172="Butterfly ",D1172="Iron Fly", D1172="Iron Fly "),LEN(E1172)-LEN(SUBSTITUTE(E1172,"/",""))+2,LEN(E1172)-LEN(SUBSTITUTE(E1172,"/",""))+1))</f>
        <v/>
      </c>
      <c r="I1172" s="78">
        <f>IF(ISBLANK(G1172),"",IF(D1172="Stock","0",Key!$A$3*H1172*G1172))</f>
        <v/>
      </c>
      <c r="J1172" s="78">
        <f>IF(ISBLANK(E1172),"",IF(ISNUMBER(SEARCH("/",E1172)), IF(LEN(E1172)-LEN(SUBSTITUTE(E1172,"/",""))=1,(RIGHT(E1172,LEN(E1172)-FIND("/",E1172)))-(LEFT(E1172,FIND("/",E1172)-1)),(MID(E1172, SEARCH("/",E1172) + 1, SEARCH("/",E1172, SEARCH("/",E1172)+1) - SEARCH("/",E1172) - 1))-(LEFT(E1172,FIND("/",E1172)-1))), "NA"))</f>
        <v/>
      </c>
      <c r="K1172" s="79">
        <f>IF(A1172&lt;&gt;"", IF(ISBLANK(L1172), TODAY(), K1172), "")</f>
        <v/>
      </c>
      <c r="L1172" s="78" t="n"/>
      <c r="M1172" s="78">
        <f>IF(ISBLANK(L1172),"",IF(D1172="Stock",IF(C1172="Buy",L1172*G1172,IF(C1172="Sell",(L1172*G1172)-I1172, X)),IF(C1172="Buy",(L1172*G1172*100)+I1172,IF(C1172="Sell",(L1172*G1172*100)-I1172, X))))</f>
        <v/>
      </c>
      <c r="N1172" s="78">
        <f>IF(ISBLANK(L1172),"",IF(AND(C1172="Sell",D1172="Stock"),M1172,IF(ISBLANK(L1172),"",IF(C1172="Buy",M1172, IF(AND(C1172="Sell",J1172="NA"),(E1172*G1172*100*0.1)+I1172, IF(C1172="Sell",(J1172-L1172)*(100*G1172)+I1172))))))</f>
        <v/>
      </c>
      <c r="O1172" s="75" t="n"/>
      <c r="P1172" s="75" t="n"/>
      <c r="Q1172" s="75">
        <f>IF(ISBLANK(P1172),"",IF(D1172="Stock",P1172*G1172,IF(P1172=0,"0",G1172*P1172*100-(G1172*$AF$14))))</f>
        <v/>
      </c>
      <c r="R1172" s="79">
        <f>IF(P1172&lt;&gt;"", TODAY(), "")</f>
        <v/>
      </c>
      <c r="S1172" s="78">
        <f>IF(AND(K1172&lt;&gt;"", R1172&lt;&gt;""), R1172-K1172, "")</f>
        <v/>
      </c>
      <c r="T1172" s="78" t="n"/>
      <c r="U1172" s="92">
        <f>IF(ISBLANK(P1172),"",IF(C1172="Buy",Q1172-M1172+T1172, IF(C1172="Sell",M1172-Q1172-T1172, X)))</f>
        <v/>
      </c>
      <c r="V1172" s="81">
        <f>IF(ISBLANK(P1172),"",U1172/N1172)</f>
        <v/>
      </c>
      <c r="W1172" s="81">
        <f>IF(ISBLANK(P1172),"",IF(S1172=0,(365/0.5)*V1172,(365/S1172)*V1172))</f>
        <v/>
      </c>
      <c r="X1172" s="75" t="n"/>
      <c r="Y1172" s="77" t="n"/>
      <c r="Z1172" s="77" t="n"/>
      <c r="AA1172" s="75" t="n"/>
      <c r="AB1172" s="75" t="n"/>
      <c r="AC1172" s="6" t="n"/>
      <c r="AD1172" s="75" t="n"/>
      <c r="AE1172" s="75" t="n"/>
      <c r="AF1172" s="75" t="n"/>
    </row>
    <row r="1173" ht="15.75" customHeight="1" s="133">
      <c r="A1173" s="75" t="n"/>
      <c r="B1173" s="75" t="n"/>
      <c r="C1173" s="75" t="n"/>
      <c r="D1173" s="75" t="n"/>
      <c r="E1173" s="76" t="n"/>
      <c r="F1173" s="77" t="n"/>
      <c r="G1173" s="75" t="n"/>
      <c r="H1173" s="75">
        <f>IF(ISBLANK(E1173),"",IF(OR(D1173="Butterfly",D1173="Butterfly ",D1173="Iron Fly", D1173="Iron Fly "),LEN(E1173)-LEN(SUBSTITUTE(E1173,"/",""))+2,LEN(E1173)-LEN(SUBSTITUTE(E1173,"/",""))+1))</f>
        <v/>
      </c>
      <c r="I1173" s="78">
        <f>IF(ISBLANK(G1173),"",IF(D1173="Stock","0",Key!$A$3*H1173*G1173))</f>
        <v/>
      </c>
      <c r="J1173" s="78">
        <f>IF(ISBLANK(E1173),"",IF(ISNUMBER(SEARCH("/",E1173)), IF(LEN(E1173)-LEN(SUBSTITUTE(E1173,"/",""))=1,(RIGHT(E1173,LEN(E1173)-FIND("/",E1173)))-(LEFT(E1173,FIND("/",E1173)-1)),(MID(E1173, SEARCH("/",E1173) + 1, SEARCH("/",E1173, SEARCH("/",E1173)+1) - SEARCH("/",E1173) - 1))-(LEFT(E1173,FIND("/",E1173)-1))), "NA"))</f>
        <v/>
      </c>
      <c r="K1173" s="79">
        <f>IF(A1173&lt;&gt;"", IF(ISBLANK(L1173), TODAY(), K1173), "")</f>
        <v/>
      </c>
      <c r="L1173" s="78" t="n"/>
      <c r="M1173" s="78">
        <f>IF(ISBLANK(L1173),"",IF(D1173="Stock",IF(C1173="Buy",L1173*G1173,IF(C1173="Sell",(L1173*G1173)-I1173, X)),IF(C1173="Buy",(L1173*G1173*100)+I1173,IF(C1173="Sell",(L1173*G1173*100)-I1173, X))))</f>
        <v/>
      </c>
      <c r="N1173" s="78">
        <f>IF(ISBLANK(L1173),"",IF(AND(C1173="Sell",D1173="Stock"),M1173,IF(ISBLANK(L1173),"",IF(C1173="Buy",M1173, IF(AND(C1173="Sell",J1173="NA"),(E1173*G1173*100*0.1)+I1173, IF(C1173="Sell",(J1173-L1173)*(100*G1173)+I1173))))))</f>
        <v/>
      </c>
      <c r="O1173" s="75" t="n"/>
      <c r="P1173" s="75" t="n"/>
      <c r="Q1173" s="75">
        <f>IF(ISBLANK(P1173),"",IF(D1173="Stock",P1173*G1173,IF(P1173=0,"0",G1173*P1173*100-(G1173*$AF$14))))</f>
        <v/>
      </c>
      <c r="R1173" s="79">
        <f>IF(P1173&lt;&gt;"", TODAY(), "")</f>
        <v/>
      </c>
      <c r="S1173" s="78">
        <f>IF(AND(K1173&lt;&gt;"", R1173&lt;&gt;""), R1173-K1173, "")</f>
        <v/>
      </c>
      <c r="T1173" s="78" t="n"/>
      <c r="U1173" s="92">
        <f>IF(ISBLANK(P1173),"",IF(C1173="Buy",Q1173-M1173+T1173, IF(C1173="Sell",M1173-Q1173-T1173, X)))</f>
        <v/>
      </c>
      <c r="V1173" s="81">
        <f>IF(ISBLANK(P1173),"",U1173/N1173)</f>
        <v/>
      </c>
      <c r="W1173" s="81">
        <f>IF(ISBLANK(P1173),"",IF(S1173=0,(365/0.5)*V1173,(365/S1173)*V1173))</f>
        <v/>
      </c>
      <c r="X1173" s="75" t="n"/>
      <c r="Y1173" s="77" t="n"/>
      <c r="Z1173" s="77" t="n"/>
      <c r="AA1173" s="75" t="n"/>
      <c r="AB1173" s="75" t="n"/>
      <c r="AC1173" s="6" t="n"/>
      <c r="AD1173" s="75" t="n"/>
      <c r="AE1173" s="75" t="n"/>
      <c r="AF1173" s="75" t="n"/>
    </row>
    <row r="1174" ht="15.75" customHeight="1" s="133">
      <c r="A1174" s="75" t="n"/>
      <c r="B1174" s="75" t="n"/>
      <c r="C1174" s="75" t="n"/>
      <c r="D1174" s="75" t="n"/>
      <c r="E1174" s="76" t="n"/>
      <c r="F1174" s="77" t="n"/>
      <c r="G1174" s="75" t="n"/>
      <c r="H1174" s="75">
        <f>IF(ISBLANK(E1174),"",IF(OR(D1174="Butterfly",D1174="Butterfly ",D1174="Iron Fly", D1174="Iron Fly "),LEN(E1174)-LEN(SUBSTITUTE(E1174,"/",""))+2,LEN(E1174)-LEN(SUBSTITUTE(E1174,"/",""))+1))</f>
        <v/>
      </c>
      <c r="I1174" s="78">
        <f>IF(ISBLANK(G1174),"",IF(D1174="Stock","0",Key!$A$3*H1174*G1174))</f>
        <v/>
      </c>
      <c r="J1174" s="78">
        <f>IF(ISBLANK(E1174),"",IF(ISNUMBER(SEARCH("/",E1174)), IF(LEN(E1174)-LEN(SUBSTITUTE(E1174,"/",""))=1,(RIGHT(E1174,LEN(E1174)-FIND("/",E1174)))-(LEFT(E1174,FIND("/",E1174)-1)),(MID(E1174, SEARCH("/",E1174) + 1, SEARCH("/",E1174, SEARCH("/",E1174)+1) - SEARCH("/",E1174) - 1))-(LEFT(E1174,FIND("/",E1174)-1))), "NA"))</f>
        <v/>
      </c>
      <c r="K1174" s="79">
        <f>IF(A1174&lt;&gt;"", IF(ISBLANK(L1174), TODAY(), K1174), "")</f>
        <v/>
      </c>
      <c r="L1174" s="78" t="n"/>
      <c r="M1174" s="78">
        <f>IF(ISBLANK(L1174),"",IF(D1174="Stock",IF(C1174="Buy",L1174*G1174,IF(C1174="Sell",(L1174*G1174)-I1174, X)),IF(C1174="Buy",(L1174*G1174*100)+I1174,IF(C1174="Sell",(L1174*G1174*100)-I1174, X))))</f>
        <v/>
      </c>
      <c r="N1174" s="78">
        <f>IF(ISBLANK(L1174),"",IF(AND(C1174="Sell",D1174="Stock"),M1174,IF(ISBLANK(L1174),"",IF(C1174="Buy",M1174, IF(AND(C1174="Sell",J1174="NA"),(E1174*G1174*100*0.1)+I1174, IF(C1174="Sell",(J1174-L1174)*(100*G1174)+I1174))))))</f>
        <v/>
      </c>
      <c r="O1174" s="75" t="n"/>
      <c r="P1174" s="75" t="n"/>
      <c r="Q1174" s="75">
        <f>IF(ISBLANK(P1174),"",IF(D1174="Stock",P1174*G1174,IF(P1174=0,"0",G1174*P1174*100-(G1174*$AF$14))))</f>
        <v/>
      </c>
      <c r="R1174" s="79">
        <f>IF(P1174&lt;&gt;"", TODAY(), "")</f>
        <v/>
      </c>
      <c r="S1174" s="78">
        <f>IF(AND(K1174&lt;&gt;"", R1174&lt;&gt;""), R1174-K1174, "")</f>
        <v/>
      </c>
      <c r="T1174" s="78" t="n"/>
      <c r="U1174" s="92">
        <f>IF(ISBLANK(P1174),"",IF(C1174="Buy",Q1174-M1174+T1174, IF(C1174="Sell",M1174-Q1174-T1174, X)))</f>
        <v/>
      </c>
      <c r="V1174" s="81">
        <f>IF(ISBLANK(P1174),"",U1174/N1174)</f>
        <v/>
      </c>
      <c r="W1174" s="81">
        <f>IF(ISBLANK(P1174),"",IF(S1174=0,(365/0.5)*V1174,(365/S1174)*V1174))</f>
        <v/>
      </c>
      <c r="X1174" s="75" t="n"/>
      <c r="Y1174" s="77" t="n"/>
      <c r="Z1174" s="77" t="n"/>
      <c r="AA1174" s="75" t="n"/>
      <c r="AB1174" s="75" t="n"/>
      <c r="AC1174" s="6" t="n"/>
      <c r="AD1174" s="75" t="n"/>
      <c r="AE1174" s="75" t="n"/>
      <c r="AF1174" s="75" t="n"/>
    </row>
    <row r="1175" ht="15.75" customHeight="1" s="133">
      <c r="A1175" s="75" t="n"/>
      <c r="B1175" s="75" t="n"/>
      <c r="C1175" s="75" t="n"/>
      <c r="D1175" s="75" t="n"/>
      <c r="E1175" s="76" t="n"/>
      <c r="F1175" s="77" t="n"/>
      <c r="G1175" s="75" t="n"/>
      <c r="H1175" s="75">
        <f>IF(ISBLANK(E1175),"",IF(OR(D1175="Butterfly",D1175="Butterfly ",D1175="Iron Fly", D1175="Iron Fly "),LEN(E1175)-LEN(SUBSTITUTE(E1175,"/",""))+2,LEN(E1175)-LEN(SUBSTITUTE(E1175,"/",""))+1))</f>
        <v/>
      </c>
      <c r="I1175" s="78">
        <f>IF(ISBLANK(G1175),"",IF(D1175="Stock","0",Key!$A$3*H1175*G1175))</f>
        <v/>
      </c>
      <c r="J1175" s="78">
        <f>IF(ISBLANK(E1175),"",IF(ISNUMBER(SEARCH("/",E1175)), IF(LEN(E1175)-LEN(SUBSTITUTE(E1175,"/",""))=1,(RIGHT(E1175,LEN(E1175)-FIND("/",E1175)))-(LEFT(E1175,FIND("/",E1175)-1)),(MID(E1175, SEARCH("/",E1175) + 1, SEARCH("/",E1175, SEARCH("/",E1175)+1) - SEARCH("/",E1175) - 1))-(LEFT(E1175,FIND("/",E1175)-1))), "NA"))</f>
        <v/>
      </c>
      <c r="K1175" s="79">
        <f>IF(A1175&lt;&gt;"", IF(ISBLANK(L1175), TODAY(), K1175), "")</f>
        <v/>
      </c>
      <c r="L1175" s="78" t="n"/>
      <c r="M1175" s="78">
        <f>IF(ISBLANK(L1175),"",IF(D1175="Stock",IF(C1175="Buy",L1175*G1175,IF(C1175="Sell",(L1175*G1175)-I1175, X)),IF(C1175="Buy",(L1175*G1175*100)+I1175,IF(C1175="Sell",(L1175*G1175*100)-I1175, X))))</f>
        <v/>
      </c>
      <c r="N1175" s="78">
        <f>IF(ISBLANK(L1175),"",IF(AND(C1175="Sell",D1175="Stock"),M1175,IF(ISBLANK(L1175),"",IF(C1175="Buy",M1175, IF(AND(C1175="Sell",J1175="NA"),(E1175*G1175*100*0.1)+I1175, IF(C1175="Sell",(J1175-L1175)*(100*G1175)+I1175))))))</f>
        <v/>
      </c>
      <c r="O1175" s="75" t="n"/>
      <c r="P1175" s="75" t="n"/>
      <c r="Q1175" s="75">
        <f>IF(ISBLANK(P1175),"",IF(D1175="Stock",P1175*G1175,IF(P1175=0,"0",G1175*P1175*100-(G1175*$AF$14))))</f>
        <v/>
      </c>
      <c r="R1175" s="79">
        <f>IF(P1175&lt;&gt;"", TODAY(), "")</f>
        <v/>
      </c>
      <c r="S1175" s="78">
        <f>IF(AND(K1175&lt;&gt;"", R1175&lt;&gt;""), R1175-K1175, "")</f>
        <v/>
      </c>
      <c r="T1175" s="78" t="n"/>
      <c r="U1175" s="92">
        <f>IF(ISBLANK(P1175),"",IF(C1175="Buy",Q1175-M1175+T1175, IF(C1175="Sell",M1175-Q1175-T1175, X)))</f>
        <v/>
      </c>
      <c r="V1175" s="81">
        <f>IF(ISBLANK(P1175),"",U1175/N1175)</f>
        <v/>
      </c>
      <c r="W1175" s="81">
        <f>IF(ISBLANK(P1175),"",IF(S1175=0,(365/0.5)*V1175,(365/S1175)*V1175))</f>
        <v/>
      </c>
      <c r="X1175" s="75" t="n"/>
      <c r="Y1175" s="77" t="n"/>
      <c r="Z1175" s="77" t="n"/>
      <c r="AA1175" s="75" t="n"/>
      <c r="AB1175" s="75" t="n"/>
      <c r="AC1175" s="6" t="n"/>
      <c r="AD1175" s="75" t="n"/>
      <c r="AE1175" s="75" t="n"/>
      <c r="AF1175" s="75" t="n"/>
    </row>
    <row r="1176" ht="15.75" customHeight="1" s="133">
      <c r="A1176" s="75" t="n"/>
      <c r="B1176" s="75" t="n"/>
      <c r="C1176" s="75" t="n"/>
      <c r="D1176" s="75" t="n"/>
      <c r="E1176" s="76" t="n"/>
      <c r="F1176" s="77" t="n"/>
      <c r="G1176" s="75" t="n"/>
      <c r="H1176" s="75">
        <f>IF(ISBLANK(E1176),"",IF(OR(D1176="Butterfly",D1176="Butterfly ",D1176="Iron Fly", D1176="Iron Fly "),LEN(E1176)-LEN(SUBSTITUTE(E1176,"/",""))+2,LEN(E1176)-LEN(SUBSTITUTE(E1176,"/",""))+1))</f>
        <v/>
      </c>
      <c r="I1176" s="78">
        <f>IF(ISBLANK(G1176),"",IF(D1176="Stock","0",Key!$A$3*H1176*G1176))</f>
        <v/>
      </c>
      <c r="J1176" s="78">
        <f>IF(ISBLANK(E1176),"",IF(ISNUMBER(SEARCH("/",E1176)), IF(LEN(E1176)-LEN(SUBSTITUTE(E1176,"/",""))=1,(RIGHT(E1176,LEN(E1176)-FIND("/",E1176)))-(LEFT(E1176,FIND("/",E1176)-1)),(MID(E1176, SEARCH("/",E1176) + 1, SEARCH("/",E1176, SEARCH("/",E1176)+1) - SEARCH("/",E1176) - 1))-(LEFT(E1176,FIND("/",E1176)-1))), "NA"))</f>
        <v/>
      </c>
      <c r="K1176" s="79">
        <f>IF(A1176&lt;&gt;"", IF(ISBLANK(L1176), TODAY(), K1176), "")</f>
        <v/>
      </c>
      <c r="L1176" s="78" t="n"/>
      <c r="M1176" s="78">
        <f>IF(ISBLANK(L1176),"",IF(D1176="Stock",IF(C1176="Buy",L1176*G1176,IF(C1176="Sell",(L1176*G1176)-I1176, X)),IF(C1176="Buy",(L1176*G1176*100)+I1176,IF(C1176="Sell",(L1176*G1176*100)-I1176, X))))</f>
        <v/>
      </c>
      <c r="N1176" s="78">
        <f>IF(ISBLANK(L1176),"",IF(AND(C1176="Sell",D1176="Stock"),M1176,IF(ISBLANK(L1176),"",IF(C1176="Buy",M1176, IF(AND(C1176="Sell",J1176="NA"),(E1176*G1176*100*0.1)+I1176, IF(C1176="Sell",(J1176-L1176)*(100*G1176)+I1176))))))</f>
        <v/>
      </c>
      <c r="O1176" s="75" t="n"/>
      <c r="P1176" s="75" t="n"/>
      <c r="Q1176" s="75">
        <f>IF(ISBLANK(P1176),"",IF(D1176="Stock",P1176*G1176,IF(P1176=0,"0",G1176*P1176*100-(G1176*$AF$14))))</f>
        <v/>
      </c>
      <c r="R1176" s="79">
        <f>IF(P1176&lt;&gt;"", TODAY(), "")</f>
        <v/>
      </c>
      <c r="S1176" s="78">
        <f>IF(AND(K1176&lt;&gt;"", R1176&lt;&gt;""), R1176-K1176, "")</f>
        <v/>
      </c>
      <c r="T1176" s="78" t="n"/>
      <c r="U1176" s="92">
        <f>IF(ISBLANK(P1176),"",IF(C1176="Buy",Q1176-M1176+T1176, IF(C1176="Sell",M1176-Q1176-T1176, X)))</f>
        <v/>
      </c>
      <c r="V1176" s="81">
        <f>IF(ISBLANK(P1176),"",U1176/N1176)</f>
        <v/>
      </c>
      <c r="W1176" s="81">
        <f>IF(ISBLANK(P1176),"",IF(S1176=0,(365/0.5)*V1176,(365/S1176)*V1176))</f>
        <v/>
      </c>
      <c r="X1176" s="75" t="n"/>
      <c r="Y1176" s="77" t="n"/>
      <c r="Z1176" s="77" t="n"/>
      <c r="AA1176" s="75" t="n"/>
      <c r="AB1176" s="75" t="n"/>
      <c r="AC1176" s="6" t="n"/>
      <c r="AD1176" s="75" t="n"/>
      <c r="AE1176" s="75" t="n"/>
      <c r="AF1176" s="75" t="n"/>
    </row>
    <row r="1177" ht="15.75" customHeight="1" s="133">
      <c r="A1177" s="75" t="n"/>
      <c r="B1177" s="75" t="n"/>
      <c r="C1177" s="75" t="n"/>
      <c r="D1177" s="75" t="n"/>
      <c r="E1177" s="76" t="n"/>
      <c r="F1177" s="77" t="n"/>
      <c r="G1177" s="75" t="n"/>
      <c r="H1177" s="75">
        <f>IF(ISBLANK(E1177),"",IF(OR(D1177="Butterfly",D1177="Butterfly ",D1177="Iron Fly", D1177="Iron Fly "),LEN(E1177)-LEN(SUBSTITUTE(E1177,"/",""))+2,LEN(E1177)-LEN(SUBSTITUTE(E1177,"/",""))+1))</f>
        <v/>
      </c>
      <c r="I1177" s="78">
        <f>IF(ISBLANK(G1177),"",IF(D1177="Stock","0",Key!$A$3*H1177*G1177))</f>
        <v/>
      </c>
      <c r="J1177" s="78">
        <f>IF(ISBLANK(E1177),"",IF(ISNUMBER(SEARCH("/",E1177)), IF(LEN(E1177)-LEN(SUBSTITUTE(E1177,"/",""))=1,(RIGHT(E1177,LEN(E1177)-FIND("/",E1177)))-(LEFT(E1177,FIND("/",E1177)-1)),(MID(E1177, SEARCH("/",E1177) + 1, SEARCH("/",E1177, SEARCH("/",E1177)+1) - SEARCH("/",E1177) - 1))-(LEFT(E1177,FIND("/",E1177)-1))), "NA"))</f>
        <v/>
      </c>
      <c r="K1177" s="79">
        <f>IF(A1177&lt;&gt;"", IF(ISBLANK(L1177), TODAY(), K1177), "")</f>
        <v/>
      </c>
      <c r="L1177" s="78" t="n"/>
      <c r="M1177" s="78">
        <f>IF(ISBLANK(L1177),"",IF(D1177="Stock",IF(C1177="Buy",L1177*G1177,IF(C1177="Sell",(L1177*G1177)-I1177, X)),IF(C1177="Buy",(L1177*G1177*100)+I1177,IF(C1177="Sell",(L1177*G1177*100)-I1177, X))))</f>
        <v/>
      </c>
      <c r="N1177" s="78">
        <f>IF(ISBLANK(L1177),"",IF(AND(C1177="Sell",D1177="Stock"),M1177,IF(ISBLANK(L1177),"",IF(C1177="Buy",M1177, IF(AND(C1177="Sell",J1177="NA"),(E1177*G1177*100*0.1)+I1177, IF(C1177="Sell",(J1177-L1177)*(100*G1177)+I1177))))))</f>
        <v/>
      </c>
      <c r="O1177" s="75" t="n"/>
      <c r="P1177" s="75" t="n"/>
      <c r="Q1177" s="75">
        <f>IF(ISBLANK(P1177),"",IF(D1177="Stock",P1177*G1177,IF(P1177=0,"0",G1177*P1177*100-(G1177*$AF$14))))</f>
        <v/>
      </c>
      <c r="R1177" s="79">
        <f>IF(P1177&lt;&gt;"", TODAY(), "")</f>
        <v/>
      </c>
      <c r="S1177" s="78">
        <f>IF(AND(K1177&lt;&gt;"", R1177&lt;&gt;""), R1177-K1177, "")</f>
        <v/>
      </c>
      <c r="T1177" s="78" t="n"/>
      <c r="U1177" s="92">
        <f>IF(ISBLANK(P1177),"",IF(C1177="Buy",Q1177-M1177+T1177, IF(C1177="Sell",M1177-Q1177-T1177, X)))</f>
        <v/>
      </c>
      <c r="V1177" s="81">
        <f>IF(ISBLANK(P1177),"",U1177/N1177)</f>
        <v/>
      </c>
      <c r="W1177" s="81">
        <f>IF(ISBLANK(P1177),"",IF(S1177=0,(365/0.5)*V1177,(365/S1177)*V1177))</f>
        <v/>
      </c>
      <c r="X1177" s="75" t="n"/>
      <c r="Y1177" s="77" t="n"/>
      <c r="Z1177" s="77" t="n"/>
      <c r="AA1177" s="75" t="n"/>
      <c r="AB1177" s="75" t="n"/>
      <c r="AC1177" s="6" t="n"/>
      <c r="AD1177" s="75" t="n"/>
      <c r="AE1177" s="75" t="n"/>
      <c r="AF1177" s="75" t="n"/>
    </row>
    <row r="1178" ht="15.75" customHeight="1" s="133">
      <c r="A1178" s="75" t="n"/>
      <c r="B1178" s="75" t="n"/>
      <c r="C1178" s="75" t="n"/>
      <c r="D1178" s="75" t="n"/>
      <c r="E1178" s="76" t="n"/>
      <c r="F1178" s="77" t="n"/>
      <c r="G1178" s="75" t="n"/>
      <c r="H1178" s="75">
        <f>IF(ISBLANK(E1178),"",IF(OR(D1178="Butterfly",D1178="Butterfly ",D1178="Iron Fly", D1178="Iron Fly "),LEN(E1178)-LEN(SUBSTITUTE(E1178,"/",""))+2,LEN(E1178)-LEN(SUBSTITUTE(E1178,"/",""))+1))</f>
        <v/>
      </c>
      <c r="I1178" s="78">
        <f>IF(ISBLANK(G1178),"",IF(D1178="Stock","0",Key!$A$3*H1178*G1178))</f>
        <v/>
      </c>
      <c r="J1178" s="78">
        <f>IF(ISBLANK(E1178),"",IF(ISNUMBER(SEARCH("/",E1178)), IF(LEN(E1178)-LEN(SUBSTITUTE(E1178,"/",""))=1,(RIGHT(E1178,LEN(E1178)-FIND("/",E1178)))-(LEFT(E1178,FIND("/",E1178)-1)),(MID(E1178, SEARCH("/",E1178) + 1, SEARCH("/",E1178, SEARCH("/",E1178)+1) - SEARCH("/",E1178) - 1))-(LEFT(E1178,FIND("/",E1178)-1))), "NA"))</f>
        <v/>
      </c>
      <c r="K1178" s="79">
        <f>IF(A1178&lt;&gt;"", IF(ISBLANK(L1178), TODAY(), K1178), "")</f>
        <v/>
      </c>
      <c r="L1178" s="78" t="n"/>
      <c r="M1178" s="78">
        <f>IF(ISBLANK(L1178),"",IF(D1178="Stock",IF(C1178="Buy",L1178*G1178,IF(C1178="Sell",(L1178*G1178)-I1178, X)),IF(C1178="Buy",(L1178*G1178*100)+I1178,IF(C1178="Sell",(L1178*G1178*100)-I1178, X))))</f>
        <v/>
      </c>
      <c r="N1178" s="78">
        <f>IF(ISBLANK(L1178),"",IF(AND(C1178="Sell",D1178="Stock"),M1178,IF(ISBLANK(L1178),"",IF(C1178="Buy",M1178, IF(AND(C1178="Sell",J1178="NA"),(E1178*G1178*100*0.1)+I1178, IF(C1178="Sell",(J1178-L1178)*(100*G1178)+I1178))))))</f>
        <v/>
      </c>
      <c r="O1178" s="75" t="n"/>
      <c r="P1178" s="75" t="n"/>
      <c r="Q1178" s="75">
        <f>IF(ISBLANK(P1178),"",IF(D1178="Stock",P1178*G1178,IF(P1178=0,"0",G1178*P1178*100-(G1178*$AF$14))))</f>
        <v/>
      </c>
      <c r="R1178" s="79">
        <f>IF(P1178&lt;&gt;"", TODAY(), "")</f>
        <v/>
      </c>
      <c r="S1178" s="78">
        <f>IF(AND(K1178&lt;&gt;"", R1178&lt;&gt;""), R1178-K1178, "")</f>
        <v/>
      </c>
      <c r="T1178" s="78" t="n"/>
      <c r="U1178" s="92">
        <f>IF(ISBLANK(P1178),"",IF(C1178="Buy",Q1178-M1178+T1178, IF(C1178="Sell",M1178-Q1178-T1178, X)))</f>
        <v/>
      </c>
      <c r="V1178" s="81">
        <f>IF(ISBLANK(P1178),"",U1178/N1178)</f>
        <v/>
      </c>
      <c r="W1178" s="81">
        <f>IF(ISBLANK(P1178),"",IF(S1178=0,(365/0.5)*V1178,(365/S1178)*V1178))</f>
        <v/>
      </c>
      <c r="X1178" s="75" t="n"/>
      <c r="Y1178" s="77" t="n"/>
      <c r="Z1178" s="77" t="n"/>
      <c r="AA1178" s="75" t="n"/>
      <c r="AB1178" s="75" t="n"/>
      <c r="AC1178" s="6" t="n"/>
      <c r="AD1178" s="75" t="n"/>
      <c r="AE1178" s="75" t="n"/>
      <c r="AF1178" s="75" t="n"/>
    </row>
    <row r="1179" ht="15.75" customHeight="1" s="133">
      <c r="A1179" s="75" t="n"/>
      <c r="B1179" s="75" t="n"/>
      <c r="C1179" s="75" t="n"/>
      <c r="D1179" s="75" t="n"/>
      <c r="E1179" s="76" t="n"/>
      <c r="F1179" s="77" t="n"/>
      <c r="G1179" s="75" t="n"/>
      <c r="H1179" s="75">
        <f>IF(ISBLANK(E1179),"",IF(OR(D1179="Butterfly",D1179="Butterfly ",D1179="Iron Fly", D1179="Iron Fly "),LEN(E1179)-LEN(SUBSTITUTE(E1179,"/",""))+2,LEN(E1179)-LEN(SUBSTITUTE(E1179,"/",""))+1))</f>
        <v/>
      </c>
      <c r="I1179" s="78">
        <f>IF(ISBLANK(G1179),"",IF(D1179="Stock","0",Key!$A$3*H1179*G1179))</f>
        <v/>
      </c>
      <c r="J1179" s="78">
        <f>IF(ISBLANK(E1179),"",IF(ISNUMBER(SEARCH("/",E1179)), IF(LEN(E1179)-LEN(SUBSTITUTE(E1179,"/",""))=1,(RIGHT(E1179,LEN(E1179)-FIND("/",E1179)))-(LEFT(E1179,FIND("/",E1179)-1)),(MID(E1179, SEARCH("/",E1179) + 1, SEARCH("/",E1179, SEARCH("/",E1179)+1) - SEARCH("/",E1179) - 1))-(LEFT(E1179,FIND("/",E1179)-1))), "NA"))</f>
        <v/>
      </c>
      <c r="K1179" s="79">
        <f>IF(A1179&lt;&gt;"", IF(ISBLANK(L1179), TODAY(), K1179), "")</f>
        <v/>
      </c>
      <c r="L1179" s="78" t="n"/>
      <c r="M1179" s="78">
        <f>IF(ISBLANK(L1179),"",IF(D1179="Stock",IF(C1179="Buy",L1179*G1179,IF(C1179="Sell",(L1179*G1179)-I1179, X)),IF(C1179="Buy",(L1179*G1179*100)+I1179,IF(C1179="Sell",(L1179*G1179*100)-I1179, X))))</f>
        <v/>
      </c>
      <c r="N1179" s="78">
        <f>IF(ISBLANK(L1179),"",IF(AND(C1179="Sell",D1179="Stock"),M1179,IF(ISBLANK(L1179),"",IF(C1179="Buy",M1179, IF(AND(C1179="Sell",J1179="NA"),(E1179*G1179*100*0.1)+I1179, IF(C1179="Sell",(J1179-L1179)*(100*G1179)+I1179))))))</f>
        <v/>
      </c>
      <c r="O1179" s="75" t="n"/>
      <c r="P1179" s="75" t="n"/>
      <c r="Q1179" s="75">
        <f>IF(ISBLANK(P1179),"",IF(D1179="Stock",P1179*G1179,IF(P1179=0,"0",G1179*P1179*100-(G1179*$AF$14))))</f>
        <v/>
      </c>
      <c r="R1179" s="79">
        <f>IF(P1179&lt;&gt;"", TODAY(), "")</f>
        <v/>
      </c>
      <c r="S1179" s="78">
        <f>IF(AND(K1179&lt;&gt;"", R1179&lt;&gt;""), R1179-K1179, "")</f>
        <v/>
      </c>
      <c r="T1179" s="78" t="n"/>
      <c r="U1179" s="92">
        <f>IF(ISBLANK(P1179),"",IF(C1179="Buy",Q1179-M1179+T1179, IF(C1179="Sell",M1179-Q1179-T1179, X)))</f>
        <v/>
      </c>
      <c r="V1179" s="81">
        <f>IF(ISBLANK(P1179),"",U1179/N1179)</f>
        <v/>
      </c>
      <c r="W1179" s="81">
        <f>IF(ISBLANK(P1179),"",IF(S1179=0,(365/0.5)*V1179,(365/S1179)*V1179))</f>
        <v/>
      </c>
      <c r="X1179" s="75" t="n"/>
      <c r="Y1179" s="77" t="n"/>
      <c r="Z1179" s="77" t="n"/>
      <c r="AA1179" s="75" t="n"/>
      <c r="AB1179" s="75" t="n"/>
      <c r="AC1179" s="6" t="n"/>
      <c r="AD1179" s="75" t="n"/>
      <c r="AE1179" s="75" t="n"/>
      <c r="AF1179" s="75" t="n"/>
    </row>
    <row r="1180" ht="15.75" customHeight="1" s="133">
      <c r="A1180" s="75" t="n"/>
      <c r="B1180" s="75" t="n"/>
      <c r="C1180" s="75" t="n"/>
      <c r="D1180" s="75" t="n"/>
      <c r="E1180" s="76" t="n"/>
      <c r="F1180" s="77" t="n"/>
      <c r="G1180" s="75" t="n"/>
      <c r="H1180" s="75">
        <f>IF(ISBLANK(E1180),"",IF(OR(D1180="Butterfly",D1180="Butterfly ",D1180="Iron Fly", D1180="Iron Fly "),LEN(E1180)-LEN(SUBSTITUTE(E1180,"/",""))+2,LEN(E1180)-LEN(SUBSTITUTE(E1180,"/",""))+1))</f>
        <v/>
      </c>
      <c r="I1180" s="78">
        <f>IF(ISBLANK(G1180),"",IF(D1180="Stock","0",Key!$A$3*H1180*G1180))</f>
        <v/>
      </c>
      <c r="J1180" s="78">
        <f>IF(ISBLANK(E1180),"",IF(ISNUMBER(SEARCH("/",E1180)), IF(LEN(E1180)-LEN(SUBSTITUTE(E1180,"/",""))=1,(RIGHT(E1180,LEN(E1180)-FIND("/",E1180)))-(LEFT(E1180,FIND("/",E1180)-1)),(MID(E1180, SEARCH("/",E1180) + 1, SEARCH("/",E1180, SEARCH("/",E1180)+1) - SEARCH("/",E1180) - 1))-(LEFT(E1180,FIND("/",E1180)-1))), "NA"))</f>
        <v/>
      </c>
      <c r="K1180" s="79">
        <f>IF(A1180&lt;&gt;"", IF(ISBLANK(L1180), TODAY(), K1180), "")</f>
        <v/>
      </c>
      <c r="L1180" s="78" t="n"/>
      <c r="M1180" s="78">
        <f>IF(ISBLANK(L1180),"",IF(D1180="Stock",IF(C1180="Buy",L1180*G1180,IF(C1180="Sell",(L1180*G1180)-I1180, X)),IF(C1180="Buy",(L1180*G1180*100)+I1180,IF(C1180="Sell",(L1180*G1180*100)-I1180, X))))</f>
        <v/>
      </c>
      <c r="N1180" s="78">
        <f>IF(ISBLANK(L1180),"",IF(AND(C1180="Sell",D1180="Stock"),M1180,IF(ISBLANK(L1180),"",IF(C1180="Buy",M1180, IF(AND(C1180="Sell",J1180="NA"),(E1180*G1180*100*0.1)+I1180, IF(C1180="Sell",(J1180-L1180)*(100*G1180)+I1180))))))</f>
        <v/>
      </c>
      <c r="O1180" s="75" t="n"/>
      <c r="P1180" s="75" t="n"/>
      <c r="Q1180" s="75">
        <f>IF(ISBLANK(P1180),"",IF(D1180="Stock",P1180*G1180,IF(P1180=0,"0",G1180*P1180*100-(G1180*$AF$14))))</f>
        <v/>
      </c>
      <c r="R1180" s="79">
        <f>IF(P1180&lt;&gt;"", TODAY(), "")</f>
        <v/>
      </c>
      <c r="S1180" s="78">
        <f>IF(AND(K1180&lt;&gt;"", R1180&lt;&gt;""), R1180-K1180, "")</f>
        <v/>
      </c>
      <c r="T1180" s="78" t="n"/>
      <c r="U1180" s="92">
        <f>IF(ISBLANK(P1180),"",IF(C1180="Buy",Q1180-M1180+T1180, IF(C1180="Sell",M1180-Q1180-T1180, X)))</f>
        <v/>
      </c>
      <c r="V1180" s="81">
        <f>IF(ISBLANK(P1180),"",U1180/N1180)</f>
        <v/>
      </c>
      <c r="W1180" s="81">
        <f>IF(ISBLANK(P1180),"",IF(S1180=0,(365/0.5)*V1180,(365/S1180)*V1180))</f>
        <v/>
      </c>
      <c r="X1180" s="75" t="n"/>
      <c r="Y1180" s="77" t="n"/>
      <c r="Z1180" s="77" t="n"/>
      <c r="AA1180" s="75" t="n"/>
      <c r="AB1180" s="75" t="n"/>
      <c r="AC1180" s="6" t="n"/>
      <c r="AD1180" s="75" t="n"/>
      <c r="AE1180" s="75" t="n"/>
      <c r="AF1180" s="75" t="n"/>
    </row>
    <row r="1181" ht="15.75" customHeight="1" s="133">
      <c r="A1181" s="75" t="n"/>
      <c r="B1181" s="75" t="n"/>
      <c r="C1181" s="75" t="n"/>
      <c r="D1181" s="75" t="n"/>
      <c r="E1181" s="76" t="n"/>
      <c r="F1181" s="77" t="n"/>
      <c r="G1181" s="75" t="n"/>
      <c r="H1181" s="75">
        <f>IF(ISBLANK(E1181),"",IF(OR(D1181="Butterfly",D1181="Butterfly ",D1181="Iron Fly", D1181="Iron Fly "),LEN(E1181)-LEN(SUBSTITUTE(E1181,"/",""))+2,LEN(E1181)-LEN(SUBSTITUTE(E1181,"/",""))+1))</f>
        <v/>
      </c>
      <c r="I1181" s="78">
        <f>IF(ISBLANK(G1181),"",IF(D1181="Stock","0",Key!$A$3*H1181*G1181))</f>
        <v/>
      </c>
      <c r="J1181" s="78">
        <f>IF(ISBLANK(E1181),"",IF(ISNUMBER(SEARCH("/",E1181)), IF(LEN(E1181)-LEN(SUBSTITUTE(E1181,"/",""))=1,(RIGHT(E1181,LEN(E1181)-FIND("/",E1181)))-(LEFT(E1181,FIND("/",E1181)-1)),(MID(E1181, SEARCH("/",E1181) + 1, SEARCH("/",E1181, SEARCH("/",E1181)+1) - SEARCH("/",E1181) - 1))-(LEFT(E1181,FIND("/",E1181)-1))), "NA"))</f>
        <v/>
      </c>
      <c r="K1181" s="79">
        <f>IF(A1181&lt;&gt;"", IF(ISBLANK(L1181), TODAY(), K1181), "")</f>
        <v/>
      </c>
      <c r="L1181" s="78" t="n"/>
      <c r="M1181" s="78">
        <f>IF(ISBLANK(L1181),"",IF(D1181="Stock",IF(C1181="Buy",L1181*G1181,IF(C1181="Sell",(L1181*G1181)-I1181, X)),IF(C1181="Buy",(L1181*G1181*100)+I1181,IF(C1181="Sell",(L1181*G1181*100)-I1181, X))))</f>
        <v/>
      </c>
      <c r="N1181" s="78">
        <f>IF(ISBLANK(L1181),"",IF(AND(C1181="Sell",D1181="Stock"),M1181,IF(ISBLANK(L1181),"",IF(C1181="Buy",M1181, IF(AND(C1181="Sell",J1181="NA"),(E1181*G1181*100*0.1)+I1181, IF(C1181="Sell",(J1181-L1181)*(100*G1181)+I1181))))))</f>
        <v/>
      </c>
      <c r="O1181" s="75" t="n"/>
      <c r="P1181" s="75" t="n"/>
      <c r="Q1181" s="75">
        <f>IF(ISBLANK(P1181),"",IF(D1181="Stock",P1181*G1181,IF(P1181=0,"0",G1181*P1181*100-(G1181*$AF$14))))</f>
        <v/>
      </c>
      <c r="R1181" s="79">
        <f>IF(P1181&lt;&gt;"", TODAY(), "")</f>
        <v/>
      </c>
      <c r="S1181" s="78">
        <f>IF(AND(K1181&lt;&gt;"", R1181&lt;&gt;""), R1181-K1181, "")</f>
        <v/>
      </c>
      <c r="T1181" s="78" t="n"/>
      <c r="U1181" s="92">
        <f>IF(ISBLANK(P1181),"",IF(C1181="Buy",Q1181-M1181+T1181, IF(C1181="Sell",M1181-Q1181-T1181, X)))</f>
        <v/>
      </c>
      <c r="V1181" s="81">
        <f>IF(ISBLANK(P1181),"",U1181/N1181)</f>
        <v/>
      </c>
      <c r="W1181" s="81">
        <f>IF(ISBLANK(P1181),"",IF(S1181=0,(365/0.5)*V1181,(365/S1181)*V1181))</f>
        <v/>
      </c>
      <c r="X1181" s="75" t="n"/>
      <c r="Y1181" s="77" t="n"/>
      <c r="Z1181" s="77" t="n"/>
      <c r="AA1181" s="75" t="n"/>
      <c r="AB1181" s="75" t="n"/>
      <c r="AC1181" s="6" t="n"/>
      <c r="AD1181" s="75" t="n"/>
      <c r="AE1181" s="75" t="n"/>
      <c r="AF1181" s="75" t="n"/>
    </row>
    <row r="1182" ht="15.75" customHeight="1" s="133">
      <c r="A1182" s="75" t="n"/>
      <c r="B1182" s="75" t="n"/>
      <c r="C1182" s="75" t="n"/>
      <c r="D1182" s="75" t="n"/>
      <c r="E1182" s="76" t="n"/>
      <c r="F1182" s="77" t="n"/>
      <c r="G1182" s="75" t="n"/>
      <c r="H1182" s="75">
        <f>IF(ISBLANK(E1182),"",IF(OR(D1182="Butterfly",D1182="Butterfly ",D1182="Iron Fly", D1182="Iron Fly "),LEN(E1182)-LEN(SUBSTITUTE(E1182,"/",""))+2,LEN(E1182)-LEN(SUBSTITUTE(E1182,"/",""))+1))</f>
        <v/>
      </c>
      <c r="I1182" s="78">
        <f>IF(ISBLANK(G1182),"",IF(D1182="Stock","0",Key!$A$3*H1182*G1182))</f>
        <v/>
      </c>
      <c r="J1182" s="78">
        <f>IF(ISBLANK(E1182),"",IF(ISNUMBER(SEARCH("/",E1182)), IF(LEN(E1182)-LEN(SUBSTITUTE(E1182,"/",""))=1,(RIGHT(E1182,LEN(E1182)-FIND("/",E1182)))-(LEFT(E1182,FIND("/",E1182)-1)),(MID(E1182, SEARCH("/",E1182) + 1, SEARCH("/",E1182, SEARCH("/",E1182)+1) - SEARCH("/",E1182) - 1))-(LEFT(E1182,FIND("/",E1182)-1))), "NA"))</f>
        <v/>
      </c>
      <c r="K1182" s="79">
        <f>IF(A1182&lt;&gt;"", IF(ISBLANK(L1182), TODAY(), K1182), "")</f>
        <v/>
      </c>
      <c r="L1182" s="78" t="n"/>
      <c r="M1182" s="78">
        <f>IF(ISBLANK(L1182),"",IF(D1182="Stock",IF(C1182="Buy",L1182*G1182,IF(C1182="Sell",(L1182*G1182)-I1182, X)),IF(C1182="Buy",(L1182*G1182*100)+I1182,IF(C1182="Sell",(L1182*G1182*100)-I1182, X))))</f>
        <v/>
      </c>
      <c r="N1182" s="78">
        <f>IF(ISBLANK(L1182),"",IF(AND(C1182="Sell",D1182="Stock"),M1182,IF(ISBLANK(L1182),"",IF(C1182="Buy",M1182, IF(AND(C1182="Sell",J1182="NA"),(E1182*G1182*100*0.1)+I1182, IF(C1182="Sell",(J1182-L1182)*(100*G1182)+I1182))))))</f>
        <v/>
      </c>
      <c r="O1182" s="75" t="n"/>
      <c r="P1182" s="75" t="n"/>
      <c r="Q1182" s="75">
        <f>IF(ISBLANK(P1182),"",IF(D1182="Stock",P1182*G1182,IF(P1182=0,"0",G1182*P1182*100-(G1182*$AF$14))))</f>
        <v/>
      </c>
      <c r="R1182" s="79">
        <f>IF(P1182&lt;&gt;"", TODAY(), "")</f>
        <v/>
      </c>
      <c r="S1182" s="78">
        <f>IF(AND(K1182&lt;&gt;"", R1182&lt;&gt;""), R1182-K1182, "")</f>
        <v/>
      </c>
      <c r="T1182" s="78" t="n"/>
      <c r="U1182" s="92">
        <f>IF(ISBLANK(P1182),"",IF(C1182="Buy",Q1182-M1182+T1182, IF(C1182="Sell",M1182-Q1182-T1182, X)))</f>
        <v/>
      </c>
      <c r="V1182" s="81">
        <f>IF(ISBLANK(P1182),"",U1182/N1182)</f>
        <v/>
      </c>
      <c r="W1182" s="81">
        <f>IF(ISBLANK(P1182),"",IF(S1182=0,(365/0.5)*V1182,(365/S1182)*V1182))</f>
        <v/>
      </c>
      <c r="X1182" s="75" t="n"/>
      <c r="Y1182" s="77" t="n"/>
      <c r="Z1182" s="77" t="n"/>
      <c r="AA1182" s="75" t="n"/>
      <c r="AB1182" s="75" t="n"/>
      <c r="AC1182" s="6" t="n"/>
      <c r="AD1182" s="75" t="n"/>
      <c r="AE1182" s="75" t="n"/>
      <c r="AF1182" s="75" t="n"/>
    </row>
    <row r="1183" ht="15.75" customHeight="1" s="133">
      <c r="A1183" s="75" t="n"/>
      <c r="B1183" s="75" t="n"/>
      <c r="C1183" s="75" t="n"/>
      <c r="D1183" s="75" t="n"/>
      <c r="E1183" s="76" t="n"/>
      <c r="F1183" s="77" t="n"/>
      <c r="G1183" s="75" t="n"/>
      <c r="H1183" s="75">
        <f>IF(ISBLANK(E1183),"",IF(OR(D1183="Butterfly",D1183="Butterfly ",D1183="Iron Fly", D1183="Iron Fly "),LEN(E1183)-LEN(SUBSTITUTE(E1183,"/",""))+2,LEN(E1183)-LEN(SUBSTITUTE(E1183,"/",""))+1))</f>
        <v/>
      </c>
      <c r="I1183" s="78">
        <f>IF(ISBLANK(G1183),"",IF(D1183="Stock","0",Key!$A$3*H1183*G1183))</f>
        <v/>
      </c>
      <c r="J1183" s="78">
        <f>IF(ISBLANK(E1183),"",IF(ISNUMBER(SEARCH("/",E1183)), IF(LEN(E1183)-LEN(SUBSTITUTE(E1183,"/",""))=1,(RIGHT(E1183,LEN(E1183)-FIND("/",E1183)))-(LEFT(E1183,FIND("/",E1183)-1)),(MID(E1183, SEARCH("/",E1183) + 1, SEARCH("/",E1183, SEARCH("/",E1183)+1) - SEARCH("/",E1183) - 1))-(LEFT(E1183,FIND("/",E1183)-1))), "NA"))</f>
        <v/>
      </c>
      <c r="K1183" s="79">
        <f>IF(A1183&lt;&gt;"", IF(ISBLANK(L1183), TODAY(), K1183), "")</f>
        <v/>
      </c>
      <c r="L1183" s="78" t="n"/>
      <c r="M1183" s="78">
        <f>IF(ISBLANK(L1183),"",IF(D1183="Stock",IF(C1183="Buy",L1183*G1183,IF(C1183="Sell",(L1183*G1183)-I1183, X)),IF(C1183="Buy",(L1183*G1183*100)+I1183,IF(C1183="Sell",(L1183*G1183*100)-I1183, X))))</f>
        <v/>
      </c>
      <c r="N1183" s="78">
        <f>IF(ISBLANK(L1183),"",IF(AND(C1183="Sell",D1183="Stock"),M1183,IF(ISBLANK(L1183),"",IF(C1183="Buy",M1183, IF(AND(C1183="Sell",J1183="NA"),(E1183*G1183*100*0.1)+I1183, IF(C1183="Sell",(J1183-L1183)*(100*G1183)+I1183))))))</f>
        <v/>
      </c>
      <c r="O1183" s="75" t="n"/>
      <c r="P1183" s="75" t="n"/>
      <c r="Q1183" s="75">
        <f>IF(ISBLANK(P1183),"",IF(D1183="Stock",P1183*G1183,IF(P1183=0,"0",G1183*P1183*100-(G1183*$AF$14))))</f>
        <v/>
      </c>
      <c r="R1183" s="79">
        <f>IF(P1183&lt;&gt;"", TODAY(), "")</f>
        <v/>
      </c>
      <c r="S1183" s="78">
        <f>IF(AND(K1183&lt;&gt;"", R1183&lt;&gt;""), R1183-K1183, "")</f>
        <v/>
      </c>
      <c r="T1183" s="78" t="n"/>
      <c r="U1183" s="92">
        <f>IF(ISBLANK(P1183),"",IF(C1183="Buy",Q1183-M1183+T1183, IF(C1183="Sell",M1183-Q1183-T1183, X)))</f>
        <v/>
      </c>
      <c r="V1183" s="81">
        <f>IF(ISBLANK(P1183),"",U1183/N1183)</f>
        <v/>
      </c>
      <c r="W1183" s="81">
        <f>IF(ISBLANK(P1183),"",IF(S1183=0,(365/0.5)*V1183,(365/S1183)*V1183))</f>
        <v/>
      </c>
      <c r="X1183" s="75" t="n"/>
      <c r="Y1183" s="77" t="n"/>
      <c r="Z1183" s="77" t="n"/>
      <c r="AA1183" s="75" t="n"/>
      <c r="AB1183" s="75" t="n"/>
      <c r="AC1183" s="6" t="n"/>
      <c r="AD1183" s="75" t="n"/>
      <c r="AE1183" s="75" t="n"/>
      <c r="AF1183" s="75" t="n"/>
    </row>
    <row r="1184" ht="15.75" customHeight="1" s="133">
      <c r="A1184" s="75" t="n"/>
      <c r="B1184" s="75" t="n"/>
      <c r="C1184" s="75" t="n"/>
      <c r="D1184" s="75" t="n"/>
      <c r="E1184" s="76" t="n"/>
      <c r="F1184" s="77" t="n"/>
      <c r="G1184" s="75" t="n"/>
      <c r="H1184" s="75">
        <f>IF(ISBLANK(E1184),"",IF(OR(D1184="Butterfly",D1184="Butterfly ",D1184="Iron Fly", D1184="Iron Fly "),LEN(E1184)-LEN(SUBSTITUTE(E1184,"/",""))+2,LEN(E1184)-LEN(SUBSTITUTE(E1184,"/",""))+1))</f>
        <v/>
      </c>
      <c r="I1184" s="78">
        <f>IF(ISBLANK(G1184),"",IF(D1184="Stock","0",Key!$A$3*H1184*G1184))</f>
        <v/>
      </c>
      <c r="J1184" s="78">
        <f>IF(ISBLANK(E1184),"",IF(ISNUMBER(SEARCH("/",E1184)), IF(LEN(E1184)-LEN(SUBSTITUTE(E1184,"/",""))=1,(RIGHT(E1184,LEN(E1184)-FIND("/",E1184)))-(LEFT(E1184,FIND("/",E1184)-1)),(MID(E1184, SEARCH("/",E1184) + 1, SEARCH("/",E1184, SEARCH("/",E1184)+1) - SEARCH("/",E1184) - 1))-(LEFT(E1184,FIND("/",E1184)-1))), "NA"))</f>
        <v/>
      </c>
      <c r="K1184" s="79">
        <f>IF(A1184&lt;&gt;"", IF(ISBLANK(L1184), TODAY(), K1184), "")</f>
        <v/>
      </c>
      <c r="L1184" s="78" t="n"/>
      <c r="M1184" s="78">
        <f>IF(ISBLANK(L1184),"",IF(D1184="Stock",IF(C1184="Buy",L1184*G1184,IF(C1184="Sell",(L1184*G1184)-I1184, X)),IF(C1184="Buy",(L1184*G1184*100)+I1184,IF(C1184="Sell",(L1184*G1184*100)-I1184, X))))</f>
        <v/>
      </c>
      <c r="N1184" s="78">
        <f>IF(ISBLANK(L1184),"",IF(AND(C1184="Sell",D1184="Stock"),M1184,IF(ISBLANK(L1184),"",IF(C1184="Buy",M1184, IF(AND(C1184="Sell",J1184="NA"),(E1184*G1184*100*0.1)+I1184, IF(C1184="Sell",(J1184-L1184)*(100*G1184)+I1184))))))</f>
        <v/>
      </c>
      <c r="O1184" s="75" t="n"/>
      <c r="P1184" s="75" t="n"/>
      <c r="Q1184" s="75">
        <f>IF(ISBLANK(P1184),"",IF(D1184="Stock",P1184*G1184,IF(P1184=0,"0",G1184*P1184*100-(G1184*$AF$14))))</f>
        <v/>
      </c>
      <c r="R1184" s="79">
        <f>IF(P1184&lt;&gt;"", TODAY(), "")</f>
        <v/>
      </c>
      <c r="S1184" s="78">
        <f>IF(AND(K1184&lt;&gt;"", R1184&lt;&gt;""), R1184-K1184, "")</f>
        <v/>
      </c>
      <c r="T1184" s="78" t="n"/>
      <c r="U1184" s="92">
        <f>IF(ISBLANK(P1184),"",IF(C1184="Buy",Q1184-M1184+T1184, IF(C1184="Sell",M1184-Q1184-T1184, X)))</f>
        <v/>
      </c>
      <c r="V1184" s="81">
        <f>IF(ISBLANK(P1184),"",U1184/N1184)</f>
        <v/>
      </c>
      <c r="W1184" s="81">
        <f>IF(ISBLANK(P1184),"",IF(S1184=0,(365/0.5)*V1184,(365/S1184)*V1184))</f>
        <v/>
      </c>
      <c r="X1184" s="75" t="n"/>
      <c r="Y1184" s="77" t="n"/>
      <c r="Z1184" s="77" t="n"/>
      <c r="AA1184" s="75" t="n"/>
      <c r="AB1184" s="75" t="n"/>
      <c r="AC1184" s="6" t="n"/>
      <c r="AD1184" s="75" t="n"/>
      <c r="AE1184" s="75" t="n"/>
      <c r="AF1184" s="75" t="n"/>
    </row>
    <row r="1185" ht="15.75" customHeight="1" s="133">
      <c r="A1185" s="75" t="n"/>
      <c r="B1185" s="75" t="n"/>
      <c r="C1185" s="75" t="n"/>
      <c r="D1185" s="75" t="n"/>
      <c r="E1185" s="76" t="n"/>
      <c r="F1185" s="77" t="n"/>
      <c r="G1185" s="75" t="n"/>
      <c r="H1185" s="75">
        <f>IF(ISBLANK(E1185),"",IF(OR(D1185="Butterfly",D1185="Butterfly ",D1185="Iron Fly", D1185="Iron Fly "),LEN(E1185)-LEN(SUBSTITUTE(E1185,"/",""))+2,LEN(E1185)-LEN(SUBSTITUTE(E1185,"/",""))+1))</f>
        <v/>
      </c>
      <c r="I1185" s="78">
        <f>IF(ISBLANK(G1185),"",IF(D1185="Stock","0",Key!$A$3*H1185*G1185))</f>
        <v/>
      </c>
      <c r="J1185" s="78">
        <f>IF(ISBLANK(E1185),"",IF(ISNUMBER(SEARCH("/",E1185)), IF(LEN(E1185)-LEN(SUBSTITUTE(E1185,"/",""))=1,(RIGHT(E1185,LEN(E1185)-FIND("/",E1185)))-(LEFT(E1185,FIND("/",E1185)-1)),(MID(E1185, SEARCH("/",E1185) + 1, SEARCH("/",E1185, SEARCH("/",E1185)+1) - SEARCH("/",E1185) - 1))-(LEFT(E1185,FIND("/",E1185)-1))), "NA"))</f>
        <v/>
      </c>
      <c r="K1185" s="79">
        <f>IF(A1185&lt;&gt;"", IF(ISBLANK(L1185), TODAY(), K1185), "")</f>
        <v/>
      </c>
      <c r="L1185" s="78" t="n"/>
      <c r="M1185" s="78">
        <f>IF(ISBLANK(L1185),"",IF(D1185="Stock",IF(C1185="Buy",L1185*G1185,IF(C1185="Sell",(L1185*G1185)-I1185, X)),IF(C1185="Buy",(L1185*G1185*100)+I1185,IF(C1185="Sell",(L1185*G1185*100)-I1185, X))))</f>
        <v/>
      </c>
      <c r="N1185" s="78">
        <f>IF(ISBLANK(L1185),"",IF(AND(C1185="Sell",D1185="Stock"),M1185,IF(ISBLANK(L1185),"",IF(C1185="Buy",M1185, IF(AND(C1185="Sell",J1185="NA"),(E1185*G1185*100*0.1)+I1185, IF(C1185="Sell",(J1185-L1185)*(100*G1185)+I1185))))))</f>
        <v/>
      </c>
      <c r="O1185" s="75" t="n"/>
      <c r="P1185" s="75" t="n"/>
      <c r="Q1185" s="75">
        <f>IF(ISBLANK(P1185),"",IF(D1185="Stock",P1185*G1185,IF(P1185=0,"0",G1185*P1185*100-(G1185*$AF$14))))</f>
        <v/>
      </c>
      <c r="R1185" s="79">
        <f>IF(P1185&lt;&gt;"", TODAY(), "")</f>
        <v/>
      </c>
      <c r="S1185" s="78">
        <f>IF(AND(K1185&lt;&gt;"", R1185&lt;&gt;""), R1185-K1185, "")</f>
        <v/>
      </c>
      <c r="T1185" s="78" t="n"/>
      <c r="U1185" s="92">
        <f>IF(ISBLANK(P1185),"",IF(C1185="Buy",Q1185-M1185+T1185, IF(C1185="Sell",M1185-Q1185-T1185, X)))</f>
        <v/>
      </c>
      <c r="V1185" s="81">
        <f>IF(ISBLANK(P1185),"",U1185/N1185)</f>
        <v/>
      </c>
      <c r="W1185" s="81">
        <f>IF(ISBLANK(P1185),"",IF(S1185=0,(365/0.5)*V1185,(365/S1185)*V1185))</f>
        <v/>
      </c>
      <c r="X1185" s="75" t="n"/>
      <c r="Y1185" s="77" t="n"/>
      <c r="Z1185" s="77" t="n"/>
      <c r="AA1185" s="75" t="n"/>
      <c r="AB1185" s="75" t="n"/>
      <c r="AC1185" s="6" t="n"/>
      <c r="AD1185" s="75" t="n"/>
      <c r="AE1185" s="75" t="n"/>
      <c r="AF1185" s="75" t="n"/>
    </row>
    <row r="1186" ht="15.75" customHeight="1" s="133">
      <c r="A1186" s="75" t="n"/>
      <c r="B1186" s="75" t="n"/>
      <c r="C1186" s="75" t="n"/>
      <c r="D1186" s="75" t="n"/>
      <c r="E1186" s="76" t="n"/>
      <c r="F1186" s="77" t="n"/>
      <c r="G1186" s="75" t="n"/>
      <c r="H1186" s="75">
        <f>IF(ISBLANK(E1186),"",IF(OR(D1186="Butterfly",D1186="Butterfly ",D1186="Iron Fly", D1186="Iron Fly "),LEN(E1186)-LEN(SUBSTITUTE(E1186,"/",""))+2,LEN(E1186)-LEN(SUBSTITUTE(E1186,"/",""))+1))</f>
        <v/>
      </c>
      <c r="I1186" s="78">
        <f>IF(ISBLANK(G1186),"",IF(D1186="Stock","0",Key!$A$3*H1186*G1186))</f>
        <v/>
      </c>
      <c r="J1186" s="78">
        <f>IF(ISBLANK(E1186),"",IF(ISNUMBER(SEARCH("/",E1186)), IF(LEN(E1186)-LEN(SUBSTITUTE(E1186,"/",""))=1,(RIGHT(E1186,LEN(E1186)-FIND("/",E1186)))-(LEFT(E1186,FIND("/",E1186)-1)),(MID(E1186, SEARCH("/",E1186) + 1, SEARCH("/",E1186, SEARCH("/",E1186)+1) - SEARCH("/",E1186) - 1))-(LEFT(E1186,FIND("/",E1186)-1))), "NA"))</f>
        <v/>
      </c>
      <c r="K1186" s="79">
        <f>IF(A1186&lt;&gt;"", IF(ISBLANK(L1186), TODAY(), K1186), "")</f>
        <v/>
      </c>
      <c r="L1186" s="78" t="n"/>
      <c r="M1186" s="78">
        <f>IF(ISBLANK(L1186),"",IF(D1186="Stock",IF(C1186="Buy",L1186*G1186,IF(C1186="Sell",(L1186*G1186)-I1186, X)),IF(C1186="Buy",(L1186*G1186*100)+I1186,IF(C1186="Sell",(L1186*G1186*100)-I1186, X))))</f>
        <v/>
      </c>
      <c r="N1186" s="78">
        <f>IF(ISBLANK(L1186),"",IF(AND(C1186="Sell",D1186="Stock"),M1186,IF(ISBLANK(L1186),"",IF(C1186="Buy",M1186, IF(AND(C1186="Sell",J1186="NA"),(E1186*G1186*100*0.1)+I1186, IF(C1186="Sell",(J1186-L1186)*(100*G1186)+I1186))))))</f>
        <v/>
      </c>
      <c r="O1186" s="75" t="n"/>
      <c r="P1186" s="75" t="n"/>
      <c r="Q1186" s="75">
        <f>IF(ISBLANK(P1186),"",IF(D1186="Stock",P1186*G1186,IF(P1186=0,"0",G1186*P1186*100-(G1186*$AF$14))))</f>
        <v/>
      </c>
      <c r="R1186" s="79">
        <f>IF(P1186&lt;&gt;"", TODAY(), "")</f>
        <v/>
      </c>
      <c r="S1186" s="78">
        <f>IF(AND(K1186&lt;&gt;"", R1186&lt;&gt;""), R1186-K1186, "")</f>
        <v/>
      </c>
      <c r="T1186" s="78" t="n"/>
      <c r="U1186" s="92">
        <f>IF(ISBLANK(P1186),"",IF(C1186="Buy",Q1186-M1186+T1186, IF(C1186="Sell",M1186-Q1186-T1186, X)))</f>
        <v/>
      </c>
      <c r="V1186" s="81">
        <f>IF(ISBLANK(P1186),"",U1186/N1186)</f>
        <v/>
      </c>
      <c r="W1186" s="81">
        <f>IF(ISBLANK(P1186),"",IF(S1186=0,(365/0.5)*V1186,(365/S1186)*V1186))</f>
        <v/>
      </c>
      <c r="X1186" s="75" t="n"/>
      <c r="Y1186" s="77" t="n"/>
      <c r="Z1186" s="77" t="n"/>
      <c r="AA1186" s="75" t="n"/>
      <c r="AB1186" s="75" t="n"/>
      <c r="AC1186" s="6" t="n"/>
      <c r="AD1186" s="75" t="n"/>
      <c r="AE1186" s="75" t="n"/>
      <c r="AF1186" s="75" t="n"/>
    </row>
    <row r="1187" ht="15.75" customHeight="1" s="133">
      <c r="A1187" s="75" t="n"/>
      <c r="B1187" s="75" t="n"/>
      <c r="C1187" s="75" t="n"/>
      <c r="D1187" s="75" t="n"/>
      <c r="E1187" s="76" t="n"/>
      <c r="F1187" s="77" t="n"/>
      <c r="G1187" s="75" t="n"/>
      <c r="H1187" s="75">
        <f>IF(ISBLANK(E1187),"",IF(OR(D1187="Butterfly",D1187="Butterfly ",D1187="Iron Fly", D1187="Iron Fly "),LEN(E1187)-LEN(SUBSTITUTE(E1187,"/",""))+2,LEN(E1187)-LEN(SUBSTITUTE(E1187,"/",""))+1))</f>
        <v/>
      </c>
      <c r="I1187" s="78">
        <f>IF(ISBLANK(G1187),"",IF(D1187="Stock","0",Key!$A$3*H1187*G1187))</f>
        <v/>
      </c>
      <c r="J1187" s="78">
        <f>IF(ISBLANK(E1187),"",IF(ISNUMBER(SEARCH("/",E1187)), IF(LEN(E1187)-LEN(SUBSTITUTE(E1187,"/",""))=1,(RIGHT(E1187,LEN(E1187)-FIND("/",E1187)))-(LEFT(E1187,FIND("/",E1187)-1)),(MID(E1187, SEARCH("/",E1187) + 1, SEARCH("/",E1187, SEARCH("/",E1187)+1) - SEARCH("/",E1187) - 1))-(LEFT(E1187,FIND("/",E1187)-1))), "NA"))</f>
        <v/>
      </c>
      <c r="K1187" s="79">
        <f>IF(A1187&lt;&gt;"", IF(ISBLANK(L1187), TODAY(), K1187), "")</f>
        <v/>
      </c>
      <c r="L1187" s="78" t="n"/>
      <c r="M1187" s="78">
        <f>IF(ISBLANK(L1187),"",IF(D1187="Stock",IF(C1187="Buy",L1187*G1187,IF(C1187="Sell",(L1187*G1187)-I1187, X)),IF(C1187="Buy",(L1187*G1187*100)+I1187,IF(C1187="Sell",(L1187*G1187*100)-I1187, X))))</f>
        <v/>
      </c>
      <c r="N1187" s="78">
        <f>IF(ISBLANK(L1187),"",IF(AND(C1187="Sell",D1187="Stock"),M1187,IF(ISBLANK(L1187),"",IF(C1187="Buy",M1187, IF(AND(C1187="Sell",J1187="NA"),(E1187*G1187*100*0.1)+I1187, IF(C1187="Sell",(J1187-L1187)*(100*G1187)+I1187))))))</f>
        <v/>
      </c>
      <c r="O1187" s="75" t="n"/>
      <c r="P1187" s="75" t="n"/>
      <c r="Q1187" s="75">
        <f>IF(ISBLANK(P1187),"",IF(D1187="Stock",P1187*G1187,IF(P1187=0,"0",G1187*P1187*100-(G1187*$AF$14))))</f>
        <v/>
      </c>
      <c r="R1187" s="79">
        <f>IF(P1187&lt;&gt;"", TODAY(), "")</f>
        <v/>
      </c>
      <c r="S1187" s="78">
        <f>IF(AND(K1187&lt;&gt;"", R1187&lt;&gt;""), R1187-K1187, "")</f>
        <v/>
      </c>
      <c r="T1187" s="78" t="n"/>
      <c r="U1187" s="92">
        <f>IF(ISBLANK(P1187),"",IF(C1187="Buy",Q1187-M1187+T1187, IF(C1187="Sell",M1187-Q1187-T1187, X)))</f>
        <v/>
      </c>
      <c r="V1187" s="81">
        <f>IF(ISBLANK(P1187),"",U1187/N1187)</f>
        <v/>
      </c>
      <c r="W1187" s="81">
        <f>IF(ISBLANK(P1187),"",IF(S1187=0,(365/0.5)*V1187,(365/S1187)*V1187))</f>
        <v/>
      </c>
      <c r="X1187" s="75" t="n"/>
      <c r="Y1187" s="77" t="n"/>
      <c r="Z1187" s="77" t="n"/>
      <c r="AA1187" s="75" t="n"/>
      <c r="AB1187" s="75" t="n"/>
      <c r="AC1187" s="6" t="n"/>
      <c r="AD1187" s="75" t="n"/>
      <c r="AE1187" s="75" t="n"/>
      <c r="AF1187" s="75" t="n"/>
    </row>
    <row r="1188" ht="15.75" customHeight="1" s="133">
      <c r="A1188" s="75" t="n"/>
      <c r="B1188" s="75" t="n"/>
      <c r="C1188" s="75" t="n"/>
      <c r="D1188" s="75" t="n"/>
      <c r="E1188" s="76" t="n"/>
      <c r="F1188" s="77" t="n"/>
      <c r="G1188" s="75" t="n"/>
      <c r="H1188" s="75">
        <f>IF(ISBLANK(E1188),"",IF(OR(D1188="Butterfly",D1188="Butterfly ",D1188="Iron Fly", D1188="Iron Fly "),LEN(E1188)-LEN(SUBSTITUTE(E1188,"/",""))+2,LEN(E1188)-LEN(SUBSTITUTE(E1188,"/",""))+1))</f>
        <v/>
      </c>
      <c r="I1188" s="78">
        <f>IF(ISBLANK(G1188),"",IF(D1188="Stock","0",Key!$A$3*H1188*G1188))</f>
        <v/>
      </c>
      <c r="J1188" s="78">
        <f>IF(ISBLANK(E1188),"",IF(ISNUMBER(SEARCH("/",E1188)), IF(LEN(E1188)-LEN(SUBSTITUTE(E1188,"/",""))=1,(RIGHT(E1188,LEN(E1188)-FIND("/",E1188)))-(LEFT(E1188,FIND("/",E1188)-1)),(MID(E1188, SEARCH("/",E1188) + 1, SEARCH("/",E1188, SEARCH("/",E1188)+1) - SEARCH("/",E1188) - 1))-(LEFT(E1188,FIND("/",E1188)-1))), "NA"))</f>
        <v/>
      </c>
      <c r="K1188" s="79">
        <f>IF(A1188&lt;&gt;"", IF(ISBLANK(L1188), TODAY(), K1188), "")</f>
        <v/>
      </c>
      <c r="L1188" s="78" t="n"/>
      <c r="M1188" s="78">
        <f>IF(ISBLANK(L1188),"",IF(D1188="Stock",IF(C1188="Buy",L1188*G1188,IF(C1188="Sell",(L1188*G1188)-I1188, X)),IF(C1188="Buy",(L1188*G1188*100)+I1188,IF(C1188="Sell",(L1188*G1188*100)-I1188, X))))</f>
        <v/>
      </c>
      <c r="N1188" s="78">
        <f>IF(ISBLANK(L1188),"",IF(AND(C1188="Sell",D1188="Stock"),M1188,IF(ISBLANK(L1188),"",IF(C1188="Buy",M1188, IF(AND(C1188="Sell",J1188="NA"),(E1188*G1188*100*0.1)+I1188, IF(C1188="Sell",(J1188-L1188)*(100*G1188)+I1188))))))</f>
        <v/>
      </c>
      <c r="O1188" s="75" t="n"/>
      <c r="P1188" s="75" t="n"/>
      <c r="Q1188" s="75">
        <f>IF(ISBLANK(P1188),"",IF(D1188="Stock",P1188*G1188,IF(P1188=0,"0",G1188*P1188*100-(G1188*$AF$14))))</f>
        <v/>
      </c>
      <c r="R1188" s="79">
        <f>IF(P1188&lt;&gt;"", TODAY(), "")</f>
        <v/>
      </c>
      <c r="S1188" s="78">
        <f>IF(AND(K1188&lt;&gt;"", R1188&lt;&gt;""), R1188-K1188, "")</f>
        <v/>
      </c>
      <c r="T1188" s="78" t="n"/>
      <c r="U1188" s="92">
        <f>IF(ISBLANK(P1188),"",IF(C1188="Buy",Q1188-M1188+T1188, IF(C1188="Sell",M1188-Q1188-T1188, X)))</f>
        <v/>
      </c>
      <c r="V1188" s="81">
        <f>IF(ISBLANK(P1188),"",U1188/N1188)</f>
        <v/>
      </c>
      <c r="W1188" s="81">
        <f>IF(ISBLANK(P1188),"",IF(S1188=0,(365/0.5)*V1188,(365/S1188)*V1188))</f>
        <v/>
      </c>
      <c r="X1188" s="75" t="n"/>
      <c r="Y1188" s="77" t="n"/>
      <c r="Z1188" s="77" t="n"/>
      <c r="AA1188" s="75" t="n"/>
      <c r="AB1188" s="75" t="n"/>
      <c r="AC1188" s="6" t="n"/>
      <c r="AD1188" s="75" t="n"/>
      <c r="AE1188" s="75" t="n"/>
      <c r="AF1188" s="75" t="n"/>
    </row>
    <row r="1189" ht="15.75" customHeight="1" s="133">
      <c r="A1189" s="75" t="n"/>
      <c r="B1189" s="75" t="n"/>
      <c r="C1189" s="75" t="n"/>
      <c r="D1189" s="75" t="n"/>
      <c r="E1189" s="76" t="n"/>
      <c r="F1189" s="77" t="n"/>
      <c r="G1189" s="75" t="n"/>
      <c r="H1189" s="75">
        <f>IF(ISBLANK(E1189),"",IF(OR(D1189="Butterfly",D1189="Butterfly ",D1189="Iron Fly", D1189="Iron Fly "),LEN(E1189)-LEN(SUBSTITUTE(E1189,"/",""))+2,LEN(E1189)-LEN(SUBSTITUTE(E1189,"/",""))+1))</f>
        <v/>
      </c>
      <c r="I1189" s="78">
        <f>IF(ISBLANK(G1189),"",IF(D1189="Stock","0",Key!$A$3*H1189*G1189))</f>
        <v/>
      </c>
      <c r="J1189" s="78">
        <f>IF(ISBLANK(E1189),"",IF(ISNUMBER(SEARCH("/",E1189)), IF(LEN(E1189)-LEN(SUBSTITUTE(E1189,"/",""))=1,(RIGHT(E1189,LEN(E1189)-FIND("/",E1189)))-(LEFT(E1189,FIND("/",E1189)-1)),(MID(E1189, SEARCH("/",E1189) + 1, SEARCH("/",E1189, SEARCH("/",E1189)+1) - SEARCH("/",E1189) - 1))-(LEFT(E1189,FIND("/",E1189)-1))), "NA"))</f>
        <v/>
      </c>
      <c r="K1189" s="79">
        <f>IF(A1189&lt;&gt;"", IF(ISBLANK(L1189), TODAY(), K1189), "")</f>
        <v/>
      </c>
      <c r="L1189" s="78" t="n"/>
      <c r="M1189" s="78">
        <f>IF(ISBLANK(L1189),"",IF(D1189="Stock",IF(C1189="Buy",L1189*G1189,IF(C1189="Sell",(L1189*G1189)-I1189, X)),IF(C1189="Buy",(L1189*G1189*100)+I1189,IF(C1189="Sell",(L1189*G1189*100)-I1189, X))))</f>
        <v/>
      </c>
      <c r="N1189" s="78">
        <f>IF(ISBLANK(L1189),"",IF(AND(C1189="Sell",D1189="Stock"),M1189,IF(ISBLANK(L1189),"",IF(C1189="Buy",M1189, IF(AND(C1189="Sell",J1189="NA"),(E1189*G1189*100*0.1)+I1189, IF(C1189="Sell",(J1189-L1189)*(100*G1189)+I1189))))))</f>
        <v/>
      </c>
      <c r="O1189" s="75" t="n"/>
      <c r="P1189" s="75" t="n"/>
      <c r="Q1189" s="75">
        <f>IF(ISBLANK(P1189),"",IF(D1189="Stock",P1189*G1189,IF(P1189=0,"0",G1189*P1189*100-(G1189*$AF$14))))</f>
        <v/>
      </c>
      <c r="R1189" s="79">
        <f>IF(P1189&lt;&gt;"", TODAY(), "")</f>
        <v/>
      </c>
      <c r="S1189" s="78">
        <f>IF(AND(K1189&lt;&gt;"", R1189&lt;&gt;""), R1189-K1189, "")</f>
        <v/>
      </c>
      <c r="T1189" s="78" t="n"/>
      <c r="U1189" s="92">
        <f>IF(ISBLANK(P1189),"",IF(C1189="Buy",Q1189-M1189+T1189, IF(C1189="Sell",M1189-Q1189-T1189, X)))</f>
        <v/>
      </c>
      <c r="V1189" s="81">
        <f>IF(ISBLANK(P1189),"",U1189/N1189)</f>
        <v/>
      </c>
      <c r="W1189" s="81">
        <f>IF(ISBLANK(P1189),"",IF(S1189=0,(365/0.5)*V1189,(365/S1189)*V1189))</f>
        <v/>
      </c>
      <c r="X1189" s="75" t="n"/>
      <c r="Y1189" s="77" t="n"/>
      <c r="Z1189" s="77" t="n"/>
      <c r="AA1189" s="75" t="n"/>
      <c r="AB1189" s="75" t="n"/>
      <c r="AC1189" s="6" t="n"/>
      <c r="AD1189" s="75" t="n"/>
      <c r="AE1189" s="75" t="n"/>
      <c r="AF1189" s="75" t="n"/>
    </row>
    <row r="1190" ht="15.75" customHeight="1" s="133">
      <c r="A1190" s="75" t="n"/>
      <c r="B1190" s="75" t="n"/>
      <c r="C1190" s="75" t="n"/>
      <c r="D1190" s="75" t="n"/>
      <c r="E1190" s="76" t="n"/>
      <c r="F1190" s="77" t="n"/>
      <c r="G1190" s="75" t="n"/>
      <c r="H1190" s="75">
        <f>IF(ISBLANK(E1190),"",IF(OR(D1190="Butterfly",D1190="Butterfly ",D1190="Iron Fly", D1190="Iron Fly "),LEN(E1190)-LEN(SUBSTITUTE(E1190,"/",""))+2,LEN(E1190)-LEN(SUBSTITUTE(E1190,"/",""))+1))</f>
        <v/>
      </c>
      <c r="I1190" s="78">
        <f>IF(ISBLANK(G1190),"",IF(D1190="Stock","0",Key!$A$3*H1190*G1190))</f>
        <v/>
      </c>
      <c r="J1190" s="78">
        <f>IF(ISBLANK(E1190),"",IF(ISNUMBER(SEARCH("/",E1190)), IF(LEN(E1190)-LEN(SUBSTITUTE(E1190,"/",""))=1,(RIGHT(E1190,LEN(E1190)-FIND("/",E1190)))-(LEFT(E1190,FIND("/",E1190)-1)),(MID(E1190, SEARCH("/",E1190) + 1, SEARCH("/",E1190, SEARCH("/",E1190)+1) - SEARCH("/",E1190) - 1))-(LEFT(E1190,FIND("/",E1190)-1))), "NA"))</f>
        <v/>
      </c>
      <c r="K1190" s="79">
        <f>IF(A1190&lt;&gt;"", IF(ISBLANK(L1190), TODAY(), K1190), "")</f>
        <v/>
      </c>
      <c r="L1190" s="78" t="n"/>
      <c r="M1190" s="78">
        <f>IF(ISBLANK(L1190),"",IF(D1190="Stock",IF(C1190="Buy",L1190*G1190,IF(C1190="Sell",(L1190*G1190)-I1190, X)),IF(C1190="Buy",(L1190*G1190*100)+I1190,IF(C1190="Sell",(L1190*G1190*100)-I1190, X))))</f>
        <v/>
      </c>
      <c r="N1190" s="78">
        <f>IF(ISBLANK(L1190),"",IF(AND(C1190="Sell",D1190="Stock"),M1190,IF(ISBLANK(L1190),"",IF(C1190="Buy",M1190, IF(AND(C1190="Sell",J1190="NA"),(E1190*G1190*100*0.1)+I1190, IF(C1190="Sell",(J1190-L1190)*(100*G1190)+I1190))))))</f>
        <v/>
      </c>
      <c r="O1190" s="75" t="n"/>
      <c r="P1190" s="75" t="n"/>
      <c r="Q1190" s="75">
        <f>IF(ISBLANK(P1190),"",IF(D1190="Stock",P1190*G1190,IF(P1190=0,"0",G1190*P1190*100-(G1190*$AF$14))))</f>
        <v/>
      </c>
      <c r="R1190" s="79">
        <f>IF(P1190&lt;&gt;"", TODAY(), "")</f>
        <v/>
      </c>
      <c r="S1190" s="78">
        <f>IF(AND(K1190&lt;&gt;"", R1190&lt;&gt;""), R1190-K1190, "")</f>
        <v/>
      </c>
      <c r="T1190" s="78" t="n"/>
      <c r="U1190" s="92">
        <f>IF(ISBLANK(P1190),"",IF(C1190="Buy",Q1190-M1190+T1190, IF(C1190="Sell",M1190-Q1190-T1190, X)))</f>
        <v/>
      </c>
      <c r="V1190" s="81">
        <f>IF(ISBLANK(P1190),"",U1190/N1190)</f>
        <v/>
      </c>
      <c r="W1190" s="81">
        <f>IF(ISBLANK(P1190),"",IF(S1190=0,(365/0.5)*V1190,(365/S1190)*V1190))</f>
        <v/>
      </c>
      <c r="X1190" s="75" t="n"/>
      <c r="Y1190" s="77" t="n"/>
      <c r="Z1190" s="77" t="n"/>
      <c r="AA1190" s="75" t="n"/>
      <c r="AB1190" s="75" t="n"/>
      <c r="AC1190" s="6" t="n"/>
      <c r="AD1190" s="75" t="n"/>
      <c r="AE1190" s="75" t="n"/>
      <c r="AF1190" s="75" t="n"/>
    </row>
    <row r="1191" ht="15.75" customHeight="1" s="133">
      <c r="A1191" s="75" t="n"/>
      <c r="B1191" s="75" t="n"/>
      <c r="C1191" s="75" t="n"/>
      <c r="D1191" s="75" t="n"/>
      <c r="E1191" s="76" t="n"/>
      <c r="F1191" s="77" t="n"/>
      <c r="G1191" s="75" t="n"/>
      <c r="H1191" s="75">
        <f>IF(ISBLANK(E1191),"",IF(OR(D1191="Butterfly",D1191="Butterfly ",D1191="Iron Fly", D1191="Iron Fly "),LEN(E1191)-LEN(SUBSTITUTE(E1191,"/",""))+2,LEN(E1191)-LEN(SUBSTITUTE(E1191,"/",""))+1))</f>
        <v/>
      </c>
      <c r="I1191" s="78">
        <f>IF(ISBLANK(G1191),"",IF(D1191="Stock","0",Key!$A$3*H1191*G1191))</f>
        <v/>
      </c>
      <c r="J1191" s="78">
        <f>IF(ISBLANK(E1191),"",IF(ISNUMBER(SEARCH("/",E1191)), IF(LEN(E1191)-LEN(SUBSTITUTE(E1191,"/",""))=1,(RIGHT(E1191,LEN(E1191)-FIND("/",E1191)))-(LEFT(E1191,FIND("/",E1191)-1)),(MID(E1191, SEARCH("/",E1191) + 1, SEARCH("/",E1191, SEARCH("/",E1191)+1) - SEARCH("/",E1191) - 1))-(LEFT(E1191,FIND("/",E1191)-1))), "NA"))</f>
        <v/>
      </c>
      <c r="K1191" s="79">
        <f>IF(A1191&lt;&gt;"", IF(ISBLANK(L1191), TODAY(), K1191), "")</f>
        <v/>
      </c>
      <c r="L1191" s="78" t="n"/>
      <c r="M1191" s="78">
        <f>IF(ISBLANK(L1191),"",IF(D1191="Stock",IF(C1191="Buy",L1191*G1191,IF(C1191="Sell",(L1191*G1191)-I1191, X)),IF(C1191="Buy",(L1191*G1191*100)+I1191,IF(C1191="Sell",(L1191*G1191*100)-I1191, X))))</f>
        <v/>
      </c>
      <c r="N1191" s="78">
        <f>IF(ISBLANK(L1191),"",IF(AND(C1191="Sell",D1191="Stock"),M1191,IF(ISBLANK(L1191),"",IF(C1191="Buy",M1191, IF(AND(C1191="Sell",J1191="NA"),(E1191*G1191*100*0.1)+I1191, IF(C1191="Sell",(J1191-L1191)*(100*G1191)+I1191))))))</f>
        <v/>
      </c>
      <c r="O1191" s="75" t="n"/>
      <c r="P1191" s="75" t="n"/>
      <c r="Q1191" s="75">
        <f>IF(ISBLANK(P1191),"",IF(D1191="Stock",P1191*G1191,IF(P1191=0,"0",G1191*P1191*100-(G1191*$AF$14))))</f>
        <v/>
      </c>
      <c r="R1191" s="79">
        <f>IF(P1191&lt;&gt;"", TODAY(), "")</f>
        <v/>
      </c>
      <c r="S1191" s="78">
        <f>IF(AND(K1191&lt;&gt;"", R1191&lt;&gt;""), R1191-K1191, "")</f>
        <v/>
      </c>
      <c r="T1191" s="78" t="n"/>
      <c r="U1191" s="92">
        <f>IF(ISBLANK(P1191),"",IF(C1191="Buy",Q1191-M1191+T1191, IF(C1191="Sell",M1191-Q1191-T1191, X)))</f>
        <v/>
      </c>
      <c r="V1191" s="81">
        <f>IF(ISBLANK(P1191),"",U1191/N1191)</f>
        <v/>
      </c>
      <c r="W1191" s="81">
        <f>IF(ISBLANK(P1191),"",IF(S1191=0,(365/0.5)*V1191,(365/S1191)*V1191))</f>
        <v/>
      </c>
      <c r="X1191" s="75" t="n"/>
      <c r="Y1191" s="77" t="n"/>
      <c r="Z1191" s="77" t="n"/>
      <c r="AA1191" s="75" t="n"/>
      <c r="AB1191" s="75" t="n"/>
      <c r="AC1191" s="6" t="n"/>
      <c r="AD1191" s="75" t="n"/>
      <c r="AE1191" s="75" t="n"/>
      <c r="AF1191" s="75" t="n"/>
    </row>
    <row r="1192" ht="15.75" customHeight="1" s="133">
      <c r="A1192" s="75" t="n"/>
      <c r="B1192" s="75" t="n"/>
      <c r="C1192" s="75" t="n"/>
      <c r="D1192" s="75" t="n"/>
      <c r="E1192" s="76" t="n"/>
      <c r="F1192" s="77" t="n"/>
      <c r="G1192" s="75" t="n"/>
      <c r="H1192" s="75">
        <f>IF(ISBLANK(E1192),"",IF(OR(D1192="Butterfly",D1192="Butterfly ",D1192="Iron Fly", D1192="Iron Fly "),LEN(E1192)-LEN(SUBSTITUTE(E1192,"/",""))+2,LEN(E1192)-LEN(SUBSTITUTE(E1192,"/",""))+1))</f>
        <v/>
      </c>
      <c r="I1192" s="78">
        <f>IF(ISBLANK(G1192),"",IF(D1192="Stock","0",Key!$A$3*H1192*G1192))</f>
        <v/>
      </c>
      <c r="J1192" s="78">
        <f>IF(ISBLANK(E1192),"",IF(ISNUMBER(SEARCH("/",E1192)), IF(LEN(E1192)-LEN(SUBSTITUTE(E1192,"/",""))=1,(RIGHT(E1192,LEN(E1192)-FIND("/",E1192)))-(LEFT(E1192,FIND("/",E1192)-1)),(MID(E1192, SEARCH("/",E1192) + 1, SEARCH("/",E1192, SEARCH("/",E1192)+1) - SEARCH("/",E1192) - 1))-(LEFT(E1192,FIND("/",E1192)-1))), "NA"))</f>
        <v/>
      </c>
      <c r="K1192" s="79">
        <f>IF(A1192&lt;&gt;"", IF(ISBLANK(L1192), TODAY(), K1192), "")</f>
        <v/>
      </c>
      <c r="L1192" s="78" t="n"/>
      <c r="M1192" s="78">
        <f>IF(ISBLANK(L1192),"",IF(D1192="Stock",IF(C1192="Buy",L1192*G1192,IF(C1192="Sell",(L1192*G1192)-I1192, X)),IF(C1192="Buy",(L1192*G1192*100)+I1192,IF(C1192="Sell",(L1192*G1192*100)-I1192, X))))</f>
        <v/>
      </c>
      <c r="N1192" s="78">
        <f>IF(ISBLANK(L1192),"",IF(AND(C1192="Sell",D1192="Stock"),M1192,IF(ISBLANK(L1192),"",IF(C1192="Buy",M1192, IF(AND(C1192="Sell",J1192="NA"),(E1192*G1192*100*0.1)+I1192, IF(C1192="Sell",(J1192-L1192)*(100*G1192)+I1192))))))</f>
        <v/>
      </c>
      <c r="O1192" s="75" t="n"/>
      <c r="P1192" s="75" t="n"/>
      <c r="Q1192" s="75">
        <f>IF(ISBLANK(P1192),"",IF(D1192="Stock",P1192*G1192,IF(P1192=0,"0",G1192*P1192*100-(G1192*$AF$14))))</f>
        <v/>
      </c>
      <c r="R1192" s="79">
        <f>IF(P1192&lt;&gt;"", TODAY(), "")</f>
        <v/>
      </c>
      <c r="S1192" s="78">
        <f>IF(AND(K1192&lt;&gt;"", R1192&lt;&gt;""), R1192-K1192, "")</f>
        <v/>
      </c>
      <c r="T1192" s="78" t="n"/>
      <c r="U1192" s="92">
        <f>IF(ISBLANK(P1192),"",IF(C1192="Buy",Q1192-M1192+T1192, IF(C1192="Sell",M1192-Q1192-T1192, X)))</f>
        <v/>
      </c>
      <c r="V1192" s="81">
        <f>IF(ISBLANK(P1192),"",U1192/N1192)</f>
        <v/>
      </c>
      <c r="W1192" s="81">
        <f>IF(ISBLANK(P1192),"",IF(S1192=0,(365/0.5)*V1192,(365/S1192)*V1192))</f>
        <v/>
      </c>
      <c r="X1192" s="75" t="n"/>
      <c r="Y1192" s="77" t="n"/>
      <c r="Z1192" s="77" t="n"/>
      <c r="AA1192" s="75" t="n"/>
      <c r="AB1192" s="75" t="n"/>
      <c r="AC1192" s="6" t="n"/>
      <c r="AD1192" s="75" t="n"/>
      <c r="AE1192" s="75" t="n"/>
      <c r="AF1192" s="75" t="n"/>
    </row>
    <row r="1193" ht="15.75" customHeight="1" s="133">
      <c r="A1193" s="75" t="n"/>
      <c r="B1193" s="75" t="n"/>
      <c r="C1193" s="75" t="n"/>
      <c r="D1193" s="75" t="n"/>
      <c r="E1193" s="76" t="n"/>
      <c r="F1193" s="77" t="n"/>
      <c r="G1193" s="75" t="n"/>
      <c r="H1193" s="75">
        <f>IF(ISBLANK(E1193),"",IF(OR(D1193="Butterfly",D1193="Butterfly ",D1193="Iron Fly", D1193="Iron Fly "),LEN(E1193)-LEN(SUBSTITUTE(E1193,"/",""))+2,LEN(E1193)-LEN(SUBSTITUTE(E1193,"/",""))+1))</f>
        <v/>
      </c>
      <c r="I1193" s="78">
        <f>IF(ISBLANK(G1193),"",IF(D1193="Stock","0",Key!$A$3*H1193*G1193))</f>
        <v/>
      </c>
      <c r="J1193" s="78">
        <f>IF(ISBLANK(E1193),"",IF(ISNUMBER(SEARCH("/",E1193)), IF(LEN(E1193)-LEN(SUBSTITUTE(E1193,"/",""))=1,(RIGHT(E1193,LEN(E1193)-FIND("/",E1193)))-(LEFT(E1193,FIND("/",E1193)-1)),(MID(E1193, SEARCH("/",E1193) + 1, SEARCH("/",E1193, SEARCH("/",E1193)+1) - SEARCH("/",E1193) - 1))-(LEFT(E1193,FIND("/",E1193)-1))), "NA"))</f>
        <v/>
      </c>
      <c r="K1193" s="79">
        <f>IF(A1193&lt;&gt;"", IF(ISBLANK(L1193), TODAY(), K1193), "")</f>
        <v/>
      </c>
      <c r="L1193" s="78" t="n"/>
      <c r="M1193" s="78">
        <f>IF(ISBLANK(L1193),"",IF(D1193="Stock",IF(C1193="Buy",L1193*G1193,IF(C1193="Sell",(L1193*G1193)-I1193, X)),IF(C1193="Buy",(L1193*G1193*100)+I1193,IF(C1193="Sell",(L1193*G1193*100)-I1193, X))))</f>
        <v/>
      </c>
      <c r="N1193" s="78">
        <f>IF(ISBLANK(L1193),"",IF(AND(C1193="Sell",D1193="Stock"),M1193,IF(ISBLANK(L1193),"",IF(C1193="Buy",M1193, IF(AND(C1193="Sell",J1193="NA"),(E1193*G1193*100*0.1)+I1193, IF(C1193="Sell",(J1193-L1193)*(100*G1193)+I1193))))))</f>
        <v/>
      </c>
      <c r="O1193" s="75" t="n"/>
      <c r="P1193" s="75" t="n"/>
      <c r="Q1193" s="75">
        <f>IF(ISBLANK(P1193),"",IF(D1193="Stock",P1193*G1193,IF(P1193=0,"0",G1193*P1193*100-(G1193*$AF$14))))</f>
        <v/>
      </c>
      <c r="R1193" s="79">
        <f>IF(P1193&lt;&gt;"", TODAY(), "")</f>
        <v/>
      </c>
      <c r="S1193" s="78">
        <f>IF(AND(K1193&lt;&gt;"", R1193&lt;&gt;""), R1193-K1193, "")</f>
        <v/>
      </c>
      <c r="T1193" s="78" t="n"/>
      <c r="U1193" s="92">
        <f>IF(ISBLANK(P1193),"",IF(C1193="Buy",Q1193-M1193+T1193, IF(C1193="Sell",M1193-Q1193-T1193, X)))</f>
        <v/>
      </c>
      <c r="V1193" s="81">
        <f>IF(ISBLANK(P1193),"",U1193/N1193)</f>
        <v/>
      </c>
      <c r="W1193" s="81">
        <f>IF(ISBLANK(P1193),"",IF(S1193=0,(365/0.5)*V1193,(365/S1193)*V1193))</f>
        <v/>
      </c>
      <c r="X1193" s="75" t="n"/>
      <c r="Y1193" s="77" t="n"/>
      <c r="Z1193" s="77" t="n"/>
      <c r="AA1193" s="75" t="n"/>
      <c r="AB1193" s="75" t="n"/>
      <c r="AC1193" s="6" t="n"/>
      <c r="AD1193" s="75" t="n"/>
      <c r="AE1193" s="75" t="n"/>
      <c r="AF1193" s="75" t="n"/>
    </row>
    <row r="1194" ht="15.75" customHeight="1" s="133">
      <c r="A1194" s="75" t="n"/>
      <c r="B1194" s="75" t="n"/>
      <c r="C1194" s="75" t="n"/>
      <c r="D1194" s="75" t="n"/>
      <c r="E1194" s="76" t="n"/>
      <c r="F1194" s="77" t="n"/>
      <c r="G1194" s="75" t="n"/>
      <c r="H1194" s="75">
        <f>IF(ISBLANK(E1194),"",IF(OR(D1194="Butterfly",D1194="Butterfly ",D1194="Iron Fly", D1194="Iron Fly "),LEN(E1194)-LEN(SUBSTITUTE(E1194,"/",""))+2,LEN(E1194)-LEN(SUBSTITUTE(E1194,"/",""))+1))</f>
        <v/>
      </c>
      <c r="I1194" s="78">
        <f>IF(ISBLANK(G1194),"",IF(D1194="Stock","0",Key!$A$3*H1194*G1194))</f>
        <v/>
      </c>
      <c r="J1194" s="78">
        <f>IF(ISBLANK(E1194),"",IF(ISNUMBER(SEARCH("/",E1194)), IF(LEN(E1194)-LEN(SUBSTITUTE(E1194,"/",""))=1,(RIGHT(E1194,LEN(E1194)-FIND("/",E1194)))-(LEFT(E1194,FIND("/",E1194)-1)),(MID(E1194, SEARCH("/",E1194) + 1, SEARCH("/",E1194, SEARCH("/",E1194)+1) - SEARCH("/",E1194) - 1))-(LEFT(E1194,FIND("/",E1194)-1))), "NA"))</f>
        <v/>
      </c>
      <c r="K1194" s="79">
        <f>IF(A1194&lt;&gt;"", IF(ISBLANK(L1194), TODAY(), K1194), "")</f>
        <v/>
      </c>
      <c r="L1194" s="78" t="n"/>
      <c r="M1194" s="78">
        <f>IF(ISBLANK(L1194),"",IF(D1194="Stock",IF(C1194="Buy",L1194*G1194,IF(C1194="Sell",(L1194*G1194)-I1194, X)),IF(C1194="Buy",(L1194*G1194*100)+I1194,IF(C1194="Sell",(L1194*G1194*100)-I1194, X))))</f>
        <v/>
      </c>
      <c r="N1194" s="78">
        <f>IF(ISBLANK(L1194),"",IF(AND(C1194="Sell",D1194="Stock"),M1194,IF(ISBLANK(L1194),"",IF(C1194="Buy",M1194, IF(AND(C1194="Sell",J1194="NA"),(E1194*G1194*100*0.1)+I1194, IF(C1194="Sell",(J1194-L1194)*(100*G1194)+I1194))))))</f>
        <v/>
      </c>
      <c r="O1194" s="75" t="n"/>
      <c r="P1194" s="75" t="n"/>
      <c r="Q1194" s="75">
        <f>IF(ISBLANK(P1194),"",IF(D1194="Stock",P1194*G1194,IF(P1194=0,"0",G1194*P1194*100-(G1194*$AF$14))))</f>
        <v/>
      </c>
      <c r="R1194" s="79">
        <f>IF(P1194&lt;&gt;"", TODAY(), "")</f>
        <v/>
      </c>
      <c r="S1194" s="78">
        <f>IF(AND(K1194&lt;&gt;"", R1194&lt;&gt;""), R1194-K1194, "")</f>
        <v/>
      </c>
      <c r="T1194" s="78" t="n"/>
      <c r="U1194" s="92">
        <f>IF(ISBLANK(P1194),"",IF(C1194="Buy",Q1194-M1194+T1194, IF(C1194="Sell",M1194-Q1194-T1194, X)))</f>
        <v/>
      </c>
      <c r="V1194" s="81">
        <f>IF(ISBLANK(P1194),"",U1194/N1194)</f>
        <v/>
      </c>
      <c r="W1194" s="81">
        <f>IF(ISBLANK(P1194),"",IF(S1194=0,(365/0.5)*V1194,(365/S1194)*V1194))</f>
        <v/>
      </c>
      <c r="X1194" s="75" t="n"/>
      <c r="Y1194" s="77" t="n"/>
      <c r="Z1194" s="77" t="n"/>
      <c r="AA1194" s="75" t="n"/>
      <c r="AB1194" s="75" t="n"/>
      <c r="AC1194" s="6" t="n"/>
      <c r="AD1194" s="75" t="n"/>
      <c r="AE1194" s="75" t="n"/>
      <c r="AF1194" s="75" t="n"/>
    </row>
    <row r="1195" ht="15.75" customHeight="1" s="133">
      <c r="A1195" s="75" t="n"/>
      <c r="B1195" s="75" t="n"/>
      <c r="C1195" s="75" t="n"/>
      <c r="D1195" s="75" t="n"/>
      <c r="E1195" s="76" t="n"/>
      <c r="F1195" s="77" t="n"/>
      <c r="G1195" s="75" t="n"/>
      <c r="H1195" s="75">
        <f>IF(ISBLANK(E1195),"",IF(OR(D1195="Butterfly",D1195="Butterfly ",D1195="Iron Fly", D1195="Iron Fly "),LEN(E1195)-LEN(SUBSTITUTE(E1195,"/",""))+2,LEN(E1195)-LEN(SUBSTITUTE(E1195,"/",""))+1))</f>
        <v/>
      </c>
      <c r="I1195" s="78">
        <f>IF(ISBLANK(G1195),"",IF(D1195="Stock","0",Key!$A$3*H1195*G1195))</f>
        <v/>
      </c>
      <c r="J1195" s="78">
        <f>IF(ISBLANK(E1195),"",IF(ISNUMBER(SEARCH("/",E1195)), IF(LEN(E1195)-LEN(SUBSTITUTE(E1195,"/",""))=1,(RIGHT(E1195,LEN(E1195)-FIND("/",E1195)))-(LEFT(E1195,FIND("/",E1195)-1)),(MID(E1195, SEARCH("/",E1195) + 1, SEARCH("/",E1195, SEARCH("/",E1195)+1) - SEARCH("/",E1195) - 1))-(LEFT(E1195,FIND("/",E1195)-1))), "NA"))</f>
        <v/>
      </c>
      <c r="K1195" s="79">
        <f>IF(A1195&lt;&gt;"", IF(ISBLANK(L1195), TODAY(), K1195), "")</f>
        <v/>
      </c>
      <c r="L1195" s="78" t="n"/>
      <c r="M1195" s="78">
        <f>IF(ISBLANK(L1195),"",IF(D1195="Stock",IF(C1195="Buy",L1195*G1195,IF(C1195="Sell",(L1195*G1195)-I1195, X)),IF(C1195="Buy",(L1195*G1195*100)+I1195,IF(C1195="Sell",(L1195*G1195*100)-I1195, X))))</f>
        <v/>
      </c>
      <c r="N1195" s="78">
        <f>IF(ISBLANK(L1195),"",IF(AND(C1195="Sell",D1195="Stock"),M1195,IF(ISBLANK(L1195),"",IF(C1195="Buy",M1195, IF(AND(C1195="Sell",J1195="NA"),(E1195*G1195*100*0.1)+I1195, IF(C1195="Sell",(J1195-L1195)*(100*G1195)+I1195))))))</f>
        <v/>
      </c>
      <c r="O1195" s="75" t="n"/>
      <c r="P1195" s="75" t="n"/>
      <c r="Q1195" s="75">
        <f>IF(ISBLANK(P1195),"",IF(D1195="Stock",P1195*G1195,IF(P1195=0,"0",G1195*P1195*100-(G1195*$AF$14))))</f>
        <v/>
      </c>
      <c r="R1195" s="79">
        <f>IF(P1195&lt;&gt;"", TODAY(), "")</f>
        <v/>
      </c>
      <c r="S1195" s="78">
        <f>IF(AND(K1195&lt;&gt;"", R1195&lt;&gt;""), R1195-K1195, "")</f>
        <v/>
      </c>
      <c r="T1195" s="78" t="n"/>
      <c r="U1195" s="92">
        <f>IF(ISBLANK(P1195),"",IF(C1195="Buy",Q1195-M1195+T1195, IF(C1195="Sell",M1195-Q1195-T1195, X)))</f>
        <v/>
      </c>
      <c r="V1195" s="81">
        <f>IF(ISBLANK(P1195),"",U1195/N1195)</f>
        <v/>
      </c>
      <c r="W1195" s="81">
        <f>IF(ISBLANK(P1195),"",IF(S1195=0,(365/0.5)*V1195,(365/S1195)*V1195))</f>
        <v/>
      </c>
      <c r="X1195" s="75" t="n"/>
      <c r="Y1195" s="77" t="n"/>
      <c r="Z1195" s="77" t="n"/>
      <c r="AA1195" s="75" t="n"/>
      <c r="AB1195" s="75" t="n"/>
      <c r="AC1195" s="6" t="n"/>
      <c r="AD1195" s="75" t="n"/>
      <c r="AE1195" s="75" t="n"/>
      <c r="AF1195" s="75" t="n"/>
    </row>
    <row r="1196" ht="15.75" customHeight="1" s="133">
      <c r="A1196" s="75" t="n"/>
      <c r="B1196" s="75" t="n"/>
      <c r="C1196" s="75" t="n"/>
      <c r="D1196" s="75" t="n"/>
      <c r="E1196" s="76" t="n"/>
      <c r="F1196" s="77" t="n"/>
      <c r="G1196" s="75" t="n"/>
      <c r="H1196" s="75">
        <f>IF(ISBLANK(E1196),"",IF(OR(D1196="Butterfly",D1196="Butterfly ",D1196="Iron Fly", D1196="Iron Fly "),LEN(E1196)-LEN(SUBSTITUTE(E1196,"/",""))+2,LEN(E1196)-LEN(SUBSTITUTE(E1196,"/",""))+1))</f>
        <v/>
      </c>
      <c r="I1196" s="78">
        <f>IF(ISBLANK(G1196),"",IF(D1196="Stock","0",Key!$A$3*H1196*G1196))</f>
        <v/>
      </c>
      <c r="J1196" s="78">
        <f>IF(ISBLANK(E1196),"",IF(ISNUMBER(SEARCH("/",E1196)), IF(LEN(E1196)-LEN(SUBSTITUTE(E1196,"/",""))=1,(RIGHT(E1196,LEN(E1196)-FIND("/",E1196)))-(LEFT(E1196,FIND("/",E1196)-1)),(MID(E1196, SEARCH("/",E1196) + 1, SEARCH("/",E1196, SEARCH("/",E1196)+1) - SEARCH("/",E1196) - 1))-(LEFT(E1196,FIND("/",E1196)-1))), "NA"))</f>
        <v/>
      </c>
      <c r="K1196" s="79">
        <f>IF(A1196&lt;&gt;"", IF(ISBLANK(L1196), TODAY(), K1196), "")</f>
        <v/>
      </c>
      <c r="L1196" s="78" t="n"/>
      <c r="M1196" s="78">
        <f>IF(ISBLANK(L1196),"",IF(D1196="Stock",IF(C1196="Buy",L1196*G1196,IF(C1196="Sell",(L1196*G1196)-I1196, X)),IF(C1196="Buy",(L1196*G1196*100)+I1196,IF(C1196="Sell",(L1196*G1196*100)-I1196, X))))</f>
        <v/>
      </c>
      <c r="N1196" s="78">
        <f>IF(ISBLANK(L1196),"",IF(AND(C1196="Sell",D1196="Stock"),M1196,IF(ISBLANK(L1196),"",IF(C1196="Buy",M1196, IF(AND(C1196="Sell",J1196="NA"),(E1196*G1196*100*0.1)+I1196, IF(C1196="Sell",(J1196-L1196)*(100*G1196)+I1196))))))</f>
        <v/>
      </c>
      <c r="O1196" s="75" t="n"/>
      <c r="P1196" s="75" t="n"/>
      <c r="Q1196" s="75">
        <f>IF(ISBLANK(P1196),"",IF(D1196="Stock",P1196*G1196,IF(P1196=0,"0",G1196*P1196*100-(G1196*$AF$14))))</f>
        <v/>
      </c>
      <c r="R1196" s="79">
        <f>IF(P1196&lt;&gt;"", TODAY(), "")</f>
        <v/>
      </c>
      <c r="S1196" s="78">
        <f>IF(AND(K1196&lt;&gt;"", R1196&lt;&gt;""), R1196-K1196, "")</f>
        <v/>
      </c>
      <c r="T1196" s="78" t="n"/>
      <c r="U1196" s="92">
        <f>IF(ISBLANK(P1196),"",IF(C1196="Buy",Q1196-M1196+T1196, IF(C1196="Sell",M1196-Q1196-T1196, X)))</f>
        <v/>
      </c>
      <c r="V1196" s="81">
        <f>IF(ISBLANK(P1196),"",U1196/N1196)</f>
        <v/>
      </c>
      <c r="W1196" s="81">
        <f>IF(ISBLANK(P1196),"",IF(S1196=0,(365/0.5)*V1196,(365/S1196)*V1196))</f>
        <v/>
      </c>
      <c r="X1196" s="75" t="n"/>
      <c r="Y1196" s="77" t="n"/>
      <c r="Z1196" s="77" t="n"/>
      <c r="AA1196" s="75" t="n"/>
      <c r="AB1196" s="75" t="n"/>
      <c r="AC1196" s="6" t="n"/>
      <c r="AD1196" s="75" t="n"/>
      <c r="AE1196" s="75" t="n"/>
      <c r="AF1196" s="75" t="n"/>
    </row>
    <row r="1197" ht="15.75" customHeight="1" s="133">
      <c r="A1197" s="75" t="n"/>
      <c r="B1197" s="75" t="n"/>
      <c r="C1197" s="75" t="n"/>
      <c r="D1197" s="75" t="n"/>
      <c r="E1197" s="76" t="n"/>
      <c r="F1197" s="77" t="n"/>
      <c r="G1197" s="75" t="n"/>
      <c r="H1197" s="75">
        <f>IF(ISBLANK(E1197),"",IF(OR(D1197="Butterfly",D1197="Butterfly ",D1197="Iron Fly", D1197="Iron Fly "),LEN(E1197)-LEN(SUBSTITUTE(E1197,"/",""))+2,LEN(E1197)-LEN(SUBSTITUTE(E1197,"/",""))+1))</f>
        <v/>
      </c>
      <c r="I1197" s="78">
        <f>IF(ISBLANK(G1197),"",IF(D1197="Stock","0",Key!$A$3*H1197*G1197))</f>
        <v/>
      </c>
      <c r="J1197" s="78">
        <f>IF(ISBLANK(E1197),"",IF(ISNUMBER(SEARCH("/",E1197)), IF(LEN(E1197)-LEN(SUBSTITUTE(E1197,"/",""))=1,(RIGHT(E1197,LEN(E1197)-FIND("/",E1197)))-(LEFT(E1197,FIND("/",E1197)-1)),(MID(E1197, SEARCH("/",E1197) + 1, SEARCH("/",E1197, SEARCH("/",E1197)+1) - SEARCH("/",E1197) - 1))-(LEFT(E1197,FIND("/",E1197)-1))), "NA"))</f>
        <v/>
      </c>
      <c r="K1197" s="79">
        <f>IF(A1197&lt;&gt;"", IF(ISBLANK(L1197), TODAY(), K1197), "")</f>
        <v/>
      </c>
      <c r="L1197" s="78" t="n"/>
      <c r="M1197" s="78">
        <f>IF(ISBLANK(L1197),"",IF(D1197="Stock",IF(C1197="Buy",L1197*G1197,IF(C1197="Sell",(L1197*G1197)-I1197, X)),IF(C1197="Buy",(L1197*G1197*100)+I1197,IF(C1197="Sell",(L1197*G1197*100)-I1197, X))))</f>
        <v/>
      </c>
      <c r="N1197" s="78">
        <f>IF(ISBLANK(L1197),"",IF(AND(C1197="Sell",D1197="Stock"),M1197,IF(ISBLANK(L1197),"",IF(C1197="Buy",M1197, IF(AND(C1197="Sell",J1197="NA"),(E1197*G1197*100*0.1)+I1197, IF(C1197="Sell",(J1197-L1197)*(100*G1197)+I1197))))))</f>
        <v/>
      </c>
      <c r="O1197" s="75" t="n"/>
      <c r="P1197" s="75" t="n"/>
      <c r="Q1197" s="75">
        <f>IF(ISBLANK(P1197),"",IF(D1197="Stock",P1197*G1197,IF(P1197=0,"0",G1197*P1197*100-(G1197*$AF$14))))</f>
        <v/>
      </c>
      <c r="R1197" s="79">
        <f>IF(P1197&lt;&gt;"", TODAY(), "")</f>
        <v/>
      </c>
      <c r="S1197" s="78">
        <f>IF(AND(K1197&lt;&gt;"", R1197&lt;&gt;""), R1197-K1197, "")</f>
        <v/>
      </c>
      <c r="T1197" s="78" t="n"/>
      <c r="U1197" s="92">
        <f>IF(ISBLANK(P1197),"",IF(C1197="Buy",Q1197-M1197+T1197, IF(C1197="Sell",M1197-Q1197-T1197, X)))</f>
        <v/>
      </c>
      <c r="V1197" s="81">
        <f>IF(ISBLANK(P1197),"",U1197/N1197)</f>
        <v/>
      </c>
      <c r="W1197" s="81">
        <f>IF(ISBLANK(P1197),"",IF(S1197=0,(365/0.5)*V1197,(365/S1197)*V1197))</f>
        <v/>
      </c>
      <c r="X1197" s="75" t="n"/>
      <c r="Y1197" s="77" t="n"/>
      <c r="Z1197" s="77" t="n"/>
      <c r="AA1197" s="75" t="n"/>
      <c r="AB1197" s="75" t="n"/>
      <c r="AC1197" s="6" t="n"/>
      <c r="AD1197" s="75" t="n"/>
      <c r="AE1197" s="75" t="n"/>
      <c r="AF1197" s="75" t="n"/>
    </row>
    <row r="1198" ht="15.75" customHeight="1" s="133">
      <c r="A1198" s="75" t="n"/>
      <c r="B1198" s="75" t="n"/>
      <c r="C1198" s="75" t="n"/>
      <c r="D1198" s="75" t="n"/>
      <c r="E1198" s="76" t="n"/>
      <c r="F1198" s="77" t="n"/>
      <c r="G1198" s="75" t="n"/>
      <c r="H1198" s="75">
        <f>IF(ISBLANK(E1198),"",IF(OR(D1198="Butterfly",D1198="Butterfly ",D1198="Iron Fly", D1198="Iron Fly "),LEN(E1198)-LEN(SUBSTITUTE(E1198,"/",""))+2,LEN(E1198)-LEN(SUBSTITUTE(E1198,"/",""))+1))</f>
        <v/>
      </c>
      <c r="I1198" s="78">
        <f>IF(ISBLANK(G1198),"",IF(D1198="Stock","0",Key!$A$3*H1198*G1198))</f>
        <v/>
      </c>
      <c r="J1198" s="78">
        <f>IF(ISBLANK(E1198),"",IF(ISNUMBER(SEARCH("/",E1198)), IF(LEN(E1198)-LEN(SUBSTITUTE(E1198,"/",""))=1,(RIGHT(E1198,LEN(E1198)-FIND("/",E1198)))-(LEFT(E1198,FIND("/",E1198)-1)),(MID(E1198, SEARCH("/",E1198) + 1, SEARCH("/",E1198, SEARCH("/",E1198)+1) - SEARCH("/",E1198) - 1))-(LEFT(E1198,FIND("/",E1198)-1))), "NA"))</f>
        <v/>
      </c>
      <c r="K1198" s="79">
        <f>IF(A1198&lt;&gt;"", IF(ISBLANK(L1198), TODAY(), K1198), "")</f>
        <v/>
      </c>
      <c r="L1198" s="78" t="n"/>
      <c r="M1198" s="78">
        <f>IF(ISBLANK(L1198),"",IF(D1198="Stock",IF(C1198="Buy",L1198*G1198,IF(C1198="Sell",(L1198*G1198)-I1198, X)),IF(C1198="Buy",(L1198*G1198*100)+I1198,IF(C1198="Sell",(L1198*G1198*100)-I1198, X))))</f>
        <v/>
      </c>
      <c r="N1198" s="78">
        <f>IF(ISBLANK(L1198),"",IF(AND(C1198="Sell",D1198="Stock"),M1198,IF(ISBLANK(L1198),"",IF(C1198="Buy",M1198, IF(AND(C1198="Sell",J1198="NA"),(E1198*G1198*100*0.1)+I1198, IF(C1198="Sell",(J1198-L1198)*(100*G1198)+I1198))))))</f>
        <v/>
      </c>
      <c r="O1198" s="75" t="n"/>
      <c r="P1198" s="75" t="n"/>
      <c r="Q1198" s="75">
        <f>IF(ISBLANK(P1198),"",IF(D1198="Stock",P1198*G1198,IF(P1198=0,"0",G1198*P1198*100-(G1198*$AF$14))))</f>
        <v/>
      </c>
      <c r="R1198" s="79">
        <f>IF(P1198&lt;&gt;"", TODAY(), "")</f>
        <v/>
      </c>
      <c r="S1198" s="78">
        <f>IF(AND(K1198&lt;&gt;"", R1198&lt;&gt;""), R1198-K1198, "")</f>
        <v/>
      </c>
      <c r="T1198" s="78" t="n"/>
      <c r="U1198" s="92">
        <f>IF(ISBLANK(P1198),"",IF(C1198="Buy",Q1198-M1198+T1198, IF(C1198="Sell",M1198-Q1198-T1198, X)))</f>
        <v/>
      </c>
      <c r="V1198" s="81">
        <f>IF(ISBLANK(P1198),"",U1198/N1198)</f>
        <v/>
      </c>
      <c r="W1198" s="81">
        <f>IF(ISBLANK(P1198),"",IF(S1198=0,(365/0.5)*V1198,(365/S1198)*V1198))</f>
        <v/>
      </c>
      <c r="X1198" s="75" t="n"/>
      <c r="Y1198" s="77" t="n"/>
      <c r="Z1198" s="77" t="n"/>
      <c r="AA1198" s="75" t="n"/>
      <c r="AB1198" s="75" t="n"/>
      <c r="AC1198" s="6" t="n"/>
      <c r="AD1198" s="75" t="n"/>
      <c r="AE1198" s="75" t="n"/>
      <c r="AF1198" s="75" t="n"/>
    </row>
    <row r="1199" ht="15.75" customHeight="1" s="133">
      <c r="A1199" s="75" t="n"/>
      <c r="B1199" s="75" t="n"/>
      <c r="C1199" s="75" t="n"/>
      <c r="D1199" s="75" t="n"/>
      <c r="E1199" s="76" t="n"/>
      <c r="F1199" s="77" t="n"/>
      <c r="G1199" s="75" t="n"/>
      <c r="H1199" s="75">
        <f>IF(ISBLANK(E1199),"",IF(OR(D1199="Butterfly",D1199="Butterfly ",D1199="Iron Fly", D1199="Iron Fly "),LEN(E1199)-LEN(SUBSTITUTE(E1199,"/",""))+2,LEN(E1199)-LEN(SUBSTITUTE(E1199,"/",""))+1))</f>
        <v/>
      </c>
      <c r="I1199" s="78">
        <f>IF(ISBLANK(G1199),"",IF(D1199="Stock","0",Key!$A$3*H1199*G1199))</f>
        <v/>
      </c>
      <c r="J1199" s="78">
        <f>IF(ISBLANK(E1199),"",IF(ISNUMBER(SEARCH("/",E1199)), IF(LEN(E1199)-LEN(SUBSTITUTE(E1199,"/",""))=1,(RIGHT(E1199,LEN(E1199)-FIND("/",E1199)))-(LEFT(E1199,FIND("/",E1199)-1)),(MID(E1199, SEARCH("/",E1199) + 1, SEARCH("/",E1199, SEARCH("/",E1199)+1) - SEARCH("/",E1199) - 1))-(LEFT(E1199,FIND("/",E1199)-1))), "NA"))</f>
        <v/>
      </c>
      <c r="K1199" s="79">
        <f>IF(A1199&lt;&gt;"", IF(ISBLANK(L1199), TODAY(), K1199), "")</f>
        <v/>
      </c>
      <c r="L1199" s="78" t="n"/>
      <c r="M1199" s="78">
        <f>IF(ISBLANK(L1199),"",IF(D1199="Stock",IF(C1199="Buy",L1199*G1199,IF(C1199="Sell",(L1199*G1199)-I1199, X)),IF(C1199="Buy",(L1199*G1199*100)+I1199,IF(C1199="Sell",(L1199*G1199*100)-I1199, X))))</f>
        <v/>
      </c>
      <c r="N1199" s="78">
        <f>IF(ISBLANK(L1199),"",IF(AND(C1199="Sell",D1199="Stock"),M1199,IF(ISBLANK(L1199),"",IF(C1199="Buy",M1199, IF(AND(C1199="Sell",J1199="NA"),(E1199*G1199*100*0.1)+I1199, IF(C1199="Sell",(J1199-L1199)*(100*G1199)+I1199))))))</f>
        <v/>
      </c>
      <c r="O1199" s="75" t="n"/>
      <c r="P1199" s="75" t="n"/>
      <c r="Q1199" s="75">
        <f>IF(ISBLANK(P1199),"",IF(D1199="Stock",P1199*G1199,IF(P1199=0,"0",G1199*P1199*100-(G1199*$AF$14))))</f>
        <v/>
      </c>
      <c r="R1199" s="79">
        <f>IF(P1199&lt;&gt;"", TODAY(), "")</f>
        <v/>
      </c>
      <c r="S1199" s="78">
        <f>IF(AND(K1199&lt;&gt;"", R1199&lt;&gt;""), R1199-K1199, "")</f>
        <v/>
      </c>
      <c r="T1199" s="78" t="n"/>
      <c r="U1199" s="92">
        <f>IF(ISBLANK(P1199),"",IF(C1199="Buy",Q1199-M1199+T1199, IF(C1199="Sell",M1199-Q1199-T1199, X)))</f>
        <v/>
      </c>
      <c r="V1199" s="81">
        <f>IF(ISBLANK(P1199),"",U1199/N1199)</f>
        <v/>
      </c>
      <c r="W1199" s="81">
        <f>IF(ISBLANK(P1199),"",IF(S1199=0,(365/0.5)*V1199,(365/S1199)*V1199))</f>
        <v/>
      </c>
      <c r="X1199" s="75" t="n"/>
      <c r="Y1199" s="77" t="n"/>
      <c r="Z1199" s="77" t="n"/>
      <c r="AA1199" s="75" t="n"/>
      <c r="AB1199" s="75" t="n"/>
      <c r="AC1199" s="6" t="n"/>
      <c r="AD1199" s="75" t="n"/>
      <c r="AE1199" s="75" t="n"/>
      <c r="AF1199" s="75" t="n"/>
    </row>
    <row r="1200" ht="15.75" customHeight="1" s="133">
      <c r="A1200" s="75" t="n"/>
      <c r="B1200" s="75" t="n"/>
      <c r="C1200" s="75" t="n"/>
      <c r="D1200" s="75" t="n"/>
      <c r="E1200" s="76" t="n"/>
      <c r="F1200" s="77" t="n"/>
      <c r="G1200" s="75" t="n"/>
      <c r="H1200" s="75">
        <f>IF(ISBLANK(E1200),"",IF(OR(D1200="Butterfly",D1200="Butterfly ",D1200="Iron Fly", D1200="Iron Fly "),LEN(E1200)-LEN(SUBSTITUTE(E1200,"/",""))+2,LEN(E1200)-LEN(SUBSTITUTE(E1200,"/",""))+1))</f>
        <v/>
      </c>
      <c r="I1200" s="78">
        <f>IF(ISBLANK(G1200),"",IF(D1200="Stock","0",Key!$A$3*H1200*G1200))</f>
        <v/>
      </c>
      <c r="J1200" s="78">
        <f>IF(ISBLANK(E1200),"",IF(ISNUMBER(SEARCH("/",E1200)), IF(LEN(E1200)-LEN(SUBSTITUTE(E1200,"/",""))=1,(RIGHT(E1200,LEN(E1200)-FIND("/",E1200)))-(LEFT(E1200,FIND("/",E1200)-1)),(MID(E1200, SEARCH("/",E1200) + 1, SEARCH("/",E1200, SEARCH("/",E1200)+1) - SEARCH("/",E1200) - 1))-(LEFT(E1200,FIND("/",E1200)-1))), "NA"))</f>
        <v/>
      </c>
      <c r="K1200" s="79">
        <f>IF(A1200&lt;&gt;"", IF(ISBLANK(L1200), TODAY(), K1200), "")</f>
        <v/>
      </c>
      <c r="L1200" s="78" t="n"/>
      <c r="M1200" s="78">
        <f>IF(ISBLANK(L1200),"",IF(D1200="Stock",IF(C1200="Buy",L1200*G1200,IF(C1200="Sell",(L1200*G1200)-I1200, X)),IF(C1200="Buy",(L1200*G1200*100)+I1200,IF(C1200="Sell",(L1200*G1200*100)-I1200, X))))</f>
        <v/>
      </c>
      <c r="N1200" s="78">
        <f>IF(ISBLANK(L1200),"",IF(AND(C1200="Sell",D1200="Stock"),M1200,IF(ISBLANK(L1200),"",IF(C1200="Buy",M1200, IF(AND(C1200="Sell",J1200="NA"),(E1200*G1200*100*0.1)+I1200, IF(C1200="Sell",(J1200-L1200)*(100*G1200)+I1200))))))</f>
        <v/>
      </c>
      <c r="O1200" s="75" t="n"/>
      <c r="P1200" s="75" t="n"/>
      <c r="Q1200" s="75">
        <f>IF(ISBLANK(P1200),"",IF(D1200="Stock",P1200*G1200,IF(P1200=0,"0",G1200*P1200*100-(G1200*$AF$14))))</f>
        <v/>
      </c>
      <c r="R1200" s="79">
        <f>IF(P1200&lt;&gt;"", TODAY(), "")</f>
        <v/>
      </c>
      <c r="S1200" s="78">
        <f>IF(AND(K1200&lt;&gt;"", R1200&lt;&gt;""), R1200-K1200, "")</f>
        <v/>
      </c>
      <c r="T1200" s="78" t="n"/>
      <c r="U1200" s="92">
        <f>IF(ISBLANK(P1200),"",IF(C1200="Buy",Q1200-M1200+T1200, IF(C1200="Sell",M1200-Q1200-T1200, X)))</f>
        <v/>
      </c>
      <c r="V1200" s="81">
        <f>IF(ISBLANK(P1200),"",U1200/N1200)</f>
        <v/>
      </c>
      <c r="W1200" s="81">
        <f>IF(ISBLANK(P1200),"",IF(S1200=0,(365/0.5)*V1200,(365/S1200)*V1200))</f>
        <v/>
      </c>
      <c r="X1200" s="75" t="n"/>
      <c r="Y1200" s="77" t="n"/>
      <c r="Z1200" s="77" t="n"/>
      <c r="AA1200" s="75" t="n"/>
      <c r="AB1200" s="75" t="n"/>
      <c r="AC1200" s="6" t="n"/>
      <c r="AD1200" s="75" t="n"/>
      <c r="AE1200" s="75" t="n"/>
      <c r="AF1200" s="75" t="n"/>
    </row>
    <row r="1201" ht="15.75" customHeight="1" s="133">
      <c r="A1201" s="75" t="n"/>
      <c r="B1201" s="75" t="n"/>
      <c r="C1201" s="75" t="n"/>
      <c r="D1201" s="75" t="n"/>
      <c r="E1201" s="76" t="n"/>
      <c r="F1201" s="77" t="n"/>
      <c r="G1201" s="75" t="n"/>
      <c r="H1201" s="75">
        <f>IF(ISBLANK(E1201),"",IF(OR(D1201="Butterfly",D1201="Butterfly ",D1201="Iron Fly", D1201="Iron Fly "),LEN(E1201)-LEN(SUBSTITUTE(E1201,"/",""))+2,LEN(E1201)-LEN(SUBSTITUTE(E1201,"/",""))+1))</f>
        <v/>
      </c>
      <c r="I1201" s="78">
        <f>IF(ISBLANK(G1201),"",IF(D1201="Stock","0",Key!$A$3*H1201*G1201))</f>
        <v/>
      </c>
      <c r="J1201" s="78">
        <f>IF(ISBLANK(E1201),"",IF(ISNUMBER(SEARCH("/",E1201)), IF(LEN(E1201)-LEN(SUBSTITUTE(E1201,"/",""))=1,(RIGHT(E1201,LEN(E1201)-FIND("/",E1201)))-(LEFT(E1201,FIND("/",E1201)-1)),(MID(E1201, SEARCH("/",E1201) + 1, SEARCH("/",E1201, SEARCH("/",E1201)+1) - SEARCH("/",E1201) - 1))-(LEFT(E1201,FIND("/",E1201)-1))), "NA"))</f>
        <v/>
      </c>
      <c r="K1201" s="79">
        <f>IF(A1201&lt;&gt;"", IF(ISBLANK(L1201), TODAY(), K1201), "")</f>
        <v/>
      </c>
      <c r="L1201" s="78" t="n"/>
      <c r="M1201" s="78">
        <f>IF(ISBLANK(L1201),"",IF(D1201="Stock",IF(C1201="Buy",L1201*G1201,IF(C1201="Sell",(L1201*G1201)-I1201, X)),IF(C1201="Buy",(L1201*G1201*100)+I1201,IF(C1201="Sell",(L1201*G1201*100)-I1201, X))))</f>
        <v/>
      </c>
      <c r="N1201" s="78">
        <f>IF(ISBLANK(L1201),"",IF(AND(C1201="Sell",D1201="Stock"),M1201,IF(ISBLANK(L1201),"",IF(C1201="Buy",M1201, IF(AND(C1201="Sell",J1201="NA"),(E1201*G1201*100*0.1)+I1201, IF(C1201="Sell",(J1201-L1201)*(100*G1201)+I1201))))))</f>
        <v/>
      </c>
      <c r="O1201" s="75" t="n"/>
      <c r="P1201" s="75" t="n"/>
      <c r="Q1201" s="75">
        <f>IF(ISBLANK(P1201),"",IF(D1201="Stock",P1201*G1201,IF(P1201=0,"0",G1201*P1201*100-(G1201*$AF$14))))</f>
        <v/>
      </c>
      <c r="R1201" s="79">
        <f>IF(P1201&lt;&gt;"", TODAY(), "")</f>
        <v/>
      </c>
      <c r="S1201" s="78">
        <f>IF(AND(K1201&lt;&gt;"", R1201&lt;&gt;""), R1201-K1201, "")</f>
        <v/>
      </c>
      <c r="T1201" s="78" t="n"/>
      <c r="U1201" s="92">
        <f>IF(ISBLANK(P1201),"",IF(C1201="Buy",Q1201-M1201+T1201, IF(C1201="Sell",M1201-Q1201-T1201, X)))</f>
        <v/>
      </c>
      <c r="V1201" s="81">
        <f>IF(ISBLANK(P1201),"",U1201/N1201)</f>
        <v/>
      </c>
      <c r="W1201" s="81">
        <f>IF(ISBLANK(P1201),"",IF(S1201=0,(365/0.5)*V1201,(365/S1201)*V1201))</f>
        <v/>
      </c>
      <c r="X1201" s="75" t="n"/>
      <c r="Y1201" s="77" t="n"/>
      <c r="Z1201" s="77" t="n"/>
      <c r="AA1201" s="75" t="n"/>
      <c r="AB1201" s="75" t="n"/>
      <c r="AC1201" s="6" t="n"/>
      <c r="AD1201" s="75" t="n"/>
      <c r="AE1201" s="75" t="n"/>
      <c r="AF1201" s="75" t="n"/>
    </row>
    <row r="1202" ht="15.75" customHeight="1" s="133">
      <c r="A1202" s="75" t="n"/>
      <c r="B1202" s="75" t="n"/>
      <c r="C1202" s="75" t="n"/>
      <c r="D1202" s="75" t="n"/>
      <c r="E1202" s="76" t="n"/>
      <c r="F1202" s="77" t="n"/>
      <c r="G1202" s="75" t="n"/>
      <c r="H1202" s="75">
        <f>IF(ISBLANK(E1202),"",IF(OR(D1202="Butterfly",D1202="Butterfly ",D1202="Iron Fly", D1202="Iron Fly "),LEN(E1202)-LEN(SUBSTITUTE(E1202,"/",""))+2,LEN(E1202)-LEN(SUBSTITUTE(E1202,"/",""))+1))</f>
        <v/>
      </c>
      <c r="I1202" s="78">
        <f>IF(ISBLANK(G1202),"",IF(D1202="Stock","0",Key!$A$3*H1202*G1202))</f>
        <v/>
      </c>
      <c r="J1202" s="78">
        <f>IF(ISBLANK(E1202),"",IF(ISNUMBER(SEARCH("/",E1202)), IF(LEN(E1202)-LEN(SUBSTITUTE(E1202,"/",""))=1,(RIGHT(E1202,LEN(E1202)-FIND("/",E1202)))-(LEFT(E1202,FIND("/",E1202)-1)),(MID(E1202, SEARCH("/",E1202) + 1, SEARCH("/",E1202, SEARCH("/",E1202)+1) - SEARCH("/",E1202) - 1))-(LEFT(E1202,FIND("/",E1202)-1))), "NA"))</f>
        <v/>
      </c>
      <c r="K1202" s="79">
        <f>IF(A1202&lt;&gt;"", IF(ISBLANK(L1202), TODAY(), K1202), "")</f>
        <v/>
      </c>
      <c r="L1202" s="78" t="n"/>
      <c r="M1202" s="78">
        <f>IF(ISBLANK(L1202),"",IF(D1202="Stock",IF(C1202="Buy",L1202*G1202,IF(C1202="Sell",(L1202*G1202)-I1202, X)),IF(C1202="Buy",(L1202*G1202*100)+I1202,IF(C1202="Sell",(L1202*G1202*100)-I1202, X))))</f>
        <v/>
      </c>
      <c r="N1202" s="78">
        <f>IF(ISBLANK(L1202),"",IF(AND(C1202="Sell",D1202="Stock"),M1202,IF(ISBLANK(L1202),"",IF(C1202="Buy",M1202, IF(AND(C1202="Sell",J1202="NA"),(E1202*G1202*100*0.1)+I1202, IF(C1202="Sell",(J1202-L1202)*(100*G1202)+I1202))))))</f>
        <v/>
      </c>
      <c r="O1202" s="75" t="n"/>
      <c r="P1202" s="75" t="n"/>
      <c r="Q1202" s="75">
        <f>IF(ISBLANK(P1202),"",IF(D1202="Stock",P1202*G1202,IF(P1202=0,"0",G1202*P1202*100-(G1202*$AF$14))))</f>
        <v/>
      </c>
      <c r="R1202" s="79">
        <f>IF(P1202&lt;&gt;"", TODAY(), "")</f>
        <v/>
      </c>
      <c r="S1202" s="78">
        <f>IF(AND(K1202&lt;&gt;"", R1202&lt;&gt;""), R1202-K1202, "")</f>
        <v/>
      </c>
      <c r="T1202" s="78" t="n"/>
      <c r="U1202" s="92">
        <f>IF(ISBLANK(P1202),"",IF(C1202="Buy",Q1202-M1202+T1202, IF(C1202="Sell",M1202-Q1202-T1202, X)))</f>
        <v/>
      </c>
      <c r="V1202" s="81">
        <f>IF(ISBLANK(P1202),"",U1202/N1202)</f>
        <v/>
      </c>
      <c r="W1202" s="81">
        <f>IF(ISBLANK(P1202),"",IF(S1202=0,(365/0.5)*V1202,(365/S1202)*V1202))</f>
        <v/>
      </c>
      <c r="X1202" s="75" t="n"/>
      <c r="Y1202" s="77" t="n"/>
      <c r="Z1202" s="77" t="n"/>
      <c r="AA1202" s="75" t="n"/>
      <c r="AB1202" s="75" t="n"/>
      <c r="AC1202" s="6" t="n"/>
      <c r="AD1202" s="75" t="n"/>
      <c r="AE1202" s="75" t="n"/>
      <c r="AF1202" s="75" t="n"/>
    </row>
    <row r="1203" ht="15.75" customHeight="1" s="133">
      <c r="A1203" s="75" t="n"/>
      <c r="B1203" s="75" t="n"/>
      <c r="C1203" s="75" t="n"/>
      <c r="D1203" s="75" t="n"/>
      <c r="E1203" s="76" t="n"/>
      <c r="F1203" s="77" t="n"/>
      <c r="G1203" s="75" t="n"/>
      <c r="H1203" s="75">
        <f>IF(ISBLANK(E1203),"",IF(OR(D1203="Butterfly",D1203="Butterfly ",D1203="Iron Fly", D1203="Iron Fly "),LEN(E1203)-LEN(SUBSTITUTE(E1203,"/",""))+2,LEN(E1203)-LEN(SUBSTITUTE(E1203,"/",""))+1))</f>
        <v/>
      </c>
      <c r="I1203" s="78">
        <f>IF(ISBLANK(G1203),"",IF(D1203="Stock","0",Key!$A$3*H1203*G1203))</f>
        <v/>
      </c>
      <c r="J1203" s="78">
        <f>IF(ISBLANK(E1203),"",IF(ISNUMBER(SEARCH("/",E1203)), IF(LEN(E1203)-LEN(SUBSTITUTE(E1203,"/",""))=1,(RIGHT(E1203,LEN(E1203)-FIND("/",E1203)))-(LEFT(E1203,FIND("/",E1203)-1)),(MID(E1203, SEARCH("/",E1203) + 1, SEARCH("/",E1203, SEARCH("/",E1203)+1) - SEARCH("/",E1203) - 1))-(LEFT(E1203,FIND("/",E1203)-1))), "NA"))</f>
        <v/>
      </c>
      <c r="K1203" s="79">
        <f>IF(A1203&lt;&gt;"", IF(ISBLANK(L1203), TODAY(), K1203), "")</f>
        <v/>
      </c>
      <c r="L1203" s="78" t="n"/>
      <c r="M1203" s="78">
        <f>IF(ISBLANK(L1203),"",IF(D1203="Stock",IF(C1203="Buy",L1203*G1203,IF(C1203="Sell",(L1203*G1203)-I1203, X)),IF(C1203="Buy",(L1203*G1203*100)+I1203,IF(C1203="Sell",(L1203*G1203*100)-I1203, X))))</f>
        <v/>
      </c>
      <c r="N1203" s="78">
        <f>IF(ISBLANK(L1203),"",IF(AND(C1203="Sell",D1203="Stock"),M1203,IF(ISBLANK(L1203),"",IF(C1203="Buy",M1203, IF(AND(C1203="Sell",J1203="NA"),(E1203*G1203*100*0.1)+I1203, IF(C1203="Sell",(J1203-L1203)*(100*G1203)+I1203))))))</f>
        <v/>
      </c>
      <c r="O1203" s="75" t="n"/>
      <c r="P1203" s="75" t="n"/>
      <c r="Q1203" s="75">
        <f>IF(ISBLANK(P1203),"",IF(D1203="Stock",P1203*G1203,IF(P1203=0,"0",G1203*P1203*100-(G1203*$AF$14))))</f>
        <v/>
      </c>
      <c r="R1203" s="79">
        <f>IF(P1203&lt;&gt;"", TODAY(), "")</f>
        <v/>
      </c>
      <c r="S1203" s="78">
        <f>IF(AND(K1203&lt;&gt;"", R1203&lt;&gt;""), R1203-K1203, "")</f>
        <v/>
      </c>
      <c r="T1203" s="78" t="n"/>
      <c r="U1203" s="92">
        <f>IF(ISBLANK(P1203),"",IF(C1203="Buy",Q1203-M1203+T1203, IF(C1203="Sell",M1203-Q1203-T1203, X)))</f>
        <v/>
      </c>
      <c r="V1203" s="81">
        <f>IF(ISBLANK(P1203),"",U1203/N1203)</f>
        <v/>
      </c>
      <c r="W1203" s="81">
        <f>IF(ISBLANK(P1203),"",IF(S1203=0,(365/0.5)*V1203,(365/S1203)*V1203))</f>
        <v/>
      </c>
      <c r="X1203" s="75" t="n"/>
      <c r="Y1203" s="77" t="n"/>
      <c r="Z1203" s="77" t="n"/>
      <c r="AA1203" s="75" t="n"/>
      <c r="AB1203" s="75" t="n"/>
      <c r="AC1203" s="6" t="n"/>
      <c r="AD1203" s="75" t="n"/>
      <c r="AE1203" s="75" t="n"/>
      <c r="AF1203" s="75" t="n"/>
    </row>
    <row r="1204" ht="15.75" customHeight="1" s="133">
      <c r="A1204" s="75" t="n"/>
      <c r="B1204" s="75" t="n"/>
      <c r="C1204" s="75" t="n"/>
      <c r="D1204" s="75" t="n"/>
      <c r="E1204" s="76" t="n"/>
      <c r="F1204" s="77" t="n"/>
      <c r="G1204" s="75" t="n"/>
      <c r="H1204" s="75">
        <f>IF(ISBLANK(E1204),"",IF(OR(D1204="Butterfly",D1204="Butterfly ",D1204="Iron Fly", D1204="Iron Fly "),LEN(E1204)-LEN(SUBSTITUTE(E1204,"/",""))+2,LEN(E1204)-LEN(SUBSTITUTE(E1204,"/",""))+1))</f>
        <v/>
      </c>
      <c r="I1204" s="78">
        <f>IF(ISBLANK(G1204),"",IF(D1204="Stock","0",Key!$A$3*H1204*G1204))</f>
        <v/>
      </c>
      <c r="J1204" s="78">
        <f>IF(ISBLANK(E1204),"",IF(ISNUMBER(SEARCH("/",E1204)), IF(LEN(E1204)-LEN(SUBSTITUTE(E1204,"/",""))=1,(RIGHT(E1204,LEN(E1204)-FIND("/",E1204)))-(LEFT(E1204,FIND("/",E1204)-1)),(MID(E1204, SEARCH("/",E1204) + 1, SEARCH("/",E1204, SEARCH("/",E1204)+1) - SEARCH("/",E1204) - 1))-(LEFT(E1204,FIND("/",E1204)-1))), "NA"))</f>
        <v/>
      </c>
      <c r="K1204" s="79">
        <f>IF(A1204&lt;&gt;"", IF(ISBLANK(L1204), TODAY(), K1204), "")</f>
        <v/>
      </c>
      <c r="L1204" s="78" t="n"/>
      <c r="M1204" s="78">
        <f>IF(ISBLANK(L1204),"",IF(D1204="Stock",IF(C1204="Buy",L1204*G1204,IF(C1204="Sell",(L1204*G1204)-I1204, X)),IF(C1204="Buy",(L1204*G1204*100)+I1204,IF(C1204="Sell",(L1204*G1204*100)-I1204, X))))</f>
        <v/>
      </c>
      <c r="N1204" s="78">
        <f>IF(ISBLANK(L1204),"",IF(AND(C1204="Sell",D1204="Stock"),M1204,IF(ISBLANK(L1204),"",IF(C1204="Buy",M1204, IF(AND(C1204="Sell",J1204="NA"),(E1204*G1204*100*0.1)+I1204, IF(C1204="Sell",(J1204-L1204)*(100*G1204)+I1204))))))</f>
        <v/>
      </c>
      <c r="O1204" s="75" t="n"/>
      <c r="P1204" s="75" t="n"/>
      <c r="Q1204" s="75">
        <f>IF(ISBLANK(P1204),"",IF(D1204="Stock",P1204*G1204,IF(P1204=0,"0",G1204*P1204*100-(G1204*$AF$14))))</f>
        <v/>
      </c>
      <c r="R1204" s="79">
        <f>IF(P1204&lt;&gt;"", TODAY(), "")</f>
        <v/>
      </c>
      <c r="S1204" s="78">
        <f>IF(AND(K1204&lt;&gt;"", R1204&lt;&gt;""), R1204-K1204, "")</f>
        <v/>
      </c>
      <c r="T1204" s="78" t="n"/>
      <c r="U1204" s="92">
        <f>IF(ISBLANK(P1204),"",IF(C1204="Buy",Q1204-M1204+T1204, IF(C1204="Sell",M1204-Q1204-T1204, X)))</f>
        <v/>
      </c>
      <c r="V1204" s="81">
        <f>IF(ISBLANK(P1204),"",U1204/N1204)</f>
        <v/>
      </c>
      <c r="W1204" s="81">
        <f>IF(ISBLANK(P1204),"",IF(S1204=0,(365/0.5)*V1204,(365/S1204)*V1204))</f>
        <v/>
      </c>
      <c r="X1204" s="75" t="n"/>
      <c r="Y1204" s="77" t="n"/>
      <c r="Z1204" s="77" t="n"/>
      <c r="AA1204" s="75" t="n"/>
      <c r="AB1204" s="75" t="n"/>
      <c r="AC1204" s="6" t="n"/>
      <c r="AD1204" s="75" t="n"/>
      <c r="AE1204" s="75" t="n"/>
      <c r="AF1204" s="75" t="n"/>
    </row>
    <row r="1205" ht="15.75" customHeight="1" s="133">
      <c r="A1205" s="75" t="n"/>
      <c r="B1205" s="75" t="n"/>
      <c r="C1205" s="75" t="n"/>
      <c r="D1205" s="75" t="n"/>
      <c r="E1205" s="76" t="n"/>
      <c r="F1205" s="77" t="n"/>
      <c r="G1205" s="75" t="n"/>
      <c r="H1205" s="75">
        <f>IF(ISBLANK(E1205),"",IF(OR(D1205="Butterfly",D1205="Butterfly ",D1205="Iron Fly", D1205="Iron Fly "),LEN(E1205)-LEN(SUBSTITUTE(E1205,"/",""))+2,LEN(E1205)-LEN(SUBSTITUTE(E1205,"/",""))+1))</f>
        <v/>
      </c>
      <c r="I1205" s="78">
        <f>IF(ISBLANK(G1205),"",IF(D1205="Stock","0",Key!$A$3*H1205*G1205))</f>
        <v/>
      </c>
      <c r="J1205" s="78">
        <f>IF(ISBLANK(E1205),"",IF(ISNUMBER(SEARCH("/",E1205)), IF(LEN(E1205)-LEN(SUBSTITUTE(E1205,"/",""))=1,(RIGHT(E1205,LEN(E1205)-FIND("/",E1205)))-(LEFT(E1205,FIND("/",E1205)-1)),(MID(E1205, SEARCH("/",E1205) + 1, SEARCH("/",E1205, SEARCH("/",E1205)+1) - SEARCH("/",E1205) - 1))-(LEFT(E1205,FIND("/",E1205)-1))), "NA"))</f>
        <v/>
      </c>
      <c r="K1205" s="79">
        <f>IF(A1205&lt;&gt;"", IF(ISBLANK(L1205), TODAY(), K1205), "")</f>
        <v/>
      </c>
      <c r="L1205" s="78" t="n"/>
      <c r="M1205" s="78">
        <f>IF(ISBLANK(L1205),"",IF(D1205="Stock",IF(C1205="Buy",L1205*G1205,IF(C1205="Sell",(L1205*G1205)-I1205, X)),IF(C1205="Buy",(L1205*G1205*100)+I1205,IF(C1205="Sell",(L1205*G1205*100)-I1205, X))))</f>
        <v/>
      </c>
      <c r="N1205" s="78">
        <f>IF(ISBLANK(L1205),"",IF(AND(C1205="Sell",D1205="Stock"),M1205,IF(ISBLANK(L1205),"",IF(C1205="Buy",M1205, IF(AND(C1205="Sell",J1205="NA"),(E1205*G1205*100*0.1)+I1205, IF(C1205="Sell",(J1205-L1205)*(100*G1205)+I1205))))))</f>
        <v/>
      </c>
      <c r="O1205" s="75" t="n"/>
      <c r="P1205" s="75" t="n"/>
      <c r="Q1205" s="75">
        <f>IF(ISBLANK(P1205),"",IF(D1205="Stock",P1205*G1205,IF(P1205=0,"0",G1205*P1205*100-(G1205*$AF$14))))</f>
        <v/>
      </c>
      <c r="R1205" s="79">
        <f>IF(P1205&lt;&gt;"", TODAY(), "")</f>
        <v/>
      </c>
      <c r="S1205" s="78">
        <f>IF(AND(K1205&lt;&gt;"", R1205&lt;&gt;""), R1205-K1205, "")</f>
        <v/>
      </c>
      <c r="T1205" s="78" t="n"/>
      <c r="U1205" s="92">
        <f>IF(ISBLANK(P1205),"",IF(C1205="Buy",Q1205-M1205+T1205, IF(C1205="Sell",M1205-Q1205-T1205, X)))</f>
        <v/>
      </c>
      <c r="V1205" s="81">
        <f>IF(ISBLANK(P1205),"",U1205/N1205)</f>
        <v/>
      </c>
      <c r="W1205" s="81">
        <f>IF(ISBLANK(P1205),"",IF(S1205=0,(365/0.5)*V1205,(365/S1205)*V1205))</f>
        <v/>
      </c>
      <c r="X1205" s="75" t="n"/>
      <c r="Y1205" s="77" t="n"/>
      <c r="Z1205" s="77" t="n"/>
      <c r="AA1205" s="75" t="n"/>
      <c r="AB1205" s="75" t="n"/>
      <c r="AC1205" s="6" t="n"/>
      <c r="AD1205" s="75" t="n"/>
      <c r="AE1205" s="75" t="n"/>
      <c r="AF1205" s="75" t="n"/>
    </row>
    <row r="1206" ht="15.75" customHeight="1" s="133">
      <c r="A1206" s="75" t="n"/>
      <c r="B1206" s="75" t="n"/>
      <c r="C1206" s="75" t="n"/>
      <c r="D1206" s="75" t="n"/>
      <c r="E1206" s="76" t="n"/>
      <c r="F1206" s="77" t="n"/>
      <c r="G1206" s="75" t="n"/>
      <c r="H1206" s="75">
        <f>IF(ISBLANK(E1206),"",IF(OR(D1206="Butterfly",D1206="Butterfly ",D1206="Iron Fly", D1206="Iron Fly "),LEN(E1206)-LEN(SUBSTITUTE(E1206,"/",""))+2,LEN(E1206)-LEN(SUBSTITUTE(E1206,"/",""))+1))</f>
        <v/>
      </c>
      <c r="I1206" s="78">
        <f>IF(ISBLANK(G1206),"",IF(D1206="Stock","0",Key!$A$3*H1206*G1206))</f>
        <v/>
      </c>
      <c r="J1206" s="78">
        <f>IF(ISBLANK(E1206),"",IF(ISNUMBER(SEARCH("/",E1206)), IF(LEN(E1206)-LEN(SUBSTITUTE(E1206,"/",""))=1,(RIGHT(E1206,LEN(E1206)-FIND("/",E1206)))-(LEFT(E1206,FIND("/",E1206)-1)),(MID(E1206, SEARCH("/",E1206) + 1, SEARCH("/",E1206, SEARCH("/",E1206)+1) - SEARCH("/",E1206) - 1))-(LEFT(E1206,FIND("/",E1206)-1))), "NA"))</f>
        <v/>
      </c>
      <c r="K1206" s="79">
        <f>IF(A1206&lt;&gt;"", IF(ISBLANK(L1206), TODAY(), K1206), "")</f>
        <v/>
      </c>
      <c r="L1206" s="78" t="n"/>
      <c r="M1206" s="78">
        <f>IF(ISBLANK(L1206),"",IF(D1206="Stock",IF(C1206="Buy",L1206*G1206,IF(C1206="Sell",(L1206*G1206)-I1206, X)),IF(C1206="Buy",(L1206*G1206*100)+I1206,IF(C1206="Sell",(L1206*G1206*100)-I1206, X))))</f>
        <v/>
      </c>
      <c r="N1206" s="78">
        <f>IF(ISBLANK(L1206),"",IF(AND(C1206="Sell",D1206="Stock"),M1206,IF(ISBLANK(L1206),"",IF(C1206="Buy",M1206, IF(AND(C1206="Sell",J1206="NA"),(E1206*G1206*100*0.1)+I1206, IF(C1206="Sell",(J1206-L1206)*(100*G1206)+I1206))))))</f>
        <v/>
      </c>
      <c r="O1206" s="75" t="n"/>
      <c r="P1206" s="75" t="n"/>
      <c r="Q1206" s="75">
        <f>IF(ISBLANK(P1206),"",IF(D1206="Stock",P1206*G1206,IF(P1206=0,"0",G1206*P1206*100-(G1206*$AF$14))))</f>
        <v/>
      </c>
      <c r="R1206" s="79">
        <f>IF(P1206&lt;&gt;"", TODAY(), "")</f>
        <v/>
      </c>
      <c r="S1206" s="78">
        <f>IF(AND(K1206&lt;&gt;"", R1206&lt;&gt;""), R1206-K1206, "")</f>
        <v/>
      </c>
      <c r="T1206" s="78" t="n"/>
      <c r="U1206" s="92">
        <f>IF(ISBLANK(P1206),"",IF(C1206="Buy",Q1206-M1206+T1206, IF(C1206="Sell",M1206-Q1206-T1206, X)))</f>
        <v/>
      </c>
      <c r="V1206" s="81">
        <f>IF(ISBLANK(P1206),"",U1206/N1206)</f>
        <v/>
      </c>
      <c r="W1206" s="81">
        <f>IF(ISBLANK(P1206),"",IF(S1206=0,(365/0.5)*V1206,(365/S1206)*V1206))</f>
        <v/>
      </c>
      <c r="X1206" s="75" t="n"/>
      <c r="Y1206" s="77" t="n"/>
      <c r="Z1206" s="77" t="n"/>
      <c r="AA1206" s="75" t="n"/>
      <c r="AB1206" s="75" t="n"/>
      <c r="AC1206" s="6" t="n"/>
      <c r="AD1206" s="75" t="n"/>
      <c r="AE1206" s="75" t="n"/>
      <c r="AF1206" s="75" t="n"/>
    </row>
    <row r="1207" ht="15.75" customHeight="1" s="133">
      <c r="A1207" s="75" t="n"/>
      <c r="B1207" s="75" t="n"/>
      <c r="C1207" s="75" t="n"/>
      <c r="D1207" s="75" t="n"/>
      <c r="E1207" s="76" t="n"/>
      <c r="F1207" s="77" t="n"/>
      <c r="G1207" s="75" t="n"/>
      <c r="H1207" s="75">
        <f>IF(ISBLANK(E1207),"",IF(OR(D1207="Butterfly",D1207="Butterfly ",D1207="Iron Fly", D1207="Iron Fly "),LEN(E1207)-LEN(SUBSTITUTE(E1207,"/",""))+2,LEN(E1207)-LEN(SUBSTITUTE(E1207,"/",""))+1))</f>
        <v/>
      </c>
      <c r="I1207" s="78">
        <f>IF(ISBLANK(G1207),"",IF(D1207="Stock","0",Key!$A$3*H1207*G1207))</f>
        <v/>
      </c>
      <c r="J1207" s="78">
        <f>IF(ISBLANK(E1207),"",IF(ISNUMBER(SEARCH("/",E1207)), IF(LEN(E1207)-LEN(SUBSTITUTE(E1207,"/",""))=1,(RIGHT(E1207,LEN(E1207)-FIND("/",E1207)))-(LEFT(E1207,FIND("/",E1207)-1)),(MID(E1207, SEARCH("/",E1207) + 1, SEARCH("/",E1207, SEARCH("/",E1207)+1) - SEARCH("/",E1207) - 1))-(LEFT(E1207,FIND("/",E1207)-1))), "NA"))</f>
        <v/>
      </c>
      <c r="K1207" s="79">
        <f>IF(A1207&lt;&gt;"", IF(ISBLANK(L1207), TODAY(), K1207), "")</f>
        <v/>
      </c>
      <c r="L1207" s="78" t="n"/>
      <c r="M1207" s="78">
        <f>IF(ISBLANK(L1207),"",IF(D1207="Stock",IF(C1207="Buy",L1207*G1207,IF(C1207="Sell",(L1207*G1207)-I1207, X)),IF(C1207="Buy",(L1207*G1207*100)+I1207,IF(C1207="Sell",(L1207*G1207*100)-I1207, X))))</f>
        <v/>
      </c>
      <c r="N1207" s="78">
        <f>IF(ISBLANK(L1207),"",IF(AND(C1207="Sell",D1207="Stock"),M1207,IF(ISBLANK(L1207),"",IF(C1207="Buy",M1207, IF(AND(C1207="Sell",J1207="NA"),(E1207*G1207*100*0.1)+I1207, IF(C1207="Sell",(J1207-L1207)*(100*G1207)+I1207))))))</f>
        <v/>
      </c>
      <c r="O1207" s="75" t="n"/>
      <c r="P1207" s="75" t="n"/>
      <c r="Q1207" s="75">
        <f>IF(ISBLANK(P1207),"",IF(D1207="Stock",P1207*G1207,IF(P1207=0,"0",G1207*P1207*100-(G1207*$AF$14))))</f>
        <v/>
      </c>
      <c r="R1207" s="79">
        <f>IF(P1207&lt;&gt;"", TODAY(), "")</f>
        <v/>
      </c>
      <c r="S1207" s="78">
        <f>IF(AND(K1207&lt;&gt;"", R1207&lt;&gt;""), R1207-K1207, "")</f>
        <v/>
      </c>
      <c r="T1207" s="78" t="n"/>
      <c r="U1207" s="92">
        <f>IF(ISBLANK(P1207),"",IF(C1207="Buy",Q1207-M1207+T1207, IF(C1207="Sell",M1207-Q1207-T1207, X)))</f>
        <v/>
      </c>
      <c r="V1207" s="81">
        <f>IF(ISBLANK(P1207),"",U1207/N1207)</f>
        <v/>
      </c>
      <c r="W1207" s="81">
        <f>IF(ISBLANK(P1207),"",IF(S1207=0,(365/0.5)*V1207,(365/S1207)*V1207))</f>
        <v/>
      </c>
      <c r="X1207" s="75" t="n"/>
      <c r="Y1207" s="77" t="n"/>
      <c r="Z1207" s="77" t="n"/>
      <c r="AA1207" s="75" t="n"/>
      <c r="AB1207" s="75" t="n"/>
      <c r="AC1207" s="6" t="n"/>
      <c r="AD1207" s="75" t="n"/>
      <c r="AE1207" s="75" t="n"/>
      <c r="AF1207" s="75" t="n"/>
    </row>
    <row r="1208" ht="15.75" customHeight="1" s="133">
      <c r="A1208" s="75" t="n"/>
      <c r="B1208" s="75" t="n"/>
      <c r="C1208" s="75" t="n"/>
      <c r="D1208" s="75" t="n"/>
      <c r="E1208" s="76" t="n"/>
      <c r="F1208" s="77" t="n"/>
      <c r="G1208" s="75" t="n"/>
      <c r="H1208" s="75">
        <f>IF(ISBLANK(E1208),"",IF(OR(D1208="Butterfly",D1208="Butterfly ",D1208="Iron Fly", D1208="Iron Fly "),LEN(E1208)-LEN(SUBSTITUTE(E1208,"/",""))+2,LEN(E1208)-LEN(SUBSTITUTE(E1208,"/",""))+1))</f>
        <v/>
      </c>
      <c r="I1208" s="78">
        <f>IF(ISBLANK(G1208),"",IF(D1208="Stock","0",Key!$A$3*H1208*G1208))</f>
        <v/>
      </c>
      <c r="J1208" s="78">
        <f>IF(ISBLANK(E1208),"",IF(ISNUMBER(SEARCH("/",E1208)), IF(LEN(E1208)-LEN(SUBSTITUTE(E1208,"/",""))=1,(RIGHT(E1208,LEN(E1208)-FIND("/",E1208)))-(LEFT(E1208,FIND("/",E1208)-1)),(MID(E1208, SEARCH("/",E1208) + 1, SEARCH("/",E1208, SEARCH("/",E1208)+1) - SEARCH("/",E1208) - 1))-(LEFT(E1208,FIND("/",E1208)-1))), "NA"))</f>
        <v/>
      </c>
      <c r="K1208" s="79">
        <f>IF(A1208&lt;&gt;"", IF(ISBLANK(L1208), TODAY(), K1208), "")</f>
        <v/>
      </c>
      <c r="L1208" s="78" t="n"/>
      <c r="M1208" s="78">
        <f>IF(ISBLANK(L1208),"",IF(D1208="Stock",IF(C1208="Buy",L1208*G1208,IF(C1208="Sell",(L1208*G1208)-I1208, X)),IF(C1208="Buy",(L1208*G1208*100)+I1208,IF(C1208="Sell",(L1208*G1208*100)-I1208, X))))</f>
        <v/>
      </c>
      <c r="N1208" s="78">
        <f>IF(ISBLANK(L1208),"",IF(AND(C1208="Sell",D1208="Stock"),M1208,IF(ISBLANK(L1208),"",IF(C1208="Buy",M1208, IF(AND(C1208="Sell",J1208="NA"),(E1208*G1208*100*0.1)+I1208, IF(C1208="Sell",(J1208-L1208)*(100*G1208)+I1208))))))</f>
        <v/>
      </c>
      <c r="O1208" s="75" t="n"/>
      <c r="P1208" s="75" t="n"/>
      <c r="Q1208" s="75">
        <f>IF(ISBLANK(P1208),"",IF(D1208="Stock",P1208*G1208,IF(P1208=0,"0",G1208*P1208*100-(G1208*$AF$14))))</f>
        <v/>
      </c>
      <c r="R1208" s="79">
        <f>IF(P1208&lt;&gt;"", TODAY(), "")</f>
        <v/>
      </c>
      <c r="S1208" s="78">
        <f>IF(AND(K1208&lt;&gt;"", R1208&lt;&gt;""), R1208-K1208, "")</f>
        <v/>
      </c>
      <c r="T1208" s="78" t="n"/>
      <c r="U1208" s="92">
        <f>IF(ISBLANK(P1208),"",IF(C1208="Buy",Q1208-M1208+T1208, IF(C1208="Sell",M1208-Q1208-T1208, X)))</f>
        <v/>
      </c>
      <c r="V1208" s="81">
        <f>IF(ISBLANK(P1208),"",U1208/N1208)</f>
        <v/>
      </c>
      <c r="W1208" s="81">
        <f>IF(ISBLANK(P1208),"",IF(S1208=0,(365/0.5)*V1208,(365/S1208)*V1208))</f>
        <v/>
      </c>
      <c r="X1208" s="75" t="n"/>
      <c r="Y1208" s="77" t="n"/>
      <c r="Z1208" s="77" t="n"/>
      <c r="AA1208" s="75" t="n"/>
      <c r="AB1208" s="75" t="n"/>
      <c r="AC1208" s="6" t="n"/>
      <c r="AD1208" s="75" t="n"/>
      <c r="AE1208" s="75" t="n"/>
      <c r="AF1208" s="75" t="n"/>
    </row>
    <row r="1209" ht="15.75" customHeight="1" s="133">
      <c r="A1209" s="75" t="n"/>
      <c r="B1209" s="75" t="n"/>
      <c r="C1209" s="75" t="n"/>
      <c r="D1209" s="75" t="n"/>
      <c r="E1209" s="76" t="n"/>
      <c r="F1209" s="77" t="n"/>
      <c r="G1209" s="75" t="n"/>
      <c r="H1209" s="75">
        <f>IF(ISBLANK(E1209),"",IF(OR(D1209="Butterfly",D1209="Butterfly ",D1209="Iron Fly", D1209="Iron Fly "),LEN(E1209)-LEN(SUBSTITUTE(E1209,"/",""))+2,LEN(E1209)-LEN(SUBSTITUTE(E1209,"/",""))+1))</f>
        <v/>
      </c>
      <c r="I1209" s="78">
        <f>IF(ISBLANK(G1209),"",IF(D1209="Stock","0",Key!$A$3*H1209*G1209))</f>
        <v/>
      </c>
      <c r="J1209" s="78">
        <f>IF(ISBLANK(E1209),"",IF(ISNUMBER(SEARCH("/",E1209)), IF(LEN(E1209)-LEN(SUBSTITUTE(E1209,"/",""))=1,(RIGHT(E1209,LEN(E1209)-FIND("/",E1209)))-(LEFT(E1209,FIND("/",E1209)-1)),(MID(E1209, SEARCH("/",E1209) + 1, SEARCH("/",E1209, SEARCH("/",E1209)+1) - SEARCH("/",E1209) - 1))-(LEFT(E1209,FIND("/",E1209)-1))), "NA"))</f>
        <v/>
      </c>
      <c r="K1209" s="79">
        <f>IF(A1209&lt;&gt;"", IF(ISBLANK(L1209), TODAY(), K1209), "")</f>
        <v/>
      </c>
      <c r="L1209" s="78" t="n"/>
      <c r="M1209" s="78">
        <f>IF(ISBLANK(L1209),"",IF(D1209="Stock",IF(C1209="Buy",L1209*G1209,IF(C1209="Sell",(L1209*G1209)-I1209, X)),IF(C1209="Buy",(L1209*G1209*100)+I1209,IF(C1209="Sell",(L1209*G1209*100)-I1209, X))))</f>
        <v/>
      </c>
      <c r="N1209" s="78">
        <f>IF(ISBLANK(L1209),"",IF(AND(C1209="Sell",D1209="Stock"),M1209,IF(ISBLANK(L1209),"",IF(C1209="Buy",M1209, IF(AND(C1209="Sell",J1209="NA"),(E1209*G1209*100*0.1)+I1209, IF(C1209="Sell",(J1209-L1209)*(100*G1209)+I1209))))))</f>
        <v/>
      </c>
      <c r="O1209" s="75" t="n"/>
      <c r="P1209" s="75" t="n"/>
      <c r="Q1209" s="75">
        <f>IF(ISBLANK(P1209),"",IF(D1209="Stock",P1209*G1209,IF(P1209=0,"0",G1209*P1209*100-(G1209*$AF$14))))</f>
        <v/>
      </c>
      <c r="R1209" s="79">
        <f>IF(P1209&lt;&gt;"", TODAY(), "")</f>
        <v/>
      </c>
      <c r="S1209" s="78">
        <f>IF(AND(K1209&lt;&gt;"", R1209&lt;&gt;""), R1209-K1209, "")</f>
        <v/>
      </c>
      <c r="T1209" s="78" t="n"/>
      <c r="U1209" s="92">
        <f>IF(ISBLANK(P1209),"",IF(C1209="Buy",Q1209-M1209+T1209, IF(C1209="Sell",M1209-Q1209-T1209, X)))</f>
        <v/>
      </c>
      <c r="V1209" s="81">
        <f>IF(ISBLANK(P1209),"",U1209/N1209)</f>
        <v/>
      </c>
      <c r="W1209" s="81">
        <f>IF(ISBLANK(P1209),"",IF(S1209=0,(365/0.5)*V1209,(365/S1209)*V1209))</f>
        <v/>
      </c>
      <c r="X1209" s="75" t="n"/>
      <c r="Y1209" s="77" t="n"/>
      <c r="Z1209" s="77" t="n"/>
      <c r="AA1209" s="75" t="n"/>
      <c r="AB1209" s="75" t="n"/>
      <c r="AC1209" s="6" t="n"/>
      <c r="AD1209" s="75" t="n"/>
      <c r="AE1209" s="75" t="n"/>
      <c r="AF1209" s="75" t="n"/>
    </row>
    <row r="1210" ht="15.75" customHeight="1" s="133">
      <c r="A1210" s="75" t="n"/>
      <c r="B1210" s="75" t="n"/>
      <c r="C1210" s="75" t="n"/>
      <c r="D1210" s="75" t="n"/>
      <c r="E1210" s="76" t="n"/>
      <c r="F1210" s="77" t="n"/>
      <c r="G1210" s="75" t="n"/>
      <c r="H1210" s="75">
        <f>IF(ISBLANK(E1210),"",IF(OR(D1210="Butterfly",D1210="Butterfly ",D1210="Iron Fly", D1210="Iron Fly "),LEN(E1210)-LEN(SUBSTITUTE(E1210,"/",""))+2,LEN(E1210)-LEN(SUBSTITUTE(E1210,"/",""))+1))</f>
        <v/>
      </c>
      <c r="I1210" s="78">
        <f>IF(ISBLANK(G1210),"",IF(D1210="Stock","0",Key!$A$3*H1210*G1210))</f>
        <v/>
      </c>
      <c r="J1210" s="78">
        <f>IF(ISBLANK(E1210),"",IF(ISNUMBER(SEARCH("/",E1210)), IF(LEN(E1210)-LEN(SUBSTITUTE(E1210,"/",""))=1,(RIGHT(E1210,LEN(E1210)-FIND("/",E1210)))-(LEFT(E1210,FIND("/",E1210)-1)),(MID(E1210, SEARCH("/",E1210) + 1, SEARCH("/",E1210, SEARCH("/",E1210)+1) - SEARCH("/",E1210) - 1))-(LEFT(E1210,FIND("/",E1210)-1))), "NA"))</f>
        <v/>
      </c>
      <c r="K1210" s="79">
        <f>IF(A1210&lt;&gt;"", IF(ISBLANK(L1210), TODAY(), K1210), "")</f>
        <v/>
      </c>
      <c r="L1210" s="78" t="n"/>
      <c r="M1210" s="78">
        <f>IF(ISBLANK(L1210),"",IF(D1210="Stock",IF(C1210="Buy",L1210*G1210,IF(C1210="Sell",(L1210*G1210)-I1210, X)),IF(C1210="Buy",(L1210*G1210*100)+I1210,IF(C1210="Sell",(L1210*G1210*100)-I1210, X))))</f>
        <v/>
      </c>
      <c r="N1210" s="78">
        <f>IF(ISBLANK(L1210),"",IF(AND(C1210="Sell",D1210="Stock"),M1210,IF(ISBLANK(L1210),"",IF(C1210="Buy",M1210, IF(AND(C1210="Sell",J1210="NA"),(E1210*G1210*100*0.1)+I1210, IF(C1210="Sell",(J1210-L1210)*(100*G1210)+I1210))))))</f>
        <v/>
      </c>
      <c r="O1210" s="75" t="n"/>
      <c r="P1210" s="75" t="n"/>
      <c r="Q1210" s="75">
        <f>IF(ISBLANK(P1210),"",IF(D1210="Stock",P1210*G1210,IF(P1210=0,"0",G1210*P1210*100-(G1210*$AF$14))))</f>
        <v/>
      </c>
      <c r="R1210" s="79">
        <f>IF(P1210&lt;&gt;"", TODAY(), "")</f>
        <v/>
      </c>
      <c r="S1210" s="78">
        <f>IF(AND(K1210&lt;&gt;"", R1210&lt;&gt;""), R1210-K1210, "")</f>
        <v/>
      </c>
      <c r="T1210" s="78" t="n"/>
      <c r="U1210" s="92">
        <f>IF(ISBLANK(P1210),"",IF(C1210="Buy",Q1210-M1210+T1210, IF(C1210="Sell",M1210-Q1210-T1210, X)))</f>
        <v/>
      </c>
      <c r="V1210" s="81">
        <f>IF(ISBLANK(P1210),"",U1210/N1210)</f>
        <v/>
      </c>
      <c r="W1210" s="81">
        <f>IF(ISBLANK(P1210),"",IF(S1210=0,(365/0.5)*V1210,(365/S1210)*V1210))</f>
        <v/>
      </c>
      <c r="X1210" s="75" t="n"/>
      <c r="Y1210" s="77" t="n"/>
      <c r="Z1210" s="77" t="n"/>
      <c r="AA1210" s="75" t="n"/>
      <c r="AB1210" s="75" t="n"/>
      <c r="AC1210" s="6" t="n"/>
      <c r="AD1210" s="75" t="n"/>
      <c r="AE1210" s="75" t="n"/>
      <c r="AF1210" s="75" t="n"/>
    </row>
    <row r="1211" ht="15.75" customHeight="1" s="133">
      <c r="A1211" s="75" t="n"/>
      <c r="B1211" s="75" t="n"/>
      <c r="C1211" s="75" t="n"/>
      <c r="D1211" s="75" t="n"/>
      <c r="E1211" s="76" t="n"/>
      <c r="F1211" s="77" t="n"/>
      <c r="G1211" s="75" t="n"/>
      <c r="H1211" s="75">
        <f>IF(ISBLANK(E1211),"",IF(OR(D1211="Butterfly",D1211="Butterfly ",D1211="Iron Fly", D1211="Iron Fly "),LEN(E1211)-LEN(SUBSTITUTE(E1211,"/",""))+2,LEN(E1211)-LEN(SUBSTITUTE(E1211,"/",""))+1))</f>
        <v/>
      </c>
      <c r="I1211" s="78">
        <f>IF(ISBLANK(G1211),"",IF(D1211="Stock","0",Key!$A$3*H1211*G1211))</f>
        <v/>
      </c>
      <c r="J1211" s="78">
        <f>IF(ISBLANK(E1211),"",IF(ISNUMBER(SEARCH("/",E1211)), IF(LEN(E1211)-LEN(SUBSTITUTE(E1211,"/",""))=1,(RIGHT(E1211,LEN(E1211)-FIND("/",E1211)))-(LEFT(E1211,FIND("/",E1211)-1)),(MID(E1211, SEARCH("/",E1211) + 1, SEARCH("/",E1211, SEARCH("/",E1211)+1) - SEARCH("/",E1211) - 1))-(LEFT(E1211,FIND("/",E1211)-1))), "NA"))</f>
        <v/>
      </c>
      <c r="K1211" s="79">
        <f>IF(A1211&lt;&gt;"", IF(ISBLANK(L1211), TODAY(), K1211), "")</f>
        <v/>
      </c>
      <c r="L1211" s="78" t="n"/>
      <c r="M1211" s="78">
        <f>IF(ISBLANK(L1211),"",IF(D1211="Stock",IF(C1211="Buy",L1211*G1211,IF(C1211="Sell",(L1211*G1211)-I1211, X)),IF(C1211="Buy",(L1211*G1211*100)+I1211,IF(C1211="Sell",(L1211*G1211*100)-I1211, X))))</f>
        <v/>
      </c>
      <c r="N1211" s="78">
        <f>IF(ISBLANK(L1211),"",IF(AND(C1211="Sell",D1211="Stock"),M1211,IF(ISBLANK(L1211),"",IF(C1211="Buy",M1211, IF(AND(C1211="Sell",J1211="NA"),(E1211*G1211*100*0.1)+I1211, IF(C1211="Sell",(J1211-L1211)*(100*G1211)+I1211))))))</f>
        <v/>
      </c>
      <c r="O1211" s="75" t="n"/>
      <c r="P1211" s="75" t="n"/>
      <c r="Q1211" s="75">
        <f>IF(ISBLANK(P1211),"",IF(D1211="Stock",P1211*G1211,IF(P1211=0,"0",G1211*P1211*100-(G1211*$AF$14))))</f>
        <v/>
      </c>
      <c r="R1211" s="79">
        <f>IF(P1211&lt;&gt;"", TODAY(), "")</f>
        <v/>
      </c>
      <c r="S1211" s="78">
        <f>IF(AND(K1211&lt;&gt;"", R1211&lt;&gt;""), R1211-K1211, "")</f>
        <v/>
      </c>
      <c r="T1211" s="78" t="n"/>
      <c r="U1211" s="92">
        <f>IF(ISBLANK(P1211),"",IF(C1211="Buy",Q1211-M1211+T1211, IF(C1211="Sell",M1211-Q1211-T1211, X)))</f>
        <v/>
      </c>
      <c r="V1211" s="81">
        <f>IF(ISBLANK(P1211),"",U1211/N1211)</f>
        <v/>
      </c>
      <c r="W1211" s="81">
        <f>IF(ISBLANK(P1211),"",IF(S1211=0,(365/0.5)*V1211,(365/S1211)*V1211))</f>
        <v/>
      </c>
      <c r="X1211" s="75" t="n"/>
      <c r="Y1211" s="77" t="n"/>
      <c r="Z1211" s="77" t="n"/>
      <c r="AA1211" s="75" t="n"/>
      <c r="AB1211" s="75" t="n"/>
      <c r="AC1211" s="6" t="n"/>
      <c r="AD1211" s="75" t="n"/>
      <c r="AE1211" s="75" t="n"/>
      <c r="AF1211" s="75" t="n"/>
    </row>
    <row r="1212" ht="15.75" customHeight="1" s="133">
      <c r="A1212" s="75" t="n"/>
      <c r="B1212" s="75" t="n"/>
      <c r="C1212" s="75" t="n"/>
      <c r="D1212" s="75" t="n"/>
      <c r="E1212" s="76" t="n"/>
      <c r="F1212" s="77" t="n"/>
      <c r="G1212" s="75" t="n"/>
      <c r="H1212" s="75">
        <f>IF(ISBLANK(E1212),"",IF(OR(D1212="Butterfly",D1212="Butterfly ",D1212="Iron Fly", D1212="Iron Fly "),LEN(E1212)-LEN(SUBSTITUTE(E1212,"/",""))+2,LEN(E1212)-LEN(SUBSTITUTE(E1212,"/",""))+1))</f>
        <v/>
      </c>
      <c r="I1212" s="78">
        <f>IF(ISBLANK(G1212),"",IF(D1212="Stock","0",Key!$A$3*H1212*G1212))</f>
        <v/>
      </c>
      <c r="J1212" s="78">
        <f>IF(ISBLANK(E1212),"",IF(ISNUMBER(SEARCH("/",E1212)), IF(LEN(E1212)-LEN(SUBSTITUTE(E1212,"/",""))=1,(RIGHT(E1212,LEN(E1212)-FIND("/",E1212)))-(LEFT(E1212,FIND("/",E1212)-1)),(MID(E1212, SEARCH("/",E1212) + 1, SEARCH("/",E1212, SEARCH("/",E1212)+1) - SEARCH("/",E1212) - 1))-(LEFT(E1212,FIND("/",E1212)-1))), "NA"))</f>
        <v/>
      </c>
      <c r="K1212" s="79">
        <f>IF(A1212&lt;&gt;"", IF(ISBLANK(L1212), TODAY(), K1212), "")</f>
        <v/>
      </c>
      <c r="L1212" s="78" t="n"/>
      <c r="M1212" s="78">
        <f>IF(ISBLANK(L1212),"",IF(D1212="Stock",IF(C1212="Buy",L1212*G1212,IF(C1212="Sell",(L1212*G1212)-I1212, X)),IF(C1212="Buy",(L1212*G1212*100)+I1212,IF(C1212="Sell",(L1212*G1212*100)-I1212, X))))</f>
        <v/>
      </c>
      <c r="N1212" s="78">
        <f>IF(ISBLANK(L1212),"",IF(AND(C1212="Sell",D1212="Stock"),M1212,IF(ISBLANK(L1212),"",IF(C1212="Buy",M1212, IF(AND(C1212="Sell",J1212="NA"),(E1212*G1212*100*0.1)+I1212, IF(C1212="Sell",(J1212-L1212)*(100*G1212)+I1212))))))</f>
        <v/>
      </c>
      <c r="O1212" s="75" t="n"/>
      <c r="P1212" s="75" t="n"/>
      <c r="Q1212" s="75">
        <f>IF(ISBLANK(P1212),"",IF(D1212="Stock",P1212*G1212,IF(P1212=0,"0",G1212*P1212*100-(G1212*$AF$14))))</f>
        <v/>
      </c>
      <c r="R1212" s="79">
        <f>IF(P1212&lt;&gt;"", TODAY(), "")</f>
        <v/>
      </c>
      <c r="S1212" s="78">
        <f>IF(AND(K1212&lt;&gt;"", R1212&lt;&gt;""), R1212-K1212, "")</f>
        <v/>
      </c>
      <c r="T1212" s="78" t="n"/>
      <c r="U1212" s="92">
        <f>IF(ISBLANK(P1212),"",IF(C1212="Buy",Q1212-M1212+T1212, IF(C1212="Sell",M1212-Q1212-T1212, X)))</f>
        <v/>
      </c>
      <c r="V1212" s="81">
        <f>IF(ISBLANK(P1212),"",U1212/N1212)</f>
        <v/>
      </c>
      <c r="W1212" s="81">
        <f>IF(ISBLANK(P1212),"",IF(S1212=0,(365/0.5)*V1212,(365/S1212)*V1212))</f>
        <v/>
      </c>
      <c r="X1212" s="75" t="n"/>
      <c r="Y1212" s="77" t="n"/>
      <c r="Z1212" s="77" t="n"/>
      <c r="AA1212" s="75" t="n"/>
      <c r="AB1212" s="75" t="n"/>
      <c r="AC1212" s="6" t="n"/>
      <c r="AD1212" s="75" t="n"/>
      <c r="AE1212" s="75" t="n"/>
      <c r="AF1212" s="75" t="n"/>
    </row>
    <row r="1213" ht="15.75" customHeight="1" s="133">
      <c r="A1213" s="75" t="n"/>
      <c r="B1213" s="75" t="n"/>
      <c r="C1213" s="75" t="n"/>
      <c r="D1213" s="75" t="n"/>
      <c r="E1213" s="76" t="n"/>
      <c r="F1213" s="77" t="n"/>
      <c r="G1213" s="75" t="n"/>
      <c r="H1213" s="75">
        <f>IF(ISBLANK(E1213),"",IF(OR(D1213="Butterfly",D1213="Butterfly ",D1213="Iron Fly", D1213="Iron Fly "),LEN(E1213)-LEN(SUBSTITUTE(E1213,"/",""))+2,LEN(E1213)-LEN(SUBSTITUTE(E1213,"/",""))+1))</f>
        <v/>
      </c>
      <c r="I1213" s="78">
        <f>IF(ISBLANK(G1213),"",IF(D1213="Stock","0",Key!$A$3*H1213*G1213))</f>
        <v/>
      </c>
      <c r="J1213" s="78">
        <f>IF(ISBLANK(E1213),"",IF(ISNUMBER(SEARCH("/",E1213)), IF(LEN(E1213)-LEN(SUBSTITUTE(E1213,"/",""))=1,(RIGHT(E1213,LEN(E1213)-FIND("/",E1213)))-(LEFT(E1213,FIND("/",E1213)-1)),(MID(E1213, SEARCH("/",E1213) + 1, SEARCH("/",E1213, SEARCH("/",E1213)+1) - SEARCH("/",E1213) - 1))-(LEFT(E1213,FIND("/",E1213)-1))), "NA"))</f>
        <v/>
      </c>
      <c r="K1213" s="79">
        <f>IF(A1213&lt;&gt;"", IF(ISBLANK(L1213), TODAY(), K1213), "")</f>
        <v/>
      </c>
      <c r="L1213" s="78" t="n"/>
      <c r="M1213" s="78">
        <f>IF(ISBLANK(L1213),"",IF(D1213="Stock",IF(C1213="Buy",L1213*G1213,IF(C1213="Sell",(L1213*G1213)-I1213, X)),IF(C1213="Buy",(L1213*G1213*100)+I1213,IF(C1213="Sell",(L1213*G1213*100)-I1213, X))))</f>
        <v/>
      </c>
      <c r="N1213" s="78">
        <f>IF(ISBLANK(L1213),"",IF(AND(C1213="Sell",D1213="Stock"),M1213,IF(ISBLANK(L1213),"",IF(C1213="Buy",M1213, IF(AND(C1213="Sell",J1213="NA"),(E1213*G1213*100*0.1)+I1213, IF(C1213="Sell",(J1213-L1213)*(100*G1213)+I1213))))))</f>
        <v/>
      </c>
      <c r="O1213" s="75" t="n"/>
      <c r="P1213" s="75" t="n"/>
      <c r="Q1213" s="75">
        <f>IF(ISBLANK(P1213),"",IF(D1213="Stock",P1213*G1213,IF(P1213=0,"0",G1213*P1213*100-(G1213*$AF$14))))</f>
        <v/>
      </c>
      <c r="R1213" s="79">
        <f>IF(P1213&lt;&gt;"", TODAY(), "")</f>
        <v/>
      </c>
      <c r="S1213" s="78">
        <f>IF(AND(K1213&lt;&gt;"", R1213&lt;&gt;""), R1213-K1213, "")</f>
        <v/>
      </c>
      <c r="T1213" s="78" t="n"/>
      <c r="U1213" s="92">
        <f>IF(ISBLANK(P1213),"",IF(C1213="Buy",Q1213-M1213+T1213, IF(C1213="Sell",M1213-Q1213-T1213, X)))</f>
        <v/>
      </c>
      <c r="V1213" s="81">
        <f>IF(ISBLANK(P1213),"",U1213/N1213)</f>
        <v/>
      </c>
      <c r="W1213" s="81">
        <f>IF(ISBLANK(P1213),"",IF(S1213=0,(365/0.5)*V1213,(365/S1213)*V1213))</f>
        <v/>
      </c>
      <c r="X1213" s="75" t="n"/>
      <c r="Y1213" s="77" t="n"/>
      <c r="Z1213" s="77" t="n"/>
      <c r="AA1213" s="75" t="n"/>
      <c r="AB1213" s="75" t="n"/>
      <c r="AC1213" s="6" t="n"/>
      <c r="AD1213" s="75" t="n"/>
      <c r="AE1213" s="75" t="n"/>
      <c r="AF1213" s="75" t="n"/>
    </row>
    <row r="1214" ht="15.75" customHeight="1" s="133">
      <c r="A1214" s="75" t="n"/>
      <c r="B1214" s="75" t="n"/>
      <c r="C1214" s="75" t="n"/>
      <c r="D1214" s="75" t="n"/>
      <c r="E1214" s="76" t="n"/>
      <c r="F1214" s="77" t="n"/>
      <c r="G1214" s="75" t="n"/>
      <c r="H1214" s="75">
        <f>IF(ISBLANK(E1214),"",IF(OR(D1214="Butterfly",D1214="Butterfly ",D1214="Iron Fly", D1214="Iron Fly "),LEN(E1214)-LEN(SUBSTITUTE(E1214,"/",""))+2,LEN(E1214)-LEN(SUBSTITUTE(E1214,"/",""))+1))</f>
        <v/>
      </c>
      <c r="I1214" s="78">
        <f>IF(ISBLANK(G1214),"",IF(D1214="Stock","0",Key!$A$3*H1214*G1214))</f>
        <v/>
      </c>
      <c r="J1214" s="78">
        <f>IF(ISBLANK(E1214),"",IF(ISNUMBER(SEARCH("/",E1214)), IF(LEN(E1214)-LEN(SUBSTITUTE(E1214,"/",""))=1,(RIGHT(E1214,LEN(E1214)-FIND("/",E1214)))-(LEFT(E1214,FIND("/",E1214)-1)),(MID(E1214, SEARCH("/",E1214) + 1, SEARCH("/",E1214, SEARCH("/",E1214)+1) - SEARCH("/",E1214) - 1))-(LEFT(E1214,FIND("/",E1214)-1))), "NA"))</f>
        <v/>
      </c>
      <c r="K1214" s="79">
        <f>IF(A1214&lt;&gt;"", IF(ISBLANK(L1214), TODAY(), K1214), "")</f>
        <v/>
      </c>
      <c r="L1214" s="78" t="n"/>
      <c r="M1214" s="78">
        <f>IF(ISBLANK(L1214),"",IF(D1214="Stock",IF(C1214="Buy",L1214*G1214,IF(C1214="Sell",(L1214*G1214)-I1214, X)),IF(C1214="Buy",(L1214*G1214*100)+I1214,IF(C1214="Sell",(L1214*G1214*100)-I1214, X))))</f>
        <v/>
      </c>
      <c r="N1214" s="78">
        <f>IF(ISBLANK(L1214),"",IF(AND(C1214="Sell",D1214="Stock"),M1214,IF(ISBLANK(L1214),"",IF(C1214="Buy",M1214, IF(AND(C1214="Sell",J1214="NA"),(E1214*G1214*100*0.1)+I1214, IF(C1214="Sell",(J1214-L1214)*(100*G1214)+I1214))))))</f>
        <v/>
      </c>
      <c r="O1214" s="75" t="n"/>
      <c r="P1214" s="75" t="n"/>
      <c r="Q1214" s="75">
        <f>IF(ISBLANK(P1214),"",IF(D1214="Stock",P1214*G1214,IF(P1214=0,"0",G1214*P1214*100-(G1214*$AF$14))))</f>
        <v/>
      </c>
      <c r="R1214" s="79">
        <f>IF(P1214&lt;&gt;"", TODAY(), "")</f>
        <v/>
      </c>
      <c r="S1214" s="78">
        <f>IF(AND(K1214&lt;&gt;"", R1214&lt;&gt;""), R1214-K1214, "")</f>
        <v/>
      </c>
      <c r="T1214" s="78" t="n"/>
      <c r="U1214" s="92">
        <f>IF(ISBLANK(P1214),"",IF(C1214="Buy",Q1214-M1214+T1214, IF(C1214="Sell",M1214-Q1214-T1214, X)))</f>
        <v/>
      </c>
      <c r="V1214" s="81">
        <f>IF(ISBLANK(P1214),"",U1214/N1214)</f>
        <v/>
      </c>
      <c r="W1214" s="81">
        <f>IF(ISBLANK(P1214),"",IF(S1214=0,(365/0.5)*V1214,(365/S1214)*V1214))</f>
        <v/>
      </c>
      <c r="X1214" s="75" t="n"/>
      <c r="Y1214" s="77" t="n"/>
      <c r="Z1214" s="77" t="n"/>
      <c r="AA1214" s="75" t="n"/>
      <c r="AB1214" s="75" t="n"/>
      <c r="AC1214" s="6" t="n"/>
      <c r="AD1214" s="75" t="n"/>
      <c r="AE1214" s="75" t="n"/>
      <c r="AF1214" s="75" t="n"/>
    </row>
    <row r="1215" ht="15.75" customHeight="1" s="133">
      <c r="A1215" s="75" t="n"/>
      <c r="B1215" s="75" t="n"/>
      <c r="C1215" s="75" t="n"/>
      <c r="D1215" s="75" t="n"/>
      <c r="E1215" s="76" t="n"/>
      <c r="F1215" s="77" t="n"/>
      <c r="G1215" s="75" t="n"/>
      <c r="H1215" s="75">
        <f>IF(ISBLANK(E1215),"",IF(OR(D1215="Butterfly",D1215="Butterfly ",D1215="Iron Fly", D1215="Iron Fly "),LEN(E1215)-LEN(SUBSTITUTE(E1215,"/",""))+2,LEN(E1215)-LEN(SUBSTITUTE(E1215,"/",""))+1))</f>
        <v/>
      </c>
      <c r="I1215" s="78">
        <f>IF(ISBLANK(G1215),"",IF(D1215="Stock","0",Key!$A$3*H1215*G1215))</f>
        <v/>
      </c>
      <c r="J1215" s="78">
        <f>IF(ISBLANK(E1215),"",IF(ISNUMBER(SEARCH("/",E1215)), IF(LEN(E1215)-LEN(SUBSTITUTE(E1215,"/",""))=1,(RIGHT(E1215,LEN(E1215)-FIND("/",E1215)))-(LEFT(E1215,FIND("/",E1215)-1)),(MID(E1215, SEARCH("/",E1215) + 1, SEARCH("/",E1215, SEARCH("/",E1215)+1) - SEARCH("/",E1215) - 1))-(LEFT(E1215,FIND("/",E1215)-1))), "NA"))</f>
        <v/>
      </c>
      <c r="K1215" s="79">
        <f>IF(A1215&lt;&gt;"", IF(ISBLANK(L1215), TODAY(), K1215), "")</f>
        <v/>
      </c>
      <c r="L1215" s="78" t="n"/>
      <c r="M1215" s="78">
        <f>IF(ISBLANK(L1215),"",IF(D1215="Stock",IF(C1215="Buy",L1215*G1215,IF(C1215="Sell",(L1215*G1215)-I1215, X)),IF(C1215="Buy",(L1215*G1215*100)+I1215,IF(C1215="Sell",(L1215*G1215*100)-I1215, X))))</f>
        <v/>
      </c>
      <c r="N1215" s="78">
        <f>IF(ISBLANK(L1215),"",IF(AND(C1215="Sell",D1215="Stock"),M1215,IF(ISBLANK(L1215),"",IF(C1215="Buy",M1215, IF(AND(C1215="Sell",J1215="NA"),(E1215*G1215*100*0.1)+I1215, IF(C1215="Sell",(J1215-L1215)*(100*G1215)+I1215))))))</f>
        <v/>
      </c>
      <c r="O1215" s="75" t="n"/>
      <c r="P1215" s="75" t="n"/>
      <c r="Q1215" s="75">
        <f>IF(ISBLANK(P1215),"",IF(D1215="Stock",P1215*G1215,IF(P1215=0,"0",G1215*P1215*100-(G1215*$AF$14))))</f>
        <v/>
      </c>
      <c r="R1215" s="79">
        <f>IF(P1215&lt;&gt;"", TODAY(), "")</f>
        <v/>
      </c>
      <c r="S1215" s="78">
        <f>IF(AND(K1215&lt;&gt;"", R1215&lt;&gt;""), R1215-K1215, "")</f>
        <v/>
      </c>
      <c r="T1215" s="78" t="n"/>
      <c r="U1215" s="92">
        <f>IF(ISBLANK(P1215),"",IF(C1215="Buy",Q1215-M1215+T1215, IF(C1215="Sell",M1215-Q1215-T1215, X)))</f>
        <v/>
      </c>
      <c r="V1215" s="81">
        <f>IF(ISBLANK(P1215),"",U1215/N1215)</f>
        <v/>
      </c>
      <c r="W1215" s="81">
        <f>IF(ISBLANK(P1215),"",IF(S1215=0,(365/0.5)*V1215,(365/S1215)*V1215))</f>
        <v/>
      </c>
      <c r="X1215" s="75" t="n"/>
      <c r="Y1215" s="77" t="n"/>
      <c r="Z1215" s="77" t="n"/>
      <c r="AA1215" s="75" t="n"/>
      <c r="AB1215" s="75" t="n"/>
      <c r="AC1215" s="6" t="n"/>
      <c r="AD1215" s="75" t="n"/>
      <c r="AE1215" s="75" t="n"/>
      <c r="AF1215" s="75" t="n"/>
    </row>
    <row r="1216" ht="15.75" customHeight="1" s="133">
      <c r="A1216" s="75" t="n"/>
      <c r="B1216" s="75" t="n"/>
      <c r="C1216" s="75" t="n"/>
      <c r="D1216" s="75" t="n"/>
      <c r="E1216" s="76" t="n"/>
      <c r="F1216" s="77" t="n"/>
      <c r="G1216" s="75" t="n"/>
      <c r="H1216" s="75">
        <f>IF(ISBLANK(E1216),"",IF(OR(D1216="Butterfly",D1216="Butterfly ",D1216="Iron Fly", D1216="Iron Fly "),LEN(E1216)-LEN(SUBSTITUTE(E1216,"/",""))+2,LEN(E1216)-LEN(SUBSTITUTE(E1216,"/",""))+1))</f>
        <v/>
      </c>
      <c r="I1216" s="78">
        <f>IF(ISBLANK(G1216),"",IF(D1216="Stock","0",Key!$A$3*H1216*G1216))</f>
        <v/>
      </c>
      <c r="J1216" s="78">
        <f>IF(ISBLANK(E1216),"",IF(ISNUMBER(SEARCH("/",E1216)), IF(LEN(E1216)-LEN(SUBSTITUTE(E1216,"/",""))=1,(RIGHT(E1216,LEN(E1216)-FIND("/",E1216)))-(LEFT(E1216,FIND("/",E1216)-1)),(MID(E1216, SEARCH("/",E1216) + 1, SEARCH("/",E1216, SEARCH("/",E1216)+1) - SEARCH("/",E1216) - 1))-(LEFT(E1216,FIND("/",E1216)-1))), "NA"))</f>
        <v/>
      </c>
      <c r="K1216" s="79">
        <f>IF(A1216&lt;&gt;"", IF(ISBLANK(L1216), TODAY(), K1216), "")</f>
        <v/>
      </c>
      <c r="L1216" s="78" t="n"/>
      <c r="M1216" s="78">
        <f>IF(ISBLANK(L1216),"",IF(D1216="Stock",IF(C1216="Buy",L1216*G1216,IF(C1216="Sell",(L1216*G1216)-I1216, X)),IF(C1216="Buy",(L1216*G1216*100)+I1216,IF(C1216="Sell",(L1216*G1216*100)-I1216, X))))</f>
        <v/>
      </c>
      <c r="N1216" s="78">
        <f>IF(ISBLANK(L1216),"",IF(AND(C1216="Sell",D1216="Stock"),M1216,IF(ISBLANK(L1216),"",IF(C1216="Buy",M1216, IF(AND(C1216="Sell",J1216="NA"),(E1216*G1216*100*0.1)+I1216, IF(C1216="Sell",(J1216-L1216)*(100*G1216)+I1216))))))</f>
        <v/>
      </c>
      <c r="O1216" s="75" t="n"/>
      <c r="P1216" s="75" t="n"/>
      <c r="Q1216" s="75">
        <f>IF(ISBLANK(P1216),"",IF(D1216="Stock",P1216*G1216,IF(P1216=0,"0",G1216*P1216*100-(G1216*$AF$14))))</f>
        <v/>
      </c>
      <c r="R1216" s="79">
        <f>IF(P1216&lt;&gt;"", TODAY(), "")</f>
        <v/>
      </c>
      <c r="S1216" s="78">
        <f>IF(AND(K1216&lt;&gt;"", R1216&lt;&gt;""), R1216-K1216, "")</f>
        <v/>
      </c>
      <c r="T1216" s="78" t="n"/>
      <c r="U1216" s="92">
        <f>IF(ISBLANK(P1216),"",IF(C1216="Buy",Q1216-M1216+T1216, IF(C1216="Sell",M1216-Q1216-T1216, X)))</f>
        <v/>
      </c>
      <c r="V1216" s="81">
        <f>IF(ISBLANK(P1216),"",U1216/N1216)</f>
        <v/>
      </c>
      <c r="W1216" s="81">
        <f>IF(ISBLANK(P1216),"",IF(S1216=0,(365/0.5)*V1216,(365/S1216)*V1216))</f>
        <v/>
      </c>
      <c r="X1216" s="75" t="n"/>
      <c r="Y1216" s="77" t="n"/>
      <c r="Z1216" s="77" t="n"/>
      <c r="AA1216" s="75" t="n"/>
      <c r="AB1216" s="75" t="n"/>
      <c r="AC1216" s="6" t="n"/>
      <c r="AD1216" s="75" t="n"/>
      <c r="AE1216" s="75" t="n"/>
      <c r="AF1216" s="75" t="n"/>
    </row>
    <row r="1217" ht="15.75" customHeight="1" s="133">
      <c r="A1217" s="75" t="n"/>
      <c r="B1217" s="75" t="n"/>
      <c r="C1217" s="75" t="n"/>
      <c r="D1217" s="75" t="n"/>
      <c r="E1217" s="76" t="n"/>
      <c r="F1217" s="77" t="n"/>
      <c r="G1217" s="75" t="n"/>
      <c r="H1217" s="75">
        <f>IF(ISBLANK(E1217),"",IF(OR(D1217="Butterfly",D1217="Butterfly ",D1217="Iron Fly", D1217="Iron Fly "),LEN(E1217)-LEN(SUBSTITUTE(E1217,"/",""))+2,LEN(E1217)-LEN(SUBSTITUTE(E1217,"/",""))+1))</f>
        <v/>
      </c>
      <c r="I1217" s="78">
        <f>IF(ISBLANK(G1217),"",IF(D1217="Stock","0",Key!$A$3*H1217*G1217))</f>
        <v/>
      </c>
      <c r="J1217" s="78">
        <f>IF(ISBLANK(E1217),"",IF(ISNUMBER(SEARCH("/",E1217)), IF(LEN(E1217)-LEN(SUBSTITUTE(E1217,"/",""))=1,(RIGHT(E1217,LEN(E1217)-FIND("/",E1217)))-(LEFT(E1217,FIND("/",E1217)-1)),(MID(E1217, SEARCH("/",E1217) + 1, SEARCH("/",E1217, SEARCH("/",E1217)+1) - SEARCH("/",E1217) - 1))-(LEFT(E1217,FIND("/",E1217)-1))), "NA"))</f>
        <v/>
      </c>
      <c r="K1217" s="79">
        <f>IF(A1217&lt;&gt;"", IF(ISBLANK(L1217), TODAY(), K1217), "")</f>
        <v/>
      </c>
      <c r="L1217" s="78" t="n"/>
      <c r="M1217" s="78">
        <f>IF(ISBLANK(L1217),"",IF(D1217="Stock",IF(C1217="Buy",L1217*G1217,IF(C1217="Sell",(L1217*G1217)-I1217, X)),IF(C1217="Buy",(L1217*G1217*100)+I1217,IF(C1217="Sell",(L1217*G1217*100)-I1217, X))))</f>
        <v/>
      </c>
      <c r="N1217" s="78">
        <f>IF(ISBLANK(L1217),"",IF(AND(C1217="Sell",D1217="Stock"),M1217,IF(ISBLANK(L1217),"",IF(C1217="Buy",M1217, IF(AND(C1217="Sell",J1217="NA"),(E1217*G1217*100*0.1)+I1217, IF(C1217="Sell",(J1217-L1217)*(100*G1217)+I1217))))))</f>
        <v/>
      </c>
      <c r="O1217" s="75" t="n"/>
      <c r="P1217" s="75" t="n"/>
      <c r="Q1217" s="75">
        <f>IF(ISBLANK(P1217),"",IF(D1217="Stock",P1217*G1217,IF(P1217=0,"0",G1217*P1217*100-(G1217*$AF$14))))</f>
        <v/>
      </c>
      <c r="R1217" s="79">
        <f>IF(P1217&lt;&gt;"", TODAY(), "")</f>
        <v/>
      </c>
      <c r="S1217" s="78">
        <f>IF(AND(K1217&lt;&gt;"", R1217&lt;&gt;""), R1217-K1217, "")</f>
        <v/>
      </c>
      <c r="T1217" s="78" t="n"/>
      <c r="U1217" s="92">
        <f>IF(ISBLANK(P1217),"",IF(C1217="Buy",Q1217-M1217+T1217, IF(C1217="Sell",M1217-Q1217-T1217, X)))</f>
        <v/>
      </c>
      <c r="V1217" s="81">
        <f>IF(ISBLANK(P1217),"",U1217/N1217)</f>
        <v/>
      </c>
      <c r="W1217" s="81">
        <f>IF(ISBLANK(P1217),"",IF(S1217=0,(365/0.5)*V1217,(365/S1217)*V1217))</f>
        <v/>
      </c>
      <c r="X1217" s="75" t="n"/>
      <c r="Y1217" s="77" t="n"/>
      <c r="Z1217" s="77" t="n"/>
      <c r="AA1217" s="75" t="n"/>
      <c r="AB1217" s="75" t="n"/>
      <c r="AC1217" s="6" t="n"/>
      <c r="AD1217" s="75" t="n"/>
      <c r="AE1217" s="75" t="n"/>
      <c r="AF1217" s="75" t="n"/>
    </row>
    <row r="1218" ht="15.75" customHeight="1" s="133">
      <c r="A1218" s="75" t="n"/>
      <c r="B1218" s="75" t="n"/>
      <c r="C1218" s="75" t="n"/>
      <c r="D1218" s="75" t="n"/>
      <c r="E1218" s="76" t="n"/>
      <c r="F1218" s="77" t="n"/>
      <c r="G1218" s="75" t="n"/>
      <c r="H1218" s="75">
        <f>IF(ISBLANK(E1218),"",IF(OR(D1218="Butterfly",D1218="Butterfly ",D1218="Iron Fly", D1218="Iron Fly "),LEN(E1218)-LEN(SUBSTITUTE(E1218,"/",""))+2,LEN(E1218)-LEN(SUBSTITUTE(E1218,"/",""))+1))</f>
        <v/>
      </c>
      <c r="I1218" s="78">
        <f>IF(ISBLANK(G1218),"",IF(D1218="Stock","0",Key!$A$3*H1218*G1218))</f>
        <v/>
      </c>
      <c r="J1218" s="78">
        <f>IF(ISBLANK(E1218),"",IF(ISNUMBER(SEARCH("/",E1218)), IF(LEN(E1218)-LEN(SUBSTITUTE(E1218,"/",""))=1,(RIGHT(E1218,LEN(E1218)-FIND("/",E1218)))-(LEFT(E1218,FIND("/",E1218)-1)),(MID(E1218, SEARCH("/",E1218) + 1, SEARCH("/",E1218, SEARCH("/",E1218)+1) - SEARCH("/",E1218) - 1))-(LEFT(E1218,FIND("/",E1218)-1))), "NA"))</f>
        <v/>
      </c>
      <c r="K1218" s="79">
        <f>IF(A1218&lt;&gt;"", IF(ISBLANK(L1218), TODAY(), K1218), "")</f>
        <v/>
      </c>
      <c r="L1218" s="78" t="n"/>
      <c r="M1218" s="78">
        <f>IF(ISBLANK(L1218),"",IF(D1218="Stock",IF(C1218="Buy",L1218*G1218,IF(C1218="Sell",(L1218*G1218)-I1218, X)),IF(C1218="Buy",(L1218*G1218*100)+I1218,IF(C1218="Sell",(L1218*G1218*100)-I1218, X))))</f>
        <v/>
      </c>
      <c r="N1218" s="78">
        <f>IF(ISBLANK(L1218),"",IF(AND(C1218="Sell",D1218="Stock"),M1218,IF(ISBLANK(L1218),"",IF(C1218="Buy",M1218, IF(AND(C1218="Sell",J1218="NA"),(E1218*G1218*100*0.1)+I1218, IF(C1218="Sell",(J1218-L1218)*(100*G1218)+I1218))))))</f>
        <v/>
      </c>
      <c r="O1218" s="75" t="n"/>
      <c r="P1218" s="75" t="n"/>
      <c r="Q1218" s="75">
        <f>IF(ISBLANK(P1218),"",IF(D1218="Stock",P1218*G1218,IF(P1218=0,"0",G1218*P1218*100-(G1218*$AF$14))))</f>
        <v/>
      </c>
      <c r="R1218" s="79">
        <f>IF(P1218&lt;&gt;"", TODAY(), "")</f>
        <v/>
      </c>
      <c r="S1218" s="78">
        <f>IF(AND(K1218&lt;&gt;"", R1218&lt;&gt;""), R1218-K1218, "")</f>
        <v/>
      </c>
      <c r="T1218" s="78" t="n"/>
      <c r="U1218" s="92">
        <f>IF(ISBLANK(P1218),"",IF(C1218="Buy",Q1218-M1218+T1218, IF(C1218="Sell",M1218-Q1218-T1218, X)))</f>
        <v/>
      </c>
      <c r="V1218" s="81">
        <f>IF(ISBLANK(P1218),"",U1218/N1218)</f>
        <v/>
      </c>
      <c r="W1218" s="81">
        <f>IF(ISBLANK(P1218),"",IF(S1218=0,(365/0.5)*V1218,(365/S1218)*V1218))</f>
        <v/>
      </c>
      <c r="X1218" s="75" t="n"/>
      <c r="Y1218" s="77" t="n"/>
      <c r="Z1218" s="77" t="n"/>
      <c r="AA1218" s="75" t="n"/>
      <c r="AB1218" s="75" t="n"/>
      <c r="AC1218" s="6" t="n"/>
      <c r="AD1218" s="75" t="n"/>
      <c r="AE1218" s="75" t="n"/>
      <c r="AF1218" s="75" t="n"/>
    </row>
    <row r="1219" ht="15.75" customHeight="1" s="133">
      <c r="A1219" s="75" t="n"/>
      <c r="B1219" s="75" t="n"/>
      <c r="C1219" s="75" t="n"/>
      <c r="D1219" s="75" t="n"/>
      <c r="E1219" s="76" t="n"/>
      <c r="F1219" s="77" t="n"/>
      <c r="G1219" s="75" t="n"/>
      <c r="H1219" s="75">
        <f>IF(ISBLANK(E1219),"",IF(OR(D1219="Butterfly",D1219="Butterfly ",D1219="Iron Fly", D1219="Iron Fly "),LEN(E1219)-LEN(SUBSTITUTE(E1219,"/",""))+2,LEN(E1219)-LEN(SUBSTITUTE(E1219,"/",""))+1))</f>
        <v/>
      </c>
      <c r="I1219" s="78">
        <f>IF(ISBLANK(G1219),"",IF(D1219="Stock","0",Key!$A$3*H1219*G1219))</f>
        <v/>
      </c>
      <c r="J1219" s="78">
        <f>IF(ISBLANK(E1219),"",IF(ISNUMBER(SEARCH("/",E1219)), IF(LEN(E1219)-LEN(SUBSTITUTE(E1219,"/",""))=1,(RIGHT(E1219,LEN(E1219)-FIND("/",E1219)))-(LEFT(E1219,FIND("/",E1219)-1)),(MID(E1219, SEARCH("/",E1219) + 1, SEARCH("/",E1219, SEARCH("/",E1219)+1) - SEARCH("/",E1219) - 1))-(LEFT(E1219,FIND("/",E1219)-1))), "NA"))</f>
        <v/>
      </c>
      <c r="K1219" s="79">
        <f>IF(A1219&lt;&gt;"", IF(ISBLANK(L1219), TODAY(), K1219), "")</f>
        <v/>
      </c>
      <c r="L1219" s="78" t="n"/>
      <c r="M1219" s="78">
        <f>IF(ISBLANK(L1219),"",IF(D1219="Stock",IF(C1219="Buy",L1219*G1219,IF(C1219="Sell",(L1219*G1219)-I1219, X)),IF(C1219="Buy",(L1219*G1219*100)+I1219,IF(C1219="Sell",(L1219*G1219*100)-I1219, X))))</f>
        <v/>
      </c>
      <c r="N1219" s="78">
        <f>IF(ISBLANK(L1219),"",IF(AND(C1219="Sell",D1219="Stock"),M1219,IF(ISBLANK(L1219),"",IF(C1219="Buy",M1219, IF(AND(C1219="Sell",J1219="NA"),(E1219*G1219*100*0.1)+I1219, IF(C1219="Sell",(J1219-L1219)*(100*G1219)+I1219))))))</f>
        <v/>
      </c>
      <c r="O1219" s="75" t="n"/>
      <c r="P1219" s="75" t="n"/>
      <c r="Q1219" s="75">
        <f>IF(ISBLANK(P1219),"",IF(D1219="Stock",P1219*G1219,IF(P1219=0,"0",G1219*P1219*100-(G1219*$AF$14))))</f>
        <v/>
      </c>
      <c r="R1219" s="79">
        <f>IF(P1219&lt;&gt;"", TODAY(), "")</f>
        <v/>
      </c>
      <c r="S1219" s="78">
        <f>IF(AND(K1219&lt;&gt;"", R1219&lt;&gt;""), R1219-K1219, "")</f>
        <v/>
      </c>
      <c r="T1219" s="78" t="n"/>
      <c r="U1219" s="92">
        <f>IF(ISBLANK(P1219),"",IF(C1219="Buy",Q1219-M1219+T1219, IF(C1219="Sell",M1219-Q1219-T1219, X)))</f>
        <v/>
      </c>
      <c r="V1219" s="81">
        <f>IF(ISBLANK(P1219),"",U1219/N1219)</f>
        <v/>
      </c>
      <c r="W1219" s="81">
        <f>IF(ISBLANK(P1219),"",IF(S1219=0,(365/0.5)*V1219,(365/S1219)*V1219))</f>
        <v/>
      </c>
      <c r="X1219" s="75" t="n"/>
      <c r="Y1219" s="77" t="n"/>
      <c r="Z1219" s="77" t="n"/>
      <c r="AA1219" s="75" t="n"/>
      <c r="AB1219" s="75" t="n"/>
      <c r="AC1219" s="6" t="n"/>
      <c r="AD1219" s="75" t="n"/>
      <c r="AE1219" s="75" t="n"/>
      <c r="AF1219" s="75" t="n"/>
    </row>
    <row r="1220" ht="15.75" customHeight="1" s="133">
      <c r="A1220" s="75" t="n"/>
      <c r="B1220" s="75" t="n"/>
      <c r="C1220" s="75" t="n"/>
      <c r="D1220" s="75" t="n"/>
      <c r="E1220" s="76" t="n"/>
      <c r="F1220" s="77" t="n"/>
      <c r="G1220" s="75" t="n"/>
      <c r="H1220" s="75">
        <f>IF(ISBLANK(E1220),"",IF(OR(D1220="Butterfly",D1220="Butterfly ",D1220="Iron Fly", D1220="Iron Fly "),LEN(E1220)-LEN(SUBSTITUTE(E1220,"/",""))+2,LEN(E1220)-LEN(SUBSTITUTE(E1220,"/",""))+1))</f>
        <v/>
      </c>
      <c r="I1220" s="78">
        <f>IF(ISBLANK(G1220),"",IF(D1220="Stock","0",Key!$A$3*H1220*G1220))</f>
        <v/>
      </c>
      <c r="J1220" s="78">
        <f>IF(ISBLANK(E1220),"",IF(ISNUMBER(SEARCH("/",E1220)), IF(LEN(E1220)-LEN(SUBSTITUTE(E1220,"/",""))=1,(RIGHT(E1220,LEN(E1220)-FIND("/",E1220)))-(LEFT(E1220,FIND("/",E1220)-1)),(MID(E1220, SEARCH("/",E1220) + 1, SEARCH("/",E1220, SEARCH("/",E1220)+1) - SEARCH("/",E1220) - 1))-(LEFT(E1220,FIND("/",E1220)-1))), "NA"))</f>
        <v/>
      </c>
      <c r="K1220" s="79">
        <f>IF(A1220&lt;&gt;"", IF(ISBLANK(L1220), TODAY(), K1220), "")</f>
        <v/>
      </c>
      <c r="L1220" s="78" t="n"/>
      <c r="M1220" s="78">
        <f>IF(ISBLANK(L1220),"",IF(D1220="Stock",IF(C1220="Buy",L1220*G1220,IF(C1220="Sell",(L1220*G1220)-I1220, X)),IF(C1220="Buy",(L1220*G1220*100)+I1220,IF(C1220="Sell",(L1220*G1220*100)-I1220, X))))</f>
        <v/>
      </c>
      <c r="N1220" s="78">
        <f>IF(ISBLANK(L1220),"",IF(AND(C1220="Sell",D1220="Stock"),M1220,IF(ISBLANK(L1220),"",IF(C1220="Buy",M1220, IF(AND(C1220="Sell",J1220="NA"),(E1220*G1220*100*0.1)+I1220, IF(C1220="Sell",(J1220-L1220)*(100*G1220)+I1220))))))</f>
        <v/>
      </c>
      <c r="O1220" s="75" t="n"/>
      <c r="P1220" s="75" t="n"/>
      <c r="Q1220" s="75">
        <f>IF(ISBLANK(P1220),"",IF(D1220="Stock",P1220*G1220,IF(P1220=0,"0",G1220*P1220*100-(G1220*$AF$14))))</f>
        <v/>
      </c>
      <c r="R1220" s="79">
        <f>IF(P1220&lt;&gt;"", TODAY(), "")</f>
        <v/>
      </c>
      <c r="S1220" s="78">
        <f>IF(AND(K1220&lt;&gt;"", R1220&lt;&gt;""), R1220-K1220, "")</f>
        <v/>
      </c>
      <c r="T1220" s="78" t="n"/>
      <c r="U1220" s="92">
        <f>IF(ISBLANK(P1220),"",IF(C1220="Buy",Q1220-M1220+T1220, IF(C1220="Sell",M1220-Q1220-T1220, X)))</f>
        <v/>
      </c>
      <c r="V1220" s="81">
        <f>IF(ISBLANK(P1220),"",U1220/N1220)</f>
        <v/>
      </c>
      <c r="W1220" s="81">
        <f>IF(ISBLANK(P1220),"",IF(S1220=0,(365/0.5)*V1220,(365/S1220)*V1220))</f>
        <v/>
      </c>
      <c r="X1220" s="75" t="n"/>
      <c r="Y1220" s="77" t="n"/>
      <c r="Z1220" s="77" t="n"/>
      <c r="AA1220" s="75" t="n"/>
      <c r="AB1220" s="75" t="n"/>
      <c r="AC1220" s="6" t="n"/>
      <c r="AD1220" s="75" t="n"/>
      <c r="AE1220" s="75" t="n"/>
      <c r="AF1220" s="75" t="n"/>
    </row>
    <row r="1221" ht="15.75" customHeight="1" s="133">
      <c r="A1221" s="75" t="n"/>
      <c r="B1221" s="75" t="n"/>
      <c r="C1221" s="75" t="n"/>
      <c r="D1221" s="75" t="n"/>
      <c r="E1221" s="76" t="n"/>
      <c r="F1221" s="77" t="n"/>
      <c r="G1221" s="75" t="n"/>
      <c r="H1221" s="75">
        <f>IF(ISBLANK(E1221),"",IF(OR(D1221="Butterfly",D1221="Butterfly ",D1221="Iron Fly", D1221="Iron Fly "),LEN(E1221)-LEN(SUBSTITUTE(E1221,"/",""))+2,LEN(E1221)-LEN(SUBSTITUTE(E1221,"/",""))+1))</f>
        <v/>
      </c>
      <c r="I1221" s="78">
        <f>IF(ISBLANK(G1221),"",IF(D1221="Stock","0",Key!$A$3*H1221*G1221))</f>
        <v/>
      </c>
      <c r="J1221" s="78">
        <f>IF(ISBLANK(E1221),"",IF(ISNUMBER(SEARCH("/",E1221)), IF(LEN(E1221)-LEN(SUBSTITUTE(E1221,"/",""))=1,(RIGHT(E1221,LEN(E1221)-FIND("/",E1221)))-(LEFT(E1221,FIND("/",E1221)-1)),(MID(E1221, SEARCH("/",E1221) + 1, SEARCH("/",E1221, SEARCH("/",E1221)+1) - SEARCH("/",E1221) - 1))-(LEFT(E1221,FIND("/",E1221)-1))), "NA"))</f>
        <v/>
      </c>
      <c r="K1221" s="79">
        <f>IF(A1221&lt;&gt;"", IF(ISBLANK(L1221), TODAY(), K1221), "")</f>
        <v/>
      </c>
      <c r="L1221" s="78" t="n"/>
      <c r="M1221" s="78">
        <f>IF(ISBLANK(L1221),"",IF(D1221="Stock",IF(C1221="Buy",L1221*G1221,IF(C1221="Sell",(L1221*G1221)-I1221, X)),IF(C1221="Buy",(L1221*G1221*100)+I1221,IF(C1221="Sell",(L1221*G1221*100)-I1221, X))))</f>
        <v/>
      </c>
      <c r="N1221" s="78">
        <f>IF(ISBLANK(L1221),"",IF(AND(C1221="Sell",D1221="Stock"),M1221,IF(ISBLANK(L1221),"",IF(C1221="Buy",M1221, IF(AND(C1221="Sell",J1221="NA"),(E1221*G1221*100*0.1)+I1221, IF(C1221="Sell",(J1221-L1221)*(100*G1221)+I1221))))))</f>
        <v/>
      </c>
      <c r="O1221" s="75" t="n"/>
      <c r="P1221" s="75" t="n"/>
      <c r="Q1221" s="75">
        <f>IF(ISBLANK(P1221),"",IF(D1221="Stock",P1221*G1221,IF(P1221=0,"0",G1221*P1221*100-(G1221*$AF$14))))</f>
        <v/>
      </c>
      <c r="R1221" s="79">
        <f>IF(P1221&lt;&gt;"", TODAY(), "")</f>
        <v/>
      </c>
      <c r="S1221" s="78">
        <f>IF(AND(K1221&lt;&gt;"", R1221&lt;&gt;""), R1221-K1221, "")</f>
        <v/>
      </c>
      <c r="T1221" s="78" t="n"/>
      <c r="U1221" s="92">
        <f>IF(ISBLANK(P1221),"",IF(C1221="Buy",Q1221-M1221+T1221, IF(C1221="Sell",M1221-Q1221-T1221, X)))</f>
        <v/>
      </c>
      <c r="V1221" s="81">
        <f>IF(ISBLANK(P1221),"",U1221/N1221)</f>
        <v/>
      </c>
      <c r="W1221" s="81">
        <f>IF(ISBLANK(P1221),"",IF(S1221=0,(365/0.5)*V1221,(365/S1221)*V1221))</f>
        <v/>
      </c>
      <c r="X1221" s="75" t="n"/>
      <c r="Y1221" s="77" t="n"/>
      <c r="Z1221" s="77" t="n"/>
      <c r="AA1221" s="75" t="n"/>
      <c r="AB1221" s="75" t="n"/>
      <c r="AC1221" s="6" t="n"/>
      <c r="AD1221" s="75" t="n"/>
      <c r="AE1221" s="75" t="n"/>
      <c r="AF1221" s="75" t="n"/>
    </row>
    <row r="1222" ht="15.75" customHeight="1" s="133">
      <c r="A1222" s="75" t="n"/>
      <c r="B1222" s="75" t="n"/>
      <c r="C1222" s="75" t="n"/>
      <c r="D1222" s="75" t="n"/>
      <c r="E1222" s="76" t="n"/>
      <c r="F1222" s="77" t="n"/>
      <c r="G1222" s="75" t="n"/>
      <c r="H1222" s="75">
        <f>IF(ISBLANK(E1222),"",IF(OR(D1222="Butterfly",D1222="Butterfly ",D1222="Iron Fly", D1222="Iron Fly "),LEN(E1222)-LEN(SUBSTITUTE(E1222,"/",""))+2,LEN(E1222)-LEN(SUBSTITUTE(E1222,"/",""))+1))</f>
        <v/>
      </c>
      <c r="I1222" s="78">
        <f>IF(ISBLANK(G1222),"",IF(D1222="Stock","0",Key!$A$3*H1222*G1222))</f>
        <v/>
      </c>
      <c r="J1222" s="78">
        <f>IF(ISBLANK(E1222),"",IF(ISNUMBER(SEARCH("/",E1222)), IF(LEN(E1222)-LEN(SUBSTITUTE(E1222,"/",""))=1,(RIGHT(E1222,LEN(E1222)-FIND("/",E1222)))-(LEFT(E1222,FIND("/",E1222)-1)),(MID(E1222, SEARCH("/",E1222) + 1, SEARCH("/",E1222, SEARCH("/",E1222)+1) - SEARCH("/",E1222) - 1))-(LEFT(E1222,FIND("/",E1222)-1))), "NA"))</f>
        <v/>
      </c>
      <c r="K1222" s="79">
        <f>IF(A1222&lt;&gt;"", IF(ISBLANK(L1222), TODAY(), K1222), "")</f>
        <v/>
      </c>
      <c r="L1222" s="78" t="n"/>
      <c r="M1222" s="78">
        <f>IF(ISBLANK(L1222),"",IF(D1222="Stock",IF(C1222="Buy",L1222*G1222,IF(C1222="Sell",(L1222*G1222)-I1222, X)),IF(C1222="Buy",(L1222*G1222*100)+I1222,IF(C1222="Sell",(L1222*G1222*100)-I1222, X))))</f>
        <v/>
      </c>
      <c r="N1222" s="78">
        <f>IF(ISBLANK(L1222),"",IF(AND(C1222="Sell",D1222="Stock"),M1222,IF(ISBLANK(L1222),"",IF(C1222="Buy",M1222, IF(AND(C1222="Sell",J1222="NA"),(E1222*G1222*100*0.1)+I1222, IF(C1222="Sell",(J1222-L1222)*(100*G1222)+I1222))))))</f>
        <v/>
      </c>
      <c r="O1222" s="75" t="n"/>
      <c r="P1222" s="75" t="n"/>
      <c r="Q1222" s="75">
        <f>IF(ISBLANK(P1222),"",IF(D1222="Stock",P1222*G1222,IF(P1222=0,"0",G1222*P1222*100-(G1222*$AF$14))))</f>
        <v/>
      </c>
      <c r="R1222" s="79">
        <f>IF(P1222&lt;&gt;"", TODAY(), "")</f>
        <v/>
      </c>
      <c r="S1222" s="78">
        <f>IF(AND(K1222&lt;&gt;"", R1222&lt;&gt;""), R1222-K1222, "")</f>
        <v/>
      </c>
      <c r="T1222" s="78" t="n"/>
      <c r="U1222" s="92">
        <f>IF(ISBLANK(P1222),"",IF(C1222="Buy",Q1222-M1222+T1222, IF(C1222="Sell",M1222-Q1222-T1222, X)))</f>
        <v/>
      </c>
      <c r="V1222" s="81">
        <f>IF(ISBLANK(P1222),"",U1222/N1222)</f>
        <v/>
      </c>
      <c r="W1222" s="81">
        <f>IF(ISBLANK(P1222),"",IF(S1222=0,(365/0.5)*V1222,(365/S1222)*V1222))</f>
        <v/>
      </c>
      <c r="X1222" s="75" t="n"/>
      <c r="Y1222" s="77" t="n"/>
      <c r="Z1222" s="77" t="n"/>
      <c r="AA1222" s="75" t="n"/>
      <c r="AB1222" s="75" t="n"/>
      <c r="AC1222" s="6" t="n"/>
      <c r="AD1222" s="75" t="n"/>
      <c r="AE1222" s="75" t="n"/>
      <c r="AF1222" s="75" t="n"/>
    </row>
    <row r="1223" ht="15.75" customHeight="1" s="133">
      <c r="A1223" s="75" t="n"/>
      <c r="B1223" s="75" t="n"/>
      <c r="C1223" s="75" t="n"/>
      <c r="D1223" s="75" t="n"/>
      <c r="E1223" s="76" t="n"/>
      <c r="F1223" s="77" t="n"/>
      <c r="G1223" s="75" t="n"/>
      <c r="H1223" s="75">
        <f>IF(ISBLANK(E1223),"",IF(OR(D1223="Butterfly",D1223="Butterfly ",D1223="Iron Fly", D1223="Iron Fly "),LEN(E1223)-LEN(SUBSTITUTE(E1223,"/",""))+2,LEN(E1223)-LEN(SUBSTITUTE(E1223,"/",""))+1))</f>
        <v/>
      </c>
      <c r="I1223" s="78">
        <f>IF(ISBLANK(G1223),"",IF(D1223="Stock","0",Key!$A$3*H1223*G1223))</f>
        <v/>
      </c>
      <c r="J1223" s="78">
        <f>IF(ISBLANK(E1223),"",IF(ISNUMBER(SEARCH("/",E1223)), IF(LEN(E1223)-LEN(SUBSTITUTE(E1223,"/",""))=1,(RIGHT(E1223,LEN(E1223)-FIND("/",E1223)))-(LEFT(E1223,FIND("/",E1223)-1)),(MID(E1223, SEARCH("/",E1223) + 1, SEARCH("/",E1223, SEARCH("/",E1223)+1) - SEARCH("/",E1223) - 1))-(LEFT(E1223,FIND("/",E1223)-1))), "NA"))</f>
        <v/>
      </c>
      <c r="K1223" s="79">
        <f>IF(A1223&lt;&gt;"", IF(ISBLANK(L1223), TODAY(), K1223), "")</f>
        <v/>
      </c>
      <c r="L1223" s="78" t="n"/>
      <c r="M1223" s="78">
        <f>IF(ISBLANK(L1223),"",IF(D1223="Stock",IF(C1223="Buy",L1223*G1223,IF(C1223="Sell",(L1223*G1223)-I1223, X)),IF(C1223="Buy",(L1223*G1223*100)+I1223,IF(C1223="Sell",(L1223*G1223*100)-I1223, X))))</f>
        <v/>
      </c>
      <c r="N1223" s="78">
        <f>IF(ISBLANK(L1223),"",IF(AND(C1223="Sell",D1223="Stock"),M1223,IF(ISBLANK(L1223),"",IF(C1223="Buy",M1223, IF(AND(C1223="Sell",J1223="NA"),(E1223*G1223*100*0.1)+I1223, IF(C1223="Sell",(J1223-L1223)*(100*G1223)+I1223))))))</f>
        <v/>
      </c>
      <c r="O1223" s="75" t="n"/>
      <c r="P1223" s="75" t="n"/>
      <c r="Q1223" s="75">
        <f>IF(ISBLANK(P1223),"",IF(D1223="Stock",P1223*G1223,IF(P1223=0,"0",G1223*P1223*100-(G1223*$AF$14))))</f>
        <v/>
      </c>
      <c r="R1223" s="79">
        <f>IF(P1223&lt;&gt;"", TODAY(), "")</f>
        <v/>
      </c>
      <c r="S1223" s="78">
        <f>IF(AND(K1223&lt;&gt;"", R1223&lt;&gt;""), R1223-K1223, "")</f>
        <v/>
      </c>
      <c r="T1223" s="78" t="n"/>
      <c r="U1223" s="92">
        <f>IF(ISBLANK(P1223),"",IF(C1223="Buy",Q1223-M1223+T1223, IF(C1223="Sell",M1223-Q1223-T1223, X)))</f>
        <v/>
      </c>
      <c r="V1223" s="81">
        <f>IF(ISBLANK(P1223),"",U1223/N1223)</f>
        <v/>
      </c>
      <c r="W1223" s="81">
        <f>IF(ISBLANK(P1223),"",IF(S1223=0,(365/0.5)*V1223,(365/S1223)*V1223))</f>
        <v/>
      </c>
      <c r="X1223" s="75" t="n"/>
      <c r="Y1223" s="77" t="n"/>
      <c r="Z1223" s="77" t="n"/>
      <c r="AA1223" s="75" t="n"/>
      <c r="AB1223" s="75" t="n"/>
      <c r="AC1223" s="6" t="n"/>
      <c r="AD1223" s="75" t="n"/>
      <c r="AE1223" s="75" t="n"/>
      <c r="AF1223" s="75" t="n"/>
    </row>
    <row r="1224" ht="15.75" customHeight="1" s="133">
      <c r="A1224" s="75" t="n"/>
      <c r="B1224" s="75" t="n"/>
      <c r="C1224" s="75" t="n"/>
      <c r="D1224" s="75" t="n"/>
      <c r="E1224" s="76" t="n"/>
      <c r="F1224" s="77" t="n"/>
      <c r="G1224" s="75" t="n"/>
      <c r="H1224" s="75">
        <f>IF(ISBLANK(E1224),"",IF(OR(D1224="Butterfly",D1224="Butterfly ",D1224="Iron Fly", D1224="Iron Fly "),LEN(E1224)-LEN(SUBSTITUTE(E1224,"/",""))+2,LEN(E1224)-LEN(SUBSTITUTE(E1224,"/",""))+1))</f>
        <v/>
      </c>
      <c r="I1224" s="78">
        <f>IF(ISBLANK(G1224),"",IF(D1224="Stock","0",Key!$A$3*H1224*G1224))</f>
        <v/>
      </c>
      <c r="J1224" s="78">
        <f>IF(ISBLANK(E1224),"",IF(ISNUMBER(SEARCH("/",E1224)), IF(LEN(E1224)-LEN(SUBSTITUTE(E1224,"/",""))=1,(RIGHT(E1224,LEN(E1224)-FIND("/",E1224)))-(LEFT(E1224,FIND("/",E1224)-1)),(MID(E1224, SEARCH("/",E1224) + 1, SEARCH("/",E1224, SEARCH("/",E1224)+1) - SEARCH("/",E1224) - 1))-(LEFT(E1224,FIND("/",E1224)-1))), "NA"))</f>
        <v/>
      </c>
      <c r="K1224" s="79">
        <f>IF(A1224&lt;&gt;"", IF(ISBLANK(L1224), TODAY(), K1224), "")</f>
        <v/>
      </c>
      <c r="L1224" s="78" t="n"/>
      <c r="M1224" s="78">
        <f>IF(ISBLANK(L1224),"",IF(D1224="Stock",IF(C1224="Buy",L1224*G1224,IF(C1224="Sell",(L1224*G1224)-I1224, X)),IF(C1224="Buy",(L1224*G1224*100)+I1224,IF(C1224="Sell",(L1224*G1224*100)-I1224, X))))</f>
        <v/>
      </c>
      <c r="N1224" s="78">
        <f>IF(ISBLANK(L1224),"",IF(AND(C1224="Sell",D1224="Stock"),M1224,IF(ISBLANK(L1224),"",IF(C1224="Buy",M1224, IF(AND(C1224="Sell",J1224="NA"),(E1224*G1224*100*0.1)+I1224, IF(C1224="Sell",(J1224-L1224)*(100*G1224)+I1224))))))</f>
        <v/>
      </c>
      <c r="O1224" s="75" t="n"/>
      <c r="P1224" s="75" t="n"/>
      <c r="Q1224" s="75">
        <f>IF(ISBLANK(P1224),"",IF(D1224="Stock",P1224*G1224,IF(P1224=0,"0",G1224*P1224*100-(G1224*$AF$14))))</f>
        <v/>
      </c>
      <c r="R1224" s="79">
        <f>IF(P1224&lt;&gt;"", TODAY(), "")</f>
        <v/>
      </c>
      <c r="S1224" s="78">
        <f>IF(AND(K1224&lt;&gt;"", R1224&lt;&gt;""), R1224-K1224, "")</f>
        <v/>
      </c>
      <c r="T1224" s="78" t="n"/>
      <c r="U1224" s="92">
        <f>IF(ISBLANK(P1224),"",IF(C1224="Buy",Q1224-M1224+T1224, IF(C1224="Sell",M1224-Q1224-T1224, X)))</f>
        <v/>
      </c>
      <c r="V1224" s="81">
        <f>IF(ISBLANK(P1224),"",U1224/N1224)</f>
        <v/>
      </c>
      <c r="W1224" s="81">
        <f>IF(ISBLANK(P1224),"",IF(S1224=0,(365/0.5)*V1224,(365/S1224)*V1224))</f>
        <v/>
      </c>
      <c r="X1224" s="75" t="n"/>
      <c r="Y1224" s="77" t="n"/>
      <c r="Z1224" s="77" t="n"/>
      <c r="AA1224" s="75" t="n"/>
      <c r="AB1224" s="75" t="n"/>
      <c r="AC1224" s="6" t="n"/>
      <c r="AD1224" s="75" t="n"/>
      <c r="AE1224" s="75" t="n"/>
      <c r="AF1224" s="75" t="n"/>
    </row>
    <row r="1225" ht="15.75" customHeight="1" s="133">
      <c r="A1225" s="75" t="n"/>
      <c r="B1225" s="75" t="n"/>
      <c r="C1225" s="75" t="n"/>
      <c r="D1225" s="75" t="n"/>
      <c r="E1225" s="76" t="n"/>
      <c r="F1225" s="77" t="n"/>
      <c r="G1225" s="75" t="n"/>
      <c r="H1225" s="75">
        <f>IF(ISBLANK(E1225),"",IF(OR(D1225="Butterfly",D1225="Butterfly ",D1225="Iron Fly", D1225="Iron Fly "),LEN(E1225)-LEN(SUBSTITUTE(E1225,"/",""))+2,LEN(E1225)-LEN(SUBSTITUTE(E1225,"/",""))+1))</f>
        <v/>
      </c>
      <c r="I1225" s="78">
        <f>IF(ISBLANK(G1225),"",IF(D1225="Stock","0",Key!$A$3*H1225*G1225))</f>
        <v/>
      </c>
      <c r="J1225" s="78">
        <f>IF(ISBLANK(E1225),"",IF(ISNUMBER(SEARCH("/",E1225)), IF(LEN(E1225)-LEN(SUBSTITUTE(E1225,"/",""))=1,(RIGHT(E1225,LEN(E1225)-FIND("/",E1225)))-(LEFT(E1225,FIND("/",E1225)-1)),(MID(E1225, SEARCH("/",E1225) + 1, SEARCH("/",E1225, SEARCH("/",E1225)+1) - SEARCH("/",E1225) - 1))-(LEFT(E1225,FIND("/",E1225)-1))), "NA"))</f>
        <v/>
      </c>
      <c r="K1225" s="79">
        <f>IF(A1225&lt;&gt;"", IF(ISBLANK(L1225), TODAY(), K1225), "")</f>
        <v/>
      </c>
      <c r="L1225" s="78" t="n"/>
      <c r="M1225" s="78">
        <f>IF(ISBLANK(L1225),"",IF(D1225="Stock",IF(C1225="Buy",L1225*G1225,IF(C1225="Sell",(L1225*G1225)-I1225, X)),IF(C1225="Buy",(L1225*G1225*100)+I1225,IF(C1225="Sell",(L1225*G1225*100)-I1225, X))))</f>
        <v/>
      </c>
      <c r="N1225" s="78">
        <f>IF(ISBLANK(L1225),"",IF(AND(C1225="Sell",D1225="Stock"),M1225,IF(ISBLANK(L1225),"",IF(C1225="Buy",M1225, IF(AND(C1225="Sell",J1225="NA"),(E1225*G1225*100*0.1)+I1225, IF(C1225="Sell",(J1225-L1225)*(100*G1225)+I1225))))))</f>
        <v/>
      </c>
      <c r="O1225" s="75" t="n"/>
      <c r="P1225" s="75" t="n"/>
      <c r="Q1225" s="75">
        <f>IF(ISBLANK(P1225),"",IF(D1225="Stock",P1225*G1225,IF(P1225=0,"0",G1225*P1225*100-(G1225*$AF$14))))</f>
        <v/>
      </c>
      <c r="R1225" s="79">
        <f>IF(P1225&lt;&gt;"", TODAY(), "")</f>
        <v/>
      </c>
      <c r="S1225" s="78">
        <f>IF(AND(K1225&lt;&gt;"", R1225&lt;&gt;""), R1225-K1225, "")</f>
        <v/>
      </c>
      <c r="T1225" s="78" t="n"/>
      <c r="U1225" s="92">
        <f>IF(ISBLANK(P1225),"",IF(C1225="Buy",Q1225-M1225+T1225, IF(C1225="Sell",M1225-Q1225-T1225, X)))</f>
        <v/>
      </c>
      <c r="V1225" s="81">
        <f>IF(ISBLANK(P1225),"",U1225/N1225)</f>
        <v/>
      </c>
      <c r="W1225" s="81">
        <f>IF(ISBLANK(P1225),"",IF(S1225=0,(365/0.5)*V1225,(365/S1225)*V1225))</f>
        <v/>
      </c>
      <c r="X1225" s="75" t="n"/>
      <c r="Y1225" s="77" t="n"/>
      <c r="Z1225" s="77" t="n"/>
      <c r="AA1225" s="75" t="n"/>
      <c r="AB1225" s="75" t="n"/>
      <c r="AC1225" s="6" t="n"/>
      <c r="AD1225" s="75" t="n"/>
      <c r="AE1225" s="75" t="n"/>
      <c r="AF1225" s="75" t="n"/>
    </row>
    <row r="1226" ht="15.75" customHeight="1" s="133">
      <c r="A1226" s="75" t="n"/>
      <c r="B1226" s="75" t="n"/>
      <c r="C1226" s="75" t="n"/>
      <c r="D1226" s="75" t="n"/>
      <c r="E1226" s="76" t="n"/>
      <c r="F1226" s="77" t="n"/>
      <c r="G1226" s="75" t="n"/>
      <c r="H1226" s="75">
        <f>IF(ISBLANK(E1226),"",IF(OR(D1226="Butterfly",D1226="Butterfly ",D1226="Iron Fly", D1226="Iron Fly "),LEN(E1226)-LEN(SUBSTITUTE(E1226,"/",""))+2,LEN(E1226)-LEN(SUBSTITUTE(E1226,"/",""))+1))</f>
        <v/>
      </c>
      <c r="I1226" s="78">
        <f>IF(ISBLANK(G1226),"",IF(D1226="Stock","0",Key!$A$3*H1226*G1226))</f>
        <v/>
      </c>
      <c r="J1226" s="78">
        <f>IF(ISBLANK(E1226),"",IF(ISNUMBER(SEARCH("/",E1226)), IF(LEN(E1226)-LEN(SUBSTITUTE(E1226,"/",""))=1,(RIGHT(E1226,LEN(E1226)-FIND("/",E1226)))-(LEFT(E1226,FIND("/",E1226)-1)),(MID(E1226, SEARCH("/",E1226) + 1, SEARCH("/",E1226, SEARCH("/",E1226)+1) - SEARCH("/",E1226) - 1))-(LEFT(E1226,FIND("/",E1226)-1))), "NA"))</f>
        <v/>
      </c>
      <c r="K1226" s="79">
        <f>IF(A1226&lt;&gt;"", IF(ISBLANK(L1226), TODAY(), K1226), "")</f>
        <v/>
      </c>
      <c r="L1226" s="78" t="n"/>
      <c r="M1226" s="78">
        <f>IF(ISBLANK(L1226),"",IF(D1226="Stock",IF(C1226="Buy",L1226*G1226,IF(C1226="Sell",(L1226*G1226)-I1226, X)),IF(C1226="Buy",(L1226*G1226*100)+I1226,IF(C1226="Sell",(L1226*G1226*100)-I1226, X))))</f>
        <v/>
      </c>
      <c r="N1226" s="78">
        <f>IF(ISBLANK(L1226),"",IF(AND(C1226="Sell",D1226="Stock"),M1226,IF(ISBLANK(L1226),"",IF(C1226="Buy",M1226, IF(AND(C1226="Sell",J1226="NA"),(E1226*G1226*100*0.1)+I1226, IF(C1226="Sell",(J1226-L1226)*(100*G1226)+I1226))))))</f>
        <v/>
      </c>
      <c r="O1226" s="75" t="n"/>
      <c r="P1226" s="75" t="n"/>
      <c r="Q1226" s="75">
        <f>IF(ISBLANK(P1226),"",IF(D1226="Stock",P1226*G1226,IF(P1226=0,"0",G1226*P1226*100-(G1226*$AF$14))))</f>
        <v/>
      </c>
      <c r="R1226" s="79">
        <f>IF(P1226&lt;&gt;"", TODAY(), "")</f>
        <v/>
      </c>
      <c r="S1226" s="78">
        <f>IF(AND(K1226&lt;&gt;"", R1226&lt;&gt;""), R1226-K1226, "")</f>
        <v/>
      </c>
      <c r="T1226" s="78" t="n"/>
      <c r="U1226" s="92">
        <f>IF(ISBLANK(P1226),"",IF(C1226="Buy",Q1226-M1226+T1226, IF(C1226="Sell",M1226-Q1226-T1226, X)))</f>
        <v/>
      </c>
      <c r="V1226" s="81">
        <f>IF(ISBLANK(P1226),"",U1226/N1226)</f>
        <v/>
      </c>
      <c r="W1226" s="81">
        <f>IF(ISBLANK(P1226),"",IF(S1226=0,(365/0.5)*V1226,(365/S1226)*V1226))</f>
        <v/>
      </c>
      <c r="X1226" s="75" t="n"/>
      <c r="Y1226" s="77" t="n"/>
      <c r="Z1226" s="77" t="n"/>
      <c r="AA1226" s="75" t="n"/>
      <c r="AB1226" s="75" t="n"/>
      <c r="AC1226" s="6" t="n"/>
      <c r="AD1226" s="75" t="n"/>
      <c r="AE1226" s="75" t="n"/>
      <c r="AF1226" s="75" t="n"/>
    </row>
    <row r="1227" ht="15.75" customHeight="1" s="133">
      <c r="A1227" s="75" t="n"/>
      <c r="B1227" s="75" t="n"/>
      <c r="C1227" s="75" t="n"/>
      <c r="D1227" s="75" t="n"/>
      <c r="E1227" s="76" t="n"/>
      <c r="F1227" s="77" t="n"/>
      <c r="G1227" s="75" t="n"/>
      <c r="H1227" s="75">
        <f>IF(ISBLANK(E1227),"",IF(OR(D1227="Butterfly",D1227="Butterfly ",D1227="Iron Fly", D1227="Iron Fly "),LEN(E1227)-LEN(SUBSTITUTE(E1227,"/",""))+2,LEN(E1227)-LEN(SUBSTITUTE(E1227,"/",""))+1))</f>
        <v/>
      </c>
      <c r="I1227" s="78">
        <f>IF(ISBLANK(G1227),"",IF(D1227="Stock","0",Key!$A$3*H1227*G1227))</f>
        <v/>
      </c>
      <c r="J1227" s="78">
        <f>IF(ISBLANK(E1227),"",IF(ISNUMBER(SEARCH("/",E1227)), IF(LEN(E1227)-LEN(SUBSTITUTE(E1227,"/",""))=1,(RIGHT(E1227,LEN(E1227)-FIND("/",E1227)))-(LEFT(E1227,FIND("/",E1227)-1)),(MID(E1227, SEARCH("/",E1227) + 1, SEARCH("/",E1227, SEARCH("/",E1227)+1) - SEARCH("/",E1227) - 1))-(LEFT(E1227,FIND("/",E1227)-1))), "NA"))</f>
        <v/>
      </c>
      <c r="K1227" s="79">
        <f>IF(A1227&lt;&gt;"", IF(ISBLANK(L1227), TODAY(), K1227), "")</f>
        <v/>
      </c>
      <c r="L1227" s="78" t="n"/>
      <c r="M1227" s="78">
        <f>IF(ISBLANK(L1227),"",IF(D1227="Stock",IF(C1227="Buy",L1227*G1227,IF(C1227="Sell",(L1227*G1227)-I1227, X)),IF(C1227="Buy",(L1227*G1227*100)+I1227,IF(C1227="Sell",(L1227*G1227*100)-I1227, X))))</f>
        <v/>
      </c>
      <c r="N1227" s="78">
        <f>IF(ISBLANK(L1227),"",IF(AND(C1227="Sell",D1227="Stock"),M1227,IF(ISBLANK(L1227),"",IF(C1227="Buy",M1227, IF(AND(C1227="Sell",J1227="NA"),(E1227*G1227*100*0.1)+I1227, IF(C1227="Sell",(J1227-L1227)*(100*G1227)+I1227))))))</f>
        <v/>
      </c>
      <c r="O1227" s="75" t="n"/>
      <c r="P1227" s="75" t="n"/>
      <c r="Q1227" s="75">
        <f>IF(ISBLANK(P1227),"",IF(D1227="Stock",P1227*G1227,IF(P1227=0,"0",G1227*P1227*100-(G1227*$AF$14))))</f>
        <v/>
      </c>
      <c r="R1227" s="79">
        <f>IF(P1227&lt;&gt;"", TODAY(), "")</f>
        <v/>
      </c>
      <c r="S1227" s="78">
        <f>IF(AND(K1227&lt;&gt;"", R1227&lt;&gt;""), R1227-K1227, "")</f>
        <v/>
      </c>
      <c r="T1227" s="78" t="n"/>
      <c r="U1227" s="92">
        <f>IF(ISBLANK(P1227),"",IF(C1227="Buy",Q1227-M1227+T1227, IF(C1227="Sell",M1227-Q1227-T1227, X)))</f>
        <v/>
      </c>
      <c r="V1227" s="81">
        <f>IF(ISBLANK(P1227),"",U1227/N1227)</f>
        <v/>
      </c>
      <c r="W1227" s="81">
        <f>IF(ISBLANK(P1227),"",IF(S1227=0,(365/0.5)*V1227,(365/S1227)*V1227))</f>
        <v/>
      </c>
      <c r="X1227" s="75" t="n"/>
      <c r="Y1227" s="77" t="n"/>
      <c r="Z1227" s="77" t="n"/>
      <c r="AA1227" s="75" t="n"/>
      <c r="AB1227" s="75" t="n"/>
      <c r="AC1227" s="6" t="n"/>
      <c r="AD1227" s="75" t="n"/>
      <c r="AE1227" s="75" t="n"/>
      <c r="AF1227" s="75" t="n"/>
    </row>
    <row r="1228" ht="15.75" customHeight="1" s="133">
      <c r="A1228" s="75" t="n"/>
      <c r="B1228" s="75" t="n"/>
      <c r="C1228" s="75" t="n"/>
      <c r="D1228" s="75" t="n"/>
      <c r="E1228" s="76" t="n"/>
      <c r="F1228" s="77" t="n"/>
      <c r="G1228" s="75" t="n"/>
      <c r="H1228" s="75">
        <f>IF(ISBLANK(E1228),"",IF(OR(D1228="Butterfly",D1228="Butterfly ",D1228="Iron Fly", D1228="Iron Fly "),LEN(E1228)-LEN(SUBSTITUTE(E1228,"/",""))+2,LEN(E1228)-LEN(SUBSTITUTE(E1228,"/",""))+1))</f>
        <v/>
      </c>
      <c r="I1228" s="78">
        <f>IF(ISBLANK(G1228),"",IF(D1228="Stock","0",Key!$A$3*H1228*G1228))</f>
        <v/>
      </c>
      <c r="J1228" s="78">
        <f>IF(ISBLANK(E1228),"",IF(ISNUMBER(SEARCH("/",E1228)), IF(LEN(E1228)-LEN(SUBSTITUTE(E1228,"/",""))=1,(RIGHT(E1228,LEN(E1228)-FIND("/",E1228)))-(LEFT(E1228,FIND("/",E1228)-1)),(MID(E1228, SEARCH("/",E1228) + 1, SEARCH("/",E1228, SEARCH("/",E1228)+1) - SEARCH("/",E1228) - 1))-(LEFT(E1228,FIND("/",E1228)-1))), "NA"))</f>
        <v/>
      </c>
      <c r="K1228" s="79">
        <f>IF(A1228&lt;&gt;"", IF(ISBLANK(L1228), TODAY(), K1228), "")</f>
        <v/>
      </c>
      <c r="L1228" s="78" t="n"/>
      <c r="M1228" s="78">
        <f>IF(ISBLANK(L1228),"",IF(D1228="Stock",IF(C1228="Buy",L1228*G1228,IF(C1228="Sell",(L1228*G1228)-I1228, X)),IF(C1228="Buy",(L1228*G1228*100)+I1228,IF(C1228="Sell",(L1228*G1228*100)-I1228, X))))</f>
        <v/>
      </c>
      <c r="N1228" s="78">
        <f>IF(ISBLANK(L1228),"",IF(AND(C1228="Sell",D1228="Stock"),M1228,IF(ISBLANK(L1228),"",IF(C1228="Buy",M1228, IF(AND(C1228="Sell",J1228="NA"),(E1228*G1228*100*0.1)+I1228, IF(C1228="Sell",(J1228-L1228)*(100*G1228)+I1228))))))</f>
        <v/>
      </c>
      <c r="O1228" s="75" t="n"/>
      <c r="P1228" s="75" t="n"/>
      <c r="Q1228" s="75">
        <f>IF(ISBLANK(P1228),"",IF(D1228="Stock",P1228*G1228,IF(P1228=0,"0",G1228*P1228*100-(G1228*$AF$14))))</f>
        <v/>
      </c>
      <c r="R1228" s="79">
        <f>IF(P1228&lt;&gt;"", TODAY(), "")</f>
        <v/>
      </c>
      <c r="S1228" s="78">
        <f>IF(AND(K1228&lt;&gt;"", R1228&lt;&gt;""), R1228-K1228, "")</f>
        <v/>
      </c>
      <c r="T1228" s="78" t="n"/>
      <c r="U1228" s="92">
        <f>IF(ISBLANK(P1228),"",IF(C1228="Buy",Q1228-M1228+T1228, IF(C1228="Sell",M1228-Q1228-T1228, X)))</f>
        <v/>
      </c>
      <c r="V1228" s="81">
        <f>IF(ISBLANK(P1228),"",U1228/N1228)</f>
        <v/>
      </c>
      <c r="W1228" s="81">
        <f>IF(ISBLANK(P1228),"",IF(S1228=0,(365/0.5)*V1228,(365/S1228)*V1228))</f>
        <v/>
      </c>
      <c r="X1228" s="75" t="n"/>
      <c r="Y1228" s="77" t="n"/>
      <c r="Z1228" s="77" t="n"/>
      <c r="AA1228" s="75" t="n"/>
      <c r="AB1228" s="75" t="n"/>
      <c r="AC1228" s="6" t="n"/>
      <c r="AD1228" s="75" t="n"/>
      <c r="AE1228" s="75" t="n"/>
      <c r="AF1228" s="75" t="n"/>
    </row>
    <row r="1229" ht="15.75" customHeight="1" s="133">
      <c r="A1229" s="75" t="n"/>
      <c r="B1229" s="75" t="n"/>
      <c r="C1229" s="75" t="n"/>
      <c r="D1229" s="75" t="n"/>
      <c r="E1229" s="76" t="n"/>
      <c r="F1229" s="77" t="n"/>
      <c r="G1229" s="75" t="n"/>
      <c r="H1229" s="75">
        <f>IF(ISBLANK(E1229),"",IF(OR(D1229="Butterfly",D1229="Butterfly ",D1229="Iron Fly", D1229="Iron Fly "),LEN(E1229)-LEN(SUBSTITUTE(E1229,"/",""))+2,LEN(E1229)-LEN(SUBSTITUTE(E1229,"/",""))+1))</f>
        <v/>
      </c>
      <c r="I1229" s="78">
        <f>IF(ISBLANK(G1229),"",IF(D1229="Stock","0",Key!$A$3*H1229*G1229))</f>
        <v/>
      </c>
      <c r="J1229" s="78">
        <f>IF(ISBLANK(E1229),"",IF(ISNUMBER(SEARCH("/",E1229)), IF(LEN(E1229)-LEN(SUBSTITUTE(E1229,"/",""))=1,(RIGHT(E1229,LEN(E1229)-FIND("/",E1229)))-(LEFT(E1229,FIND("/",E1229)-1)),(MID(E1229, SEARCH("/",E1229) + 1, SEARCH("/",E1229, SEARCH("/",E1229)+1) - SEARCH("/",E1229) - 1))-(LEFT(E1229,FIND("/",E1229)-1))), "NA"))</f>
        <v/>
      </c>
      <c r="K1229" s="79">
        <f>IF(A1229&lt;&gt;"", IF(ISBLANK(L1229), TODAY(), K1229), "")</f>
        <v/>
      </c>
      <c r="L1229" s="78" t="n"/>
      <c r="M1229" s="78">
        <f>IF(ISBLANK(L1229),"",IF(D1229="Stock",IF(C1229="Buy",L1229*G1229,IF(C1229="Sell",(L1229*G1229)-I1229, X)),IF(C1229="Buy",(L1229*G1229*100)+I1229,IF(C1229="Sell",(L1229*G1229*100)-I1229, X))))</f>
        <v/>
      </c>
      <c r="N1229" s="78">
        <f>IF(ISBLANK(L1229),"",IF(AND(C1229="Sell",D1229="Stock"),M1229,IF(ISBLANK(L1229),"",IF(C1229="Buy",M1229, IF(AND(C1229="Sell",J1229="NA"),(E1229*G1229*100*0.1)+I1229, IF(C1229="Sell",(J1229-L1229)*(100*G1229)+I1229))))))</f>
        <v/>
      </c>
      <c r="O1229" s="75" t="n"/>
      <c r="P1229" s="75" t="n"/>
      <c r="Q1229" s="75">
        <f>IF(ISBLANK(P1229),"",IF(D1229="Stock",P1229*G1229,IF(P1229=0,"0",G1229*P1229*100-(G1229*$AF$14))))</f>
        <v/>
      </c>
      <c r="R1229" s="79">
        <f>IF(P1229&lt;&gt;"", TODAY(), "")</f>
        <v/>
      </c>
      <c r="S1229" s="78">
        <f>IF(AND(K1229&lt;&gt;"", R1229&lt;&gt;""), R1229-K1229, "")</f>
        <v/>
      </c>
      <c r="T1229" s="78" t="n"/>
      <c r="U1229" s="92">
        <f>IF(ISBLANK(P1229),"",IF(C1229="Buy",Q1229-M1229+T1229, IF(C1229="Sell",M1229-Q1229-T1229, X)))</f>
        <v/>
      </c>
      <c r="V1229" s="81">
        <f>IF(ISBLANK(P1229),"",U1229/N1229)</f>
        <v/>
      </c>
      <c r="W1229" s="81">
        <f>IF(ISBLANK(P1229),"",IF(S1229=0,(365/0.5)*V1229,(365/S1229)*V1229))</f>
        <v/>
      </c>
      <c r="X1229" s="75" t="n"/>
      <c r="Y1229" s="77" t="n"/>
      <c r="Z1229" s="77" t="n"/>
      <c r="AA1229" s="75" t="n"/>
      <c r="AB1229" s="75" t="n"/>
      <c r="AC1229" s="6" t="n"/>
      <c r="AD1229" s="75" t="n"/>
      <c r="AE1229" s="75" t="n"/>
      <c r="AF1229" s="75" t="n"/>
    </row>
    <row r="1230" ht="15.75" customHeight="1" s="133">
      <c r="A1230" s="75" t="n"/>
      <c r="B1230" s="75" t="n"/>
      <c r="C1230" s="75" t="n"/>
      <c r="D1230" s="75" t="n"/>
      <c r="E1230" s="76" t="n"/>
      <c r="F1230" s="77" t="n"/>
      <c r="G1230" s="75" t="n"/>
      <c r="H1230" s="75">
        <f>IF(ISBLANK(E1230),"",IF(OR(D1230="Butterfly",D1230="Butterfly ",D1230="Iron Fly", D1230="Iron Fly "),LEN(E1230)-LEN(SUBSTITUTE(E1230,"/",""))+2,LEN(E1230)-LEN(SUBSTITUTE(E1230,"/",""))+1))</f>
        <v/>
      </c>
      <c r="I1230" s="78">
        <f>IF(ISBLANK(G1230),"",IF(D1230="Stock","0",Key!$A$3*H1230*G1230))</f>
        <v/>
      </c>
      <c r="J1230" s="78">
        <f>IF(ISBLANK(E1230),"",IF(ISNUMBER(SEARCH("/",E1230)), IF(LEN(E1230)-LEN(SUBSTITUTE(E1230,"/",""))=1,(RIGHT(E1230,LEN(E1230)-FIND("/",E1230)))-(LEFT(E1230,FIND("/",E1230)-1)),(MID(E1230, SEARCH("/",E1230) + 1, SEARCH("/",E1230, SEARCH("/",E1230)+1) - SEARCH("/",E1230) - 1))-(LEFT(E1230,FIND("/",E1230)-1))), "NA"))</f>
        <v/>
      </c>
      <c r="K1230" s="79">
        <f>IF(A1230&lt;&gt;"", IF(ISBLANK(L1230), TODAY(), K1230), "")</f>
        <v/>
      </c>
      <c r="L1230" s="78" t="n"/>
      <c r="M1230" s="78">
        <f>IF(ISBLANK(L1230),"",IF(D1230="Stock",IF(C1230="Buy",L1230*G1230,IF(C1230="Sell",(L1230*G1230)-I1230, X)),IF(C1230="Buy",(L1230*G1230*100)+I1230,IF(C1230="Sell",(L1230*G1230*100)-I1230, X))))</f>
        <v/>
      </c>
      <c r="N1230" s="78">
        <f>IF(ISBLANK(L1230),"",IF(AND(C1230="Sell",D1230="Stock"),M1230,IF(ISBLANK(L1230),"",IF(C1230="Buy",M1230, IF(AND(C1230="Sell",J1230="NA"),(E1230*G1230*100*0.1)+I1230, IF(C1230="Sell",(J1230-L1230)*(100*G1230)+I1230))))))</f>
        <v/>
      </c>
      <c r="O1230" s="75" t="n"/>
      <c r="P1230" s="75" t="n"/>
      <c r="Q1230" s="75">
        <f>IF(ISBLANK(P1230),"",IF(D1230="Stock",P1230*G1230,IF(P1230=0,"0",G1230*P1230*100-(G1230*$AF$14))))</f>
        <v/>
      </c>
      <c r="R1230" s="79">
        <f>IF(P1230&lt;&gt;"", TODAY(), "")</f>
        <v/>
      </c>
      <c r="S1230" s="78">
        <f>IF(AND(K1230&lt;&gt;"", R1230&lt;&gt;""), R1230-K1230, "")</f>
        <v/>
      </c>
      <c r="T1230" s="78" t="n"/>
      <c r="U1230" s="92">
        <f>IF(ISBLANK(P1230),"",IF(C1230="Buy",Q1230-M1230+T1230, IF(C1230="Sell",M1230-Q1230-T1230, X)))</f>
        <v/>
      </c>
      <c r="V1230" s="81">
        <f>IF(ISBLANK(P1230),"",U1230/N1230)</f>
        <v/>
      </c>
      <c r="W1230" s="81">
        <f>IF(ISBLANK(P1230),"",IF(S1230=0,(365/0.5)*V1230,(365/S1230)*V1230))</f>
        <v/>
      </c>
      <c r="X1230" s="75" t="n"/>
      <c r="Y1230" s="77" t="n"/>
      <c r="Z1230" s="77" t="n"/>
      <c r="AA1230" s="75" t="n"/>
      <c r="AB1230" s="75" t="n"/>
      <c r="AC1230" s="6" t="n"/>
      <c r="AD1230" s="75" t="n"/>
      <c r="AE1230" s="75" t="n"/>
      <c r="AF1230" s="75" t="n"/>
    </row>
    <row r="1231" ht="15.75" customHeight="1" s="133">
      <c r="A1231" s="75" t="n"/>
      <c r="B1231" s="75" t="n"/>
      <c r="C1231" s="75" t="n"/>
      <c r="D1231" s="75" t="n"/>
      <c r="E1231" s="76" t="n"/>
      <c r="F1231" s="77" t="n"/>
      <c r="G1231" s="75" t="n"/>
      <c r="H1231" s="75">
        <f>IF(ISBLANK(E1231),"",IF(OR(D1231="Butterfly",D1231="Butterfly ",D1231="Iron Fly", D1231="Iron Fly "),LEN(E1231)-LEN(SUBSTITUTE(E1231,"/",""))+2,LEN(E1231)-LEN(SUBSTITUTE(E1231,"/",""))+1))</f>
        <v/>
      </c>
      <c r="I1231" s="78">
        <f>IF(ISBLANK(G1231),"",IF(D1231="Stock","0",Key!$A$3*H1231*G1231))</f>
        <v/>
      </c>
      <c r="J1231" s="78">
        <f>IF(ISBLANK(E1231),"",IF(ISNUMBER(SEARCH("/",E1231)), IF(LEN(E1231)-LEN(SUBSTITUTE(E1231,"/",""))=1,(RIGHT(E1231,LEN(E1231)-FIND("/",E1231)))-(LEFT(E1231,FIND("/",E1231)-1)),(MID(E1231, SEARCH("/",E1231) + 1, SEARCH("/",E1231, SEARCH("/",E1231)+1) - SEARCH("/",E1231) - 1))-(LEFT(E1231,FIND("/",E1231)-1))), "NA"))</f>
        <v/>
      </c>
      <c r="K1231" s="79">
        <f>IF(A1231&lt;&gt;"", IF(ISBLANK(L1231), TODAY(), K1231), "")</f>
        <v/>
      </c>
      <c r="L1231" s="78" t="n"/>
      <c r="M1231" s="78">
        <f>IF(ISBLANK(L1231),"",IF(D1231="Stock",IF(C1231="Buy",L1231*G1231,IF(C1231="Sell",(L1231*G1231)-I1231, X)),IF(C1231="Buy",(L1231*G1231*100)+I1231,IF(C1231="Sell",(L1231*G1231*100)-I1231, X))))</f>
        <v/>
      </c>
      <c r="N1231" s="78">
        <f>IF(ISBLANK(L1231),"",IF(AND(C1231="Sell",D1231="Stock"),M1231,IF(ISBLANK(L1231),"",IF(C1231="Buy",M1231, IF(AND(C1231="Sell",J1231="NA"),(E1231*G1231*100*0.1)+I1231, IF(C1231="Sell",(J1231-L1231)*(100*G1231)+I1231))))))</f>
        <v/>
      </c>
      <c r="O1231" s="75" t="n"/>
      <c r="P1231" s="75" t="n"/>
      <c r="Q1231" s="75">
        <f>IF(ISBLANK(P1231),"",IF(D1231="Stock",P1231*G1231,IF(P1231=0,"0",G1231*P1231*100-(G1231*$AF$14))))</f>
        <v/>
      </c>
      <c r="R1231" s="79">
        <f>IF(P1231&lt;&gt;"", TODAY(), "")</f>
        <v/>
      </c>
      <c r="S1231" s="78">
        <f>IF(AND(K1231&lt;&gt;"", R1231&lt;&gt;""), R1231-K1231, "")</f>
        <v/>
      </c>
      <c r="T1231" s="78" t="n"/>
      <c r="U1231" s="92">
        <f>IF(ISBLANK(P1231),"",IF(C1231="Buy",Q1231-M1231+T1231, IF(C1231="Sell",M1231-Q1231-T1231, X)))</f>
        <v/>
      </c>
      <c r="V1231" s="81">
        <f>IF(ISBLANK(P1231),"",U1231/N1231)</f>
        <v/>
      </c>
      <c r="W1231" s="81">
        <f>IF(ISBLANK(P1231),"",IF(S1231=0,(365/0.5)*V1231,(365/S1231)*V1231))</f>
        <v/>
      </c>
      <c r="X1231" s="75" t="n"/>
      <c r="Y1231" s="77" t="n"/>
      <c r="Z1231" s="77" t="n"/>
      <c r="AA1231" s="75" t="n"/>
      <c r="AB1231" s="75" t="n"/>
      <c r="AC1231" s="6" t="n"/>
      <c r="AD1231" s="75" t="n"/>
      <c r="AE1231" s="75" t="n"/>
      <c r="AF1231" s="75" t="n"/>
    </row>
    <row r="1232" ht="15.75" customHeight="1" s="133">
      <c r="A1232" s="75" t="n"/>
      <c r="B1232" s="75" t="n"/>
      <c r="C1232" s="75" t="n"/>
      <c r="D1232" s="75" t="n"/>
      <c r="E1232" s="76" t="n"/>
      <c r="F1232" s="77" t="n"/>
      <c r="G1232" s="75" t="n"/>
      <c r="H1232" s="75">
        <f>IF(ISBLANK(E1232),"",IF(OR(D1232="Butterfly",D1232="Butterfly ",D1232="Iron Fly", D1232="Iron Fly "),LEN(E1232)-LEN(SUBSTITUTE(E1232,"/",""))+2,LEN(E1232)-LEN(SUBSTITUTE(E1232,"/",""))+1))</f>
        <v/>
      </c>
      <c r="I1232" s="78">
        <f>IF(ISBLANK(G1232),"",IF(D1232="Stock","0",Key!$A$3*H1232*G1232))</f>
        <v/>
      </c>
      <c r="J1232" s="78">
        <f>IF(ISBLANK(E1232),"",IF(ISNUMBER(SEARCH("/",E1232)), IF(LEN(E1232)-LEN(SUBSTITUTE(E1232,"/",""))=1,(RIGHT(E1232,LEN(E1232)-FIND("/",E1232)))-(LEFT(E1232,FIND("/",E1232)-1)),(MID(E1232, SEARCH("/",E1232) + 1, SEARCH("/",E1232, SEARCH("/",E1232)+1) - SEARCH("/",E1232) - 1))-(LEFT(E1232,FIND("/",E1232)-1))), "NA"))</f>
        <v/>
      </c>
      <c r="K1232" s="79">
        <f>IF(A1232&lt;&gt;"", IF(ISBLANK(L1232), TODAY(), K1232), "")</f>
        <v/>
      </c>
      <c r="L1232" s="78" t="n"/>
      <c r="M1232" s="78">
        <f>IF(ISBLANK(L1232),"",IF(D1232="Stock",IF(C1232="Buy",L1232*G1232,IF(C1232="Sell",(L1232*G1232)-I1232, X)),IF(C1232="Buy",(L1232*G1232*100)+I1232,IF(C1232="Sell",(L1232*G1232*100)-I1232, X))))</f>
        <v/>
      </c>
      <c r="N1232" s="78">
        <f>IF(ISBLANK(L1232),"",IF(AND(C1232="Sell",D1232="Stock"),M1232,IF(ISBLANK(L1232),"",IF(C1232="Buy",M1232, IF(AND(C1232="Sell",J1232="NA"),(E1232*G1232*100*0.1)+I1232, IF(C1232="Sell",(J1232-L1232)*(100*G1232)+I1232))))))</f>
        <v/>
      </c>
      <c r="O1232" s="75" t="n"/>
      <c r="P1232" s="75" t="n"/>
      <c r="Q1232" s="75">
        <f>IF(ISBLANK(P1232),"",IF(D1232="Stock",P1232*G1232,IF(P1232=0,"0",G1232*P1232*100-(G1232*$AF$14))))</f>
        <v/>
      </c>
      <c r="R1232" s="79">
        <f>IF(P1232&lt;&gt;"", TODAY(), "")</f>
        <v/>
      </c>
      <c r="S1232" s="78">
        <f>IF(AND(K1232&lt;&gt;"", R1232&lt;&gt;""), R1232-K1232, "")</f>
        <v/>
      </c>
      <c r="T1232" s="78" t="n"/>
      <c r="U1232" s="92">
        <f>IF(ISBLANK(P1232),"",IF(C1232="Buy",Q1232-M1232+T1232, IF(C1232="Sell",M1232-Q1232-T1232, X)))</f>
        <v/>
      </c>
      <c r="V1232" s="81">
        <f>IF(ISBLANK(P1232),"",U1232/N1232)</f>
        <v/>
      </c>
      <c r="W1232" s="81">
        <f>IF(ISBLANK(P1232),"",IF(S1232=0,(365/0.5)*V1232,(365/S1232)*V1232))</f>
        <v/>
      </c>
      <c r="X1232" s="75" t="n"/>
      <c r="Y1232" s="77" t="n"/>
      <c r="Z1232" s="77" t="n"/>
      <c r="AA1232" s="75" t="n"/>
      <c r="AB1232" s="75" t="n"/>
      <c r="AC1232" s="6" t="n"/>
      <c r="AD1232" s="75" t="n"/>
      <c r="AE1232" s="75" t="n"/>
      <c r="AF1232" s="75" t="n"/>
    </row>
    <row r="1233" ht="15.75" customHeight="1" s="133">
      <c r="A1233" s="75" t="n"/>
      <c r="B1233" s="75" t="n"/>
      <c r="C1233" s="75" t="n"/>
      <c r="D1233" s="75" t="n"/>
      <c r="E1233" s="76" t="n"/>
      <c r="F1233" s="77" t="n"/>
      <c r="G1233" s="75" t="n"/>
      <c r="H1233" s="75">
        <f>IF(ISBLANK(E1233),"",IF(OR(D1233="Butterfly",D1233="Butterfly ",D1233="Iron Fly", D1233="Iron Fly "),LEN(E1233)-LEN(SUBSTITUTE(E1233,"/",""))+2,LEN(E1233)-LEN(SUBSTITUTE(E1233,"/",""))+1))</f>
        <v/>
      </c>
      <c r="I1233" s="78">
        <f>IF(ISBLANK(G1233),"",IF(D1233="Stock","0",Key!$A$3*H1233*G1233))</f>
        <v/>
      </c>
      <c r="J1233" s="78">
        <f>IF(ISBLANK(E1233),"",IF(ISNUMBER(SEARCH("/",E1233)), IF(LEN(E1233)-LEN(SUBSTITUTE(E1233,"/",""))=1,(RIGHT(E1233,LEN(E1233)-FIND("/",E1233)))-(LEFT(E1233,FIND("/",E1233)-1)),(MID(E1233, SEARCH("/",E1233) + 1, SEARCH("/",E1233, SEARCH("/",E1233)+1) - SEARCH("/",E1233) - 1))-(LEFT(E1233,FIND("/",E1233)-1))), "NA"))</f>
        <v/>
      </c>
      <c r="K1233" s="79">
        <f>IF(A1233&lt;&gt;"", IF(ISBLANK(L1233), TODAY(), K1233), "")</f>
        <v/>
      </c>
      <c r="L1233" s="78" t="n"/>
      <c r="M1233" s="78">
        <f>IF(ISBLANK(L1233),"",IF(D1233="Stock",IF(C1233="Buy",L1233*G1233,IF(C1233="Sell",(L1233*G1233)-I1233, X)),IF(C1233="Buy",(L1233*G1233*100)+I1233,IF(C1233="Sell",(L1233*G1233*100)-I1233, X))))</f>
        <v/>
      </c>
      <c r="N1233" s="78">
        <f>IF(ISBLANK(L1233),"",IF(AND(C1233="Sell",D1233="Stock"),M1233,IF(ISBLANK(L1233),"",IF(C1233="Buy",M1233, IF(AND(C1233="Sell",J1233="NA"),(E1233*G1233*100*0.1)+I1233, IF(C1233="Sell",(J1233-L1233)*(100*G1233)+I1233))))))</f>
        <v/>
      </c>
      <c r="O1233" s="75" t="n"/>
      <c r="P1233" s="75" t="n"/>
      <c r="Q1233" s="75">
        <f>IF(ISBLANK(P1233),"",IF(D1233="Stock",P1233*G1233,IF(P1233=0,"0",G1233*P1233*100-(G1233*$AF$14))))</f>
        <v/>
      </c>
      <c r="R1233" s="79">
        <f>IF(P1233&lt;&gt;"", TODAY(), "")</f>
        <v/>
      </c>
      <c r="S1233" s="78">
        <f>IF(AND(K1233&lt;&gt;"", R1233&lt;&gt;""), R1233-K1233, "")</f>
        <v/>
      </c>
      <c r="T1233" s="78" t="n"/>
      <c r="U1233" s="92">
        <f>IF(ISBLANK(P1233),"",IF(C1233="Buy",Q1233-M1233+T1233, IF(C1233="Sell",M1233-Q1233-T1233, X)))</f>
        <v/>
      </c>
      <c r="V1233" s="81">
        <f>IF(ISBLANK(P1233),"",U1233/N1233)</f>
        <v/>
      </c>
      <c r="W1233" s="81">
        <f>IF(ISBLANK(P1233),"",IF(S1233=0,(365/0.5)*V1233,(365/S1233)*V1233))</f>
        <v/>
      </c>
      <c r="X1233" s="75" t="n"/>
      <c r="Y1233" s="77" t="n"/>
      <c r="Z1233" s="77" t="n"/>
      <c r="AA1233" s="75" t="n"/>
      <c r="AB1233" s="75" t="n"/>
      <c r="AC1233" s="6" t="n"/>
      <c r="AD1233" s="75" t="n"/>
      <c r="AE1233" s="75" t="n"/>
      <c r="AF1233" s="75" t="n"/>
    </row>
    <row r="1234" ht="15.75" customHeight="1" s="133">
      <c r="A1234" s="75" t="n"/>
      <c r="B1234" s="75" t="n"/>
      <c r="C1234" s="75" t="n"/>
      <c r="D1234" s="75" t="n"/>
      <c r="E1234" s="76" t="n"/>
      <c r="F1234" s="77" t="n"/>
      <c r="G1234" s="75" t="n"/>
      <c r="H1234" s="75">
        <f>IF(ISBLANK(E1234),"",IF(OR(D1234="Butterfly",D1234="Butterfly ",D1234="Iron Fly", D1234="Iron Fly "),LEN(E1234)-LEN(SUBSTITUTE(E1234,"/",""))+2,LEN(E1234)-LEN(SUBSTITUTE(E1234,"/",""))+1))</f>
        <v/>
      </c>
      <c r="I1234" s="78">
        <f>IF(ISBLANK(G1234),"",IF(D1234="Stock","0",Key!$A$3*H1234*G1234))</f>
        <v/>
      </c>
      <c r="J1234" s="78">
        <f>IF(ISBLANK(E1234),"",IF(ISNUMBER(SEARCH("/",E1234)), IF(LEN(E1234)-LEN(SUBSTITUTE(E1234,"/",""))=1,(RIGHT(E1234,LEN(E1234)-FIND("/",E1234)))-(LEFT(E1234,FIND("/",E1234)-1)),(MID(E1234, SEARCH("/",E1234) + 1, SEARCH("/",E1234, SEARCH("/",E1234)+1) - SEARCH("/",E1234) - 1))-(LEFT(E1234,FIND("/",E1234)-1))), "NA"))</f>
        <v/>
      </c>
      <c r="K1234" s="79">
        <f>IF(A1234&lt;&gt;"", IF(ISBLANK(L1234), TODAY(), K1234), "")</f>
        <v/>
      </c>
      <c r="L1234" s="78" t="n"/>
      <c r="M1234" s="78">
        <f>IF(ISBLANK(L1234),"",IF(D1234="Stock",IF(C1234="Buy",L1234*G1234,IF(C1234="Sell",(L1234*G1234)-I1234, X)),IF(C1234="Buy",(L1234*G1234*100)+I1234,IF(C1234="Sell",(L1234*G1234*100)-I1234, X))))</f>
        <v/>
      </c>
      <c r="N1234" s="78">
        <f>IF(ISBLANK(L1234),"",IF(AND(C1234="Sell",D1234="Stock"),M1234,IF(ISBLANK(L1234),"",IF(C1234="Buy",M1234, IF(AND(C1234="Sell",J1234="NA"),(E1234*G1234*100*0.1)+I1234, IF(C1234="Sell",(J1234-L1234)*(100*G1234)+I1234))))))</f>
        <v/>
      </c>
      <c r="O1234" s="75" t="n"/>
      <c r="P1234" s="75" t="n"/>
      <c r="Q1234" s="75">
        <f>IF(ISBLANK(P1234),"",IF(D1234="Stock",P1234*G1234,IF(P1234=0,"0",G1234*P1234*100-(G1234*$AF$14))))</f>
        <v/>
      </c>
      <c r="R1234" s="79">
        <f>IF(P1234&lt;&gt;"", TODAY(), "")</f>
        <v/>
      </c>
      <c r="S1234" s="78">
        <f>IF(AND(K1234&lt;&gt;"", R1234&lt;&gt;""), R1234-K1234, "")</f>
        <v/>
      </c>
      <c r="T1234" s="78" t="n"/>
      <c r="U1234" s="92">
        <f>IF(ISBLANK(P1234),"",IF(C1234="Buy",Q1234-M1234+T1234, IF(C1234="Sell",M1234-Q1234-T1234, X)))</f>
        <v/>
      </c>
      <c r="V1234" s="81">
        <f>IF(ISBLANK(P1234),"",U1234/N1234)</f>
        <v/>
      </c>
      <c r="W1234" s="81">
        <f>IF(ISBLANK(P1234),"",IF(S1234=0,(365/0.5)*V1234,(365/S1234)*V1234))</f>
        <v/>
      </c>
      <c r="X1234" s="75" t="n"/>
      <c r="Y1234" s="77" t="n"/>
      <c r="Z1234" s="77" t="n"/>
      <c r="AA1234" s="75" t="n"/>
      <c r="AB1234" s="75" t="n"/>
      <c r="AC1234" s="6" t="n"/>
      <c r="AD1234" s="75" t="n"/>
      <c r="AE1234" s="75" t="n"/>
      <c r="AF1234" s="75" t="n"/>
    </row>
    <row r="1235" ht="15.75" customHeight="1" s="133">
      <c r="A1235" s="75" t="n"/>
      <c r="B1235" s="75" t="n"/>
      <c r="C1235" s="75" t="n"/>
      <c r="D1235" s="75" t="n"/>
      <c r="E1235" s="76" t="n"/>
      <c r="F1235" s="77" t="n"/>
      <c r="G1235" s="75" t="n"/>
      <c r="H1235" s="75">
        <f>IF(ISBLANK(E1235),"",IF(OR(D1235="Butterfly",D1235="Butterfly ",D1235="Iron Fly", D1235="Iron Fly "),LEN(E1235)-LEN(SUBSTITUTE(E1235,"/",""))+2,LEN(E1235)-LEN(SUBSTITUTE(E1235,"/",""))+1))</f>
        <v/>
      </c>
      <c r="I1235" s="78">
        <f>IF(ISBLANK(G1235),"",IF(D1235="Stock","0",Key!$A$3*H1235*G1235))</f>
        <v/>
      </c>
      <c r="J1235" s="78">
        <f>IF(ISBLANK(E1235),"",IF(ISNUMBER(SEARCH("/",E1235)), IF(LEN(E1235)-LEN(SUBSTITUTE(E1235,"/",""))=1,(RIGHT(E1235,LEN(E1235)-FIND("/",E1235)))-(LEFT(E1235,FIND("/",E1235)-1)),(MID(E1235, SEARCH("/",E1235) + 1, SEARCH("/",E1235, SEARCH("/",E1235)+1) - SEARCH("/",E1235) - 1))-(LEFT(E1235,FIND("/",E1235)-1))), "NA"))</f>
        <v/>
      </c>
      <c r="K1235" s="79">
        <f>IF(A1235&lt;&gt;"", IF(ISBLANK(L1235), TODAY(), K1235), "")</f>
        <v/>
      </c>
      <c r="L1235" s="78" t="n"/>
      <c r="M1235" s="78">
        <f>IF(ISBLANK(L1235),"",IF(D1235="Stock",IF(C1235="Buy",L1235*G1235,IF(C1235="Sell",(L1235*G1235)-I1235, X)),IF(C1235="Buy",(L1235*G1235*100)+I1235,IF(C1235="Sell",(L1235*G1235*100)-I1235, X))))</f>
        <v/>
      </c>
      <c r="N1235" s="78">
        <f>IF(ISBLANK(L1235),"",IF(AND(C1235="Sell",D1235="Stock"),M1235,IF(ISBLANK(L1235),"",IF(C1235="Buy",M1235, IF(AND(C1235="Sell",J1235="NA"),(E1235*G1235*100*0.1)+I1235, IF(C1235="Sell",(J1235-L1235)*(100*G1235)+I1235))))))</f>
        <v/>
      </c>
      <c r="O1235" s="75" t="n"/>
      <c r="P1235" s="75" t="n"/>
      <c r="Q1235" s="75">
        <f>IF(ISBLANK(P1235),"",IF(D1235="Stock",P1235*G1235,IF(P1235=0,"0",G1235*P1235*100-(G1235*$AF$14))))</f>
        <v/>
      </c>
      <c r="R1235" s="79">
        <f>IF(P1235&lt;&gt;"", TODAY(), "")</f>
        <v/>
      </c>
      <c r="S1235" s="78">
        <f>IF(AND(K1235&lt;&gt;"", R1235&lt;&gt;""), R1235-K1235, "")</f>
        <v/>
      </c>
      <c r="T1235" s="78" t="n"/>
      <c r="U1235" s="92">
        <f>IF(ISBLANK(P1235),"",IF(C1235="Buy",Q1235-M1235+T1235, IF(C1235="Sell",M1235-Q1235-T1235, X)))</f>
        <v/>
      </c>
      <c r="V1235" s="81">
        <f>IF(ISBLANK(P1235),"",U1235/N1235)</f>
        <v/>
      </c>
      <c r="W1235" s="81">
        <f>IF(ISBLANK(P1235),"",IF(S1235=0,(365/0.5)*V1235,(365/S1235)*V1235))</f>
        <v/>
      </c>
      <c r="X1235" s="75" t="n"/>
      <c r="Y1235" s="77" t="n"/>
      <c r="Z1235" s="77" t="n"/>
      <c r="AA1235" s="75" t="n"/>
      <c r="AB1235" s="75" t="n"/>
      <c r="AC1235" s="6" t="n"/>
      <c r="AD1235" s="75" t="n"/>
      <c r="AE1235" s="75" t="n"/>
      <c r="AF1235" s="75" t="n"/>
    </row>
    <row r="1236" ht="15.75" customHeight="1" s="133">
      <c r="A1236" s="75" t="n"/>
      <c r="B1236" s="75" t="n"/>
      <c r="C1236" s="75" t="n"/>
      <c r="D1236" s="75" t="n"/>
      <c r="E1236" s="76" t="n"/>
      <c r="F1236" s="77" t="n"/>
      <c r="G1236" s="75" t="n"/>
      <c r="H1236" s="75">
        <f>IF(ISBLANK(E1236),"",IF(OR(D1236="Butterfly",D1236="Butterfly ",D1236="Iron Fly", D1236="Iron Fly "),LEN(E1236)-LEN(SUBSTITUTE(E1236,"/",""))+2,LEN(E1236)-LEN(SUBSTITUTE(E1236,"/",""))+1))</f>
        <v/>
      </c>
      <c r="I1236" s="78">
        <f>IF(ISBLANK(G1236),"",IF(D1236="Stock","0",Key!$A$3*H1236*G1236))</f>
        <v/>
      </c>
      <c r="J1236" s="78">
        <f>IF(ISBLANK(E1236),"",IF(ISNUMBER(SEARCH("/",E1236)), IF(LEN(E1236)-LEN(SUBSTITUTE(E1236,"/",""))=1,(RIGHT(E1236,LEN(E1236)-FIND("/",E1236)))-(LEFT(E1236,FIND("/",E1236)-1)),(MID(E1236, SEARCH("/",E1236) + 1, SEARCH("/",E1236, SEARCH("/",E1236)+1) - SEARCH("/",E1236) - 1))-(LEFT(E1236,FIND("/",E1236)-1))), "NA"))</f>
        <v/>
      </c>
      <c r="K1236" s="79">
        <f>IF(A1236&lt;&gt;"", IF(ISBLANK(L1236), TODAY(), K1236), "")</f>
        <v/>
      </c>
      <c r="L1236" s="78" t="n"/>
      <c r="M1236" s="78">
        <f>IF(ISBLANK(L1236),"",IF(D1236="Stock",IF(C1236="Buy",L1236*G1236,IF(C1236="Sell",(L1236*G1236)-I1236, X)),IF(C1236="Buy",(L1236*G1236*100)+I1236,IF(C1236="Sell",(L1236*G1236*100)-I1236, X))))</f>
        <v/>
      </c>
      <c r="N1236" s="78">
        <f>IF(ISBLANK(L1236),"",IF(AND(C1236="Sell",D1236="Stock"),M1236,IF(ISBLANK(L1236),"",IF(C1236="Buy",M1236, IF(AND(C1236="Sell",J1236="NA"),(E1236*G1236*100*0.1)+I1236, IF(C1236="Sell",(J1236-L1236)*(100*G1236)+I1236))))))</f>
        <v/>
      </c>
      <c r="O1236" s="75" t="n"/>
      <c r="P1236" s="75" t="n"/>
      <c r="Q1236" s="75">
        <f>IF(ISBLANK(P1236),"",IF(D1236="Stock",P1236*G1236,IF(P1236=0,"0",G1236*P1236*100-(G1236*$AF$14))))</f>
        <v/>
      </c>
      <c r="R1236" s="79">
        <f>IF(P1236&lt;&gt;"", TODAY(), "")</f>
        <v/>
      </c>
      <c r="S1236" s="78">
        <f>IF(AND(K1236&lt;&gt;"", R1236&lt;&gt;""), R1236-K1236, "")</f>
        <v/>
      </c>
      <c r="T1236" s="78" t="n"/>
      <c r="U1236" s="92">
        <f>IF(ISBLANK(P1236),"",IF(C1236="Buy",Q1236-M1236+T1236, IF(C1236="Sell",M1236-Q1236-T1236, X)))</f>
        <v/>
      </c>
      <c r="V1236" s="81">
        <f>IF(ISBLANK(P1236),"",U1236/N1236)</f>
        <v/>
      </c>
      <c r="W1236" s="81">
        <f>IF(ISBLANK(P1236),"",IF(S1236=0,(365/0.5)*V1236,(365/S1236)*V1236))</f>
        <v/>
      </c>
      <c r="X1236" s="75" t="n"/>
      <c r="Y1236" s="77" t="n"/>
      <c r="Z1236" s="77" t="n"/>
      <c r="AA1236" s="75" t="n"/>
      <c r="AB1236" s="75" t="n"/>
      <c r="AC1236" s="6" t="n"/>
      <c r="AD1236" s="75" t="n"/>
      <c r="AE1236" s="75" t="n"/>
      <c r="AF1236" s="75" t="n"/>
    </row>
    <row r="1237" ht="15.75" customHeight="1" s="133">
      <c r="A1237" s="75" t="n"/>
      <c r="B1237" s="75" t="n"/>
      <c r="C1237" s="75" t="n"/>
      <c r="D1237" s="75" t="n"/>
      <c r="E1237" s="76" t="n"/>
      <c r="F1237" s="77" t="n"/>
      <c r="G1237" s="75" t="n"/>
      <c r="H1237" s="75">
        <f>IF(ISBLANK(E1237),"",IF(OR(D1237="Butterfly",D1237="Butterfly ",D1237="Iron Fly", D1237="Iron Fly "),LEN(E1237)-LEN(SUBSTITUTE(E1237,"/",""))+2,LEN(E1237)-LEN(SUBSTITUTE(E1237,"/",""))+1))</f>
        <v/>
      </c>
      <c r="I1237" s="78">
        <f>IF(ISBLANK(G1237),"",IF(D1237="Stock","0",Key!$A$3*H1237*G1237))</f>
        <v/>
      </c>
      <c r="J1237" s="78">
        <f>IF(ISBLANK(E1237),"",IF(ISNUMBER(SEARCH("/",E1237)), IF(LEN(E1237)-LEN(SUBSTITUTE(E1237,"/",""))=1,(RIGHT(E1237,LEN(E1237)-FIND("/",E1237)))-(LEFT(E1237,FIND("/",E1237)-1)),(MID(E1237, SEARCH("/",E1237) + 1, SEARCH("/",E1237, SEARCH("/",E1237)+1) - SEARCH("/",E1237) - 1))-(LEFT(E1237,FIND("/",E1237)-1))), "NA"))</f>
        <v/>
      </c>
      <c r="K1237" s="79">
        <f>IF(A1237&lt;&gt;"", IF(ISBLANK(L1237), TODAY(), K1237), "")</f>
        <v/>
      </c>
      <c r="L1237" s="78" t="n"/>
      <c r="M1237" s="78">
        <f>IF(ISBLANK(L1237),"",IF(D1237="Stock",IF(C1237="Buy",L1237*G1237,IF(C1237="Sell",(L1237*G1237)-I1237, X)),IF(C1237="Buy",(L1237*G1237*100)+I1237,IF(C1237="Sell",(L1237*G1237*100)-I1237, X))))</f>
        <v/>
      </c>
      <c r="N1237" s="78">
        <f>IF(ISBLANK(L1237),"",IF(AND(C1237="Sell",D1237="Stock"),M1237,IF(ISBLANK(L1237),"",IF(C1237="Buy",M1237, IF(AND(C1237="Sell",J1237="NA"),(E1237*G1237*100*0.1)+I1237, IF(C1237="Sell",(J1237-L1237)*(100*G1237)+I1237))))))</f>
        <v/>
      </c>
      <c r="O1237" s="75" t="n"/>
      <c r="P1237" s="75" t="n"/>
      <c r="Q1237" s="75">
        <f>IF(ISBLANK(P1237),"",IF(D1237="Stock",P1237*G1237,IF(P1237=0,"0",G1237*P1237*100-(G1237*$AF$14))))</f>
        <v/>
      </c>
      <c r="R1237" s="79">
        <f>IF(P1237&lt;&gt;"", TODAY(), "")</f>
        <v/>
      </c>
      <c r="S1237" s="78">
        <f>IF(AND(K1237&lt;&gt;"", R1237&lt;&gt;""), R1237-K1237, "")</f>
        <v/>
      </c>
      <c r="T1237" s="78" t="n"/>
      <c r="U1237" s="92">
        <f>IF(ISBLANK(P1237),"",IF(C1237="Buy",Q1237-M1237+T1237, IF(C1237="Sell",M1237-Q1237-T1237, X)))</f>
        <v/>
      </c>
      <c r="V1237" s="81">
        <f>IF(ISBLANK(P1237),"",U1237/N1237)</f>
        <v/>
      </c>
      <c r="W1237" s="81">
        <f>IF(ISBLANK(P1237),"",IF(S1237=0,(365/0.5)*V1237,(365/S1237)*V1237))</f>
        <v/>
      </c>
      <c r="X1237" s="75" t="n"/>
      <c r="Y1237" s="77" t="n"/>
      <c r="Z1237" s="77" t="n"/>
      <c r="AA1237" s="75" t="n"/>
      <c r="AB1237" s="75" t="n"/>
      <c r="AC1237" s="6" t="n"/>
      <c r="AD1237" s="75" t="n"/>
      <c r="AE1237" s="75" t="n"/>
      <c r="AF1237" s="75" t="n"/>
    </row>
    <row r="1238" ht="15.75" customHeight="1" s="133">
      <c r="A1238" s="75" t="n"/>
      <c r="B1238" s="75" t="n"/>
      <c r="C1238" s="75" t="n"/>
      <c r="D1238" s="75" t="n"/>
      <c r="E1238" s="76" t="n"/>
      <c r="F1238" s="77" t="n"/>
      <c r="G1238" s="75" t="n"/>
      <c r="H1238" s="75">
        <f>IF(ISBLANK(E1238),"",IF(OR(D1238="Butterfly",D1238="Butterfly ",D1238="Iron Fly", D1238="Iron Fly "),LEN(E1238)-LEN(SUBSTITUTE(E1238,"/",""))+2,LEN(E1238)-LEN(SUBSTITUTE(E1238,"/",""))+1))</f>
        <v/>
      </c>
      <c r="I1238" s="78">
        <f>IF(ISBLANK(G1238),"",IF(D1238="Stock","0",Key!$A$3*H1238*G1238))</f>
        <v/>
      </c>
      <c r="J1238" s="78">
        <f>IF(ISBLANK(E1238),"",IF(ISNUMBER(SEARCH("/",E1238)), IF(LEN(E1238)-LEN(SUBSTITUTE(E1238,"/",""))=1,(RIGHT(E1238,LEN(E1238)-FIND("/",E1238)))-(LEFT(E1238,FIND("/",E1238)-1)),(MID(E1238, SEARCH("/",E1238) + 1, SEARCH("/",E1238, SEARCH("/",E1238)+1) - SEARCH("/",E1238) - 1))-(LEFT(E1238,FIND("/",E1238)-1))), "NA"))</f>
        <v/>
      </c>
      <c r="K1238" s="79">
        <f>IF(A1238&lt;&gt;"", IF(ISBLANK(L1238), TODAY(), K1238), "")</f>
        <v/>
      </c>
      <c r="L1238" s="78" t="n"/>
      <c r="M1238" s="78">
        <f>IF(ISBLANK(L1238),"",IF(D1238="Stock",IF(C1238="Buy",L1238*G1238,IF(C1238="Sell",(L1238*G1238)-I1238, X)),IF(C1238="Buy",(L1238*G1238*100)+I1238,IF(C1238="Sell",(L1238*G1238*100)-I1238, X))))</f>
        <v/>
      </c>
      <c r="N1238" s="78">
        <f>IF(ISBLANK(L1238),"",IF(AND(C1238="Sell",D1238="Stock"),M1238,IF(ISBLANK(L1238),"",IF(C1238="Buy",M1238, IF(AND(C1238="Sell",J1238="NA"),(E1238*G1238*100*0.1)+I1238, IF(C1238="Sell",(J1238-L1238)*(100*G1238)+I1238))))))</f>
        <v/>
      </c>
      <c r="O1238" s="75" t="n"/>
      <c r="P1238" s="75" t="n"/>
      <c r="Q1238" s="75">
        <f>IF(ISBLANK(P1238),"",IF(D1238="Stock",P1238*G1238,IF(P1238=0,"0",G1238*P1238*100-(G1238*$AF$14))))</f>
        <v/>
      </c>
      <c r="R1238" s="79">
        <f>IF(P1238&lt;&gt;"", TODAY(), "")</f>
        <v/>
      </c>
      <c r="S1238" s="78">
        <f>IF(AND(K1238&lt;&gt;"", R1238&lt;&gt;""), R1238-K1238, "")</f>
        <v/>
      </c>
      <c r="T1238" s="78" t="n"/>
      <c r="U1238" s="92">
        <f>IF(ISBLANK(P1238),"",IF(C1238="Buy",Q1238-M1238+T1238, IF(C1238="Sell",M1238-Q1238-T1238, X)))</f>
        <v/>
      </c>
      <c r="V1238" s="81">
        <f>IF(ISBLANK(P1238),"",U1238/N1238)</f>
        <v/>
      </c>
      <c r="W1238" s="81">
        <f>IF(ISBLANK(P1238),"",IF(S1238=0,(365/0.5)*V1238,(365/S1238)*V1238))</f>
        <v/>
      </c>
      <c r="X1238" s="75" t="n"/>
      <c r="Y1238" s="77" t="n"/>
      <c r="Z1238" s="77" t="n"/>
      <c r="AA1238" s="75" t="n"/>
      <c r="AB1238" s="75" t="n"/>
      <c r="AC1238" s="6" t="n"/>
      <c r="AD1238" s="75" t="n"/>
      <c r="AE1238" s="75" t="n"/>
      <c r="AF1238" s="75" t="n"/>
    </row>
    <row r="1239" ht="15.75" customHeight="1" s="133">
      <c r="A1239" s="75" t="n"/>
      <c r="B1239" s="75" t="n"/>
      <c r="C1239" s="75" t="n"/>
      <c r="D1239" s="75" t="n"/>
      <c r="E1239" s="76" t="n"/>
      <c r="F1239" s="77" t="n"/>
      <c r="G1239" s="75" t="n"/>
      <c r="H1239" s="75">
        <f>IF(ISBLANK(E1239),"",IF(OR(D1239="Butterfly",D1239="Butterfly ",D1239="Iron Fly", D1239="Iron Fly "),LEN(E1239)-LEN(SUBSTITUTE(E1239,"/",""))+2,LEN(E1239)-LEN(SUBSTITUTE(E1239,"/",""))+1))</f>
        <v/>
      </c>
      <c r="I1239" s="78">
        <f>IF(ISBLANK(G1239),"",IF(D1239="Stock","0",Key!$A$3*H1239*G1239))</f>
        <v/>
      </c>
      <c r="J1239" s="78">
        <f>IF(ISBLANK(E1239),"",IF(ISNUMBER(SEARCH("/",E1239)), IF(LEN(E1239)-LEN(SUBSTITUTE(E1239,"/",""))=1,(RIGHT(E1239,LEN(E1239)-FIND("/",E1239)))-(LEFT(E1239,FIND("/",E1239)-1)),(MID(E1239, SEARCH("/",E1239) + 1, SEARCH("/",E1239, SEARCH("/",E1239)+1) - SEARCH("/",E1239) - 1))-(LEFT(E1239,FIND("/",E1239)-1))), "NA"))</f>
        <v/>
      </c>
      <c r="K1239" s="79">
        <f>IF(A1239&lt;&gt;"", IF(ISBLANK(L1239), TODAY(), K1239), "")</f>
        <v/>
      </c>
      <c r="L1239" s="78" t="n"/>
      <c r="M1239" s="78">
        <f>IF(ISBLANK(L1239),"",IF(D1239="Stock",IF(C1239="Buy",L1239*G1239,IF(C1239="Sell",(L1239*G1239)-I1239, X)),IF(C1239="Buy",(L1239*G1239*100)+I1239,IF(C1239="Sell",(L1239*G1239*100)-I1239, X))))</f>
        <v/>
      </c>
      <c r="N1239" s="78">
        <f>IF(ISBLANK(L1239),"",IF(AND(C1239="Sell",D1239="Stock"),M1239,IF(ISBLANK(L1239),"",IF(C1239="Buy",M1239, IF(AND(C1239="Sell",J1239="NA"),(E1239*G1239*100*0.1)+I1239, IF(C1239="Sell",(J1239-L1239)*(100*G1239)+I1239))))))</f>
        <v/>
      </c>
      <c r="O1239" s="75" t="n"/>
      <c r="P1239" s="75" t="n"/>
      <c r="Q1239" s="75">
        <f>IF(ISBLANK(P1239),"",IF(D1239="Stock",P1239*G1239,IF(P1239=0,"0",G1239*P1239*100-(G1239*$AF$14))))</f>
        <v/>
      </c>
      <c r="R1239" s="79">
        <f>IF(P1239&lt;&gt;"", TODAY(), "")</f>
        <v/>
      </c>
      <c r="S1239" s="78">
        <f>IF(AND(K1239&lt;&gt;"", R1239&lt;&gt;""), R1239-K1239, "")</f>
        <v/>
      </c>
      <c r="T1239" s="78" t="n"/>
      <c r="U1239" s="92">
        <f>IF(ISBLANK(P1239),"",IF(C1239="Buy",Q1239-M1239+T1239, IF(C1239="Sell",M1239-Q1239-T1239, X)))</f>
        <v/>
      </c>
      <c r="V1239" s="81">
        <f>IF(ISBLANK(P1239),"",U1239/N1239)</f>
        <v/>
      </c>
      <c r="W1239" s="81">
        <f>IF(ISBLANK(P1239),"",IF(S1239=0,(365/0.5)*V1239,(365/S1239)*V1239))</f>
        <v/>
      </c>
      <c r="X1239" s="75" t="n"/>
      <c r="Y1239" s="77" t="n"/>
      <c r="Z1239" s="77" t="n"/>
      <c r="AA1239" s="75" t="n"/>
      <c r="AB1239" s="75" t="n"/>
      <c r="AC1239" s="6" t="n"/>
      <c r="AD1239" s="75" t="n"/>
      <c r="AE1239" s="75" t="n"/>
      <c r="AF1239" s="75" t="n"/>
    </row>
    <row r="1240" ht="15.75" customHeight="1" s="133">
      <c r="A1240" s="75" t="n"/>
      <c r="B1240" s="75" t="n"/>
      <c r="C1240" s="75" t="n"/>
      <c r="D1240" s="75" t="n"/>
      <c r="E1240" s="76" t="n"/>
      <c r="F1240" s="77" t="n"/>
      <c r="G1240" s="75" t="n"/>
      <c r="H1240" s="75">
        <f>IF(ISBLANK(E1240),"",IF(OR(D1240="Butterfly",D1240="Butterfly ",D1240="Iron Fly", D1240="Iron Fly "),LEN(E1240)-LEN(SUBSTITUTE(E1240,"/",""))+2,LEN(E1240)-LEN(SUBSTITUTE(E1240,"/",""))+1))</f>
        <v/>
      </c>
      <c r="I1240" s="78">
        <f>IF(ISBLANK(G1240),"",IF(D1240="Stock","0",Key!$A$3*H1240*G1240))</f>
        <v/>
      </c>
      <c r="J1240" s="78">
        <f>IF(ISBLANK(E1240),"",IF(ISNUMBER(SEARCH("/",E1240)), IF(LEN(E1240)-LEN(SUBSTITUTE(E1240,"/",""))=1,(RIGHT(E1240,LEN(E1240)-FIND("/",E1240)))-(LEFT(E1240,FIND("/",E1240)-1)),(MID(E1240, SEARCH("/",E1240) + 1, SEARCH("/",E1240, SEARCH("/",E1240)+1) - SEARCH("/",E1240) - 1))-(LEFT(E1240,FIND("/",E1240)-1))), "NA"))</f>
        <v/>
      </c>
      <c r="K1240" s="79">
        <f>IF(A1240&lt;&gt;"", IF(ISBLANK(L1240), TODAY(), K1240), "")</f>
        <v/>
      </c>
      <c r="L1240" s="78" t="n"/>
      <c r="M1240" s="78">
        <f>IF(ISBLANK(L1240),"",IF(D1240="Stock",IF(C1240="Buy",L1240*G1240,IF(C1240="Sell",(L1240*G1240)-I1240, X)),IF(C1240="Buy",(L1240*G1240*100)+I1240,IF(C1240="Sell",(L1240*G1240*100)-I1240, X))))</f>
        <v/>
      </c>
      <c r="N1240" s="78">
        <f>IF(ISBLANK(L1240),"",IF(AND(C1240="Sell",D1240="Stock"),M1240,IF(ISBLANK(L1240),"",IF(C1240="Buy",M1240, IF(AND(C1240="Sell",J1240="NA"),(E1240*G1240*100*0.1)+I1240, IF(C1240="Sell",(J1240-L1240)*(100*G1240)+I1240))))))</f>
        <v/>
      </c>
      <c r="O1240" s="75" t="n"/>
      <c r="P1240" s="75" t="n"/>
      <c r="Q1240" s="75">
        <f>IF(ISBLANK(P1240),"",IF(D1240="Stock",P1240*G1240,IF(P1240=0,"0",G1240*P1240*100-(G1240*$AF$14))))</f>
        <v/>
      </c>
      <c r="R1240" s="79">
        <f>IF(P1240&lt;&gt;"", TODAY(), "")</f>
        <v/>
      </c>
      <c r="S1240" s="78">
        <f>IF(AND(K1240&lt;&gt;"", R1240&lt;&gt;""), R1240-K1240, "")</f>
        <v/>
      </c>
      <c r="T1240" s="78" t="n"/>
      <c r="U1240" s="92">
        <f>IF(ISBLANK(P1240),"",IF(C1240="Buy",Q1240-M1240+T1240, IF(C1240="Sell",M1240-Q1240-T1240, X)))</f>
        <v/>
      </c>
      <c r="V1240" s="81">
        <f>IF(ISBLANK(P1240),"",U1240/N1240)</f>
        <v/>
      </c>
      <c r="W1240" s="81">
        <f>IF(ISBLANK(P1240),"",IF(S1240=0,(365/0.5)*V1240,(365/S1240)*V1240))</f>
        <v/>
      </c>
      <c r="X1240" s="75" t="n"/>
      <c r="Y1240" s="77" t="n"/>
      <c r="Z1240" s="77" t="n"/>
      <c r="AA1240" s="75" t="n"/>
      <c r="AB1240" s="75" t="n"/>
      <c r="AC1240" s="6" t="n"/>
      <c r="AD1240" s="75" t="n"/>
      <c r="AE1240" s="75" t="n"/>
      <c r="AF1240" s="75" t="n"/>
    </row>
    <row r="1241" ht="15.75" customHeight="1" s="133">
      <c r="A1241" s="75" t="n"/>
      <c r="B1241" s="75" t="n"/>
      <c r="C1241" s="75" t="n"/>
      <c r="D1241" s="75" t="n"/>
      <c r="E1241" s="76" t="n"/>
      <c r="F1241" s="77" t="n"/>
      <c r="G1241" s="75" t="n"/>
      <c r="H1241" s="75">
        <f>IF(ISBLANK(E1241),"",IF(OR(D1241="Butterfly",D1241="Butterfly ",D1241="Iron Fly", D1241="Iron Fly "),LEN(E1241)-LEN(SUBSTITUTE(E1241,"/",""))+2,LEN(E1241)-LEN(SUBSTITUTE(E1241,"/",""))+1))</f>
        <v/>
      </c>
      <c r="I1241" s="78">
        <f>IF(ISBLANK(G1241),"",IF(D1241="Stock","0",Key!$A$3*H1241*G1241))</f>
        <v/>
      </c>
      <c r="J1241" s="78">
        <f>IF(ISBLANK(E1241),"",IF(ISNUMBER(SEARCH("/",E1241)), IF(LEN(E1241)-LEN(SUBSTITUTE(E1241,"/",""))=1,(RIGHT(E1241,LEN(E1241)-FIND("/",E1241)))-(LEFT(E1241,FIND("/",E1241)-1)),(MID(E1241, SEARCH("/",E1241) + 1, SEARCH("/",E1241, SEARCH("/",E1241)+1) - SEARCH("/",E1241) - 1))-(LEFT(E1241,FIND("/",E1241)-1))), "NA"))</f>
        <v/>
      </c>
      <c r="K1241" s="79">
        <f>IF(A1241&lt;&gt;"", IF(ISBLANK(L1241), TODAY(), K1241), "")</f>
        <v/>
      </c>
      <c r="L1241" s="78" t="n"/>
      <c r="M1241" s="78">
        <f>IF(ISBLANK(L1241),"",IF(D1241="Stock",IF(C1241="Buy",L1241*G1241,IF(C1241="Sell",(L1241*G1241)-I1241, X)),IF(C1241="Buy",(L1241*G1241*100)+I1241,IF(C1241="Sell",(L1241*G1241*100)-I1241, X))))</f>
        <v/>
      </c>
      <c r="N1241" s="78">
        <f>IF(ISBLANK(L1241),"",IF(AND(C1241="Sell",D1241="Stock"),M1241,IF(ISBLANK(L1241),"",IF(C1241="Buy",M1241, IF(AND(C1241="Sell",J1241="NA"),(E1241*G1241*100*0.1)+I1241, IF(C1241="Sell",(J1241-L1241)*(100*G1241)+I1241))))))</f>
        <v/>
      </c>
      <c r="O1241" s="75" t="n"/>
      <c r="P1241" s="75" t="n"/>
      <c r="Q1241" s="75">
        <f>IF(ISBLANK(P1241),"",IF(D1241="Stock",P1241*G1241,IF(P1241=0,"0",G1241*P1241*100-(G1241*$AF$14))))</f>
        <v/>
      </c>
      <c r="R1241" s="79">
        <f>IF(P1241&lt;&gt;"", TODAY(), "")</f>
        <v/>
      </c>
      <c r="S1241" s="78">
        <f>IF(AND(K1241&lt;&gt;"", R1241&lt;&gt;""), R1241-K1241, "")</f>
        <v/>
      </c>
      <c r="T1241" s="78" t="n"/>
      <c r="U1241" s="92">
        <f>IF(ISBLANK(P1241),"",IF(C1241="Buy",Q1241-M1241+T1241, IF(C1241="Sell",M1241-Q1241-T1241, X)))</f>
        <v/>
      </c>
      <c r="V1241" s="81">
        <f>IF(ISBLANK(P1241),"",U1241/N1241)</f>
        <v/>
      </c>
      <c r="W1241" s="81">
        <f>IF(ISBLANK(P1241),"",IF(S1241=0,(365/0.5)*V1241,(365/S1241)*V1241))</f>
        <v/>
      </c>
      <c r="X1241" s="75" t="n"/>
      <c r="Y1241" s="77" t="n"/>
      <c r="Z1241" s="77" t="n"/>
      <c r="AA1241" s="75" t="n"/>
      <c r="AB1241" s="75" t="n"/>
      <c r="AC1241" s="6" t="n"/>
      <c r="AD1241" s="75" t="n"/>
      <c r="AE1241" s="75" t="n"/>
      <c r="AF1241" s="75" t="n"/>
    </row>
    <row r="1242" ht="15.75" customHeight="1" s="133">
      <c r="A1242" s="75" t="n"/>
      <c r="B1242" s="75" t="n"/>
      <c r="C1242" s="75" t="n"/>
      <c r="D1242" s="75" t="n"/>
      <c r="E1242" s="76" t="n"/>
      <c r="F1242" s="77" t="n"/>
      <c r="G1242" s="75" t="n"/>
      <c r="H1242" s="75">
        <f>IF(ISBLANK(E1242),"",IF(OR(D1242="Butterfly",D1242="Butterfly ",D1242="Iron Fly", D1242="Iron Fly "),LEN(E1242)-LEN(SUBSTITUTE(E1242,"/",""))+2,LEN(E1242)-LEN(SUBSTITUTE(E1242,"/",""))+1))</f>
        <v/>
      </c>
      <c r="I1242" s="78">
        <f>IF(ISBLANK(G1242),"",IF(D1242="Stock","0",Key!$A$3*H1242*G1242))</f>
        <v/>
      </c>
      <c r="J1242" s="78">
        <f>IF(ISBLANK(E1242),"",IF(ISNUMBER(SEARCH("/",E1242)), IF(LEN(E1242)-LEN(SUBSTITUTE(E1242,"/",""))=1,(RIGHT(E1242,LEN(E1242)-FIND("/",E1242)))-(LEFT(E1242,FIND("/",E1242)-1)),(MID(E1242, SEARCH("/",E1242) + 1, SEARCH("/",E1242, SEARCH("/",E1242)+1) - SEARCH("/",E1242) - 1))-(LEFT(E1242,FIND("/",E1242)-1))), "NA"))</f>
        <v/>
      </c>
      <c r="K1242" s="79">
        <f>IF(A1242&lt;&gt;"", IF(ISBLANK(L1242), TODAY(), K1242), "")</f>
        <v/>
      </c>
      <c r="L1242" s="78" t="n"/>
      <c r="M1242" s="78">
        <f>IF(ISBLANK(L1242),"",IF(D1242="Stock",IF(C1242="Buy",L1242*G1242,IF(C1242="Sell",(L1242*G1242)-I1242, X)),IF(C1242="Buy",(L1242*G1242*100)+I1242,IF(C1242="Sell",(L1242*G1242*100)-I1242, X))))</f>
        <v/>
      </c>
      <c r="N1242" s="78">
        <f>IF(ISBLANK(L1242),"",IF(AND(C1242="Sell",D1242="Stock"),M1242,IF(ISBLANK(L1242),"",IF(C1242="Buy",M1242, IF(AND(C1242="Sell",J1242="NA"),(E1242*G1242*100*0.1)+I1242, IF(C1242="Sell",(J1242-L1242)*(100*G1242)+I1242))))))</f>
        <v/>
      </c>
      <c r="O1242" s="75" t="n"/>
      <c r="P1242" s="75" t="n"/>
      <c r="Q1242" s="75">
        <f>IF(ISBLANK(P1242),"",IF(D1242="Stock",P1242*G1242,IF(P1242=0,"0",G1242*P1242*100-(G1242*$AF$14))))</f>
        <v/>
      </c>
      <c r="R1242" s="79">
        <f>IF(P1242&lt;&gt;"", TODAY(), "")</f>
        <v/>
      </c>
      <c r="S1242" s="78">
        <f>IF(AND(K1242&lt;&gt;"", R1242&lt;&gt;""), R1242-K1242, "")</f>
        <v/>
      </c>
      <c r="T1242" s="78" t="n"/>
      <c r="U1242" s="92">
        <f>IF(ISBLANK(P1242),"",IF(C1242="Buy",Q1242-M1242+T1242, IF(C1242="Sell",M1242-Q1242-T1242, X)))</f>
        <v/>
      </c>
      <c r="V1242" s="81">
        <f>IF(ISBLANK(P1242),"",U1242/N1242)</f>
        <v/>
      </c>
      <c r="W1242" s="81">
        <f>IF(ISBLANK(P1242),"",IF(S1242=0,(365/0.5)*V1242,(365/S1242)*V1242))</f>
        <v/>
      </c>
      <c r="X1242" s="75" t="n"/>
      <c r="Y1242" s="77" t="n"/>
      <c r="Z1242" s="77" t="n"/>
      <c r="AA1242" s="75" t="n"/>
      <c r="AB1242" s="75" t="n"/>
      <c r="AC1242" s="6" t="n"/>
      <c r="AD1242" s="75" t="n"/>
      <c r="AE1242" s="75" t="n"/>
      <c r="AF1242" s="75" t="n"/>
    </row>
    <row r="1243" ht="15.75" customHeight="1" s="133">
      <c r="A1243" s="75" t="n"/>
      <c r="B1243" s="75" t="n"/>
      <c r="C1243" s="75" t="n"/>
      <c r="D1243" s="75" t="n"/>
      <c r="E1243" s="76" t="n"/>
      <c r="F1243" s="77" t="n"/>
      <c r="G1243" s="75" t="n"/>
      <c r="H1243" s="75">
        <f>IF(ISBLANK(E1243),"",IF(OR(D1243="Butterfly",D1243="Butterfly ",D1243="Iron Fly", D1243="Iron Fly "),LEN(E1243)-LEN(SUBSTITUTE(E1243,"/",""))+2,LEN(E1243)-LEN(SUBSTITUTE(E1243,"/",""))+1))</f>
        <v/>
      </c>
      <c r="I1243" s="78">
        <f>IF(ISBLANK(G1243),"",IF(D1243="Stock","0",Key!$A$3*H1243*G1243))</f>
        <v/>
      </c>
      <c r="J1243" s="78">
        <f>IF(ISBLANK(E1243),"",IF(ISNUMBER(SEARCH("/",E1243)), IF(LEN(E1243)-LEN(SUBSTITUTE(E1243,"/",""))=1,(RIGHT(E1243,LEN(E1243)-FIND("/",E1243)))-(LEFT(E1243,FIND("/",E1243)-1)),(MID(E1243, SEARCH("/",E1243) + 1, SEARCH("/",E1243, SEARCH("/",E1243)+1) - SEARCH("/",E1243) - 1))-(LEFT(E1243,FIND("/",E1243)-1))), "NA"))</f>
        <v/>
      </c>
      <c r="K1243" s="79">
        <f>IF(A1243&lt;&gt;"", IF(ISBLANK(L1243), TODAY(), K1243), "")</f>
        <v/>
      </c>
      <c r="L1243" s="78" t="n"/>
      <c r="M1243" s="78">
        <f>IF(ISBLANK(L1243),"",IF(D1243="Stock",IF(C1243="Buy",L1243*G1243,IF(C1243="Sell",(L1243*G1243)-I1243, X)),IF(C1243="Buy",(L1243*G1243*100)+I1243,IF(C1243="Sell",(L1243*G1243*100)-I1243, X))))</f>
        <v/>
      </c>
      <c r="N1243" s="78">
        <f>IF(ISBLANK(L1243),"",IF(AND(C1243="Sell",D1243="Stock"),M1243,IF(ISBLANK(L1243),"",IF(C1243="Buy",M1243, IF(AND(C1243="Sell",J1243="NA"),(E1243*G1243*100*0.1)+I1243, IF(C1243="Sell",(J1243-L1243)*(100*G1243)+I1243))))))</f>
        <v/>
      </c>
      <c r="O1243" s="75" t="n"/>
      <c r="P1243" s="75" t="n"/>
      <c r="Q1243" s="75">
        <f>IF(ISBLANK(P1243),"",IF(D1243="Stock",P1243*G1243,IF(P1243=0,"0",G1243*P1243*100-(G1243*$AF$14))))</f>
        <v/>
      </c>
      <c r="R1243" s="79">
        <f>IF(P1243&lt;&gt;"", TODAY(), "")</f>
        <v/>
      </c>
      <c r="S1243" s="78">
        <f>IF(AND(K1243&lt;&gt;"", R1243&lt;&gt;""), R1243-K1243, "")</f>
        <v/>
      </c>
      <c r="T1243" s="78" t="n"/>
      <c r="U1243" s="92">
        <f>IF(ISBLANK(P1243),"",IF(C1243="Buy",Q1243-M1243+T1243, IF(C1243="Sell",M1243-Q1243-T1243, X)))</f>
        <v/>
      </c>
      <c r="V1243" s="81">
        <f>IF(ISBLANK(P1243),"",U1243/N1243)</f>
        <v/>
      </c>
      <c r="W1243" s="81">
        <f>IF(ISBLANK(P1243),"",IF(S1243=0,(365/0.5)*V1243,(365/S1243)*V1243))</f>
        <v/>
      </c>
      <c r="X1243" s="75" t="n"/>
      <c r="Y1243" s="77" t="n"/>
      <c r="Z1243" s="77" t="n"/>
      <c r="AA1243" s="75" t="n"/>
      <c r="AB1243" s="75" t="n"/>
      <c r="AC1243" s="6" t="n"/>
      <c r="AD1243" s="75" t="n"/>
      <c r="AE1243" s="75" t="n"/>
      <c r="AF1243" s="75" t="n"/>
    </row>
    <row r="1244" ht="15.75" customHeight="1" s="133">
      <c r="A1244" s="75" t="n"/>
      <c r="B1244" s="75" t="n"/>
      <c r="C1244" s="75" t="n"/>
      <c r="D1244" s="75" t="n"/>
      <c r="E1244" s="76" t="n"/>
      <c r="F1244" s="77" t="n"/>
      <c r="G1244" s="75" t="n"/>
      <c r="H1244" s="75">
        <f>IF(ISBLANK(E1244),"",IF(OR(D1244="Butterfly",D1244="Butterfly ",D1244="Iron Fly", D1244="Iron Fly "),LEN(E1244)-LEN(SUBSTITUTE(E1244,"/",""))+2,LEN(E1244)-LEN(SUBSTITUTE(E1244,"/",""))+1))</f>
        <v/>
      </c>
      <c r="I1244" s="78">
        <f>IF(ISBLANK(G1244),"",IF(D1244="Stock","0",Key!$A$3*H1244*G1244))</f>
        <v/>
      </c>
      <c r="J1244" s="78">
        <f>IF(ISBLANK(E1244),"",IF(ISNUMBER(SEARCH("/",E1244)), IF(LEN(E1244)-LEN(SUBSTITUTE(E1244,"/",""))=1,(RIGHT(E1244,LEN(E1244)-FIND("/",E1244)))-(LEFT(E1244,FIND("/",E1244)-1)),(MID(E1244, SEARCH("/",E1244) + 1, SEARCH("/",E1244, SEARCH("/",E1244)+1) - SEARCH("/",E1244) - 1))-(LEFT(E1244,FIND("/",E1244)-1))), "NA"))</f>
        <v/>
      </c>
      <c r="K1244" s="79">
        <f>IF(A1244&lt;&gt;"", IF(ISBLANK(L1244), TODAY(), K1244), "")</f>
        <v/>
      </c>
      <c r="L1244" s="78" t="n"/>
      <c r="M1244" s="78">
        <f>IF(ISBLANK(L1244),"",IF(D1244="Stock",IF(C1244="Buy",L1244*G1244,IF(C1244="Sell",(L1244*G1244)-I1244, X)),IF(C1244="Buy",(L1244*G1244*100)+I1244,IF(C1244="Sell",(L1244*G1244*100)-I1244, X))))</f>
        <v/>
      </c>
      <c r="N1244" s="78">
        <f>IF(ISBLANK(L1244),"",IF(AND(C1244="Sell",D1244="Stock"),M1244,IF(ISBLANK(L1244),"",IF(C1244="Buy",M1244, IF(AND(C1244="Sell",J1244="NA"),(E1244*G1244*100*0.1)+I1244, IF(C1244="Sell",(J1244-L1244)*(100*G1244)+I1244))))))</f>
        <v/>
      </c>
      <c r="O1244" s="75" t="n"/>
      <c r="P1244" s="75" t="n"/>
      <c r="Q1244" s="75">
        <f>IF(ISBLANK(P1244),"",IF(D1244="Stock",P1244*G1244,IF(P1244=0,"0",G1244*P1244*100-(G1244*$AF$14))))</f>
        <v/>
      </c>
      <c r="R1244" s="79">
        <f>IF(P1244&lt;&gt;"", TODAY(), "")</f>
        <v/>
      </c>
      <c r="S1244" s="78">
        <f>IF(AND(K1244&lt;&gt;"", R1244&lt;&gt;""), R1244-K1244, "")</f>
        <v/>
      </c>
      <c r="T1244" s="78" t="n"/>
      <c r="U1244" s="92">
        <f>IF(ISBLANK(P1244),"",IF(C1244="Buy",Q1244-M1244+T1244, IF(C1244="Sell",M1244-Q1244-T1244, X)))</f>
        <v/>
      </c>
      <c r="V1244" s="81">
        <f>IF(ISBLANK(P1244),"",U1244/N1244)</f>
        <v/>
      </c>
      <c r="W1244" s="81">
        <f>IF(ISBLANK(P1244),"",IF(S1244=0,(365/0.5)*V1244,(365/S1244)*V1244))</f>
        <v/>
      </c>
      <c r="X1244" s="75" t="n"/>
      <c r="Y1244" s="77" t="n"/>
      <c r="Z1244" s="77" t="n"/>
      <c r="AA1244" s="75" t="n"/>
      <c r="AB1244" s="75" t="n"/>
      <c r="AC1244" s="6" t="n"/>
      <c r="AD1244" s="75" t="n"/>
      <c r="AE1244" s="75" t="n"/>
      <c r="AF1244" s="75" t="n"/>
    </row>
    <row r="1245" ht="15.75" customHeight="1" s="133">
      <c r="A1245" s="75" t="n"/>
      <c r="B1245" s="75" t="n"/>
      <c r="C1245" s="75" t="n"/>
      <c r="D1245" s="75" t="n"/>
      <c r="E1245" s="76" t="n"/>
      <c r="F1245" s="77" t="n"/>
      <c r="G1245" s="75" t="n"/>
      <c r="H1245" s="75">
        <f>IF(ISBLANK(E1245),"",IF(OR(D1245="Butterfly",D1245="Butterfly ",D1245="Iron Fly", D1245="Iron Fly "),LEN(E1245)-LEN(SUBSTITUTE(E1245,"/",""))+2,LEN(E1245)-LEN(SUBSTITUTE(E1245,"/",""))+1))</f>
        <v/>
      </c>
      <c r="I1245" s="78">
        <f>IF(ISBLANK(G1245),"",IF(D1245="Stock","0",Key!$A$3*H1245*G1245))</f>
        <v/>
      </c>
      <c r="J1245" s="78">
        <f>IF(ISBLANK(E1245),"",IF(ISNUMBER(SEARCH("/",E1245)), IF(LEN(E1245)-LEN(SUBSTITUTE(E1245,"/",""))=1,(RIGHT(E1245,LEN(E1245)-FIND("/",E1245)))-(LEFT(E1245,FIND("/",E1245)-1)),(MID(E1245, SEARCH("/",E1245) + 1, SEARCH("/",E1245, SEARCH("/",E1245)+1) - SEARCH("/",E1245) - 1))-(LEFT(E1245,FIND("/",E1245)-1))), "NA"))</f>
        <v/>
      </c>
      <c r="K1245" s="79">
        <f>IF(A1245&lt;&gt;"", IF(ISBLANK(L1245), TODAY(), K1245), "")</f>
        <v/>
      </c>
      <c r="L1245" s="78" t="n"/>
      <c r="M1245" s="78">
        <f>IF(ISBLANK(L1245),"",IF(D1245="Stock",IF(C1245="Buy",L1245*G1245,IF(C1245="Sell",(L1245*G1245)-I1245, X)),IF(C1245="Buy",(L1245*G1245*100)+I1245,IF(C1245="Sell",(L1245*G1245*100)-I1245, X))))</f>
        <v/>
      </c>
      <c r="N1245" s="78">
        <f>IF(ISBLANK(L1245),"",IF(AND(C1245="Sell",D1245="Stock"),M1245,IF(ISBLANK(L1245),"",IF(C1245="Buy",M1245, IF(AND(C1245="Sell",J1245="NA"),(E1245*G1245*100*0.1)+I1245, IF(C1245="Sell",(J1245-L1245)*(100*G1245)+I1245))))))</f>
        <v/>
      </c>
      <c r="O1245" s="75" t="n"/>
      <c r="P1245" s="75" t="n"/>
      <c r="Q1245" s="75">
        <f>IF(ISBLANK(P1245),"",IF(D1245="Stock",P1245*G1245,IF(P1245=0,"0",G1245*P1245*100-(G1245*$AF$14))))</f>
        <v/>
      </c>
      <c r="R1245" s="79">
        <f>IF(P1245&lt;&gt;"", TODAY(), "")</f>
        <v/>
      </c>
      <c r="S1245" s="78">
        <f>IF(AND(K1245&lt;&gt;"", R1245&lt;&gt;""), R1245-K1245, "")</f>
        <v/>
      </c>
      <c r="T1245" s="78" t="n"/>
      <c r="U1245" s="92">
        <f>IF(ISBLANK(P1245),"",IF(C1245="Buy",Q1245-M1245+T1245, IF(C1245="Sell",M1245-Q1245-T1245, X)))</f>
        <v/>
      </c>
      <c r="V1245" s="81">
        <f>IF(ISBLANK(P1245),"",U1245/N1245)</f>
        <v/>
      </c>
      <c r="W1245" s="81">
        <f>IF(ISBLANK(P1245),"",IF(S1245=0,(365/0.5)*V1245,(365/S1245)*V1245))</f>
        <v/>
      </c>
      <c r="X1245" s="75" t="n"/>
      <c r="Y1245" s="77" t="n"/>
      <c r="Z1245" s="77" t="n"/>
      <c r="AA1245" s="75" t="n"/>
      <c r="AB1245" s="75" t="n"/>
      <c r="AC1245" s="6" t="n"/>
      <c r="AD1245" s="75" t="n"/>
      <c r="AE1245" s="75" t="n"/>
      <c r="AF1245" s="75" t="n"/>
    </row>
    <row r="1246" ht="15.75" customHeight="1" s="133">
      <c r="A1246" s="75" t="n"/>
      <c r="B1246" s="75" t="n"/>
      <c r="C1246" s="75" t="n"/>
      <c r="D1246" s="75" t="n"/>
      <c r="E1246" s="76" t="n"/>
      <c r="F1246" s="77" t="n"/>
      <c r="G1246" s="75" t="n"/>
      <c r="H1246" s="75">
        <f>IF(ISBLANK(E1246),"",IF(OR(D1246="Butterfly",D1246="Butterfly ",D1246="Iron Fly", D1246="Iron Fly "),LEN(E1246)-LEN(SUBSTITUTE(E1246,"/",""))+2,LEN(E1246)-LEN(SUBSTITUTE(E1246,"/",""))+1))</f>
        <v/>
      </c>
      <c r="I1246" s="78">
        <f>IF(ISBLANK(G1246),"",IF(D1246="Stock","0",Key!$A$3*H1246*G1246))</f>
        <v/>
      </c>
      <c r="J1246" s="78">
        <f>IF(ISBLANK(E1246),"",IF(ISNUMBER(SEARCH("/",E1246)), IF(LEN(E1246)-LEN(SUBSTITUTE(E1246,"/",""))=1,(RIGHT(E1246,LEN(E1246)-FIND("/",E1246)))-(LEFT(E1246,FIND("/",E1246)-1)),(MID(E1246, SEARCH("/",E1246) + 1, SEARCH("/",E1246, SEARCH("/",E1246)+1) - SEARCH("/",E1246) - 1))-(LEFT(E1246,FIND("/",E1246)-1))), "NA"))</f>
        <v/>
      </c>
      <c r="K1246" s="79">
        <f>IF(A1246&lt;&gt;"", IF(ISBLANK(L1246), TODAY(), K1246), "")</f>
        <v/>
      </c>
      <c r="L1246" s="78" t="n"/>
      <c r="M1246" s="78">
        <f>IF(ISBLANK(L1246),"",IF(D1246="Stock",IF(C1246="Buy",L1246*G1246,IF(C1246="Sell",(L1246*G1246)-I1246, X)),IF(C1246="Buy",(L1246*G1246*100)+I1246,IF(C1246="Sell",(L1246*G1246*100)-I1246, X))))</f>
        <v/>
      </c>
      <c r="N1246" s="78">
        <f>IF(ISBLANK(L1246),"",IF(AND(C1246="Sell",D1246="Stock"),M1246,IF(ISBLANK(L1246),"",IF(C1246="Buy",M1246, IF(AND(C1246="Sell",J1246="NA"),(E1246*G1246*100*0.1)+I1246, IF(C1246="Sell",(J1246-L1246)*(100*G1246)+I1246))))))</f>
        <v/>
      </c>
      <c r="O1246" s="75" t="n"/>
      <c r="P1246" s="75" t="n"/>
      <c r="Q1246" s="75">
        <f>IF(ISBLANK(P1246),"",IF(D1246="Stock",P1246*G1246,IF(P1246=0,"0",G1246*P1246*100-(G1246*$AF$14))))</f>
        <v/>
      </c>
      <c r="R1246" s="79">
        <f>IF(P1246&lt;&gt;"", TODAY(), "")</f>
        <v/>
      </c>
      <c r="S1246" s="78">
        <f>IF(AND(K1246&lt;&gt;"", R1246&lt;&gt;""), R1246-K1246, "")</f>
        <v/>
      </c>
      <c r="T1246" s="78" t="n"/>
      <c r="U1246" s="92">
        <f>IF(ISBLANK(P1246),"",IF(C1246="Buy",Q1246-M1246+T1246, IF(C1246="Sell",M1246-Q1246-T1246, X)))</f>
        <v/>
      </c>
      <c r="V1246" s="81">
        <f>IF(ISBLANK(P1246),"",U1246/N1246)</f>
        <v/>
      </c>
      <c r="W1246" s="81">
        <f>IF(ISBLANK(P1246),"",IF(S1246=0,(365/0.5)*V1246,(365/S1246)*V1246))</f>
        <v/>
      </c>
      <c r="X1246" s="75" t="n"/>
      <c r="Y1246" s="77" t="n"/>
      <c r="Z1246" s="77" t="n"/>
      <c r="AA1246" s="75" t="n"/>
      <c r="AB1246" s="75" t="n"/>
      <c r="AC1246" s="6" t="n"/>
      <c r="AD1246" s="75" t="n"/>
      <c r="AE1246" s="75" t="n"/>
      <c r="AF1246" s="75" t="n"/>
    </row>
    <row r="1247" ht="15.75" customHeight="1" s="133">
      <c r="A1247" s="75" t="n"/>
      <c r="B1247" s="75" t="n"/>
      <c r="C1247" s="75" t="n"/>
      <c r="D1247" s="75" t="n"/>
      <c r="E1247" s="76" t="n"/>
      <c r="F1247" s="77" t="n"/>
      <c r="G1247" s="75" t="n"/>
      <c r="H1247" s="75">
        <f>IF(ISBLANK(E1247),"",IF(OR(D1247="Butterfly",D1247="Butterfly ",D1247="Iron Fly", D1247="Iron Fly "),LEN(E1247)-LEN(SUBSTITUTE(E1247,"/",""))+2,LEN(E1247)-LEN(SUBSTITUTE(E1247,"/",""))+1))</f>
        <v/>
      </c>
      <c r="I1247" s="78">
        <f>IF(ISBLANK(G1247),"",IF(D1247="Stock","0",Key!$A$3*H1247*G1247))</f>
        <v/>
      </c>
      <c r="J1247" s="78">
        <f>IF(ISBLANK(E1247),"",IF(ISNUMBER(SEARCH("/",E1247)), IF(LEN(E1247)-LEN(SUBSTITUTE(E1247,"/",""))=1,(RIGHT(E1247,LEN(E1247)-FIND("/",E1247)))-(LEFT(E1247,FIND("/",E1247)-1)),(MID(E1247, SEARCH("/",E1247) + 1, SEARCH("/",E1247, SEARCH("/",E1247)+1) - SEARCH("/",E1247) - 1))-(LEFT(E1247,FIND("/",E1247)-1))), "NA"))</f>
        <v/>
      </c>
      <c r="K1247" s="79">
        <f>IF(A1247&lt;&gt;"", IF(ISBLANK(L1247), TODAY(), K1247), "")</f>
        <v/>
      </c>
      <c r="L1247" s="78" t="n"/>
      <c r="M1247" s="78">
        <f>IF(ISBLANK(L1247),"",IF(D1247="Stock",IF(C1247="Buy",L1247*G1247,IF(C1247="Sell",(L1247*G1247)-I1247, X)),IF(C1247="Buy",(L1247*G1247*100)+I1247,IF(C1247="Sell",(L1247*G1247*100)-I1247, X))))</f>
        <v/>
      </c>
      <c r="N1247" s="78">
        <f>IF(ISBLANK(L1247),"",IF(AND(C1247="Sell",D1247="Stock"),M1247,IF(ISBLANK(L1247),"",IF(C1247="Buy",M1247, IF(AND(C1247="Sell",J1247="NA"),(E1247*G1247*100*0.1)+I1247, IF(C1247="Sell",(J1247-L1247)*(100*G1247)+I1247))))))</f>
        <v/>
      </c>
      <c r="O1247" s="75" t="n"/>
      <c r="P1247" s="75" t="n"/>
      <c r="Q1247" s="75">
        <f>IF(ISBLANK(P1247),"",IF(D1247="Stock",P1247*G1247,IF(P1247=0,"0",G1247*P1247*100-(G1247*$AF$14))))</f>
        <v/>
      </c>
      <c r="R1247" s="79">
        <f>IF(P1247&lt;&gt;"", TODAY(), "")</f>
        <v/>
      </c>
      <c r="S1247" s="78">
        <f>IF(AND(K1247&lt;&gt;"", R1247&lt;&gt;""), R1247-K1247, "")</f>
        <v/>
      </c>
      <c r="T1247" s="78" t="n"/>
      <c r="U1247" s="92">
        <f>IF(ISBLANK(P1247),"",IF(C1247="Buy",Q1247-M1247+T1247, IF(C1247="Sell",M1247-Q1247-T1247, X)))</f>
        <v/>
      </c>
      <c r="V1247" s="81">
        <f>IF(ISBLANK(P1247),"",U1247/N1247)</f>
        <v/>
      </c>
      <c r="W1247" s="81">
        <f>IF(ISBLANK(P1247),"",IF(S1247=0,(365/0.5)*V1247,(365/S1247)*V1247))</f>
        <v/>
      </c>
      <c r="X1247" s="75" t="n"/>
      <c r="Y1247" s="77" t="n"/>
      <c r="Z1247" s="77" t="n"/>
      <c r="AA1247" s="75" t="n"/>
      <c r="AB1247" s="75" t="n"/>
      <c r="AC1247" s="6" t="n"/>
      <c r="AD1247" s="75" t="n"/>
      <c r="AE1247" s="75" t="n"/>
      <c r="AF1247" s="75" t="n"/>
    </row>
    <row r="1248" ht="15.75" customHeight="1" s="133">
      <c r="A1248" s="75" t="n"/>
      <c r="B1248" s="75" t="n"/>
      <c r="C1248" s="75" t="n"/>
      <c r="D1248" s="75" t="n"/>
      <c r="E1248" s="76" t="n"/>
      <c r="F1248" s="77" t="n"/>
      <c r="G1248" s="75" t="n"/>
      <c r="H1248" s="75">
        <f>IF(ISBLANK(E1248),"",IF(OR(D1248="Butterfly",D1248="Butterfly ",D1248="Iron Fly", D1248="Iron Fly "),LEN(E1248)-LEN(SUBSTITUTE(E1248,"/",""))+2,LEN(E1248)-LEN(SUBSTITUTE(E1248,"/",""))+1))</f>
        <v/>
      </c>
      <c r="I1248" s="78">
        <f>IF(ISBLANK(G1248),"",IF(D1248="Stock","0",Key!$A$3*H1248*G1248))</f>
        <v/>
      </c>
      <c r="J1248" s="78">
        <f>IF(ISBLANK(E1248),"",IF(ISNUMBER(SEARCH("/",E1248)), IF(LEN(E1248)-LEN(SUBSTITUTE(E1248,"/",""))=1,(RIGHT(E1248,LEN(E1248)-FIND("/",E1248)))-(LEFT(E1248,FIND("/",E1248)-1)),(MID(E1248, SEARCH("/",E1248) + 1, SEARCH("/",E1248, SEARCH("/",E1248)+1) - SEARCH("/",E1248) - 1))-(LEFT(E1248,FIND("/",E1248)-1))), "NA"))</f>
        <v/>
      </c>
      <c r="K1248" s="79">
        <f>IF(A1248&lt;&gt;"", IF(ISBLANK(L1248), TODAY(), K1248), "")</f>
        <v/>
      </c>
      <c r="L1248" s="78" t="n"/>
      <c r="M1248" s="78">
        <f>IF(ISBLANK(L1248),"",IF(D1248="Stock",IF(C1248="Buy",L1248*G1248,IF(C1248="Sell",(L1248*G1248)-I1248, X)),IF(C1248="Buy",(L1248*G1248*100)+I1248,IF(C1248="Sell",(L1248*G1248*100)-I1248, X))))</f>
        <v/>
      </c>
      <c r="N1248" s="78">
        <f>IF(ISBLANK(L1248),"",IF(AND(C1248="Sell",D1248="Stock"),M1248,IF(ISBLANK(L1248),"",IF(C1248="Buy",M1248, IF(AND(C1248="Sell",J1248="NA"),(E1248*G1248*100*0.1)+I1248, IF(C1248="Sell",(J1248-L1248)*(100*G1248)+I1248))))))</f>
        <v/>
      </c>
      <c r="O1248" s="75" t="n"/>
      <c r="P1248" s="75" t="n"/>
      <c r="Q1248" s="75">
        <f>IF(ISBLANK(P1248),"",IF(D1248="Stock",P1248*G1248,IF(P1248=0,"0",G1248*P1248*100-(G1248*$AF$14))))</f>
        <v/>
      </c>
      <c r="R1248" s="79">
        <f>IF(P1248&lt;&gt;"", TODAY(), "")</f>
        <v/>
      </c>
      <c r="S1248" s="78">
        <f>IF(AND(K1248&lt;&gt;"", R1248&lt;&gt;""), R1248-K1248, "")</f>
        <v/>
      </c>
      <c r="T1248" s="78" t="n"/>
      <c r="U1248" s="92">
        <f>IF(ISBLANK(P1248),"",IF(C1248="Buy",Q1248-M1248+T1248, IF(C1248="Sell",M1248-Q1248-T1248, X)))</f>
        <v/>
      </c>
      <c r="V1248" s="81">
        <f>IF(ISBLANK(P1248),"",U1248/N1248)</f>
        <v/>
      </c>
      <c r="W1248" s="81">
        <f>IF(ISBLANK(P1248),"",IF(S1248=0,(365/0.5)*V1248,(365/S1248)*V1248))</f>
        <v/>
      </c>
      <c r="X1248" s="75" t="n"/>
      <c r="Y1248" s="77" t="n"/>
      <c r="Z1248" s="77" t="n"/>
      <c r="AA1248" s="75" t="n"/>
      <c r="AB1248" s="75" t="n"/>
      <c r="AC1248" s="6" t="n"/>
      <c r="AD1248" s="75" t="n"/>
      <c r="AE1248" s="75" t="n"/>
      <c r="AF1248" s="75" t="n"/>
    </row>
    <row r="1249" ht="15.75" customHeight="1" s="133">
      <c r="A1249" s="75" t="n"/>
      <c r="B1249" s="75" t="n"/>
      <c r="C1249" s="75" t="n"/>
      <c r="D1249" s="75" t="n"/>
      <c r="E1249" s="76" t="n"/>
      <c r="F1249" s="77" t="n"/>
      <c r="G1249" s="75" t="n"/>
      <c r="H1249" s="75">
        <f>IF(ISBLANK(E1249),"",IF(OR(D1249="Butterfly",D1249="Butterfly ",D1249="Iron Fly", D1249="Iron Fly "),LEN(E1249)-LEN(SUBSTITUTE(E1249,"/",""))+2,LEN(E1249)-LEN(SUBSTITUTE(E1249,"/",""))+1))</f>
        <v/>
      </c>
      <c r="I1249" s="78">
        <f>IF(ISBLANK(G1249),"",IF(D1249="Stock","0",Key!$A$3*H1249*G1249))</f>
        <v/>
      </c>
      <c r="J1249" s="78">
        <f>IF(ISBLANK(E1249),"",IF(ISNUMBER(SEARCH("/",E1249)), IF(LEN(E1249)-LEN(SUBSTITUTE(E1249,"/",""))=1,(RIGHT(E1249,LEN(E1249)-FIND("/",E1249)))-(LEFT(E1249,FIND("/",E1249)-1)),(MID(E1249, SEARCH("/",E1249) + 1, SEARCH("/",E1249, SEARCH("/",E1249)+1) - SEARCH("/",E1249) - 1))-(LEFT(E1249,FIND("/",E1249)-1))), "NA"))</f>
        <v/>
      </c>
      <c r="K1249" s="79">
        <f>IF(A1249&lt;&gt;"", IF(ISBLANK(L1249), TODAY(), K1249), "")</f>
        <v/>
      </c>
      <c r="L1249" s="78" t="n"/>
      <c r="M1249" s="78">
        <f>IF(ISBLANK(L1249),"",IF(D1249="Stock",IF(C1249="Buy",L1249*G1249,IF(C1249="Sell",(L1249*G1249)-I1249, X)),IF(C1249="Buy",(L1249*G1249*100)+I1249,IF(C1249="Sell",(L1249*G1249*100)-I1249, X))))</f>
        <v/>
      </c>
      <c r="N1249" s="78">
        <f>IF(ISBLANK(L1249),"",IF(AND(C1249="Sell",D1249="Stock"),M1249,IF(ISBLANK(L1249),"",IF(C1249="Buy",M1249, IF(AND(C1249="Sell",J1249="NA"),(E1249*G1249*100*0.1)+I1249, IF(C1249="Sell",(J1249-L1249)*(100*G1249)+I1249))))))</f>
        <v/>
      </c>
      <c r="O1249" s="75" t="n"/>
      <c r="P1249" s="75" t="n"/>
      <c r="Q1249" s="75">
        <f>IF(ISBLANK(P1249),"",IF(D1249="Stock",P1249*G1249,IF(P1249=0,"0",G1249*P1249*100-(G1249*$AF$14))))</f>
        <v/>
      </c>
      <c r="R1249" s="79">
        <f>IF(P1249&lt;&gt;"", TODAY(), "")</f>
        <v/>
      </c>
      <c r="S1249" s="78">
        <f>IF(AND(K1249&lt;&gt;"", R1249&lt;&gt;""), R1249-K1249, "")</f>
        <v/>
      </c>
      <c r="T1249" s="78" t="n"/>
      <c r="U1249" s="92">
        <f>IF(ISBLANK(P1249),"",IF(C1249="Buy",Q1249-M1249+T1249, IF(C1249="Sell",M1249-Q1249-T1249, X)))</f>
        <v/>
      </c>
      <c r="V1249" s="81">
        <f>IF(ISBLANK(P1249),"",U1249/N1249)</f>
        <v/>
      </c>
      <c r="W1249" s="81">
        <f>IF(ISBLANK(P1249),"",IF(S1249=0,(365/0.5)*V1249,(365/S1249)*V1249))</f>
        <v/>
      </c>
      <c r="X1249" s="75" t="n"/>
      <c r="Y1249" s="77" t="n"/>
      <c r="Z1249" s="77" t="n"/>
      <c r="AA1249" s="75" t="n"/>
      <c r="AB1249" s="75" t="n"/>
      <c r="AC1249" s="6" t="n"/>
      <c r="AD1249" s="75" t="n"/>
      <c r="AE1249" s="75" t="n"/>
      <c r="AF1249" s="75" t="n"/>
    </row>
    <row r="1250" ht="15.75" customHeight="1" s="133">
      <c r="A1250" s="75" t="n"/>
      <c r="B1250" s="75" t="n"/>
      <c r="C1250" s="75" t="n"/>
      <c r="D1250" s="75" t="n"/>
      <c r="E1250" s="76" t="n"/>
      <c r="F1250" s="77" t="n"/>
      <c r="G1250" s="75" t="n"/>
      <c r="H1250" s="75">
        <f>IF(ISBLANK(E1250),"",IF(OR(D1250="Butterfly",D1250="Butterfly ",D1250="Iron Fly", D1250="Iron Fly "),LEN(E1250)-LEN(SUBSTITUTE(E1250,"/",""))+2,LEN(E1250)-LEN(SUBSTITUTE(E1250,"/",""))+1))</f>
        <v/>
      </c>
      <c r="I1250" s="78">
        <f>IF(ISBLANK(G1250),"",IF(D1250="Stock","0",Key!$A$3*H1250*G1250))</f>
        <v/>
      </c>
      <c r="J1250" s="78">
        <f>IF(ISBLANK(E1250),"",IF(ISNUMBER(SEARCH("/",E1250)), IF(LEN(E1250)-LEN(SUBSTITUTE(E1250,"/",""))=1,(RIGHT(E1250,LEN(E1250)-FIND("/",E1250)))-(LEFT(E1250,FIND("/",E1250)-1)),(MID(E1250, SEARCH("/",E1250) + 1, SEARCH("/",E1250, SEARCH("/",E1250)+1) - SEARCH("/",E1250) - 1))-(LEFT(E1250,FIND("/",E1250)-1))), "NA"))</f>
        <v/>
      </c>
      <c r="K1250" s="79">
        <f>IF(A1250&lt;&gt;"", IF(ISBLANK(L1250), TODAY(), K1250), "")</f>
        <v/>
      </c>
      <c r="L1250" s="78" t="n"/>
      <c r="M1250" s="78">
        <f>IF(ISBLANK(L1250),"",IF(D1250="Stock",IF(C1250="Buy",L1250*G1250,IF(C1250="Sell",(L1250*G1250)-I1250, X)),IF(C1250="Buy",(L1250*G1250*100)+I1250,IF(C1250="Sell",(L1250*G1250*100)-I1250, X))))</f>
        <v/>
      </c>
      <c r="N1250" s="78">
        <f>IF(ISBLANK(L1250),"",IF(AND(C1250="Sell",D1250="Stock"),M1250,IF(ISBLANK(L1250),"",IF(C1250="Buy",M1250, IF(AND(C1250="Sell",J1250="NA"),(E1250*G1250*100*0.1)+I1250, IF(C1250="Sell",(J1250-L1250)*(100*G1250)+I1250))))))</f>
        <v/>
      </c>
      <c r="O1250" s="75" t="n"/>
      <c r="P1250" s="75" t="n"/>
      <c r="Q1250" s="75">
        <f>IF(ISBLANK(P1250),"",IF(D1250="Stock",P1250*G1250,IF(P1250=0,"0",G1250*P1250*100-(G1250*$AF$14))))</f>
        <v/>
      </c>
      <c r="R1250" s="79">
        <f>IF(P1250&lt;&gt;"", TODAY(), "")</f>
        <v/>
      </c>
      <c r="S1250" s="78">
        <f>IF(AND(K1250&lt;&gt;"", R1250&lt;&gt;""), R1250-K1250, "")</f>
        <v/>
      </c>
      <c r="T1250" s="78" t="n"/>
      <c r="U1250" s="92">
        <f>IF(ISBLANK(P1250),"",IF(C1250="Buy",Q1250-M1250+T1250, IF(C1250="Sell",M1250-Q1250-T1250, X)))</f>
        <v/>
      </c>
      <c r="V1250" s="81">
        <f>IF(ISBLANK(P1250),"",U1250/N1250)</f>
        <v/>
      </c>
      <c r="W1250" s="81">
        <f>IF(ISBLANK(P1250),"",IF(S1250=0,(365/0.5)*V1250,(365/S1250)*V1250))</f>
        <v/>
      </c>
      <c r="X1250" s="75" t="n"/>
      <c r="Y1250" s="77" t="n"/>
      <c r="Z1250" s="77" t="n"/>
      <c r="AA1250" s="75" t="n"/>
      <c r="AB1250" s="75" t="n"/>
      <c r="AC1250" s="6" t="n"/>
      <c r="AD1250" s="75" t="n"/>
      <c r="AE1250" s="75" t="n"/>
      <c r="AF1250" s="75" t="n"/>
    </row>
    <row r="1251" ht="15.75" customHeight="1" s="133">
      <c r="A1251" s="75" t="n"/>
      <c r="B1251" s="75" t="n"/>
      <c r="C1251" s="75" t="n"/>
      <c r="D1251" s="75" t="n"/>
      <c r="E1251" s="76" t="n"/>
      <c r="F1251" s="77" t="n"/>
      <c r="G1251" s="75" t="n"/>
      <c r="H1251" s="75">
        <f>IF(ISBLANK(E1251),"",IF(OR(D1251="Butterfly",D1251="Butterfly ",D1251="Iron Fly", D1251="Iron Fly "),LEN(E1251)-LEN(SUBSTITUTE(E1251,"/",""))+2,LEN(E1251)-LEN(SUBSTITUTE(E1251,"/",""))+1))</f>
        <v/>
      </c>
      <c r="I1251" s="78">
        <f>IF(ISBLANK(G1251),"",IF(D1251="Stock","0",Key!$A$3*H1251*G1251))</f>
        <v/>
      </c>
      <c r="J1251" s="78">
        <f>IF(ISBLANK(E1251),"",IF(ISNUMBER(SEARCH("/",E1251)), IF(LEN(E1251)-LEN(SUBSTITUTE(E1251,"/",""))=1,(RIGHT(E1251,LEN(E1251)-FIND("/",E1251)))-(LEFT(E1251,FIND("/",E1251)-1)),(MID(E1251, SEARCH("/",E1251) + 1, SEARCH("/",E1251, SEARCH("/",E1251)+1) - SEARCH("/",E1251) - 1))-(LEFT(E1251,FIND("/",E1251)-1))), "NA"))</f>
        <v/>
      </c>
      <c r="K1251" s="79">
        <f>IF(A1251&lt;&gt;"", IF(ISBLANK(L1251), TODAY(), K1251), "")</f>
        <v/>
      </c>
      <c r="L1251" s="78" t="n"/>
      <c r="M1251" s="78">
        <f>IF(ISBLANK(L1251),"",IF(D1251="Stock",IF(C1251="Buy",L1251*G1251,IF(C1251="Sell",(L1251*G1251)-I1251, X)),IF(C1251="Buy",(L1251*G1251*100)+I1251,IF(C1251="Sell",(L1251*G1251*100)-I1251, X))))</f>
        <v/>
      </c>
      <c r="N1251" s="78">
        <f>IF(ISBLANK(L1251),"",IF(AND(C1251="Sell",D1251="Stock"),M1251,IF(ISBLANK(L1251),"",IF(C1251="Buy",M1251, IF(AND(C1251="Sell",J1251="NA"),(E1251*G1251*100*0.1)+I1251, IF(C1251="Sell",(J1251-L1251)*(100*G1251)+I1251))))))</f>
        <v/>
      </c>
      <c r="O1251" s="75" t="n"/>
      <c r="P1251" s="75" t="n"/>
      <c r="Q1251" s="75">
        <f>IF(ISBLANK(P1251),"",IF(D1251="Stock",P1251*G1251,IF(P1251=0,"0",G1251*P1251*100-(G1251*$AF$14))))</f>
        <v/>
      </c>
      <c r="R1251" s="79">
        <f>IF(P1251&lt;&gt;"", TODAY(), "")</f>
        <v/>
      </c>
      <c r="S1251" s="78">
        <f>IF(AND(K1251&lt;&gt;"", R1251&lt;&gt;""), R1251-K1251, "")</f>
        <v/>
      </c>
      <c r="T1251" s="78" t="n"/>
      <c r="U1251" s="92">
        <f>IF(ISBLANK(P1251),"",IF(C1251="Buy",Q1251-M1251+T1251, IF(C1251="Sell",M1251-Q1251-T1251, X)))</f>
        <v/>
      </c>
      <c r="V1251" s="81">
        <f>IF(ISBLANK(P1251),"",U1251/N1251)</f>
        <v/>
      </c>
      <c r="W1251" s="81">
        <f>IF(ISBLANK(P1251),"",IF(S1251=0,(365/0.5)*V1251,(365/S1251)*V1251))</f>
        <v/>
      </c>
      <c r="X1251" s="75" t="n"/>
      <c r="Y1251" s="77" t="n"/>
      <c r="Z1251" s="77" t="n"/>
      <c r="AA1251" s="75" t="n"/>
      <c r="AB1251" s="75" t="n"/>
      <c r="AC1251" s="6" t="n"/>
      <c r="AD1251" s="75" t="n"/>
      <c r="AE1251" s="75" t="n"/>
      <c r="AF1251" s="75" t="n"/>
    </row>
    <row r="1252" ht="15.75" customHeight="1" s="133">
      <c r="A1252" s="75" t="n"/>
      <c r="B1252" s="75" t="n"/>
      <c r="C1252" s="75" t="n"/>
      <c r="D1252" s="75" t="n"/>
      <c r="E1252" s="76" t="n"/>
      <c r="F1252" s="77" t="n"/>
      <c r="G1252" s="75" t="n"/>
      <c r="H1252" s="75">
        <f>IF(ISBLANK(E1252),"",IF(OR(D1252="Butterfly",D1252="Butterfly ",D1252="Iron Fly", D1252="Iron Fly "),LEN(E1252)-LEN(SUBSTITUTE(E1252,"/",""))+2,LEN(E1252)-LEN(SUBSTITUTE(E1252,"/",""))+1))</f>
        <v/>
      </c>
      <c r="I1252" s="78">
        <f>IF(ISBLANK(G1252),"",IF(D1252="Stock","0",Key!$A$3*H1252*G1252))</f>
        <v/>
      </c>
      <c r="J1252" s="78">
        <f>IF(ISBLANK(E1252),"",IF(ISNUMBER(SEARCH("/",E1252)), IF(LEN(E1252)-LEN(SUBSTITUTE(E1252,"/",""))=1,(RIGHT(E1252,LEN(E1252)-FIND("/",E1252)))-(LEFT(E1252,FIND("/",E1252)-1)),(MID(E1252, SEARCH("/",E1252) + 1, SEARCH("/",E1252, SEARCH("/",E1252)+1) - SEARCH("/",E1252) - 1))-(LEFT(E1252,FIND("/",E1252)-1))), "NA"))</f>
        <v/>
      </c>
      <c r="K1252" s="79">
        <f>IF(A1252&lt;&gt;"", IF(ISBLANK(L1252), TODAY(), K1252), "")</f>
        <v/>
      </c>
      <c r="L1252" s="78" t="n"/>
      <c r="M1252" s="78">
        <f>IF(ISBLANK(L1252),"",IF(D1252="Stock",IF(C1252="Buy",L1252*G1252,IF(C1252="Sell",(L1252*G1252)-I1252, X)),IF(C1252="Buy",(L1252*G1252*100)+I1252,IF(C1252="Sell",(L1252*G1252*100)-I1252, X))))</f>
        <v/>
      </c>
      <c r="N1252" s="78">
        <f>IF(ISBLANK(L1252),"",IF(AND(C1252="Sell",D1252="Stock"),M1252,IF(ISBLANK(L1252),"",IF(C1252="Buy",M1252, IF(AND(C1252="Sell",J1252="NA"),(E1252*G1252*100*0.1)+I1252, IF(C1252="Sell",(J1252-L1252)*(100*G1252)+I1252))))))</f>
        <v/>
      </c>
      <c r="O1252" s="75" t="n"/>
      <c r="P1252" s="75" t="n"/>
      <c r="Q1252" s="75">
        <f>IF(ISBLANK(P1252),"",IF(D1252="Stock",P1252*G1252,IF(P1252=0,"0",G1252*P1252*100-(G1252*$AF$14))))</f>
        <v/>
      </c>
      <c r="R1252" s="79">
        <f>IF(P1252&lt;&gt;"", TODAY(), "")</f>
        <v/>
      </c>
      <c r="S1252" s="78">
        <f>IF(AND(K1252&lt;&gt;"", R1252&lt;&gt;""), R1252-K1252, "")</f>
        <v/>
      </c>
      <c r="T1252" s="78" t="n"/>
      <c r="U1252" s="92">
        <f>IF(ISBLANK(P1252),"",IF(C1252="Buy",Q1252-M1252+T1252, IF(C1252="Sell",M1252-Q1252-T1252, X)))</f>
        <v/>
      </c>
      <c r="V1252" s="81">
        <f>IF(ISBLANK(P1252),"",U1252/N1252)</f>
        <v/>
      </c>
      <c r="W1252" s="81">
        <f>IF(ISBLANK(P1252),"",IF(S1252=0,(365/0.5)*V1252,(365/S1252)*V1252))</f>
        <v/>
      </c>
      <c r="X1252" s="75" t="n"/>
      <c r="Y1252" s="77" t="n"/>
      <c r="Z1252" s="77" t="n"/>
      <c r="AA1252" s="75" t="n"/>
      <c r="AB1252" s="75" t="n"/>
      <c r="AC1252" s="6" t="n"/>
      <c r="AD1252" s="75" t="n"/>
      <c r="AE1252" s="75" t="n"/>
      <c r="AF1252" s="75" t="n"/>
    </row>
    <row r="1253" ht="15.75" customHeight="1" s="133">
      <c r="A1253" s="75" t="n"/>
      <c r="B1253" s="75" t="n"/>
      <c r="C1253" s="75" t="n"/>
      <c r="D1253" s="75" t="n"/>
      <c r="E1253" s="76" t="n"/>
      <c r="F1253" s="77" t="n"/>
      <c r="G1253" s="75" t="n"/>
      <c r="H1253" s="75">
        <f>IF(ISBLANK(E1253),"",IF(OR(D1253="Butterfly",D1253="Butterfly ",D1253="Iron Fly", D1253="Iron Fly "),LEN(E1253)-LEN(SUBSTITUTE(E1253,"/",""))+2,LEN(E1253)-LEN(SUBSTITUTE(E1253,"/",""))+1))</f>
        <v/>
      </c>
      <c r="I1253" s="78">
        <f>IF(ISBLANK(G1253),"",IF(D1253="Stock","0",Key!$A$3*H1253*G1253))</f>
        <v/>
      </c>
      <c r="J1253" s="78">
        <f>IF(ISBLANK(E1253),"",IF(ISNUMBER(SEARCH("/",E1253)), IF(LEN(E1253)-LEN(SUBSTITUTE(E1253,"/",""))=1,(RIGHT(E1253,LEN(E1253)-FIND("/",E1253)))-(LEFT(E1253,FIND("/",E1253)-1)),(MID(E1253, SEARCH("/",E1253) + 1, SEARCH("/",E1253, SEARCH("/",E1253)+1) - SEARCH("/",E1253) - 1))-(LEFT(E1253,FIND("/",E1253)-1))), "NA"))</f>
        <v/>
      </c>
      <c r="K1253" s="79">
        <f>IF(A1253&lt;&gt;"", IF(ISBLANK(L1253), TODAY(), K1253), "")</f>
        <v/>
      </c>
      <c r="L1253" s="78" t="n"/>
      <c r="M1253" s="78">
        <f>IF(ISBLANK(L1253),"",IF(D1253="Stock",IF(C1253="Buy",L1253*G1253,IF(C1253="Sell",(L1253*G1253)-I1253, X)),IF(C1253="Buy",(L1253*G1253*100)+I1253,IF(C1253="Sell",(L1253*G1253*100)-I1253, X))))</f>
        <v/>
      </c>
      <c r="N1253" s="78">
        <f>IF(ISBLANK(L1253),"",IF(AND(C1253="Sell",D1253="Stock"),M1253,IF(ISBLANK(L1253),"",IF(C1253="Buy",M1253, IF(AND(C1253="Sell",J1253="NA"),(E1253*G1253*100*0.1)+I1253, IF(C1253="Sell",(J1253-L1253)*(100*G1253)+I1253))))))</f>
        <v/>
      </c>
      <c r="O1253" s="75" t="n"/>
      <c r="P1253" s="75" t="n"/>
      <c r="Q1253" s="75">
        <f>IF(ISBLANK(P1253),"",IF(D1253="Stock",P1253*G1253,IF(P1253=0,"0",G1253*P1253*100-(G1253*$AF$14))))</f>
        <v/>
      </c>
      <c r="R1253" s="79">
        <f>IF(P1253&lt;&gt;"", TODAY(), "")</f>
        <v/>
      </c>
      <c r="S1253" s="78">
        <f>IF(AND(K1253&lt;&gt;"", R1253&lt;&gt;""), R1253-K1253, "")</f>
        <v/>
      </c>
      <c r="T1253" s="78" t="n"/>
      <c r="U1253" s="92">
        <f>IF(ISBLANK(P1253),"",IF(C1253="Buy",Q1253-M1253+T1253, IF(C1253="Sell",M1253-Q1253-T1253, X)))</f>
        <v/>
      </c>
      <c r="V1253" s="81">
        <f>IF(ISBLANK(P1253),"",U1253/N1253)</f>
        <v/>
      </c>
      <c r="W1253" s="81">
        <f>IF(ISBLANK(P1253),"",IF(S1253=0,(365/0.5)*V1253,(365/S1253)*V1253))</f>
        <v/>
      </c>
      <c r="X1253" s="75" t="n"/>
      <c r="Y1253" s="77" t="n"/>
      <c r="Z1253" s="77" t="n"/>
      <c r="AA1253" s="75" t="n"/>
      <c r="AB1253" s="75" t="n"/>
      <c r="AC1253" s="6" t="n"/>
      <c r="AD1253" s="75" t="n"/>
      <c r="AE1253" s="75" t="n"/>
      <c r="AF1253" s="75" t="n"/>
    </row>
    <row r="1254" ht="15.75" customHeight="1" s="133">
      <c r="A1254" s="75" t="n"/>
      <c r="B1254" s="75" t="n"/>
      <c r="C1254" s="75" t="n"/>
      <c r="D1254" s="75" t="n"/>
      <c r="E1254" s="76" t="n"/>
      <c r="F1254" s="77" t="n"/>
      <c r="G1254" s="75" t="n"/>
      <c r="H1254" s="75">
        <f>IF(ISBLANK(E1254),"",IF(OR(D1254="Butterfly",D1254="Butterfly ",D1254="Iron Fly", D1254="Iron Fly "),LEN(E1254)-LEN(SUBSTITUTE(E1254,"/",""))+2,LEN(E1254)-LEN(SUBSTITUTE(E1254,"/",""))+1))</f>
        <v/>
      </c>
      <c r="I1254" s="78">
        <f>IF(ISBLANK(G1254),"",IF(D1254="Stock","0",Key!$A$3*H1254*G1254))</f>
        <v/>
      </c>
      <c r="J1254" s="78">
        <f>IF(ISBLANK(E1254),"",IF(ISNUMBER(SEARCH("/",E1254)), IF(LEN(E1254)-LEN(SUBSTITUTE(E1254,"/",""))=1,(RIGHT(E1254,LEN(E1254)-FIND("/",E1254)))-(LEFT(E1254,FIND("/",E1254)-1)),(MID(E1254, SEARCH("/",E1254) + 1, SEARCH("/",E1254, SEARCH("/",E1254)+1) - SEARCH("/",E1254) - 1))-(LEFT(E1254,FIND("/",E1254)-1))), "NA"))</f>
        <v/>
      </c>
      <c r="K1254" s="79">
        <f>IF(A1254&lt;&gt;"", IF(ISBLANK(L1254), TODAY(), K1254), "")</f>
        <v/>
      </c>
      <c r="L1254" s="78" t="n"/>
      <c r="M1254" s="78">
        <f>IF(ISBLANK(L1254),"",IF(D1254="Stock",IF(C1254="Buy",L1254*G1254,IF(C1254="Sell",(L1254*G1254)-I1254, X)),IF(C1254="Buy",(L1254*G1254*100)+I1254,IF(C1254="Sell",(L1254*G1254*100)-I1254, X))))</f>
        <v/>
      </c>
      <c r="N1254" s="78">
        <f>IF(ISBLANK(L1254),"",IF(AND(C1254="Sell",D1254="Stock"),M1254,IF(ISBLANK(L1254),"",IF(C1254="Buy",M1254, IF(AND(C1254="Sell",J1254="NA"),(E1254*G1254*100*0.1)+I1254, IF(C1254="Sell",(J1254-L1254)*(100*G1254)+I1254))))))</f>
        <v/>
      </c>
      <c r="O1254" s="75" t="n"/>
      <c r="P1254" s="75" t="n"/>
      <c r="Q1254" s="75">
        <f>IF(ISBLANK(P1254),"",IF(D1254="Stock",P1254*G1254,IF(P1254=0,"0",G1254*P1254*100-(G1254*$AF$14))))</f>
        <v/>
      </c>
      <c r="R1254" s="79">
        <f>IF(P1254&lt;&gt;"", TODAY(), "")</f>
        <v/>
      </c>
      <c r="S1254" s="78">
        <f>IF(AND(K1254&lt;&gt;"", R1254&lt;&gt;""), R1254-K1254, "")</f>
        <v/>
      </c>
      <c r="T1254" s="78" t="n"/>
      <c r="U1254" s="92">
        <f>IF(ISBLANK(P1254),"",IF(C1254="Buy",Q1254-M1254+T1254, IF(C1254="Sell",M1254-Q1254-T1254, X)))</f>
        <v/>
      </c>
      <c r="V1254" s="81">
        <f>IF(ISBLANK(P1254),"",U1254/N1254)</f>
        <v/>
      </c>
      <c r="W1254" s="81">
        <f>IF(ISBLANK(P1254),"",IF(S1254=0,(365/0.5)*V1254,(365/S1254)*V1254))</f>
        <v/>
      </c>
      <c r="X1254" s="75" t="n"/>
      <c r="Y1254" s="77" t="n"/>
      <c r="Z1254" s="77" t="n"/>
      <c r="AA1254" s="75" t="n"/>
      <c r="AB1254" s="75" t="n"/>
      <c r="AC1254" s="6" t="n"/>
      <c r="AD1254" s="75" t="n"/>
      <c r="AE1254" s="75" t="n"/>
      <c r="AF1254" s="75" t="n"/>
    </row>
    <row r="1255" ht="15.75" customHeight="1" s="133">
      <c r="A1255" s="75" t="n"/>
      <c r="B1255" s="75" t="n"/>
      <c r="C1255" s="75" t="n"/>
      <c r="D1255" s="75" t="n"/>
      <c r="E1255" s="76" t="n"/>
      <c r="F1255" s="77" t="n"/>
      <c r="G1255" s="75" t="n"/>
      <c r="H1255" s="75">
        <f>IF(ISBLANK(E1255),"",IF(OR(D1255="Butterfly",D1255="Butterfly ",D1255="Iron Fly", D1255="Iron Fly "),LEN(E1255)-LEN(SUBSTITUTE(E1255,"/",""))+2,LEN(E1255)-LEN(SUBSTITUTE(E1255,"/",""))+1))</f>
        <v/>
      </c>
      <c r="I1255" s="78">
        <f>IF(ISBLANK(G1255),"",IF(D1255="Stock","0",Key!$A$3*H1255*G1255))</f>
        <v/>
      </c>
      <c r="J1255" s="78">
        <f>IF(ISBLANK(E1255),"",IF(ISNUMBER(SEARCH("/",E1255)), IF(LEN(E1255)-LEN(SUBSTITUTE(E1255,"/",""))=1,(RIGHT(E1255,LEN(E1255)-FIND("/",E1255)))-(LEFT(E1255,FIND("/",E1255)-1)),(MID(E1255, SEARCH("/",E1255) + 1, SEARCH("/",E1255, SEARCH("/",E1255)+1) - SEARCH("/",E1255) - 1))-(LEFT(E1255,FIND("/",E1255)-1))), "NA"))</f>
        <v/>
      </c>
      <c r="K1255" s="79">
        <f>IF(A1255&lt;&gt;"", IF(ISBLANK(L1255), TODAY(), K1255), "")</f>
        <v/>
      </c>
      <c r="L1255" s="78" t="n"/>
      <c r="M1255" s="78">
        <f>IF(ISBLANK(L1255),"",IF(D1255="Stock",IF(C1255="Buy",L1255*G1255,IF(C1255="Sell",(L1255*G1255)-I1255, X)),IF(C1255="Buy",(L1255*G1255*100)+I1255,IF(C1255="Sell",(L1255*G1255*100)-I1255, X))))</f>
        <v/>
      </c>
      <c r="N1255" s="78">
        <f>IF(ISBLANK(L1255),"",IF(AND(C1255="Sell",D1255="Stock"),M1255,IF(ISBLANK(L1255),"",IF(C1255="Buy",M1255, IF(AND(C1255="Sell",J1255="NA"),(E1255*G1255*100*0.1)+I1255, IF(C1255="Sell",(J1255-L1255)*(100*G1255)+I1255))))))</f>
        <v/>
      </c>
      <c r="O1255" s="75" t="n"/>
      <c r="P1255" s="75" t="n"/>
      <c r="Q1255" s="75">
        <f>IF(ISBLANK(P1255),"",IF(D1255="Stock",P1255*G1255,IF(P1255=0,"0",G1255*P1255*100-(G1255*$AF$14))))</f>
        <v/>
      </c>
      <c r="R1255" s="79">
        <f>IF(P1255&lt;&gt;"", TODAY(), "")</f>
        <v/>
      </c>
      <c r="S1255" s="78">
        <f>IF(AND(K1255&lt;&gt;"", R1255&lt;&gt;""), R1255-K1255, "")</f>
        <v/>
      </c>
      <c r="T1255" s="78" t="n"/>
      <c r="U1255" s="92">
        <f>IF(ISBLANK(P1255),"",IF(C1255="Buy",Q1255-M1255+T1255, IF(C1255="Sell",M1255-Q1255-T1255, X)))</f>
        <v/>
      </c>
      <c r="V1255" s="81">
        <f>IF(ISBLANK(P1255),"",U1255/N1255)</f>
        <v/>
      </c>
      <c r="W1255" s="81">
        <f>IF(ISBLANK(P1255),"",IF(S1255=0,(365/0.5)*V1255,(365/S1255)*V1255))</f>
        <v/>
      </c>
      <c r="X1255" s="75" t="n"/>
      <c r="Y1255" s="77" t="n"/>
      <c r="Z1255" s="77" t="n"/>
      <c r="AA1255" s="75" t="n"/>
      <c r="AB1255" s="75" t="n"/>
      <c r="AC1255" s="6" t="n"/>
      <c r="AD1255" s="75" t="n"/>
      <c r="AE1255" s="75" t="n"/>
      <c r="AF1255" s="75" t="n"/>
    </row>
    <row r="1256" ht="15.75" customHeight="1" s="133">
      <c r="A1256" s="75" t="n"/>
      <c r="B1256" s="75" t="n"/>
      <c r="C1256" s="75" t="n"/>
      <c r="D1256" s="75" t="n"/>
      <c r="E1256" s="76" t="n"/>
      <c r="F1256" s="77" t="n"/>
      <c r="G1256" s="75" t="n"/>
      <c r="H1256" s="75">
        <f>IF(ISBLANK(E1256),"",IF(OR(D1256="Butterfly",D1256="Butterfly ",D1256="Iron Fly", D1256="Iron Fly "),LEN(E1256)-LEN(SUBSTITUTE(E1256,"/",""))+2,LEN(E1256)-LEN(SUBSTITUTE(E1256,"/",""))+1))</f>
        <v/>
      </c>
      <c r="I1256" s="78">
        <f>IF(ISBLANK(G1256),"",IF(D1256="Stock","0",Key!$A$3*H1256*G1256))</f>
        <v/>
      </c>
      <c r="J1256" s="78">
        <f>IF(ISBLANK(E1256),"",IF(ISNUMBER(SEARCH("/",E1256)), IF(LEN(E1256)-LEN(SUBSTITUTE(E1256,"/",""))=1,(RIGHT(E1256,LEN(E1256)-FIND("/",E1256)))-(LEFT(E1256,FIND("/",E1256)-1)),(MID(E1256, SEARCH("/",E1256) + 1, SEARCH("/",E1256, SEARCH("/",E1256)+1) - SEARCH("/",E1256) - 1))-(LEFT(E1256,FIND("/",E1256)-1))), "NA"))</f>
        <v/>
      </c>
      <c r="K1256" s="79">
        <f>IF(A1256&lt;&gt;"", IF(ISBLANK(L1256), TODAY(), K1256), "")</f>
        <v/>
      </c>
      <c r="L1256" s="78" t="n"/>
      <c r="M1256" s="78">
        <f>IF(ISBLANK(L1256),"",IF(D1256="Stock",IF(C1256="Buy",L1256*G1256,IF(C1256="Sell",(L1256*G1256)-I1256, X)),IF(C1256="Buy",(L1256*G1256*100)+I1256,IF(C1256="Sell",(L1256*G1256*100)-I1256, X))))</f>
        <v/>
      </c>
      <c r="N1256" s="78">
        <f>IF(ISBLANK(L1256),"",IF(AND(C1256="Sell",D1256="Stock"),M1256,IF(ISBLANK(L1256),"",IF(C1256="Buy",M1256, IF(AND(C1256="Sell",J1256="NA"),(E1256*G1256*100*0.1)+I1256, IF(C1256="Sell",(J1256-L1256)*(100*G1256)+I1256))))))</f>
        <v/>
      </c>
      <c r="O1256" s="75" t="n"/>
      <c r="P1256" s="75" t="n"/>
      <c r="Q1256" s="75">
        <f>IF(ISBLANK(P1256),"",IF(D1256="Stock",P1256*G1256,IF(P1256=0,"0",G1256*P1256*100-(G1256*$AF$14))))</f>
        <v/>
      </c>
      <c r="R1256" s="79">
        <f>IF(P1256&lt;&gt;"", TODAY(), "")</f>
        <v/>
      </c>
      <c r="S1256" s="78">
        <f>IF(AND(K1256&lt;&gt;"", R1256&lt;&gt;""), R1256-K1256, "")</f>
        <v/>
      </c>
      <c r="T1256" s="78" t="n"/>
      <c r="U1256" s="92">
        <f>IF(ISBLANK(P1256),"",IF(C1256="Buy",Q1256-M1256+T1256, IF(C1256="Sell",M1256-Q1256-T1256, X)))</f>
        <v/>
      </c>
      <c r="V1256" s="81">
        <f>IF(ISBLANK(P1256),"",U1256/N1256)</f>
        <v/>
      </c>
      <c r="W1256" s="81">
        <f>IF(ISBLANK(P1256),"",IF(S1256=0,(365/0.5)*V1256,(365/S1256)*V1256))</f>
        <v/>
      </c>
      <c r="X1256" s="75" t="n"/>
      <c r="Y1256" s="77" t="n"/>
      <c r="Z1256" s="77" t="n"/>
      <c r="AA1256" s="75" t="n"/>
      <c r="AB1256" s="75" t="n"/>
      <c r="AC1256" s="6" t="n"/>
      <c r="AD1256" s="75" t="n"/>
      <c r="AE1256" s="75" t="n"/>
      <c r="AF1256" s="75" t="n"/>
    </row>
    <row r="1257" ht="15.75" customHeight="1" s="133">
      <c r="A1257" s="75" t="n"/>
      <c r="B1257" s="75" t="n"/>
      <c r="C1257" s="75" t="n"/>
      <c r="D1257" s="75" t="n"/>
      <c r="E1257" s="76" t="n"/>
      <c r="F1257" s="77" t="n"/>
      <c r="G1257" s="75" t="n"/>
      <c r="H1257" s="75">
        <f>IF(ISBLANK(E1257),"",IF(OR(D1257="Butterfly",D1257="Butterfly ",D1257="Iron Fly", D1257="Iron Fly "),LEN(E1257)-LEN(SUBSTITUTE(E1257,"/",""))+2,LEN(E1257)-LEN(SUBSTITUTE(E1257,"/",""))+1))</f>
        <v/>
      </c>
      <c r="I1257" s="78">
        <f>IF(ISBLANK(G1257),"",IF(D1257="Stock","0",Key!$A$3*H1257*G1257))</f>
        <v/>
      </c>
      <c r="J1257" s="78">
        <f>IF(ISBLANK(E1257),"",IF(ISNUMBER(SEARCH("/",E1257)), IF(LEN(E1257)-LEN(SUBSTITUTE(E1257,"/",""))=1,(RIGHT(E1257,LEN(E1257)-FIND("/",E1257)))-(LEFT(E1257,FIND("/",E1257)-1)),(MID(E1257, SEARCH("/",E1257) + 1, SEARCH("/",E1257, SEARCH("/",E1257)+1) - SEARCH("/",E1257) - 1))-(LEFT(E1257,FIND("/",E1257)-1))), "NA"))</f>
        <v/>
      </c>
      <c r="K1257" s="79">
        <f>IF(A1257&lt;&gt;"", IF(ISBLANK(L1257), TODAY(), K1257), "")</f>
        <v/>
      </c>
      <c r="L1257" s="78" t="n"/>
      <c r="M1257" s="78">
        <f>IF(ISBLANK(L1257),"",IF(D1257="Stock",IF(C1257="Buy",L1257*G1257,IF(C1257="Sell",(L1257*G1257)-I1257, X)),IF(C1257="Buy",(L1257*G1257*100)+I1257,IF(C1257="Sell",(L1257*G1257*100)-I1257, X))))</f>
        <v/>
      </c>
      <c r="N1257" s="78">
        <f>IF(ISBLANK(L1257),"",IF(AND(C1257="Sell",D1257="Stock"),M1257,IF(ISBLANK(L1257),"",IF(C1257="Buy",M1257, IF(AND(C1257="Sell",J1257="NA"),(E1257*G1257*100*0.1)+I1257, IF(C1257="Sell",(J1257-L1257)*(100*G1257)+I1257))))))</f>
        <v/>
      </c>
      <c r="O1257" s="75" t="n"/>
      <c r="P1257" s="75" t="n"/>
      <c r="Q1257" s="75">
        <f>IF(ISBLANK(P1257),"",IF(D1257="Stock",P1257*G1257,IF(P1257=0,"0",G1257*P1257*100-(G1257*$AF$14))))</f>
        <v/>
      </c>
      <c r="R1257" s="79">
        <f>IF(P1257&lt;&gt;"", TODAY(), "")</f>
        <v/>
      </c>
      <c r="S1257" s="78">
        <f>IF(AND(K1257&lt;&gt;"", R1257&lt;&gt;""), R1257-K1257, "")</f>
        <v/>
      </c>
      <c r="T1257" s="78" t="n"/>
      <c r="U1257" s="92">
        <f>IF(ISBLANK(P1257),"",IF(C1257="Buy",Q1257-M1257+T1257, IF(C1257="Sell",M1257-Q1257-T1257, X)))</f>
        <v/>
      </c>
      <c r="V1257" s="81">
        <f>IF(ISBLANK(P1257),"",U1257/N1257)</f>
        <v/>
      </c>
      <c r="W1257" s="81">
        <f>IF(ISBLANK(P1257),"",IF(S1257=0,(365/0.5)*V1257,(365/S1257)*V1257))</f>
        <v/>
      </c>
      <c r="X1257" s="75" t="n"/>
      <c r="Y1257" s="77" t="n"/>
      <c r="Z1257" s="77" t="n"/>
      <c r="AA1257" s="75" t="n"/>
      <c r="AB1257" s="75" t="n"/>
      <c r="AC1257" s="6" t="n"/>
      <c r="AD1257" s="75" t="n"/>
      <c r="AE1257" s="75" t="n"/>
      <c r="AF1257" s="75" t="n"/>
    </row>
    <row r="1258" ht="15.75" customHeight="1" s="133">
      <c r="A1258" s="75" t="n"/>
      <c r="B1258" s="75" t="n"/>
      <c r="C1258" s="75" t="n"/>
      <c r="D1258" s="75" t="n"/>
      <c r="E1258" s="76" t="n"/>
      <c r="F1258" s="77" t="n"/>
      <c r="G1258" s="75" t="n"/>
      <c r="H1258" s="75">
        <f>IF(ISBLANK(E1258),"",IF(OR(D1258="Butterfly",D1258="Butterfly ",D1258="Iron Fly", D1258="Iron Fly "),LEN(E1258)-LEN(SUBSTITUTE(E1258,"/",""))+2,LEN(E1258)-LEN(SUBSTITUTE(E1258,"/",""))+1))</f>
        <v/>
      </c>
      <c r="I1258" s="78">
        <f>IF(ISBLANK(G1258),"",IF(D1258="Stock","0",Key!$A$3*H1258*G1258))</f>
        <v/>
      </c>
      <c r="J1258" s="78">
        <f>IF(ISBLANK(E1258),"",IF(ISNUMBER(SEARCH("/",E1258)), IF(LEN(E1258)-LEN(SUBSTITUTE(E1258,"/",""))=1,(RIGHT(E1258,LEN(E1258)-FIND("/",E1258)))-(LEFT(E1258,FIND("/",E1258)-1)),(MID(E1258, SEARCH("/",E1258) + 1, SEARCH("/",E1258, SEARCH("/",E1258)+1) - SEARCH("/",E1258) - 1))-(LEFT(E1258,FIND("/",E1258)-1))), "NA"))</f>
        <v/>
      </c>
      <c r="K1258" s="79">
        <f>IF(A1258&lt;&gt;"", IF(ISBLANK(L1258), TODAY(), K1258), "")</f>
        <v/>
      </c>
      <c r="L1258" s="78" t="n"/>
      <c r="M1258" s="78">
        <f>IF(ISBLANK(L1258),"",IF(D1258="Stock",IF(C1258="Buy",L1258*G1258,IF(C1258="Sell",(L1258*G1258)-I1258, X)),IF(C1258="Buy",(L1258*G1258*100)+I1258,IF(C1258="Sell",(L1258*G1258*100)-I1258, X))))</f>
        <v/>
      </c>
      <c r="N1258" s="78">
        <f>IF(ISBLANK(L1258),"",IF(AND(C1258="Sell",D1258="Stock"),M1258,IF(ISBLANK(L1258),"",IF(C1258="Buy",M1258, IF(AND(C1258="Sell",J1258="NA"),(E1258*G1258*100*0.1)+I1258, IF(C1258="Sell",(J1258-L1258)*(100*G1258)+I1258))))))</f>
        <v/>
      </c>
      <c r="O1258" s="75" t="n"/>
      <c r="P1258" s="75" t="n"/>
      <c r="Q1258" s="75">
        <f>IF(ISBLANK(P1258),"",IF(D1258="Stock",P1258*G1258,IF(P1258=0,"0",G1258*P1258*100-(G1258*$AF$14))))</f>
        <v/>
      </c>
      <c r="R1258" s="79">
        <f>IF(P1258&lt;&gt;"", TODAY(), "")</f>
        <v/>
      </c>
      <c r="S1258" s="78">
        <f>IF(AND(K1258&lt;&gt;"", R1258&lt;&gt;""), R1258-K1258, "")</f>
        <v/>
      </c>
      <c r="T1258" s="78" t="n"/>
      <c r="U1258" s="92">
        <f>IF(ISBLANK(P1258),"",IF(C1258="Buy",Q1258-M1258+T1258, IF(C1258="Sell",M1258-Q1258-T1258, X)))</f>
        <v/>
      </c>
      <c r="V1258" s="81">
        <f>IF(ISBLANK(P1258),"",U1258/N1258)</f>
        <v/>
      </c>
      <c r="W1258" s="81">
        <f>IF(ISBLANK(P1258),"",IF(S1258=0,(365/0.5)*V1258,(365/S1258)*V1258))</f>
        <v/>
      </c>
      <c r="X1258" s="75" t="n"/>
      <c r="Y1258" s="77" t="n"/>
      <c r="Z1258" s="77" t="n"/>
      <c r="AA1258" s="75" t="n"/>
      <c r="AB1258" s="75" t="n"/>
      <c r="AC1258" s="6" t="n"/>
      <c r="AD1258" s="75" t="n"/>
      <c r="AE1258" s="75" t="n"/>
      <c r="AF1258" s="75" t="n"/>
    </row>
    <row r="1259" ht="15.75" customHeight="1" s="133">
      <c r="A1259" s="75" t="n"/>
      <c r="B1259" s="75" t="n"/>
      <c r="C1259" s="75" t="n"/>
      <c r="D1259" s="75" t="n"/>
      <c r="E1259" s="76" t="n"/>
      <c r="F1259" s="77" t="n"/>
      <c r="G1259" s="75" t="n"/>
      <c r="H1259" s="75">
        <f>IF(ISBLANK(E1259),"",IF(OR(D1259="Butterfly",D1259="Butterfly ",D1259="Iron Fly", D1259="Iron Fly "),LEN(E1259)-LEN(SUBSTITUTE(E1259,"/",""))+2,LEN(E1259)-LEN(SUBSTITUTE(E1259,"/",""))+1))</f>
        <v/>
      </c>
      <c r="I1259" s="78">
        <f>IF(ISBLANK(G1259),"",IF(D1259="Stock","0",Key!$A$3*H1259*G1259))</f>
        <v/>
      </c>
      <c r="J1259" s="78">
        <f>IF(ISBLANK(E1259),"",IF(ISNUMBER(SEARCH("/",E1259)), IF(LEN(E1259)-LEN(SUBSTITUTE(E1259,"/",""))=1,(RIGHT(E1259,LEN(E1259)-FIND("/",E1259)))-(LEFT(E1259,FIND("/",E1259)-1)),(MID(E1259, SEARCH("/",E1259) + 1, SEARCH("/",E1259, SEARCH("/",E1259)+1) - SEARCH("/",E1259) - 1))-(LEFT(E1259,FIND("/",E1259)-1))), "NA"))</f>
        <v/>
      </c>
      <c r="K1259" s="79">
        <f>IF(A1259&lt;&gt;"", IF(ISBLANK(L1259), TODAY(), K1259), "")</f>
        <v/>
      </c>
      <c r="L1259" s="78" t="n"/>
      <c r="M1259" s="78">
        <f>IF(ISBLANK(L1259),"",IF(D1259="Stock",IF(C1259="Buy",L1259*G1259,IF(C1259="Sell",(L1259*G1259)-I1259, X)),IF(C1259="Buy",(L1259*G1259*100)+I1259,IF(C1259="Sell",(L1259*G1259*100)-I1259, X))))</f>
        <v/>
      </c>
      <c r="N1259" s="78">
        <f>IF(ISBLANK(L1259),"",IF(AND(C1259="Sell",D1259="Stock"),M1259,IF(ISBLANK(L1259),"",IF(C1259="Buy",M1259, IF(AND(C1259="Sell",J1259="NA"),(E1259*G1259*100*0.1)+I1259, IF(C1259="Sell",(J1259-L1259)*(100*G1259)+I1259))))))</f>
        <v/>
      </c>
      <c r="O1259" s="75" t="n"/>
      <c r="P1259" s="75" t="n"/>
      <c r="Q1259" s="75">
        <f>IF(ISBLANK(P1259),"",IF(D1259="Stock",P1259*G1259,IF(P1259=0,"0",G1259*P1259*100-(G1259*$AF$14))))</f>
        <v/>
      </c>
      <c r="R1259" s="79">
        <f>IF(P1259&lt;&gt;"", TODAY(), "")</f>
        <v/>
      </c>
      <c r="S1259" s="78">
        <f>IF(AND(K1259&lt;&gt;"", R1259&lt;&gt;""), R1259-K1259, "")</f>
        <v/>
      </c>
      <c r="T1259" s="78" t="n"/>
      <c r="U1259" s="92">
        <f>IF(ISBLANK(P1259),"",IF(C1259="Buy",Q1259-M1259+T1259, IF(C1259="Sell",M1259-Q1259-T1259, X)))</f>
        <v/>
      </c>
      <c r="V1259" s="81">
        <f>IF(ISBLANK(P1259),"",U1259/N1259)</f>
        <v/>
      </c>
      <c r="W1259" s="81">
        <f>IF(ISBLANK(P1259),"",IF(S1259=0,(365/0.5)*V1259,(365/S1259)*V1259))</f>
        <v/>
      </c>
      <c r="X1259" s="75" t="n"/>
      <c r="Y1259" s="77" t="n"/>
      <c r="Z1259" s="77" t="n"/>
      <c r="AA1259" s="75" t="n"/>
      <c r="AB1259" s="75" t="n"/>
      <c r="AC1259" s="6" t="n"/>
      <c r="AD1259" s="75" t="n"/>
      <c r="AE1259" s="75" t="n"/>
      <c r="AF1259" s="75" t="n"/>
    </row>
    <row r="1260" ht="15.75" customHeight="1" s="133">
      <c r="A1260" s="75" t="n"/>
      <c r="B1260" s="75" t="n"/>
      <c r="C1260" s="75" t="n"/>
      <c r="D1260" s="75" t="n"/>
      <c r="E1260" s="76" t="n"/>
      <c r="F1260" s="77" t="n"/>
      <c r="G1260" s="75" t="n"/>
      <c r="H1260" s="75">
        <f>IF(ISBLANK(E1260),"",IF(OR(D1260="Butterfly",D1260="Butterfly ",D1260="Iron Fly", D1260="Iron Fly "),LEN(E1260)-LEN(SUBSTITUTE(E1260,"/",""))+2,LEN(E1260)-LEN(SUBSTITUTE(E1260,"/",""))+1))</f>
        <v/>
      </c>
      <c r="I1260" s="78">
        <f>IF(ISBLANK(G1260),"",IF(D1260="Stock","0",Key!$A$3*H1260*G1260))</f>
        <v/>
      </c>
      <c r="J1260" s="78">
        <f>IF(ISBLANK(E1260),"",IF(ISNUMBER(SEARCH("/",E1260)), IF(LEN(E1260)-LEN(SUBSTITUTE(E1260,"/",""))=1,(RIGHT(E1260,LEN(E1260)-FIND("/",E1260)))-(LEFT(E1260,FIND("/",E1260)-1)),(MID(E1260, SEARCH("/",E1260) + 1, SEARCH("/",E1260, SEARCH("/",E1260)+1) - SEARCH("/",E1260) - 1))-(LEFT(E1260,FIND("/",E1260)-1))), "NA"))</f>
        <v/>
      </c>
      <c r="K1260" s="79">
        <f>IF(A1260&lt;&gt;"", IF(ISBLANK(L1260), TODAY(), K1260), "")</f>
        <v/>
      </c>
      <c r="L1260" s="78" t="n"/>
      <c r="M1260" s="78">
        <f>IF(ISBLANK(L1260),"",IF(D1260="Stock",IF(C1260="Buy",L1260*G1260,IF(C1260="Sell",(L1260*G1260)-I1260, X)),IF(C1260="Buy",(L1260*G1260*100)+I1260,IF(C1260="Sell",(L1260*G1260*100)-I1260, X))))</f>
        <v/>
      </c>
      <c r="N1260" s="78">
        <f>IF(ISBLANK(L1260),"",IF(AND(C1260="Sell",D1260="Stock"),M1260,IF(ISBLANK(L1260),"",IF(C1260="Buy",M1260, IF(AND(C1260="Sell",J1260="NA"),(E1260*G1260*100*0.1)+I1260, IF(C1260="Sell",(J1260-L1260)*(100*G1260)+I1260))))))</f>
        <v/>
      </c>
      <c r="O1260" s="75" t="n"/>
      <c r="P1260" s="75" t="n"/>
      <c r="Q1260" s="75">
        <f>IF(ISBLANK(P1260),"",IF(D1260="Stock",P1260*G1260,IF(P1260=0,"0",G1260*P1260*100-(G1260*$AF$14))))</f>
        <v/>
      </c>
      <c r="R1260" s="79">
        <f>IF(P1260&lt;&gt;"", TODAY(), "")</f>
        <v/>
      </c>
      <c r="S1260" s="78">
        <f>IF(AND(K1260&lt;&gt;"", R1260&lt;&gt;""), R1260-K1260, "")</f>
        <v/>
      </c>
      <c r="T1260" s="78" t="n"/>
      <c r="U1260" s="92">
        <f>IF(ISBLANK(P1260),"",IF(C1260="Buy",Q1260-M1260+T1260, IF(C1260="Sell",M1260-Q1260-T1260, X)))</f>
        <v/>
      </c>
      <c r="V1260" s="81">
        <f>IF(ISBLANK(P1260),"",U1260/N1260)</f>
        <v/>
      </c>
      <c r="W1260" s="81">
        <f>IF(ISBLANK(P1260),"",IF(S1260=0,(365/0.5)*V1260,(365/S1260)*V1260))</f>
        <v/>
      </c>
      <c r="X1260" s="75" t="n"/>
      <c r="Y1260" s="77" t="n"/>
      <c r="Z1260" s="77" t="n"/>
      <c r="AA1260" s="75" t="n"/>
      <c r="AB1260" s="75" t="n"/>
      <c r="AC1260" s="6" t="n"/>
      <c r="AD1260" s="75" t="n"/>
      <c r="AE1260" s="75" t="n"/>
      <c r="AF1260" s="75" t="n"/>
    </row>
    <row r="1261" ht="15.75" customHeight="1" s="133">
      <c r="A1261" s="75" t="n"/>
      <c r="B1261" s="75" t="n"/>
      <c r="C1261" s="75" t="n"/>
      <c r="D1261" s="75" t="n"/>
      <c r="E1261" s="76" t="n"/>
      <c r="F1261" s="77" t="n"/>
      <c r="G1261" s="75" t="n"/>
      <c r="H1261" s="75">
        <f>IF(ISBLANK(E1261),"",IF(OR(D1261="Butterfly",D1261="Butterfly ",D1261="Iron Fly", D1261="Iron Fly "),LEN(E1261)-LEN(SUBSTITUTE(E1261,"/",""))+2,LEN(E1261)-LEN(SUBSTITUTE(E1261,"/",""))+1))</f>
        <v/>
      </c>
      <c r="I1261" s="78">
        <f>IF(ISBLANK(G1261),"",IF(D1261="Stock","0",Key!$A$3*H1261*G1261))</f>
        <v/>
      </c>
      <c r="J1261" s="78">
        <f>IF(ISBLANK(E1261),"",IF(ISNUMBER(SEARCH("/",E1261)), IF(LEN(E1261)-LEN(SUBSTITUTE(E1261,"/",""))=1,(RIGHT(E1261,LEN(E1261)-FIND("/",E1261)))-(LEFT(E1261,FIND("/",E1261)-1)),(MID(E1261, SEARCH("/",E1261) + 1, SEARCH("/",E1261, SEARCH("/",E1261)+1) - SEARCH("/",E1261) - 1))-(LEFT(E1261,FIND("/",E1261)-1))), "NA"))</f>
        <v/>
      </c>
      <c r="K1261" s="79">
        <f>IF(A1261&lt;&gt;"", IF(ISBLANK(L1261), TODAY(), K1261), "")</f>
        <v/>
      </c>
      <c r="L1261" s="78" t="n"/>
      <c r="M1261" s="78">
        <f>IF(ISBLANK(L1261),"",IF(D1261="Stock",IF(C1261="Buy",L1261*G1261,IF(C1261="Sell",(L1261*G1261)-I1261, X)),IF(C1261="Buy",(L1261*G1261*100)+I1261,IF(C1261="Sell",(L1261*G1261*100)-I1261, X))))</f>
        <v/>
      </c>
      <c r="N1261" s="78">
        <f>IF(ISBLANK(L1261),"",IF(AND(C1261="Sell",D1261="Stock"),M1261,IF(ISBLANK(L1261),"",IF(C1261="Buy",M1261, IF(AND(C1261="Sell",J1261="NA"),(E1261*G1261*100*0.1)+I1261, IF(C1261="Sell",(J1261-L1261)*(100*G1261)+I1261))))))</f>
        <v/>
      </c>
      <c r="O1261" s="75" t="n"/>
      <c r="P1261" s="75" t="n"/>
      <c r="Q1261" s="75">
        <f>IF(ISBLANK(P1261),"",IF(D1261="Stock",P1261*G1261,IF(P1261=0,"0",G1261*P1261*100-(G1261*$AF$14))))</f>
        <v/>
      </c>
      <c r="R1261" s="79">
        <f>IF(P1261&lt;&gt;"", TODAY(), "")</f>
        <v/>
      </c>
      <c r="S1261" s="78">
        <f>IF(AND(K1261&lt;&gt;"", R1261&lt;&gt;""), R1261-K1261, "")</f>
        <v/>
      </c>
      <c r="T1261" s="78" t="n"/>
      <c r="U1261" s="92">
        <f>IF(ISBLANK(P1261),"",IF(C1261="Buy",Q1261-M1261+T1261, IF(C1261="Sell",M1261-Q1261-T1261, X)))</f>
        <v/>
      </c>
      <c r="V1261" s="81">
        <f>IF(ISBLANK(P1261),"",U1261/N1261)</f>
        <v/>
      </c>
      <c r="W1261" s="81">
        <f>IF(ISBLANK(P1261),"",IF(S1261=0,(365/0.5)*V1261,(365/S1261)*V1261))</f>
        <v/>
      </c>
      <c r="X1261" s="75" t="n"/>
      <c r="Y1261" s="77" t="n"/>
      <c r="Z1261" s="77" t="n"/>
      <c r="AA1261" s="75" t="n"/>
      <c r="AB1261" s="75" t="n"/>
      <c r="AC1261" s="6" t="n"/>
      <c r="AD1261" s="75" t="n"/>
      <c r="AE1261" s="75" t="n"/>
      <c r="AF1261" s="75" t="n"/>
    </row>
    <row r="1262" ht="15.75" customHeight="1" s="133">
      <c r="A1262" s="75" t="n"/>
      <c r="B1262" s="75" t="n"/>
      <c r="C1262" s="75" t="n"/>
      <c r="D1262" s="75" t="n"/>
      <c r="E1262" s="76" t="n"/>
      <c r="F1262" s="77" t="n"/>
      <c r="G1262" s="75" t="n"/>
      <c r="H1262" s="75">
        <f>IF(ISBLANK(E1262),"",IF(OR(D1262="Butterfly",D1262="Butterfly ",D1262="Iron Fly", D1262="Iron Fly "),LEN(E1262)-LEN(SUBSTITUTE(E1262,"/",""))+2,LEN(E1262)-LEN(SUBSTITUTE(E1262,"/",""))+1))</f>
        <v/>
      </c>
      <c r="I1262" s="78">
        <f>IF(ISBLANK(G1262),"",IF(D1262="Stock","0",Key!$A$3*H1262*G1262))</f>
        <v/>
      </c>
      <c r="J1262" s="78">
        <f>IF(ISBLANK(E1262),"",IF(ISNUMBER(SEARCH("/",E1262)), IF(LEN(E1262)-LEN(SUBSTITUTE(E1262,"/",""))=1,(RIGHT(E1262,LEN(E1262)-FIND("/",E1262)))-(LEFT(E1262,FIND("/",E1262)-1)),(MID(E1262, SEARCH("/",E1262) + 1, SEARCH("/",E1262, SEARCH("/",E1262)+1) - SEARCH("/",E1262) - 1))-(LEFT(E1262,FIND("/",E1262)-1))), "NA"))</f>
        <v/>
      </c>
      <c r="K1262" s="79">
        <f>IF(A1262&lt;&gt;"", IF(ISBLANK(L1262), TODAY(), K1262), "")</f>
        <v/>
      </c>
      <c r="L1262" s="78" t="n"/>
      <c r="M1262" s="78">
        <f>IF(ISBLANK(L1262),"",IF(D1262="Stock",IF(C1262="Buy",L1262*G1262,IF(C1262="Sell",(L1262*G1262)-I1262, X)),IF(C1262="Buy",(L1262*G1262*100)+I1262,IF(C1262="Sell",(L1262*G1262*100)-I1262, X))))</f>
        <v/>
      </c>
      <c r="N1262" s="78">
        <f>IF(ISBLANK(L1262),"",IF(AND(C1262="Sell",D1262="Stock"),M1262,IF(ISBLANK(L1262),"",IF(C1262="Buy",M1262, IF(AND(C1262="Sell",J1262="NA"),(E1262*G1262*100*0.1)+I1262, IF(C1262="Sell",(J1262-L1262)*(100*G1262)+I1262))))))</f>
        <v/>
      </c>
      <c r="O1262" s="75" t="n"/>
      <c r="P1262" s="75" t="n"/>
      <c r="Q1262" s="75">
        <f>IF(ISBLANK(P1262),"",IF(D1262="Stock",P1262*G1262,IF(P1262=0,"0",G1262*P1262*100-(G1262*$AF$14))))</f>
        <v/>
      </c>
      <c r="R1262" s="79">
        <f>IF(P1262&lt;&gt;"", TODAY(), "")</f>
        <v/>
      </c>
      <c r="S1262" s="78">
        <f>IF(AND(K1262&lt;&gt;"", R1262&lt;&gt;""), R1262-K1262, "")</f>
        <v/>
      </c>
      <c r="T1262" s="78" t="n"/>
      <c r="U1262" s="92">
        <f>IF(ISBLANK(P1262),"",IF(C1262="Buy",Q1262-M1262+T1262, IF(C1262="Sell",M1262-Q1262-T1262, X)))</f>
        <v/>
      </c>
      <c r="V1262" s="81">
        <f>IF(ISBLANK(P1262),"",U1262/N1262)</f>
        <v/>
      </c>
      <c r="W1262" s="81">
        <f>IF(ISBLANK(P1262),"",IF(S1262=0,(365/0.5)*V1262,(365/S1262)*V1262))</f>
        <v/>
      </c>
      <c r="X1262" s="75" t="n"/>
      <c r="Y1262" s="77" t="n"/>
      <c r="Z1262" s="77" t="n"/>
      <c r="AA1262" s="75" t="n"/>
      <c r="AB1262" s="75" t="n"/>
      <c r="AC1262" s="6" t="n"/>
      <c r="AD1262" s="75" t="n"/>
      <c r="AE1262" s="75" t="n"/>
      <c r="AF1262" s="75" t="n"/>
    </row>
    <row r="1263" ht="15.75" customHeight="1" s="133">
      <c r="A1263" s="75" t="n"/>
      <c r="B1263" s="75" t="n"/>
      <c r="C1263" s="75" t="n"/>
      <c r="D1263" s="75" t="n"/>
      <c r="E1263" s="76" t="n"/>
      <c r="F1263" s="77" t="n"/>
      <c r="G1263" s="75" t="n"/>
      <c r="H1263" s="75">
        <f>IF(ISBLANK(E1263),"",IF(OR(D1263="Butterfly",D1263="Butterfly ",D1263="Iron Fly", D1263="Iron Fly "),LEN(E1263)-LEN(SUBSTITUTE(E1263,"/",""))+2,LEN(E1263)-LEN(SUBSTITUTE(E1263,"/",""))+1))</f>
        <v/>
      </c>
      <c r="I1263" s="78">
        <f>IF(ISBLANK(G1263),"",IF(D1263="Stock","0",Key!$A$3*H1263*G1263))</f>
        <v/>
      </c>
      <c r="J1263" s="78">
        <f>IF(ISBLANK(E1263),"",IF(ISNUMBER(SEARCH("/",E1263)), IF(LEN(E1263)-LEN(SUBSTITUTE(E1263,"/",""))=1,(RIGHT(E1263,LEN(E1263)-FIND("/",E1263)))-(LEFT(E1263,FIND("/",E1263)-1)),(MID(E1263, SEARCH("/",E1263) + 1, SEARCH("/",E1263, SEARCH("/",E1263)+1) - SEARCH("/",E1263) - 1))-(LEFT(E1263,FIND("/",E1263)-1))), "NA"))</f>
        <v/>
      </c>
      <c r="K1263" s="79">
        <f>IF(A1263&lt;&gt;"", IF(ISBLANK(L1263), TODAY(), K1263), "")</f>
        <v/>
      </c>
      <c r="L1263" s="78" t="n"/>
      <c r="M1263" s="78">
        <f>IF(ISBLANK(L1263),"",IF(D1263="Stock",IF(C1263="Buy",L1263*G1263,IF(C1263="Sell",(L1263*G1263)-I1263, X)),IF(C1263="Buy",(L1263*G1263*100)+I1263,IF(C1263="Sell",(L1263*G1263*100)-I1263, X))))</f>
        <v/>
      </c>
      <c r="N1263" s="78">
        <f>IF(ISBLANK(L1263),"",IF(AND(C1263="Sell",D1263="Stock"),M1263,IF(ISBLANK(L1263),"",IF(C1263="Buy",M1263, IF(AND(C1263="Sell",J1263="NA"),(E1263*G1263*100*0.1)+I1263, IF(C1263="Sell",(J1263-L1263)*(100*G1263)+I1263))))))</f>
        <v/>
      </c>
      <c r="O1263" s="75" t="n"/>
      <c r="P1263" s="75" t="n"/>
      <c r="Q1263" s="75">
        <f>IF(ISBLANK(P1263),"",IF(D1263="Stock",P1263*G1263,IF(P1263=0,"0",G1263*P1263*100-(G1263*$AF$14))))</f>
        <v/>
      </c>
      <c r="R1263" s="79">
        <f>IF(P1263&lt;&gt;"", TODAY(), "")</f>
        <v/>
      </c>
      <c r="S1263" s="78">
        <f>IF(AND(K1263&lt;&gt;"", R1263&lt;&gt;""), R1263-K1263, "")</f>
        <v/>
      </c>
      <c r="T1263" s="78" t="n"/>
      <c r="U1263" s="92">
        <f>IF(ISBLANK(P1263),"",IF(C1263="Buy",Q1263-M1263+T1263, IF(C1263="Sell",M1263-Q1263-T1263, X)))</f>
        <v/>
      </c>
      <c r="V1263" s="81">
        <f>IF(ISBLANK(P1263),"",U1263/N1263)</f>
        <v/>
      </c>
      <c r="W1263" s="81">
        <f>IF(ISBLANK(P1263),"",IF(S1263=0,(365/0.5)*V1263,(365/S1263)*V1263))</f>
        <v/>
      </c>
      <c r="X1263" s="75" t="n"/>
      <c r="Y1263" s="77" t="n"/>
      <c r="Z1263" s="77" t="n"/>
      <c r="AA1263" s="75" t="n"/>
      <c r="AB1263" s="75" t="n"/>
      <c r="AC1263" s="6" t="n"/>
      <c r="AD1263" s="75" t="n"/>
      <c r="AE1263" s="75" t="n"/>
      <c r="AF1263" s="75" t="n"/>
    </row>
    <row r="1264" ht="15.75" customHeight="1" s="133">
      <c r="A1264" s="75" t="n"/>
      <c r="B1264" s="75" t="n"/>
      <c r="C1264" s="75" t="n"/>
      <c r="D1264" s="75" t="n"/>
      <c r="E1264" s="76" t="n"/>
      <c r="F1264" s="77" t="n"/>
      <c r="G1264" s="75" t="n"/>
      <c r="H1264" s="75">
        <f>IF(ISBLANK(E1264),"",IF(OR(D1264="Butterfly",D1264="Butterfly ",D1264="Iron Fly", D1264="Iron Fly "),LEN(E1264)-LEN(SUBSTITUTE(E1264,"/",""))+2,LEN(E1264)-LEN(SUBSTITUTE(E1264,"/",""))+1))</f>
        <v/>
      </c>
      <c r="I1264" s="78">
        <f>IF(ISBLANK(G1264),"",IF(D1264="Stock","0",Key!$A$3*H1264*G1264))</f>
        <v/>
      </c>
      <c r="J1264" s="78">
        <f>IF(ISBLANK(E1264),"",IF(ISNUMBER(SEARCH("/",E1264)), IF(LEN(E1264)-LEN(SUBSTITUTE(E1264,"/",""))=1,(RIGHT(E1264,LEN(E1264)-FIND("/",E1264)))-(LEFT(E1264,FIND("/",E1264)-1)),(MID(E1264, SEARCH("/",E1264) + 1, SEARCH("/",E1264, SEARCH("/",E1264)+1) - SEARCH("/",E1264) - 1))-(LEFT(E1264,FIND("/",E1264)-1))), "NA"))</f>
        <v/>
      </c>
      <c r="K1264" s="79">
        <f>IF(A1264&lt;&gt;"", IF(ISBLANK(L1264), TODAY(), K1264), "")</f>
        <v/>
      </c>
      <c r="L1264" s="78" t="n"/>
      <c r="M1264" s="78">
        <f>IF(ISBLANK(L1264),"",IF(D1264="Stock",IF(C1264="Buy",L1264*G1264,IF(C1264="Sell",(L1264*G1264)-I1264, X)),IF(C1264="Buy",(L1264*G1264*100)+I1264,IF(C1264="Sell",(L1264*G1264*100)-I1264, X))))</f>
        <v/>
      </c>
      <c r="N1264" s="78">
        <f>IF(ISBLANK(L1264),"",IF(AND(C1264="Sell",D1264="Stock"),M1264,IF(ISBLANK(L1264),"",IF(C1264="Buy",M1264, IF(AND(C1264="Sell",J1264="NA"),(E1264*G1264*100*0.1)+I1264, IF(C1264="Sell",(J1264-L1264)*(100*G1264)+I1264))))))</f>
        <v/>
      </c>
      <c r="O1264" s="75" t="n"/>
      <c r="P1264" s="75" t="n"/>
      <c r="Q1264" s="75">
        <f>IF(ISBLANK(P1264),"",IF(D1264="Stock",P1264*G1264,IF(P1264=0,"0",G1264*P1264*100-(G1264*$AF$14))))</f>
        <v/>
      </c>
      <c r="R1264" s="79">
        <f>IF(P1264&lt;&gt;"", TODAY(), "")</f>
        <v/>
      </c>
      <c r="S1264" s="78">
        <f>IF(AND(K1264&lt;&gt;"", R1264&lt;&gt;""), R1264-K1264, "")</f>
        <v/>
      </c>
      <c r="T1264" s="78" t="n"/>
      <c r="U1264" s="92">
        <f>IF(ISBLANK(P1264),"",IF(C1264="Buy",Q1264-M1264+T1264, IF(C1264="Sell",M1264-Q1264-T1264, X)))</f>
        <v/>
      </c>
      <c r="V1264" s="81">
        <f>IF(ISBLANK(P1264),"",U1264/N1264)</f>
        <v/>
      </c>
      <c r="W1264" s="81">
        <f>IF(ISBLANK(P1264),"",IF(S1264=0,(365/0.5)*V1264,(365/S1264)*V1264))</f>
        <v/>
      </c>
      <c r="X1264" s="75" t="n"/>
      <c r="Y1264" s="77" t="n"/>
      <c r="Z1264" s="77" t="n"/>
      <c r="AA1264" s="75" t="n"/>
      <c r="AB1264" s="75" t="n"/>
      <c r="AC1264" s="6" t="n"/>
      <c r="AD1264" s="75" t="n"/>
      <c r="AE1264" s="75" t="n"/>
      <c r="AF1264" s="75" t="n"/>
    </row>
    <row r="1265" ht="15.75" customHeight="1" s="133">
      <c r="A1265" s="75" t="n"/>
      <c r="B1265" s="75" t="n"/>
      <c r="C1265" s="75" t="n"/>
      <c r="D1265" s="75" t="n"/>
      <c r="E1265" s="76" t="n"/>
      <c r="F1265" s="77" t="n"/>
      <c r="G1265" s="75" t="n"/>
      <c r="H1265" s="75">
        <f>IF(ISBLANK(E1265),"",IF(OR(D1265="Butterfly",D1265="Butterfly ",D1265="Iron Fly", D1265="Iron Fly "),LEN(E1265)-LEN(SUBSTITUTE(E1265,"/",""))+2,LEN(E1265)-LEN(SUBSTITUTE(E1265,"/",""))+1))</f>
        <v/>
      </c>
      <c r="I1265" s="78">
        <f>IF(ISBLANK(G1265),"",IF(D1265="Stock","0",Key!$A$3*H1265*G1265))</f>
        <v/>
      </c>
      <c r="J1265" s="78">
        <f>IF(ISBLANK(E1265),"",IF(ISNUMBER(SEARCH("/",E1265)), IF(LEN(E1265)-LEN(SUBSTITUTE(E1265,"/",""))=1,(RIGHT(E1265,LEN(E1265)-FIND("/",E1265)))-(LEFT(E1265,FIND("/",E1265)-1)),(MID(E1265, SEARCH("/",E1265) + 1, SEARCH("/",E1265, SEARCH("/",E1265)+1) - SEARCH("/",E1265) - 1))-(LEFT(E1265,FIND("/",E1265)-1))), "NA"))</f>
        <v/>
      </c>
      <c r="K1265" s="79">
        <f>IF(A1265&lt;&gt;"", IF(ISBLANK(L1265), TODAY(), K1265), "")</f>
        <v/>
      </c>
      <c r="L1265" s="78" t="n"/>
      <c r="M1265" s="78">
        <f>IF(ISBLANK(L1265),"",IF(D1265="Stock",IF(C1265="Buy",L1265*G1265,IF(C1265="Sell",(L1265*G1265)-I1265, X)),IF(C1265="Buy",(L1265*G1265*100)+I1265,IF(C1265="Sell",(L1265*G1265*100)-I1265, X))))</f>
        <v/>
      </c>
      <c r="N1265" s="78">
        <f>IF(ISBLANK(L1265),"",IF(AND(C1265="Sell",D1265="Stock"),M1265,IF(ISBLANK(L1265),"",IF(C1265="Buy",M1265, IF(AND(C1265="Sell",J1265="NA"),(E1265*G1265*100*0.1)+I1265, IF(C1265="Sell",(J1265-L1265)*(100*G1265)+I1265))))))</f>
        <v/>
      </c>
      <c r="O1265" s="75" t="n"/>
      <c r="P1265" s="75" t="n"/>
      <c r="Q1265" s="75">
        <f>IF(ISBLANK(P1265),"",IF(D1265="Stock",P1265*G1265,IF(P1265=0,"0",G1265*P1265*100-(G1265*$AF$14))))</f>
        <v/>
      </c>
      <c r="R1265" s="79">
        <f>IF(P1265&lt;&gt;"", TODAY(), "")</f>
        <v/>
      </c>
      <c r="S1265" s="78">
        <f>IF(AND(K1265&lt;&gt;"", R1265&lt;&gt;""), R1265-K1265, "")</f>
        <v/>
      </c>
      <c r="T1265" s="78" t="n"/>
      <c r="U1265" s="92">
        <f>IF(ISBLANK(P1265),"",IF(C1265="Buy",Q1265-M1265+T1265, IF(C1265="Sell",M1265-Q1265-T1265, X)))</f>
        <v/>
      </c>
      <c r="V1265" s="81">
        <f>IF(ISBLANK(P1265),"",U1265/N1265)</f>
        <v/>
      </c>
      <c r="W1265" s="81">
        <f>IF(ISBLANK(P1265),"",IF(S1265=0,(365/0.5)*V1265,(365/S1265)*V1265))</f>
        <v/>
      </c>
      <c r="X1265" s="75" t="n"/>
      <c r="Y1265" s="77" t="n"/>
      <c r="Z1265" s="77" t="n"/>
      <c r="AA1265" s="75" t="n"/>
      <c r="AB1265" s="75" t="n"/>
      <c r="AC1265" s="6" t="n"/>
      <c r="AD1265" s="75" t="n"/>
      <c r="AE1265" s="75" t="n"/>
      <c r="AF1265" s="75" t="n"/>
    </row>
    <row r="1266" ht="15.75" customHeight="1" s="133">
      <c r="A1266" s="75" t="n"/>
      <c r="B1266" s="75" t="n"/>
      <c r="C1266" s="75" t="n"/>
      <c r="D1266" s="75" t="n"/>
      <c r="E1266" s="76" t="n"/>
      <c r="F1266" s="77" t="n"/>
      <c r="G1266" s="75" t="n"/>
      <c r="H1266" s="75">
        <f>IF(ISBLANK(E1266),"",IF(OR(D1266="Butterfly",D1266="Butterfly ",D1266="Iron Fly", D1266="Iron Fly "),LEN(E1266)-LEN(SUBSTITUTE(E1266,"/",""))+2,LEN(E1266)-LEN(SUBSTITUTE(E1266,"/",""))+1))</f>
        <v/>
      </c>
      <c r="I1266" s="78">
        <f>IF(ISBLANK(G1266),"",IF(D1266="Stock","0",Key!$A$3*H1266*G1266))</f>
        <v/>
      </c>
      <c r="J1266" s="78">
        <f>IF(ISBLANK(E1266),"",IF(ISNUMBER(SEARCH("/",E1266)), IF(LEN(E1266)-LEN(SUBSTITUTE(E1266,"/",""))=1,(RIGHT(E1266,LEN(E1266)-FIND("/",E1266)))-(LEFT(E1266,FIND("/",E1266)-1)),(MID(E1266, SEARCH("/",E1266) + 1, SEARCH("/",E1266, SEARCH("/",E1266)+1) - SEARCH("/",E1266) - 1))-(LEFT(E1266,FIND("/",E1266)-1))), "NA"))</f>
        <v/>
      </c>
      <c r="K1266" s="79">
        <f>IF(A1266&lt;&gt;"", IF(ISBLANK(L1266), TODAY(), K1266), "")</f>
        <v/>
      </c>
      <c r="L1266" s="78" t="n"/>
      <c r="M1266" s="78">
        <f>IF(ISBLANK(L1266),"",IF(D1266="Stock",IF(C1266="Buy",L1266*G1266,IF(C1266="Sell",(L1266*G1266)-I1266, X)),IF(C1266="Buy",(L1266*G1266*100)+I1266,IF(C1266="Sell",(L1266*G1266*100)-I1266, X))))</f>
        <v/>
      </c>
      <c r="N1266" s="78">
        <f>IF(ISBLANK(L1266),"",IF(AND(C1266="Sell",D1266="Stock"),M1266,IF(ISBLANK(L1266),"",IF(C1266="Buy",M1266, IF(AND(C1266="Sell",J1266="NA"),(E1266*G1266*100*0.1)+I1266, IF(C1266="Sell",(J1266-L1266)*(100*G1266)+I1266))))))</f>
        <v/>
      </c>
      <c r="O1266" s="75" t="n"/>
      <c r="P1266" s="75" t="n"/>
      <c r="Q1266" s="75">
        <f>IF(ISBLANK(P1266),"",IF(D1266="Stock",P1266*G1266,IF(P1266=0,"0",G1266*P1266*100-(G1266*$AF$14))))</f>
        <v/>
      </c>
      <c r="R1266" s="79">
        <f>IF(P1266&lt;&gt;"", TODAY(), "")</f>
        <v/>
      </c>
      <c r="S1266" s="78">
        <f>IF(AND(K1266&lt;&gt;"", R1266&lt;&gt;""), R1266-K1266, "")</f>
        <v/>
      </c>
      <c r="T1266" s="78" t="n"/>
      <c r="U1266" s="92">
        <f>IF(ISBLANK(P1266),"",IF(C1266="Buy",Q1266-M1266+T1266, IF(C1266="Sell",M1266-Q1266-T1266, X)))</f>
        <v/>
      </c>
      <c r="V1266" s="81">
        <f>IF(ISBLANK(P1266),"",U1266/N1266)</f>
        <v/>
      </c>
      <c r="W1266" s="81">
        <f>IF(ISBLANK(P1266),"",IF(S1266=0,(365/0.5)*V1266,(365/S1266)*V1266))</f>
        <v/>
      </c>
      <c r="X1266" s="75" t="n"/>
      <c r="Y1266" s="77" t="n"/>
      <c r="Z1266" s="77" t="n"/>
      <c r="AA1266" s="75" t="n"/>
      <c r="AB1266" s="75" t="n"/>
      <c r="AC1266" s="6" t="n"/>
      <c r="AD1266" s="75" t="n"/>
      <c r="AE1266" s="75" t="n"/>
      <c r="AF1266" s="75" t="n"/>
    </row>
    <row r="1267" ht="15.75" customHeight="1" s="133">
      <c r="A1267" s="75" t="n"/>
      <c r="B1267" s="75" t="n"/>
      <c r="C1267" s="75" t="n"/>
      <c r="D1267" s="75" t="n"/>
      <c r="E1267" s="76" t="n"/>
      <c r="F1267" s="77" t="n"/>
      <c r="G1267" s="75" t="n"/>
      <c r="H1267" s="75">
        <f>IF(ISBLANK(E1267),"",IF(OR(D1267="Butterfly",D1267="Butterfly ",D1267="Iron Fly", D1267="Iron Fly "),LEN(E1267)-LEN(SUBSTITUTE(E1267,"/",""))+2,LEN(E1267)-LEN(SUBSTITUTE(E1267,"/",""))+1))</f>
        <v/>
      </c>
      <c r="I1267" s="78">
        <f>IF(ISBLANK(G1267),"",IF(D1267="Stock","0",Key!$A$3*H1267*G1267))</f>
        <v/>
      </c>
      <c r="J1267" s="78">
        <f>IF(ISBLANK(E1267),"",IF(ISNUMBER(SEARCH("/",E1267)), IF(LEN(E1267)-LEN(SUBSTITUTE(E1267,"/",""))=1,(RIGHT(E1267,LEN(E1267)-FIND("/",E1267)))-(LEFT(E1267,FIND("/",E1267)-1)),(MID(E1267, SEARCH("/",E1267) + 1, SEARCH("/",E1267, SEARCH("/",E1267)+1) - SEARCH("/",E1267) - 1))-(LEFT(E1267,FIND("/",E1267)-1))), "NA"))</f>
        <v/>
      </c>
      <c r="K1267" s="79">
        <f>IF(A1267&lt;&gt;"", IF(ISBLANK(L1267), TODAY(), K1267), "")</f>
        <v/>
      </c>
      <c r="L1267" s="78" t="n"/>
      <c r="M1267" s="78">
        <f>IF(ISBLANK(L1267),"",IF(D1267="Stock",IF(C1267="Buy",L1267*G1267,IF(C1267="Sell",(L1267*G1267)-I1267, X)),IF(C1267="Buy",(L1267*G1267*100)+I1267,IF(C1267="Sell",(L1267*G1267*100)-I1267, X))))</f>
        <v/>
      </c>
      <c r="N1267" s="78">
        <f>IF(ISBLANK(L1267),"",IF(AND(C1267="Sell",D1267="Stock"),M1267,IF(ISBLANK(L1267),"",IF(C1267="Buy",M1267, IF(AND(C1267="Sell",J1267="NA"),(E1267*G1267*100*0.1)+I1267, IF(C1267="Sell",(J1267-L1267)*(100*G1267)+I1267))))))</f>
        <v/>
      </c>
      <c r="O1267" s="75" t="n"/>
      <c r="P1267" s="75" t="n"/>
      <c r="Q1267" s="75">
        <f>IF(ISBLANK(P1267),"",IF(D1267="Stock",P1267*G1267,IF(P1267=0,"0",G1267*P1267*100-(G1267*$AF$14))))</f>
        <v/>
      </c>
      <c r="R1267" s="79">
        <f>IF(P1267&lt;&gt;"", TODAY(), "")</f>
        <v/>
      </c>
      <c r="S1267" s="78">
        <f>IF(AND(K1267&lt;&gt;"", R1267&lt;&gt;""), R1267-K1267, "")</f>
        <v/>
      </c>
      <c r="T1267" s="78" t="n"/>
      <c r="U1267" s="92">
        <f>IF(ISBLANK(P1267),"",IF(C1267="Buy",Q1267-M1267+T1267, IF(C1267="Sell",M1267-Q1267-T1267, X)))</f>
        <v/>
      </c>
      <c r="V1267" s="81">
        <f>IF(ISBLANK(P1267),"",U1267/N1267)</f>
        <v/>
      </c>
      <c r="W1267" s="81">
        <f>IF(ISBLANK(P1267),"",IF(S1267=0,(365/0.5)*V1267,(365/S1267)*V1267))</f>
        <v/>
      </c>
      <c r="X1267" s="75" t="n"/>
      <c r="Y1267" s="77" t="n"/>
      <c r="Z1267" s="77" t="n"/>
      <c r="AA1267" s="75" t="n"/>
      <c r="AB1267" s="75" t="n"/>
      <c r="AC1267" s="6" t="n"/>
      <c r="AD1267" s="75" t="n"/>
      <c r="AE1267" s="75" t="n"/>
      <c r="AF1267" s="75" t="n"/>
    </row>
    <row r="1268" ht="15.75" customHeight="1" s="133">
      <c r="A1268" s="75" t="n"/>
      <c r="B1268" s="75" t="n"/>
      <c r="C1268" s="75" t="n"/>
      <c r="D1268" s="75" t="n"/>
      <c r="E1268" s="76" t="n"/>
      <c r="F1268" s="77" t="n"/>
      <c r="G1268" s="75" t="n"/>
      <c r="H1268" s="75">
        <f>IF(ISBLANK(E1268),"",IF(OR(D1268="Butterfly",D1268="Butterfly ",D1268="Iron Fly", D1268="Iron Fly "),LEN(E1268)-LEN(SUBSTITUTE(E1268,"/",""))+2,LEN(E1268)-LEN(SUBSTITUTE(E1268,"/",""))+1))</f>
        <v/>
      </c>
      <c r="I1268" s="78">
        <f>IF(ISBLANK(G1268),"",IF(D1268="Stock","0",Key!$A$3*H1268*G1268))</f>
        <v/>
      </c>
      <c r="J1268" s="78">
        <f>IF(ISBLANK(E1268),"",IF(ISNUMBER(SEARCH("/",E1268)), IF(LEN(E1268)-LEN(SUBSTITUTE(E1268,"/",""))=1,(RIGHT(E1268,LEN(E1268)-FIND("/",E1268)))-(LEFT(E1268,FIND("/",E1268)-1)),(MID(E1268, SEARCH("/",E1268) + 1, SEARCH("/",E1268, SEARCH("/",E1268)+1) - SEARCH("/",E1268) - 1))-(LEFT(E1268,FIND("/",E1268)-1))), "NA"))</f>
        <v/>
      </c>
      <c r="K1268" s="79">
        <f>IF(A1268&lt;&gt;"", IF(ISBLANK(L1268), TODAY(), K1268), "")</f>
        <v/>
      </c>
      <c r="L1268" s="78" t="n"/>
      <c r="M1268" s="78">
        <f>IF(ISBLANK(L1268),"",IF(D1268="Stock",IF(C1268="Buy",L1268*G1268,IF(C1268="Sell",(L1268*G1268)-I1268, X)),IF(C1268="Buy",(L1268*G1268*100)+I1268,IF(C1268="Sell",(L1268*G1268*100)-I1268, X))))</f>
        <v/>
      </c>
      <c r="N1268" s="78">
        <f>IF(ISBLANK(L1268),"",IF(AND(C1268="Sell",D1268="Stock"),M1268,IF(ISBLANK(L1268),"",IF(C1268="Buy",M1268, IF(AND(C1268="Sell",J1268="NA"),(E1268*G1268*100*0.1)+I1268, IF(C1268="Sell",(J1268-L1268)*(100*G1268)+I1268))))))</f>
        <v/>
      </c>
      <c r="O1268" s="75" t="n"/>
      <c r="P1268" s="75" t="n"/>
      <c r="Q1268" s="75">
        <f>IF(ISBLANK(P1268),"",IF(D1268="Stock",P1268*G1268,IF(P1268=0,"0",G1268*P1268*100-(G1268*$AF$14))))</f>
        <v/>
      </c>
      <c r="R1268" s="79">
        <f>IF(P1268&lt;&gt;"", TODAY(), "")</f>
        <v/>
      </c>
      <c r="S1268" s="78">
        <f>IF(AND(K1268&lt;&gt;"", R1268&lt;&gt;""), R1268-K1268, "")</f>
        <v/>
      </c>
      <c r="T1268" s="78" t="n"/>
      <c r="U1268" s="92">
        <f>IF(ISBLANK(P1268),"",IF(C1268="Buy",Q1268-M1268+T1268, IF(C1268="Sell",M1268-Q1268-T1268, X)))</f>
        <v/>
      </c>
      <c r="V1268" s="81">
        <f>IF(ISBLANK(P1268),"",U1268/N1268)</f>
        <v/>
      </c>
      <c r="W1268" s="81">
        <f>IF(ISBLANK(P1268),"",IF(S1268=0,(365/0.5)*V1268,(365/S1268)*V1268))</f>
        <v/>
      </c>
      <c r="X1268" s="75" t="n"/>
      <c r="Y1268" s="77" t="n"/>
      <c r="Z1268" s="77" t="n"/>
      <c r="AA1268" s="75" t="n"/>
      <c r="AB1268" s="75" t="n"/>
      <c r="AC1268" s="6" t="n"/>
      <c r="AD1268" s="75" t="n"/>
      <c r="AE1268" s="75" t="n"/>
      <c r="AF1268" s="75" t="n"/>
    </row>
    <row r="1269" ht="15.75" customHeight="1" s="133">
      <c r="A1269" s="75" t="n"/>
      <c r="B1269" s="75" t="n"/>
      <c r="C1269" s="75" t="n"/>
      <c r="D1269" s="75" t="n"/>
      <c r="E1269" s="76" t="n"/>
      <c r="F1269" s="77" t="n"/>
      <c r="G1269" s="75" t="n"/>
      <c r="H1269" s="75">
        <f>IF(ISBLANK(E1269),"",IF(OR(D1269="Butterfly",D1269="Butterfly ",D1269="Iron Fly", D1269="Iron Fly "),LEN(E1269)-LEN(SUBSTITUTE(E1269,"/",""))+2,LEN(E1269)-LEN(SUBSTITUTE(E1269,"/",""))+1))</f>
        <v/>
      </c>
      <c r="I1269" s="78">
        <f>IF(ISBLANK(G1269),"",IF(D1269="Stock","0",Key!$A$3*H1269*G1269))</f>
        <v/>
      </c>
      <c r="J1269" s="78">
        <f>IF(ISBLANK(E1269),"",IF(ISNUMBER(SEARCH("/",E1269)), IF(LEN(E1269)-LEN(SUBSTITUTE(E1269,"/",""))=1,(RIGHT(E1269,LEN(E1269)-FIND("/",E1269)))-(LEFT(E1269,FIND("/",E1269)-1)),(MID(E1269, SEARCH("/",E1269) + 1, SEARCH("/",E1269, SEARCH("/",E1269)+1) - SEARCH("/",E1269) - 1))-(LEFT(E1269,FIND("/",E1269)-1))), "NA"))</f>
        <v/>
      </c>
      <c r="K1269" s="79">
        <f>IF(A1269&lt;&gt;"", IF(ISBLANK(L1269), TODAY(), K1269), "")</f>
        <v/>
      </c>
      <c r="L1269" s="78" t="n"/>
      <c r="M1269" s="78">
        <f>IF(ISBLANK(L1269),"",IF(D1269="Stock",IF(C1269="Buy",L1269*G1269,IF(C1269="Sell",(L1269*G1269)-I1269, X)),IF(C1269="Buy",(L1269*G1269*100)+I1269,IF(C1269="Sell",(L1269*G1269*100)-I1269, X))))</f>
        <v/>
      </c>
      <c r="N1269" s="78">
        <f>IF(ISBLANK(L1269),"",IF(AND(C1269="Sell",D1269="Stock"),M1269,IF(ISBLANK(L1269),"",IF(C1269="Buy",M1269, IF(AND(C1269="Sell",J1269="NA"),(E1269*G1269*100*0.1)+I1269, IF(C1269="Sell",(J1269-L1269)*(100*G1269)+I1269))))))</f>
        <v/>
      </c>
      <c r="O1269" s="75" t="n"/>
      <c r="P1269" s="75" t="n"/>
      <c r="Q1269" s="75">
        <f>IF(ISBLANK(P1269),"",IF(D1269="Stock",P1269*G1269,IF(P1269=0,"0",G1269*P1269*100-(G1269*$AF$14))))</f>
        <v/>
      </c>
      <c r="R1269" s="79">
        <f>IF(P1269&lt;&gt;"", TODAY(), "")</f>
        <v/>
      </c>
      <c r="S1269" s="78">
        <f>IF(AND(K1269&lt;&gt;"", R1269&lt;&gt;""), R1269-K1269, "")</f>
        <v/>
      </c>
      <c r="T1269" s="78" t="n"/>
      <c r="U1269" s="92">
        <f>IF(ISBLANK(P1269),"",IF(C1269="Buy",Q1269-M1269+T1269, IF(C1269="Sell",M1269-Q1269-T1269, X)))</f>
        <v/>
      </c>
      <c r="V1269" s="81">
        <f>IF(ISBLANK(P1269),"",U1269/N1269)</f>
        <v/>
      </c>
      <c r="W1269" s="81">
        <f>IF(ISBLANK(P1269),"",IF(S1269=0,(365/0.5)*V1269,(365/S1269)*V1269))</f>
        <v/>
      </c>
      <c r="X1269" s="75" t="n"/>
      <c r="Y1269" s="77" t="n"/>
      <c r="Z1269" s="77" t="n"/>
      <c r="AA1269" s="75" t="n"/>
      <c r="AB1269" s="75" t="n"/>
      <c r="AC1269" s="6" t="n"/>
      <c r="AD1269" s="75" t="n"/>
      <c r="AE1269" s="75" t="n"/>
      <c r="AF1269" s="75" t="n"/>
    </row>
    <row r="1270" ht="15.75" customHeight="1" s="133">
      <c r="A1270" s="75" t="n"/>
      <c r="B1270" s="75" t="n"/>
      <c r="C1270" s="75" t="n"/>
      <c r="D1270" s="75" t="n"/>
      <c r="E1270" s="76" t="n"/>
      <c r="F1270" s="77" t="n"/>
      <c r="G1270" s="75" t="n"/>
      <c r="H1270" s="75">
        <f>IF(ISBLANK(E1270),"",IF(OR(D1270="Butterfly",D1270="Butterfly ",D1270="Iron Fly", D1270="Iron Fly "),LEN(E1270)-LEN(SUBSTITUTE(E1270,"/",""))+2,LEN(E1270)-LEN(SUBSTITUTE(E1270,"/",""))+1))</f>
        <v/>
      </c>
      <c r="I1270" s="78">
        <f>IF(ISBLANK(G1270),"",IF(D1270="Stock","0",Key!$A$3*H1270*G1270))</f>
        <v/>
      </c>
      <c r="J1270" s="78">
        <f>IF(ISBLANK(E1270),"",IF(ISNUMBER(SEARCH("/",E1270)), IF(LEN(E1270)-LEN(SUBSTITUTE(E1270,"/",""))=1,(RIGHT(E1270,LEN(E1270)-FIND("/",E1270)))-(LEFT(E1270,FIND("/",E1270)-1)),(MID(E1270, SEARCH("/",E1270) + 1, SEARCH("/",E1270, SEARCH("/",E1270)+1) - SEARCH("/",E1270) - 1))-(LEFT(E1270,FIND("/",E1270)-1))), "NA"))</f>
        <v/>
      </c>
      <c r="K1270" s="79">
        <f>IF(A1270&lt;&gt;"", IF(ISBLANK(L1270), TODAY(), K1270), "")</f>
        <v/>
      </c>
      <c r="L1270" s="78" t="n"/>
      <c r="M1270" s="78">
        <f>IF(ISBLANK(L1270),"",IF(D1270="Stock",IF(C1270="Buy",L1270*G1270,IF(C1270="Sell",(L1270*G1270)-I1270, X)),IF(C1270="Buy",(L1270*G1270*100)+I1270,IF(C1270="Sell",(L1270*G1270*100)-I1270, X))))</f>
        <v/>
      </c>
      <c r="N1270" s="78">
        <f>IF(ISBLANK(L1270),"",IF(AND(C1270="Sell",D1270="Stock"),M1270,IF(ISBLANK(L1270),"",IF(C1270="Buy",M1270, IF(AND(C1270="Sell",J1270="NA"),(E1270*G1270*100*0.1)+I1270, IF(C1270="Sell",(J1270-L1270)*(100*G1270)+I1270))))))</f>
        <v/>
      </c>
      <c r="O1270" s="75" t="n"/>
      <c r="P1270" s="75" t="n"/>
      <c r="Q1270" s="75">
        <f>IF(ISBLANK(P1270),"",IF(D1270="Stock",P1270*G1270,IF(P1270=0,"0",G1270*P1270*100-(G1270*$AF$14))))</f>
        <v/>
      </c>
      <c r="R1270" s="79">
        <f>IF(P1270&lt;&gt;"", TODAY(), "")</f>
        <v/>
      </c>
      <c r="S1270" s="78">
        <f>IF(AND(K1270&lt;&gt;"", R1270&lt;&gt;""), R1270-K1270, "")</f>
        <v/>
      </c>
      <c r="T1270" s="78" t="n"/>
      <c r="U1270" s="92">
        <f>IF(ISBLANK(P1270),"",IF(C1270="Buy",Q1270-M1270+T1270, IF(C1270="Sell",M1270-Q1270-T1270, X)))</f>
        <v/>
      </c>
      <c r="V1270" s="81">
        <f>IF(ISBLANK(P1270),"",U1270/N1270)</f>
        <v/>
      </c>
      <c r="W1270" s="81">
        <f>IF(ISBLANK(P1270),"",IF(S1270=0,(365/0.5)*V1270,(365/S1270)*V1270))</f>
        <v/>
      </c>
      <c r="X1270" s="75" t="n"/>
      <c r="Y1270" s="77" t="n"/>
      <c r="Z1270" s="77" t="n"/>
      <c r="AA1270" s="75" t="n"/>
      <c r="AB1270" s="75" t="n"/>
      <c r="AC1270" s="6" t="n"/>
      <c r="AD1270" s="75" t="n"/>
      <c r="AE1270" s="75" t="n"/>
      <c r="AF1270" s="75" t="n"/>
    </row>
    <row r="1271" ht="15.75" customHeight="1" s="133">
      <c r="A1271" s="75" t="n"/>
      <c r="B1271" s="75" t="n"/>
      <c r="C1271" s="75" t="n"/>
      <c r="D1271" s="75" t="n"/>
      <c r="E1271" s="76" t="n"/>
      <c r="F1271" s="77" t="n"/>
      <c r="G1271" s="75" t="n"/>
      <c r="H1271" s="75">
        <f>IF(ISBLANK(E1271),"",IF(OR(D1271="Butterfly",D1271="Butterfly ",D1271="Iron Fly", D1271="Iron Fly "),LEN(E1271)-LEN(SUBSTITUTE(E1271,"/",""))+2,LEN(E1271)-LEN(SUBSTITUTE(E1271,"/",""))+1))</f>
        <v/>
      </c>
      <c r="I1271" s="78">
        <f>IF(ISBLANK(G1271),"",IF(D1271="Stock","0",Key!$A$3*H1271*G1271))</f>
        <v/>
      </c>
      <c r="J1271" s="78">
        <f>IF(ISBLANK(E1271),"",IF(ISNUMBER(SEARCH("/",E1271)), IF(LEN(E1271)-LEN(SUBSTITUTE(E1271,"/",""))=1,(RIGHT(E1271,LEN(E1271)-FIND("/",E1271)))-(LEFT(E1271,FIND("/",E1271)-1)),(MID(E1271, SEARCH("/",E1271) + 1, SEARCH("/",E1271, SEARCH("/",E1271)+1) - SEARCH("/",E1271) - 1))-(LEFT(E1271,FIND("/",E1271)-1))), "NA"))</f>
        <v/>
      </c>
      <c r="K1271" s="79">
        <f>IF(A1271&lt;&gt;"", IF(ISBLANK(L1271), TODAY(), K1271), "")</f>
        <v/>
      </c>
      <c r="L1271" s="78" t="n"/>
      <c r="M1271" s="78">
        <f>IF(ISBLANK(L1271),"",IF(D1271="Stock",IF(C1271="Buy",L1271*G1271,IF(C1271="Sell",(L1271*G1271)-I1271, X)),IF(C1271="Buy",(L1271*G1271*100)+I1271,IF(C1271="Sell",(L1271*G1271*100)-I1271, X))))</f>
        <v/>
      </c>
      <c r="N1271" s="78">
        <f>IF(ISBLANK(L1271),"",IF(AND(C1271="Sell",D1271="Stock"),M1271,IF(ISBLANK(L1271),"",IF(C1271="Buy",M1271, IF(AND(C1271="Sell",J1271="NA"),(E1271*G1271*100*0.1)+I1271, IF(C1271="Sell",(J1271-L1271)*(100*G1271)+I1271))))))</f>
        <v/>
      </c>
      <c r="O1271" s="75" t="n"/>
      <c r="P1271" s="75" t="n"/>
      <c r="Q1271" s="75">
        <f>IF(ISBLANK(P1271),"",IF(D1271="Stock",P1271*G1271,IF(P1271=0,"0",G1271*P1271*100-(G1271*$AF$14))))</f>
        <v/>
      </c>
      <c r="R1271" s="79">
        <f>IF(P1271&lt;&gt;"", TODAY(), "")</f>
        <v/>
      </c>
      <c r="S1271" s="78">
        <f>IF(AND(K1271&lt;&gt;"", R1271&lt;&gt;""), R1271-K1271, "")</f>
        <v/>
      </c>
      <c r="T1271" s="78" t="n"/>
      <c r="U1271" s="92">
        <f>IF(ISBLANK(P1271),"",IF(C1271="Buy",Q1271-M1271+T1271, IF(C1271="Sell",M1271-Q1271-T1271, X)))</f>
        <v/>
      </c>
      <c r="V1271" s="81">
        <f>IF(ISBLANK(P1271),"",U1271/N1271)</f>
        <v/>
      </c>
      <c r="W1271" s="81">
        <f>IF(ISBLANK(P1271),"",IF(S1271=0,(365/0.5)*V1271,(365/S1271)*V1271))</f>
        <v/>
      </c>
      <c r="X1271" s="75" t="n"/>
      <c r="Y1271" s="77" t="n"/>
      <c r="Z1271" s="77" t="n"/>
      <c r="AA1271" s="75" t="n"/>
      <c r="AB1271" s="75" t="n"/>
      <c r="AC1271" s="6" t="n"/>
      <c r="AD1271" s="75" t="n"/>
      <c r="AE1271" s="75" t="n"/>
      <c r="AF1271" s="75" t="n"/>
    </row>
    <row r="1272" ht="15.75" customHeight="1" s="133">
      <c r="A1272" s="75" t="n"/>
      <c r="B1272" s="75" t="n"/>
      <c r="C1272" s="75" t="n"/>
      <c r="D1272" s="75" t="n"/>
      <c r="E1272" s="76" t="n"/>
      <c r="F1272" s="77" t="n"/>
      <c r="G1272" s="75" t="n"/>
      <c r="H1272" s="75">
        <f>IF(ISBLANK(E1272),"",IF(OR(D1272="Butterfly",D1272="Butterfly ",D1272="Iron Fly", D1272="Iron Fly "),LEN(E1272)-LEN(SUBSTITUTE(E1272,"/",""))+2,LEN(E1272)-LEN(SUBSTITUTE(E1272,"/",""))+1))</f>
        <v/>
      </c>
      <c r="I1272" s="78">
        <f>IF(ISBLANK(G1272),"",IF(D1272="Stock","0",Key!$A$3*H1272*G1272))</f>
        <v/>
      </c>
      <c r="J1272" s="78">
        <f>IF(ISBLANK(E1272),"",IF(ISNUMBER(SEARCH("/",E1272)), IF(LEN(E1272)-LEN(SUBSTITUTE(E1272,"/",""))=1,(RIGHT(E1272,LEN(E1272)-FIND("/",E1272)))-(LEFT(E1272,FIND("/",E1272)-1)),(MID(E1272, SEARCH("/",E1272) + 1, SEARCH("/",E1272, SEARCH("/",E1272)+1) - SEARCH("/",E1272) - 1))-(LEFT(E1272,FIND("/",E1272)-1))), "NA"))</f>
        <v/>
      </c>
      <c r="K1272" s="79">
        <f>IF(A1272&lt;&gt;"", IF(ISBLANK(L1272), TODAY(), K1272), "")</f>
        <v/>
      </c>
      <c r="L1272" s="78" t="n"/>
      <c r="M1272" s="78">
        <f>IF(ISBLANK(L1272),"",IF(D1272="Stock",IF(C1272="Buy",L1272*G1272,IF(C1272="Sell",(L1272*G1272)-I1272, X)),IF(C1272="Buy",(L1272*G1272*100)+I1272,IF(C1272="Sell",(L1272*G1272*100)-I1272, X))))</f>
        <v/>
      </c>
      <c r="N1272" s="78">
        <f>IF(ISBLANK(L1272),"",IF(AND(C1272="Sell",D1272="Stock"),M1272,IF(ISBLANK(L1272),"",IF(C1272="Buy",M1272, IF(AND(C1272="Sell",J1272="NA"),(E1272*G1272*100*0.1)+I1272, IF(C1272="Sell",(J1272-L1272)*(100*G1272)+I1272))))))</f>
        <v/>
      </c>
      <c r="O1272" s="75" t="n"/>
      <c r="P1272" s="75" t="n"/>
      <c r="Q1272" s="75">
        <f>IF(ISBLANK(P1272),"",IF(D1272="Stock",P1272*G1272,IF(P1272=0,"0",G1272*P1272*100-(G1272*$AF$14))))</f>
        <v/>
      </c>
      <c r="R1272" s="79">
        <f>IF(P1272&lt;&gt;"", TODAY(), "")</f>
        <v/>
      </c>
      <c r="S1272" s="78">
        <f>IF(AND(K1272&lt;&gt;"", R1272&lt;&gt;""), R1272-K1272, "")</f>
        <v/>
      </c>
      <c r="T1272" s="78" t="n"/>
      <c r="U1272" s="92">
        <f>IF(ISBLANK(P1272),"",IF(C1272="Buy",Q1272-M1272+T1272, IF(C1272="Sell",M1272-Q1272-T1272, X)))</f>
        <v/>
      </c>
      <c r="V1272" s="81">
        <f>IF(ISBLANK(P1272),"",U1272/N1272)</f>
        <v/>
      </c>
      <c r="W1272" s="81">
        <f>IF(ISBLANK(P1272),"",IF(S1272=0,(365/0.5)*V1272,(365/S1272)*V1272))</f>
        <v/>
      </c>
      <c r="X1272" s="75" t="n"/>
      <c r="Y1272" s="77" t="n"/>
      <c r="Z1272" s="77" t="n"/>
      <c r="AA1272" s="75" t="n"/>
      <c r="AB1272" s="75" t="n"/>
      <c r="AC1272" s="6" t="n"/>
      <c r="AD1272" s="75" t="n"/>
      <c r="AE1272" s="75" t="n"/>
      <c r="AF1272" s="75" t="n"/>
    </row>
    <row r="1273" ht="15.75" customHeight="1" s="133">
      <c r="A1273" s="75" t="n"/>
      <c r="B1273" s="75" t="n"/>
      <c r="C1273" s="75" t="n"/>
      <c r="D1273" s="75" t="n"/>
      <c r="E1273" s="76" t="n"/>
      <c r="F1273" s="77" t="n"/>
      <c r="G1273" s="75" t="n"/>
      <c r="H1273" s="75">
        <f>IF(ISBLANK(E1273),"",IF(OR(D1273="Butterfly",D1273="Butterfly ",D1273="Iron Fly", D1273="Iron Fly "),LEN(E1273)-LEN(SUBSTITUTE(E1273,"/",""))+2,LEN(E1273)-LEN(SUBSTITUTE(E1273,"/",""))+1))</f>
        <v/>
      </c>
      <c r="I1273" s="78">
        <f>IF(ISBLANK(G1273),"",IF(D1273="Stock","0",Key!$A$3*H1273*G1273))</f>
        <v/>
      </c>
      <c r="J1273" s="78">
        <f>IF(ISBLANK(E1273),"",IF(ISNUMBER(SEARCH("/",E1273)), IF(LEN(E1273)-LEN(SUBSTITUTE(E1273,"/",""))=1,(RIGHT(E1273,LEN(E1273)-FIND("/",E1273)))-(LEFT(E1273,FIND("/",E1273)-1)),(MID(E1273, SEARCH("/",E1273) + 1, SEARCH("/",E1273, SEARCH("/",E1273)+1) - SEARCH("/",E1273) - 1))-(LEFT(E1273,FIND("/",E1273)-1))), "NA"))</f>
        <v/>
      </c>
      <c r="K1273" s="79">
        <f>IF(A1273&lt;&gt;"", IF(ISBLANK(L1273), TODAY(), K1273), "")</f>
        <v/>
      </c>
      <c r="L1273" s="78" t="n"/>
      <c r="M1273" s="78">
        <f>IF(ISBLANK(L1273),"",IF(D1273="Stock",IF(C1273="Buy",L1273*G1273,IF(C1273="Sell",(L1273*G1273)-I1273, X)),IF(C1273="Buy",(L1273*G1273*100)+I1273,IF(C1273="Sell",(L1273*G1273*100)-I1273, X))))</f>
        <v/>
      </c>
      <c r="N1273" s="78">
        <f>IF(ISBLANK(L1273),"",IF(AND(C1273="Sell",D1273="Stock"),M1273,IF(ISBLANK(L1273),"",IF(C1273="Buy",M1273, IF(AND(C1273="Sell",J1273="NA"),(E1273*G1273*100*0.1)+I1273, IF(C1273="Sell",(J1273-L1273)*(100*G1273)+I1273))))))</f>
        <v/>
      </c>
      <c r="O1273" s="75" t="n"/>
      <c r="P1273" s="75" t="n"/>
      <c r="Q1273" s="75">
        <f>IF(ISBLANK(P1273),"",IF(D1273="Stock",P1273*G1273,IF(P1273=0,"0",G1273*P1273*100-(G1273*$AF$14))))</f>
        <v/>
      </c>
      <c r="R1273" s="79">
        <f>IF(P1273&lt;&gt;"", TODAY(), "")</f>
        <v/>
      </c>
      <c r="S1273" s="78">
        <f>IF(AND(K1273&lt;&gt;"", R1273&lt;&gt;""), R1273-K1273, "")</f>
        <v/>
      </c>
      <c r="T1273" s="78" t="n"/>
      <c r="U1273" s="92">
        <f>IF(ISBLANK(P1273),"",IF(C1273="Buy",Q1273-M1273+T1273, IF(C1273="Sell",M1273-Q1273-T1273, X)))</f>
        <v/>
      </c>
      <c r="V1273" s="81">
        <f>IF(ISBLANK(P1273),"",U1273/N1273)</f>
        <v/>
      </c>
      <c r="W1273" s="81">
        <f>IF(ISBLANK(P1273),"",IF(S1273=0,(365/0.5)*V1273,(365/S1273)*V1273))</f>
        <v/>
      </c>
      <c r="X1273" s="75" t="n"/>
      <c r="Y1273" s="77" t="n"/>
      <c r="Z1273" s="77" t="n"/>
      <c r="AA1273" s="75" t="n"/>
      <c r="AB1273" s="75" t="n"/>
      <c r="AC1273" s="6" t="n"/>
      <c r="AD1273" s="75" t="n"/>
      <c r="AE1273" s="75" t="n"/>
      <c r="AF1273" s="75" t="n"/>
    </row>
    <row r="1274" ht="15.75" customHeight="1" s="133">
      <c r="A1274" s="75" t="n"/>
      <c r="B1274" s="75" t="n"/>
      <c r="C1274" s="75" t="n"/>
      <c r="D1274" s="75" t="n"/>
      <c r="E1274" s="76" t="n"/>
      <c r="F1274" s="77" t="n"/>
      <c r="G1274" s="75" t="n"/>
      <c r="H1274" s="75">
        <f>IF(ISBLANK(E1274),"",IF(OR(D1274="Butterfly",D1274="Butterfly ",D1274="Iron Fly", D1274="Iron Fly "),LEN(E1274)-LEN(SUBSTITUTE(E1274,"/",""))+2,LEN(E1274)-LEN(SUBSTITUTE(E1274,"/",""))+1))</f>
        <v/>
      </c>
      <c r="I1274" s="78">
        <f>IF(ISBLANK(G1274),"",IF(D1274="Stock","0",Key!$A$3*H1274*G1274))</f>
        <v/>
      </c>
      <c r="J1274" s="78">
        <f>IF(ISBLANK(E1274),"",IF(ISNUMBER(SEARCH("/",E1274)), IF(LEN(E1274)-LEN(SUBSTITUTE(E1274,"/",""))=1,(RIGHT(E1274,LEN(E1274)-FIND("/",E1274)))-(LEFT(E1274,FIND("/",E1274)-1)),(MID(E1274, SEARCH("/",E1274) + 1, SEARCH("/",E1274, SEARCH("/",E1274)+1) - SEARCH("/",E1274) - 1))-(LEFT(E1274,FIND("/",E1274)-1))), "NA"))</f>
        <v/>
      </c>
      <c r="K1274" s="79">
        <f>IF(A1274&lt;&gt;"", IF(ISBLANK(L1274), TODAY(), K1274), "")</f>
        <v/>
      </c>
      <c r="L1274" s="78" t="n"/>
      <c r="M1274" s="78">
        <f>IF(ISBLANK(L1274),"",IF(D1274="Stock",IF(C1274="Buy",L1274*G1274,IF(C1274="Sell",(L1274*G1274)-I1274, X)),IF(C1274="Buy",(L1274*G1274*100)+I1274,IF(C1274="Sell",(L1274*G1274*100)-I1274, X))))</f>
        <v/>
      </c>
      <c r="N1274" s="78">
        <f>IF(ISBLANK(L1274),"",IF(AND(C1274="Sell",D1274="Stock"),M1274,IF(ISBLANK(L1274),"",IF(C1274="Buy",M1274, IF(AND(C1274="Sell",J1274="NA"),(E1274*G1274*100*0.1)+I1274, IF(C1274="Sell",(J1274-L1274)*(100*G1274)+I1274))))))</f>
        <v/>
      </c>
      <c r="O1274" s="75" t="n"/>
      <c r="P1274" s="75" t="n"/>
      <c r="Q1274" s="75">
        <f>IF(ISBLANK(P1274),"",IF(D1274="Stock",P1274*G1274,IF(P1274=0,"0",G1274*P1274*100-(G1274*$AF$14))))</f>
        <v/>
      </c>
      <c r="R1274" s="79">
        <f>IF(P1274&lt;&gt;"", TODAY(), "")</f>
        <v/>
      </c>
      <c r="S1274" s="78">
        <f>IF(AND(K1274&lt;&gt;"", R1274&lt;&gt;""), R1274-K1274, "")</f>
        <v/>
      </c>
      <c r="T1274" s="78" t="n"/>
      <c r="U1274" s="92">
        <f>IF(ISBLANK(P1274),"",IF(C1274="Buy",Q1274-M1274+T1274, IF(C1274="Sell",M1274-Q1274-T1274, X)))</f>
        <v/>
      </c>
      <c r="V1274" s="81">
        <f>IF(ISBLANK(P1274),"",U1274/N1274)</f>
        <v/>
      </c>
      <c r="W1274" s="81">
        <f>IF(ISBLANK(P1274),"",IF(S1274=0,(365/0.5)*V1274,(365/S1274)*V1274))</f>
        <v/>
      </c>
      <c r="X1274" s="75" t="n"/>
      <c r="Y1274" s="77" t="n"/>
      <c r="Z1274" s="77" t="n"/>
      <c r="AA1274" s="75" t="n"/>
      <c r="AB1274" s="75" t="n"/>
      <c r="AC1274" s="6" t="n"/>
      <c r="AD1274" s="75" t="n"/>
      <c r="AE1274" s="75" t="n"/>
      <c r="AF1274" s="75" t="n"/>
    </row>
    <row r="1275" ht="15.75" customHeight="1" s="133">
      <c r="A1275" s="75" t="n"/>
      <c r="B1275" s="75" t="n"/>
      <c r="C1275" s="75" t="n"/>
      <c r="D1275" s="75" t="n"/>
      <c r="E1275" s="76" t="n"/>
      <c r="F1275" s="77" t="n"/>
      <c r="G1275" s="75" t="n"/>
      <c r="H1275" s="75">
        <f>IF(ISBLANK(E1275),"",IF(OR(D1275="Butterfly",D1275="Butterfly ",D1275="Iron Fly", D1275="Iron Fly "),LEN(E1275)-LEN(SUBSTITUTE(E1275,"/",""))+2,LEN(E1275)-LEN(SUBSTITUTE(E1275,"/",""))+1))</f>
        <v/>
      </c>
      <c r="I1275" s="78">
        <f>IF(ISBLANK(G1275),"",IF(D1275="Stock","0",Key!$A$3*H1275*G1275))</f>
        <v/>
      </c>
      <c r="J1275" s="78">
        <f>IF(ISBLANK(E1275),"",IF(ISNUMBER(SEARCH("/",E1275)), IF(LEN(E1275)-LEN(SUBSTITUTE(E1275,"/",""))=1,(RIGHT(E1275,LEN(E1275)-FIND("/",E1275)))-(LEFT(E1275,FIND("/",E1275)-1)),(MID(E1275, SEARCH("/",E1275) + 1, SEARCH("/",E1275, SEARCH("/",E1275)+1) - SEARCH("/",E1275) - 1))-(LEFT(E1275,FIND("/",E1275)-1))), "NA"))</f>
        <v/>
      </c>
      <c r="K1275" s="79">
        <f>IF(A1275&lt;&gt;"", IF(ISBLANK(L1275), TODAY(), K1275), "")</f>
        <v/>
      </c>
      <c r="L1275" s="78" t="n"/>
      <c r="M1275" s="78">
        <f>IF(ISBLANK(L1275),"",IF(D1275="Stock",IF(C1275="Buy",L1275*G1275,IF(C1275="Sell",(L1275*G1275)-I1275, X)),IF(C1275="Buy",(L1275*G1275*100)+I1275,IF(C1275="Sell",(L1275*G1275*100)-I1275, X))))</f>
        <v/>
      </c>
      <c r="N1275" s="78">
        <f>IF(ISBLANK(L1275),"",IF(AND(C1275="Sell",D1275="Stock"),M1275,IF(ISBLANK(L1275),"",IF(C1275="Buy",M1275, IF(AND(C1275="Sell",J1275="NA"),(E1275*G1275*100*0.1)+I1275, IF(C1275="Sell",(J1275-L1275)*(100*G1275)+I1275))))))</f>
        <v/>
      </c>
      <c r="O1275" s="75" t="n"/>
      <c r="P1275" s="75" t="n"/>
      <c r="Q1275" s="75">
        <f>IF(ISBLANK(P1275),"",IF(D1275="Stock",P1275*G1275,IF(P1275=0,"0",G1275*P1275*100-(G1275*$AF$14))))</f>
        <v/>
      </c>
      <c r="R1275" s="79">
        <f>IF(P1275&lt;&gt;"", TODAY(), "")</f>
        <v/>
      </c>
      <c r="S1275" s="78">
        <f>IF(AND(K1275&lt;&gt;"", R1275&lt;&gt;""), R1275-K1275, "")</f>
        <v/>
      </c>
      <c r="T1275" s="78" t="n"/>
      <c r="U1275" s="92">
        <f>IF(ISBLANK(P1275),"",IF(C1275="Buy",Q1275-M1275+T1275, IF(C1275="Sell",M1275-Q1275-T1275, X)))</f>
        <v/>
      </c>
      <c r="V1275" s="81">
        <f>IF(ISBLANK(P1275),"",U1275/N1275)</f>
        <v/>
      </c>
      <c r="W1275" s="81">
        <f>IF(ISBLANK(P1275),"",IF(S1275=0,(365/0.5)*V1275,(365/S1275)*V1275))</f>
        <v/>
      </c>
      <c r="X1275" s="75" t="n"/>
      <c r="Y1275" s="77" t="n"/>
      <c r="Z1275" s="77" t="n"/>
      <c r="AA1275" s="75" t="n"/>
      <c r="AB1275" s="75" t="n"/>
      <c r="AC1275" s="6" t="n"/>
      <c r="AD1275" s="75" t="n"/>
      <c r="AE1275" s="75" t="n"/>
      <c r="AF1275" s="75" t="n"/>
    </row>
    <row r="1276" ht="15.75" customHeight="1" s="133">
      <c r="A1276" s="75" t="n"/>
      <c r="B1276" s="75" t="n"/>
      <c r="C1276" s="75" t="n"/>
      <c r="D1276" s="75" t="n"/>
      <c r="E1276" s="76" t="n"/>
      <c r="F1276" s="77" t="n"/>
      <c r="G1276" s="75" t="n"/>
      <c r="H1276" s="75">
        <f>IF(ISBLANK(E1276),"",IF(OR(D1276="Butterfly",D1276="Butterfly ",D1276="Iron Fly", D1276="Iron Fly "),LEN(E1276)-LEN(SUBSTITUTE(E1276,"/",""))+2,LEN(E1276)-LEN(SUBSTITUTE(E1276,"/",""))+1))</f>
        <v/>
      </c>
      <c r="I1276" s="78">
        <f>IF(ISBLANK(G1276),"",IF(D1276="Stock","0",Key!$A$3*H1276*G1276))</f>
        <v/>
      </c>
      <c r="J1276" s="78">
        <f>IF(ISBLANK(E1276),"",IF(ISNUMBER(SEARCH("/",E1276)), IF(LEN(E1276)-LEN(SUBSTITUTE(E1276,"/",""))=1,(RIGHT(E1276,LEN(E1276)-FIND("/",E1276)))-(LEFT(E1276,FIND("/",E1276)-1)),(MID(E1276, SEARCH("/",E1276) + 1, SEARCH("/",E1276, SEARCH("/",E1276)+1) - SEARCH("/",E1276) - 1))-(LEFT(E1276,FIND("/",E1276)-1))), "NA"))</f>
        <v/>
      </c>
      <c r="K1276" s="79">
        <f>IF(A1276&lt;&gt;"", IF(ISBLANK(L1276), TODAY(), K1276), "")</f>
        <v/>
      </c>
      <c r="L1276" s="78" t="n"/>
      <c r="M1276" s="78">
        <f>IF(ISBLANK(L1276),"",IF(D1276="Stock",IF(C1276="Buy",L1276*G1276,IF(C1276="Sell",(L1276*G1276)-I1276, X)),IF(C1276="Buy",(L1276*G1276*100)+I1276,IF(C1276="Sell",(L1276*G1276*100)-I1276, X))))</f>
        <v/>
      </c>
      <c r="N1276" s="78">
        <f>IF(ISBLANK(L1276),"",IF(AND(C1276="Sell",D1276="Stock"),M1276,IF(ISBLANK(L1276),"",IF(C1276="Buy",M1276, IF(AND(C1276="Sell",J1276="NA"),(E1276*G1276*100*0.1)+I1276, IF(C1276="Sell",(J1276-L1276)*(100*G1276)+I1276))))))</f>
        <v/>
      </c>
      <c r="O1276" s="75" t="n"/>
      <c r="P1276" s="75" t="n"/>
      <c r="Q1276" s="75">
        <f>IF(ISBLANK(P1276),"",IF(D1276="Stock",P1276*G1276,IF(P1276=0,"0",G1276*P1276*100-(G1276*$AF$14))))</f>
        <v/>
      </c>
      <c r="R1276" s="79">
        <f>IF(P1276&lt;&gt;"", TODAY(), "")</f>
        <v/>
      </c>
      <c r="S1276" s="78">
        <f>IF(AND(K1276&lt;&gt;"", R1276&lt;&gt;""), R1276-K1276, "")</f>
        <v/>
      </c>
      <c r="T1276" s="78" t="n"/>
      <c r="U1276" s="92">
        <f>IF(ISBLANK(P1276),"",IF(C1276="Buy",Q1276-M1276+T1276, IF(C1276="Sell",M1276-Q1276-T1276, X)))</f>
        <v/>
      </c>
      <c r="V1276" s="81">
        <f>IF(ISBLANK(P1276),"",U1276/N1276)</f>
        <v/>
      </c>
      <c r="W1276" s="81">
        <f>IF(ISBLANK(P1276),"",IF(S1276=0,(365/0.5)*V1276,(365/S1276)*V1276))</f>
        <v/>
      </c>
      <c r="X1276" s="75" t="n"/>
      <c r="Y1276" s="77" t="n"/>
      <c r="Z1276" s="77" t="n"/>
      <c r="AA1276" s="75" t="n"/>
      <c r="AB1276" s="75" t="n"/>
      <c r="AC1276" s="6" t="n"/>
      <c r="AD1276" s="75" t="n"/>
      <c r="AE1276" s="75" t="n"/>
      <c r="AF1276" s="75" t="n"/>
    </row>
    <row r="1277" ht="15.75" customHeight="1" s="133">
      <c r="A1277" s="75" t="n"/>
      <c r="B1277" s="75" t="n"/>
      <c r="C1277" s="75" t="n"/>
      <c r="D1277" s="75" t="n"/>
      <c r="E1277" s="76" t="n"/>
      <c r="F1277" s="77" t="n"/>
      <c r="G1277" s="75" t="n"/>
      <c r="H1277" s="75">
        <f>IF(ISBLANK(E1277),"",IF(OR(D1277="Butterfly",D1277="Butterfly ",D1277="Iron Fly", D1277="Iron Fly "),LEN(E1277)-LEN(SUBSTITUTE(E1277,"/",""))+2,LEN(E1277)-LEN(SUBSTITUTE(E1277,"/",""))+1))</f>
        <v/>
      </c>
      <c r="I1277" s="78">
        <f>IF(ISBLANK(G1277),"",IF(D1277="Stock","0",Key!$A$3*H1277*G1277))</f>
        <v/>
      </c>
      <c r="J1277" s="78">
        <f>IF(ISBLANK(E1277),"",IF(ISNUMBER(SEARCH("/",E1277)), IF(LEN(E1277)-LEN(SUBSTITUTE(E1277,"/",""))=1,(RIGHT(E1277,LEN(E1277)-FIND("/",E1277)))-(LEFT(E1277,FIND("/",E1277)-1)),(MID(E1277, SEARCH("/",E1277) + 1, SEARCH("/",E1277, SEARCH("/",E1277)+1) - SEARCH("/",E1277) - 1))-(LEFT(E1277,FIND("/",E1277)-1))), "NA"))</f>
        <v/>
      </c>
      <c r="K1277" s="79">
        <f>IF(A1277&lt;&gt;"", IF(ISBLANK(L1277), TODAY(), K1277), "")</f>
        <v/>
      </c>
      <c r="L1277" s="78" t="n"/>
      <c r="M1277" s="78">
        <f>IF(ISBLANK(L1277),"",IF(D1277="Stock",IF(C1277="Buy",L1277*G1277,IF(C1277="Sell",(L1277*G1277)-I1277, X)),IF(C1277="Buy",(L1277*G1277*100)+I1277,IF(C1277="Sell",(L1277*G1277*100)-I1277, X))))</f>
        <v/>
      </c>
      <c r="N1277" s="78">
        <f>IF(ISBLANK(L1277),"",IF(AND(C1277="Sell",D1277="Stock"),M1277,IF(ISBLANK(L1277),"",IF(C1277="Buy",M1277, IF(AND(C1277="Sell",J1277="NA"),(E1277*G1277*100*0.1)+I1277, IF(C1277="Sell",(J1277-L1277)*(100*G1277)+I1277))))))</f>
        <v/>
      </c>
      <c r="O1277" s="75" t="n"/>
      <c r="P1277" s="75" t="n"/>
      <c r="Q1277" s="75">
        <f>IF(ISBLANK(P1277),"",IF(D1277="Stock",P1277*G1277,IF(P1277=0,"0",G1277*P1277*100-(G1277*$AF$14))))</f>
        <v/>
      </c>
      <c r="R1277" s="79">
        <f>IF(P1277&lt;&gt;"", TODAY(), "")</f>
        <v/>
      </c>
      <c r="S1277" s="78">
        <f>IF(AND(K1277&lt;&gt;"", R1277&lt;&gt;""), R1277-K1277, "")</f>
        <v/>
      </c>
      <c r="T1277" s="78" t="n"/>
      <c r="U1277" s="92">
        <f>IF(ISBLANK(P1277),"",IF(C1277="Buy",Q1277-M1277+T1277, IF(C1277="Sell",M1277-Q1277-T1277, X)))</f>
        <v/>
      </c>
      <c r="V1277" s="81">
        <f>IF(ISBLANK(P1277),"",U1277/N1277)</f>
        <v/>
      </c>
      <c r="W1277" s="81">
        <f>IF(ISBLANK(P1277),"",IF(S1277=0,(365/0.5)*V1277,(365/S1277)*V1277))</f>
        <v/>
      </c>
      <c r="X1277" s="75" t="n"/>
      <c r="Y1277" s="77" t="n"/>
      <c r="Z1277" s="77" t="n"/>
      <c r="AA1277" s="75" t="n"/>
      <c r="AB1277" s="75" t="n"/>
      <c r="AC1277" s="6" t="n"/>
      <c r="AD1277" s="75" t="n"/>
      <c r="AE1277" s="75" t="n"/>
      <c r="AF1277" s="75" t="n"/>
    </row>
    <row r="1278" ht="15.75" customHeight="1" s="133">
      <c r="A1278" s="75" t="n"/>
      <c r="B1278" s="75" t="n"/>
      <c r="C1278" s="75" t="n"/>
      <c r="D1278" s="75" t="n"/>
      <c r="E1278" s="76" t="n"/>
      <c r="F1278" s="77" t="n"/>
      <c r="G1278" s="75" t="n"/>
      <c r="H1278" s="75">
        <f>IF(ISBLANK(E1278),"",IF(OR(D1278="Butterfly",D1278="Butterfly ",D1278="Iron Fly", D1278="Iron Fly "),LEN(E1278)-LEN(SUBSTITUTE(E1278,"/",""))+2,LEN(E1278)-LEN(SUBSTITUTE(E1278,"/",""))+1))</f>
        <v/>
      </c>
      <c r="I1278" s="78">
        <f>IF(ISBLANK(G1278),"",IF(D1278="Stock","0",Key!$A$3*H1278*G1278))</f>
        <v/>
      </c>
      <c r="J1278" s="78">
        <f>IF(ISBLANK(E1278),"",IF(ISNUMBER(SEARCH("/",E1278)), IF(LEN(E1278)-LEN(SUBSTITUTE(E1278,"/",""))=1,(RIGHT(E1278,LEN(E1278)-FIND("/",E1278)))-(LEFT(E1278,FIND("/",E1278)-1)),(MID(E1278, SEARCH("/",E1278) + 1, SEARCH("/",E1278, SEARCH("/",E1278)+1) - SEARCH("/",E1278) - 1))-(LEFT(E1278,FIND("/",E1278)-1))), "NA"))</f>
        <v/>
      </c>
      <c r="K1278" s="79">
        <f>IF(A1278&lt;&gt;"", IF(ISBLANK(L1278), TODAY(), K1278), "")</f>
        <v/>
      </c>
      <c r="L1278" s="78" t="n"/>
      <c r="M1278" s="78">
        <f>IF(ISBLANK(L1278),"",IF(D1278="Stock",IF(C1278="Buy",L1278*G1278,IF(C1278="Sell",(L1278*G1278)-I1278, X)),IF(C1278="Buy",(L1278*G1278*100)+I1278,IF(C1278="Sell",(L1278*G1278*100)-I1278, X))))</f>
        <v/>
      </c>
      <c r="N1278" s="78">
        <f>IF(ISBLANK(L1278),"",IF(AND(C1278="Sell",D1278="Stock"),M1278,IF(ISBLANK(L1278),"",IF(C1278="Buy",M1278, IF(AND(C1278="Sell",J1278="NA"),(E1278*G1278*100*0.1)+I1278, IF(C1278="Sell",(J1278-L1278)*(100*G1278)+I1278))))))</f>
        <v/>
      </c>
      <c r="O1278" s="75" t="n"/>
      <c r="P1278" s="75" t="n"/>
      <c r="Q1278" s="75">
        <f>IF(ISBLANK(P1278),"",IF(D1278="Stock",P1278*G1278,IF(P1278=0,"0",G1278*P1278*100-(G1278*$AF$14))))</f>
        <v/>
      </c>
      <c r="R1278" s="79">
        <f>IF(P1278&lt;&gt;"", TODAY(), "")</f>
        <v/>
      </c>
      <c r="S1278" s="78">
        <f>IF(AND(K1278&lt;&gt;"", R1278&lt;&gt;""), R1278-K1278, "")</f>
        <v/>
      </c>
      <c r="T1278" s="78" t="n"/>
      <c r="U1278" s="92">
        <f>IF(ISBLANK(P1278),"",IF(C1278="Buy",Q1278-M1278+T1278, IF(C1278="Sell",M1278-Q1278-T1278, X)))</f>
        <v/>
      </c>
      <c r="V1278" s="81">
        <f>IF(ISBLANK(P1278),"",U1278/N1278)</f>
        <v/>
      </c>
      <c r="W1278" s="81">
        <f>IF(ISBLANK(P1278),"",IF(S1278=0,(365/0.5)*V1278,(365/S1278)*V1278))</f>
        <v/>
      </c>
      <c r="X1278" s="75" t="n"/>
      <c r="Y1278" s="77" t="n"/>
      <c r="Z1278" s="77" t="n"/>
      <c r="AA1278" s="75" t="n"/>
      <c r="AB1278" s="75" t="n"/>
      <c r="AC1278" s="6" t="n"/>
      <c r="AD1278" s="75" t="n"/>
      <c r="AE1278" s="75" t="n"/>
      <c r="AF1278" s="75" t="n"/>
    </row>
    <row r="1279" ht="15.75" customHeight="1" s="133">
      <c r="A1279" s="75" t="n"/>
      <c r="B1279" s="75" t="n"/>
      <c r="C1279" s="75" t="n"/>
      <c r="D1279" s="75" t="n"/>
      <c r="E1279" s="76" t="n"/>
      <c r="F1279" s="77" t="n"/>
      <c r="G1279" s="75" t="n"/>
      <c r="H1279" s="75">
        <f>IF(ISBLANK(E1279),"",IF(OR(D1279="Butterfly",D1279="Butterfly ",D1279="Iron Fly", D1279="Iron Fly "),LEN(E1279)-LEN(SUBSTITUTE(E1279,"/",""))+2,LEN(E1279)-LEN(SUBSTITUTE(E1279,"/",""))+1))</f>
        <v/>
      </c>
      <c r="I1279" s="78">
        <f>IF(ISBLANK(G1279),"",IF(D1279="Stock","0",Key!$A$3*H1279*G1279))</f>
        <v/>
      </c>
      <c r="J1279" s="78">
        <f>IF(ISBLANK(E1279),"",IF(ISNUMBER(SEARCH("/",E1279)), IF(LEN(E1279)-LEN(SUBSTITUTE(E1279,"/",""))=1,(RIGHT(E1279,LEN(E1279)-FIND("/",E1279)))-(LEFT(E1279,FIND("/",E1279)-1)),(MID(E1279, SEARCH("/",E1279) + 1, SEARCH("/",E1279, SEARCH("/",E1279)+1) - SEARCH("/",E1279) - 1))-(LEFT(E1279,FIND("/",E1279)-1))), "NA"))</f>
        <v/>
      </c>
      <c r="K1279" s="79">
        <f>IF(A1279&lt;&gt;"", IF(ISBLANK(L1279), TODAY(), K1279), "")</f>
        <v/>
      </c>
      <c r="L1279" s="78" t="n"/>
      <c r="M1279" s="78">
        <f>IF(ISBLANK(L1279),"",IF(D1279="Stock",IF(C1279="Buy",L1279*G1279,IF(C1279="Sell",(L1279*G1279)-I1279, X)),IF(C1279="Buy",(L1279*G1279*100)+I1279,IF(C1279="Sell",(L1279*G1279*100)-I1279, X))))</f>
        <v/>
      </c>
      <c r="N1279" s="78">
        <f>IF(ISBLANK(L1279),"",IF(AND(C1279="Sell",D1279="Stock"),M1279,IF(ISBLANK(L1279),"",IF(C1279="Buy",M1279, IF(AND(C1279="Sell",J1279="NA"),(E1279*G1279*100*0.1)+I1279, IF(C1279="Sell",(J1279-L1279)*(100*G1279)+I1279))))))</f>
        <v/>
      </c>
      <c r="O1279" s="75" t="n"/>
      <c r="P1279" s="75" t="n"/>
      <c r="Q1279" s="75">
        <f>IF(ISBLANK(P1279),"",IF(D1279="Stock",P1279*G1279,IF(P1279=0,"0",G1279*P1279*100-(G1279*$AF$14))))</f>
        <v/>
      </c>
      <c r="R1279" s="79">
        <f>IF(P1279&lt;&gt;"", TODAY(), "")</f>
        <v/>
      </c>
      <c r="S1279" s="78">
        <f>IF(AND(K1279&lt;&gt;"", R1279&lt;&gt;""), R1279-K1279, "")</f>
        <v/>
      </c>
      <c r="T1279" s="78" t="n"/>
      <c r="U1279" s="92">
        <f>IF(ISBLANK(P1279),"",IF(C1279="Buy",Q1279-M1279+T1279, IF(C1279="Sell",M1279-Q1279-T1279, X)))</f>
        <v/>
      </c>
      <c r="V1279" s="81">
        <f>IF(ISBLANK(P1279),"",U1279/N1279)</f>
        <v/>
      </c>
      <c r="W1279" s="81">
        <f>IF(ISBLANK(P1279),"",IF(S1279=0,(365/0.5)*V1279,(365/S1279)*V1279))</f>
        <v/>
      </c>
      <c r="X1279" s="75" t="n"/>
      <c r="Y1279" s="77" t="n"/>
      <c r="Z1279" s="77" t="n"/>
      <c r="AA1279" s="75" t="n"/>
      <c r="AB1279" s="75" t="n"/>
      <c r="AC1279" s="6" t="n"/>
      <c r="AD1279" s="75" t="n"/>
      <c r="AE1279" s="75" t="n"/>
      <c r="AF1279" s="75" t="n"/>
    </row>
    <row r="1280" ht="15.75" customHeight="1" s="133">
      <c r="A1280" s="75" t="n"/>
      <c r="B1280" s="75" t="n"/>
      <c r="C1280" s="75" t="n"/>
      <c r="D1280" s="75" t="n"/>
      <c r="E1280" s="76" t="n"/>
      <c r="F1280" s="77" t="n"/>
      <c r="G1280" s="75" t="n"/>
      <c r="H1280" s="75">
        <f>IF(ISBLANK(E1280),"",IF(OR(D1280="Butterfly",D1280="Butterfly ",D1280="Iron Fly", D1280="Iron Fly "),LEN(E1280)-LEN(SUBSTITUTE(E1280,"/",""))+2,LEN(E1280)-LEN(SUBSTITUTE(E1280,"/",""))+1))</f>
        <v/>
      </c>
      <c r="I1280" s="78">
        <f>IF(ISBLANK(G1280),"",IF(D1280="Stock","0",Key!$A$3*H1280*G1280))</f>
        <v/>
      </c>
      <c r="J1280" s="78">
        <f>IF(ISBLANK(E1280),"",IF(ISNUMBER(SEARCH("/",E1280)), IF(LEN(E1280)-LEN(SUBSTITUTE(E1280,"/",""))=1,(RIGHT(E1280,LEN(E1280)-FIND("/",E1280)))-(LEFT(E1280,FIND("/",E1280)-1)),(MID(E1280, SEARCH("/",E1280) + 1, SEARCH("/",E1280, SEARCH("/",E1280)+1) - SEARCH("/",E1280) - 1))-(LEFT(E1280,FIND("/",E1280)-1))), "NA"))</f>
        <v/>
      </c>
      <c r="K1280" s="79">
        <f>IF(A1280&lt;&gt;"", IF(ISBLANK(L1280), TODAY(), K1280), "")</f>
        <v/>
      </c>
      <c r="L1280" s="78" t="n"/>
      <c r="M1280" s="78">
        <f>IF(ISBLANK(L1280),"",IF(D1280="Stock",IF(C1280="Buy",L1280*G1280,IF(C1280="Sell",(L1280*G1280)-I1280, X)),IF(C1280="Buy",(L1280*G1280*100)+I1280,IF(C1280="Sell",(L1280*G1280*100)-I1280, X))))</f>
        <v/>
      </c>
      <c r="N1280" s="78">
        <f>IF(ISBLANK(L1280),"",IF(AND(C1280="Sell",D1280="Stock"),M1280,IF(ISBLANK(L1280),"",IF(C1280="Buy",M1280, IF(AND(C1280="Sell",J1280="NA"),(E1280*G1280*100*0.1)+I1280, IF(C1280="Sell",(J1280-L1280)*(100*G1280)+I1280))))))</f>
        <v/>
      </c>
      <c r="O1280" s="75" t="n"/>
      <c r="P1280" s="75" t="n"/>
      <c r="Q1280" s="75">
        <f>IF(ISBLANK(P1280),"",IF(D1280="Stock",P1280*G1280,IF(P1280=0,"0",G1280*P1280*100-(G1280*$AF$14))))</f>
        <v/>
      </c>
      <c r="R1280" s="79">
        <f>IF(P1280&lt;&gt;"", TODAY(), "")</f>
        <v/>
      </c>
      <c r="S1280" s="78">
        <f>IF(AND(K1280&lt;&gt;"", R1280&lt;&gt;""), R1280-K1280, "")</f>
        <v/>
      </c>
      <c r="T1280" s="78" t="n"/>
      <c r="U1280" s="92">
        <f>IF(ISBLANK(P1280),"",IF(C1280="Buy",Q1280-M1280+T1280, IF(C1280="Sell",M1280-Q1280-T1280, X)))</f>
        <v/>
      </c>
      <c r="V1280" s="81">
        <f>IF(ISBLANK(P1280),"",U1280/N1280)</f>
        <v/>
      </c>
      <c r="W1280" s="81">
        <f>IF(ISBLANK(P1280),"",IF(S1280=0,(365/0.5)*V1280,(365/S1280)*V1280))</f>
        <v/>
      </c>
      <c r="X1280" s="75" t="n"/>
      <c r="Y1280" s="77" t="n"/>
      <c r="Z1280" s="77" t="n"/>
      <c r="AA1280" s="75" t="n"/>
      <c r="AB1280" s="75" t="n"/>
      <c r="AC1280" s="6" t="n"/>
      <c r="AD1280" s="75" t="n"/>
      <c r="AE1280" s="75" t="n"/>
      <c r="AF1280" s="75" t="n"/>
    </row>
    <row r="1281" ht="15.75" customHeight="1" s="133">
      <c r="A1281" s="75" t="n"/>
      <c r="B1281" s="75" t="n"/>
      <c r="C1281" s="75" t="n"/>
      <c r="D1281" s="75" t="n"/>
      <c r="E1281" s="76" t="n"/>
      <c r="F1281" s="77" t="n"/>
      <c r="G1281" s="75" t="n"/>
      <c r="H1281" s="75">
        <f>IF(ISBLANK(E1281),"",IF(OR(D1281="Butterfly",D1281="Butterfly ",D1281="Iron Fly", D1281="Iron Fly "),LEN(E1281)-LEN(SUBSTITUTE(E1281,"/",""))+2,LEN(E1281)-LEN(SUBSTITUTE(E1281,"/",""))+1))</f>
        <v/>
      </c>
      <c r="I1281" s="78">
        <f>IF(ISBLANK(G1281),"",IF(D1281="Stock","0",Key!$A$3*H1281*G1281))</f>
        <v/>
      </c>
      <c r="J1281" s="78">
        <f>IF(ISBLANK(E1281),"",IF(ISNUMBER(SEARCH("/",E1281)), IF(LEN(E1281)-LEN(SUBSTITUTE(E1281,"/",""))=1,(RIGHT(E1281,LEN(E1281)-FIND("/",E1281)))-(LEFT(E1281,FIND("/",E1281)-1)),(MID(E1281, SEARCH("/",E1281) + 1, SEARCH("/",E1281, SEARCH("/",E1281)+1) - SEARCH("/",E1281) - 1))-(LEFT(E1281,FIND("/",E1281)-1))), "NA"))</f>
        <v/>
      </c>
      <c r="K1281" s="79">
        <f>IF(A1281&lt;&gt;"", IF(ISBLANK(L1281), TODAY(), K1281), "")</f>
        <v/>
      </c>
      <c r="L1281" s="78" t="n"/>
      <c r="M1281" s="78">
        <f>IF(ISBLANK(L1281),"",IF(D1281="Stock",IF(C1281="Buy",L1281*G1281,IF(C1281="Sell",(L1281*G1281)-I1281, X)),IF(C1281="Buy",(L1281*G1281*100)+I1281,IF(C1281="Sell",(L1281*G1281*100)-I1281, X))))</f>
        <v/>
      </c>
      <c r="N1281" s="78">
        <f>IF(ISBLANK(L1281),"",IF(AND(C1281="Sell",D1281="Stock"),M1281,IF(ISBLANK(L1281),"",IF(C1281="Buy",M1281, IF(AND(C1281="Sell",J1281="NA"),(E1281*G1281*100*0.1)+I1281, IF(C1281="Sell",(J1281-L1281)*(100*G1281)+I1281))))))</f>
        <v/>
      </c>
      <c r="O1281" s="75" t="n"/>
      <c r="P1281" s="75" t="n"/>
      <c r="Q1281" s="75">
        <f>IF(ISBLANK(P1281),"",IF(D1281="Stock",P1281*G1281,IF(P1281=0,"0",G1281*P1281*100-(G1281*$AF$14))))</f>
        <v/>
      </c>
      <c r="R1281" s="79">
        <f>IF(P1281&lt;&gt;"", TODAY(), "")</f>
        <v/>
      </c>
      <c r="S1281" s="78">
        <f>IF(AND(K1281&lt;&gt;"", R1281&lt;&gt;""), R1281-K1281, "")</f>
        <v/>
      </c>
      <c r="T1281" s="78" t="n"/>
      <c r="U1281" s="92">
        <f>IF(ISBLANK(P1281),"",IF(C1281="Buy",Q1281-M1281+T1281, IF(C1281="Sell",M1281-Q1281-T1281, X)))</f>
        <v/>
      </c>
      <c r="V1281" s="81">
        <f>IF(ISBLANK(P1281),"",U1281/N1281)</f>
        <v/>
      </c>
      <c r="W1281" s="81">
        <f>IF(ISBLANK(P1281),"",IF(S1281=0,(365/0.5)*V1281,(365/S1281)*V1281))</f>
        <v/>
      </c>
      <c r="X1281" s="75" t="n"/>
      <c r="Y1281" s="77" t="n"/>
      <c r="Z1281" s="77" t="n"/>
      <c r="AA1281" s="75" t="n"/>
      <c r="AB1281" s="75" t="n"/>
      <c r="AC1281" s="6" t="n"/>
      <c r="AD1281" s="75" t="n"/>
      <c r="AE1281" s="75" t="n"/>
      <c r="AF1281" s="75" t="n"/>
    </row>
    <row r="1282" ht="15.75" customHeight="1" s="133">
      <c r="A1282" s="75" t="n"/>
      <c r="B1282" s="75" t="n"/>
      <c r="C1282" s="75" t="n"/>
      <c r="D1282" s="75" t="n"/>
      <c r="E1282" s="76" t="n"/>
      <c r="F1282" s="77" t="n"/>
      <c r="G1282" s="75" t="n"/>
      <c r="H1282" s="75">
        <f>IF(ISBLANK(E1282),"",IF(OR(D1282="Butterfly",D1282="Butterfly ",D1282="Iron Fly", D1282="Iron Fly "),LEN(E1282)-LEN(SUBSTITUTE(E1282,"/",""))+2,LEN(E1282)-LEN(SUBSTITUTE(E1282,"/",""))+1))</f>
        <v/>
      </c>
      <c r="I1282" s="78">
        <f>IF(ISBLANK(G1282),"",IF(D1282="Stock","0",Key!$A$3*H1282*G1282))</f>
        <v/>
      </c>
      <c r="J1282" s="78">
        <f>IF(ISBLANK(E1282),"",IF(ISNUMBER(SEARCH("/",E1282)), IF(LEN(E1282)-LEN(SUBSTITUTE(E1282,"/",""))=1,(RIGHT(E1282,LEN(E1282)-FIND("/",E1282)))-(LEFT(E1282,FIND("/",E1282)-1)),(MID(E1282, SEARCH("/",E1282) + 1, SEARCH("/",E1282, SEARCH("/",E1282)+1) - SEARCH("/",E1282) - 1))-(LEFT(E1282,FIND("/",E1282)-1))), "NA"))</f>
        <v/>
      </c>
      <c r="K1282" s="79">
        <f>IF(A1282&lt;&gt;"", IF(ISBLANK(L1282), TODAY(), K1282), "")</f>
        <v/>
      </c>
      <c r="L1282" s="78" t="n"/>
      <c r="M1282" s="78">
        <f>IF(ISBLANK(L1282),"",IF(D1282="Stock",IF(C1282="Buy",L1282*G1282,IF(C1282="Sell",(L1282*G1282)-I1282, X)),IF(C1282="Buy",(L1282*G1282*100)+I1282,IF(C1282="Sell",(L1282*G1282*100)-I1282, X))))</f>
        <v/>
      </c>
      <c r="N1282" s="78">
        <f>IF(ISBLANK(L1282),"",IF(AND(C1282="Sell",D1282="Stock"),M1282,IF(ISBLANK(L1282),"",IF(C1282="Buy",M1282, IF(AND(C1282="Sell",J1282="NA"),(E1282*G1282*100*0.1)+I1282, IF(C1282="Sell",(J1282-L1282)*(100*G1282)+I1282))))))</f>
        <v/>
      </c>
      <c r="O1282" s="75" t="n"/>
      <c r="P1282" s="75" t="n"/>
      <c r="Q1282" s="75">
        <f>IF(ISBLANK(P1282),"",IF(D1282="Stock",P1282*G1282,IF(P1282=0,"0",G1282*P1282*100-(G1282*$AF$14))))</f>
        <v/>
      </c>
      <c r="R1282" s="79">
        <f>IF(P1282&lt;&gt;"", TODAY(), "")</f>
        <v/>
      </c>
      <c r="S1282" s="78">
        <f>IF(AND(K1282&lt;&gt;"", R1282&lt;&gt;""), R1282-K1282, "")</f>
        <v/>
      </c>
      <c r="T1282" s="78" t="n"/>
      <c r="U1282" s="92">
        <f>IF(ISBLANK(P1282),"",IF(C1282="Buy",Q1282-M1282+T1282, IF(C1282="Sell",M1282-Q1282-T1282, X)))</f>
        <v/>
      </c>
      <c r="V1282" s="81">
        <f>IF(ISBLANK(P1282),"",U1282/N1282)</f>
        <v/>
      </c>
      <c r="W1282" s="81">
        <f>IF(ISBLANK(P1282),"",IF(S1282=0,(365/0.5)*V1282,(365/S1282)*V1282))</f>
        <v/>
      </c>
      <c r="X1282" s="75" t="n"/>
      <c r="Y1282" s="77" t="n"/>
      <c r="Z1282" s="77" t="n"/>
      <c r="AA1282" s="75" t="n"/>
      <c r="AB1282" s="75" t="n"/>
      <c r="AC1282" s="6" t="n"/>
      <c r="AD1282" s="75" t="n"/>
      <c r="AE1282" s="75" t="n"/>
      <c r="AF1282" s="75" t="n"/>
    </row>
    <row r="1283" ht="15.75" customHeight="1" s="133">
      <c r="A1283" s="75" t="n"/>
      <c r="B1283" s="75" t="n"/>
      <c r="C1283" s="75" t="n"/>
      <c r="D1283" s="75" t="n"/>
      <c r="E1283" s="76" t="n"/>
      <c r="F1283" s="77" t="n"/>
      <c r="G1283" s="75" t="n"/>
      <c r="H1283" s="75">
        <f>IF(ISBLANK(E1283),"",IF(OR(D1283="Butterfly",D1283="Butterfly ",D1283="Iron Fly", D1283="Iron Fly "),LEN(E1283)-LEN(SUBSTITUTE(E1283,"/",""))+2,LEN(E1283)-LEN(SUBSTITUTE(E1283,"/",""))+1))</f>
        <v/>
      </c>
      <c r="I1283" s="78">
        <f>IF(ISBLANK(G1283),"",IF(D1283="Stock","0",Key!$A$3*H1283*G1283))</f>
        <v/>
      </c>
      <c r="J1283" s="78">
        <f>IF(ISBLANK(E1283),"",IF(ISNUMBER(SEARCH("/",E1283)), IF(LEN(E1283)-LEN(SUBSTITUTE(E1283,"/",""))=1,(RIGHT(E1283,LEN(E1283)-FIND("/",E1283)))-(LEFT(E1283,FIND("/",E1283)-1)),(MID(E1283, SEARCH("/",E1283) + 1, SEARCH("/",E1283, SEARCH("/",E1283)+1) - SEARCH("/",E1283) - 1))-(LEFT(E1283,FIND("/",E1283)-1))), "NA"))</f>
        <v/>
      </c>
      <c r="K1283" s="79">
        <f>IF(A1283&lt;&gt;"", IF(ISBLANK(L1283), TODAY(), K1283), "")</f>
        <v/>
      </c>
      <c r="L1283" s="78" t="n"/>
      <c r="M1283" s="78">
        <f>IF(ISBLANK(L1283),"",IF(D1283="Stock",IF(C1283="Buy",L1283*G1283,IF(C1283="Sell",(L1283*G1283)-I1283, X)),IF(C1283="Buy",(L1283*G1283*100)+I1283,IF(C1283="Sell",(L1283*G1283*100)-I1283, X))))</f>
        <v/>
      </c>
      <c r="N1283" s="78">
        <f>IF(ISBLANK(L1283),"",IF(AND(C1283="Sell",D1283="Stock"),M1283,IF(ISBLANK(L1283),"",IF(C1283="Buy",M1283, IF(AND(C1283="Sell",J1283="NA"),(E1283*G1283*100*0.1)+I1283, IF(C1283="Sell",(J1283-L1283)*(100*G1283)+I1283))))))</f>
        <v/>
      </c>
      <c r="O1283" s="75" t="n"/>
      <c r="P1283" s="75" t="n"/>
      <c r="Q1283" s="75">
        <f>IF(ISBLANK(P1283),"",IF(D1283="Stock",P1283*G1283,IF(P1283=0,"0",G1283*P1283*100-(G1283*$AF$14))))</f>
        <v/>
      </c>
      <c r="R1283" s="79">
        <f>IF(P1283&lt;&gt;"", TODAY(), "")</f>
        <v/>
      </c>
      <c r="S1283" s="78">
        <f>IF(AND(K1283&lt;&gt;"", R1283&lt;&gt;""), R1283-K1283, "")</f>
        <v/>
      </c>
      <c r="T1283" s="78" t="n"/>
      <c r="U1283" s="92">
        <f>IF(ISBLANK(P1283),"",IF(C1283="Buy",Q1283-M1283+T1283, IF(C1283="Sell",M1283-Q1283-T1283, X)))</f>
        <v/>
      </c>
      <c r="V1283" s="81">
        <f>IF(ISBLANK(P1283),"",U1283/N1283)</f>
        <v/>
      </c>
      <c r="W1283" s="81">
        <f>IF(ISBLANK(P1283),"",IF(S1283=0,(365/0.5)*V1283,(365/S1283)*V1283))</f>
        <v/>
      </c>
      <c r="X1283" s="75" t="n"/>
      <c r="Y1283" s="77" t="n"/>
      <c r="Z1283" s="77" t="n"/>
      <c r="AA1283" s="75" t="n"/>
      <c r="AB1283" s="75" t="n"/>
      <c r="AC1283" s="6" t="n"/>
      <c r="AD1283" s="75" t="n"/>
      <c r="AE1283" s="75" t="n"/>
      <c r="AF1283" s="75" t="n"/>
    </row>
    <row r="1284" ht="15.75" customHeight="1" s="133">
      <c r="A1284" s="75" t="n"/>
      <c r="B1284" s="75" t="n"/>
      <c r="C1284" s="75" t="n"/>
      <c r="D1284" s="75" t="n"/>
      <c r="E1284" s="76" t="n"/>
      <c r="F1284" s="77" t="n"/>
      <c r="G1284" s="75" t="n"/>
      <c r="H1284" s="75">
        <f>IF(ISBLANK(E1284),"",IF(OR(D1284="Butterfly",D1284="Butterfly ",D1284="Iron Fly", D1284="Iron Fly "),LEN(E1284)-LEN(SUBSTITUTE(E1284,"/",""))+2,LEN(E1284)-LEN(SUBSTITUTE(E1284,"/",""))+1))</f>
        <v/>
      </c>
      <c r="I1284" s="78">
        <f>IF(ISBLANK(G1284),"",IF(D1284="Stock","0",Key!$A$3*H1284*G1284))</f>
        <v/>
      </c>
      <c r="J1284" s="78">
        <f>IF(ISBLANK(E1284),"",IF(ISNUMBER(SEARCH("/",E1284)), IF(LEN(E1284)-LEN(SUBSTITUTE(E1284,"/",""))=1,(RIGHT(E1284,LEN(E1284)-FIND("/",E1284)))-(LEFT(E1284,FIND("/",E1284)-1)),(MID(E1284, SEARCH("/",E1284) + 1, SEARCH("/",E1284, SEARCH("/",E1284)+1) - SEARCH("/",E1284) - 1))-(LEFT(E1284,FIND("/",E1284)-1))), "NA"))</f>
        <v/>
      </c>
      <c r="K1284" s="79">
        <f>IF(A1284&lt;&gt;"", IF(ISBLANK(L1284), TODAY(), K1284), "")</f>
        <v/>
      </c>
      <c r="L1284" s="78" t="n"/>
      <c r="M1284" s="78">
        <f>IF(ISBLANK(L1284),"",IF(D1284="Stock",IF(C1284="Buy",L1284*G1284,IF(C1284="Sell",(L1284*G1284)-I1284, X)),IF(C1284="Buy",(L1284*G1284*100)+I1284,IF(C1284="Sell",(L1284*G1284*100)-I1284, X))))</f>
        <v/>
      </c>
      <c r="N1284" s="78">
        <f>IF(ISBLANK(L1284),"",IF(AND(C1284="Sell",D1284="Stock"),M1284,IF(ISBLANK(L1284),"",IF(C1284="Buy",M1284, IF(AND(C1284="Sell",J1284="NA"),(E1284*G1284*100*0.1)+I1284, IF(C1284="Sell",(J1284-L1284)*(100*G1284)+I1284))))))</f>
        <v/>
      </c>
      <c r="O1284" s="75" t="n"/>
      <c r="P1284" s="75" t="n"/>
      <c r="Q1284" s="75">
        <f>IF(ISBLANK(P1284),"",IF(D1284="Stock",P1284*G1284,IF(P1284=0,"0",G1284*P1284*100-(G1284*$AF$14))))</f>
        <v/>
      </c>
      <c r="R1284" s="79">
        <f>IF(P1284&lt;&gt;"", TODAY(), "")</f>
        <v/>
      </c>
      <c r="S1284" s="78">
        <f>IF(AND(K1284&lt;&gt;"", R1284&lt;&gt;""), R1284-K1284, "")</f>
        <v/>
      </c>
      <c r="T1284" s="78" t="n"/>
      <c r="U1284" s="92">
        <f>IF(ISBLANK(P1284),"",IF(C1284="Buy",Q1284-M1284+T1284, IF(C1284="Sell",M1284-Q1284-T1284, X)))</f>
        <v/>
      </c>
      <c r="V1284" s="81">
        <f>IF(ISBLANK(P1284),"",U1284/N1284)</f>
        <v/>
      </c>
      <c r="W1284" s="81">
        <f>IF(ISBLANK(P1284),"",IF(S1284=0,(365/0.5)*V1284,(365/S1284)*V1284))</f>
        <v/>
      </c>
      <c r="X1284" s="75" t="n"/>
      <c r="Y1284" s="77" t="n"/>
      <c r="Z1284" s="77" t="n"/>
      <c r="AA1284" s="75" t="n"/>
      <c r="AB1284" s="75" t="n"/>
      <c r="AC1284" s="6" t="n"/>
      <c r="AD1284" s="75" t="n"/>
      <c r="AE1284" s="75" t="n"/>
      <c r="AF1284" s="75" t="n"/>
    </row>
    <row r="1285" ht="15.75" customHeight="1" s="133">
      <c r="A1285" s="75" t="n"/>
      <c r="B1285" s="75" t="n"/>
      <c r="C1285" s="75" t="n"/>
      <c r="D1285" s="75" t="n"/>
      <c r="E1285" s="76" t="n"/>
      <c r="F1285" s="77" t="n"/>
      <c r="G1285" s="75" t="n"/>
      <c r="H1285" s="75">
        <f>IF(ISBLANK(E1285),"",IF(OR(D1285="Butterfly",D1285="Butterfly ",D1285="Iron Fly", D1285="Iron Fly "),LEN(E1285)-LEN(SUBSTITUTE(E1285,"/",""))+2,LEN(E1285)-LEN(SUBSTITUTE(E1285,"/",""))+1))</f>
        <v/>
      </c>
      <c r="I1285" s="78">
        <f>IF(ISBLANK(G1285),"",IF(D1285="Stock","0",Key!$A$3*H1285*G1285))</f>
        <v/>
      </c>
      <c r="J1285" s="78">
        <f>IF(ISBLANK(E1285),"",IF(ISNUMBER(SEARCH("/",E1285)), IF(LEN(E1285)-LEN(SUBSTITUTE(E1285,"/",""))=1,(RIGHT(E1285,LEN(E1285)-FIND("/",E1285)))-(LEFT(E1285,FIND("/",E1285)-1)),(MID(E1285, SEARCH("/",E1285) + 1, SEARCH("/",E1285, SEARCH("/",E1285)+1) - SEARCH("/",E1285) - 1))-(LEFT(E1285,FIND("/",E1285)-1))), "NA"))</f>
        <v/>
      </c>
      <c r="K1285" s="79">
        <f>IF(A1285&lt;&gt;"", IF(ISBLANK(L1285), TODAY(), K1285), "")</f>
        <v/>
      </c>
      <c r="L1285" s="78" t="n"/>
      <c r="M1285" s="78">
        <f>IF(ISBLANK(L1285),"",IF(D1285="Stock",IF(C1285="Buy",L1285*G1285,IF(C1285="Sell",(L1285*G1285)-I1285, X)),IF(C1285="Buy",(L1285*G1285*100)+I1285,IF(C1285="Sell",(L1285*G1285*100)-I1285, X))))</f>
        <v/>
      </c>
      <c r="N1285" s="78">
        <f>IF(ISBLANK(L1285),"",IF(AND(C1285="Sell",D1285="Stock"),M1285,IF(ISBLANK(L1285),"",IF(C1285="Buy",M1285, IF(AND(C1285="Sell",J1285="NA"),(E1285*G1285*100*0.1)+I1285, IF(C1285="Sell",(J1285-L1285)*(100*G1285)+I1285))))))</f>
        <v/>
      </c>
      <c r="O1285" s="75" t="n"/>
      <c r="P1285" s="75" t="n"/>
      <c r="Q1285" s="75">
        <f>IF(ISBLANK(P1285),"",IF(D1285="Stock",P1285*G1285,IF(P1285=0,"0",G1285*P1285*100-(G1285*$AF$14))))</f>
        <v/>
      </c>
      <c r="R1285" s="79">
        <f>IF(P1285&lt;&gt;"", TODAY(), "")</f>
        <v/>
      </c>
      <c r="S1285" s="78">
        <f>IF(AND(K1285&lt;&gt;"", R1285&lt;&gt;""), R1285-K1285, "")</f>
        <v/>
      </c>
      <c r="T1285" s="78" t="n"/>
      <c r="U1285" s="92">
        <f>IF(ISBLANK(P1285),"",IF(C1285="Buy",Q1285-M1285+T1285, IF(C1285="Sell",M1285-Q1285-T1285, X)))</f>
        <v/>
      </c>
      <c r="V1285" s="81">
        <f>IF(ISBLANK(P1285),"",U1285/N1285)</f>
        <v/>
      </c>
      <c r="W1285" s="81">
        <f>IF(ISBLANK(P1285),"",IF(S1285=0,(365/0.5)*V1285,(365/S1285)*V1285))</f>
        <v/>
      </c>
      <c r="X1285" s="75" t="n"/>
      <c r="Y1285" s="77" t="n"/>
      <c r="Z1285" s="77" t="n"/>
      <c r="AA1285" s="75" t="n"/>
      <c r="AB1285" s="75" t="n"/>
      <c r="AC1285" s="6" t="n"/>
      <c r="AD1285" s="75" t="n"/>
      <c r="AE1285" s="75" t="n"/>
      <c r="AF1285" s="75" t="n"/>
    </row>
    <row r="1286" ht="15.75" customHeight="1" s="133">
      <c r="A1286" s="75" t="n"/>
      <c r="B1286" s="75" t="n"/>
      <c r="C1286" s="75" t="n"/>
      <c r="D1286" s="75" t="n"/>
      <c r="E1286" s="76" t="n"/>
      <c r="F1286" s="77" t="n"/>
      <c r="G1286" s="75" t="n"/>
      <c r="H1286" s="75">
        <f>IF(ISBLANK(E1286),"",IF(OR(D1286="Butterfly",D1286="Butterfly ",D1286="Iron Fly", D1286="Iron Fly "),LEN(E1286)-LEN(SUBSTITUTE(E1286,"/",""))+2,LEN(E1286)-LEN(SUBSTITUTE(E1286,"/",""))+1))</f>
        <v/>
      </c>
      <c r="I1286" s="78">
        <f>IF(ISBLANK(G1286),"",IF(D1286="Stock","0",Key!$A$3*H1286*G1286))</f>
        <v/>
      </c>
      <c r="J1286" s="78">
        <f>IF(ISBLANK(E1286),"",IF(ISNUMBER(SEARCH("/",E1286)), IF(LEN(E1286)-LEN(SUBSTITUTE(E1286,"/",""))=1,(RIGHT(E1286,LEN(E1286)-FIND("/",E1286)))-(LEFT(E1286,FIND("/",E1286)-1)),(MID(E1286, SEARCH("/",E1286) + 1, SEARCH("/",E1286, SEARCH("/",E1286)+1) - SEARCH("/",E1286) - 1))-(LEFT(E1286,FIND("/",E1286)-1))), "NA"))</f>
        <v/>
      </c>
      <c r="K1286" s="79">
        <f>IF(A1286&lt;&gt;"", IF(ISBLANK(L1286), TODAY(), K1286), "")</f>
        <v/>
      </c>
      <c r="L1286" s="78" t="n"/>
      <c r="M1286" s="78">
        <f>IF(ISBLANK(L1286),"",IF(D1286="Stock",IF(C1286="Buy",L1286*G1286,IF(C1286="Sell",(L1286*G1286)-I1286, X)),IF(C1286="Buy",(L1286*G1286*100)+I1286,IF(C1286="Sell",(L1286*G1286*100)-I1286, X))))</f>
        <v/>
      </c>
      <c r="N1286" s="78">
        <f>IF(ISBLANK(L1286),"",IF(AND(C1286="Sell",D1286="Stock"),M1286,IF(ISBLANK(L1286),"",IF(C1286="Buy",M1286, IF(AND(C1286="Sell",J1286="NA"),(E1286*G1286*100*0.1)+I1286, IF(C1286="Sell",(J1286-L1286)*(100*G1286)+I1286))))))</f>
        <v/>
      </c>
      <c r="O1286" s="75" t="n"/>
      <c r="P1286" s="75" t="n"/>
      <c r="Q1286" s="75">
        <f>IF(ISBLANK(P1286),"",IF(D1286="Stock",P1286*G1286,IF(P1286=0,"0",G1286*P1286*100-(G1286*$AF$14))))</f>
        <v/>
      </c>
      <c r="R1286" s="79">
        <f>IF(P1286&lt;&gt;"", TODAY(), "")</f>
        <v/>
      </c>
      <c r="S1286" s="78">
        <f>IF(AND(K1286&lt;&gt;"", R1286&lt;&gt;""), R1286-K1286, "")</f>
        <v/>
      </c>
      <c r="T1286" s="78" t="n"/>
      <c r="U1286" s="92">
        <f>IF(ISBLANK(P1286),"",IF(C1286="Buy",Q1286-M1286+T1286, IF(C1286="Sell",M1286-Q1286-T1286, X)))</f>
        <v/>
      </c>
      <c r="V1286" s="81">
        <f>IF(ISBLANK(P1286),"",U1286/N1286)</f>
        <v/>
      </c>
      <c r="W1286" s="81">
        <f>IF(ISBLANK(P1286),"",IF(S1286=0,(365/0.5)*V1286,(365/S1286)*V1286))</f>
        <v/>
      </c>
      <c r="X1286" s="75" t="n"/>
      <c r="Y1286" s="77" t="n"/>
      <c r="Z1286" s="77" t="n"/>
      <c r="AA1286" s="75" t="n"/>
      <c r="AB1286" s="75" t="n"/>
      <c r="AC1286" s="6" t="n"/>
      <c r="AD1286" s="75" t="n"/>
      <c r="AE1286" s="75" t="n"/>
      <c r="AF1286" s="75" t="n"/>
    </row>
    <row r="1287" ht="15.75" customHeight="1" s="133">
      <c r="A1287" s="75" t="n"/>
      <c r="B1287" s="75" t="n"/>
      <c r="C1287" s="75" t="n"/>
      <c r="D1287" s="75" t="n"/>
      <c r="E1287" s="76" t="n"/>
      <c r="F1287" s="77" t="n"/>
      <c r="G1287" s="75" t="n"/>
      <c r="H1287" s="75">
        <f>IF(ISBLANK(E1287),"",IF(OR(D1287="Butterfly",D1287="Butterfly ",D1287="Iron Fly", D1287="Iron Fly "),LEN(E1287)-LEN(SUBSTITUTE(E1287,"/",""))+2,LEN(E1287)-LEN(SUBSTITUTE(E1287,"/",""))+1))</f>
        <v/>
      </c>
      <c r="I1287" s="78">
        <f>IF(ISBLANK(G1287),"",IF(D1287="Stock","0",Key!$A$3*H1287*G1287))</f>
        <v/>
      </c>
      <c r="J1287" s="78">
        <f>IF(ISBLANK(E1287),"",IF(ISNUMBER(SEARCH("/",E1287)), IF(LEN(E1287)-LEN(SUBSTITUTE(E1287,"/",""))=1,(RIGHT(E1287,LEN(E1287)-FIND("/",E1287)))-(LEFT(E1287,FIND("/",E1287)-1)),(MID(E1287, SEARCH("/",E1287) + 1, SEARCH("/",E1287, SEARCH("/",E1287)+1) - SEARCH("/",E1287) - 1))-(LEFT(E1287,FIND("/",E1287)-1))), "NA"))</f>
        <v/>
      </c>
      <c r="K1287" s="79">
        <f>IF(A1287&lt;&gt;"", IF(ISBLANK(L1287), TODAY(), K1287), "")</f>
        <v/>
      </c>
      <c r="L1287" s="78" t="n"/>
      <c r="M1287" s="78">
        <f>IF(ISBLANK(L1287),"",IF(D1287="Stock",IF(C1287="Buy",L1287*G1287,IF(C1287="Sell",(L1287*G1287)-I1287, X)),IF(C1287="Buy",(L1287*G1287*100)+I1287,IF(C1287="Sell",(L1287*G1287*100)-I1287, X))))</f>
        <v/>
      </c>
      <c r="N1287" s="78">
        <f>IF(ISBLANK(L1287),"",IF(AND(C1287="Sell",D1287="Stock"),M1287,IF(ISBLANK(L1287),"",IF(C1287="Buy",M1287, IF(AND(C1287="Sell",J1287="NA"),(E1287*G1287*100*0.1)+I1287, IF(C1287="Sell",(J1287-L1287)*(100*G1287)+I1287))))))</f>
        <v/>
      </c>
      <c r="O1287" s="75" t="n"/>
      <c r="P1287" s="75" t="n"/>
      <c r="Q1287" s="75">
        <f>IF(ISBLANK(P1287),"",IF(D1287="Stock",P1287*G1287,IF(P1287=0,"0",G1287*P1287*100-(G1287*$AF$14))))</f>
        <v/>
      </c>
      <c r="R1287" s="79">
        <f>IF(P1287&lt;&gt;"", TODAY(), "")</f>
        <v/>
      </c>
      <c r="S1287" s="78">
        <f>IF(AND(K1287&lt;&gt;"", R1287&lt;&gt;""), R1287-K1287, "")</f>
        <v/>
      </c>
      <c r="T1287" s="78" t="n"/>
      <c r="U1287" s="92">
        <f>IF(ISBLANK(P1287),"",IF(C1287="Buy",Q1287-M1287+T1287, IF(C1287="Sell",M1287-Q1287-T1287, X)))</f>
        <v/>
      </c>
      <c r="V1287" s="81">
        <f>IF(ISBLANK(P1287),"",U1287/N1287)</f>
        <v/>
      </c>
      <c r="W1287" s="81">
        <f>IF(ISBLANK(P1287),"",IF(S1287=0,(365/0.5)*V1287,(365/S1287)*V1287))</f>
        <v/>
      </c>
      <c r="X1287" s="75" t="n"/>
      <c r="Y1287" s="77" t="n"/>
      <c r="Z1287" s="77" t="n"/>
      <c r="AA1287" s="75" t="n"/>
      <c r="AB1287" s="75" t="n"/>
      <c r="AC1287" s="6" t="n"/>
      <c r="AD1287" s="75" t="n"/>
      <c r="AE1287" s="75" t="n"/>
      <c r="AF1287" s="75" t="n"/>
    </row>
    <row r="1288" ht="15.75" customHeight="1" s="133">
      <c r="A1288" s="75" t="n"/>
      <c r="B1288" s="75" t="n"/>
      <c r="C1288" s="75" t="n"/>
      <c r="D1288" s="75" t="n"/>
      <c r="E1288" s="76" t="n"/>
      <c r="F1288" s="77" t="n"/>
      <c r="G1288" s="75" t="n"/>
      <c r="H1288" s="75">
        <f>IF(ISBLANK(E1288),"",IF(OR(D1288="Butterfly",D1288="Butterfly ",D1288="Iron Fly", D1288="Iron Fly "),LEN(E1288)-LEN(SUBSTITUTE(E1288,"/",""))+2,LEN(E1288)-LEN(SUBSTITUTE(E1288,"/",""))+1))</f>
        <v/>
      </c>
      <c r="I1288" s="78">
        <f>IF(ISBLANK(G1288),"",IF(D1288="Stock","0",Key!$A$3*H1288*G1288))</f>
        <v/>
      </c>
      <c r="J1288" s="78">
        <f>IF(ISBLANK(E1288),"",IF(ISNUMBER(SEARCH("/",E1288)), IF(LEN(E1288)-LEN(SUBSTITUTE(E1288,"/",""))=1,(RIGHT(E1288,LEN(E1288)-FIND("/",E1288)))-(LEFT(E1288,FIND("/",E1288)-1)),(MID(E1288, SEARCH("/",E1288) + 1, SEARCH("/",E1288, SEARCH("/",E1288)+1) - SEARCH("/",E1288) - 1))-(LEFT(E1288,FIND("/",E1288)-1))), "NA"))</f>
        <v/>
      </c>
      <c r="K1288" s="79">
        <f>IF(A1288&lt;&gt;"", IF(ISBLANK(L1288), TODAY(), K1288), "")</f>
        <v/>
      </c>
      <c r="L1288" s="78" t="n"/>
      <c r="M1288" s="78">
        <f>IF(ISBLANK(L1288),"",IF(D1288="Stock",IF(C1288="Buy",L1288*G1288,IF(C1288="Sell",(L1288*G1288)-I1288, X)),IF(C1288="Buy",(L1288*G1288*100)+I1288,IF(C1288="Sell",(L1288*G1288*100)-I1288, X))))</f>
        <v/>
      </c>
      <c r="N1288" s="78">
        <f>IF(ISBLANK(L1288),"",IF(AND(C1288="Sell",D1288="Stock"),M1288,IF(ISBLANK(L1288),"",IF(C1288="Buy",M1288, IF(AND(C1288="Sell",J1288="NA"),(E1288*G1288*100*0.1)+I1288, IF(C1288="Sell",(J1288-L1288)*(100*G1288)+I1288))))))</f>
        <v/>
      </c>
      <c r="O1288" s="75" t="n"/>
      <c r="P1288" s="75" t="n"/>
      <c r="Q1288" s="75">
        <f>IF(ISBLANK(P1288),"",IF(D1288="Stock",P1288*G1288,IF(P1288=0,"0",G1288*P1288*100-(G1288*$AF$14))))</f>
        <v/>
      </c>
      <c r="R1288" s="79">
        <f>IF(P1288&lt;&gt;"", TODAY(), "")</f>
        <v/>
      </c>
      <c r="S1288" s="78">
        <f>IF(AND(K1288&lt;&gt;"", R1288&lt;&gt;""), R1288-K1288, "")</f>
        <v/>
      </c>
      <c r="T1288" s="78" t="n"/>
      <c r="U1288" s="92">
        <f>IF(ISBLANK(P1288),"",IF(C1288="Buy",Q1288-M1288+T1288, IF(C1288="Sell",M1288-Q1288-T1288, X)))</f>
        <v/>
      </c>
      <c r="V1288" s="81">
        <f>IF(ISBLANK(P1288),"",U1288/N1288)</f>
        <v/>
      </c>
      <c r="W1288" s="81">
        <f>IF(ISBLANK(P1288),"",IF(S1288=0,(365/0.5)*V1288,(365/S1288)*V1288))</f>
        <v/>
      </c>
      <c r="X1288" s="75" t="n"/>
      <c r="Y1288" s="77" t="n"/>
      <c r="Z1288" s="77" t="n"/>
      <c r="AA1288" s="75" t="n"/>
      <c r="AB1288" s="75" t="n"/>
      <c r="AC1288" s="6" t="n"/>
      <c r="AD1288" s="75" t="n"/>
      <c r="AE1288" s="75" t="n"/>
      <c r="AF1288" s="75" t="n"/>
    </row>
    <row r="1289" ht="15.75" customHeight="1" s="133">
      <c r="A1289" s="75" t="n"/>
      <c r="B1289" s="75" t="n"/>
      <c r="C1289" s="75" t="n"/>
      <c r="D1289" s="75" t="n"/>
      <c r="E1289" s="76" t="n"/>
      <c r="F1289" s="77" t="n"/>
      <c r="G1289" s="75" t="n"/>
      <c r="H1289" s="75">
        <f>IF(ISBLANK(E1289),"",IF(OR(D1289="Butterfly",D1289="Butterfly ",D1289="Iron Fly", D1289="Iron Fly "),LEN(E1289)-LEN(SUBSTITUTE(E1289,"/",""))+2,LEN(E1289)-LEN(SUBSTITUTE(E1289,"/",""))+1))</f>
        <v/>
      </c>
      <c r="I1289" s="78">
        <f>IF(ISBLANK(G1289),"",IF(D1289="Stock","0",Key!$A$3*H1289*G1289))</f>
        <v/>
      </c>
      <c r="J1289" s="78">
        <f>IF(ISBLANK(E1289),"",IF(ISNUMBER(SEARCH("/",E1289)), IF(LEN(E1289)-LEN(SUBSTITUTE(E1289,"/",""))=1,(RIGHT(E1289,LEN(E1289)-FIND("/",E1289)))-(LEFT(E1289,FIND("/",E1289)-1)),(MID(E1289, SEARCH("/",E1289) + 1, SEARCH("/",E1289, SEARCH("/",E1289)+1) - SEARCH("/",E1289) - 1))-(LEFT(E1289,FIND("/",E1289)-1))), "NA"))</f>
        <v/>
      </c>
      <c r="K1289" s="79">
        <f>IF(A1289&lt;&gt;"", IF(ISBLANK(L1289), TODAY(), K1289), "")</f>
        <v/>
      </c>
      <c r="L1289" s="78" t="n"/>
      <c r="M1289" s="78">
        <f>IF(ISBLANK(L1289),"",IF(D1289="Stock",IF(C1289="Buy",L1289*G1289,IF(C1289="Sell",(L1289*G1289)-I1289, X)),IF(C1289="Buy",(L1289*G1289*100)+I1289,IF(C1289="Sell",(L1289*G1289*100)-I1289, X))))</f>
        <v/>
      </c>
      <c r="N1289" s="78">
        <f>IF(ISBLANK(L1289),"",IF(AND(C1289="Sell",D1289="Stock"),M1289,IF(ISBLANK(L1289),"",IF(C1289="Buy",M1289, IF(AND(C1289="Sell",J1289="NA"),(E1289*G1289*100*0.1)+I1289, IF(C1289="Sell",(J1289-L1289)*(100*G1289)+I1289))))))</f>
        <v/>
      </c>
      <c r="O1289" s="75" t="n"/>
      <c r="P1289" s="75" t="n"/>
      <c r="Q1289" s="75">
        <f>IF(ISBLANK(P1289),"",IF(D1289="Stock",P1289*G1289,IF(P1289=0,"0",G1289*P1289*100-(G1289*$AF$14))))</f>
        <v/>
      </c>
      <c r="R1289" s="79">
        <f>IF(P1289&lt;&gt;"", TODAY(), "")</f>
        <v/>
      </c>
      <c r="S1289" s="78">
        <f>IF(AND(K1289&lt;&gt;"", R1289&lt;&gt;""), R1289-K1289, "")</f>
        <v/>
      </c>
      <c r="T1289" s="78" t="n"/>
      <c r="U1289" s="92">
        <f>IF(ISBLANK(P1289),"",IF(C1289="Buy",Q1289-M1289+T1289, IF(C1289="Sell",M1289-Q1289-T1289, X)))</f>
        <v/>
      </c>
      <c r="V1289" s="81">
        <f>IF(ISBLANK(P1289),"",U1289/N1289)</f>
        <v/>
      </c>
      <c r="W1289" s="81">
        <f>IF(ISBLANK(P1289),"",IF(S1289=0,(365/0.5)*V1289,(365/S1289)*V1289))</f>
        <v/>
      </c>
      <c r="X1289" s="75" t="n"/>
      <c r="Y1289" s="77" t="n"/>
      <c r="Z1289" s="77" t="n"/>
      <c r="AA1289" s="75" t="n"/>
      <c r="AB1289" s="75" t="n"/>
      <c r="AC1289" s="6" t="n"/>
      <c r="AD1289" s="75" t="n"/>
      <c r="AE1289" s="75" t="n"/>
      <c r="AF1289" s="75" t="n"/>
    </row>
    <row r="1290" ht="15.75" customHeight="1" s="133">
      <c r="A1290" s="75" t="n"/>
      <c r="B1290" s="75" t="n"/>
      <c r="C1290" s="75" t="n"/>
      <c r="D1290" s="75" t="n"/>
      <c r="E1290" s="76" t="n"/>
      <c r="F1290" s="77" t="n"/>
      <c r="G1290" s="75" t="n"/>
      <c r="H1290" s="75">
        <f>IF(ISBLANK(E1290),"",IF(OR(D1290="Butterfly",D1290="Butterfly ",D1290="Iron Fly", D1290="Iron Fly "),LEN(E1290)-LEN(SUBSTITUTE(E1290,"/",""))+2,LEN(E1290)-LEN(SUBSTITUTE(E1290,"/",""))+1))</f>
        <v/>
      </c>
      <c r="I1290" s="78">
        <f>IF(ISBLANK(G1290),"",IF(D1290="Stock","0",Key!$A$3*H1290*G1290))</f>
        <v/>
      </c>
      <c r="J1290" s="78">
        <f>IF(ISBLANK(E1290),"",IF(ISNUMBER(SEARCH("/",E1290)), IF(LEN(E1290)-LEN(SUBSTITUTE(E1290,"/",""))=1,(RIGHT(E1290,LEN(E1290)-FIND("/",E1290)))-(LEFT(E1290,FIND("/",E1290)-1)),(MID(E1290, SEARCH("/",E1290) + 1, SEARCH("/",E1290, SEARCH("/",E1290)+1) - SEARCH("/",E1290) - 1))-(LEFT(E1290,FIND("/",E1290)-1))), "NA"))</f>
        <v/>
      </c>
      <c r="K1290" s="79">
        <f>IF(A1290&lt;&gt;"", IF(ISBLANK(L1290), TODAY(), K1290), "")</f>
        <v/>
      </c>
      <c r="L1290" s="78" t="n"/>
      <c r="M1290" s="78">
        <f>IF(ISBLANK(L1290),"",IF(D1290="Stock",IF(C1290="Buy",L1290*G1290,IF(C1290="Sell",(L1290*G1290)-I1290, X)),IF(C1290="Buy",(L1290*G1290*100)+I1290,IF(C1290="Sell",(L1290*G1290*100)-I1290, X))))</f>
        <v/>
      </c>
      <c r="N1290" s="78">
        <f>IF(ISBLANK(L1290),"",IF(AND(C1290="Sell",D1290="Stock"),M1290,IF(ISBLANK(L1290),"",IF(C1290="Buy",M1290, IF(AND(C1290="Sell",J1290="NA"),(E1290*G1290*100*0.1)+I1290, IF(C1290="Sell",(J1290-L1290)*(100*G1290)+I1290))))))</f>
        <v/>
      </c>
      <c r="O1290" s="75" t="n"/>
      <c r="P1290" s="75" t="n"/>
      <c r="Q1290" s="75">
        <f>IF(ISBLANK(P1290),"",IF(D1290="Stock",P1290*G1290,IF(P1290=0,"0",G1290*P1290*100-(G1290*$AF$14))))</f>
        <v/>
      </c>
      <c r="R1290" s="79">
        <f>IF(P1290&lt;&gt;"", TODAY(), "")</f>
        <v/>
      </c>
      <c r="S1290" s="78">
        <f>IF(AND(K1290&lt;&gt;"", R1290&lt;&gt;""), R1290-K1290, "")</f>
        <v/>
      </c>
      <c r="T1290" s="78" t="n"/>
      <c r="U1290" s="92">
        <f>IF(ISBLANK(P1290),"",IF(C1290="Buy",Q1290-M1290+T1290, IF(C1290="Sell",M1290-Q1290-T1290, X)))</f>
        <v/>
      </c>
      <c r="V1290" s="81">
        <f>IF(ISBLANK(P1290),"",U1290/N1290)</f>
        <v/>
      </c>
      <c r="W1290" s="81">
        <f>IF(ISBLANK(P1290),"",IF(S1290=0,(365/0.5)*V1290,(365/S1290)*V1290))</f>
        <v/>
      </c>
      <c r="X1290" s="75" t="n"/>
      <c r="Y1290" s="77" t="n"/>
      <c r="Z1290" s="77" t="n"/>
      <c r="AA1290" s="75" t="n"/>
      <c r="AB1290" s="75" t="n"/>
      <c r="AC1290" s="6" t="n"/>
      <c r="AD1290" s="75" t="n"/>
      <c r="AE1290" s="75" t="n"/>
      <c r="AF1290" s="75" t="n"/>
    </row>
    <row r="1291" ht="15.75" customHeight="1" s="133">
      <c r="A1291" s="75" t="n"/>
      <c r="B1291" s="75" t="n"/>
      <c r="C1291" s="75" t="n"/>
      <c r="D1291" s="75" t="n"/>
      <c r="E1291" s="76" t="n"/>
      <c r="F1291" s="77" t="n"/>
      <c r="G1291" s="75" t="n"/>
      <c r="H1291" s="75">
        <f>IF(ISBLANK(E1291),"",IF(OR(D1291="Butterfly",D1291="Butterfly ",D1291="Iron Fly", D1291="Iron Fly "),LEN(E1291)-LEN(SUBSTITUTE(E1291,"/",""))+2,LEN(E1291)-LEN(SUBSTITUTE(E1291,"/",""))+1))</f>
        <v/>
      </c>
      <c r="I1291" s="78">
        <f>IF(ISBLANK(G1291),"",IF(D1291="Stock","0",Key!$A$3*H1291*G1291))</f>
        <v/>
      </c>
      <c r="J1291" s="78">
        <f>IF(ISBLANK(E1291),"",IF(ISNUMBER(SEARCH("/",E1291)), IF(LEN(E1291)-LEN(SUBSTITUTE(E1291,"/",""))=1,(RIGHT(E1291,LEN(E1291)-FIND("/",E1291)))-(LEFT(E1291,FIND("/",E1291)-1)),(MID(E1291, SEARCH("/",E1291) + 1, SEARCH("/",E1291, SEARCH("/",E1291)+1) - SEARCH("/",E1291) - 1))-(LEFT(E1291,FIND("/",E1291)-1))), "NA"))</f>
        <v/>
      </c>
      <c r="K1291" s="79">
        <f>IF(A1291&lt;&gt;"", IF(ISBLANK(L1291), TODAY(), K1291), "")</f>
        <v/>
      </c>
      <c r="L1291" s="78" t="n"/>
      <c r="M1291" s="78">
        <f>IF(ISBLANK(L1291),"",IF(D1291="Stock",IF(C1291="Buy",L1291*G1291,IF(C1291="Sell",(L1291*G1291)-I1291, X)),IF(C1291="Buy",(L1291*G1291*100)+I1291,IF(C1291="Sell",(L1291*G1291*100)-I1291, X))))</f>
        <v/>
      </c>
      <c r="N1291" s="78">
        <f>IF(ISBLANK(L1291),"",IF(AND(C1291="Sell",D1291="Stock"),M1291,IF(ISBLANK(L1291),"",IF(C1291="Buy",M1291, IF(AND(C1291="Sell",J1291="NA"),(E1291*G1291*100*0.1)+I1291, IF(C1291="Sell",(J1291-L1291)*(100*G1291)+I1291))))))</f>
        <v/>
      </c>
      <c r="O1291" s="75" t="n"/>
      <c r="P1291" s="75" t="n"/>
      <c r="Q1291" s="75">
        <f>IF(ISBLANK(P1291),"",IF(D1291="Stock",P1291*G1291,IF(P1291=0,"0",G1291*P1291*100-(G1291*$AF$14))))</f>
        <v/>
      </c>
      <c r="R1291" s="79">
        <f>IF(P1291&lt;&gt;"", TODAY(), "")</f>
        <v/>
      </c>
      <c r="S1291" s="78">
        <f>IF(AND(K1291&lt;&gt;"", R1291&lt;&gt;""), R1291-K1291, "")</f>
        <v/>
      </c>
      <c r="T1291" s="78" t="n"/>
      <c r="U1291" s="92">
        <f>IF(ISBLANK(P1291),"",IF(C1291="Buy",Q1291-M1291+T1291, IF(C1291="Sell",M1291-Q1291-T1291, X)))</f>
        <v/>
      </c>
      <c r="V1291" s="81">
        <f>IF(ISBLANK(P1291),"",U1291/N1291)</f>
        <v/>
      </c>
      <c r="W1291" s="81">
        <f>IF(ISBLANK(P1291),"",IF(S1291=0,(365/0.5)*V1291,(365/S1291)*V1291))</f>
        <v/>
      </c>
      <c r="X1291" s="75" t="n"/>
      <c r="Y1291" s="77" t="n"/>
      <c r="Z1291" s="77" t="n"/>
      <c r="AA1291" s="75" t="n"/>
      <c r="AB1291" s="75" t="n"/>
      <c r="AC1291" s="6" t="n"/>
      <c r="AD1291" s="75" t="n"/>
      <c r="AE1291" s="75" t="n"/>
      <c r="AF1291" s="75" t="n"/>
    </row>
    <row r="1292" ht="15.75" customHeight="1" s="133">
      <c r="A1292" s="75" t="n"/>
      <c r="B1292" s="75" t="n"/>
      <c r="C1292" s="75" t="n"/>
      <c r="D1292" s="75" t="n"/>
      <c r="E1292" s="76" t="n"/>
      <c r="F1292" s="77" t="n"/>
      <c r="G1292" s="75" t="n"/>
      <c r="H1292" s="75">
        <f>IF(ISBLANK(E1292),"",IF(OR(D1292="Butterfly",D1292="Butterfly ",D1292="Iron Fly", D1292="Iron Fly "),LEN(E1292)-LEN(SUBSTITUTE(E1292,"/",""))+2,LEN(E1292)-LEN(SUBSTITUTE(E1292,"/",""))+1))</f>
        <v/>
      </c>
      <c r="I1292" s="78">
        <f>IF(ISBLANK(G1292),"",IF(D1292="Stock","0",Key!$A$3*H1292*G1292))</f>
        <v/>
      </c>
      <c r="J1292" s="78">
        <f>IF(ISBLANK(E1292),"",IF(ISNUMBER(SEARCH("/",E1292)), IF(LEN(E1292)-LEN(SUBSTITUTE(E1292,"/",""))=1,(RIGHT(E1292,LEN(E1292)-FIND("/",E1292)))-(LEFT(E1292,FIND("/",E1292)-1)),(MID(E1292, SEARCH("/",E1292) + 1, SEARCH("/",E1292, SEARCH("/",E1292)+1) - SEARCH("/",E1292) - 1))-(LEFT(E1292,FIND("/",E1292)-1))), "NA"))</f>
        <v/>
      </c>
      <c r="K1292" s="79">
        <f>IF(A1292&lt;&gt;"", IF(ISBLANK(L1292), TODAY(), K1292), "")</f>
        <v/>
      </c>
      <c r="L1292" s="78" t="n"/>
      <c r="M1292" s="78">
        <f>IF(ISBLANK(L1292),"",IF(D1292="Stock",IF(C1292="Buy",L1292*G1292,IF(C1292="Sell",(L1292*G1292)-I1292, X)),IF(C1292="Buy",(L1292*G1292*100)+I1292,IF(C1292="Sell",(L1292*G1292*100)-I1292, X))))</f>
        <v/>
      </c>
      <c r="N1292" s="78">
        <f>IF(ISBLANK(L1292),"",IF(AND(C1292="Sell",D1292="Stock"),M1292,IF(ISBLANK(L1292),"",IF(C1292="Buy",M1292, IF(AND(C1292="Sell",J1292="NA"),(E1292*G1292*100*0.1)+I1292, IF(C1292="Sell",(J1292-L1292)*(100*G1292)+I1292))))))</f>
        <v/>
      </c>
      <c r="O1292" s="75" t="n"/>
      <c r="P1292" s="75" t="n"/>
      <c r="Q1292" s="75">
        <f>IF(ISBLANK(P1292),"",IF(D1292="Stock",P1292*G1292,IF(P1292=0,"0",G1292*P1292*100-(G1292*$AF$14))))</f>
        <v/>
      </c>
      <c r="R1292" s="79">
        <f>IF(P1292&lt;&gt;"", TODAY(), "")</f>
        <v/>
      </c>
      <c r="S1292" s="78">
        <f>IF(AND(K1292&lt;&gt;"", R1292&lt;&gt;""), R1292-K1292, "")</f>
        <v/>
      </c>
      <c r="T1292" s="78" t="n"/>
      <c r="U1292" s="92">
        <f>IF(ISBLANK(P1292),"",IF(C1292="Buy",Q1292-M1292+T1292, IF(C1292="Sell",M1292-Q1292-T1292, X)))</f>
        <v/>
      </c>
      <c r="V1292" s="81">
        <f>IF(ISBLANK(P1292),"",U1292/N1292)</f>
        <v/>
      </c>
      <c r="W1292" s="81">
        <f>IF(ISBLANK(P1292),"",IF(S1292=0,(365/0.5)*V1292,(365/S1292)*V1292))</f>
        <v/>
      </c>
      <c r="X1292" s="75" t="n"/>
      <c r="Y1292" s="77" t="n"/>
      <c r="Z1292" s="77" t="n"/>
      <c r="AA1292" s="75" t="n"/>
      <c r="AB1292" s="75" t="n"/>
      <c r="AC1292" s="6" t="n"/>
      <c r="AD1292" s="75" t="n"/>
      <c r="AE1292" s="75" t="n"/>
      <c r="AF1292" s="75" t="n"/>
    </row>
    <row r="1293" ht="15.75" customHeight="1" s="133">
      <c r="A1293" s="75" t="n"/>
      <c r="B1293" s="75" t="n"/>
      <c r="C1293" s="75" t="n"/>
      <c r="D1293" s="75" t="n"/>
      <c r="E1293" s="76" t="n"/>
      <c r="F1293" s="77" t="n"/>
      <c r="G1293" s="75" t="n"/>
      <c r="H1293" s="75">
        <f>IF(ISBLANK(E1293),"",IF(OR(D1293="Butterfly",D1293="Butterfly ",D1293="Iron Fly", D1293="Iron Fly "),LEN(E1293)-LEN(SUBSTITUTE(E1293,"/",""))+2,LEN(E1293)-LEN(SUBSTITUTE(E1293,"/",""))+1))</f>
        <v/>
      </c>
      <c r="I1293" s="78">
        <f>IF(ISBLANK(G1293),"",IF(D1293="Stock","0",Key!$A$3*H1293*G1293))</f>
        <v/>
      </c>
      <c r="J1293" s="78">
        <f>IF(ISBLANK(E1293),"",IF(ISNUMBER(SEARCH("/",E1293)), IF(LEN(E1293)-LEN(SUBSTITUTE(E1293,"/",""))=1,(RIGHT(E1293,LEN(E1293)-FIND("/",E1293)))-(LEFT(E1293,FIND("/",E1293)-1)),(MID(E1293, SEARCH("/",E1293) + 1, SEARCH("/",E1293, SEARCH("/",E1293)+1) - SEARCH("/",E1293) - 1))-(LEFT(E1293,FIND("/",E1293)-1))), "NA"))</f>
        <v/>
      </c>
      <c r="K1293" s="79">
        <f>IF(A1293&lt;&gt;"", IF(ISBLANK(L1293), TODAY(), K1293), "")</f>
        <v/>
      </c>
      <c r="L1293" s="78" t="n"/>
      <c r="M1293" s="78">
        <f>IF(ISBLANK(L1293),"",IF(D1293="Stock",IF(C1293="Buy",L1293*G1293,IF(C1293="Sell",(L1293*G1293)-I1293, X)),IF(C1293="Buy",(L1293*G1293*100)+I1293,IF(C1293="Sell",(L1293*G1293*100)-I1293, X))))</f>
        <v/>
      </c>
      <c r="N1293" s="78">
        <f>IF(ISBLANK(L1293),"",IF(AND(C1293="Sell",D1293="Stock"),M1293,IF(ISBLANK(L1293),"",IF(C1293="Buy",M1293, IF(AND(C1293="Sell",J1293="NA"),(E1293*G1293*100*0.1)+I1293, IF(C1293="Sell",(J1293-L1293)*(100*G1293)+I1293))))))</f>
        <v/>
      </c>
      <c r="O1293" s="75" t="n"/>
      <c r="P1293" s="75" t="n"/>
      <c r="Q1293" s="75">
        <f>IF(ISBLANK(P1293),"",IF(D1293="Stock",P1293*G1293,IF(P1293=0,"0",G1293*P1293*100-(G1293*$AF$14))))</f>
        <v/>
      </c>
      <c r="R1293" s="79">
        <f>IF(P1293&lt;&gt;"", TODAY(), "")</f>
        <v/>
      </c>
      <c r="S1293" s="78">
        <f>IF(AND(K1293&lt;&gt;"", R1293&lt;&gt;""), R1293-K1293, "")</f>
        <v/>
      </c>
      <c r="T1293" s="78" t="n"/>
      <c r="U1293" s="92">
        <f>IF(ISBLANK(P1293),"",IF(C1293="Buy",Q1293-M1293+T1293, IF(C1293="Sell",M1293-Q1293-T1293, X)))</f>
        <v/>
      </c>
      <c r="V1293" s="81">
        <f>IF(ISBLANK(P1293),"",U1293/N1293)</f>
        <v/>
      </c>
      <c r="W1293" s="81">
        <f>IF(ISBLANK(P1293),"",IF(S1293=0,(365/0.5)*V1293,(365/S1293)*V1293))</f>
        <v/>
      </c>
      <c r="X1293" s="75" t="n"/>
      <c r="Y1293" s="77" t="n"/>
      <c r="Z1293" s="77" t="n"/>
      <c r="AA1293" s="75" t="n"/>
      <c r="AB1293" s="75" t="n"/>
      <c r="AC1293" s="6" t="n"/>
      <c r="AD1293" s="75" t="n"/>
      <c r="AE1293" s="75" t="n"/>
      <c r="AF1293" s="75" t="n"/>
    </row>
    <row r="1294" ht="15.75" customHeight="1" s="133">
      <c r="A1294" s="75" t="n"/>
      <c r="B1294" s="75" t="n"/>
      <c r="C1294" s="75" t="n"/>
      <c r="D1294" s="75" t="n"/>
      <c r="E1294" s="76" t="n"/>
      <c r="F1294" s="77" t="n"/>
      <c r="G1294" s="75" t="n"/>
      <c r="H1294" s="75">
        <f>IF(ISBLANK(E1294),"",IF(OR(D1294="Butterfly",D1294="Butterfly ",D1294="Iron Fly", D1294="Iron Fly "),LEN(E1294)-LEN(SUBSTITUTE(E1294,"/",""))+2,LEN(E1294)-LEN(SUBSTITUTE(E1294,"/",""))+1))</f>
        <v/>
      </c>
      <c r="I1294" s="78">
        <f>IF(ISBLANK(G1294),"",IF(D1294="Stock","0",Key!$A$3*H1294*G1294))</f>
        <v/>
      </c>
      <c r="J1294" s="78">
        <f>IF(ISBLANK(E1294),"",IF(ISNUMBER(SEARCH("/",E1294)), IF(LEN(E1294)-LEN(SUBSTITUTE(E1294,"/",""))=1,(RIGHT(E1294,LEN(E1294)-FIND("/",E1294)))-(LEFT(E1294,FIND("/",E1294)-1)),(MID(E1294, SEARCH("/",E1294) + 1, SEARCH("/",E1294, SEARCH("/",E1294)+1) - SEARCH("/",E1294) - 1))-(LEFT(E1294,FIND("/",E1294)-1))), "NA"))</f>
        <v/>
      </c>
      <c r="K1294" s="79">
        <f>IF(A1294&lt;&gt;"", IF(ISBLANK(L1294), TODAY(), K1294), "")</f>
        <v/>
      </c>
      <c r="L1294" s="78" t="n"/>
      <c r="M1294" s="78">
        <f>IF(ISBLANK(L1294),"",IF(D1294="Stock",IF(C1294="Buy",L1294*G1294,IF(C1294="Sell",(L1294*G1294)-I1294, X)),IF(C1294="Buy",(L1294*G1294*100)+I1294,IF(C1294="Sell",(L1294*G1294*100)-I1294, X))))</f>
        <v/>
      </c>
      <c r="N1294" s="78">
        <f>IF(ISBLANK(L1294),"",IF(AND(C1294="Sell",D1294="Stock"),M1294,IF(ISBLANK(L1294),"",IF(C1294="Buy",M1294, IF(AND(C1294="Sell",J1294="NA"),(E1294*G1294*100*0.1)+I1294, IF(C1294="Sell",(J1294-L1294)*(100*G1294)+I1294))))))</f>
        <v/>
      </c>
      <c r="O1294" s="75" t="n"/>
      <c r="P1294" s="75" t="n"/>
      <c r="Q1294" s="75">
        <f>IF(ISBLANK(P1294),"",IF(D1294="Stock",P1294*G1294,IF(P1294=0,"0",G1294*P1294*100-(G1294*$AF$14))))</f>
        <v/>
      </c>
      <c r="R1294" s="79">
        <f>IF(P1294&lt;&gt;"", TODAY(), "")</f>
        <v/>
      </c>
      <c r="S1294" s="78">
        <f>IF(AND(K1294&lt;&gt;"", R1294&lt;&gt;""), R1294-K1294, "")</f>
        <v/>
      </c>
      <c r="T1294" s="78" t="n"/>
      <c r="U1294" s="92">
        <f>IF(ISBLANK(P1294),"",IF(C1294="Buy",Q1294-M1294+T1294, IF(C1294="Sell",M1294-Q1294-T1294, X)))</f>
        <v/>
      </c>
      <c r="V1294" s="81">
        <f>IF(ISBLANK(P1294),"",U1294/N1294)</f>
        <v/>
      </c>
      <c r="W1294" s="81">
        <f>IF(ISBLANK(P1294),"",IF(S1294=0,(365/0.5)*V1294,(365/S1294)*V1294))</f>
        <v/>
      </c>
      <c r="X1294" s="75" t="n"/>
      <c r="Y1294" s="77" t="n"/>
      <c r="Z1294" s="77" t="n"/>
      <c r="AA1294" s="75" t="n"/>
      <c r="AB1294" s="75" t="n"/>
      <c r="AC1294" s="6" t="n"/>
      <c r="AD1294" s="75" t="n"/>
      <c r="AE1294" s="75" t="n"/>
      <c r="AF1294" s="75" t="n"/>
    </row>
    <row r="1295" ht="15.75" customHeight="1" s="133">
      <c r="A1295" s="75" t="n"/>
      <c r="B1295" s="75" t="n"/>
      <c r="C1295" s="75" t="n"/>
      <c r="D1295" s="75" t="n"/>
      <c r="E1295" s="76" t="n"/>
      <c r="F1295" s="77" t="n"/>
      <c r="G1295" s="75" t="n"/>
      <c r="H1295" s="75">
        <f>IF(ISBLANK(E1295),"",IF(OR(D1295="Butterfly",D1295="Butterfly ",D1295="Iron Fly", D1295="Iron Fly "),LEN(E1295)-LEN(SUBSTITUTE(E1295,"/",""))+2,LEN(E1295)-LEN(SUBSTITUTE(E1295,"/",""))+1))</f>
        <v/>
      </c>
      <c r="I1295" s="78">
        <f>IF(ISBLANK(G1295),"",IF(D1295="Stock","0",Key!$A$3*H1295*G1295))</f>
        <v/>
      </c>
      <c r="J1295" s="78">
        <f>IF(ISBLANK(E1295),"",IF(ISNUMBER(SEARCH("/",E1295)), IF(LEN(E1295)-LEN(SUBSTITUTE(E1295,"/",""))=1,(RIGHT(E1295,LEN(E1295)-FIND("/",E1295)))-(LEFT(E1295,FIND("/",E1295)-1)),(MID(E1295, SEARCH("/",E1295) + 1, SEARCH("/",E1295, SEARCH("/",E1295)+1) - SEARCH("/",E1295) - 1))-(LEFT(E1295,FIND("/",E1295)-1))), "NA"))</f>
        <v/>
      </c>
      <c r="K1295" s="79">
        <f>IF(A1295&lt;&gt;"", IF(ISBLANK(L1295), TODAY(), K1295), "")</f>
        <v/>
      </c>
      <c r="L1295" s="78" t="n"/>
      <c r="M1295" s="78">
        <f>IF(ISBLANK(L1295),"",IF(D1295="Stock",IF(C1295="Buy",L1295*G1295,IF(C1295="Sell",(L1295*G1295)-I1295, X)),IF(C1295="Buy",(L1295*G1295*100)+I1295,IF(C1295="Sell",(L1295*G1295*100)-I1295, X))))</f>
        <v/>
      </c>
      <c r="N1295" s="78">
        <f>IF(ISBLANK(L1295),"",IF(AND(C1295="Sell",D1295="Stock"),M1295,IF(ISBLANK(L1295),"",IF(C1295="Buy",M1295, IF(AND(C1295="Sell",J1295="NA"),(E1295*G1295*100*0.1)+I1295, IF(C1295="Sell",(J1295-L1295)*(100*G1295)+I1295))))))</f>
        <v/>
      </c>
      <c r="O1295" s="75" t="n"/>
      <c r="P1295" s="75" t="n"/>
      <c r="Q1295" s="75">
        <f>IF(ISBLANK(P1295),"",IF(D1295="Stock",P1295*G1295,IF(P1295=0,"0",G1295*P1295*100-(G1295*$AF$14))))</f>
        <v/>
      </c>
      <c r="R1295" s="79">
        <f>IF(P1295&lt;&gt;"", TODAY(), "")</f>
        <v/>
      </c>
      <c r="S1295" s="78">
        <f>IF(AND(K1295&lt;&gt;"", R1295&lt;&gt;""), R1295-K1295, "")</f>
        <v/>
      </c>
      <c r="T1295" s="78" t="n"/>
      <c r="U1295" s="92">
        <f>IF(ISBLANK(P1295),"",IF(C1295="Buy",Q1295-M1295+T1295, IF(C1295="Sell",M1295-Q1295-T1295, X)))</f>
        <v/>
      </c>
      <c r="V1295" s="81">
        <f>IF(ISBLANK(P1295),"",U1295/N1295)</f>
        <v/>
      </c>
      <c r="W1295" s="81">
        <f>IF(ISBLANK(P1295),"",IF(S1295=0,(365/0.5)*V1295,(365/S1295)*V1295))</f>
        <v/>
      </c>
      <c r="X1295" s="75" t="n"/>
      <c r="Y1295" s="77" t="n"/>
      <c r="Z1295" s="77" t="n"/>
      <c r="AA1295" s="75" t="n"/>
      <c r="AB1295" s="75" t="n"/>
      <c r="AC1295" s="6" t="n"/>
      <c r="AD1295" s="75" t="n"/>
      <c r="AE1295" s="75" t="n"/>
      <c r="AF1295" s="75" t="n"/>
    </row>
    <row r="1296" ht="15.75" customHeight="1" s="133">
      <c r="A1296" s="75" t="n"/>
      <c r="B1296" s="75" t="n"/>
      <c r="C1296" s="75" t="n"/>
      <c r="D1296" s="75" t="n"/>
      <c r="E1296" s="76" t="n"/>
      <c r="F1296" s="77" t="n"/>
      <c r="G1296" s="75" t="n"/>
      <c r="H1296" s="75">
        <f>IF(ISBLANK(E1296),"",IF(OR(D1296="Butterfly",D1296="Butterfly ",D1296="Iron Fly", D1296="Iron Fly "),LEN(E1296)-LEN(SUBSTITUTE(E1296,"/",""))+2,LEN(E1296)-LEN(SUBSTITUTE(E1296,"/",""))+1))</f>
        <v/>
      </c>
      <c r="I1296" s="78">
        <f>IF(ISBLANK(G1296),"",IF(D1296="Stock","0",Key!$A$3*H1296*G1296))</f>
        <v/>
      </c>
      <c r="J1296" s="78">
        <f>IF(ISBLANK(E1296),"",IF(ISNUMBER(SEARCH("/",E1296)), IF(LEN(E1296)-LEN(SUBSTITUTE(E1296,"/",""))=1,(RIGHT(E1296,LEN(E1296)-FIND("/",E1296)))-(LEFT(E1296,FIND("/",E1296)-1)),(MID(E1296, SEARCH("/",E1296) + 1, SEARCH("/",E1296, SEARCH("/",E1296)+1) - SEARCH("/",E1296) - 1))-(LEFT(E1296,FIND("/",E1296)-1))), "NA"))</f>
        <v/>
      </c>
      <c r="K1296" s="79">
        <f>IF(A1296&lt;&gt;"", IF(ISBLANK(L1296), TODAY(), K1296), "")</f>
        <v/>
      </c>
      <c r="L1296" s="78" t="n"/>
      <c r="M1296" s="78">
        <f>IF(ISBLANK(L1296),"",IF(D1296="Stock",IF(C1296="Buy",L1296*G1296,IF(C1296="Sell",(L1296*G1296)-I1296, X)),IF(C1296="Buy",(L1296*G1296*100)+I1296,IF(C1296="Sell",(L1296*G1296*100)-I1296, X))))</f>
        <v/>
      </c>
      <c r="N1296" s="78">
        <f>IF(ISBLANK(L1296),"",IF(AND(C1296="Sell",D1296="Stock"),M1296,IF(ISBLANK(L1296),"",IF(C1296="Buy",M1296, IF(AND(C1296="Sell",J1296="NA"),(E1296*G1296*100*0.1)+I1296, IF(C1296="Sell",(J1296-L1296)*(100*G1296)+I1296))))))</f>
        <v/>
      </c>
      <c r="O1296" s="75" t="n"/>
      <c r="P1296" s="75" t="n"/>
      <c r="Q1296" s="75">
        <f>IF(ISBLANK(P1296),"",IF(D1296="Stock",P1296*G1296,IF(P1296=0,"0",G1296*P1296*100-(G1296*$AF$14))))</f>
        <v/>
      </c>
      <c r="R1296" s="79">
        <f>IF(P1296&lt;&gt;"", TODAY(), "")</f>
        <v/>
      </c>
      <c r="S1296" s="78">
        <f>IF(AND(K1296&lt;&gt;"", R1296&lt;&gt;""), R1296-K1296, "")</f>
        <v/>
      </c>
      <c r="T1296" s="78" t="n"/>
      <c r="U1296" s="92">
        <f>IF(ISBLANK(P1296),"",IF(C1296="Buy",Q1296-M1296+T1296, IF(C1296="Sell",M1296-Q1296-T1296, X)))</f>
        <v/>
      </c>
      <c r="V1296" s="81">
        <f>IF(ISBLANK(P1296),"",U1296/N1296)</f>
        <v/>
      </c>
      <c r="W1296" s="81">
        <f>IF(ISBLANK(P1296),"",IF(S1296=0,(365/0.5)*V1296,(365/S1296)*V1296))</f>
        <v/>
      </c>
      <c r="X1296" s="75" t="n"/>
      <c r="Y1296" s="77" t="n"/>
      <c r="Z1296" s="77" t="n"/>
      <c r="AA1296" s="75" t="n"/>
      <c r="AB1296" s="75" t="n"/>
      <c r="AC1296" s="6" t="n"/>
      <c r="AD1296" s="75" t="n"/>
      <c r="AE1296" s="75" t="n"/>
      <c r="AF1296" s="75" t="n"/>
    </row>
    <row r="1297" ht="15.75" customHeight="1" s="133">
      <c r="A1297" s="75" t="n"/>
      <c r="B1297" s="75" t="n"/>
      <c r="C1297" s="75" t="n"/>
      <c r="D1297" s="75" t="n"/>
      <c r="E1297" s="76" t="n"/>
      <c r="F1297" s="77" t="n"/>
      <c r="G1297" s="75" t="n"/>
      <c r="H1297" s="75">
        <f>IF(ISBLANK(E1297),"",IF(OR(D1297="Butterfly",D1297="Butterfly ",D1297="Iron Fly", D1297="Iron Fly "),LEN(E1297)-LEN(SUBSTITUTE(E1297,"/",""))+2,LEN(E1297)-LEN(SUBSTITUTE(E1297,"/",""))+1))</f>
        <v/>
      </c>
      <c r="I1297" s="78">
        <f>IF(ISBLANK(G1297),"",IF(D1297="Stock","0",Key!$A$3*H1297*G1297))</f>
        <v/>
      </c>
      <c r="J1297" s="78">
        <f>IF(ISBLANK(E1297),"",IF(ISNUMBER(SEARCH("/",E1297)), IF(LEN(E1297)-LEN(SUBSTITUTE(E1297,"/",""))=1,(RIGHT(E1297,LEN(E1297)-FIND("/",E1297)))-(LEFT(E1297,FIND("/",E1297)-1)),(MID(E1297, SEARCH("/",E1297) + 1, SEARCH("/",E1297, SEARCH("/",E1297)+1) - SEARCH("/",E1297) - 1))-(LEFT(E1297,FIND("/",E1297)-1))), "NA"))</f>
        <v/>
      </c>
      <c r="K1297" s="79">
        <f>IF(A1297&lt;&gt;"", IF(ISBLANK(L1297), TODAY(), K1297), "")</f>
        <v/>
      </c>
      <c r="L1297" s="78" t="n"/>
      <c r="M1297" s="78">
        <f>IF(ISBLANK(L1297),"",IF(D1297="Stock",IF(C1297="Buy",L1297*G1297,IF(C1297="Sell",(L1297*G1297)-I1297, X)),IF(C1297="Buy",(L1297*G1297*100)+I1297,IF(C1297="Sell",(L1297*G1297*100)-I1297, X))))</f>
        <v/>
      </c>
      <c r="N1297" s="78">
        <f>IF(ISBLANK(L1297),"",IF(AND(C1297="Sell",D1297="Stock"),M1297,IF(ISBLANK(L1297),"",IF(C1297="Buy",M1297, IF(AND(C1297="Sell",J1297="NA"),(E1297*G1297*100*0.1)+I1297, IF(C1297="Sell",(J1297-L1297)*(100*G1297)+I1297))))))</f>
        <v/>
      </c>
      <c r="O1297" s="75" t="n"/>
      <c r="P1297" s="75" t="n"/>
      <c r="Q1297" s="75">
        <f>IF(ISBLANK(P1297),"",IF(D1297="Stock",P1297*G1297,IF(P1297=0,"0",G1297*P1297*100-(G1297*$AF$14))))</f>
        <v/>
      </c>
      <c r="R1297" s="79">
        <f>IF(P1297&lt;&gt;"", TODAY(), "")</f>
        <v/>
      </c>
      <c r="S1297" s="78">
        <f>IF(AND(K1297&lt;&gt;"", R1297&lt;&gt;""), R1297-K1297, "")</f>
        <v/>
      </c>
      <c r="T1297" s="78" t="n"/>
      <c r="U1297" s="92">
        <f>IF(ISBLANK(P1297),"",IF(C1297="Buy",Q1297-M1297+T1297, IF(C1297="Sell",M1297-Q1297-T1297, X)))</f>
        <v/>
      </c>
      <c r="V1297" s="81">
        <f>IF(ISBLANK(P1297),"",U1297/N1297)</f>
        <v/>
      </c>
      <c r="W1297" s="81">
        <f>IF(ISBLANK(P1297),"",IF(S1297=0,(365/0.5)*V1297,(365/S1297)*V1297))</f>
        <v/>
      </c>
      <c r="X1297" s="75" t="n"/>
      <c r="Y1297" s="77" t="n"/>
      <c r="Z1297" s="77" t="n"/>
      <c r="AA1297" s="75" t="n"/>
      <c r="AB1297" s="75" t="n"/>
      <c r="AC1297" s="6" t="n"/>
      <c r="AD1297" s="75" t="n"/>
      <c r="AE1297" s="75" t="n"/>
      <c r="AF1297" s="75" t="n"/>
    </row>
    <row r="1298" ht="15.75" customHeight="1" s="133">
      <c r="A1298" s="75" t="n"/>
      <c r="B1298" s="75" t="n"/>
      <c r="C1298" s="75" t="n"/>
      <c r="D1298" s="75" t="n"/>
      <c r="E1298" s="76" t="n"/>
      <c r="F1298" s="77" t="n"/>
      <c r="G1298" s="75" t="n"/>
      <c r="H1298" s="75">
        <f>IF(ISBLANK(E1298),"",IF(OR(D1298="Butterfly",D1298="Butterfly ",D1298="Iron Fly", D1298="Iron Fly "),LEN(E1298)-LEN(SUBSTITUTE(E1298,"/",""))+2,LEN(E1298)-LEN(SUBSTITUTE(E1298,"/",""))+1))</f>
        <v/>
      </c>
      <c r="I1298" s="78">
        <f>IF(ISBLANK(G1298),"",IF(D1298="Stock","0",Key!$A$3*H1298*G1298))</f>
        <v/>
      </c>
      <c r="J1298" s="78">
        <f>IF(ISBLANK(E1298),"",IF(ISNUMBER(SEARCH("/",E1298)), IF(LEN(E1298)-LEN(SUBSTITUTE(E1298,"/",""))=1,(RIGHT(E1298,LEN(E1298)-FIND("/",E1298)))-(LEFT(E1298,FIND("/",E1298)-1)),(MID(E1298, SEARCH("/",E1298) + 1, SEARCH("/",E1298, SEARCH("/",E1298)+1) - SEARCH("/",E1298) - 1))-(LEFT(E1298,FIND("/",E1298)-1))), "NA"))</f>
        <v/>
      </c>
      <c r="K1298" s="79">
        <f>IF(A1298&lt;&gt;"", IF(ISBLANK(L1298), TODAY(), K1298), "")</f>
        <v/>
      </c>
      <c r="L1298" s="78" t="n"/>
      <c r="M1298" s="78">
        <f>IF(ISBLANK(L1298),"",IF(D1298="Stock",IF(C1298="Buy",L1298*G1298,IF(C1298="Sell",(L1298*G1298)-I1298, X)),IF(C1298="Buy",(L1298*G1298*100)+I1298,IF(C1298="Sell",(L1298*G1298*100)-I1298, X))))</f>
        <v/>
      </c>
      <c r="N1298" s="78">
        <f>IF(ISBLANK(L1298),"",IF(AND(C1298="Sell",D1298="Stock"),M1298,IF(ISBLANK(L1298),"",IF(C1298="Buy",M1298, IF(AND(C1298="Sell",J1298="NA"),(E1298*G1298*100*0.1)+I1298, IF(C1298="Sell",(J1298-L1298)*(100*G1298)+I1298))))))</f>
        <v/>
      </c>
      <c r="O1298" s="75" t="n"/>
      <c r="P1298" s="75" t="n"/>
      <c r="Q1298" s="75">
        <f>IF(ISBLANK(P1298),"",IF(D1298="Stock",P1298*G1298,IF(P1298=0,"0",G1298*P1298*100-(G1298*$AF$14))))</f>
        <v/>
      </c>
      <c r="R1298" s="79">
        <f>IF(P1298&lt;&gt;"", TODAY(), "")</f>
        <v/>
      </c>
      <c r="S1298" s="78">
        <f>IF(AND(K1298&lt;&gt;"", R1298&lt;&gt;""), R1298-K1298, "")</f>
        <v/>
      </c>
      <c r="T1298" s="78" t="n"/>
      <c r="U1298" s="92">
        <f>IF(ISBLANK(P1298),"",IF(C1298="Buy",Q1298-M1298+T1298, IF(C1298="Sell",M1298-Q1298-T1298, X)))</f>
        <v/>
      </c>
      <c r="V1298" s="81">
        <f>IF(ISBLANK(P1298),"",U1298/N1298)</f>
        <v/>
      </c>
      <c r="W1298" s="81">
        <f>IF(ISBLANK(P1298),"",IF(S1298=0,(365/0.5)*V1298,(365/S1298)*V1298))</f>
        <v/>
      </c>
      <c r="X1298" s="75" t="n"/>
      <c r="Y1298" s="77" t="n"/>
      <c r="Z1298" s="77" t="n"/>
      <c r="AA1298" s="75" t="n"/>
      <c r="AB1298" s="75" t="n"/>
      <c r="AC1298" s="6" t="n"/>
      <c r="AD1298" s="75" t="n"/>
      <c r="AE1298" s="75" t="n"/>
      <c r="AF1298" s="75" t="n"/>
    </row>
    <row r="1299" ht="15.75" customHeight="1" s="133">
      <c r="A1299" s="75" t="n"/>
      <c r="B1299" s="75" t="n"/>
      <c r="C1299" s="75" t="n"/>
      <c r="D1299" s="75" t="n"/>
      <c r="E1299" s="76" t="n"/>
      <c r="F1299" s="77" t="n"/>
      <c r="G1299" s="75" t="n"/>
      <c r="H1299" s="75">
        <f>IF(ISBLANK(E1299),"",IF(OR(D1299="Butterfly",D1299="Butterfly ",D1299="Iron Fly", D1299="Iron Fly "),LEN(E1299)-LEN(SUBSTITUTE(E1299,"/",""))+2,LEN(E1299)-LEN(SUBSTITUTE(E1299,"/",""))+1))</f>
        <v/>
      </c>
      <c r="I1299" s="78">
        <f>IF(ISBLANK(G1299),"",IF(D1299="Stock","0",Key!$A$3*H1299*G1299))</f>
        <v/>
      </c>
      <c r="J1299" s="78">
        <f>IF(ISBLANK(E1299),"",IF(ISNUMBER(SEARCH("/",E1299)), IF(LEN(E1299)-LEN(SUBSTITUTE(E1299,"/",""))=1,(RIGHT(E1299,LEN(E1299)-FIND("/",E1299)))-(LEFT(E1299,FIND("/",E1299)-1)),(MID(E1299, SEARCH("/",E1299) + 1, SEARCH("/",E1299, SEARCH("/",E1299)+1) - SEARCH("/",E1299) - 1))-(LEFT(E1299,FIND("/",E1299)-1))), "NA"))</f>
        <v/>
      </c>
      <c r="K1299" s="79">
        <f>IF(A1299&lt;&gt;"", IF(ISBLANK(L1299), TODAY(), K1299), "")</f>
        <v/>
      </c>
      <c r="L1299" s="78" t="n"/>
      <c r="M1299" s="78">
        <f>IF(ISBLANK(L1299),"",IF(D1299="Stock",IF(C1299="Buy",L1299*G1299,IF(C1299="Sell",(L1299*G1299)-I1299, X)),IF(C1299="Buy",(L1299*G1299*100)+I1299,IF(C1299="Sell",(L1299*G1299*100)-I1299, X))))</f>
        <v/>
      </c>
      <c r="N1299" s="78">
        <f>IF(ISBLANK(L1299),"",IF(AND(C1299="Sell",D1299="Stock"),M1299,IF(ISBLANK(L1299),"",IF(C1299="Buy",M1299, IF(AND(C1299="Sell",J1299="NA"),(E1299*G1299*100*0.1)+I1299, IF(C1299="Sell",(J1299-L1299)*(100*G1299)+I1299))))))</f>
        <v/>
      </c>
      <c r="O1299" s="75" t="n"/>
      <c r="P1299" s="75" t="n"/>
      <c r="Q1299" s="75">
        <f>IF(ISBLANK(P1299),"",IF(D1299="Stock",P1299*G1299,IF(P1299=0,"0",G1299*P1299*100-(G1299*$AF$14))))</f>
        <v/>
      </c>
      <c r="R1299" s="79">
        <f>IF(P1299&lt;&gt;"", TODAY(), "")</f>
        <v/>
      </c>
      <c r="S1299" s="78">
        <f>IF(AND(K1299&lt;&gt;"", R1299&lt;&gt;""), R1299-K1299, "")</f>
        <v/>
      </c>
      <c r="T1299" s="78" t="n"/>
      <c r="U1299" s="92">
        <f>IF(ISBLANK(P1299),"",IF(C1299="Buy",Q1299-M1299+T1299, IF(C1299="Sell",M1299-Q1299-T1299, X)))</f>
        <v/>
      </c>
      <c r="V1299" s="81">
        <f>IF(ISBLANK(P1299),"",U1299/N1299)</f>
        <v/>
      </c>
      <c r="W1299" s="81">
        <f>IF(ISBLANK(P1299),"",IF(S1299=0,(365/0.5)*V1299,(365/S1299)*V1299))</f>
        <v/>
      </c>
      <c r="X1299" s="75" t="n"/>
      <c r="Y1299" s="77" t="n"/>
      <c r="Z1299" s="77" t="n"/>
      <c r="AA1299" s="75" t="n"/>
      <c r="AB1299" s="75" t="n"/>
      <c r="AC1299" s="6" t="n"/>
      <c r="AD1299" s="75" t="n"/>
      <c r="AE1299" s="75" t="n"/>
      <c r="AF1299" s="75" t="n"/>
    </row>
    <row r="1300" ht="15.75" customHeight="1" s="133">
      <c r="A1300" s="75" t="n"/>
      <c r="B1300" s="75" t="n"/>
      <c r="C1300" s="75" t="n"/>
      <c r="D1300" s="75" t="n"/>
      <c r="E1300" s="76" t="n"/>
      <c r="F1300" s="77" t="n"/>
      <c r="G1300" s="75" t="n"/>
      <c r="H1300" s="75">
        <f>IF(ISBLANK(E1300),"",IF(OR(D1300="Butterfly",D1300="Butterfly ",D1300="Iron Fly", D1300="Iron Fly "),LEN(E1300)-LEN(SUBSTITUTE(E1300,"/",""))+2,LEN(E1300)-LEN(SUBSTITUTE(E1300,"/",""))+1))</f>
        <v/>
      </c>
      <c r="I1300" s="78">
        <f>IF(ISBLANK(G1300),"",IF(D1300="Stock","0",Key!$A$3*H1300*G1300))</f>
        <v/>
      </c>
      <c r="J1300" s="78">
        <f>IF(ISBLANK(E1300),"",IF(ISNUMBER(SEARCH("/",E1300)), IF(LEN(E1300)-LEN(SUBSTITUTE(E1300,"/",""))=1,(RIGHT(E1300,LEN(E1300)-FIND("/",E1300)))-(LEFT(E1300,FIND("/",E1300)-1)),(MID(E1300, SEARCH("/",E1300) + 1, SEARCH("/",E1300, SEARCH("/",E1300)+1) - SEARCH("/",E1300) - 1))-(LEFT(E1300,FIND("/",E1300)-1))), "NA"))</f>
        <v/>
      </c>
      <c r="K1300" s="79">
        <f>IF(A1300&lt;&gt;"", IF(ISBLANK(L1300), TODAY(), K1300), "")</f>
        <v/>
      </c>
      <c r="L1300" s="78" t="n"/>
      <c r="M1300" s="78">
        <f>IF(ISBLANK(L1300),"",IF(D1300="Stock",IF(C1300="Buy",L1300*G1300,IF(C1300="Sell",(L1300*G1300)-I1300, X)),IF(C1300="Buy",(L1300*G1300*100)+I1300,IF(C1300="Sell",(L1300*G1300*100)-I1300, X))))</f>
        <v/>
      </c>
      <c r="N1300" s="78">
        <f>IF(ISBLANK(L1300),"",IF(AND(C1300="Sell",D1300="Stock"),M1300,IF(ISBLANK(L1300),"",IF(C1300="Buy",M1300, IF(AND(C1300="Sell",J1300="NA"),(E1300*G1300*100*0.1)+I1300, IF(C1300="Sell",(J1300-L1300)*(100*G1300)+I1300))))))</f>
        <v/>
      </c>
      <c r="O1300" s="75" t="n"/>
      <c r="P1300" s="75" t="n"/>
      <c r="Q1300" s="75">
        <f>IF(ISBLANK(P1300),"",IF(D1300="Stock",P1300*G1300,IF(P1300=0,"0",G1300*P1300*100-(G1300*$AF$14))))</f>
        <v/>
      </c>
      <c r="R1300" s="79">
        <f>IF(P1300&lt;&gt;"", TODAY(), "")</f>
        <v/>
      </c>
      <c r="S1300" s="78">
        <f>IF(AND(K1300&lt;&gt;"", R1300&lt;&gt;""), R1300-K1300, "")</f>
        <v/>
      </c>
      <c r="T1300" s="78" t="n"/>
      <c r="U1300" s="92">
        <f>IF(ISBLANK(P1300),"",IF(C1300="Buy",Q1300-M1300+T1300, IF(C1300="Sell",M1300-Q1300-T1300, X)))</f>
        <v/>
      </c>
      <c r="V1300" s="81">
        <f>IF(ISBLANK(P1300),"",U1300/N1300)</f>
        <v/>
      </c>
      <c r="W1300" s="81">
        <f>IF(ISBLANK(P1300),"",IF(S1300=0,(365/0.5)*V1300,(365/S1300)*V1300))</f>
        <v/>
      </c>
      <c r="X1300" s="75" t="n"/>
      <c r="Y1300" s="77" t="n"/>
      <c r="Z1300" s="77" t="n"/>
      <c r="AA1300" s="75" t="n"/>
      <c r="AB1300" s="75" t="n"/>
      <c r="AC1300" s="6" t="n"/>
      <c r="AD1300" s="75" t="n"/>
      <c r="AE1300" s="75" t="n"/>
      <c r="AF1300" s="75" t="n"/>
    </row>
    <row r="1301" ht="15.75" customHeight="1" s="133">
      <c r="A1301" s="75" t="n"/>
      <c r="B1301" s="75" t="n"/>
      <c r="C1301" s="75" t="n"/>
      <c r="D1301" s="75" t="n"/>
      <c r="E1301" s="76" t="n"/>
      <c r="F1301" s="77" t="n"/>
      <c r="G1301" s="75" t="n"/>
      <c r="H1301" s="75">
        <f>IF(ISBLANK(E1301),"",IF(OR(D1301="Butterfly",D1301="Butterfly ",D1301="Iron Fly", D1301="Iron Fly "),LEN(E1301)-LEN(SUBSTITUTE(E1301,"/",""))+2,LEN(E1301)-LEN(SUBSTITUTE(E1301,"/",""))+1))</f>
        <v/>
      </c>
      <c r="I1301" s="78">
        <f>IF(ISBLANK(G1301),"",IF(D1301="Stock","0",Key!$A$3*H1301*G1301))</f>
        <v/>
      </c>
      <c r="J1301" s="78">
        <f>IF(ISBLANK(E1301),"",IF(ISNUMBER(SEARCH("/",E1301)), IF(LEN(E1301)-LEN(SUBSTITUTE(E1301,"/",""))=1,(RIGHT(E1301,LEN(E1301)-FIND("/",E1301)))-(LEFT(E1301,FIND("/",E1301)-1)),(MID(E1301, SEARCH("/",E1301) + 1, SEARCH("/",E1301, SEARCH("/",E1301)+1) - SEARCH("/",E1301) - 1))-(LEFT(E1301,FIND("/",E1301)-1))), "NA"))</f>
        <v/>
      </c>
      <c r="K1301" s="79">
        <f>IF(A1301&lt;&gt;"", IF(ISBLANK(L1301), TODAY(), K1301), "")</f>
        <v/>
      </c>
      <c r="L1301" s="78" t="n"/>
      <c r="M1301" s="78">
        <f>IF(ISBLANK(L1301),"",IF(D1301="Stock",IF(C1301="Buy",L1301*G1301,IF(C1301="Sell",(L1301*G1301)-I1301, X)),IF(C1301="Buy",(L1301*G1301*100)+I1301,IF(C1301="Sell",(L1301*G1301*100)-I1301, X))))</f>
        <v/>
      </c>
      <c r="N1301" s="78">
        <f>IF(ISBLANK(L1301),"",IF(AND(C1301="Sell",D1301="Stock"),M1301,IF(ISBLANK(L1301),"",IF(C1301="Buy",M1301, IF(AND(C1301="Sell",J1301="NA"),(E1301*G1301*100*0.1)+I1301, IF(C1301="Sell",(J1301-L1301)*(100*G1301)+I1301))))))</f>
        <v/>
      </c>
      <c r="O1301" s="75" t="n"/>
      <c r="P1301" s="75" t="n"/>
      <c r="Q1301" s="75">
        <f>IF(ISBLANK(P1301),"",IF(D1301="Stock",P1301*G1301,IF(P1301=0,"0",G1301*P1301*100-(G1301*$AF$14))))</f>
        <v/>
      </c>
      <c r="R1301" s="79">
        <f>IF(P1301&lt;&gt;"", TODAY(), "")</f>
        <v/>
      </c>
      <c r="S1301" s="78">
        <f>IF(AND(K1301&lt;&gt;"", R1301&lt;&gt;""), R1301-K1301, "")</f>
        <v/>
      </c>
      <c r="T1301" s="78" t="n"/>
      <c r="U1301" s="92">
        <f>IF(ISBLANK(P1301),"",IF(C1301="Buy",Q1301-M1301+T1301, IF(C1301="Sell",M1301-Q1301-T1301, X)))</f>
        <v/>
      </c>
      <c r="V1301" s="81">
        <f>IF(ISBLANK(P1301),"",U1301/N1301)</f>
        <v/>
      </c>
      <c r="W1301" s="81">
        <f>IF(ISBLANK(P1301),"",IF(S1301=0,(365/0.5)*V1301,(365/S1301)*V1301))</f>
        <v/>
      </c>
      <c r="X1301" s="75" t="n"/>
      <c r="Y1301" s="77" t="n"/>
      <c r="Z1301" s="77" t="n"/>
      <c r="AA1301" s="75" t="n"/>
      <c r="AB1301" s="75" t="n"/>
      <c r="AC1301" s="6" t="n"/>
      <c r="AD1301" s="75" t="n"/>
      <c r="AE1301" s="75" t="n"/>
      <c r="AF1301" s="75" t="n"/>
    </row>
    <row r="1302" ht="15.75" customHeight="1" s="133">
      <c r="A1302" s="75" t="n"/>
      <c r="B1302" s="75" t="n"/>
      <c r="C1302" s="75" t="n"/>
      <c r="D1302" s="75" t="n"/>
      <c r="E1302" s="76" t="n"/>
      <c r="F1302" s="77" t="n"/>
      <c r="G1302" s="75" t="n"/>
      <c r="H1302" s="75">
        <f>IF(ISBLANK(E1302),"",IF(OR(D1302="Butterfly",D1302="Butterfly ",D1302="Iron Fly", D1302="Iron Fly "),LEN(E1302)-LEN(SUBSTITUTE(E1302,"/",""))+2,LEN(E1302)-LEN(SUBSTITUTE(E1302,"/",""))+1))</f>
        <v/>
      </c>
      <c r="I1302" s="78">
        <f>IF(ISBLANK(G1302),"",IF(D1302="Stock","0",Key!$A$3*H1302*G1302))</f>
        <v/>
      </c>
      <c r="J1302" s="78">
        <f>IF(ISBLANK(E1302),"",IF(ISNUMBER(SEARCH("/",E1302)), IF(LEN(E1302)-LEN(SUBSTITUTE(E1302,"/",""))=1,(RIGHT(E1302,LEN(E1302)-FIND("/",E1302)))-(LEFT(E1302,FIND("/",E1302)-1)),(MID(E1302, SEARCH("/",E1302) + 1, SEARCH("/",E1302, SEARCH("/",E1302)+1) - SEARCH("/",E1302) - 1))-(LEFT(E1302,FIND("/",E1302)-1))), "NA"))</f>
        <v/>
      </c>
      <c r="K1302" s="79">
        <f>IF(A1302&lt;&gt;"", IF(ISBLANK(L1302), TODAY(), K1302), "")</f>
        <v/>
      </c>
      <c r="L1302" s="78" t="n"/>
      <c r="M1302" s="78">
        <f>IF(ISBLANK(L1302),"",IF(D1302="Stock",IF(C1302="Buy",L1302*G1302,IF(C1302="Sell",(L1302*G1302)-I1302, X)),IF(C1302="Buy",(L1302*G1302*100)+I1302,IF(C1302="Sell",(L1302*G1302*100)-I1302, X))))</f>
        <v/>
      </c>
      <c r="N1302" s="78">
        <f>IF(ISBLANK(L1302),"",IF(AND(C1302="Sell",D1302="Stock"),M1302,IF(ISBLANK(L1302),"",IF(C1302="Buy",M1302, IF(AND(C1302="Sell",J1302="NA"),(E1302*G1302*100*0.1)+I1302, IF(C1302="Sell",(J1302-L1302)*(100*G1302)+I1302))))))</f>
        <v/>
      </c>
      <c r="O1302" s="75" t="n"/>
      <c r="P1302" s="75" t="n"/>
      <c r="Q1302" s="75">
        <f>IF(ISBLANK(P1302),"",IF(D1302="Stock",P1302*G1302,IF(P1302=0,"0",G1302*P1302*100-(G1302*$AF$14))))</f>
        <v/>
      </c>
      <c r="R1302" s="79">
        <f>IF(P1302&lt;&gt;"", TODAY(), "")</f>
        <v/>
      </c>
      <c r="S1302" s="78">
        <f>IF(AND(K1302&lt;&gt;"", R1302&lt;&gt;""), R1302-K1302, "")</f>
        <v/>
      </c>
      <c r="T1302" s="78" t="n"/>
      <c r="U1302" s="92">
        <f>IF(ISBLANK(P1302),"",IF(C1302="Buy",Q1302-M1302+T1302, IF(C1302="Sell",M1302-Q1302-T1302, X)))</f>
        <v/>
      </c>
      <c r="V1302" s="81">
        <f>IF(ISBLANK(P1302),"",U1302/N1302)</f>
        <v/>
      </c>
      <c r="W1302" s="81">
        <f>IF(ISBLANK(P1302),"",IF(S1302=0,(365/0.5)*V1302,(365/S1302)*V1302))</f>
        <v/>
      </c>
      <c r="X1302" s="75" t="n"/>
      <c r="Y1302" s="77" t="n"/>
      <c r="Z1302" s="77" t="n"/>
      <c r="AA1302" s="75" t="n"/>
      <c r="AB1302" s="75" t="n"/>
      <c r="AC1302" s="6" t="n"/>
      <c r="AD1302" s="75" t="n"/>
      <c r="AE1302" s="75" t="n"/>
      <c r="AF1302" s="75" t="n"/>
    </row>
    <row r="1303" ht="15.75" customHeight="1" s="133">
      <c r="A1303" s="75" t="n"/>
      <c r="B1303" s="75" t="n"/>
      <c r="C1303" s="75" t="n"/>
      <c r="D1303" s="75" t="n"/>
      <c r="E1303" s="76" t="n"/>
      <c r="F1303" s="77" t="n"/>
      <c r="G1303" s="75" t="n"/>
      <c r="H1303" s="75">
        <f>IF(ISBLANK(E1303),"",IF(OR(D1303="Butterfly",D1303="Butterfly ",D1303="Iron Fly", D1303="Iron Fly "),LEN(E1303)-LEN(SUBSTITUTE(E1303,"/",""))+2,LEN(E1303)-LEN(SUBSTITUTE(E1303,"/",""))+1))</f>
        <v/>
      </c>
      <c r="I1303" s="78">
        <f>IF(ISBLANK(G1303),"",IF(D1303="Stock","0",Key!$A$3*H1303*G1303))</f>
        <v/>
      </c>
      <c r="J1303" s="78">
        <f>IF(ISBLANK(E1303),"",IF(ISNUMBER(SEARCH("/",E1303)), IF(LEN(E1303)-LEN(SUBSTITUTE(E1303,"/",""))=1,(RIGHT(E1303,LEN(E1303)-FIND("/",E1303)))-(LEFT(E1303,FIND("/",E1303)-1)),(MID(E1303, SEARCH("/",E1303) + 1, SEARCH("/",E1303, SEARCH("/",E1303)+1) - SEARCH("/",E1303) - 1))-(LEFT(E1303,FIND("/",E1303)-1))), "NA"))</f>
        <v/>
      </c>
      <c r="K1303" s="79">
        <f>IF(A1303&lt;&gt;"", IF(ISBLANK(L1303), TODAY(), K1303), "")</f>
        <v/>
      </c>
      <c r="L1303" s="78" t="n"/>
      <c r="M1303" s="78">
        <f>IF(ISBLANK(L1303),"",IF(D1303="Stock",IF(C1303="Buy",L1303*G1303,IF(C1303="Sell",(L1303*G1303)-I1303, X)),IF(C1303="Buy",(L1303*G1303*100)+I1303,IF(C1303="Sell",(L1303*G1303*100)-I1303, X))))</f>
        <v/>
      </c>
      <c r="N1303" s="78">
        <f>IF(ISBLANK(L1303),"",IF(AND(C1303="Sell",D1303="Stock"),M1303,IF(ISBLANK(L1303),"",IF(C1303="Buy",M1303, IF(AND(C1303="Sell",J1303="NA"),(E1303*G1303*100*0.1)+I1303, IF(C1303="Sell",(J1303-L1303)*(100*G1303)+I1303))))))</f>
        <v/>
      </c>
      <c r="O1303" s="75" t="n"/>
      <c r="P1303" s="75" t="n"/>
      <c r="Q1303" s="75">
        <f>IF(ISBLANK(P1303),"",IF(D1303="Stock",P1303*G1303,IF(P1303=0,"0",G1303*P1303*100-(G1303*$AF$14))))</f>
        <v/>
      </c>
      <c r="R1303" s="79">
        <f>IF(P1303&lt;&gt;"", TODAY(), "")</f>
        <v/>
      </c>
      <c r="S1303" s="78">
        <f>IF(AND(K1303&lt;&gt;"", R1303&lt;&gt;""), R1303-K1303, "")</f>
        <v/>
      </c>
      <c r="T1303" s="78" t="n"/>
      <c r="U1303" s="92">
        <f>IF(ISBLANK(P1303),"",IF(C1303="Buy",Q1303-M1303+T1303, IF(C1303="Sell",M1303-Q1303-T1303, X)))</f>
        <v/>
      </c>
      <c r="V1303" s="81">
        <f>IF(ISBLANK(P1303),"",U1303/N1303)</f>
        <v/>
      </c>
      <c r="W1303" s="81">
        <f>IF(ISBLANK(P1303),"",IF(S1303=0,(365/0.5)*V1303,(365/S1303)*V1303))</f>
        <v/>
      </c>
      <c r="X1303" s="75" t="n"/>
      <c r="Y1303" s="77" t="n"/>
      <c r="Z1303" s="77" t="n"/>
      <c r="AA1303" s="75" t="n"/>
      <c r="AB1303" s="75" t="n"/>
      <c r="AC1303" s="6" t="n"/>
      <c r="AD1303" s="75" t="n"/>
      <c r="AE1303" s="75" t="n"/>
      <c r="AF1303" s="75" t="n"/>
    </row>
    <row r="1304" ht="15.75" customHeight="1" s="133">
      <c r="A1304" s="75" t="n"/>
      <c r="B1304" s="75" t="n"/>
      <c r="C1304" s="75" t="n"/>
      <c r="D1304" s="75" t="n"/>
      <c r="E1304" s="76" t="n"/>
      <c r="F1304" s="77" t="n"/>
      <c r="G1304" s="75" t="n"/>
      <c r="H1304" s="75">
        <f>IF(ISBLANK(E1304),"",IF(OR(D1304="Butterfly",D1304="Butterfly ",D1304="Iron Fly", D1304="Iron Fly "),LEN(E1304)-LEN(SUBSTITUTE(E1304,"/",""))+2,LEN(E1304)-LEN(SUBSTITUTE(E1304,"/",""))+1))</f>
        <v/>
      </c>
      <c r="I1304" s="78">
        <f>IF(ISBLANK(G1304),"",IF(D1304="Stock","0",Key!$A$3*H1304*G1304))</f>
        <v/>
      </c>
      <c r="J1304" s="78">
        <f>IF(ISBLANK(E1304),"",IF(ISNUMBER(SEARCH("/",E1304)), IF(LEN(E1304)-LEN(SUBSTITUTE(E1304,"/",""))=1,(RIGHT(E1304,LEN(E1304)-FIND("/",E1304)))-(LEFT(E1304,FIND("/",E1304)-1)),(MID(E1304, SEARCH("/",E1304) + 1, SEARCH("/",E1304, SEARCH("/",E1304)+1) - SEARCH("/",E1304) - 1))-(LEFT(E1304,FIND("/",E1304)-1))), "NA"))</f>
        <v/>
      </c>
      <c r="K1304" s="79">
        <f>IF(A1304&lt;&gt;"", IF(ISBLANK(L1304), TODAY(), K1304), "")</f>
        <v/>
      </c>
      <c r="L1304" s="78" t="n"/>
      <c r="M1304" s="78">
        <f>IF(ISBLANK(L1304),"",IF(D1304="Stock",IF(C1304="Buy",L1304*G1304,IF(C1304="Sell",(L1304*G1304)-I1304, X)),IF(C1304="Buy",(L1304*G1304*100)+I1304,IF(C1304="Sell",(L1304*G1304*100)-I1304, X))))</f>
        <v/>
      </c>
      <c r="N1304" s="78">
        <f>IF(ISBLANK(L1304),"",IF(AND(C1304="Sell",D1304="Stock"),M1304,IF(ISBLANK(L1304),"",IF(C1304="Buy",M1304, IF(AND(C1304="Sell",J1304="NA"),(E1304*G1304*100*0.1)+I1304, IF(C1304="Sell",(J1304-L1304)*(100*G1304)+I1304))))))</f>
        <v/>
      </c>
      <c r="O1304" s="75" t="n"/>
      <c r="P1304" s="75" t="n"/>
      <c r="Q1304" s="75">
        <f>IF(ISBLANK(P1304),"",IF(D1304="Stock",P1304*G1304,IF(P1304=0,"0",G1304*P1304*100-(G1304*$AF$14))))</f>
        <v/>
      </c>
      <c r="R1304" s="79">
        <f>IF(P1304&lt;&gt;"", TODAY(), "")</f>
        <v/>
      </c>
      <c r="S1304" s="78">
        <f>IF(AND(K1304&lt;&gt;"", R1304&lt;&gt;""), R1304-K1304, "")</f>
        <v/>
      </c>
      <c r="T1304" s="78" t="n"/>
      <c r="U1304" s="92">
        <f>IF(ISBLANK(P1304),"",IF(C1304="Buy",Q1304-M1304+T1304, IF(C1304="Sell",M1304-Q1304-T1304, X)))</f>
        <v/>
      </c>
      <c r="V1304" s="81">
        <f>IF(ISBLANK(P1304),"",U1304/N1304)</f>
        <v/>
      </c>
      <c r="W1304" s="81">
        <f>IF(ISBLANK(P1304),"",IF(S1304=0,(365/0.5)*V1304,(365/S1304)*V1304))</f>
        <v/>
      </c>
      <c r="X1304" s="75" t="n"/>
      <c r="Y1304" s="77" t="n"/>
      <c r="Z1304" s="77" t="n"/>
      <c r="AA1304" s="75" t="n"/>
      <c r="AB1304" s="75" t="n"/>
      <c r="AC1304" s="6" t="n"/>
      <c r="AD1304" s="75" t="n"/>
      <c r="AE1304" s="75" t="n"/>
      <c r="AF1304" s="75" t="n"/>
    </row>
    <row r="1305" ht="15.75" customHeight="1" s="133">
      <c r="A1305" s="75" t="n"/>
      <c r="B1305" s="75" t="n"/>
      <c r="C1305" s="75" t="n"/>
      <c r="D1305" s="75" t="n"/>
      <c r="E1305" s="76" t="n"/>
      <c r="F1305" s="77" t="n"/>
      <c r="G1305" s="75" t="n"/>
      <c r="H1305" s="75">
        <f>IF(ISBLANK(E1305),"",IF(OR(D1305="Butterfly",D1305="Butterfly ",D1305="Iron Fly", D1305="Iron Fly "),LEN(E1305)-LEN(SUBSTITUTE(E1305,"/",""))+2,LEN(E1305)-LEN(SUBSTITUTE(E1305,"/",""))+1))</f>
        <v/>
      </c>
      <c r="I1305" s="78">
        <f>IF(ISBLANK(G1305),"",IF(D1305="Stock","0",Key!$A$3*H1305*G1305))</f>
        <v/>
      </c>
      <c r="J1305" s="78">
        <f>IF(ISBLANK(E1305),"",IF(ISNUMBER(SEARCH("/",E1305)), IF(LEN(E1305)-LEN(SUBSTITUTE(E1305,"/",""))=1,(RIGHT(E1305,LEN(E1305)-FIND("/",E1305)))-(LEFT(E1305,FIND("/",E1305)-1)),(MID(E1305, SEARCH("/",E1305) + 1, SEARCH("/",E1305, SEARCH("/",E1305)+1) - SEARCH("/",E1305) - 1))-(LEFT(E1305,FIND("/",E1305)-1))), "NA"))</f>
        <v/>
      </c>
      <c r="K1305" s="79">
        <f>IF(A1305&lt;&gt;"", IF(ISBLANK(L1305), TODAY(), K1305), "")</f>
        <v/>
      </c>
      <c r="L1305" s="78" t="n"/>
      <c r="M1305" s="78">
        <f>IF(ISBLANK(L1305),"",IF(D1305="Stock",IF(C1305="Buy",L1305*G1305,IF(C1305="Sell",(L1305*G1305)-I1305, X)),IF(C1305="Buy",(L1305*G1305*100)+I1305,IF(C1305="Sell",(L1305*G1305*100)-I1305, X))))</f>
        <v/>
      </c>
      <c r="N1305" s="78">
        <f>IF(ISBLANK(L1305),"",IF(AND(C1305="Sell",D1305="Stock"),M1305,IF(ISBLANK(L1305),"",IF(C1305="Buy",M1305, IF(AND(C1305="Sell",J1305="NA"),(E1305*G1305*100*0.1)+I1305, IF(C1305="Sell",(J1305-L1305)*(100*G1305)+I1305))))))</f>
        <v/>
      </c>
      <c r="O1305" s="75" t="n"/>
      <c r="P1305" s="75" t="n"/>
      <c r="Q1305" s="75">
        <f>IF(ISBLANK(P1305),"",IF(D1305="Stock",P1305*G1305,IF(P1305=0,"0",G1305*P1305*100-(G1305*$AF$14))))</f>
        <v/>
      </c>
      <c r="R1305" s="79">
        <f>IF(P1305&lt;&gt;"", TODAY(), "")</f>
        <v/>
      </c>
      <c r="S1305" s="78">
        <f>IF(AND(K1305&lt;&gt;"", R1305&lt;&gt;""), R1305-K1305, "")</f>
        <v/>
      </c>
      <c r="T1305" s="78" t="n"/>
      <c r="U1305" s="92">
        <f>IF(ISBLANK(P1305),"",IF(C1305="Buy",Q1305-M1305+T1305, IF(C1305="Sell",M1305-Q1305-T1305, X)))</f>
        <v/>
      </c>
      <c r="V1305" s="81">
        <f>IF(ISBLANK(P1305),"",U1305/N1305)</f>
        <v/>
      </c>
      <c r="W1305" s="81">
        <f>IF(ISBLANK(P1305),"",IF(S1305=0,(365/0.5)*V1305,(365/S1305)*V1305))</f>
        <v/>
      </c>
      <c r="X1305" s="75" t="n"/>
      <c r="Y1305" s="77" t="n"/>
      <c r="Z1305" s="77" t="n"/>
      <c r="AA1305" s="75" t="n"/>
      <c r="AB1305" s="75" t="n"/>
      <c r="AC1305" s="6" t="n"/>
      <c r="AD1305" s="75" t="n"/>
      <c r="AE1305" s="75" t="n"/>
      <c r="AF1305" s="75" t="n"/>
    </row>
    <row r="1306" ht="15.75" customHeight="1" s="133">
      <c r="A1306" s="75" t="n"/>
      <c r="B1306" s="75" t="n"/>
      <c r="C1306" s="75" t="n"/>
      <c r="D1306" s="75" t="n"/>
      <c r="E1306" s="76" t="n"/>
      <c r="F1306" s="77" t="n"/>
      <c r="G1306" s="75" t="n"/>
      <c r="H1306" s="75">
        <f>IF(ISBLANK(E1306),"",IF(OR(D1306="Butterfly",D1306="Butterfly ",D1306="Iron Fly", D1306="Iron Fly "),LEN(E1306)-LEN(SUBSTITUTE(E1306,"/",""))+2,LEN(E1306)-LEN(SUBSTITUTE(E1306,"/",""))+1))</f>
        <v/>
      </c>
      <c r="I1306" s="78">
        <f>IF(ISBLANK(G1306),"",IF(D1306="Stock","0",Key!$A$3*H1306*G1306))</f>
        <v/>
      </c>
      <c r="J1306" s="78">
        <f>IF(ISBLANK(E1306),"",IF(ISNUMBER(SEARCH("/",E1306)), IF(LEN(E1306)-LEN(SUBSTITUTE(E1306,"/",""))=1,(RIGHT(E1306,LEN(E1306)-FIND("/",E1306)))-(LEFT(E1306,FIND("/",E1306)-1)),(MID(E1306, SEARCH("/",E1306) + 1, SEARCH("/",E1306, SEARCH("/",E1306)+1) - SEARCH("/",E1306) - 1))-(LEFT(E1306,FIND("/",E1306)-1))), "NA"))</f>
        <v/>
      </c>
      <c r="K1306" s="79">
        <f>IF(A1306&lt;&gt;"", IF(ISBLANK(L1306), TODAY(), K1306), "")</f>
        <v/>
      </c>
      <c r="L1306" s="78" t="n"/>
      <c r="M1306" s="78">
        <f>IF(ISBLANK(L1306),"",IF(D1306="Stock",IF(C1306="Buy",L1306*G1306,IF(C1306="Sell",(L1306*G1306)-I1306, X)),IF(C1306="Buy",(L1306*G1306*100)+I1306,IF(C1306="Sell",(L1306*G1306*100)-I1306, X))))</f>
        <v/>
      </c>
      <c r="N1306" s="78">
        <f>IF(ISBLANK(L1306),"",IF(AND(C1306="Sell",D1306="Stock"),M1306,IF(ISBLANK(L1306),"",IF(C1306="Buy",M1306, IF(AND(C1306="Sell",J1306="NA"),(E1306*G1306*100*0.1)+I1306, IF(C1306="Sell",(J1306-L1306)*(100*G1306)+I1306))))))</f>
        <v/>
      </c>
      <c r="O1306" s="75" t="n"/>
      <c r="P1306" s="75" t="n"/>
      <c r="Q1306" s="75">
        <f>IF(ISBLANK(P1306),"",IF(D1306="Stock",P1306*G1306,IF(P1306=0,"0",G1306*P1306*100-(G1306*$AF$14))))</f>
        <v/>
      </c>
      <c r="R1306" s="79">
        <f>IF(P1306&lt;&gt;"", TODAY(), "")</f>
        <v/>
      </c>
      <c r="S1306" s="78">
        <f>IF(AND(K1306&lt;&gt;"", R1306&lt;&gt;""), R1306-K1306, "")</f>
        <v/>
      </c>
      <c r="T1306" s="78" t="n"/>
      <c r="U1306" s="92">
        <f>IF(ISBLANK(P1306),"",IF(C1306="Buy",Q1306-M1306+T1306, IF(C1306="Sell",M1306-Q1306-T1306, X)))</f>
        <v/>
      </c>
      <c r="V1306" s="81">
        <f>IF(ISBLANK(P1306),"",U1306/N1306)</f>
        <v/>
      </c>
      <c r="W1306" s="81">
        <f>IF(ISBLANK(P1306),"",IF(S1306=0,(365/0.5)*V1306,(365/S1306)*V1306))</f>
        <v/>
      </c>
      <c r="X1306" s="75" t="n"/>
      <c r="Y1306" s="77" t="n"/>
      <c r="Z1306" s="77" t="n"/>
      <c r="AA1306" s="75" t="n"/>
      <c r="AB1306" s="75" t="n"/>
      <c r="AC1306" s="6" t="n"/>
      <c r="AD1306" s="75" t="n"/>
      <c r="AE1306" s="75" t="n"/>
      <c r="AF1306" s="75" t="n"/>
    </row>
    <row r="1307" ht="15.75" customHeight="1" s="133">
      <c r="A1307" s="75" t="n"/>
      <c r="B1307" s="75" t="n"/>
      <c r="C1307" s="75" t="n"/>
      <c r="D1307" s="75" t="n"/>
      <c r="E1307" s="76" t="n"/>
      <c r="F1307" s="77" t="n"/>
      <c r="G1307" s="75" t="n"/>
      <c r="H1307" s="75">
        <f>IF(ISBLANK(E1307),"",IF(OR(D1307="Butterfly",D1307="Butterfly ",D1307="Iron Fly", D1307="Iron Fly "),LEN(E1307)-LEN(SUBSTITUTE(E1307,"/",""))+2,LEN(E1307)-LEN(SUBSTITUTE(E1307,"/",""))+1))</f>
        <v/>
      </c>
      <c r="I1307" s="78">
        <f>IF(ISBLANK(G1307),"",IF(D1307="Stock","0",Key!$A$3*H1307*G1307))</f>
        <v/>
      </c>
      <c r="J1307" s="78">
        <f>IF(ISBLANK(E1307),"",IF(ISNUMBER(SEARCH("/",E1307)), IF(LEN(E1307)-LEN(SUBSTITUTE(E1307,"/",""))=1,(RIGHT(E1307,LEN(E1307)-FIND("/",E1307)))-(LEFT(E1307,FIND("/",E1307)-1)),(MID(E1307, SEARCH("/",E1307) + 1, SEARCH("/",E1307, SEARCH("/",E1307)+1) - SEARCH("/",E1307) - 1))-(LEFT(E1307,FIND("/",E1307)-1))), "NA"))</f>
        <v/>
      </c>
      <c r="K1307" s="79">
        <f>IF(A1307&lt;&gt;"", IF(ISBLANK(L1307), TODAY(), K1307), "")</f>
        <v/>
      </c>
      <c r="L1307" s="78" t="n"/>
      <c r="M1307" s="78">
        <f>IF(ISBLANK(L1307),"",IF(D1307="Stock",IF(C1307="Buy",L1307*G1307,IF(C1307="Sell",(L1307*G1307)-I1307, X)),IF(C1307="Buy",(L1307*G1307*100)+I1307,IF(C1307="Sell",(L1307*G1307*100)-I1307, X))))</f>
        <v/>
      </c>
      <c r="N1307" s="78">
        <f>IF(ISBLANK(L1307),"",IF(AND(C1307="Sell",D1307="Stock"),M1307,IF(ISBLANK(L1307),"",IF(C1307="Buy",M1307, IF(AND(C1307="Sell",J1307="NA"),(E1307*G1307*100*0.1)+I1307, IF(C1307="Sell",(J1307-L1307)*(100*G1307)+I1307))))))</f>
        <v/>
      </c>
      <c r="O1307" s="75" t="n"/>
      <c r="P1307" s="75" t="n"/>
      <c r="Q1307" s="75">
        <f>IF(ISBLANK(P1307),"",IF(D1307="Stock",P1307*G1307,IF(P1307=0,"0",G1307*P1307*100-(G1307*$AF$14))))</f>
        <v/>
      </c>
      <c r="R1307" s="79">
        <f>IF(P1307&lt;&gt;"", TODAY(), "")</f>
        <v/>
      </c>
      <c r="S1307" s="78">
        <f>IF(AND(K1307&lt;&gt;"", R1307&lt;&gt;""), R1307-K1307, "")</f>
        <v/>
      </c>
      <c r="T1307" s="78" t="n"/>
      <c r="U1307" s="92">
        <f>IF(ISBLANK(P1307),"",IF(C1307="Buy",Q1307-M1307+T1307, IF(C1307="Sell",M1307-Q1307-T1307, X)))</f>
        <v/>
      </c>
      <c r="V1307" s="81">
        <f>IF(ISBLANK(P1307),"",U1307/N1307)</f>
        <v/>
      </c>
      <c r="W1307" s="81">
        <f>IF(ISBLANK(P1307),"",IF(S1307=0,(365/0.5)*V1307,(365/S1307)*V1307))</f>
        <v/>
      </c>
      <c r="X1307" s="75" t="n"/>
      <c r="Y1307" s="77" t="n"/>
      <c r="Z1307" s="77" t="n"/>
      <c r="AA1307" s="75" t="n"/>
      <c r="AB1307" s="75" t="n"/>
      <c r="AC1307" s="6" t="n"/>
      <c r="AD1307" s="75" t="n"/>
      <c r="AE1307" s="75" t="n"/>
      <c r="AF1307" s="75" t="n"/>
    </row>
    <row r="1308" ht="15.75" customHeight="1" s="133">
      <c r="A1308" s="75" t="n"/>
      <c r="B1308" s="75" t="n"/>
      <c r="C1308" s="75" t="n"/>
      <c r="D1308" s="75" t="n"/>
      <c r="E1308" s="76" t="n"/>
      <c r="F1308" s="77" t="n"/>
      <c r="G1308" s="75" t="n"/>
      <c r="H1308" s="75">
        <f>IF(ISBLANK(E1308),"",IF(OR(D1308="Butterfly",D1308="Butterfly ",D1308="Iron Fly", D1308="Iron Fly "),LEN(E1308)-LEN(SUBSTITUTE(E1308,"/",""))+2,LEN(E1308)-LEN(SUBSTITUTE(E1308,"/",""))+1))</f>
        <v/>
      </c>
      <c r="I1308" s="78">
        <f>IF(ISBLANK(G1308),"",IF(D1308="Stock","0",Key!$A$3*H1308*G1308))</f>
        <v/>
      </c>
      <c r="J1308" s="78">
        <f>IF(ISBLANK(E1308),"",IF(ISNUMBER(SEARCH("/",E1308)), IF(LEN(E1308)-LEN(SUBSTITUTE(E1308,"/",""))=1,(RIGHT(E1308,LEN(E1308)-FIND("/",E1308)))-(LEFT(E1308,FIND("/",E1308)-1)),(MID(E1308, SEARCH("/",E1308) + 1, SEARCH("/",E1308, SEARCH("/",E1308)+1) - SEARCH("/",E1308) - 1))-(LEFT(E1308,FIND("/",E1308)-1))), "NA"))</f>
        <v/>
      </c>
      <c r="K1308" s="79">
        <f>IF(A1308&lt;&gt;"", IF(ISBLANK(L1308), TODAY(), K1308), "")</f>
        <v/>
      </c>
      <c r="L1308" s="78" t="n"/>
      <c r="M1308" s="78">
        <f>IF(ISBLANK(L1308),"",IF(D1308="Stock",IF(C1308="Buy",L1308*G1308,IF(C1308="Sell",(L1308*G1308)-I1308, X)),IF(C1308="Buy",(L1308*G1308*100)+I1308,IF(C1308="Sell",(L1308*G1308*100)-I1308, X))))</f>
        <v/>
      </c>
      <c r="N1308" s="78">
        <f>IF(ISBLANK(L1308),"",IF(AND(C1308="Sell",D1308="Stock"),M1308,IF(ISBLANK(L1308),"",IF(C1308="Buy",M1308, IF(AND(C1308="Sell",J1308="NA"),(E1308*G1308*100*0.1)+I1308, IF(C1308="Sell",(J1308-L1308)*(100*G1308)+I1308))))))</f>
        <v/>
      </c>
      <c r="O1308" s="75" t="n"/>
      <c r="P1308" s="75" t="n"/>
      <c r="Q1308" s="75">
        <f>IF(ISBLANK(P1308),"",IF(D1308="Stock",P1308*G1308,IF(P1308=0,"0",G1308*P1308*100-(G1308*$AF$14))))</f>
        <v/>
      </c>
      <c r="R1308" s="79">
        <f>IF(P1308&lt;&gt;"", TODAY(), "")</f>
        <v/>
      </c>
      <c r="S1308" s="78">
        <f>IF(AND(K1308&lt;&gt;"", R1308&lt;&gt;""), R1308-K1308, "")</f>
        <v/>
      </c>
      <c r="T1308" s="78" t="n"/>
      <c r="U1308" s="92">
        <f>IF(ISBLANK(P1308),"",IF(C1308="Buy",Q1308-M1308+T1308, IF(C1308="Sell",M1308-Q1308-T1308, X)))</f>
        <v/>
      </c>
      <c r="V1308" s="81">
        <f>IF(ISBLANK(P1308),"",U1308/N1308)</f>
        <v/>
      </c>
      <c r="W1308" s="81">
        <f>IF(ISBLANK(P1308),"",IF(S1308=0,(365/0.5)*V1308,(365/S1308)*V1308))</f>
        <v/>
      </c>
      <c r="X1308" s="75" t="n"/>
      <c r="Y1308" s="77" t="n"/>
      <c r="Z1308" s="77" t="n"/>
      <c r="AA1308" s="75" t="n"/>
      <c r="AB1308" s="75" t="n"/>
      <c r="AC1308" s="6" t="n"/>
      <c r="AD1308" s="75" t="n"/>
      <c r="AE1308" s="75" t="n"/>
      <c r="AF1308" s="75" t="n"/>
    </row>
    <row r="1309" ht="15.75" customHeight="1" s="133">
      <c r="A1309" s="75" t="n"/>
      <c r="B1309" s="75" t="n"/>
      <c r="C1309" s="75" t="n"/>
      <c r="D1309" s="75" t="n"/>
      <c r="E1309" s="76" t="n"/>
      <c r="F1309" s="77" t="n"/>
      <c r="G1309" s="75" t="n"/>
      <c r="H1309" s="75">
        <f>IF(ISBLANK(E1309),"",IF(OR(D1309="Butterfly",D1309="Butterfly ",D1309="Iron Fly", D1309="Iron Fly "),LEN(E1309)-LEN(SUBSTITUTE(E1309,"/",""))+2,LEN(E1309)-LEN(SUBSTITUTE(E1309,"/",""))+1))</f>
        <v/>
      </c>
      <c r="I1309" s="78">
        <f>IF(ISBLANK(G1309),"",IF(D1309="Stock","0",Key!$A$3*H1309*G1309))</f>
        <v/>
      </c>
      <c r="J1309" s="78">
        <f>IF(ISBLANK(E1309),"",IF(ISNUMBER(SEARCH("/",E1309)), IF(LEN(E1309)-LEN(SUBSTITUTE(E1309,"/",""))=1,(RIGHT(E1309,LEN(E1309)-FIND("/",E1309)))-(LEFT(E1309,FIND("/",E1309)-1)),(MID(E1309, SEARCH("/",E1309) + 1, SEARCH("/",E1309, SEARCH("/",E1309)+1) - SEARCH("/",E1309) - 1))-(LEFT(E1309,FIND("/",E1309)-1))), "NA"))</f>
        <v/>
      </c>
      <c r="K1309" s="79">
        <f>IF(A1309&lt;&gt;"", IF(ISBLANK(L1309), TODAY(), K1309), "")</f>
        <v/>
      </c>
      <c r="L1309" s="78" t="n"/>
      <c r="M1309" s="78">
        <f>IF(ISBLANK(L1309),"",IF(D1309="Stock",IF(C1309="Buy",L1309*G1309,IF(C1309="Sell",(L1309*G1309)-I1309, X)),IF(C1309="Buy",(L1309*G1309*100)+I1309,IF(C1309="Sell",(L1309*G1309*100)-I1309, X))))</f>
        <v/>
      </c>
      <c r="N1309" s="78">
        <f>IF(ISBLANK(L1309),"",IF(AND(C1309="Sell",D1309="Stock"),M1309,IF(ISBLANK(L1309),"",IF(C1309="Buy",M1309, IF(AND(C1309="Sell",J1309="NA"),(E1309*G1309*100*0.1)+I1309, IF(C1309="Sell",(J1309-L1309)*(100*G1309)+I1309))))))</f>
        <v/>
      </c>
      <c r="O1309" s="75" t="n"/>
      <c r="P1309" s="75" t="n"/>
      <c r="Q1309" s="75">
        <f>IF(ISBLANK(P1309),"",IF(D1309="Stock",P1309*G1309,IF(P1309=0,"0",G1309*P1309*100-(G1309*$AF$14))))</f>
        <v/>
      </c>
      <c r="R1309" s="79">
        <f>IF(P1309&lt;&gt;"", TODAY(), "")</f>
        <v/>
      </c>
      <c r="S1309" s="78">
        <f>IF(AND(K1309&lt;&gt;"", R1309&lt;&gt;""), R1309-K1309, "")</f>
        <v/>
      </c>
      <c r="T1309" s="78" t="n"/>
      <c r="U1309" s="92">
        <f>IF(ISBLANK(P1309),"",IF(C1309="Buy",Q1309-M1309+T1309, IF(C1309="Sell",M1309-Q1309-T1309, X)))</f>
        <v/>
      </c>
      <c r="V1309" s="81">
        <f>IF(ISBLANK(P1309),"",U1309/N1309)</f>
        <v/>
      </c>
      <c r="W1309" s="81">
        <f>IF(ISBLANK(P1309),"",IF(S1309=0,(365/0.5)*V1309,(365/S1309)*V1309))</f>
        <v/>
      </c>
      <c r="X1309" s="75" t="n"/>
      <c r="Y1309" s="77" t="n"/>
      <c r="Z1309" s="77" t="n"/>
      <c r="AA1309" s="75" t="n"/>
      <c r="AB1309" s="75" t="n"/>
      <c r="AC1309" s="6" t="n"/>
      <c r="AD1309" s="75" t="n"/>
      <c r="AE1309" s="75" t="n"/>
      <c r="AF1309" s="75" t="n"/>
    </row>
    <row r="1310" ht="15.75" customHeight="1" s="133">
      <c r="A1310" s="75" t="n"/>
      <c r="B1310" s="75" t="n"/>
      <c r="C1310" s="75" t="n"/>
      <c r="D1310" s="75" t="n"/>
      <c r="E1310" s="76" t="n"/>
      <c r="F1310" s="77" t="n"/>
      <c r="G1310" s="75" t="n"/>
      <c r="H1310" s="75">
        <f>IF(ISBLANK(E1310),"",IF(OR(D1310="Butterfly",D1310="Butterfly ",D1310="Iron Fly", D1310="Iron Fly "),LEN(E1310)-LEN(SUBSTITUTE(E1310,"/",""))+2,LEN(E1310)-LEN(SUBSTITUTE(E1310,"/",""))+1))</f>
        <v/>
      </c>
      <c r="I1310" s="78">
        <f>IF(ISBLANK(G1310),"",IF(D1310="Stock","0",Key!$A$3*H1310*G1310))</f>
        <v/>
      </c>
      <c r="J1310" s="78">
        <f>IF(ISBLANK(E1310),"",IF(ISNUMBER(SEARCH("/",E1310)), IF(LEN(E1310)-LEN(SUBSTITUTE(E1310,"/",""))=1,(RIGHT(E1310,LEN(E1310)-FIND("/",E1310)))-(LEFT(E1310,FIND("/",E1310)-1)),(MID(E1310, SEARCH("/",E1310) + 1, SEARCH("/",E1310, SEARCH("/",E1310)+1) - SEARCH("/",E1310) - 1))-(LEFT(E1310,FIND("/",E1310)-1))), "NA"))</f>
        <v/>
      </c>
      <c r="K1310" s="79">
        <f>IF(A1310&lt;&gt;"", IF(ISBLANK(L1310), TODAY(), K1310), "")</f>
        <v/>
      </c>
      <c r="L1310" s="78" t="n"/>
      <c r="M1310" s="78">
        <f>IF(ISBLANK(L1310),"",IF(D1310="Stock",IF(C1310="Buy",L1310*G1310,IF(C1310="Sell",(L1310*G1310)-I1310, X)),IF(C1310="Buy",(L1310*G1310*100)+I1310,IF(C1310="Sell",(L1310*G1310*100)-I1310, X))))</f>
        <v/>
      </c>
      <c r="N1310" s="78">
        <f>IF(ISBLANK(L1310),"",IF(AND(C1310="Sell",D1310="Stock"),M1310,IF(ISBLANK(L1310),"",IF(C1310="Buy",M1310, IF(AND(C1310="Sell",J1310="NA"),(E1310*G1310*100*0.1)+I1310, IF(C1310="Sell",(J1310-L1310)*(100*G1310)+I1310))))))</f>
        <v/>
      </c>
      <c r="O1310" s="75" t="n"/>
      <c r="P1310" s="75" t="n"/>
      <c r="Q1310" s="75">
        <f>IF(ISBLANK(P1310),"",IF(D1310="Stock",P1310*G1310,IF(P1310=0,"0",G1310*P1310*100-(G1310*$AF$14))))</f>
        <v/>
      </c>
      <c r="R1310" s="79">
        <f>IF(P1310&lt;&gt;"", TODAY(), "")</f>
        <v/>
      </c>
      <c r="S1310" s="78">
        <f>IF(AND(K1310&lt;&gt;"", R1310&lt;&gt;""), R1310-K1310, "")</f>
        <v/>
      </c>
      <c r="T1310" s="78" t="n"/>
      <c r="U1310" s="92">
        <f>IF(ISBLANK(P1310),"",IF(C1310="Buy",Q1310-M1310+T1310, IF(C1310="Sell",M1310-Q1310-T1310, X)))</f>
        <v/>
      </c>
      <c r="V1310" s="81">
        <f>IF(ISBLANK(P1310),"",U1310/N1310)</f>
        <v/>
      </c>
      <c r="W1310" s="81">
        <f>IF(ISBLANK(P1310),"",IF(S1310=0,(365/0.5)*V1310,(365/S1310)*V1310))</f>
        <v/>
      </c>
      <c r="X1310" s="75" t="n"/>
      <c r="Y1310" s="77" t="n"/>
      <c r="Z1310" s="77" t="n"/>
      <c r="AA1310" s="75" t="n"/>
      <c r="AB1310" s="75" t="n"/>
      <c r="AC1310" s="6" t="n"/>
      <c r="AD1310" s="75" t="n"/>
      <c r="AE1310" s="75" t="n"/>
      <c r="AF1310" s="75" t="n"/>
    </row>
    <row r="1311" ht="15.75" customHeight="1" s="133">
      <c r="A1311" s="75" t="n"/>
      <c r="B1311" s="75" t="n"/>
      <c r="C1311" s="75" t="n"/>
      <c r="D1311" s="75" t="n"/>
      <c r="E1311" s="76" t="n"/>
      <c r="F1311" s="77" t="n"/>
      <c r="G1311" s="75" t="n"/>
      <c r="H1311" s="75">
        <f>IF(ISBLANK(E1311),"",IF(OR(D1311="Butterfly",D1311="Butterfly ",D1311="Iron Fly", D1311="Iron Fly "),LEN(E1311)-LEN(SUBSTITUTE(E1311,"/",""))+2,LEN(E1311)-LEN(SUBSTITUTE(E1311,"/",""))+1))</f>
        <v/>
      </c>
      <c r="I1311" s="78">
        <f>IF(ISBLANK(G1311),"",IF(D1311="Stock","0",Key!$A$3*H1311*G1311))</f>
        <v/>
      </c>
      <c r="J1311" s="78">
        <f>IF(ISBLANK(E1311),"",IF(ISNUMBER(SEARCH("/",E1311)), IF(LEN(E1311)-LEN(SUBSTITUTE(E1311,"/",""))=1,(RIGHT(E1311,LEN(E1311)-FIND("/",E1311)))-(LEFT(E1311,FIND("/",E1311)-1)),(MID(E1311, SEARCH("/",E1311) + 1, SEARCH("/",E1311, SEARCH("/",E1311)+1) - SEARCH("/",E1311) - 1))-(LEFT(E1311,FIND("/",E1311)-1))), "NA"))</f>
        <v/>
      </c>
      <c r="K1311" s="79">
        <f>IF(A1311&lt;&gt;"", IF(ISBLANK(L1311), TODAY(), K1311), "")</f>
        <v/>
      </c>
      <c r="L1311" s="78" t="n"/>
      <c r="M1311" s="78">
        <f>IF(ISBLANK(L1311),"",IF(D1311="Stock",IF(C1311="Buy",L1311*G1311,IF(C1311="Sell",(L1311*G1311)-I1311, X)),IF(C1311="Buy",(L1311*G1311*100)+I1311,IF(C1311="Sell",(L1311*G1311*100)-I1311, X))))</f>
        <v/>
      </c>
      <c r="N1311" s="78">
        <f>IF(ISBLANK(L1311),"",IF(AND(C1311="Sell",D1311="Stock"),M1311,IF(ISBLANK(L1311),"",IF(C1311="Buy",M1311, IF(AND(C1311="Sell",J1311="NA"),(E1311*G1311*100*0.1)+I1311, IF(C1311="Sell",(J1311-L1311)*(100*G1311)+I1311))))))</f>
        <v/>
      </c>
      <c r="O1311" s="75" t="n"/>
      <c r="P1311" s="75" t="n"/>
      <c r="Q1311" s="75">
        <f>IF(ISBLANK(P1311),"",IF(D1311="Stock",P1311*G1311,IF(P1311=0,"0",G1311*P1311*100-(G1311*$AF$14))))</f>
        <v/>
      </c>
      <c r="R1311" s="79">
        <f>IF(P1311&lt;&gt;"", TODAY(), "")</f>
        <v/>
      </c>
      <c r="S1311" s="78">
        <f>IF(AND(K1311&lt;&gt;"", R1311&lt;&gt;""), R1311-K1311, "")</f>
        <v/>
      </c>
      <c r="T1311" s="78" t="n"/>
      <c r="U1311" s="92">
        <f>IF(ISBLANK(P1311),"",IF(C1311="Buy",Q1311-M1311+T1311, IF(C1311="Sell",M1311-Q1311-T1311, X)))</f>
        <v/>
      </c>
      <c r="V1311" s="81">
        <f>IF(ISBLANK(P1311),"",U1311/N1311)</f>
        <v/>
      </c>
      <c r="W1311" s="81">
        <f>IF(ISBLANK(P1311),"",IF(S1311=0,(365/0.5)*V1311,(365/S1311)*V1311))</f>
        <v/>
      </c>
      <c r="X1311" s="75" t="n"/>
      <c r="Y1311" s="77" t="n"/>
      <c r="Z1311" s="77" t="n"/>
      <c r="AA1311" s="75" t="n"/>
      <c r="AB1311" s="75" t="n"/>
      <c r="AC1311" s="6" t="n"/>
      <c r="AD1311" s="75" t="n"/>
      <c r="AE1311" s="75" t="n"/>
      <c r="AF1311" s="75" t="n"/>
    </row>
    <row r="1312" ht="15.75" customHeight="1" s="133">
      <c r="A1312" s="75" t="n"/>
      <c r="B1312" s="75" t="n"/>
      <c r="C1312" s="75" t="n"/>
      <c r="D1312" s="75" t="n"/>
      <c r="E1312" s="76" t="n"/>
      <c r="F1312" s="77" t="n"/>
      <c r="G1312" s="75" t="n"/>
      <c r="H1312" s="75">
        <f>IF(ISBLANK(E1312),"",IF(OR(D1312="Butterfly",D1312="Butterfly ",D1312="Iron Fly", D1312="Iron Fly "),LEN(E1312)-LEN(SUBSTITUTE(E1312,"/",""))+2,LEN(E1312)-LEN(SUBSTITUTE(E1312,"/",""))+1))</f>
        <v/>
      </c>
      <c r="I1312" s="78">
        <f>IF(ISBLANK(G1312),"",IF(D1312="Stock","0",Key!$A$3*H1312*G1312))</f>
        <v/>
      </c>
      <c r="J1312" s="78">
        <f>IF(ISBLANK(E1312),"",IF(ISNUMBER(SEARCH("/",E1312)), IF(LEN(E1312)-LEN(SUBSTITUTE(E1312,"/",""))=1,(RIGHT(E1312,LEN(E1312)-FIND("/",E1312)))-(LEFT(E1312,FIND("/",E1312)-1)),(MID(E1312, SEARCH("/",E1312) + 1, SEARCH("/",E1312, SEARCH("/",E1312)+1) - SEARCH("/",E1312) - 1))-(LEFT(E1312,FIND("/",E1312)-1))), "NA"))</f>
        <v/>
      </c>
      <c r="K1312" s="79">
        <f>IF(A1312&lt;&gt;"", IF(ISBLANK(L1312), TODAY(), K1312), "")</f>
        <v/>
      </c>
      <c r="L1312" s="78" t="n"/>
      <c r="M1312" s="78">
        <f>IF(ISBLANK(L1312),"",IF(D1312="Stock",IF(C1312="Buy",L1312*G1312,IF(C1312="Sell",(L1312*G1312)-I1312, X)),IF(C1312="Buy",(L1312*G1312*100)+I1312,IF(C1312="Sell",(L1312*G1312*100)-I1312, X))))</f>
        <v/>
      </c>
      <c r="N1312" s="78">
        <f>IF(ISBLANK(L1312),"",IF(AND(C1312="Sell",D1312="Stock"),M1312,IF(ISBLANK(L1312),"",IF(C1312="Buy",M1312, IF(AND(C1312="Sell",J1312="NA"),(E1312*G1312*100*0.1)+I1312, IF(C1312="Sell",(J1312-L1312)*(100*G1312)+I1312))))))</f>
        <v/>
      </c>
      <c r="O1312" s="75" t="n"/>
      <c r="P1312" s="75" t="n"/>
      <c r="Q1312" s="75">
        <f>IF(ISBLANK(P1312),"",IF(D1312="Stock",P1312*G1312,IF(P1312=0,"0",G1312*P1312*100-(G1312*$AF$14))))</f>
        <v/>
      </c>
      <c r="R1312" s="79">
        <f>IF(P1312&lt;&gt;"", TODAY(), "")</f>
        <v/>
      </c>
      <c r="S1312" s="78">
        <f>IF(AND(K1312&lt;&gt;"", R1312&lt;&gt;""), R1312-K1312, "")</f>
        <v/>
      </c>
      <c r="T1312" s="78" t="n"/>
      <c r="U1312" s="92">
        <f>IF(ISBLANK(P1312),"",IF(C1312="Buy",Q1312-M1312+T1312, IF(C1312="Sell",M1312-Q1312-T1312, X)))</f>
        <v/>
      </c>
      <c r="V1312" s="81">
        <f>IF(ISBLANK(P1312),"",U1312/N1312)</f>
        <v/>
      </c>
      <c r="W1312" s="81">
        <f>IF(ISBLANK(P1312),"",IF(S1312=0,(365/0.5)*V1312,(365/S1312)*V1312))</f>
        <v/>
      </c>
      <c r="X1312" s="75" t="n"/>
      <c r="Y1312" s="77" t="n"/>
      <c r="Z1312" s="77" t="n"/>
      <c r="AA1312" s="75" t="n"/>
      <c r="AB1312" s="75" t="n"/>
      <c r="AC1312" s="6" t="n"/>
      <c r="AD1312" s="75" t="n"/>
      <c r="AE1312" s="75" t="n"/>
      <c r="AF1312" s="75" t="n"/>
    </row>
    <row r="1313" ht="15.75" customHeight="1" s="133">
      <c r="A1313" s="75" t="n"/>
      <c r="B1313" s="75" t="n"/>
      <c r="C1313" s="75" t="n"/>
      <c r="D1313" s="75" t="n"/>
      <c r="E1313" s="76" t="n"/>
      <c r="F1313" s="77" t="n"/>
      <c r="G1313" s="75" t="n"/>
      <c r="H1313" s="75">
        <f>IF(ISBLANK(E1313),"",IF(OR(D1313="Butterfly",D1313="Butterfly ",D1313="Iron Fly", D1313="Iron Fly "),LEN(E1313)-LEN(SUBSTITUTE(E1313,"/",""))+2,LEN(E1313)-LEN(SUBSTITUTE(E1313,"/",""))+1))</f>
        <v/>
      </c>
      <c r="I1313" s="78">
        <f>IF(ISBLANK(G1313),"",IF(D1313="Stock","0",Key!$A$3*H1313*G1313))</f>
        <v/>
      </c>
      <c r="J1313" s="78">
        <f>IF(ISBLANK(E1313),"",IF(ISNUMBER(SEARCH("/",E1313)), IF(LEN(E1313)-LEN(SUBSTITUTE(E1313,"/",""))=1,(RIGHT(E1313,LEN(E1313)-FIND("/",E1313)))-(LEFT(E1313,FIND("/",E1313)-1)),(MID(E1313, SEARCH("/",E1313) + 1, SEARCH("/",E1313, SEARCH("/",E1313)+1) - SEARCH("/",E1313) - 1))-(LEFT(E1313,FIND("/",E1313)-1))), "NA"))</f>
        <v/>
      </c>
      <c r="K1313" s="79">
        <f>IF(A1313&lt;&gt;"", IF(ISBLANK(L1313), TODAY(), K1313), "")</f>
        <v/>
      </c>
      <c r="L1313" s="78" t="n"/>
      <c r="M1313" s="78">
        <f>IF(ISBLANK(L1313),"",IF(D1313="Stock",IF(C1313="Buy",L1313*G1313,IF(C1313="Sell",(L1313*G1313)-I1313, X)),IF(C1313="Buy",(L1313*G1313*100)+I1313,IF(C1313="Sell",(L1313*G1313*100)-I1313, X))))</f>
        <v/>
      </c>
      <c r="N1313" s="78">
        <f>IF(ISBLANK(L1313),"",IF(AND(C1313="Sell",D1313="Stock"),M1313,IF(ISBLANK(L1313),"",IF(C1313="Buy",M1313, IF(AND(C1313="Sell",J1313="NA"),(E1313*G1313*100*0.1)+I1313, IF(C1313="Sell",(J1313-L1313)*(100*G1313)+I1313))))))</f>
        <v/>
      </c>
      <c r="O1313" s="75" t="n"/>
      <c r="P1313" s="75" t="n"/>
      <c r="Q1313" s="75">
        <f>IF(ISBLANK(P1313),"",IF(D1313="Stock",P1313*G1313,IF(P1313=0,"0",G1313*P1313*100-(G1313*$AF$14))))</f>
        <v/>
      </c>
      <c r="R1313" s="79">
        <f>IF(P1313&lt;&gt;"", TODAY(), "")</f>
        <v/>
      </c>
      <c r="S1313" s="78">
        <f>IF(AND(K1313&lt;&gt;"", R1313&lt;&gt;""), R1313-K1313, "")</f>
        <v/>
      </c>
      <c r="T1313" s="78" t="n"/>
      <c r="U1313" s="92">
        <f>IF(ISBLANK(P1313),"",IF(C1313="Buy",Q1313-M1313+T1313, IF(C1313="Sell",M1313-Q1313-T1313, X)))</f>
        <v/>
      </c>
      <c r="V1313" s="81">
        <f>IF(ISBLANK(P1313),"",U1313/N1313)</f>
        <v/>
      </c>
      <c r="W1313" s="81">
        <f>IF(ISBLANK(P1313),"",IF(S1313=0,(365/0.5)*V1313,(365/S1313)*V1313))</f>
        <v/>
      </c>
      <c r="X1313" s="75" t="n"/>
      <c r="Y1313" s="77" t="n"/>
      <c r="Z1313" s="77" t="n"/>
      <c r="AA1313" s="75" t="n"/>
      <c r="AB1313" s="75" t="n"/>
      <c r="AC1313" s="6" t="n"/>
      <c r="AD1313" s="75" t="n"/>
      <c r="AE1313" s="75" t="n"/>
      <c r="AF1313" s="75" t="n"/>
    </row>
    <row r="1314" ht="15.75" customHeight="1" s="133">
      <c r="A1314" s="75" t="n"/>
      <c r="B1314" s="75" t="n"/>
      <c r="C1314" s="75" t="n"/>
      <c r="D1314" s="75" t="n"/>
      <c r="E1314" s="76" t="n"/>
      <c r="F1314" s="77" t="n"/>
      <c r="G1314" s="75" t="n"/>
      <c r="H1314" s="75">
        <f>IF(ISBLANK(E1314),"",IF(OR(D1314="Butterfly",D1314="Butterfly ",D1314="Iron Fly", D1314="Iron Fly "),LEN(E1314)-LEN(SUBSTITUTE(E1314,"/",""))+2,LEN(E1314)-LEN(SUBSTITUTE(E1314,"/",""))+1))</f>
        <v/>
      </c>
      <c r="I1314" s="78">
        <f>IF(ISBLANK(G1314),"",IF(D1314="Stock","0",Key!$A$3*H1314*G1314))</f>
        <v/>
      </c>
      <c r="J1314" s="78">
        <f>IF(ISBLANK(E1314),"",IF(ISNUMBER(SEARCH("/",E1314)), IF(LEN(E1314)-LEN(SUBSTITUTE(E1314,"/",""))=1,(RIGHT(E1314,LEN(E1314)-FIND("/",E1314)))-(LEFT(E1314,FIND("/",E1314)-1)),(MID(E1314, SEARCH("/",E1314) + 1, SEARCH("/",E1314, SEARCH("/",E1314)+1) - SEARCH("/",E1314) - 1))-(LEFT(E1314,FIND("/",E1314)-1))), "NA"))</f>
        <v/>
      </c>
      <c r="K1314" s="79">
        <f>IF(A1314&lt;&gt;"", IF(ISBLANK(L1314), TODAY(), K1314), "")</f>
        <v/>
      </c>
      <c r="L1314" s="78" t="n"/>
      <c r="M1314" s="78">
        <f>IF(ISBLANK(L1314),"",IF(D1314="Stock",IF(C1314="Buy",L1314*G1314,IF(C1314="Sell",(L1314*G1314)-I1314, X)),IF(C1314="Buy",(L1314*G1314*100)+I1314,IF(C1314="Sell",(L1314*G1314*100)-I1314, X))))</f>
        <v/>
      </c>
      <c r="N1314" s="78">
        <f>IF(ISBLANK(L1314),"",IF(AND(C1314="Sell",D1314="Stock"),M1314,IF(ISBLANK(L1314),"",IF(C1314="Buy",M1314, IF(AND(C1314="Sell",J1314="NA"),(E1314*G1314*100*0.1)+I1314, IF(C1314="Sell",(J1314-L1314)*(100*G1314)+I1314))))))</f>
        <v/>
      </c>
      <c r="O1314" s="75" t="n"/>
      <c r="P1314" s="75" t="n"/>
      <c r="Q1314" s="75">
        <f>IF(ISBLANK(P1314),"",IF(D1314="Stock",P1314*G1314,IF(P1314=0,"0",G1314*P1314*100-(G1314*$AF$14))))</f>
        <v/>
      </c>
      <c r="R1314" s="79">
        <f>IF(P1314&lt;&gt;"", TODAY(), "")</f>
        <v/>
      </c>
      <c r="S1314" s="78">
        <f>IF(AND(K1314&lt;&gt;"", R1314&lt;&gt;""), R1314-K1314, "")</f>
        <v/>
      </c>
      <c r="T1314" s="78" t="n"/>
      <c r="U1314" s="92">
        <f>IF(ISBLANK(P1314),"",IF(C1314="Buy",Q1314-M1314+T1314, IF(C1314="Sell",M1314-Q1314-T1314, X)))</f>
        <v/>
      </c>
      <c r="V1314" s="81">
        <f>IF(ISBLANK(P1314),"",U1314/N1314)</f>
        <v/>
      </c>
      <c r="W1314" s="81">
        <f>IF(ISBLANK(P1314),"",IF(S1314=0,(365/0.5)*V1314,(365/S1314)*V1314))</f>
        <v/>
      </c>
      <c r="X1314" s="75" t="n"/>
      <c r="Y1314" s="77" t="n"/>
      <c r="Z1314" s="77" t="n"/>
      <c r="AA1314" s="75" t="n"/>
      <c r="AB1314" s="75" t="n"/>
      <c r="AC1314" s="6" t="n"/>
      <c r="AD1314" s="75" t="n"/>
      <c r="AE1314" s="75" t="n"/>
      <c r="AF1314" s="75" t="n"/>
    </row>
    <row r="1315" ht="15.75" customHeight="1" s="133">
      <c r="A1315" s="75" t="n"/>
      <c r="B1315" s="75" t="n"/>
      <c r="C1315" s="75" t="n"/>
      <c r="D1315" s="75" t="n"/>
      <c r="E1315" s="76" t="n"/>
      <c r="F1315" s="77" t="n"/>
      <c r="G1315" s="75" t="n"/>
      <c r="H1315" s="75">
        <f>IF(ISBLANK(E1315),"",IF(OR(D1315="Butterfly",D1315="Butterfly ",D1315="Iron Fly", D1315="Iron Fly "),LEN(E1315)-LEN(SUBSTITUTE(E1315,"/",""))+2,LEN(E1315)-LEN(SUBSTITUTE(E1315,"/",""))+1))</f>
        <v/>
      </c>
      <c r="I1315" s="78">
        <f>IF(ISBLANK(G1315),"",IF(D1315="Stock","0",Key!$A$3*H1315*G1315))</f>
        <v/>
      </c>
      <c r="J1315" s="78">
        <f>IF(ISBLANK(E1315),"",IF(ISNUMBER(SEARCH("/",E1315)), IF(LEN(E1315)-LEN(SUBSTITUTE(E1315,"/",""))=1,(RIGHT(E1315,LEN(E1315)-FIND("/",E1315)))-(LEFT(E1315,FIND("/",E1315)-1)),(MID(E1315, SEARCH("/",E1315) + 1, SEARCH("/",E1315, SEARCH("/",E1315)+1) - SEARCH("/",E1315) - 1))-(LEFT(E1315,FIND("/",E1315)-1))), "NA"))</f>
        <v/>
      </c>
      <c r="K1315" s="79">
        <f>IF(A1315&lt;&gt;"", IF(ISBLANK(L1315), TODAY(), K1315), "")</f>
        <v/>
      </c>
      <c r="L1315" s="78" t="n"/>
      <c r="M1315" s="78">
        <f>IF(ISBLANK(L1315),"",IF(D1315="Stock",IF(C1315="Buy",L1315*G1315,IF(C1315="Sell",(L1315*G1315)-I1315, X)),IF(C1315="Buy",(L1315*G1315*100)+I1315,IF(C1315="Sell",(L1315*G1315*100)-I1315, X))))</f>
        <v/>
      </c>
      <c r="N1315" s="78">
        <f>IF(ISBLANK(L1315),"",IF(AND(C1315="Sell",D1315="Stock"),M1315,IF(ISBLANK(L1315),"",IF(C1315="Buy",M1315, IF(AND(C1315="Sell",J1315="NA"),(E1315*G1315*100*0.1)+I1315, IF(C1315="Sell",(J1315-L1315)*(100*G1315)+I1315))))))</f>
        <v/>
      </c>
      <c r="O1315" s="75" t="n"/>
      <c r="P1315" s="75" t="n"/>
      <c r="Q1315" s="75">
        <f>IF(ISBLANK(P1315),"",IF(D1315="Stock",P1315*G1315,IF(P1315=0,"0",G1315*P1315*100-(G1315*$AF$14))))</f>
        <v/>
      </c>
      <c r="R1315" s="79">
        <f>IF(P1315&lt;&gt;"", TODAY(), "")</f>
        <v/>
      </c>
      <c r="S1315" s="78">
        <f>IF(AND(K1315&lt;&gt;"", R1315&lt;&gt;""), R1315-K1315, "")</f>
        <v/>
      </c>
      <c r="T1315" s="78" t="n"/>
      <c r="U1315" s="92">
        <f>IF(ISBLANK(P1315),"",IF(C1315="Buy",Q1315-M1315+T1315, IF(C1315="Sell",M1315-Q1315-T1315, X)))</f>
        <v/>
      </c>
      <c r="V1315" s="81">
        <f>IF(ISBLANK(P1315),"",U1315/N1315)</f>
        <v/>
      </c>
      <c r="W1315" s="81">
        <f>IF(ISBLANK(P1315),"",IF(S1315=0,(365/0.5)*V1315,(365/S1315)*V1315))</f>
        <v/>
      </c>
      <c r="X1315" s="75" t="n"/>
      <c r="Y1315" s="77" t="n"/>
      <c r="Z1315" s="77" t="n"/>
      <c r="AA1315" s="75" t="n"/>
      <c r="AB1315" s="75" t="n"/>
      <c r="AC1315" s="6" t="n"/>
      <c r="AD1315" s="75" t="n"/>
      <c r="AE1315" s="75" t="n"/>
      <c r="AF1315" s="75" t="n"/>
    </row>
    <row r="1316" ht="15.75" customHeight="1" s="133">
      <c r="A1316" s="75" t="n"/>
      <c r="B1316" s="75" t="n"/>
      <c r="C1316" s="75" t="n"/>
      <c r="D1316" s="75" t="n"/>
      <c r="E1316" s="76" t="n"/>
      <c r="F1316" s="77" t="n"/>
      <c r="G1316" s="75" t="n"/>
      <c r="H1316" s="75">
        <f>IF(ISBLANK(E1316),"",IF(OR(D1316="Butterfly",D1316="Butterfly ",D1316="Iron Fly", D1316="Iron Fly "),LEN(E1316)-LEN(SUBSTITUTE(E1316,"/",""))+2,LEN(E1316)-LEN(SUBSTITUTE(E1316,"/",""))+1))</f>
        <v/>
      </c>
      <c r="I1316" s="78">
        <f>IF(ISBLANK(G1316),"",IF(D1316="Stock","0",Key!$A$3*H1316*G1316))</f>
        <v/>
      </c>
      <c r="J1316" s="78">
        <f>IF(ISBLANK(E1316),"",IF(ISNUMBER(SEARCH("/",E1316)), IF(LEN(E1316)-LEN(SUBSTITUTE(E1316,"/",""))=1,(RIGHT(E1316,LEN(E1316)-FIND("/",E1316)))-(LEFT(E1316,FIND("/",E1316)-1)),(MID(E1316, SEARCH("/",E1316) + 1, SEARCH("/",E1316, SEARCH("/",E1316)+1) - SEARCH("/",E1316) - 1))-(LEFT(E1316,FIND("/",E1316)-1))), "NA"))</f>
        <v/>
      </c>
      <c r="K1316" s="79">
        <f>IF(A1316&lt;&gt;"", IF(ISBLANK(L1316), TODAY(), K1316), "")</f>
        <v/>
      </c>
      <c r="L1316" s="78" t="n"/>
      <c r="M1316" s="78">
        <f>IF(ISBLANK(L1316),"",IF(D1316="Stock",IF(C1316="Buy",L1316*G1316,IF(C1316="Sell",(L1316*G1316)-I1316, X)),IF(C1316="Buy",(L1316*G1316*100)+I1316,IF(C1316="Sell",(L1316*G1316*100)-I1316, X))))</f>
        <v/>
      </c>
      <c r="N1316" s="78">
        <f>IF(ISBLANK(L1316),"",IF(AND(C1316="Sell",D1316="Stock"),M1316,IF(ISBLANK(L1316),"",IF(C1316="Buy",M1316, IF(AND(C1316="Sell",J1316="NA"),(E1316*G1316*100*0.1)+I1316, IF(C1316="Sell",(J1316-L1316)*(100*G1316)+I1316))))))</f>
        <v/>
      </c>
      <c r="O1316" s="75" t="n"/>
      <c r="P1316" s="75" t="n"/>
      <c r="Q1316" s="75">
        <f>IF(ISBLANK(P1316),"",IF(D1316="Stock",P1316*G1316,IF(P1316=0,"0",G1316*P1316*100-(G1316*$AF$14))))</f>
        <v/>
      </c>
      <c r="R1316" s="79">
        <f>IF(P1316&lt;&gt;"", TODAY(), "")</f>
        <v/>
      </c>
      <c r="S1316" s="78">
        <f>IF(AND(K1316&lt;&gt;"", R1316&lt;&gt;""), R1316-K1316, "")</f>
        <v/>
      </c>
      <c r="T1316" s="78" t="n"/>
      <c r="U1316" s="92">
        <f>IF(ISBLANK(P1316),"",IF(C1316="Buy",Q1316-M1316+T1316, IF(C1316="Sell",M1316-Q1316-T1316, X)))</f>
        <v/>
      </c>
      <c r="V1316" s="81">
        <f>IF(ISBLANK(P1316),"",U1316/N1316)</f>
        <v/>
      </c>
      <c r="W1316" s="81">
        <f>IF(ISBLANK(P1316),"",IF(S1316=0,(365/0.5)*V1316,(365/S1316)*V1316))</f>
        <v/>
      </c>
      <c r="X1316" s="75" t="n"/>
      <c r="Y1316" s="77" t="n"/>
      <c r="Z1316" s="77" t="n"/>
      <c r="AA1316" s="75" t="n"/>
      <c r="AB1316" s="75" t="n"/>
      <c r="AC1316" s="6" t="n"/>
      <c r="AD1316" s="75" t="n"/>
      <c r="AE1316" s="75" t="n"/>
      <c r="AF1316" s="75" t="n"/>
    </row>
    <row r="1317" ht="15.75" customHeight="1" s="133">
      <c r="A1317" s="75" t="n"/>
      <c r="B1317" s="75" t="n"/>
      <c r="C1317" s="75" t="n"/>
      <c r="D1317" s="75" t="n"/>
      <c r="E1317" s="76" t="n"/>
      <c r="F1317" s="77" t="n"/>
      <c r="G1317" s="75" t="n"/>
      <c r="H1317" s="75">
        <f>IF(ISBLANK(E1317),"",IF(OR(D1317="Butterfly",D1317="Butterfly ",D1317="Iron Fly", D1317="Iron Fly "),LEN(E1317)-LEN(SUBSTITUTE(E1317,"/",""))+2,LEN(E1317)-LEN(SUBSTITUTE(E1317,"/",""))+1))</f>
        <v/>
      </c>
      <c r="I1317" s="78">
        <f>IF(ISBLANK(G1317),"",IF(D1317="Stock","0",Key!$A$3*H1317*G1317))</f>
        <v/>
      </c>
      <c r="J1317" s="78">
        <f>IF(ISBLANK(E1317),"",IF(ISNUMBER(SEARCH("/",E1317)), IF(LEN(E1317)-LEN(SUBSTITUTE(E1317,"/",""))=1,(RIGHT(E1317,LEN(E1317)-FIND("/",E1317)))-(LEFT(E1317,FIND("/",E1317)-1)),(MID(E1317, SEARCH("/",E1317) + 1, SEARCH("/",E1317, SEARCH("/",E1317)+1) - SEARCH("/",E1317) - 1))-(LEFT(E1317,FIND("/",E1317)-1))), "NA"))</f>
        <v/>
      </c>
      <c r="K1317" s="79">
        <f>IF(A1317&lt;&gt;"", IF(ISBLANK(L1317), TODAY(), K1317), "")</f>
        <v/>
      </c>
      <c r="L1317" s="78" t="n"/>
      <c r="M1317" s="78">
        <f>IF(ISBLANK(L1317),"",IF(D1317="Stock",IF(C1317="Buy",L1317*G1317,IF(C1317="Sell",(L1317*G1317)-I1317, X)),IF(C1317="Buy",(L1317*G1317*100)+I1317,IF(C1317="Sell",(L1317*G1317*100)-I1317, X))))</f>
        <v/>
      </c>
      <c r="N1317" s="78">
        <f>IF(ISBLANK(L1317),"",IF(AND(C1317="Sell",D1317="Stock"),M1317,IF(ISBLANK(L1317),"",IF(C1317="Buy",M1317, IF(AND(C1317="Sell",J1317="NA"),(E1317*G1317*100*0.1)+I1317, IF(C1317="Sell",(J1317-L1317)*(100*G1317)+I1317))))))</f>
        <v/>
      </c>
      <c r="O1317" s="75" t="n"/>
      <c r="P1317" s="75" t="n"/>
      <c r="Q1317" s="75">
        <f>IF(ISBLANK(P1317),"",IF(D1317="Stock",P1317*G1317,IF(P1317=0,"0",G1317*P1317*100-(G1317*$AF$14))))</f>
        <v/>
      </c>
      <c r="R1317" s="79">
        <f>IF(P1317&lt;&gt;"", TODAY(), "")</f>
        <v/>
      </c>
      <c r="S1317" s="78">
        <f>IF(AND(K1317&lt;&gt;"", R1317&lt;&gt;""), R1317-K1317, "")</f>
        <v/>
      </c>
      <c r="T1317" s="78" t="n"/>
      <c r="U1317" s="92">
        <f>IF(ISBLANK(P1317),"",IF(C1317="Buy",Q1317-M1317+T1317, IF(C1317="Sell",M1317-Q1317-T1317, X)))</f>
        <v/>
      </c>
      <c r="V1317" s="81">
        <f>IF(ISBLANK(P1317),"",U1317/N1317)</f>
        <v/>
      </c>
      <c r="W1317" s="81">
        <f>IF(ISBLANK(P1317),"",IF(S1317=0,(365/0.5)*V1317,(365/S1317)*V1317))</f>
        <v/>
      </c>
      <c r="X1317" s="75" t="n"/>
      <c r="Y1317" s="77" t="n"/>
      <c r="Z1317" s="77" t="n"/>
      <c r="AA1317" s="75" t="n"/>
      <c r="AB1317" s="75" t="n"/>
      <c r="AC1317" s="6" t="n"/>
      <c r="AD1317" s="75" t="n"/>
      <c r="AE1317" s="75" t="n"/>
      <c r="AF1317" s="75" t="n"/>
    </row>
    <row r="1318" ht="15.75" customHeight="1" s="133">
      <c r="A1318" s="75" t="n"/>
      <c r="B1318" s="75" t="n"/>
      <c r="C1318" s="75" t="n"/>
      <c r="D1318" s="75" t="n"/>
      <c r="E1318" s="76" t="n"/>
      <c r="F1318" s="77" t="n"/>
      <c r="G1318" s="75" t="n"/>
      <c r="H1318" s="75">
        <f>IF(ISBLANK(E1318),"",IF(OR(D1318="Butterfly",D1318="Butterfly ",D1318="Iron Fly", D1318="Iron Fly "),LEN(E1318)-LEN(SUBSTITUTE(E1318,"/",""))+2,LEN(E1318)-LEN(SUBSTITUTE(E1318,"/",""))+1))</f>
        <v/>
      </c>
      <c r="I1318" s="78">
        <f>IF(ISBLANK(G1318),"",IF(D1318="Stock","0",Key!$A$3*H1318*G1318))</f>
        <v/>
      </c>
      <c r="J1318" s="78">
        <f>IF(ISBLANK(E1318),"",IF(ISNUMBER(SEARCH("/",E1318)), IF(LEN(E1318)-LEN(SUBSTITUTE(E1318,"/",""))=1,(RIGHT(E1318,LEN(E1318)-FIND("/",E1318)))-(LEFT(E1318,FIND("/",E1318)-1)),(MID(E1318, SEARCH("/",E1318) + 1, SEARCH("/",E1318, SEARCH("/",E1318)+1) - SEARCH("/",E1318) - 1))-(LEFT(E1318,FIND("/",E1318)-1))), "NA"))</f>
        <v/>
      </c>
      <c r="K1318" s="79">
        <f>IF(A1318&lt;&gt;"", IF(ISBLANK(L1318), TODAY(), K1318), "")</f>
        <v/>
      </c>
      <c r="L1318" s="78" t="n"/>
      <c r="M1318" s="78">
        <f>IF(ISBLANK(L1318),"",IF(D1318="Stock",IF(C1318="Buy",L1318*G1318,IF(C1318="Sell",(L1318*G1318)-I1318, X)),IF(C1318="Buy",(L1318*G1318*100)+I1318,IF(C1318="Sell",(L1318*G1318*100)-I1318, X))))</f>
        <v/>
      </c>
      <c r="N1318" s="78">
        <f>IF(ISBLANK(L1318),"",IF(AND(C1318="Sell",D1318="Stock"),M1318,IF(ISBLANK(L1318),"",IF(C1318="Buy",M1318, IF(AND(C1318="Sell",J1318="NA"),(E1318*G1318*100*0.1)+I1318, IF(C1318="Sell",(J1318-L1318)*(100*G1318)+I1318))))))</f>
        <v/>
      </c>
      <c r="O1318" s="75" t="n"/>
      <c r="P1318" s="75" t="n"/>
      <c r="Q1318" s="75">
        <f>IF(ISBLANK(P1318),"",IF(D1318="Stock",P1318*G1318,IF(P1318=0,"0",G1318*P1318*100-(G1318*$AF$14))))</f>
        <v/>
      </c>
      <c r="R1318" s="79">
        <f>IF(P1318&lt;&gt;"", TODAY(), "")</f>
        <v/>
      </c>
      <c r="S1318" s="78">
        <f>IF(AND(K1318&lt;&gt;"", R1318&lt;&gt;""), R1318-K1318, "")</f>
        <v/>
      </c>
      <c r="T1318" s="78" t="n"/>
      <c r="U1318" s="92">
        <f>IF(ISBLANK(P1318),"",IF(C1318="Buy",Q1318-M1318+T1318, IF(C1318="Sell",M1318-Q1318-T1318, X)))</f>
        <v/>
      </c>
      <c r="V1318" s="81">
        <f>IF(ISBLANK(P1318),"",U1318/N1318)</f>
        <v/>
      </c>
      <c r="W1318" s="81">
        <f>IF(ISBLANK(P1318),"",IF(S1318=0,(365/0.5)*V1318,(365/S1318)*V1318))</f>
        <v/>
      </c>
      <c r="X1318" s="75" t="n"/>
      <c r="Y1318" s="77" t="n"/>
      <c r="Z1318" s="77" t="n"/>
      <c r="AA1318" s="75" t="n"/>
      <c r="AB1318" s="75" t="n"/>
      <c r="AC1318" s="6" t="n"/>
      <c r="AD1318" s="75" t="n"/>
      <c r="AE1318" s="75" t="n"/>
      <c r="AF1318" s="75" t="n"/>
    </row>
    <row r="1319" ht="15.75" customHeight="1" s="133">
      <c r="A1319" s="75" t="n"/>
      <c r="B1319" s="75" t="n"/>
      <c r="C1319" s="75" t="n"/>
      <c r="D1319" s="75" t="n"/>
      <c r="E1319" s="76" t="n"/>
      <c r="F1319" s="77" t="n"/>
      <c r="G1319" s="75" t="n"/>
      <c r="H1319" s="75">
        <f>IF(ISBLANK(E1319),"",IF(OR(D1319="Butterfly",D1319="Butterfly ",D1319="Iron Fly", D1319="Iron Fly "),LEN(E1319)-LEN(SUBSTITUTE(E1319,"/",""))+2,LEN(E1319)-LEN(SUBSTITUTE(E1319,"/",""))+1))</f>
        <v/>
      </c>
      <c r="I1319" s="78">
        <f>IF(ISBLANK(G1319),"",IF(D1319="Stock","0",Key!$A$3*H1319*G1319))</f>
        <v/>
      </c>
      <c r="J1319" s="78">
        <f>IF(ISBLANK(E1319),"",IF(ISNUMBER(SEARCH("/",E1319)), IF(LEN(E1319)-LEN(SUBSTITUTE(E1319,"/",""))=1,(RIGHT(E1319,LEN(E1319)-FIND("/",E1319)))-(LEFT(E1319,FIND("/",E1319)-1)),(MID(E1319, SEARCH("/",E1319) + 1, SEARCH("/",E1319, SEARCH("/",E1319)+1) - SEARCH("/",E1319) - 1))-(LEFT(E1319,FIND("/",E1319)-1))), "NA"))</f>
        <v/>
      </c>
      <c r="K1319" s="79">
        <f>IF(A1319&lt;&gt;"", IF(ISBLANK(L1319), TODAY(), K1319), "")</f>
        <v/>
      </c>
      <c r="L1319" s="78" t="n"/>
      <c r="M1319" s="78">
        <f>IF(ISBLANK(L1319),"",IF(D1319="Stock",IF(C1319="Buy",L1319*G1319,IF(C1319="Sell",(L1319*G1319)-I1319, X)),IF(C1319="Buy",(L1319*G1319*100)+I1319,IF(C1319="Sell",(L1319*G1319*100)-I1319, X))))</f>
        <v/>
      </c>
      <c r="N1319" s="78">
        <f>IF(ISBLANK(L1319),"",IF(AND(C1319="Sell",D1319="Stock"),M1319,IF(ISBLANK(L1319),"",IF(C1319="Buy",M1319, IF(AND(C1319="Sell",J1319="NA"),(E1319*G1319*100*0.1)+I1319, IF(C1319="Sell",(J1319-L1319)*(100*G1319)+I1319))))))</f>
        <v/>
      </c>
      <c r="O1319" s="75" t="n"/>
      <c r="P1319" s="75" t="n"/>
      <c r="Q1319" s="75">
        <f>IF(ISBLANK(P1319),"",IF(D1319="Stock",P1319*G1319,IF(P1319=0,"0",G1319*P1319*100-(G1319*$AF$14))))</f>
        <v/>
      </c>
      <c r="R1319" s="79">
        <f>IF(P1319&lt;&gt;"", TODAY(), "")</f>
        <v/>
      </c>
      <c r="S1319" s="78">
        <f>IF(AND(K1319&lt;&gt;"", R1319&lt;&gt;""), R1319-K1319, "")</f>
        <v/>
      </c>
      <c r="T1319" s="78" t="n"/>
      <c r="U1319" s="92">
        <f>IF(ISBLANK(P1319),"",IF(C1319="Buy",Q1319-M1319+T1319, IF(C1319="Sell",M1319-Q1319-T1319, X)))</f>
        <v/>
      </c>
      <c r="V1319" s="81">
        <f>IF(ISBLANK(P1319),"",U1319/N1319)</f>
        <v/>
      </c>
      <c r="W1319" s="81">
        <f>IF(ISBLANK(P1319),"",IF(S1319=0,(365/0.5)*V1319,(365/S1319)*V1319))</f>
        <v/>
      </c>
      <c r="X1319" s="75" t="n"/>
      <c r="Y1319" s="77" t="n"/>
      <c r="Z1319" s="77" t="n"/>
      <c r="AA1319" s="75" t="n"/>
      <c r="AB1319" s="75" t="n"/>
      <c r="AC1319" s="6" t="n"/>
      <c r="AD1319" s="75" t="n"/>
      <c r="AE1319" s="75" t="n"/>
      <c r="AF1319" s="75" t="n"/>
    </row>
    <row r="1320" ht="15.75" customHeight="1" s="133">
      <c r="A1320" s="75" t="n"/>
      <c r="B1320" s="75" t="n"/>
      <c r="C1320" s="75" t="n"/>
      <c r="D1320" s="75" t="n"/>
      <c r="E1320" s="76" t="n"/>
      <c r="F1320" s="77" t="n"/>
      <c r="G1320" s="75" t="n"/>
      <c r="H1320" s="75">
        <f>IF(ISBLANK(E1320),"",IF(OR(D1320="Butterfly",D1320="Butterfly ",D1320="Iron Fly", D1320="Iron Fly "),LEN(E1320)-LEN(SUBSTITUTE(E1320,"/",""))+2,LEN(E1320)-LEN(SUBSTITUTE(E1320,"/",""))+1))</f>
        <v/>
      </c>
      <c r="I1320" s="78">
        <f>IF(ISBLANK(G1320),"",IF(D1320="Stock","0",Key!$A$3*H1320*G1320))</f>
        <v/>
      </c>
      <c r="J1320" s="78">
        <f>IF(ISBLANK(E1320),"",IF(ISNUMBER(SEARCH("/",E1320)), IF(LEN(E1320)-LEN(SUBSTITUTE(E1320,"/",""))=1,(RIGHT(E1320,LEN(E1320)-FIND("/",E1320)))-(LEFT(E1320,FIND("/",E1320)-1)),(MID(E1320, SEARCH("/",E1320) + 1, SEARCH("/",E1320, SEARCH("/",E1320)+1) - SEARCH("/",E1320) - 1))-(LEFT(E1320,FIND("/",E1320)-1))), "NA"))</f>
        <v/>
      </c>
      <c r="K1320" s="79">
        <f>IF(A1320&lt;&gt;"", IF(ISBLANK(L1320), TODAY(), K1320), "")</f>
        <v/>
      </c>
      <c r="L1320" s="78" t="n"/>
      <c r="M1320" s="78">
        <f>IF(ISBLANK(L1320),"",IF(D1320="Stock",IF(C1320="Buy",L1320*G1320,IF(C1320="Sell",(L1320*G1320)-I1320, X)),IF(C1320="Buy",(L1320*G1320*100)+I1320,IF(C1320="Sell",(L1320*G1320*100)-I1320, X))))</f>
        <v/>
      </c>
      <c r="N1320" s="78">
        <f>IF(ISBLANK(L1320),"",IF(AND(C1320="Sell",D1320="Stock"),M1320,IF(ISBLANK(L1320),"",IF(C1320="Buy",M1320, IF(AND(C1320="Sell",J1320="NA"),(E1320*G1320*100*0.1)+I1320, IF(C1320="Sell",(J1320-L1320)*(100*G1320)+I1320))))))</f>
        <v/>
      </c>
      <c r="O1320" s="75" t="n"/>
      <c r="P1320" s="75" t="n"/>
      <c r="Q1320" s="75">
        <f>IF(ISBLANK(P1320),"",IF(D1320="Stock",P1320*G1320,IF(P1320=0,"0",G1320*P1320*100-(G1320*$AF$14))))</f>
        <v/>
      </c>
      <c r="R1320" s="79">
        <f>IF(P1320&lt;&gt;"", TODAY(), "")</f>
        <v/>
      </c>
      <c r="S1320" s="78">
        <f>IF(AND(K1320&lt;&gt;"", R1320&lt;&gt;""), R1320-K1320, "")</f>
        <v/>
      </c>
      <c r="T1320" s="78" t="n"/>
      <c r="U1320" s="92">
        <f>IF(ISBLANK(P1320),"",IF(C1320="Buy",Q1320-M1320+T1320, IF(C1320="Sell",M1320-Q1320-T1320, X)))</f>
        <v/>
      </c>
      <c r="V1320" s="81">
        <f>IF(ISBLANK(P1320),"",U1320/N1320)</f>
        <v/>
      </c>
      <c r="W1320" s="81">
        <f>IF(ISBLANK(P1320),"",IF(S1320=0,(365/0.5)*V1320,(365/S1320)*V1320))</f>
        <v/>
      </c>
      <c r="X1320" s="75" t="n"/>
      <c r="Y1320" s="77" t="n"/>
      <c r="Z1320" s="77" t="n"/>
      <c r="AA1320" s="75" t="n"/>
      <c r="AB1320" s="75" t="n"/>
      <c r="AC1320" s="6" t="n"/>
      <c r="AD1320" s="75" t="n"/>
      <c r="AE1320" s="75" t="n"/>
      <c r="AF1320" s="75" t="n"/>
    </row>
    <row r="1321" ht="15.75" customHeight="1" s="133">
      <c r="A1321" s="75" t="n"/>
      <c r="B1321" s="75" t="n"/>
      <c r="C1321" s="75" t="n"/>
      <c r="D1321" s="75" t="n"/>
      <c r="E1321" s="76" t="n"/>
      <c r="F1321" s="77" t="n"/>
      <c r="G1321" s="75" t="n"/>
      <c r="H1321" s="75">
        <f>IF(ISBLANK(E1321),"",IF(OR(D1321="Butterfly",D1321="Butterfly ",D1321="Iron Fly", D1321="Iron Fly "),LEN(E1321)-LEN(SUBSTITUTE(E1321,"/",""))+2,LEN(E1321)-LEN(SUBSTITUTE(E1321,"/",""))+1))</f>
        <v/>
      </c>
      <c r="I1321" s="78">
        <f>IF(ISBLANK(G1321),"",IF(D1321="Stock","0",Key!$A$3*H1321*G1321))</f>
        <v/>
      </c>
      <c r="J1321" s="78">
        <f>IF(ISBLANK(E1321),"",IF(ISNUMBER(SEARCH("/",E1321)), IF(LEN(E1321)-LEN(SUBSTITUTE(E1321,"/",""))=1,(RIGHT(E1321,LEN(E1321)-FIND("/",E1321)))-(LEFT(E1321,FIND("/",E1321)-1)),(MID(E1321, SEARCH("/",E1321) + 1, SEARCH("/",E1321, SEARCH("/",E1321)+1) - SEARCH("/",E1321) - 1))-(LEFT(E1321,FIND("/",E1321)-1))), "NA"))</f>
        <v/>
      </c>
      <c r="K1321" s="79">
        <f>IF(A1321&lt;&gt;"", IF(ISBLANK(L1321), TODAY(), K1321), "")</f>
        <v/>
      </c>
      <c r="L1321" s="78" t="n"/>
      <c r="M1321" s="78">
        <f>IF(ISBLANK(L1321),"",IF(D1321="Stock",IF(C1321="Buy",L1321*G1321,IF(C1321="Sell",(L1321*G1321)-I1321, X)),IF(C1321="Buy",(L1321*G1321*100)+I1321,IF(C1321="Sell",(L1321*G1321*100)-I1321, X))))</f>
        <v/>
      </c>
      <c r="N1321" s="78">
        <f>IF(ISBLANK(L1321),"",IF(AND(C1321="Sell",D1321="Stock"),M1321,IF(ISBLANK(L1321),"",IF(C1321="Buy",M1321, IF(AND(C1321="Sell",J1321="NA"),(E1321*G1321*100*0.1)+I1321, IF(C1321="Sell",(J1321-L1321)*(100*G1321)+I1321))))))</f>
        <v/>
      </c>
      <c r="O1321" s="75" t="n"/>
      <c r="P1321" s="75" t="n"/>
      <c r="Q1321" s="75">
        <f>IF(ISBLANK(P1321),"",IF(D1321="Stock",P1321*G1321,IF(P1321=0,"0",G1321*P1321*100-(G1321*$AF$14))))</f>
        <v/>
      </c>
      <c r="R1321" s="79">
        <f>IF(P1321&lt;&gt;"", TODAY(), "")</f>
        <v/>
      </c>
      <c r="S1321" s="78">
        <f>IF(AND(K1321&lt;&gt;"", R1321&lt;&gt;""), R1321-K1321, "")</f>
        <v/>
      </c>
      <c r="T1321" s="78" t="n"/>
      <c r="U1321" s="92">
        <f>IF(ISBLANK(P1321),"",IF(C1321="Buy",Q1321-M1321+T1321, IF(C1321="Sell",M1321-Q1321-T1321, X)))</f>
        <v/>
      </c>
      <c r="V1321" s="81">
        <f>IF(ISBLANK(P1321),"",U1321/N1321)</f>
        <v/>
      </c>
      <c r="W1321" s="81">
        <f>IF(ISBLANK(P1321),"",IF(S1321=0,(365/0.5)*V1321,(365/S1321)*V1321))</f>
        <v/>
      </c>
      <c r="X1321" s="75" t="n"/>
      <c r="Y1321" s="77" t="n"/>
      <c r="Z1321" s="77" t="n"/>
      <c r="AA1321" s="75" t="n"/>
      <c r="AB1321" s="75" t="n"/>
      <c r="AC1321" s="6" t="n"/>
      <c r="AD1321" s="75" t="n"/>
      <c r="AE1321" s="75" t="n"/>
      <c r="AF1321" s="75" t="n"/>
    </row>
    <row r="1322" ht="15.75" customHeight="1" s="133">
      <c r="A1322" s="75" t="n"/>
      <c r="B1322" s="75" t="n"/>
      <c r="C1322" s="75" t="n"/>
      <c r="D1322" s="75" t="n"/>
      <c r="E1322" s="76" t="n"/>
      <c r="F1322" s="77" t="n"/>
      <c r="G1322" s="75" t="n"/>
      <c r="H1322" s="75">
        <f>IF(ISBLANK(E1322),"",IF(OR(D1322="Butterfly",D1322="Butterfly ",D1322="Iron Fly", D1322="Iron Fly "),LEN(E1322)-LEN(SUBSTITUTE(E1322,"/",""))+2,LEN(E1322)-LEN(SUBSTITUTE(E1322,"/",""))+1))</f>
        <v/>
      </c>
      <c r="I1322" s="78">
        <f>IF(ISBLANK(G1322),"",IF(D1322="Stock","0",Key!$A$3*H1322*G1322))</f>
        <v/>
      </c>
      <c r="J1322" s="78">
        <f>IF(ISBLANK(E1322),"",IF(ISNUMBER(SEARCH("/",E1322)), IF(LEN(E1322)-LEN(SUBSTITUTE(E1322,"/",""))=1,(RIGHT(E1322,LEN(E1322)-FIND("/",E1322)))-(LEFT(E1322,FIND("/",E1322)-1)),(MID(E1322, SEARCH("/",E1322) + 1, SEARCH("/",E1322, SEARCH("/",E1322)+1) - SEARCH("/",E1322) - 1))-(LEFT(E1322,FIND("/",E1322)-1))), "NA"))</f>
        <v/>
      </c>
      <c r="K1322" s="79">
        <f>IF(A1322&lt;&gt;"", IF(ISBLANK(L1322), TODAY(), K1322), "")</f>
        <v/>
      </c>
      <c r="L1322" s="78" t="n"/>
      <c r="M1322" s="78">
        <f>IF(ISBLANK(L1322),"",IF(D1322="Stock",IF(C1322="Buy",L1322*G1322,IF(C1322="Sell",(L1322*G1322)-I1322, X)),IF(C1322="Buy",(L1322*G1322*100)+I1322,IF(C1322="Sell",(L1322*G1322*100)-I1322, X))))</f>
        <v/>
      </c>
      <c r="N1322" s="78">
        <f>IF(ISBLANK(L1322),"",IF(AND(C1322="Sell",D1322="Stock"),M1322,IF(ISBLANK(L1322),"",IF(C1322="Buy",M1322, IF(AND(C1322="Sell",J1322="NA"),(E1322*G1322*100*0.1)+I1322, IF(C1322="Sell",(J1322-L1322)*(100*G1322)+I1322))))))</f>
        <v/>
      </c>
      <c r="O1322" s="75" t="n"/>
      <c r="P1322" s="75" t="n"/>
      <c r="Q1322" s="75">
        <f>IF(ISBLANK(P1322),"",IF(D1322="Stock",P1322*G1322,IF(P1322=0,"0",G1322*P1322*100-(G1322*$AF$14))))</f>
        <v/>
      </c>
      <c r="R1322" s="79">
        <f>IF(P1322&lt;&gt;"", TODAY(), "")</f>
        <v/>
      </c>
      <c r="S1322" s="78">
        <f>IF(AND(K1322&lt;&gt;"", R1322&lt;&gt;""), R1322-K1322, "")</f>
        <v/>
      </c>
      <c r="T1322" s="78" t="n"/>
      <c r="U1322" s="92">
        <f>IF(ISBLANK(P1322),"",IF(C1322="Buy",Q1322-M1322+T1322, IF(C1322="Sell",M1322-Q1322-T1322, X)))</f>
        <v/>
      </c>
      <c r="V1322" s="81">
        <f>IF(ISBLANK(P1322),"",U1322/N1322)</f>
        <v/>
      </c>
      <c r="W1322" s="81">
        <f>IF(ISBLANK(P1322),"",IF(S1322=0,(365/0.5)*V1322,(365/S1322)*V1322))</f>
        <v/>
      </c>
      <c r="X1322" s="75" t="n"/>
      <c r="Y1322" s="77" t="n"/>
      <c r="Z1322" s="77" t="n"/>
      <c r="AA1322" s="75" t="n"/>
      <c r="AB1322" s="75" t="n"/>
      <c r="AC1322" s="6" t="n"/>
      <c r="AD1322" s="75" t="n"/>
      <c r="AE1322" s="75" t="n"/>
      <c r="AF1322" s="75" t="n"/>
    </row>
    <row r="1323" ht="15.75" customHeight="1" s="133">
      <c r="A1323" s="75" t="n"/>
      <c r="B1323" s="75" t="n"/>
      <c r="C1323" s="75" t="n"/>
      <c r="D1323" s="75" t="n"/>
      <c r="E1323" s="76" t="n"/>
      <c r="F1323" s="77" t="n"/>
      <c r="G1323" s="75" t="n"/>
      <c r="H1323" s="75">
        <f>IF(ISBLANK(E1323),"",IF(OR(D1323="Butterfly",D1323="Butterfly ",D1323="Iron Fly", D1323="Iron Fly "),LEN(E1323)-LEN(SUBSTITUTE(E1323,"/",""))+2,LEN(E1323)-LEN(SUBSTITUTE(E1323,"/",""))+1))</f>
        <v/>
      </c>
      <c r="I1323" s="78">
        <f>IF(ISBLANK(G1323),"",IF(D1323="Stock","0",Key!$A$3*H1323*G1323))</f>
        <v/>
      </c>
      <c r="J1323" s="78">
        <f>IF(ISBLANK(E1323),"",IF(ISNUMBER(SEARCH("/",E1323)), IF(LEN(E1323)-LEN(SUBSTITUTE(E1323,"/",""))=1,(RIGHT(E1323,LEN(E1323)-FIND("/",E1323)))-(LEFT(E1323,FIND("/",E1323)-1)),(MID(E1323, SEARCH("/",E1323) + 1, SEARCH("/",E1323, SEARCH("/",E1323)+1) - SEARCH("/",E1323) - 1))-(LEFT(E1323,FIND("/",E1323)-1))), "NA"))</f>
        <v/>
      </c>
      <c r="K1323" s="79">
        <f>IF(A1323&lt;&gt;"", IF(ISBLANK(L1323), TODAY(), K1323), "")</f>
        <v/>
      </c>
      <c r="L1323" s="78" t="n"/>
      <c r="M1323" s="78">
        <f>IF(ISBLANK(L1323),"",IF(D1323="Stock",IF(C1323="Buy",L1323*G1323,IF(C1323="Sell",(L1323*G1323)-I1323, X)),IF(C1323="Buy",(L1323*G1323*100)+I1323,IF(C1323="Sell",(L1323*G1323*100)-I1323, X))))</f>
        <v/>
      </c>
      <c r="N1323" s="78">
        <f>IF(ISBLANK(L1323),"",IF(AND(C1323="Sell",D1323="Stock"),M1323,IF(ISBLANK(L1323),"",IF(C1323="Buy",M1323, IF(AND(C1323="Sell",J1323="NA"),(E1323*G1323*100*0.1)+I1323, IF(C1323="Sell",(J1323-L1323)*(100*G1323)+I1323))))))</f>
        <v/>
      </c>
      <c r="O1323" s="75" t="n"/>
      <c r="P1323" s="75" t="n"/>
      <c r="Q1323" s="75">
        <f>IF(ISBLANK(P1323),"",IF(D1323="Stock",P1323*G1323,IF(P1323=0,"0",G1323*P1323*100-(G1323*$AF$14))))</f>
        <v/>
      </c>
      <c r="R1323" s="79">
        <f>IF(P1323&lt;&gt;"", TODAY(), "")</f>
        <v/>
      </c>
      <c r="S1323" s="78">
        <f>IF(AND(K1323&lt;&gt;"", R1323&lt;&gt;""), R1323-K1323, "")</f>
        <v/>
      </c>
      <c r="T1323" s="78" t="n"/>
      <c r="U1323" s="92">
        <f>IF(ISBLANK(P1323),"",IF(C1323="Buy",Q1323-M1323+T1323, IF(C1323="Sell",M1323-Q1323-T1323, X)))</f>
        <v/>
      </c>
      <c r="V1323" s="81">
        <f>IF(ISBLANK(P1323),"",U1323/N1323)</f>
        <v/>
      </c>
      <c r="W1323" s="81">
        <f>IF(ISBLANK(P1323),"",IF(S1323=0,(365/0.5)*V1323,(365/S1323)*V1323))</f>
        <v/>
      </c>
      <c r="X1323" s="75" t="n"/>
      <c r="Y1323" s="77" t="n"/>
      <c r="Z1323" s="77" t="n"/>
      <c r="AA1323" s="75" t="n"/>
      <c r="AB1323" s="75" t="n"/>
      <c r="AC1323" s="6" t="n"/>
      <c r="AD1323" s="75" t="n"/>
      <c r="AE1323" s="75" t="n"/>
      <c r="AF1323" s="75" t="n"/>
    </row>
    <row r="1324" ht="15.75" customHeight="1" s="133">
      <c r="A1324" s="75" t="n"/>
      <c r="B1324" s="75" t="n"/>
      <c r="C1324" s="75" t="n"/>
      <c r="D1324" s="75" t="n"/>
      <c r="E1324" s="76" t="n"/>
      <c r="F1324" s="77" t="n"/>
      <c r="G1324" s="75" t="n"/>
      <c r="H1324" s="75">
        <f>IF(ISBLANK(E1324),"",IF(OR(D1324="Butterfly",D1324="Butterfly ",D1324="Iron Fly", D1324="Iron Fly "),LEN(E1324)-LEN(SUBSTITUTE(E1324,"/",""))+2,LEN(E1324)-LEN(SUBSTITUTE(E1324,"/",""))+1))</f>
        <v/>
      </c>
      <c r="I1324" s="78">
        <f>IF(ISBLANK(G1324),"",IF(D1324="Stock","0",Key!$A$3*H1324*G1324))</f>
        <v/>
      </c>
      <c r="J1324" s="78">
        <f>IF(ISBLANK(E1324),"",IF(ISNUMBER(SEARCH("/",E1324)), IF(LEN(E1324)-LEN(SUBSTITUTE(E1324,"/",""))=1,(RIGHT(E1324,LEN(E1324)-FIND("/",E1324)))-(LEFT(E1324,FIND("/",E1324)-1)),(MID(E1324, SEARCH("/",E1324) + 1, SEARCH("/",E1324, SEARCH("/",E1324)+1) - SEARCH("/",E1324) - 1))-(LEFT(E1324,FIND("/",E1324)-1))), "NA"))</f>
        <v/>
      </c>
      <c r="K1324" s="79">
        <f>IF(A1324&lt;&gt;"", IF(ISBLANK(L1324), TODAY(), K1324), "")</f>
        <v/>
      </c>
      <c r="L1324" s="78" t="n"/>
      <c r="M1324" s="78">
        <f>IF(ISBLANK(L1324),"",IF(D1324="Stock",IF(C1324="Buy",L1324*G1324,IF(C1324="Sell",(L1324*G1324)-I1324, X)),IF(C1324="Buy",(L1324*G1324*100)+I1324,IF(C1324="Sell",(L1324*G1324*100)-I1324, X))))</f>
        <v/>
      </c>
      <c r="N1324" s="78">
        <f>IF(ISBLANK(L1324),"",IF(AND(C1324="Sell",D1324="Stock"),M1324,IF(ISBLANK(L1324),"",IF(C1324="Buy",M1324, IF(AND(C1324="Sell",J1324="NA"),(E1324*G1324*100*0.1)+I1324, IF(C1324="Sell",(J1324-L1324)*(100*G1324)+I1324))))))</f>
        <v/>
      </c>
      <c r="O1324" s="75" t="n"/>
      <c r="P1324" s="75" t="n"/>
      <c r="Q1324" s="75">
        <f>IF(ISBLANK(P1324),"",IF(D1324="Stock",P1324*G1324,IF(P1324=0,"0",G1324*P1324*100-(G1324*$AF$14))))</f>
        <v/>
      </c>
      <c r="R1324" s="79">
        <f>IF(P1324&lt;&gt;"", TODAY(), "")</f>
        <v/>
      </c>
      <c r="S1324" s="78">
        <f>IF(AND(K1324&lt;&gt;"", R1324&lt;&gt;""), R1324-K1324, "")</f>
        <v/>
      </c>
      <c r="T1324" s="78" t="n"/>
      <c r="U1324" s="92">
        <f>IF(ISBLANK(P1324),"",IF(C1324="Buy",Q1324-M1324+T1324, IF(C1324="Sell",M1324-Q1324-T1324, X)))</f>
        <v/>
      </c>
      <c r="V1324" s="81">
        <f>IF(ISBLANK(P1324),"",U1324/N1324)</f>
        <v/>
      </c>
      <c r="W1324" s="81">
        <f>IF(ISBLANK(P1324),"",IF(S1324=0,(365/0.5)*V1324,(365/S1324)*V1324))</f>
        <v/>
      </c>
      <c r="X1324" s="75" t="n"/>
      <c r="Y1324" s="77" t="n"/>
      <c r="Z1324" s="77" t="n"/>
      <c r="AA1324" s="75" t="n"/>
      <c r="AB1324" s="75" t="n"/>
      <c r="AC1324" s="6" t="n"/>
      <c r="AD1324" s="75" t="n"/>
      <c r="AE1324" s="75" t="n"/>
      <c r="AF1324" s="75" t="n"/>
    </row>
    <row r="1325" ht="15.75" customHeight="1" s="133">
      <c r="A1325" s="75" t="n"/>
      <c r="B1325" s="75" t="n"/>
      <c r="C1325" s="75" t="n"/>
      <c r="D1325" s="75" t="n"/>
      <c r="E1325" s="76" t="n"/>
      <c r="F1325" s="77" t="n"/>
      <c r="G1325" s="75" t="n"/>
      <c r="H1325" s="75">
        <f>IF(ISBLANK(E1325),"",IF(OR(D1325="Butterfly",D1325="Butterfly ",D1325="Iron Fly", D1325="Iron Fly "),LEN(E1325)-LEN(SUBSTITUTE(E1325,"/",""))+2,LEN(E1325)-LEN(SUBSTITUTE(E1325,"/",""))+1))</f>
        <v/>
      </c>
      <c r="I1325" s="78">
        <f>IF(ISBLANK(G1325),"",IF(D1325="Stock","0",Key!$A$3*H1325*G1325))</f>
        <v/>
      </c>
      <c r="J1325" s="78">
        <f>IF(ISBLANK(E1325),"",IF(ISNUMBER(SEARCH("/",E1325)), IF(LEN(E1325)-LEN(SUBSTITUTE(E1325,"/",""))=1,(RIGHT(E1325,LEN(E1325)-FIND("/",E1325)))-(LEFT(E1325,FIND("/",E1325)-1)),(MID(E1325, SEARCH("/",E1325) + 1, SEARCH("/",E1325, SEARCH("/",E1325)+1) - SEARCH("/",E1325) - 1))-(LEFT(E1325,FIND("/",E1325)-1))), "NA"))</f>
        <v/>
      </c>
      <c r="K1325" s="79">
        <f>IF(A1325&lt;&gt;"", IF(ISBLANK(L1325), TODAY(), K1325), "")</f>
        <v/>
      </c>
      <c r="L1325" s="78" t="n"/>
      <c r="M1325" s="78">
        <f>IF(ISBLANK(L1325),"",IF(D1325="Stock",IF(C1325="Buy",L1325*G1325,IF(C1325="Sell",(L1325*G1325)-I1325, X)),IF(C1325="Buy",(L1325*G1325*100)+I1325,IF(C1325="Sell",(L1325*G1325*100)-I1325, X))))</f>
        <v/>
      </c>
      <c r="N1325" s="78">
        <f>IF(ISBLANK(L1325),"",IF(AND(C1325="Sell",D1325="Stock"),M1325,IF(ISBLANK(L1325),"",IF(C1325="Buy",M1325, IF(AND(C1325="Sell",J1325="NA"),(E1325*G1325*100*0.1)+I1325, IF(C1325="Sell",(J1325-L1325)*(100*G1325)+I1325))))))</f>
        <v/>
      </c>
      <c r="O1325" s="75" t="n"/>
      <c r="P1325" s="75" t="n"/>
      <c r="Q1325" s="75">
        <f>IF(ISBLANK(P1325),"",IF(D1325="Stock",P1325*G1325,IF(P1325=0,"0",G1325*P1325*100-(G1325*$AF$14))))</f>
        <v/>
      </c>
      <c r="R1325" s="79">
        <f>IF(P1325&lt;&gt;"", TODAY(), "")</f>
        <v/>
      </c>
      <c r="S1325" s="78">
        <f>IF(AND(K1325&lt;&gt;"", R1325&lt;&gt;""), R1325-K1325, "")</f>
        <v/>
      </c>
      <c r="T1325" s="78" t="n"/>
      <c r="U1325" s="92">
        <f>IF(ISBLANK(P1325),"",IF(C1325="Buy",Q1325-M1325+T1325, IF(C1325="Sell",M1325-Q1325-T1325, X)))</f>
        <v/>
      </c>
      <c r="V1325" s="81">
        <f>IF(ISBLANK(P1325),"",U1325/N1325)</f>
        <v/>
      </c>
      <c r="W1325" s="81">
        <f>IF(ISBLANK(P1325),"",IF(S1325=0,(365/0.5)*V1325,(365/S1325)*V1325))</f>
        <v/>
      </c>
      <c r="X1325" s="75" t="n"/>
      <c r="Y1325" s="77" t="n"/>
      <c r="Z1325" s="77" t="n"/>
      <c r="AA1325" s="75" t="n"/>
      <c r="AB1325" s="75" t="n"/>
      <c r="AC1325" s="6" t="n"/>
      <c r="AD1325" s="75" t="n"/>
      <c r="AE1325" s="75" t="n"/>
      <c r="AF1325" s="75" t="n"/>
    </row>
    <row r="1326" ht="15.75" customHeight="1" s="133">
      <c r="A1326" s="75" t="n"/>
      <c r="B1326" s="75" t="n"/>
      <c r="C1326" s="75" t="n"/>
      <c r="D1326" s="75" t="n"/>
      <c r="E1326" s="76" t="n"/>
      <c r="F1326" s="77" t="n"/>
      <c r="G1326" s="75" t="n"/>
      <c r="H1326" s="75">
        <f>IF(ISBLANK(E1326),"",IF(OR(D1326="Butterfly",D1326="Butterfly ",D1326="Iron Fly", D1326="Iron Fly "),LEN(E1326)-LEN(SUBSTITUTE(E1326,"/",""))+2,LEN(E1326)-LEN(SUBSTITUTE(E1326,"/",""))+1))</f>
        <v/>
      </c>
      <c r="I1326" s="78">
        <f>IF(ISBLANK(G1326),"",IF(D1326="Stock","0",Key!$A$3*H1326*G1326))</f>
        <v/>
      </c>
      <c r="J1326" s="78">
        <f>IF(ISBLANK(E1326),"",IF(ISNUMBER(SEARCH("/",E1326)), IF(LEN(E1326)-LEN(SUBSTITUTE(E1326,"/",""))=1,(RIGHT(E1326,LEN(E1326)-FIND("/",E1326)))-(LEFT(E1326,FIND("/",E1326)-1)),(MID(E1326, SEARCH("/",E1326) + 1, SEARCH("/",E1326, SEARCH("/",E1326)+1) - SEARCH("/",E1326) - 1))-(LEFT(E1326,FIND("/",E1326)-1))), "NA"))</f>
        <v/>
      </c>
      <c r="K1326" s="79">
        <f>IF(A1326&lt;&gt;"", IF(ISBLANK(L1326), TODAY(), K1326), "")</f>
        <v/>
      </c>
      <c r="L1326" s="78" t="n"/>
      <c r="M1326" s="78">
        <f>IF(ISBLANK(L1326),"",IF(D1326="Stock",IF(C1326="Buy",L1326*G1326,IF(C1326="Sell",(L1326*G1326)-I1326, X)),IF(C1326="Buy",(L1326*G1326*100)+I1326,IF(C1326="Sell",(L1326*G1326*100)-I1326, X))))</f>
        <v/>
      </c>
      <c r="N1326" s="78">
        <f>IF(ISBLANK(L1326),"",IF(AND(C1326="Sell",D1326="Stock"),M1326,IF(ISBLANK(L1326),"",IF(C1326="Buy",M1326, IF(AND(C1326="Sell",J1326="NA"),(E1326*G1326*100*0.1)+I1326, IF(C1326="Sell",(J1326-L1326)*(100*G1326)+I1326))))))</f>
        <v/>
      </c>
      <c r="O1326" s="75" t="n"/>
      <c r="P1326" s="75" t="n"/>
      <c r="Q1326" s="75">
        <f>IF(ISBLANK(P1326),"",IF(D1326="Stock",P1326*G1326,IF(P1326=0,"0",G1326*P1326*100-(G1326*$AF$14))))</f>
        <v/>
      </c>
      <c r="R1326" s="79">
        <f>IF(P1326&lt;&gt;"", TODAY(), "")</f>
        <v/>
      </c>
      <c r="S1326" s="78">
        <f>IF(AND(K1326&lt;&gt;"", R1326&lt;&gt;""), R1326-K1326, "")</f>
        <v/>
      </c>
      <c r="T1326" s="78" t="n"/>
      <c r="U1326" s="92">
        <f>IF(ISBLANK(P1326),"",IF(C1326="Buy",Q1326-M1326+T1326, IF(C1326="Sell",M1326-Q1326-T1326, X)))</f>
        <v/>
      </c>
      <c r="V1326" s="81">
        <f>IF(ISBLANK(P1326),"",U1326/N1326)</f>
        <v/>
      </c>
      <c r="W1326" s="81">
        <f>IF(ISBLANK(P1326),"",IF(S1326=0,(365/0.5)*V1326,(365/S1326)*V1326))</f>
        <v/>
      </c>
      <c r="X1326" s="75" t="n"/>
      <c r="Y1326" s="77" t="n"/>
      <c r="Z1326" s="77" t="n"/>
      <c r="AA1326" s="75" t="n"/>
      <c r="AB1326" s="75" t="n"/>
      <c r="AC1326" s="6" t="n"/>
      <c r="AD1326" s="75" t="n"/>
      <c r="AE1326" s="75" t="n"/>
      <c r="AF1326" s="75" t="n"/>
    </row>
    <row r="1327" ht="15.75" customHeight="1" s="133">
      <c r="A1327" s="75" t="n"/>
      <c r="B1327" s="75" t="n"/>
      <c r="C1327" s="75" t="n"/>
      <c r="D1327" s="75" t="n"/>
      <c r="E1327" s="76" t="n"/>
      <c r="F1327" s="77" t="n"/>
      <c r="G1327" s="75" t="n"/>
      <c r="H1327" s="75">
        <f>IF(ISBLANK(E1327),"",IF(OR(D1327="Butterfly",D1327="Butterfly ",D1327="Iron Fly", D1327="Iron Fly "),LEN(E1327)-LEN(SUBSTITUTE(E1327,"/",""))+2,LEN(E1327)-LEN(SUBSTITUTE(E1327,"/",""))+1))</f>
        <v/>
      </c>
      <c r="I1327" s="78">
        <f>IF(ISBLANK(G1327),"",IF(D1327="Stock","0",Key!$A$3*H1327*G1327))</f>
        <v/>
      </c>
      <c r="J1327" s="78">
        <f>IF(ISBLANK(E1327),"",IF(ISNUMBER(SEARCH("/",E1327)), IF(LEN(E1327)-LEN(SUBSTITUTE(E1327,"/",""))=1,(RIGHT(E1327,LEN(E1327)-FIND("/",E1327)))-(LEFT(E1327,FIND("/",E1327)-1)),(MID(E1327, SEARCH("/",E1327) + 1, SEARCH("/",E1327, SEARCH("/",E1327)+1) - SEARCH("/",E1327) - 1))-(LEFT(E1327,FIND("/",E1327)-1))), "NA"))</f>
        <v/>
      </c>
      <c r="K1327" s="79">
        <f>IF(A1327&lt;&gt;"", IF(ISBLANK(L1327), TODAY(), K1327), "")</f>
        <v/>
      </c>
      <c r="L1327" s="78" t="n"/>
      <c r="M1327" s="78">
        <f>IF(ISBLANK(L1327),"",IF(D1327="Stock",IF(C1327="Buy",L1327*G1327,IF(C1327="Sell",(L1327*G1327)-I1327, X)),IF(C1327="Buy",(L1327*G1327*100)+I1327,IF(C1327="Sell",(L1327*G1327*100)-I1327, X))))</f>
        <v/>
      </c>
      <c r="N1327" s="78">
        <f>IF(ISBLANK(L1327),"",IF(AND(C1327="Sell",D1327="Stock"),M1327,IF(ISBLANK(L1327),"",IF(C1327="Buy",M1327, IF(AND(C1327="Sell",J1327="NA"),(E1327*G1327*100*0.1)+I1327, IF(C1327="Sell",(J1327-L1327)*(100*G1327)+I1327))))))</f>
        <v/>
      </c>
      <c r="O1327" s="75" t="n"/>
      <c r="P1327" s="75" t="n"/>
      <c r="Q1327" s="75">
        <f>IF(ISBLANK(P1327),"",IF(D1327="Stock",P1327*G1327,IF(P1327=0,"0",G1327*P1327*100-(G1327*$AF$14))))</f>
        <v/>
      </c>
      <c r="R1327" s="79">
        <f>IF(P1327&lt;&gt;"", TODAY(), "")</f>
        <v/>
      </c>
      <c r="S1327" s="78">
        <f>IF(AND(K1327&lt;&gt;"", R1327&lt;&gt;""), R1327-K1327, "")</f>
        <v/>
      </c>
      <c r="T1327" s="78" t="n"/>
      <c r="U1327" s="92">
        <f>IF(ISBLANK(P1327),"",IF(C1327="Buy",Q1327-M1327+T1327, IF(C1327="Sell",M1327-Q1327-T1327, X)))</f>
        <v/>
      </c>
      <c r="V1327" s="81">
        <f>IF(ISBLANK(P1327),"",U1327/N1327)</f>
        <v/>
      </c>
      <c r="W1327" s="81">
        <f>IF(ISBLANK(P1327),"",IF(S1327=0,(365/0.5)*V1327,(365/S1327)*V1327))</f>
        <v/>
      </c>
      <c r="X1327" s="75" t="n"/>
      <c r="Y1327" s="77" t="n"/>
      <c r="Z1327" s="77" t="n"/>
      <c r="AA1327" s="75" t="n"/>
      <c r="AB1327" s="75" t="n"/>
      <c r="AC1327" s="6" t="n"/>
      <c r="AD1327" s="75" t="n"/>
      <c r="AE1327" s="75" t="n"/>
      <c r="AF1327" s="75" t="n"/>
    </row>
    <row r="1328" ht="15.75" customHeight="1" s="133">
      <c r="A1328" s="75" t="n"/>
      <c r="B1328" s="75" t="n"/>
      <c r="C1328" s="75" t="n"/>
      <c r="D1328" s="75" t="n"/>
      <c r="E1328" s="76" t="n"/>
      <c r="F1328" s="77" t="n"/>
      <c r="G1328" s="75" t="n"/>
      <c r="H1328" s="75">
        <f>IF(ISBLANK(E1328),"",IF(OR(D1328="Butterfly",D1328="Butterfly ",D1328="Iron Fly", D1328="Iron Fly "),LEN(E1328)-LEN(SUBSTITUTE(E1328,"/",""))+2,LEN(E1328)-LEN(SUBSTITUTE(E1328,"/",""))+1))</f>
        <v/>
      </c>
      <c r="I1328" s="78">
        <f>IF(ISBLANK(G1328),"",IF(D1328="Stock","0",Key!$A$3*H1328*G1328))</f>
        <v/>
      </c>
      <c r="J1328" s="78">
        <f>IF(ISBLANK(E1328),"",IF(ISNUMBER(SEARCH("/",E1328)), IF(LEN(E1328)-LEN(SUBSTITUTE(E1328,"/",""))=1,(RIGHT(E1328,LEN(E1328)-FIND("/",E1328)))-(LEFT(E1328,FIND("/",E1328)-1)),(MID(E1328, SEARCH("/",E1328) + 1, SEARCH("/",E1328, SEARCH("/",E1328)+1) - SEARCH("/",E1328) - 1))-(LEFT(E1328,FIND("/",E1328)-1))), "NA"))</f>
        <v/>
      </c>
      <c r="K1328" s="79">
        <f>IF(A1328&lt;&gt;"", IF(ISBLANK(L1328), TODAY(), K1328), "")</f>
        <v/>
      </c>
      <c r="L1328" s="78" t="n"/>
      <c r="M1328" s="78">
        <f>IF(ISBLANK(L1328),"",IF(D1328="Stock",IF(C1328="Buy",L1328*G1328,IF(C1328="Sell",(L1328*G1328)-I1328, X)),IF(C1328="Buy",(L1328*G1328*100)+I1328,IF(C1328="Sell",(L1328*G1328*100)-I1328, X))))</f>
        <v/>
      </c>
      <c r="N1328" s="78">
        <f>IF(ISBLANK(L1328),"",IF(AND(C1328="Sell",D1328="Stock"),M1328,IF(ISBLANK(L1328),"",IF(C1328="Buy",M1328, IF(AND(C1328="Sell",J1328="NA"),(E1328*G1328*100*0.1)+I1328, IF(C1328="Sell",(J1328-L1328)*(100*G1328)+I1328))))))</f>
        <v/>
      </c>
      <c r="O1328" s="75" t="n"/>
      <c r="P1328" s="75" t="n"/>
      <c r="Q1328" s="75">
        <f>IF(ISBLANK(P1328),"",IF(D1328="Stock",P1328*G1328,IF(P1328=0,"0",G1328*P1328*100-(G1328*$AF$14))))</f>
        <v/>
      </c>
      <c r="R1328" s="79">
        <f>IF(P1328&lt;&gt;"", TODAY(), "")</f>
        <v/>
      </c>
      <c r="S1328" s="78">
        <f>IF(AND(K1328&lt;&gt;"", R1328&lt;&gt;""), R1328-K1328, "")</f>
        <v/>
      </c>
      <c r="T1328" s="78" t="n"/>
      <c r="U1328" s="92">
        <f>IF(ISBLANK(P1328),"",IF(C1328="Buy",Q1328-M1328+T1328, IF(C1328="Sell",M1328-Q1328-T1328, X)))</f>
        <v/>
      </c>
      <c r="V1328" s="81">
        <f>IF(ISBLANK(P1328),"",U1328/N1328)</f>
        <v/>
      </c>
      <c r="W1328" s="81">
        <f>IF(ISBLANK(P1328),"",IF(S1328=0,(365/0.5)*V1328,(365/S1328)*V1328))</f>
        <v/>
      </c>
      <c r="X1328" s="75" t="n"/>
      <c r="Y1328" s="77" t="n"/>
      <c r="Z1328" s="77" t="n"/>
      <c r="AA1328" s="75" t="n"/>
      <c r="AB1328" s="75" t="n"/>
      <c r="AC1328" s="6" t="n"/>
      <c r="AD1328" s="75" t="n"/>
      <c r="AE1328" s="75" t="n"/>
      <c r="AF1328" s="75" t="n"/>
    </row>
    <row r="1329" ht="15.75" customHeight="1" s="133">
      <c r="A1329" s="75" t="n"/>
      <c r="B1329" s="75" t="n"/>
      <c r="C1329" s="75" t="n"/>
      <c r="D1329" s="75" t="n"/>
      <c r="E1329" s="76" t="n"/>
      <c r="F1329" s="77" t="n"/>
      <c r="G1329" s="75" t="n"/>
      <c r="H1329" s="75">
        <f>IF(ISBLANK(E1329),"",IF(OR(D1329="Butterfly",D1329="Butterfly ",D1329="Iron Fly", D1329="Iron Fly "),LEN(E1329)-LEN(SUBSTITUTE(E1329,"/",""))+2,LEN(E1329)-LEN(SUBSTITUTE(E1329,"/",""))+1))</f>
        <v/>
      </c>
      <c r="I1329" s="78">
        <f>IF(ISBLANK(G1329),"",IF(D1329="Stock","0",Key!$A$3*H1329*G1329))</f>
        <v/>
      </c>
      <c r="J1329" s="78">
        <f>IF(ISBLANK(E1329),"",IF(ISNUMBER(SEARCH("/",E1329)), IF(LEN(E1329)-LEN(SUBSTITUTE(E1329,"/",""))=1,(RIGHT(E1329,LEN(E1329)-FIND("/",E1329)))-(LEFT(E1329,FIND("/",E1329)-1)),(MID(E1329, SEARCH("/",E1329) + 1, SEARCH("/",E1329, SEARCH("/",E1329)+1) - SEARCH("/",E1329) - 1))-(LEFT(E1329,FIND("/",E1329)-1))), "NA"))</f>
        <v/>
      </c>
      <c r="K1329" s="79">
        <f>IF(A1329&lt;&gt;"", IF(ISBLANK(L1329), TODAY(), K1329), "")</f>
        <v/>
      </c>
      <c r="L1329" s="78" t="n"/>
      <c r="M1329" s="78">
        <f>IF(ISBLANK(L1329),"",IF(D1329="Stock",IF(C1329="Buy",L1329*G1329,IF(C1329="Sell",(L1329*G1329)-I1329, X)),IF(C1329="Buy",(L1329*G1329*100)+I1329,IF(C1329="Sell",(L1329*G1329*100)-I1329, X))))</f>
        <v/>
      </c>
      <c r="N1329" s="78">
        <f>IF(ISBLANK(L1329),"",IF(AND(C1329="Sell",D1329="Stock"),M1329,IF(ISBLANK(L1329),"",IF(C1329="Buy",M1329, IF(AND(C1329="Sell",J1329="NA"),(E1329*G1329*100*0.1)+I1329, IF(C1329="Sell",(J1329-L1329)*(100*G1329)+I1329))))))</f>
        <v/>
      </c>
      <c r="O1329" s="75" t="n"/>
      <c r="P1329" s="75" t="n"/>
      <c r="Q1329" s="75">
        <f>IF(ISBLANK(P1329),"",IF(D1329="Stock",P1329*G1329,IF(P1329=0,"0",G1329*P1329*100-(G1329*$AF$14))))</f>
        <v/>
      </c>
      <c r="R1329" s="79">
        <f>IF(P1329&lt;&gt;"", TODAY(), "")</f>
        <v/>
      </c>
      <c r="S1329" s="78">
        <f>IF(AND(K1329&lt;&gt;"", R1329&lt;&gt;""), R1329-K1329, "")</f>
        <v/>
      </c>
      <c r="T1329" s="78" t="n"/>
      <c r="U1329" s="92">
        <f>IF(ISBLANK(P1329),"",IF(C1329="Buy",Q1329-M1329+T1329, IF(C1329="Sell",M1329-Q1329-T1329, X)))</f>
        <v/>
      </c>
      <c r="V1329" s="81">
        <f>IF(ISBLANK(P1329),"",U1329/N1329)</f>
        <v/>
      </c>
      <c r="W1329" s="81">
        <f>IF(ISBLANK(P1329),"",IF(S1329=0,(365/0.5)*V1329,(365/S1329)*V1329))</f>
        <v/>
      </c>
      <c r="X1329" s="75" t="n"/>
      <c r="Y1329" s="77" t="n"/>
      <c r="Z1329" s="77" t="n"/>
      <c r="AA1329" s="75" t="n"/>
      <c r="AB1329" s="75" t="n"/>
      <c r="AC1329" s="6" t="n"/>
      <c r="AD1329" s="75" t="n"/>
      <c r="AE1329" s="75" t="n"/>
      <c r="AF1329" s="75" t="n"/>
    </row>
    <row r="1330" ht="15.75" customHeight="1" s="133">
      <c r="A1330" s="75" t="n"/>
      <c r="B1330" s="75" t="n"/>
      <c r="C1330" s="75" t="n"/>
      <c r="D1330" s="75" t="n"/>
      <c r="E1330" s="76" t="n"/>
      <c r="F1330" s="77" t="n"/>
      <c r="G1330" s="75" t="n"/>
      <c r="H1330" s="75">
        <f>IF(ISBLANK(E1330),"",IF(OR(D1330="Butterfly",D1330="Butterfly ",D1330="Iron Fly", D1330="Iron Fly "),LEN(E1330)-LEN(SUBSTITUTE(E1330,"/",""))+2,LEN(E1330)-LEN(SUBSTITUTE(E1330,"/",""))+1))</f>
        <v/>
      </c>
      <c r="I1330" s="78">
        <f>IF(ISBLANK(G1330),"",IF(D1330="Stock","0",Key!$A$3*H1330*G1330))</f>
        <v/>
      </c>
      <c r="J1330" s="78">
        <f>IF(ISBLANK(E1330),"",IF(ISNUMBER(SEARCH("/",E1330)), IF(LEN(E1330)-LEN(SUBSTITUTE(E1330,"/",""))=1,(RIGHT(E1330,LEN(E1330)-FIND("/",E1330)))-(LEFT(E1330,FIND("/",E1330)-1)),(MID(E1330, SEARCH("/",E1330) + 1, SEARCH("/",E1330, SEARCH("/",E1330)+1) - SEARCH("/",E1330) - 1))-(LEFT(E1330,FIND("/",E1330)-1))), "NA"))</f>
        <v/>
      </c>
      <c r="K1330" s="79">
        <f>IF(A1330&lt;&gt;"", IF(ISBLANK(L1330), TODAY(), K1330), "")</f>
        <v/>
      </c>
      <c r="L1330" s="78" t="n"/>
      <c r="M1330" s="78">
        <f>IF(ISBLANK(L1330),"",IF(D1330="Stock",IF(C1330="Buy",L1330*G1330,IF(C1330="Sell",(L1330*G1330)-I1330, X)),IF(C1330="Buy",(L1330*G1330*100)+I1330,IF(C1330="Sell",(L1330*G1330*100)-I1330, X))))</f>
        <v/>
      </c>
      <c r="N1330" s="78">
        <f>IF(ISBLANK(L1330),"",IF(AND(C1330="Sell",D1330="Stock"),M1330,IF(ISBLANK(L1330),"",IF(C1330="Buy",M1330, IF(AND(C1330="Sell",J1330="NA"),(E1330*G1330*100*0.1)+I1330, IF(C1330="Sell",(J1330-L1330)*(100*G1330)+I1330))))))</f>
        <v/>
      </c>
      <c r="O1330" s="75" t="n"/>
      <c r="P1330" s="75" t="n"/>
      <c r="Q1330" s="75">
        <f>IF(ISBLANK(P1330),"",IF(D1330="Stock",P1330*G1330,IF(P1330=0,"0",G1330*P1330*100-(G1330*$AF$14))))</f>
        <v/>
      </c>
      <c r="R1330" s="79">
        <f>IF(P1330&lt;&gt;"", TODAY(), "")</f>
        <v/>
      </c>
      <c r="S1330" s="78">
        <f>IF(AND(K1330&lt;&gt;"", R1330&lt;&gt;""), R1330-K1330, "")</f>
        <v/>
      </c>
      <c r="T1330" s="78" t="n"/>
      <c r="U1330" s="92">
        <f>IF(ISBLANK(P1330),"",IF(C1330="Buy",Q1330-M1330+T1330, IF(C1330="Sell",M1330-Q1330-T1330, X)))</f>
        <v/>
      </c>
      <c r="V1330" s="81">
        <f>IF(ISBLANK(P1330),"",U1330/N1330)</f>
        <v/>
      </c>
      <c r="W1330" s="81">
        <f>IF(ISBLANK(P1330),"",IF(S1330=0,(365/0.5)*V1330,(365/S1330)*V1330))</f>
        <v/>
      </c>
      <c r="X1330" s="75" t="n"/>
      <c r="Y1330" s="77" t="n"/>
      <c r="Z1330" s="77" t="n"/>
      <c r="AA1330" s="75" t="n"/>
      <c r="AB1330" s="75" t="n"/>
      <c r="AC1330" s="6" t="n"/>
      <c r="AD1330" s="75" t="n"/>
      <c r="AE1330" s="75" t="n"/>
      <c r="AF1330" s="75" t="n"/>
    </row>
    <row r="1331" ht="15.75" customHeight="1" s="133">
      <c r="A1331" s="75" t="n"/>
      <c r="B1331" s="75" t="n"/>
      <c r="C1331" s="75" t="n"/>
      <c r="D1331" s="75" t="n"/>
      <c r="E1331" s="76" t="n"/>
      <c r="F1331" s="77" t="n"/>
      <c r="G1331" s="75" t="n"/>
      <c r="H1331" s="75">
        <f>IF(ISBLANK(E1331),"",IF(OR(D1331="Butterfly",D1331="Butterfly ",D1331="Iron Fly", D1331="Iron Fly "),LEN(E1331)-LEN(SUBSTITUTE(E1331,"/",""))+2,LEN(E1331)-LEN(SUBSTITUTE(E1331,"/",""))+1))</f>
        <v/>
      </c>
      <c r="I1331" s="78">
        <f>IF(ISBLANK(G1331),"",IF(D1331="Stock","0",Key!$A$3*H1331*G1331))</f>
        <v/>
      </c>
      <c r="J1331" s="78">
        <f>IF(ISBLANK(E1331),"",IF(ISNUMBER(SEARCH("/",E1331)), IF(LEN(E1331)-LEN(SUBSTITUTE(E1331,"/",""))=1,(RIGHT(E1331,LEN(E1331)-FIND("/",E1331)))-(LEFT(E1331,FIND("/",E1331)-1)),(MID(E1331, SEARCH("/",E1331) + 1, SEARCH("/",E1331, SEARCH("/",E1331)+1) - SEARCH("/",E1331) - 1))-(LEFT(E1331,FIND("/",E1331)-1))), "NA"))</f>
        <v/>
      </c>
      <c r="K1331" s="79">
        <f>IF(A1331&lt;&gt;"", IF(ISBLANK(L1331), TODAY(), K1331), "")</f>
        <v/>
      </c>
      <c r="L1331" s="78" t="n"/>
      <c r="M1331" s="78">
        <f>IF(ISBLANK(L1331),"",IF(D1331="Stock",IF(C1331="Buy",L1331*G1331,IF(C1331="Sell",(L1331*G1331)-I1331, X)),IF(C1331="Buy",(L1331*G1331*100)+I1331,IF(C1331="Sell",(L1331*G1331*100)-I1331, X))))</f>
        <v/>
      </c>
      <c r="N1331" s="78">
        <f>IF(ISBLANK(L1331),"",IF(AND(C1331="Sell",D1331="Stock"),M1331,IF(ISBLANK(L1331),"",IF(C1331="Buy",M1331, IF(AND(C1331="Sell",J1331="NA"),(E1331*G1331*100*0.1)+I1331, IF(C1331="Sell",(J1331-L1331)*(100*G1331)+I1331))))))</f>
        <v/>
      </c>
      <c r="O1331" s="75" t="n"/>
      <c r="P1331" s="75" t="n"/>
      <c r="Q1331" s="75">
        <f>IF(ISBLANK(P1331),"",IF(D1331="Stock",P1331*G1331,IF(P1331=0,"0",G1331*P1331*100-(G1331*$AF$14))))</f>
        <v/>
      </c>
      <c r="R1331" s="79">
        <f>IF(P1331&lt;&gt;"", TODAY(), "")</f>
        <v/>
      </c>
      <c r="S1331" s="78">
        <f>IF(AND(K1331&lt;&gt;"", R1331&lt;&gt;""), R1331-K1331, "")</f>
        <v/>
      </c>
      <c r="T1331" s="78" t="n"/>
      <c r="U1331" s="92">
        <f>IF(ISBLANK(P1331),"",IF(C1331="Buy",Q1331-M1331+T1331, IF(C1331="Sell",M1331-Q1331-T1331, X)))</f>
        <v/>
      </c>
      <c r="V1331" s="81">
        <f>IF(ISBLANK(P1331),"",U1331/N1331)</f>
        <v/>
      </c>
      <c r="W1331" s="81">
        <f>IF(ISBLANK(P1331),"",IF(S1331=0,(365/0.5)*V1331,(365/S1331)*V1331))</f>
        <v/>
      </c>
      <c r="X1331" s="75" t="n"/>
      <c r="Y1331" s="77" t="n"/>
      <c r="Z1331" s="77" t="n"/>
      <c r="AA1331" s="75" t="n"/>
      <c r="AB1331" s="75" t="n"/>
      <c r="AC1331" s="6" t="n"/>
      <c r="AD1331" s="75" t="n"/>
      <c r="AE1331" s="75" t="n"/>
      <c r="AF1331" s="75" t="n"/>
    </row>
    <row r="1332" ht="15.75" customHeight="1" s="133">
      <c r="A1332" s="75" t="n"/>
      <c r="B1332" s="75" t="n"/>
      <c r="C1332" s="75" t="n"/>
      <c r="D1332" s="75" t="n"/>
      <c r="E1332" s="76" t="n"/>
      <c r="F1332" s="77" t="n"/>
      <c r="G1332" s="75" t="n"/>
      <c r="H1332" s="75">
        <f>IF(ISBLANK(E1332),"",IF(OR(D1332="Butterfly",D1332="Butterfly ",D1332="Iron Fly", D1332="Iron Fly "),LEN(E1332)-LEN(SUBSTITUTE(E1332,"/",""))+2,LEN(E1332)-LEN(SUBSTITUTE(E1332,"/",""))+1))</f>
        <v/>
      </c>
      <c r="I1332" s="78">
        <f>IF(ISBLANK(G1332),"",IF(D1332="Stock","0",Key!$A$3*H1332*G1332))</f>
        <v/>
      </c>
      <c r="J1332" s="78">
        <f>IF(ISBLANK(E1332),"",IF(ISNUMBER(SEARCH("/",E1332)), IF(LEN(E1332)-LEN(SUBSTITUTE(E1332,"/",""))=1,(RIGHT(E1332,LEN(E1332)-FIND("/",E1332)))-(LEFT(E1332,FIND("/",E1332)-1)),(MID(E1332, SEARCH("/",E1332) + 1, SEARCH("/",E1332, SEARCH("/",E1332)+1) - SEARCH("/",E1332) - 1))-(LEFT(E1332,FIND("/",E1332)-1))), "NA"))</f>
        <v/>
      </c>
      <c r="K1332" s="79">
        <f>IF(A1332&lt;&gt;"", IF(ISBLANK(L1332), TODAY(), K1332), "")</f>
        <v/>
      </c>
      <c r="L1332" s="78" t="n"/>
      <c r="M1332" s="78">
        <f>IF(ISBLANK(L1332),"",IF(D1332="Stock",IF(C1332="Buy",L1332*G1332,IF(C1332="Sell",(L1332*G1332)-I1332, X)),IF(C1332="Buy",(L1332*G1332*100)+I1332,IF(C1332="Sell",(L1332*G1332*100)-I1332, X))))</f>
        <v/>
      </c>
      <c r="N1332" s="78">
        <f>IF(ISBLANK(L1332),"",IF(AND(C1332="Sell",D1332="Stock"),M1332,IF(ISBLANK(L1332),"",IF(C1332="Buy",M1332, IF(AND(C1332="Sell",J1332="NA"),(E1332*G1332*100*0.1)+I1332, IF(C1332="Sell",(J1332-L1332)*(100*G1332)+I1332))))))</f>
        <v/>
      </c>
      <c r="O1332" s="75" t="n"/>
      <c r="P1332" s="75" t="n"/>
      <c r="Q1332" s="75">
        <f>IF(ISBLANK(P1332),"",IF(D1332="Stock",P1332*G1332,IF(P1332=0,"0",G1332*P1332*100-(G1332*$AF$14))))</f>
        <v/>
      </c>
      <c r="R1332" s="79">
        <f>IF(P1332&lt;&gt;"", TODAY(), "")</f>
        <v/>
      </c>
      <c r="S1332" s="78">
        <f>IF(AND(K1332&lt;&gt;"", R1332&lt;&gt;""), R1332-K1332, "")</f>
        <v/>
      </c>
      <c r="T1332" s="78" t="n"/>
      <c r="U1332" s="92">
        <f>IF(ISBLANK(P1332),"",IF(C1332="Buy",Q1332-M1332+T1332, IF(C1332="Sell",M1332-Q1332-T1332, X)))</f>
        <v/>
      </c>
      <c r="V1332" s="81">
        <f>IF(ISBLANK(P1332),"",U1332/N1332)</f>
        <v/>
      </c>
      <c r="W1332" s="81">
        <f>IF(ISBLANK(P1332),"",IF(S1332=0,(365/0.5)*V1332,(365/S1332)*V1332))</f>
        <v/>
      </c>
      <c r="X1332" s="75" t="n"/>
      <c r="Y1332" s="77" t="n"/>
      <c r="Z1332" s="77" t="n"/>
      <c r="AA1332" s="75" t="n"/>
      <c r="AB1332" s="75" t="n"/>
      <c r="AC1332" s="6" t="n"/>
      <c r="AD1332" s="75" t="n"/>
      <c r="AE1332" s="75" t="n"/>
      <c r="AF1332" s="75" t="n"/>
    </row>
    <row r="1333" ht="15.75" customHeight="1" s="133">
      <c r="A1333" s="75" t="n"/>
      <c r="B1333" s="75" t="n"/>
      <c r="C1333" s="75" t="n"/>
      <c r="D1333" s="75" t="n"/>
      <c r="E1333" s="76" t="n"/>
      <c r="F1333" s="77" t="n"/>
      <c r="G1333" s="75" t="n"/>
      <c r="H1333" s="75">
        <f>IF(ISBLANK(E1333),"",IF(OR(D1333="Butterfly",D1333="Butterfly ",D1333="Iron Fly", D1333="Iron Fly "),LEN(E1333)-LEN(SUBSTITUTE(E1333,"/",""))+2,LEN(E1333)-LEN(SUBSTITUTE(E1333,"/",""))+1))</f>
        <v/>
      </c>
      <c r="I1333" s="78">
        <f>IF(ISBLANK(G1333),"",IF(D1333="Stock","0",Key!$A$3*H1333*G1333))</f>
        <v/>
      </c>
      <c r="J1333" s="78">
        <f>IF(ISBLANK(E1333),"",IF(ISNUMBER(SEARCH("/",E1333)), IF(LEN(E1333)-LEN(SUBSTITUTE(E1333,"/",""))=1,(RIGHT(E1333,LEN(E1333)-FIND("/",E1333)))-(LEFT(E1333,FIND("/",E1333)-1)),(MID(E1333, SEARCH("/",E1333) + 1, SEARCH("/",E1333, SEARCH("/",E1333)+1) - SEARCH("/",E1333) - 1))-(LEFT(E1333,FIND("/",E1333)-1))), "NA"))</f>
        <v/>
      </c>
      <c r="K1333" s="79">
        <f>IF(A1333&lt;&gt;"", IF(ISBLANK(L1333), TODAY(), K1333), "")</f>
        <v/>
      </c>
      <c r="L1333" s="78" t="n"/>
      <c r="M1333" s="78">
        <f>IF(ISBLANK(L1333),"",IF(D1333="Stock",IF(C1333="Buy",L1333*G1333,IF(C1333="Sell",(L1333*G1333)-I1333, X)),IF(C1333="Buy",(L1333*G1333*100)+I1333,IF(C1333="Sell",(L1333*G1333*100)-I1333, X))))</f>
        <v/>
      </c>
      <c r="N1333" s="78">
        <f>IF(ISBLANK(L1333),"",IF(AND(C1333="Sell",D1333="Stock"),M1333,IF(ISBLANK(L1333),"",IF(C1333="Buy",M1333, IF(AND(C1333="Sell",J1333="NA"),(E1333*G1333*100*0.1)+I1333, IF(C1333="Sell",(J1333-L1333)*(100*G1333)+I1333))))))</f>
        <v/>
      </c>
      <c r="O1333" s="75" t="n"/>
      <c r="P1333" s="75" t="n"/>
      <c r="Q1333" s="75">
        <f>IF(ISBLANK(P1333),"",IF(D1333="Stock",P1333*G1333,IF(P1333=0,"0",G1333*P1333*100-(G1333*$AF$14))))</f>
        <v/>
      </c>
      <c r="R1333" s="79">
        <f>IF(P1333&lt;&gt;"", TODAY(), "")</f>
        <v/>
      </c>
      <c r="S1333" s="78">
        <f>IF(AND(K1333&lt;&gt;"", R1333&lt;&gt;""), R1333-K1333, "")</f>
        <v/>
      </c>
      <c r="T1333" s="78" t="n"/>
      <c r="U1333" s="92">
        <f>IF(ISBLANK(P1333),"",IF(C1333="Buy",Q1333-M1333+T1333, IF(C1333="Sell",M1333-Q1333-T1333, X)))</f>
        <v/>
      </c>
      <c r="V1333" s="81">
        <f>IF(ISBLANK(P1333),"",U1333/N1333)</f>
        <v/>
      </c>
      <c r="W1333" s="81">
        <f>IF(ISBLANK(P1333),"",IF(S1333=0,(365/0.5)*V1333,(365/S1333)*V1333))</f>
        <v/>
      </c>
      <c r="X1333" s="75" t="n"/>
      <c r="Y1333" s="77" t="n"/>
      <c r="Z1333" s="77" t="n"/>
      <c r="AA1333" s="75" t="n"/>
      <c r="AB1333" s="75" t="n"/>
      <c r="AC1333" s="6" t="n"/>
      <c r="AD1333" s="75" t="n"/>
      <c r="AE1333" s="75" t="n"/>
      <c r="AF1333" s="75" t="n"/>
    </row>
    <row r="1334" ht="15.75" customHeight="1" s="133">
      <c r="A1334" s="75" t="n"/>
      <c r="B1334" s="75" t="n"/>
      <c r="C1334" s="75" t="n"/>
      <c r="D1334" s="75" t="n"/>
      <c r="E1334" s="76" t="n"/>
      <c r="F1334" s="77" t="n"/>
      <c r="G1334" s="75" t="n"/>
      <c r="H1334" s="75">
        <f>IF(ISBLANK(E1334),"",IF(OR(D1334="Butterfly",D1334="Butterfly ",D1334="Iron Fly", D1334="Iron Fly "),LEN(E1334)-LEN(SUBSTITUTE(E1334,"/",""))+2,LEN(E1334)-LEN(SUBSTITUTE(E1334,"/",""))+1))</f>
        <v/>
      </c>
      <c r="I1334" s="78">
        <f>IF(ISBLANK(G1334),"",IF(D1334="Stock","0",Key!$A$3*H1334*G1334))</f>
        <v/>
      </c>
      <c r="J1334" s="78">
        <f>IF(ISBLANK(E1334),"",IF(ISNUMBER(SEARCH("/",E1334)), IF(LEN(E1334)-LEN(SUBSTITUTE(E1334,"/",""))=1,(RIGHT(E1334,LEN(E1334)-FIND("/",E1334)))-(LEFT(E1334,FIND("/",E1334)-1)),(MID(E1334, SEARCH("/",E1334) + 1, SEARCH("/",E1334, SEARCH("/",E1334)+1) - SEARCH("/",E1334) - 1))-(LEFT(E1334,FIND("/",E1334)-1))), "NA"))</f>
        <v/>
      </c>
      <c r="K1334" s="79">
        <f>IF(A1334&lt;&gt;"", IF(ISBLANK(L1334), TODAY(), K1334), "")</f>
        <v/>
      </c>
      <c r="L1334" s="78" t="n"/>
      <c r="M1334" s="78">
        <f>IF(ISBLANK(L1334),"",IF(D1334="Stock",IF(C1334="Buy",L1334*G1334,IF(C1334="Sell",(L1334*G1334)-I1334, X)),IF(C1334="Buy",(L1334*G1334*100)+I1334,IF(C1334="Sell",(L1334*G1334*100)-I1334, X))))</f>
        <v/>
      </c>
      <c r="N1334" s="78">
        <f>IF(ISBLANK(L1334),"",IF(AND(C1334="Sell",D1334="Stock"),M1334,IF(ISBLANK(L1334),"",IF(C1334="Buy",M1334, IF(AND(C1334="Sell",J1334="NA"),(E1334*G1334*100*0.1)+I1334, IF(C1334="Sell",(J1334-L1334)*(100*G1334)+I1334))))))</f>
        <v/>
      </c>
      <c r="O1334" s="75" t="n"/>
      <c r="P1334" s="75" t="n"/>
      <c r="Q1334" s="75">
        <f>IF(ISBLANK(P1334),"",IF(D1334="Stock",P1334*G1334,IF(P1334=0,"0",G1334*P1334*100-(G1334*$AF$14))))</f>
        <v/>
      </c>
      <c r="R1334" s="79">
        <f>IF(P1334&lt;&gt;"", TODAY(), "")</f>
        <v/>
      </c>
      <c r="S1334" s="78">
        <f>IF(AND(K1334&lt;&gt;"", R1334&lt;&gt;""), R1334-K1334, "")</f>
        <v/>
      </c>
      <c r="T1334" s="78" t="n"/>
      <c r="U1334" s="92">
        <f>IF(ISBLANK(P1334),"",IF(C1334="Buy",Q1334-M1334+T1334, IF(C1334="Sell",M1334-Q1334-T1334, X)))</f>
        <v/>
      </c>
      <c r="V1334" s="81">
        <f>IF(ISBLANK(P1334),"",U1334/N1334)</f>
        <v/>
      </c>
      <c r="W1334" s="81">
        <f>IF(ISBLANK(P1334),"",IF(S1334=0,(365/0.5)*V1334,(365/S1334)*V1334))</f>
        <v/>
      </c>
      <c r="X1334" s="75" t="n"/>
      <c r="Y1334" s="77" t="n"/>
      <c r="Z1334" s="77" t="n"/>
      <c r="AA1334" s="75" t="n"/>
      <c r="AB1334" s="75" t="n"/>
      <c r="AC1334" s="6" t="n"/>
      <c r="AD1334" s="75" t="n"/>
      <c r="AE1334" s="75" t="n"/>
      <c r="AF1334" s="75" t="n"/>
    </row>
    <row r="1335" ht="15.75" customHeight="1" s="133">
      <c r="A1335" s="75" t="n"/>
      <c r="B1335" s="75" t="n"/>
      <c r="C1335" s="75" t="n"/>
      <c r="D1335" s="75" t="n"/>
      <c r="E1335" s="76" t="n"/>
      <c r="F1335" s="77" t="n"/>
      <c r="G1335" s="75" t="n"/>
      <c r="H1335" s="75">
        <f>IF(ISBLANK(E1335),"",IF(OR(D1335="Butterfly",D1335="Butterfly ",D1335="Iron Fly", D1335="Iron Fly "),LEN(E1335)-LEN(SUBSTITUTE(E1335,"/",""))+2,LEN(E1335)-LEN(SUBSTITUTE(E1335,"/",""))+1))</f>
        <v/>
      </c>
      <c r="I1335" s="78">
        <f>IF(ISBLANK(G1335),"",IF(D1335="Stock","0",Key!$A$3*H1335*G1335))</f>
        <v/>
      </c>
      <c r="J1335" s="78">
        <f>IF(ISBLANK(E1335),"",IF(ISNUMBER(SEARCH("/",E1335)), IF(LEN(E1335)-LEN(SUBSTITUTE(E1335,"/",""))=1,(RIGHT(E1335,LEN(E1335)-FIND("/",E1335)))-(LEFT(E1335,FIND("/",E1335)-1)),(MID(E1335, SEARCH("/",E1335) + 1, SEARCH("/",E1335, SEARCH("/",E1335)+1) - SEARCH("/",E1335) - 1))-(LEFT(E1335,FIND("/",E1335)-1))), "NA"))</f>
        <v/>
      </c>
      <c r="K1335" s="79">
        <f>IF(A1335&lt;&gt;"", IF(ISBLANK(L1335), TODAY(), K1335), "")</f>
        <v/>
      </c>
      <c r="L1335" s="78" t="n"/>
      <c r="M1335" s="78">
        <f>IF(ISBLANK(L1335),"",IF(D1335="Stock",IF(C1335="Buy",L1335*G1335,IF(C1335="Sell",(L1335*G1335)-I1335, X)),IF(C1335="Buy",(L1335*G1335*100)+I1335,IF(C1335="Sell",(L1335*G1335*100)-I1335, X))))</f>
        <v/>
      </c>
      <c r="N1335" s="78">
        <f>IF(ISBLANK(L1335),"",IF(AND(C1335="Sell",D1335="Stock"),M1335,IF(ISBLANK(L1335),"",IF(C1335="Buy",M1335, IF(AND(C1335="Sell",J1335="NA"),(E1335*G1335*100*0.1)+I1335, IF(C1335="Sell",(J1335-L1335)*(100*G1335)+I1335))))))</f>
        <v/>
      </c>
      <c r="O1335" s="75" t="n"/>
      <c r="P1335" s="75" t="n"/>
      <c r="Q1335" s="75">
        <f>IF(ISBLANK(P1335),"",IF(D1335="Stock",P1335*G1335,IF(P1335=0,"0",G1335*P1335*100-(G1335*$AF$14))))</f>
        <v/>
      </c>
      <c r="R1335" s="79">
        <f>IF(P1335&lt;&gt;"", TODAY(), "")</f>
        <v/>
      </c>
      <c r="S1335" s="78">
        <f>IF(AND(K1335&lt;&gt;"", R1335&lt;&gt;""), R1335-K1335, "")</f>
        <v/>
      </c>
      <c r="T1335" s="78" t="n"/>
      <c r="U1335" s="92">
        <f>IF(ISBLANK(P1335),"",IF(C1335="Buy",Q1335-M1335+T1335, IF(C1335="Sell",M1335-Q1335-T1335, X)))</f>
        <v/>
      </c>
      <c r="V1335" s="81">
        <f>IF(ISBLANK(P1335),"",U1335/N1335)</f>
        <v/>
      </c>
      <c r="W1335" s="81">
        <f>IF(ISBLANK(P1335),"",IF(S1335=0,(365/0.5)*V1335,(365/S1335)*V1335))</f>
        <v/>
      </c>
      <c r="X1335" s="75" t="n"/>
      <c r="Y1335" s="77" t="n"/>
      <c r="Z1335" s="77" t="n"/>
      <c r="AA1335" s="75" t="n"/>
      <c r="AB1335" s="75" t="n"/>
      <c r="AC1335" s="6" t="n"/>
      <c r="AD1335" s="75" t="n"/>
      <c r="AE1335" s="75" t="n"/>
      <c r="AF1335" s="75" t="n"/>
    </row>
    <row r="1336" ht="15.75" customHeight="1" s="133">
      <c r="A1336" s="75" t="n"/>
      <c r="B1336" s="75" t="n"/>
      <c r="C1336" s="75" t="n"/>
      <c r="D1336" s="75" t="n"/>
      <c r="E1336" s="76" t="n"/>
      <c r="F1336" s="77" t="n"/>
      <c r="G1336" s="75" t="n"/>
      <c r="H1336" s="75">
        <f>IF(ISBLANK(E1336),"",IF(OR(D1336="Butterfly",D1336="Butterfly ",D1336="Iron Fly", D1336="Iron Fly "),LEN(E1336)-LEN(SUBSTITUTE(E1336,"/",""))+2,LEN(E1336)-LEN(SUBSTITUTE(E1336,"/",""))+1))</f>
        <v/>
      </c>
      <c r="I1336" s="78">
        <f>IF(ISBLANK(G1336),"",IF(D1336="Stock","0",Key!$A$3*H1336*G1336))</f>
        <v/>
      </c>
      <c r="J1336" s="78">
        <f>IF(ISBLANK(E1336),"",IF(ISNUMBER(SEARCH("/",E1336)), IF(LEN(E1336)-LEN(SUBSTITUTE(E1336,"/",""))=1,(RIGHT(E1336,LEN(E1336)-FIND("/",E1336)))-(LEFT(E1336,FIND("/",E1336)-1)),(MID(E1336, SEARCH("/",E1336) + 1, SEARCH("/",E1336, SEARCH("/",E1336)+1) - SEARCH("/",E1336) - 1))-(LEFT(E1336,FIND("/",E1336)-1))), "NA"))</f>
        <v/>
      </c>
      <c r="K1336" s="79">
        <f>IF(A1336&lt;&gt;"", IF(ISBLANK(L1336), TODAY(), K1336), "")</f>
        <v/>
      </c>
      <c r="L1336" s="78" t="n"/>
      <c r="M1336" s="78">
        <f>IF(ISBLANK(L1336),"",IF(D1336="Stock",IF(C1336="Buy",L1336*G1336,IF(C1336="Sell",(L1336*G1336)-I1336, X)),IF(C1336="Buy",(L1336*G1336*100)+I1336,IF(C1336="Sell",(L1336*G1336*100)-I1336, X))))</f>
        <v/>
      </c>
      <c r="N1336" s="78">
        <f>IF(ISBLANK(L1336),"",IF(AND(C1336="Sell",D1336="Stock"),M1336,IF(ISBLANK(L1336),"",IF(C1336="Buy",M1336, IF(AND(C1336="Sell",J1336="NA"),(E1336*G1336*100*0.1)+I1336, IF(C1336="Sell",(J1336-L1336)*(100*G1336)+I1336))))))</f>
        <v/>
      </c>
      <c r="O1336" s="75" t="n"/>
      <c r="P1336" s="75" t="n"/>
      <c r="Q1336" s="75">
        <f>IF(ISBLANK(P1336),"",IF(D1336="Stock",P1336*G1336,IF(P1336=0,"0",G1336*P1336*100-(G1336*$AF$14))))</f>
        <v/>
      </c>
      <c r="R1336" s="79">
        <f>IF(P1336&lt;&gt;"", TODAY(), "")</f>
        <v/>
      </c>
      <c r="S1336" s="78">
        <f>IF(AND(K1336&lt;&gt;"", R1336&lt;&gt;""), R1336-K1336, "")</f>
        <v/>
      </c>
      <c r="T1336" s="78" t="n"/>
      <c r="U1336" s="92">
        <f>IF(ISBLANK(P1336),"",IF(C1336="Buy",Q1336-M1336+T1336, IF(C1336="Sell",M1336-Q1336-T1336, X)))</f>
        <v/>
      </c>
      <c r="V1336" s="81">
        <f>IF(ISBLANK(P1336),"",U1336/N1336)</f>
        <v/>
      </c>
      <c r="W1336" s="81">
        <f>IF(ISBLANK(P1336),"",IF(S1336=0,(365/0.5)*V1336,(365/S1336)*V1336))</f>
        <v/>
      </c>
      <c r="X1336" s="75" t="n"/>
      <c r="Y1336" s="77" t="n"/>
      <c r="Z1336" s="77" t="n"/>
      <c r="AA1336" s="75" t="n"/>
      <c r="AB1336" s="75" t="n"/>
      <c r="AC1336" s="6" t="n"/>
      <c r="AD1336" s="75" t="n"/>
      <c r="AE1336" s="75" t="n"/>
      <c r="AF1336" s="75" t="n"/>
    </row>
    <row r="1337" ht="15.75" customHeight="1" s="133">
      <c r="A1337" s="75" t="n"/>
      <c r="B1337" s="75" t="n"/>
      <c r="C1337" s="75" t="n"/>
      <c r="D1337" s="75" t="n"/>
      <c r="E1337" s="76" t="n"/>
      <c r="F1337" s="77" t="n"/>
      <c r="G1337" s="75" t="n"/>
      <c r="H1337" s="75">
        <f>IF(ISBLANK(E1337),"",IF(OR(D1337="Butterfly",D1337="Butterfly ",D1337="Iron Fly", D1337="Iron Fly "),LEN(E1337)-LEN(SUBSTITUTE(E1337,"/",""))+2,LEN(E1337)-LEN(SUBSTITUTE(E1337,"/",""))+1))</f>
        <v/>
      </c>
      <c r="I1337" s="78">
        <f>IF(ISBLANK(G1337),"",IF(D1337="Stock","0",Key!$A$3*H1337*G1337))</f>
        <v/>
      </c>
      <c r="J1337" s="78">
        <f>IF(ISBLANK(E1337),"",IF(ISNUMBER(SEARCH("/",E1337)), IF(LEN(E1337)-LEN(SUBSTITUTE(E1337,"/",""))=1,(RIGHT(E1337,LEN(E1337)-FIND("/",E1337)))-(LEFT(E1337,FIND("/",E1337)-1)),(MID(E1337, SEARCH("/",E1337) + 1, SEARCH("/",E1337, SEARCH("/",E1337)+1) - SEARCH("/",E1337) - 1))-(LEFT(E1337,FIND("/",E1337)-1))), "NA"))</f>
        <v/>
      </c>
      <c r="K1337" s="79">
        <f>IF(A1337&lt;&gt;"", IF(ISBLANK(L1337), TODAY(), K1337), "")</f>
        <v/>
      </c>
      <c r="L1337" s="78" t="n"/>
      <c r="M1337" s="78">
        <f>IF(ISBLANK(L1337),"",IF(D1337="Stock",IF(C1337="Buy",L1337*G1337,IF(C1337="Sell",(L1337*G1337)-I1337, X)),IF(C1337="Buy",(L1337*G1337*100)+I1337,IF(C1337="Sell",(L1337*G1337*100)-I1337, X))))</f>
        <v/>
      </c>
      <c r="N1337" s="78">
        <f>IF(ISBLANK(L1337),"",IF(AND(C1337="Sell",D1337="Stock"),M1337,IF(ISBLANK(L1337),"",IF(C1337="Buy",M1337, IF(AND(C1337="Sell",J1337="NA"),(E1337*G1337*100*0.1)+I1337, IF(C1337="Sell",(J1337-L1337)*(100*G1337)+I1337))))))</f>
        <v/>
      </c>
      <c r="O1337" s="75" t="n"/>
      <c r="P1337" s="75" t="n"/>
      <c r="Q1337" s="75">
        <f>IF(ISBLANK(P1337),"",IF(D1337="Stock",P1337*G1337,IF(P1337=0,"0",G1337*P1337*100-(G1337*$AF$14))))</f>
        <v/>
      </c>
      <c r="R1337" s="79">
        <f>IF(P1337&lt;&gt;"", TODAY(), "")</f>
        <v/>
      </c>
      <c r="S1337" s="78">
        <f>IF(AND(K1337&lt;&gt;"", R1337&lt;&gt;""), R1337-K1337, "")</f>
        <v/>
      </c>
      <c r="T1337" s="78" t="n"/>
      <c r="U1337" s="92">
        <f>IF(ISBLANK(P1337),"",IF(C1337="Buy",Q1337-M1337+T1337, IF(C1337="Sell",M1337-Q1337-T1337, X)))</f>
        <v/>
      </c>
      <c r="V1337" s="81">
        <f>IF(ISBLANK(P1337),"",U1337/N1337)</f>
        <v/>
      </c>
      <c r="W1337" s="81">
        <f>IF(ISBLANK(P1337),"",IF(S1337=0,(365/0.5)*V1337,(365/S1337)*V1337))</f>
        <v/>
      </c>
      <c r="X1337" s="75" t="n"/>
      <c r="Y1337" s="77" t="n"/>
      <c r="Z1337" s="77" t="n"/>
      <c r="AA1337" s="75" t="n"/>
      <c r="AB1337" s="75" t="n"/>
      <c r="AC1337" s="6" t="n"/>
      <c r="AD1337" s="75" t="n"/>
      <c r="AE1337" s="75" t="n"/>
      <c r="AF1337" s="75" t="n"/>
    </row>
    <row r="1338" ht="15.75" customHeight="1" s="133">
      <c r="A1338" s="75" t="n"/>
      <c r="B1338" s="75" t="n"/>
      <c r="C1338" s="75" t="n"/>
      <c r="D1338" s="75" t="n"/>
      <c r="E1338" s="76" t="n"/>
      <c r="F1338" s="77" t="n"/>
      <c r="G1338" s="75" t="n"/>
      <c r="H1338" s="75">
        <f>IF(ISBLANK(E1338),"",IF(OR(D1338="Butterfly",D1338="Butterfly ",D1338="Iron Fly", D1338="Iron Fly "),LEN(E1338)-LEN(SUBSTITUTE(E1338,"/",""))+2,LEN(E1338)-LEN(SUBSTITUTE(E1338,"/",""))+1))</f>
        <v/>
      </c>
      <c r="I1338" s="78">
        <f>IF(ISBLANK(G1338),"",IF(D1338="Stock","0",Key!$A$3*H1338*G1338))</f>
        <v/>
      </c>
      <c r="J1338" s="78">
        <f>IF(ISBLANK(E1338),"",IF(ISNUMBER(SEARCH("/",E1338)), IF(LEN(E1338)-LEN(SUBSTITUTE(E1338,"/",""))=1,(RIGHT(E1338,LEN(E1338)-FIND("/",E1338)))-(LEFT(E1338,FIND("/",E1338)-1)),(MID(E1338, SEARCH("/",E1338) + 1, SEARCH("/",E1338, SEARCH("/",E1338)+1) - SEARCH("/",E1338) - 1))-(LEFT(E1338,FIND("/",E1338)-1))), "NA"))</f>
        <v/>
      </c>
      <c r="K1338" s="79">
        <f>IF(A1338&lt;&gt;"", IF(ISBLANK(L1338), TODAY(), K1338), "")</f>
        <v/>
      </c>
      <c r="L1338" s="78" t="n"/>
      <c r="M1338" s="78">
        <f>IF(ISBLANK(L1338),"",IF(D1338="Stock",IF(C1338="Buy",L1338*G1338,IF(C1338="Sell",(L1338*G1338)-I1338, X)),IF(C1338="Buy",(L1338*G1338*100)+I1338,IF(C1338="Sell",(L1338*G1338*100)-I1338, X))))</f>
        <v/>
      </c>
      <c r="N1338" s="78">
        <f>IF(ISBLANK(L1338),"",IF(AND(C1338="Sell",D1338="Stock"),M1338,IF(ISBLANK(L1338),"",IF(C1338="Buy",M1338, IF(AND(C1338="Sell",J1338="NA"),(E1338*G1338*100*0.1)+I1338, IF(C1338="Sell",(J1338-L1338)*(100*G1338)+I1338))))))</f>
        <v/>
      </c>
      <c r="O1338" s="75" t="n"/>
      <c r="P1338" s="75" t="n"/>
      <c r="Q1338" s="75">
        <f>IF(ISBLANK(P1338),"",IF(D1338="Stock",P1338*G1338,IF(P1338=0,"0",G1338*P1338*100-(G1338*$AF$14))))</f>
        <v/>
      </c>
      <c r="R1338" s="79">
        <f>IF(P1338&lt;&gt;"", TODAY(), "")</f>
        <v/>
      </c>
      <c r="S1338" s="78">
        <f>IF(AND(K1338&lt;&gt;"", R1338&lt;&gt;""), R1338-K1338, "")</f>
        <v/>
      </c>
      <c r="T1338" s="78" t="n"/>
      <c r="U1338" s="92">
        <f>IF(ISBLANK(P1338),"",IF(C1338="Buy",Q1338-M1338+T1338, IF(C1338="Sell",M1338-Q1338-T1338, X)))</f>
        <v/>
      </c>
      <c r="V1338" s="81">
        <f>IF(ISBLANK(P1338),"",U1338/N1338)</f>
        <v/>
      </c>
      <c r="W1338" s="81">
        <f>IF(ISBLANK(P1338),"",IF(S1338=0,(365/0.5)*V1338,(365/S1338)*V1338))</f>
        <v/>
      </c>
      <c r="X1338" s="75" t="n"/>
      <c r="Y1338" s="77" t="n"/>
      <c r="Z1338" s="77" t="n"/>
      <c r="AA1338" s="75" t="n"/>
      <c r="AB1338" s="75" t="n"/>
      <c r="AC1338" s="6" t="n"/>
      <c r="AD1338" s="75" t="n"/>
      <c r="AE1338" s="75" t="n"/>
      <c r="AF1338" s="75" t="n"/>
    </row>
    <row r="1339" ht="15.75" customHeight="1" s="133">
      <c r="A1339" s="75" t="n"/>
      <c r="B1339" s="75" t="n"/>
      <c r="C1339" s="75" t="n"/>
      <c r="D1339" s="75" t="n"/>
      <c r="E1339" s="76" t="n"/>
      <c r="F1339" s="77" t="n"/>
      <c r="G1339" s="75" t="n"/>
      <c r="H1339" s="75">
        <f>IF(ISBLANK(E1339),"",IF(OR(D1339="Butterfly",D1339="Butterfly ",D1339="Iron Fly", D1339="Iron Fly "),LEN(E1339)-LEN(SUBSTITUTE(E1339,"/",""))+2,LEN(E1339)-LEN(SUBSTITUTE(E1339,"/",""))+1))</f>
        <v/>
      </c>
      <c r="I1339" s="78">
        <f>IF(ISBLANK(G1339),"",IF(D1339="Stock","0",Key!$A$3*H1339*G1339))</f>
        <v/>
      </c>
      <c r="J1339" s="78">
        <f>IF(ISBLANK(E1339),"",IF(ISNUMBER(SEARCH("/",E1339)), IF(LEN(E1339)-LEN(SUBSTITUTE(E1339,"/",""))=1,(RIGHT(E1339,LEN(E1339)-FIND("/",E1339)))-(LEFT(E1339,FIND("/",E1339)-1)),(MID(E1339, SEARCH("/",E1339) + 1, SEARCH("/",E1339, SEARCH("/",E1339)+1) - SEARCH("/",E1339) - 1))-(LEFT(E1339,FIND("/",E1339)-1))), "NA"))</f>
        <v/>
      </c>
      <c r="K1339" s="79">
        <f>IF(A1339&lt;&gt;"", IF(ISBLANK(L1339), TODAY(), K1339), "")</f>
        <v/>
      </c>
      <c r="L1339" s="78" t="n"/>
      <c r="M1339" s="78">
        <f>IF(ISBLANK(L1339),"",IF(D1339="Stock",IF(C1339="Buy",L1339*G1339,IF(C1339="Sell",(L1339*G1339)-I1339, X)),IF(C1339="Buy",(L1339*G1339*100)+I1339,IF(C1339="Sell",(L1339*G1339*100)-I1339, X))))</f>
        <v/>
      </c>
      <c r="N1339" s="78">
        <f>IF(ISBLANK(L1339),"",IF(AND(C1339="Sell",D1339="Stock"),M1339,IF(ISBLANK(L1339),"",IF(C1339="Buy",M1339, IF(AND(C1339="Sell",J1339="NA"),(E1339*G1339*100*0.1)+I1339, IF(C1339="Sell",(J1339-L1339)*(100*G1339)+I1339))))))</f>
        <v/>
      </c>
      <c r="O1339" s="75" t="n"/>
      <c r="P1339" s="75" t="n"/>
      <c r="Q1339" s="75">
        <f>IF(ISBLANK(P1339),"",IF(D1339="Stock",P1339*G1339,IF(P1339=0,"0",G1339*P1339*100-(G1339*$AF$14))))</f>
        <v/>
      </c>
      <c r="R1339" s="79">
        <f>IF(P1339&lt;&gt;"", TODAY(), "")</f>
        <v/>
      </c>
      <c r="S1339" s="78">
        <f>IF(AND(K1339&lt;&gt;"", R1339&lt;&gt;""), R1339-K1339, "")</f>
        <v/>
      </c>
      <c r="T1339" s="78" t="n"/>
      <c r="U1339" s="92">
        <f>IF(ISBLANK(P1339),"",IF(C1339="Buy",Q1339-M1339+T1339, IF(C1339="Sell",M1339-Q1339-T1339, X)))</f>
        <v/>
      </c>
      <c r="V1339" s="81">
        <f>IF(ISBLANK(P1339),"",U1339/N1339)</f>
        <v/>
      </c>
      <c r="W1339" s="81">
        <f>IF(ISBLANK(P1339),"",IF(S1339=0,(365/0.5)*V1339,(365/S1339)*V1339))</f>
        <v/>
      </c>
      <c r="X1339" s="75" t="n"/>
      <c r="Y1339" s="77" t="n"/>
      <c r="Z1339" s="77" t="n"/>
      <c r="AA1339" s="75" t="n"/>
      <c r="AB1339" s="75" t="n"/>
      <c r="AC1339" s="6" t="n"/>
      <c r="AD1339" s="75" t="n"/>
      <c r="AE1339" s="75" t="n"/>
      <c r="AF1339" s="75" t="n"/>
    </row>
    <row r="1340" ht="15.75" customHeight="1" s="133">
      <c r="A1340" s="75" t="n"/>
      <c r="B1340" s="75" t="n"/>
      <c r="C1340" s="75" t="n"/>
      <c r="D1340" s="75" t="n"/>
      <c r="E1340" s="76" t="n"/>
      <c r="F1340" s="77" t="n"/>
      <c r="G1340" s="75" t="n"/>
      <c r="H1340" s="75">
        <f>IF(ISBLANK(E1340),"",IF(OR(D1340="Butterfly",D1340="Butterfly ",D1340="Iron Fly", D1340="Iron Fly "),LEN(E1340)-LEN(SUBSTITUTE(E1340,"/",""))+2,LEN(E1340)-LEN(SUBSTITUTE(E1340,"/",""))+1))</f>
        <v/>
      </c>
      <c r="I1340" s="78">
        <f>IF(ISBLANK(G1340),"",IF(D1340="Stock","0",Key!$A$3*H1340*G1340))</f>
        <v/>
      </c>
      <c r="J1340" s="78">
        <f>IF(ISBLANK(E1340),"",IF(ISNUMBER(SEARCH("/",E1340)), IF(LEN(E1340)-LEN(SUBSTITUTE(E1340,"/",""))=1,(RIGHT(E1340,LEN(E1340)-FIND("/",E1340)))-(LEFT(E1340,FIND("/",E1340)-1)),(MID(E1340, SEARCH("/",E1340) + 1, SEARCH("/",E1340, SEARCH("/",E1340)+1) - SEARCH("/",E1340) - 1))-(LEFT(E1340,FIND("/",E1340)-1))), "NA"))</f>
        <v/>
      </c>
      <c r="K1340" s="79">
        <f>IF(A1340&lt;&gt;"", IF(ISBLANK(L1340), TODAY(), K1340), "")</f>
        <v/>
      </c>
      <c r="L1340" s="78" t="n"/>
      <c r="M1340" s="78">
        <f>IF(ISBLANK(L1340),"",IF(D1340="Stock",IF(C1340="Buy",L1340*G1340,IF(C1340="Sell",(L1340*G1340)-I1340, X)),IF(C1340="Buy",(L1340*G1340*100)+I1340,IF(C1340="Sell",(L1340*G1340*100)-I1340, X))))</f>
        <v/>
      </c>
      <c r="N1340" s="78">
        <f>IF(ISBLANK(L1340),"",IF(AND(C1340="Sell",D1340="Stock"),M1340,IF(ISBLANK(L1340),"",IF(C1340="Buy",M1340, IF(AND(C1340="Sell",J1340="NA"),(E1340*G1340*100*0.1)+I1340, IF(C1340="Sell",(J1340-L1340)*(100*G1340)+I1340))))))</f>
        <v/>
      </c>
      <c r="O1340" s="75" t="n"/>
      <c r="P1340" s="75" t="n"/>
      <c r="Q1340" s="75">
        <f>IF(ISBLANK(P1340),"",IF(D1340="Stock",P1340*G1340,IF(P1340=0,"0",G1340*P1340*100-(G1340*$AF$14))))</f>
        <v/>
      </c>
      <c r="R1340" s="79">
        <f>IF(P1340&lt;&gt;"", TODAY(), "")</f>
        <v/>
      </c>
      <c r="S1340" s="78">
        <f>IF(AND(K1340&lt;&gt;"", R1340&lt;&gt;""), R1340-K1340, "")</f>
        <v/>
      </c>
      <c r="T1340" s="78" t="n"/>
      <c r="U1340" s="92">
        <f>IF(ISBLANK(P1340),"",IF(C1340="Buy",Q1340-M1340+T1340, IF(C1340="Sell",M1340-Q1340-T1340, X)))</f>
        <v/>
      </c>
      <c r="V1340" s="81">
        <f>IF(ISBLANK(P1340),"",U1340/N1340)</f>
        <v/>
      </c>
      <c r="W1340" s="81">
        <f>IF(ISBLANK(P1340),"",IF(S1340=0,(365/0.5)*V1340,(365/S1340)*V1340))</f>
        <v/>
      </c>
      <c r="X1340" s="75" t="n"/>
      <c r="Y1340" s="77" t="n"/>
      <c r="Z1340" s="77" t="n"/>
      <c r="AA1340" s="75" t="n"/>
      <c r="AB1340" s="75" t="n"/>
      <c r="AC1340" s="6" t="n"/>
      <c r="AD1340" s="75" t="n"/>
      <c r="AE1340" s="75" t="n"/>
      <c r="AF1340" s="75" t="n"/>
    </row>
    <row r="1341" ht="15.75" customHeight="1" s="133">
      <c r="A1341" s="75" t="n"/>
      <c r="B1341" s="75" t="n"/>
      <c r="C1341" s="75" t="n"/>
      <c r="D1341" s="75" t="n"/>
      <c r="E1341" s="76" t="n"/>
      <c r="F1341" s="77" t="n"/>
      <c r="G1341" s="75" t="n"/>
      <c r="H1341" s="75">
        <f>IF(ISBLANK(E1341),"",IF(OR(D1341="Butterfly",D1341="Butterfly ",D1341="Iron Fly", D1341="Iron Fly "),LEN(E1341)-LEN(SUBSTITUTE(E1341,"/",""))+2,LEN(E1341)-LEN(SUBSTITUTE(E1341,"/",""))+1))</f>
        <v/>
      </c>
      <c r="I1341" s="78">
        <f>IF(ISBLANK(G1341),"",IF(D1341="Stock","0",Key!$A$3*H1341*G1341))</f>
        <v/>
      </c>
      <c r="J1341" s="78">
        <f>IF(ISBLANK(E1341),"",IF(ISNUMBER(SEARCH("/",E1341)), IF(LEN(E1341)-LEN(SUBSTITUTE(E1341,"/",""))=1,(RIGHT(E1341,LEN(E1341)-FIND("/",E1341)))-(LEFT(E1341,FIND("/",E1341)-1)),(MID(E1341, SEARCH("/",E1341) + 1, SEARCH("/",E1341, SEARCH("/",E1341)+1) - SEARCH("/",E1341) - 1))-(LEFT(E1341,FIND("/",E1341)-1))), "NA"))</f>
        <v/>
      </c>
      <c r="K1341" s="79">
        <f>IF(A1341&lt;&gt;"", IF(ISBLANK(L1341), TODAY(), K1341), "")</f>
        <v/>
      </c>
      <c r="L1341" s="78" t="n"/>
      <c r="M1341" s="78">
        <f>IF(ISBLANK(L1341),"",IF(D1341="Stock",IF(C1341="Buy",L1341*G1341,IF(C1341="Sell",(L1341*G1341)-I1341, X)),IF(C1341="Buy",(L1341*G1341*100)+I1341,IF(C1341="Sell",(L1341*G1341*100)-I1341, X))))</f>
        <v/>
      </c>
      <c r="N1341" s="78">
        <f>IF(ISBLANK(L1341),"",IF(AND(C1341="Sell",D1341="Stock"),M1341,IF(ISBLANK(L1341),"",IF(C1341="Buy",M1341, IF(AND(C1341="Sell",J1341="NA"),(E1341*G1341*100*0.1)+I1341, IF(C1341="Sell",(J1341-L1341)*(100*G1341)+I1341))))))</f>
        <v/>
      </c>
      <c r="O1341" s="75" t="n"/>
      <c r="P1341" s="75" t="n"/>
      <c r="Q1341" s="75">
        <f>IF(ISBLANK(P1341),"",IF(D1341="Stock",P1341*G1341,IF(P1341=0,"0",G1341*P1341*100-(G1341*$AF$14))))</f>
        <v/>
      </c>
      <c r="R1341" s="79">
        <f>IF(P1341&lt;&gt;"", TODAY(), "")</f>
        <v/>
      </c>
      <c r="S1341" s="78">
        <f>IF(AND(K1341&lt;&gt;"", R1341&lt;&gt;""), R1341-K1341, "")</f>
        <v/>
      </c>
      <c r="T1341" s="78" t="n"/>
      <c r="U1341" s="92">
        <f>IF(ISBLANK(P1341),"",IF(C1341="Buy",Q1341-M1341+T1341, IF(C1341="Sell",M1341-Q1341-T1341, X)))</f>
        <v/>
      </c>
      <c r="V1341" s="81">
        <f>IF(ISBLANK(P1341),"",U1341/N1341)</f>
        <v/>
      </c>
      <c r="W1341" s="81">
        <f>IF(ISBLANK(P1341),"",IF(S1341=0,(365/0.5)*V1341,(365/S1341)*V1341))</f>
        <v/>
      </c>
      <c r="X1341" s="75" t="n"/>
      <c r="Y1341" s="77" t="n"/>
      <c r="Z1341" s="77" t="n"/>
      <c r="AA1341" s="75" t="n"/>
      <c r="AB1341" s="75" t="n"/>
      <c r="AC1341" s="6" t="n"/>
      <c r="AD1341" s="75" t="n"/>
      <c r="AE1341" s="75" t="n"/>
      <c r="AF1341" s="75" t="n"/>
    </row>
    <row r="1342" ht="15.75" customHeight="1" s="133">
      <c r="A1342" s="75" t="n"/>
      <c r="B1342" s="75" t="n"/>
      <c r="C1342" s="75" t="n"/>
      <c r="D1342" s="75" t="n"/>
      <c r="E1342" s="76" t="n"/>
      <c r="F1342" s="77" t="n"/>
      <c r="G1342" s="75" t="n"/>
      <c r="H1342" s="75">
        <f>IF(ISBLANK(E1342),"",IF(OR(D1342="Butterfly",D1342="Butterfly ",D1342="Iron Fly", D1342="Iron Fly "),LEN(E1342)-LEN(SUBSTITUTE(E1342,"/",""))+2,LEN(E1342)-LEN(SUBSTITUTE(E1342,"/",""))+1))</f>
        <v/>
      </c>
      <c r="I1342" s="78">
        <f>IF(ISBLANK(G1342),"",IF(D1342="Stock","0",Key!$A$3*H1342*G1342))</f>
        <v/>
      </c>
      <c r="J1342" s="78">
        <f>IF(ISBLANK(E1342),"",IF(ISNUMBER(SEARCH("/",E1342)), IF(LEN(E1342)-LEN(SUBSTITUTE(E1342,"/",""))=1,(RIGHT(E1342,LEN(E1342)-FIND("/",E1342)))-(LEFT(E1342,FIND("/",E1342)-1)),(MID(E1342, SEARCH("/",E1342) + 1, SEARCH("/",E1342, SEARCH("/",E1342)+1) - SEARCH("/",E1342) - 1))-(LEFT(E1342,FIND("/",E1342)-1))), "NA"))</f>
        <v/>
      </c>
      <c r="K1342" s="79">
        <f>IF(A1342&lt;&gt;"", IF(ISBLANK(L1342), TODAY(), K1342), "")</f>
        <v/>
      </c>
      <c r="L1342" s="78" t="n"/>
      <c r="M1342" s="78">
        <f>IF(ISBLANK(L1342),"",IF(D1342="Stock",IF(C1342="Buy",L1342*G1342,IF(C1342="Sell",(L1342*G1342)-I1342, X)),IF(C1342="Buy",(L1342*G1342*100)+I1342,IF(C1342="Sell",(L1342*G1342*100)-I1342, X))))</f>
        <v/>
      </c>
      <c r="N1342" s="78">
        <f>IF(ISBLANK(L1342),"",IF(AND(C1342="Sell",D1342="Stock"),M1342,IF(ISBLANK(L1342),"",IF(C1342="Buy",M1342, IF(AND(C1342="Sell",J1342="NA"),(E1342*G1342*100*0.1)+I1342, IF(C1342="Sell",(J1342-L1342)*(100*G1342)+I1342))))))</f>
        <v/>
      </c>
      <c r="O1342" s="75" t="n"/>
      <c r="P1342" s="75" t="n"/>
      <c r="Q1342" s="75">
        <f>IF(ISBLANK(P1342),"",IF(D1342="Stock",P1342*G1342,IF(P1342=0,"0",G1342*P1342*100-(G1342*$AF$14))))</f>
        <v/>
      </c>
      <c r="R1342" s="79">
        <f>IF(P1342&lt;&gt;"", TODAY(), "")</f>
        <v/>
      </c>
      <c r="S1342" s="78">
        <f>IF(AND(K1342&lt;&gt;"", R1342&lt;&gt;""), R1342-K1342, "")</f>
        <v/>
      </c>
      <c r="T1342" s="78" t="n"/>
      <c r="U1342" s="92">
        <f>IF(ISBLANK(P1342),"",IF(C1342="Buy",Q1342-M1342+T1342, IF(C1342="Sell",M1342-Q1342-T1342, X)))</f>
        <v/>
      </c>
      <c r="V1342" s="81">
        <f>IF(ISBLANK(P1342),"",U1342/N1342)</f>
        <v/>
      </c>
      <c r="W1342" s="81">
        <f>IF(ISBLANK(P1342),"",IF(S1342=0,(365/0.5)*V1342,(365/S1342)*V1342))</f>
        <v/>
      </c>
      <c r="X1342" s="75" t="n"/>
      <c r="Y1342" s="77" t="n"/>
      <c r="Z1342" s="77" t="n"/>
      <c r="AA1342" s="75" t="n"/>
      <c r="AB1342" s="75" t="n"/>
      <c r="AC1342" s="6" t="n"/>
      <c r="AD1342" s="75" t="n"/>
      <c r="AE1342" s="75" t="n"/>
      <c r="AF1342" s="75" t="n"/>
    </row>
    <row r="1343" ht="15.75" customHeight="1" s="133">
      <c r="A1343" s="75" t="n"/>
      <c r="B1343" s="75" t="n"/>
      <c r="C1343" s="75" t="n"/>
      <c r="D1343" s="75" t="n"/>
      <c r="E1343" s="76" t="n"/>
      <c r="F1343" s="77" t="n"/>
      <c r="G1343" s="75" t="n"/>
      <c r="H1343" s="75">
        <f>IF(ISBLANK(E1343),"",IF(OR(D1343="Butterfly",D1343="Butterfly ",D1343="Iron Fly", D1343="Iron Fly "),LEN(E1343)-LEN(SUBSTITUTE(E1343,"/",""))+2,LEN(E1343)-LEN(SUBSTITUTE(E1343,"/",""))+1))</f>
        <v/>
      </c>
      <c r="I1343" s="78">
        <f>IF(ISBLANK(G1343),"",IF(D1343="Stock","0",Key!$A$3*H1343*G1343))</f>
        <v/>
      </c>
      <c r="J1343" s="78">
        <f>IF(ISBLANK(E1343),"",IF(ISNUMBER(SEARCH("/",E1343)), IF(LEN(E1343)-LEN(SUBSTITUTE(E1343,"/",""))=1,(RIGHT(E1343,LEN(E1343)-FIND("/",E1343)))-(LEFT(E1343,FIND("/",E1343)-1)),(MID(E1343, SEARCH("/",E1343) + 1, SEARCH("/",E1343, SEARCH("/",E1343)+1) - SEARCH("/",E1343) - 1))-(LEFT(E1343,FIND("/",E1343)-1))), "NA"))</f>
        <v/>
      </c>
      <c r="K1343" s="79">
        <f>IF(A1343&lt;&gt;"", IF(ISBLANK(L1343), TODAY(), K1343), "")</f>
        <v/>
      </c>
      <c r="L1343" s="78" t="n"/>
      <c r="M1343" s="78">
        <f>IF(ISBLANK(L1343),"",IF(D1343="Stock",IF(C1343="Buy",L1343*G1343,IF(C1343="Sell",(L1343*G1343)-I1343, X)),IF(C1343="Buy",(L1343*G1343*100)+I1343,IF(C1343="Sell",(L1343*G1343*100)-I1343, X))))</f>
        <v/>
      </c>
      <c r="N1343" s="78">
        <f>IF(ISBLANK(L1343),"",IF(AND(C1343="Sell",D1343="Stock"),M1343,IF(ISBLANK(L1343),"",IF(C1343="Buy",M1343, IF(AND(C1343="Sell",J1343="NA"),(E1343*G1343*100*0.1)+I1343, IF(C1343="Sell",(J1343-L1343)*(100*G1343)+I1343))))))</f>
        <v/>
      </c>
      <c r="O1343" s="75" t="n"/>
      <c r="P1343" s="75" t="n"/>
      <c r="Q1343" s="75">
        <f>IF(ISBLANK(P1343),"",IF(D1343="Stock",P1343*G1343,IF(P1343=0,"0",G1343*P1343*100-(G1343*$AF$14))))</f>
        <v/>
      </c>
      <c r="R1343" s="79">
        <f>IF(P1343&lt;&gt;"", TODAY(), "")</f>
        <v/>
      </c>
      <c r="S1343" s="78">
        <f>IF(AND(K1343&lt;&gt;"", R1343&lt;&gt;""), R1343-K1343, "")</f>
        <v/>
      </c>
      <c r="T1343" s="78" t="n"/>
      <c r="U1343" s="92">
        <f>IF(ISBLANK(P1343),"",IF(C1343="Buy",Q1343-M1343+T1343, IF(C1343="Sell",M1343-Q1343-T1343, X)))</f>
        <v/>
      </c>
      <c r="V1343" s="81">
        <f>IF(ISBLANK(P1343),"",U1343/N1343)</f>
        <v/>
      </c>
      <c r="W1343" s="81">
        <f>IF(ISBLANK(P1343),"",IF(S1343=0,(365/0.5)*V1343,(365/S1343)*V1343))</f>
        <v/>
      </c>
      <c r="X1343" s="75" t="n"/>
      <c r="Y1343" s="77" t="n"/>
      <c r="Z1343" s="77" t="n"/>
      <c r="AA1343" s="75" t="n"/>
      <c r="AB1343" s="75" t="n"/>
      <c r="AC1343" s="6" t="n"/>
      <c r="AD1343" s="75" t="n"/>
      <c r="AE1343" s="75" t="n"/>
      <c r="AF1343" s="75" t="n"/>
    </row>
    <row r="1344" ht="15.75" customHeight="1" s="133">
      <c r="A1344" s="75" t="n"/>
      <c r="B1344" s="75" t="n"/>
      <c r="C1344" s="75" t="n"/>
      <c r="D1344" s="75" t="n"/>
      <c r="E1344" s="76" t="n"/>
      <c r="F1344" s="77" t="n"/>
      <c r="G1344" s="75" t="n"/>
      <c r="H1344" s="75">
        <f>IF(ISBLANK(E1344),"",IF(OR(D1344="Butterfly",D1344="Butterfly ",D1344="Iron Fly", D1344="Iron Fly "),LEN(E1344)-LEN(SUBSTITUTE(E1344,"/",""))+2,LEN(E1344)-LEN(SUBSTITUTE(E1344,"/",""))+1))</f>
        <v/>
      </c>
      <c r="I1344" s="78">
        <f>IF(ISBLANK(G1344),"",IF(D1344="Stock","0",Key!$A$3*H1344*G1344))</f>
        <v/>
      </c>
      <c r="J1344" s="78">
        <f>IF(ISBLANK(E1344),"",IF(ISNUMBER(SEARCH("/",E1344)), IF(LEN(E1344)-LEN(SUBSTITUTE(E1344,"/",""))=1,(RIGHT(E1344,LEN(E1344)-FIND("/",E1344)))-(LEFT(E1344,FIND("/",E1344)-1)),(MID(E1344, SEARCH("/",E1344) + 1, SEARCH("/",E1344, SEARCH("/",E1344)+1) - SEARCH("/",E1344) - 1))-(LEFT(E1344,FIND("/",E1344)-1))), "NA"))</f>
        <v/>
      </c>
      <c r="K1344" s="79">
        <f>IF(A1344&lt;&gt;"", IF(ISBLANK(L1344), TODAY(), K1344), "")</f>
        <v/>
      </c>
      <c r="L1344" s="78" t="n"/>
      <c r="M1344" s="78">
        <f>IF(ISBLANK(L1344),"",IF(D1344="Stock",IF(C1344="Buy",L1344*G1344,IF(C1344="Sell",(L1344*G1344)-I1344, X)),IF(C1344="Buy",(L1344*G1344*100)+I1344,IF(C1344="Sell",(L1344*G1344*100)-I1344, X))))</f>
        <v/>
      </c>
      <c r="N1344" s="78">
        <f>IF(ISBLANK(L1344),"",IF(AND(C1344="Sell",D1344="Stock"),M1344,IF(ISBLANK(L1344),"",IF(C1344="Buy",M1344, IF(AND(C1344="Sell",J1344="NA"),(E1344*G1344*100*0.1)+I1344, IF(C1344="Sell",(J1344-L1344)*(100*G1344)+I1344))))))</f>
        <v/>
      </c>
      <c r="O1344" s="75" t="n"/>
      <c r="P1344" s="75" t="n"/>
      <c r="Q1344" s="75">
        <f>IF(ISBLANK(P1344),"",IF(D1344="Stock",P1344*G1344,IF(P1344=0,"0",G1344*P1344*100-(G1344*$AF$14))))</f>
        <v/>
      </c>
      <c r="R1344" s="79">
        <f>IF(P1344&lt;&gt;"", TODAY(), "")</f>
        <v/>
      </c>
      <c r="S1344" s="78">
        <f>IF(AND(K1344&lt;&gt;"", R1344&lt;&gt;""), R1344-K1344, "")</f>
        <v/>
      </c>
      <c r="T1344" s="78" t="n"/>
      <c r="U1344" s="92">
        <f>IF(ISBLANK(P1344),"",IF(C1344="Buy",Q1344-M1344+T1344, IF(C1344="Sell",M1344-Q1344-T1344, X)))</f>
        <v/>
      </c>
      <c r="V1344" s="81">
        <f>IF(ISBLANK(P1344),"",U1344/N1344)</f>
        <v/>
      </c>
      <c r="W1344" s="81">
        <f>IF(ISBLANK(P1344),"",IF(S1344=0,(365/0.5)*V1344,(365/S1344)*V1344))</f>
        <v/>
      </c>
      <c r="X1344" s="75" t="n"/>
      <c r="Y1344" s="77" t="n"/>
      <c r="Z1344" s="77" t="n"/>
      <c r="AA1344" s="75" t="n"/>
      <c r="AB1344" s="75" t="n"/>
      <c r="AC1344" s="6" t="n"/>
      <c r="AD1344" s="75" t="n"/>
      <c r="AE1344" s="75" t="n"/>
      <c r="AF1344" s="75" t="n"/>
    </row>
    <row r="1345" ht="15.75" customHeight="1" s="133">
      <c r="A1345" s="75" t="n"/>
      <c r="B1345" s="75" t="n"/>
      <c r="C1345" s="75" t="n"/>
      <c r="D1345" s="75" t="n"/>
      <c r="E1345" s="76" t="n"/>
      <c r="F1345" s="77" t="n"/>
      <c r="G1345" s="75" t="n"/>
      <c r="H1345" s="75">
        <f>IF(ISBLANK(E1345),"",IF(OR(D1345="Butterfly",D1345="Butterfly ",D1345="Iron Fly", D1345="Iron Fly "),LEN(E1345)-LEN(SUBSTITUTE(E1345,"/",""))+2,LEN(E1345)-LEN(SUBSTITUTE(E1345,"/",""))+1))</f>
        <v/>
      </c>
      <c r="I1345" s="78">
        <f>IF(ISBLANK(G1345),"",IF(D1345="Stock","0",Key!$A$3*H1345*G1345))</f>
        <v/>
      </c>
      <c r="J1345" s="78">
        <f>IF(ISBLANK(E1345),"",IF(ISNUMBER(SEARCH("/",E1345)), IF(LEN(E1345)-LEN(SUBSTITUTE(E1345,"/",""))=1,(RIGHT(E1345,LEN(E1345)-FIND("/",E1345)))-(LEFT(E1345,FIND("/",E1345)-1)),(MID(E1345, SEARCH("/",E1345) + 1, SEARCH("/",E1345, SEARCH("/",E1345)+1) - SEARCH("/",E1345) - 1))-(LEFT(E1345,FIND("/",E1345)-1))), "NA"))</f>
        <v/>
      </c>
      <c r="K1345" s="79">
        <f>IF(A1345&lt;&gt;"", IF(ISBLANK(L1345), TODAY(), K1345), "")</f>
        <v/>
      </c>
      <c r="L1345" s="78" t="n"/>
      <c r="M1345" s="78">
        <f>IF(ISBLANK(L1345),"",IF(D1345="Stock",IF(C1345="Buy",L1345*G1345,IF(C1345="Sell",(L1345*G1345)-I1345, X)),IF(C1345="Buy",(L1345*G1345*100)+I1345,IF(C1345="Sell",(L1345*G1345*100)-I1345, X))))</f>
        <v/>
      </c>
      <c r="N1345" s="78">
        <f>IF(ISBLANK(L1345),"",IF(AND(C1345="Sell",D1345="Stock"),M1345,IF(ISBLANK(L1345),"",IF(C1345="Buy",M1345, IF(AND(C1345="Sell",J1345="NA"),(E1345*G1345*100*0.1)+I1345, IF(C1345="Sell",(J1345-L1345)*(100*G1345)+I1345))))))</f>
        <v/>
      </c>
      <c r="O1345" s="75" t="n"/>
      <c r="P1345" s="75" t="n"/>
      <c r="Q1345" s="75">
        <f>IF(ISBLANK(P1345),"",IF(D1345="Stock",P1345*G1345,IF(P1345=0,"0",G1345*P1345*100-(G1345*$AF$14))))</f>
        <v/>
      </c>
      <c r="R1345" s="79">
        <f>IF(P1345&lt;&gt;"", TODAY(), "")</f>
        <v/>
      </c>
      <c r="S1345" s="78">
        <f>IF(AND(K1345&lt;&gt;"", R1345&lt;&gt;""), R1345-K1345, "")</f>
        <v/>
      </c>
      <c r="T1345" s="78" t="n"/>
      <c r="U1345" s="92">
        <f>IF(ISBLANK(P1345),"",IF(C1345="Buy",Q1345-M1345+T1345, IF(C1345="Sell",M1345-Q1345-T1345, X)))</f>
        <v/>
      </c>
      <c r="V1345" s="81">
        <f>IF(ISBLANK(P1345),"",U1345/N1345)</f>
        <v/>
      </c>
      <c r="W1345" s="81">
        <f>IF(ISBLANK(P1345),"",IF(S1345=0,(365/0.5)*V1345,(365/S1345)*V1345))</f>
        <v/>
      </c>
      <c r="X1345" s="75" t="n"/>
      <c r="Y1345" s="77" t="n"/>
      <c r="Z1345" s="77" t="n"/>
      <c r="AA1345" s="75" t="n"/>
      <c r="AB1345" s="75" t="n"/>
      <c r="AC1345" s="6" t="n"/>
      <c r="AD1345" s="75" t="n"/>
      <c r="AE1345" s="75" t="n"/>
      <c r="AF1345" s="75" t="n"/>
    </row>
    <row r="1346" ht="15.75" customHeight="1" s="133">
      <c r="A1346" s="75" t="n"/>
      <c r="B1346" s="75" t="n"/>
      <c r="C1346" s="75" t="n"/>
      <c r="D1346" s="75" t="n"/>
      <c r="E1346" s="76" t="n"/>
      <c r="F1346" s="77" t="n"/>
      <c r="G1346" s="75" t="n"/>
      <c r="H1346" s="75">
        <f>IF(ISBLANK(E1346),"",IF(OR(D1346="Butterfly",D1346="Butterfly ",D1346="Iron Fly", D1346="Iron Fly "),LEN(E1346)-LEN(SUBSTITUTE(E1346,"/",""))+2,LEN(E1346)-LEN(SUBSTITUTE(E1346,"/",""))+1))</f>
        <v/>
      </c>
      <c r="I1346" s="78">
        <f>IF(ISBLANK(G1346),"",IF(D1346="Stock","0",Key!$A$3*H1346*G1346))</f>
        <v/>
      </c>
      <c r="J1346" s="78">
        <f>IF(ISBLANK(E1346),"",IF(ISNUMBER(SEARCH("/",E1346)), IF(LEN(E1346)-LEN(SUBSTITUTE(E1346,"/",""))=1,(RIGHT(E1346,LEN(E1346)-FIND("/",E1346)))-(LEFT(E1346,FIND("/",E1346)-1)),(MID(E1346, SEARCH("/",E1346) + 1, SEARCH("/",E1346, SEARCH("/",E1346)+1) - SEARCH("/",E1346) - 1))-(LEFT(E1346,FIND("/",E1346)-1))), "NA"))</f>
        <v/>
      </c>
      <c r="K1346" s="79">
        <f>IF(A1346&lt;&gt;"", IF(ISBLANK(L1346), TODAY(), K1346), "")</f>
        <v/>
      </c>
      <c r="L1346" s="78" t="n"/>
      <c r="M1346" s="78">
        <f>IF(ISBLANK(L1346),"",IF(D1346="Stock",IF(C1346="Buy",L1346*G1346,IF(C1346="Sell",(L1346*G1346)-I1346, X)),IF(C1346="Buy",(L1346*G1346*100)+I1346,IF(C1346="Sell",(L1346*G1346*100)-I1346, X))))</f>
        <v/>
      </c>
      <c r="N1346" s="78">
        <f>IF(ISBLANK(L1346),"",IF(AND(C1346="Sell",D1346="Stock"),M1346,IF(ISBLANK(L1346),"",IF(C1346="Buy",M1346, IF(AND(C1346="Sell",J1346="NA"),(E1346*G1346*100*0.1)+I1346, IF(C1346="Sell",(J1346-L1346)*(100*G1346)+I1346))))))</f>
        <v/>
      </c>
      <c r="O1346" s="75" t="n"/>
      <c r="P1346" s="75" t="n"/>
      <c r="Q1346" s="75">
        <f>IF(ISBLANK(P1346),"",IF(D1346="Stock",P1346*G1346,IF(P1346=0,"0",G1346*P1346*100-(G1346*$AF$14))))</f>
        <v/>
      </c>
      <c r="R1346" s="79">
        <f>IF(P1346&lt;&gt;"", TODAY(), "")</f>
        <v/>
      </c>
      <c r="S1346" s="78">
        <f>IF(AND(K1346&lt;&gt;"", R1346&lt;&gt;""), R1346-K1346, "")</f>
        <v/>
      </c>
      <c r="T1346" s="78" t="n"/>
      <c r="U1346" s="92">
        <f>IF(ISBLANK(P1346),"",IF(C1346="Buy",Q1346-M1346+T1346, IF(C1346="Sell",M1346-Q1346-T1346, X)))</f>
        <v/>
      </c>
      <c r="V1346" s="81">
        <f>IF(ISBLANK(P1346),"",U1346/N1346)</f>
        <v/>
      </c>
      <c r="W1346" s="81">
        <f>IF(ISBLANK(P1346),"",IF(S1346=0,(365/0.5)*V1346,(365/S1346)*V1346))</f>
        <v/>
      </c>
      <c r="X1346" s="75" t="n"/>
      <c r="Y1346" s="77" t="n"/>
      <c r="Z1346" s="77" t="n"/>
      <c r="AA1346" s="75" t="n"/>
      <c r="AB1346" s="75" t="n"/>
      <c r="AC1346" s="6" t="n"/>
      <c r="AD1346" s="75" t="n"/>
      <c r="AE1346" s="75" t="n"/>
      <c r="AF1346" s="75" t="n"/>
    </row>
    <row r="1347" ht="15.75" customHeight="1" s="133">
      <c r="A1347" s="75" t="n"/>
      <c r="B1347" s="75" t="n"/>
      <c r="C1347" s="75" t="n"/>
      <c r="D1347" s="75" t="n"/>
      <c r="E1347" s="76" t="n"/>
      <c r="F1347" s="77" t="n"/>
      <c r="G1347" s="75" t="n"/>
      <c r="H1347" s="75">
        <f>IF(ISBLANK(E1347),"",IF(OR(D1347="Butterfly",D1347="Butterfly ",D1347="Iron Fly", D1347="Iron Fly "),LEN(E1347)-LEN(SUBSTITUTE(E1347,"/",""))+2,LEN(E1347)-LEN(SUBSTITUTE(E1347,"/",""))+1))</f>
        <v/>
      </c>
      <c r="I1347" s="78">
        <f>IF(ISBLANK(G1347),"",IF(D1347="Stock","0",Key!$A$3*H1347*G1347))</f>
        <v/>
      </c>
      <c r="J1347" s="78">
        <f>IF(ISBLANK(E1347),"",IF(ISNUMBER(SEARCH("/",E1347)), IF(LEN(E1347)-LEN(SUBSTITUTE(E1347,"/",""))=1,(RIGHT(E1347,LEN(E1347)-FIND("/",E1347)))-(LEFT(E1347,FIND("/",E1347)-1)),(MID(E1347, SEARCH("/",E1347) + 1, SEARCH("/",E1347, SEARCH("/",E1347)+1) - SEARCH("/",E1347) - 1))-(LEFT(E1347,FIND("/",E1347)-1))), "NA"))</f>
        <v/>
      </c>
      <c r="K1347" s="79">
        <f>IF(A1347&lt;&gt;"", IF(ISBLANK(L1347), TODAY(), K1347), "")</f>
        <v/>
      </c>
      <c r="L1347" s="78" t="n"/>
      <c r="M1347" s="78">
        <f>IF(ISBLANK(L1347),"",IF(D1347="Stock",IF(C1347="Buy",L1347*G1347,IF(C1347="Sell",(L1347*G1347)-I1347, X)),IF(C1347="Buy",(L1347*G1347*100)+I1347,IF(C1347="Sell",(L1347*G1347*100)-I1347, X))))</f>
        <v/>
      </c>
      <c r="N1347" s="78">
        <f>IF(ISBLANK(L1347),"",IF(AND(C1347="Sell",D1347="Stock"),M1347,IF(ISBLANK(L1347),"",IF(C1347="Buy",M1347, IF(AND(C1347="Sell",J1347="NA"),(E1347*G1347*100*0.1)+I1347, IF(C1347="Sell",(J1347-L1347)*(100*G1347)+I1347))))))</f>
        <v/>
      </c>
      <c r="O1347" s="75" t="n"/>
      <c r="P1347" s="75" t="n"/>
      <c r="Q1347" s="75">
        <f>IF(ISBLANK(P1347),"",IF(D1347="Stock",P1347*G1347,IF(P1347=0,"0",G1347*P1347*100-(G1347*$AF$14))))</f>
        <v/>
      </c>
      <c r="R1347" s="79">
        <f>IF(P1347&lt;&gt;"", TODAY(), "")</f>
        <v/>
      </c>
      <c r="S1347" s="78">
        <f>IF(AND(K1347&lt;&gt;"", R1347&lt;&gt;""), R1347-K1347, "")</f>
        <v/>
      </c>
      <c r="T1347" s="78" t="n"/>
      <c r="U1347" s="92">
        <f>IF(ISBLANK(P1347),"",IF(C1347="Buy",Q1347-M1347+T1347, IF(C1347="Sell",M1347-Q1347-T1347, X)))</f>
        <v/>
      </c>
      <c r="V1347" s="81">
        <f>IF(ISBLANK(P1347),"",U1347/N1347)</f>
        <v/>
      </c>
      <c r="W1347" s="81">
        <f>IF(ISBLANK(P1347),"",IF(S1347=0,(365/0.5)*V1347,(365/S1347)*V1347))</f>
        <v/>
      </c>
      <c r="X1347" s="75" t="n"/>
      <c r="Y1347" s="77" t="n"/>
      <c r="Z1347" s="77" t="n"/>
      <c r="AA1347" s="75" t="n"/>
      <c r="AB1347" s="75" t="n"/>
      <c r="AC1347" s="6" t="n"/>
      <c r="AD1347" s="75" t="n"/>
      <c r="AE1347" s="75" t="n"/>
      <c r="AF1347" s="75" t="n"/>
    </row>
    <row r="1348" ht="15.75" customHeight="1" s="133">
      <c r="A1348" s="75" t="n"/>
      <c r="B1348" s="75" t="n"/>
      <c r="C1348" s="75" t="n"/>
      <c r="D1348" s="75" t="n"/>
      <c r="E1348" s="76" t="n"/>
      <c r="F1348" s="77" t="n"/>
      <c r="G1348" s="75" t="n"/>
      <c r="H1348" s="75">
        <f>IF(ISBLANK(E1348),"",IF(OR(D1348="Butterfly",D1348="Butterfly ",D1348="Iron Fly", D1348="Iron Fly "),LEN(E1348)-LEN(SUBSTITUTE(E1348,"/",""))+2,LEN(E1348)-LEN(SUBSTITUTE(E1348,"/",""))+1))</f>
        <v/>
      </c>
      <c r="I1348" s="78">
        <f>IF(ISBLANK(G1348),"",IF(D1348="Stock","0",Key!$A$3*H1348*G1348))</f>
        <v/>
      </c>
      <c r="J1348" s="78">
        <f>IF(ISBLANK(E1348),"",IF(ISNUMBER(SEARCH("/",E1348)), IF(LEN(E1348)-LEN(SUBSTITUTE(E1348,"/",""))=1,(RIGHT(E1348,LEN(E1348)-FIND("/",E1348)))-(LEFT(E1348,FIND("/",E1348)-1)),(MID(E1348, SEARCH("/",E1348) + 1, SEARCH("/",E1348, SEARCH("/",E1348)+1) - SEARCH("/",E1348) - 1))-(LEFT(E1348,FIND("/",E1348)-1))), "NA"))</f>
        <v/>
      </c>
      <c r="K1348" s="79">
        <f>IF(A1348&lt;&gt;"", IF(ISBLANK(L1348), TODAY(), K1348), "")</f>
        <v/>
      </c>
      <c r="L1348" s="78" t="n"/>
      <c r="M1348" s="78">
        <f>IF(ISBLANK(L1348),"",IF(D1348="Stock",IF(C1348="Buy",L1348*G1348,IF(C1348="Sell",(L1348*G1348)-I1348, X)),IF(C1348="Buy",(L1348*G1348*100)+I1348,IF(C1348="Sell",(L1348*G1348*100)-I1348, X))))</f>
        <v/>
      </c>
      <c r="N1348" s="78">
        <f>IF(ISBLANK(L1348),"",IF(AND(C1348="Sell",D1348="Stock"),M1348,IF(ISBLANK(L1348),"",IF(C1348="Buy",M1348, IF(AND(C1348="Sell",J1348="NA"),(E1348*G1348*100*0.1)+I1348, IF(C1348="Sell",(J1348-L1348)*(100*G1348)+I1348))))))</f>
        <v/>
      </c>
      <c r="O1348" s="75" t="n"/>
      <c r="P1348" s="75" t="n"/>
      <c r="Q1348" s="75">
        <f>IF(ISBLANK(P1348),"",IF(D1348="Stock",P1348*G1348,IF(P1348=0,"0",G1348*P1348*100-(G1348*$AF$14))))</f>
        <v/>
      </c>
      <c r="R1348" s="79">
        <f>IF(P1348&lt;&gt;"", TODAY(), "")</f>
        <v/>
      </c>
      <c r="S1348" s="78">
        <f>IF(AND(K1348&lt;&gt;"", R1348&lt;&gt;""), R1348-K1348, "")</f>
        <v/>
      </c>
      <c r="T1348" s="78" t="n"/>
      <c r="U1348" s="92">
        <f>IF(ISBLANK(P1348),"",IF(C1348="Buy",Q1348-M1348+T1348, IF(C1348="Sell",M1348-Q1348-T1348, X)))</f>
        <v/>
      </c>
      <c r="V1348" s="81">
        <f>IF(ISBLANK(P1348),"",U1348/N1348)</f>
        <v/>
      </c>
      <c r="W1348" s="81">
        <f>IF(ISBLANK(P1348),"",IF(S1348=0,(365/0.5)*V1348,(365/S1348)*V1348))</f>
        <v/>
      </c>
      <c r="X1348" s="75" t="n"/>
      <c r="Y1348" s="77" t="n"/>
      <c r="Z1348" s="77" t="n"/>
      <c r="AA1348" s="75" t="n"/>
      <c r="AB1348" s="75" t="n"/>
      <c r="AC1348" s="6" t="n"/>
      <c r="AD1348" s="75" t="n"/>
      <c r="AE1348" s="75" t="n"/>
      <c r="AF1348" s="75" t="n"/>
    </row>
    <row r="1349" ht="15.75" customHeight="1" s="133">
      <c r="A1349" s="75" t="n"/>
      <c r="B1349" s="75" t="n"/>
      <c r="C1349" s="75" t="n"/>
      <c r="D1349" s="75" t="n"/>
      <c r="E1349" s="76" t="n"/>
      <c r="F1349" s="77" t="n"/>
      <c r="G1349" s="75" t="n"/>
      <c r="H1349" s="75">
        <f>IF(ISBLANK(E1349),"",IF(OR(D1349="Butterfly",D1349="Butterfly ",D1349="Iron Fly", D1349="Iron Fly "),LEN(E1349)-LEN(SUBSTITUTE(E1349,"/",""))+2,LEN(E1349)-LEN(SUBSTITUTE(E1349,"/",""))+1))</f>
        <v/>
      </c>
      <c r="I1349" s="78">
        <f>IF(ISBLANK(G1349),"",IF(D1349="Stock","0",Key!$A$3*H1349*G1349))</f>
        <v/>
      </c>
      <c r="J1349" s="78">
        <f>IF(ISBLANK(E1349),"",IF(ISNUMBER(SEARCH("/",E1349)), IF(LEN(E1349)-LEN(SUBSTITUTE(E1349,"/",""))=1,(RIGHT(E1349,LEN(E1349)-FIND("/",E1349)))-(LEFT(E1349,FIND("/",E1349)-1)),(MID(E1349, SEARCH("/",E1349) + 1, SEARCH("/",E1349, SEARCH("/",E1349)+1) - SEARCH("/",E1349) - 1))-(LEFT(E1349,FIND("/",E1349)-1))), "NA"))</f>
        <v/>
      </c>
      <c r="K1349" s="79">
        <f>IF(A1349&lt;&gt;"", IF(ISBLANK(L1349), TODAY(), K1349), "")</f>
        <v/>
      </c>
      <c r="L1349" s="78" t="n"/>
      <c r="M1349" s="78">
        <f>IF(ISBLANK(L1349),"",IF(D1349="Stock",IF(C1349="Buy",L1349*G1349,IF(C1349="Sell",(L1349*G1349)-I1349, X)),IF(C1349="Buy",(L1349*G1349*100)+I1349,IF(C1349="Sell",(L1349*G1349*100)-I1349, X))))</f>
        <v/>
      </c>
      <c r="N1349" s="78">
        <f>IF(ISBLANK(L1349),"",IF(AND(C1349="Sell",D1349="Stock"),M1349,IF(ISBLANK(L1349),"",IF(C1349="Buy",M1349, IF(AND(C1349="Sell",J1349="NA"),(E1349*G1349*100*0.1)+I1349, IF(C1349="Sell",(J1349-L1349)*(100*G1349)+I1349))))))</f>
        <v/>
      </c>
      <c r="O1349" s="75" t="n"/>
      <c r="P1349" s="75" t="n"/>
      <c r="Q1349" s="75">
        <f>IF(ISBLANK(P1349),"",IF(D1349="Stock",P1349*G1349,IF(P1349=0,"0",G1349*P1349*100-(G1349*$AF$14))))</f>
        <v/>
      </c>
      <c r="R1349" s="79">
        <f>IF(P1349&lt;&gt;"", TODAY(), "")</f>
        <v/>
      </c>
      <c r="S1349" s="78">
        <f>IF(AND(K1349&lt;&gt;"", R1349&lt;&gt;""), R1349-K1349, "")</f>
        <v/>
      </c>
      <c r="T1349" s="78" t="n"/>
      <c r="U1349" s="92">
        <f>IF(ISBLANK(P1349),"",IF(C1349="Buy",Q1349-M1349+T1349, IF(C1349="Sell",M1349-Q1349-T1349, X)))</f>
        <v/>
      </c>
      <c r="V1349" s="81">
        <f>IF(ISBLANK(P1349),"",U1349/N1349)</f>
        <v/>
      </c>
      <c r="W1349" s="81">
        <f>IF(ISBLANK(P1349),"",IF(S1349=0,(365/0.5)*V1349,(365/S1349)*V1349))</f>
        <v/>
      </c>
      <c r="X1349" s="75" t="n"/>
      <c r="Y1349" s="77" t="n"/>
      <c r="Z1349" s="77" t="n"/>
      <c r="AA1349" s="75" t="n"/>
      <c r="AB1349" s="75" t="n"/>
      <c r="AC1349" s="6" t="n"/>
      <c r="AD1349" s="75" t="n"/>
      <c r="AE1349" s="75" t="n"/>
      <c r="AF1349" s="75" t="n"/>
    </row>
    <row r="1350" ht="15.75" customHeight="1" s="133">
      <c r="A1350" s="75" t="n"/>
      <c r="B1350" s="75" t="n"/>
      <c r="C1350" s="75" t="n"/>
      <c r="D1350" s="75" t="n"/>
      <c r="E1350" s="76" t="n"/>
      <c r="F1350" s="77" t="n"/>
      <c r="G1350" s="75" t="n"/>
      <c r="H1350" s="75">
        <f>IF(ISBLANK(E1350),"",IF(OR(D1350="Butterfly",D1350="Butterfly ",D1350="Iron Fly", D1350="Iron Fly "),LEN(E1350)-LEN(SUBSTITUTE(E1350,"/",""))+2,LEN(E1350)-LEN(SUBSTITUTE(E1350,"/",""))+1))</f>
        <v/>
      </c>
      <c r="I1350" s="78">
        <f>IF(ISBLANK(G1350),"",IF(D1350="Stock","0",Key!$A$3*H1350*G1350))</f>
        <v/>
      </c>
      <c r="J1350" s="78">
        <f>IF(ISBLANK(E1350),"",IF(ISNUMBER(SEARCH("/",E1350)), IF(LEN(E1350)-LEN(SUBSTITUTE(E1350,"/",""))=1,(RIGHT(E1350,LEN(E1350)-FIND("/",E1350)))-(LEFT(E1350,FIND("/",E1350)-1)),(MID(E1350, SEARCH("/",E1350) + 1, SEARCH("/",E1350, SEARCH("/",E1350)+1) - SEARCH("/",E1350) - 1))-(LEFT(E1350,FIND("/",E1350)-1))), "NA"))</f>
        <v/>
      </c>
      <c r="K1350" s="79">
        <f>IF(A1350&lt;&gt;"", IF(ISBLANK(L1350), TODAY(), K1350), "")</f>
        <v/>
      </c>
      <c r="L1350" s="78" t="n"/>
      <c r="M1350" s="78">
        <f>IF(ISBLANK(L1350),"",IF(D1350="Stock",IF(C1350="Buy",L1350*G1350,IF(C1350="Sell",(L1350*G1350)-I1350, X)),IF(C1350="Buy",(L1350*G1350*100)+I1350,IF(C1350="Sell",(L1350*G1350*100)-I1350, X))))</f>
        <v/>
      </c>
      <c r="N1350" s="78">
        <f>IF(ISBLANK(L1350),"",IF(AND(C1350="Sell",D1350="Stock"),M1350,IF(ISBLANK(L1350),"",IF(C1350="Buy",M1350, IF(AND(C1350="Sell",J1350="NA"),(E1350*G1350*100*0.1)+I1350, IF(C1350="Sell",(J1350-L1350)*(100*G1350)+I1350))))))</f>
        <v/>
      </c>
      <c r="O1350" s="75" t="n"/>
      <c r="P1350" s="75" t="n"/>
      <c r="Q1350" s="75">
        <f>IF(ISBLANK(P1350),"",IF(D1350="Stock",P1350*G1350,IF(P1350=0,"0",G1350*P1350*100-(G1350*$AF$14))))</f>
        <v/>
      </c>
      <c r="R1350" s="79">
        <f>IF(P1350&lt;&gt;"", TODAY(), "")</f>
        <v/>
      </c>
      <c r="S1350" s="78">
        <f>IF(AND(K1350&lt;&gt;"", R1350&lt;&gt;""), R1350-K1350, "")</f>
        <v/>
      </c>
      <c r="T1350" s="78" t="n"/>
      <c r="U1350" s="92">
        <f>IF(ISBLANK(P1350),"",IF(C1350="Buy",Q1350-M1350+T1350, IF(C1350="Sell",M1350-Q1350-T1350, X)))</f>
        <v/>
      </c>
      <c r="V1350" s="81">
        <f>IF(ISBLANK(P1350),"",U1350/N1350)</f>
        <v/>
      </c>
      <c r="W1350" s="81">
        <f>IF(ISBLANK(P1350),"",IF(S1350=0,(365/0.5)*V1350,(365/S1350)*V1350))</f>
        <v/>
      </c>
      <c r="X1350" s="75" t="n"/>
      <c r="Y1350" s="77" t="n"/>
      <c r="Z1350" s="77" t="n"/>
      <c r="AA1350" s="75" t="n"/>
      <c r="AB1350" s="75" t="n"/>
      <c r="AC1350" s="6" t="n"/>
      <c r="AD1350" s="75" t="n"/>
      <c r="AE1350" s="75" t="n"/>
      <c r="AF1350" s="75" t="n"/>
    </row>
    <row r="1351" ht="15.75" customHeight="1" s="133">
      <c r="A1351" s="75" t="n"/>
      <c r="B1351" s="75" t="n"/>
      <c r="C1351" s="75" t="n"/>
      <c r="D1351" s="75" t="n"/>
      <c r="E1351" s="76" t="n"/>
      <c r="F1351" s="77" t="n"/>
      <c r="G1351" s="75" t="n"/>
      <c r="H1351" s="75">
        <f>IF(ISBLANK(E1351),"",IF(OR(D1351="Butterfly",D1351="Butterfly ",D1351="Iron Fly", D1351="Iron Fly "),LEN(E1351)-LEN(SUBSTITUTE(E1351,"/",""))+2,LEN(E1351)-LEN(SUBSTITUTE(E1351,"/",""))+1))</f>
        <v/>
      </c>
      <c r="I1351" s="78">
        <f>IF(ISBLANK(G1351),"",IF(D1351="Stock","0",Key!$A$3*H1351*G1351))</f>
        <v/>
      </c>
      <c r="J1351" s="78">
        <f>IF(ISBLANK(E1351),"",IF(ISNUMBER(SEARCH("/",E1351)), IF(LEN(E1351)-LEN(SUBSTITUTE(E1351,"/",""))=1,(RIGHT(E1351,LEN(E1351)-FIND("/",E1351)))-(LEFT(E1351,FIND("/",E1351)-1)),(MID(E1351, SEARCH("/",E1351) + 1, SEARCH("/",E1351, SEARCH("/",E1351)+1) - SEARCH("/",E1351) - 1))-(LEFT(E1351,FIND("/",E1351)-1))), "NA"))</f>
        <v/>
      </c>
      <c r="K1351" s="79">
        <f>IF(A1351&lt;&gt;"", IF(ISBLANK(L1351), TODAY(), K1351), "")</f>
        <v/>
      </c>
      <c r="L1351" s="78" t="n"/>
      <c r="M1351" s="78">
        <f>IF(ISBLANK(L1351),"",IF(D1351="Stock",IF(C1351="Buy",L1351*G1351,IF(C1351="Sell",(L1351*G1351)-I1351, X)),IF(C1351="Buy",(L1351*G1351*100)+I1351,IF(C1351="Sell",(L1351*G1351*100)-I1351, X))))</f>
        <v/>
      </c>
      <c r="N1351" s="78">
        <f>IF(ISBLANK(L1351),"",IF(AND(C1351="Sell",D1351="Stock"),M1351,IF(ISBLANK(L1351),"",IF(C1351="Buy",M1351, IF(AND(C1351="Sell",J1351="NA"),(E1351*G1351*100*0.1)+I1351, IF(C1351="Sell",(J1351-L1351)*(100*G1351)+I1351))))))</f>
        <v/>
      </c>
      <c r="O1351" s="75" t="n"/>
      <c r="P1351" s="75" t="n"/>
      <c r="Q1351" s="75">
        <f>IF(ISBLANK(P1351),"",IF(D1351="Stock",P1351*G1351,IF(P1351=0,"0",G1351*P1351*100-(G1351*$AF$14))))</f>
        <v/>
      </c>
      <c r="R1351" s="79">
        <f>IF(P1351&lt;&gt;"", TODAY(), "")</f>
        <v/>
      </c>
      <c r="S1351" s="78">
        <f>IF(AND(K1351&lt;&gt;"", R1351&lt;&gt;""), R1351-K1351, "")</f>
        <v/>
      </c>
      <c r="T1351" s="78" t="n"/>
      <c r="U1351" s="92">
        <f>IF(ISBLANK(P1351),"",IF(C1351="Buy",Q1351-M1351+T1351, IF(C1351="Sell",M1351-Q1351-T1351, X)))</f>
        <v/>
      </c>
      <c r="V1351" s="81">
        <f>IF(ISBLANK(P1351),"",U1351/N1351)</f>
        <v/>
      </c>
      <c r="W1351" s="81">
        <f>IF(ISBLANK(P1351),"",IF(S1351=0,(365/0.5)*V1351,(365/S1351)*V1351))</f>
        <v/>
      </c>
      <c r="X1351" s="75" t="n"/>
      <c r="Y1351" s="77" t="n"/>
      <c r="Z1351" s="77" t="n"/>
      <c r="AA1351" s="75" t="n"/>
      <c r="AB1351" s="75" t="n"/>
      <c r="AC1351" s="6" t="n"/>
      <c r="AD1351" s="75" t="n"/>
      <c r="AE1351" s="75" t="n"/>
      <c r="AF1351" s="75" t="n"/>
    </row>
    <row r="1352" ht="15.75" customHeight="1" s="133">
      <c r="A1352" s="75" t="n"/>
      <c r="B1352" s="75" t="n"/>
      <c r="C1352" s="75" t="n"/>
      <c r="D1352" s="75" t="n"/>
      <c r="E1352" s="76" t="n"/>
      <c r="F1352" s="77" t="n"/>
      <c r="G1352" s="75" t="n"/>
      <c r="H1352" s="75">
        <f>IF(ISBLANK(E1352),"",IF(OR(D1352="Butterfly",D1352="Butterfly ",D1352="Iron Fly", D1352="Iron Fly "),LEN(E1352)-LEN(SUBSTITUTE(E1352,"/",""))+2,LEN(E1352)-LEN(SUBSTITUTE(E1352,"/",""))+1))</f>
        <v/>
      </c>
      <c r="I1352" s="78">
        <f>IF(ISBLANK(G1352),"",IF(D1352="Stock","0",Key!$A$3*H1352*G1352))</f>
        <v/>
      </c>
      <c r="J1352" s="78">
        <f>IF(ISBLANK(E1352),"",IF(ISNUMBER(SEARCH("/",E1352)), IF(LEN(E1352)-LEN(SUBSTITUTE(E1352,"/",""))=1,(RIGHT(E1352,LEN(E1352)-FIND("/",E1352)))-(LEFT(E1352,FIND("/",E1352)-1)),(MID(E1352, SEARCH("/",E1352) + 1, SEARCH("/",E1352, SEARCH("/",E1352)+1) - SEARCH("/",E1352) - 1))-(LEFT(E1352,FIND("/",E1352)-1))), "NA"))</f>
        <v/>
      </c>
      <c r="K1352" s="79">
        <f>IF(A1352&lt;&gt;"", IF(ISBLANK(L1352), TODAY(), K1352), "")</f>
        <v/>
      </c>
      <c r="L1352" s="78" t="n"/>
      <c r="M1352" s="78">
        <f>IF(ISBLANK(L1352),"",IF(D1352="Stock",IF(C1352="Buy",L1352*G1352,IF(C1352="Sell",(L1352*G1352)-I1352, X)),IF(C1352="Buy",(L1352*G1352*100)+I1352,IF(C1352="Sell",(L1352*G1352*100)-I1352, X))))</f>
        <v/>
      </c>
      <c r="N1352" s="78">
        <f>IF(ISBLANK(L1352),"",IF(AND(C1352="Sell",D1352="Stock"),M1352,IF(ISBLANK(L1352),"",IF(C1352="Buy",M1352, IF(AND(C1352="Sell",J1352="NA"),(E1352*G1352*100*0.1)+I1352, IF(C1352="Sell",(J1352-L1352)*(100*G1352)+I1352))))))</f>
        <v/>
      </c>
      <c r="O1352" s="75" t="n"/>
      <c r="P1352" s="75" t="n"/>
      <c r="Q1352" s="75">
        <f>IF(ISBLANK(P1352),"",IF(D1352="Stock",P1352*G1352,IF(P1352=0,"0",G1352*P1352*100-(G1352*$AF$14))))</f>
        <v/>
      </c>
      <c r="R1352" s="79">
        <f>IF(P1352&lt;&gt;"", TODAY(), "")</f>
        <v/>
      </c>
      <c r="S1352" s="78">
        <f>IF(AND(K1352&lt;&gt;"", R1352&lt;&gt;""), R1352-K1352, "")</f>
        <v/>
      </c>
      <c r="T1352" s="78" t="n"/>
      <c r="U1352" s="92">
        <f>IF(ISBLANK(P1352),"",IF(C1352="Buy",Q1352-M1352+T1352, IF(C1352="Sell",M1352-Q1352-T1352, X)))</f>
        <v/>
      </c>
      <c r="V1352" s="81">
        <f>IF(ISBLANK(P1352),"",U1352/N1352)</f>
        <v/>
      </c>
      <c r="W1352" s="81">
        <f>IF(ISBLANK(P1352),"",IF(S1352=0,(365/0.5)*V1352,(365/S1352)*V1352))</f>
        <v/>
      </c>
      <c r="X1352" s="75" t="n"/>
      <c r="Y1352" s="77" t="n"/>
      <c r="Z1352" s="77" t="n"/>
      <c r="AA1352" s="75" t="n"/>
      <c r="AB1352" s="75" t="n"/>
      <c r="AC1352" s="6" t="n"/>
      <c r="AD1352" s="75" t="n"/>
      <c r="AE1352" s="75" t="n"/>
      <c r="AF1352" s="75" t="n"/>
    </row>
    <row r="1353" ht="15.75" customHeight="1" s="133">
      <c r="A1353" s="75" t="n"/>
      <c r="B1353" s="75" t="n"/>
      <c r="C1353" s="75" t="n"/>
      <c r="D1353" s="75" t="n"/>
      <c r="E1353" s="76" t="n"/>
      <c r="F1353" s="77" t="n"/>
      <c r="G1353" s="75" t="n"/>
      <c r="H1353" s="75">
        <f>IF(ISBLANK(E1353),"",IF(OR(D1353="Butterfly",D1353="Butterfly ",D1353="Iron Fly", D1353="Iron Fly "),LEN(E1353)-LEN(SUBSTITUTE(E1353,"/",""))+2,LEN(E1353)-LEN(SUBSTITUTE(E1353,"/",""))+1))</f>
        <v/>
      </c>
      <c r="I1353" s="78">
        <f>IF(ISBLANK(G1353),"",IF(D1353="Stock","0",Key!$A$3*H1353*G1353))</f>
        <v/>
      </c>
      <c r="J1353" s="78">
        <f>IF(ISBLANK(E1353),"",IF(ISNUMBER(SEARCH("/",E1353)), IF(LEN(E1353)-LEN(SUBSTITUTE(E1353,"/",""))=1,(RIGHT(E1353,LEN(E1353)-FIND("/",E1353)))-(LEFT(E1353,FIND("/",E1353)-1)),(MID(E1353, SEARCH("/",E1353) + 1, SEARCH("/",E1353, SEARCH("/",E1353)+1) - SEARCH("/",E1353) - 1))-(LEFT(E1353,FIND("/",E1353)-1))), "NA"))</f>
        <v/>
      </c>
      <c r="K1353" s="79">
        <f>IF(A1353&lt;&gt;"", IF(ISBLANK(L1353), TODAY(), K1353), "")</f>
        <v/>
      </c>
      <c r="L1353" s="78" t="n"/>
      <c r="M1353" s="78">
        <f>IF(ISBLANK(L1353),"",IF(D1353="Stock",IF(C1353="Buy",L1353*G1353,IF(C1353="Sell",(L1353*G1353)-I1353, X)),IF(C1353="Buy",(L1353*G1353*100)+I1353,IF(C1353="Sell",(L1353*G1353*100)-I1353, X))))</f>
        <v/>
      </c>
      <c r="N1353" s="78">
        <f>IF(ISBLANK(L1353),"",IF(AND(C1353="Sell",D1353="Stock"),M1353,IF(ISBLANK(L1353),"",IF(C1353="Buy",M1353, IF(AND(C1353="Sell",J1353="NA"),(E1353*G1353*100*0.1)+I1353, IF(C1353="Sell",(J1353-L1353)*(100*G1353)+I1353))))))</f>
        <v/>
      </c>
      <c r="O1353" s="75" t="n"/>
      <c r="P1353" s="75" t="n"/>
      <c r="Q1353" s="75">
        <f>IF(ISBLANK(P1353),"",IF(D1353="Stock",P1353*G1353,IF(P1353=0,"0",G1353*P1353*100-(G1353*$AF$14))))</f>
        <v/>
      </c>
      <c r="R1353" s="79">
        <f>IF(P1353&lt;&gt;"", TODAY(), "")</f>
        <v/>
      </c>
      <c r="S1353" s="78">
        <f>IF(AND(K1353&lt;&gt;"", R1353&lt;&gt;""), R1353-K1353, "")</f>
        <v/>
      </c>
      <c r="T1353" s="78" t="n"/>
      <c r="U1353" s="92">
        <f>IF(ISBLANK(P1353),"",IF(C1353="Buy",Q1353-M1353+T1353, IF(C1353="Sell",M1353-Q1353-T1353, X)))</f>
        <v/>
      </c>
      <c r="V1353" s="81">
        <f>IF(ISBLANK(P1353),"",U1353/N1353)</f>
        <v/>
      </c>
      <c r="W1353" s="81">
        <f>IF(ISBLANK(P1353),"",IF(S1353=0,(365/0.5)*V1353,(365/S1353)*V1353))</f>
        <v/>
      </c>
      <c r="X1353" s="75" t="n"/>
      <c r="Y1353" s="77" t="n"/>
      <c r="Z1353" s="77" t="n"/>
      <c r="AA1353" s="75" t="n"/>
      <c r="AB1353" s="75" t="n"/>
      <c r="AC1353" s="6" t="n"/>
      <c r="AD1353" s="75" t="n"/>
      <c r="AE1353" s="75" t="n"/>
      <c r="AF1353" s="75" t="n"/>
    </row>
    <row r="1354" ht="15.75" customHeight="1" s="133">
      <c r="A1354" s="75" t="n"/>
      <c r="B1354" s="75" t="n"/>
      <c r="C1354" s="75" t="n"/>
      <c r="D1354" s="75" t="n"/>
      <c r="E1354" s="76" t="n"/>
      <c r="F1354" s="77" t="n"/>
      <c r="G1354" s="75" t="n"/>
      <c r="H1354" s="75">
        <f>IF(ISBLANK(E1354),"",IF(OR(D1354="Butterfly",D1354="Butterfly ",D1354="Iron Fly", D1354="Iron Fly "),LEN(E1354)-LEN(SUBSTITUTE(E1354,"/",""))+2,LEN(E1354)-LEN(SUBSTITUTE(E1354,"/",""))+1))</f>
        <v/>
      </c>
      <c r="I1354" s="78">
        <f>IF(ISBLANK(G1354),"",IF(D1354="Stock","0",Key!$A$3*H1354*G1354))</f>
        <v/>
      </c>
      <c r="J1354" s="78">
        <f>IF(ISBLANK(E1354),"",IF(ISNUMBER(SEARCH("/",E1354)), IF(LEN(E1354)-LEN(SUBSTITUTE(E1354,"/",""))=1,(RIGHT(E1354,LEN(E1354)-FIND("/",E1354)))-(LEFT(E1354,FIND("/",E1354)-1)),(MID(E1354, SEARCH("/",E1354) + 1, SEARCH("/",E1354, SEARCH("/",E1354)+1) - SEARCH("/",E1354) - 1))-(LEFT(E1354,FIND("/",E1354)-1))), "NA"))</f>
        <v/>
      </c>
      <c r="K1354" s="79">
        <f>IF(A1354&lt;&gt;"", IF(ISBLANK(L1354), TODAY(), K1354), "")</f>
        <v/>
      </c>
      <c r="L1354" s="78" t="n"/>
      <c r="M1354" s="78">
        <f>IF(ISBLANK(L1354),"",IF(D1354="Stock",IF(C1354="Buy",L1354*G1354,IF(C1354="Sell",(L1354*G1354)-I1354, X)),IF(C1354="Buy",(L1354*G1354*100)+I1354,IF(C1354="Sell",(L1354*G1354*100)-I1354, X))))</f>
        <v/>
      </c>
      <c r="N1354" s="78">
        <f>IF(ISBLANK(L1354),"",IF(AND(C1354="Sell",D1354="Stock"),M1354,IF(ISBLANK(L1354),"",IF(C1354="Buy",M1354, IF(AND(C1354="Sell",J1354="NA"),(E1354*G1354*100*0.1)+I1354, IF(C1354="Sell",(J1354-L1354)*(100*G1354)+I1354))))))</f>
        <v/>
      </c>
      <c r="O1354" s="75" t="n"/>
      <c r="P1354" s="75" t="n"/>
      <c r="Q1354" s="75">
        <f>IF(ISBLANK(P1354),"",IF(D1354="Stock",P1354*G1354,IF(P1354=0,"0",G1354*P1354*100-(G1354*$AF$14))))</f>
        <v/>
      </c>
      <c r="R1354" s="79">
        <f>IF(P1354&lt;&gt;"", TODAY(), "")</f>
        <v/>
      </c>
      <c r="S1354" s="78">
        <f>IF(AND(K1354&lt;&gt;"", R1354&lt;&gt;""), R1354-K1354, "")</f>
        <v/>
      </c>
      <c r="T1354" s="78" t="n"/>
      <c r="U1354" s="92">
        <f>IF(ISBLANK(P1354),"",IF(C1354="Buy",Q1354-M1354+T1354, IF(C1354="Sell",M1354-Q1354-T1354, X)))</f>
        <v/>
      </c>
      <c r="V1354" s="81">
        <f>IF(ISBLANK(P1354),"",U1354/N1354)</f>
        <v/>
      </c>
      <c r="W1354" s="81">
        <f>IF(ISBLANK(P1354),"",IF(S1354=0,(365/0.5)*V1354,(365/S1354)*V1354))</f>
        <v/>
      </c>
      <c r="X1354" s="75" t="n"/>
      <c r="Y1354" s="77" t="n"/>
      <c r="Z1354" s="77" t="n"/>
      <c r="AA1354" s="75" t="n"/>
      <c r="AB1354" s="75" t="n"/>
      <c r="AC1354" s="6" t="n"/>
      <c r="AD1354" s="75" t="n"/>
      <c r="AE1354" s="75" t="n"/>
      <c r="AF1354" s="75" t="n"/>
    </row>
    <row r="1355" ht="15.75" customHeight="1" s="133">
      <c r="A1355" s="75" t="n"/>
      <c r="B1355" s="75" t="n"/>
      <c r="C1355" s="75" t="n"/>
      <c r="D1355" s="75" t="n"/>
      <c r="E1355" s="76" t="n"/>
      <c r="F1355" s="77" t="n"/>
      <c r="G1355" s="75" t="n"/>
      <c r="H1355" s="75">
        <f>IF(ISBLANK(E1355),"",IF(OR(D1355="Butterfly",D1355="Butterfly ",D1355="Iron Fly", D1355="Iron Fly "),LEN(E1355)-LEN(SUBSTITUTE(E1355,"/",""))+2,LEN(E1355)-LEN(SUBSTITUTE(E1355,"/",""))+1))</f>
        <v/>
      </c>
      <c r="I1355" s="78">
        <f>IF(ISBLANK(G1355),"",IF(D1355="Stock","0",Key!$A$3*H1355*G1355))</f>
        <v/>
      </c>
      <c r="J1355" s="78">
        <f>IF(ISBLANK(E1355),"",IF(ISNUMBER(SEARCH("/",E1355)), IF(LEN(E1355)-LEN(SUBSTITUTE(E1355,"/",""))=1,(RIGHT(E1355,LEN(E1355)-FIND("/",E1355)))-(LEFT(E1355,FIND("/",E1355)-1)),(MID(E1355, SEARCH("/",E1355) + 1, SEARCH("/",E1355, SEARCH("/",E1355)+1) - SEARCH("/",E1355) - 1))-(LEFT(E1355,FIND("/",E1355)-1))), "NA"))</f>
        <v/>
      </c>
      <c r="K1355" s="79">
        <f>IF(A1355&lt;&gt;"", IF(ISBLANK(L1355), TODAY(), K1355), "")</f>
        <v/>
      </c>
      <c r="L1355" s="78" t="n"/>
      <c r="M1355" s="78">
        <f>IF(ISBLANK(L1355),"",IF(D1355="Stock",IF(C1355="Buy",L1355*G1355,IF(C1355="Sell",(L1355*G1355)-I1355, X)),IF(C1355="Buy",(L1355*G1355*100)+I1355,IF(C1355="Sell",(L1355*G1355*100)-I1355, X))))</f>
        <v/>
      </c>
      <c r="N1355" s="78">
        <f>IF(ISBLANK(L1355),"",IF(AND(C1355="Sell",D1355="Stock"),M1355,IF(ISBLANK(L1355),"",IF(C1355="Buy",M1355, IF(AND(C1355="Sell",J1355="NA"),(E1355*G1355*100*0.1)+I1355, IF(C1355="Sell",(J1355-L1355)*(100*G1355)+I1355))))))</f>
        <v/>
      </c>
      <c r="O1355" s="75" t="n"/>
      <c r="P1355" s="75" t="n"/>
      <c r="Q1355" s="75">
        <f>IF(ISBLANK(P1355),"",IF(D1355="Stock",P1355*G1355,IF(P1355=0,"0",G1355*P1355*100-(G1355*$AF$14))))</f>
        <v/>
      </c>
      <c r="R1355" s="79">
        <f>IF(P1355&lt;&gt;"", TODAY(), "")</f>
        <v/>
      </c>
      <c r="S1355" s="78">
        <f>IF(AND(K1355&lt;&gt;"", R1355&lt;&gt;""), R1355-K1355, "")</f>
        <v/>
      </c>
      <c r="T1355" s="78" t="n"/>
      <c r="U1355" s="92">
        <f>IF(ISBLANK(P1355),"",IF(C1355="Buy",Q1355-M1355+T1355, IF(C1355="Sell",M1355-Q1355-T1355, X)))</f>
        <v/>
      </c>
      <c r="V1355" s="81">
        <f>IF(ISBLANK(P1355),"",U1355/N1355)</f>
        <v/>
      </c>
      <c r="W1355" s="81">
        <f>IF(ISBLANK(P1355),"",IF(S1355=0,(365/0.5)*V1355,(365/S1355)*V1355))</f>
        <v/>
      </c>
      <c r="X1355" s="75" t="n"/>
      <c r="Y1355" s="77" t="n"/>
      <c r="Z1355" s="77" t="n"/>
      <c r="AA1355" s="75" t="n"/>
      <c r="AB1355" s="75" t="n"/>
      <c r="AC1355" s="6" t="n"/>
      <c r="AD1355" s="75" t="n"/>
      <c r="AE1355" s="75" t="n"/>
      <c r="AF1355" s="75" t="n"/>
    </row>
    <row r="1356" ht="15.75" customHeight="1" s="133">
      <c r="A1356" s="75" t="n"/>
      <c r="B1356" s="75" t="n"/>
      <c r="C1356" s="75" t="n"/>
      <c r="D1356" s="75" t="n"/>
      <c r="E1356" s="76" t="n"/>
      <c r="F1356" s="77" t="n"/>
      <c r="G1356" s="75" t="n"/>
      <c r="H1356" s="75">
        <f>IF(ISBLANK(E1356),"",IF(OR(D1356="Butterfly",D1356="Butterfly ",D1356="Iron Fly", D1356="Iron Fly "),LEN(E1356)-LEN(SUBSTITUTE(E1356,"/",""))+2,LEN(E1356)-LEN(SUBSTITUTE(E1356,"/",""))+1))</f>
        <v/>
      </c>
      <c r="I1356" s="78">
        <f>IF(ISBLANK(G1356),"",IF(D1356="Stock","0",Key!$A$3*H1356*G1356))</f>
        <v/>
      </c>
      <c r="J1356" s="78">
        <f>IF(ISBLANK(E1356),"",IF(ISNUMBER(SEARCH("/",E1356)), IF(LEN(E1356)-LEN(SUBSTITUTE(E1356,"/",""))=1,(RIGHT(E1356,LEN(E1356)-FIND("/",E1356)))-(LEFT(E1356,FIND("/",E1356)-1)),(MID(E1356, SEARCH("/",E1356) + 1, SEARCH("/",E1356, SEARCH("/",E1356)+1) - SEARCH("/",E1356) - 1))-(LEFT(E1356,FIND("/",E1356)-1))), "NA"))</f>
        <v/>
      </c>
      <c r="K1356" s="79">
        <f>IF(A1356&lt;&gt;"", IF(ISBLANK(L1356), TODAY(), K1356), "")</f>
        <v/>
      </c>
      <c r="L1356" s="78" t="n"/>
      <c r="M1356" s="78">
        <f>IF(ISBLANK(L1356),"",IF(D1356="Stock",IF(C1356="Buy",L1356*G1356,IF(C1356="Sell",(L1356*G1356)-I1356, X)),IF(C1356="Buy",(L1356*G1356*100)+I1356,IF(C1356="Sell",(L1356*G1356*100)-I1356, X))))</f>
        <v/>
      </c>
      <c r="N1356" s="78">
        <f>IF(ISBLANK(L1356),"",IF(AND(C1356="Sell",D1356="Stock"),M1356,IF(ISBLANK(L1356),"",IF(C1356="Buy",M1356, IF(AND(C1356="Sell",J1356="NA"),(E1356*G1356*100*0.1)+I1356, IF(C1356="Sell",(J1356-L1356)*(100*G1356)+I1356))))))</f>
        <v/>
      </c>
      <c r="O1356" s="75" t="n"/>
      <c r="P1356" s="75" t="n"/>
      <c r="Q1356" s="75">
        <f>IF(ISBLANK(P1356),"",IF(D1356="Stock",P1356*G1356,IF(P1356=0,"0",G1356*P1356*100-(G1356*$AF$14))))</f>
        <v/>
      </c>
      <c r="R1356" s="79">
        <f>IF(P1356&lt;&gt;"", TODAY(), "")</f>
        <v/>
      </c>
      <c r="S1356" s="78">
        <f>IF(AND(K1356&lt;&gt;"", R1356&lt;&gt;""), R1356-K1356, "")</f>
        <v/>
      </c>
      <c r="T1356" s="78" t="n"/>
      <c r="U1356" s="92">
        <f>IF(ISBLANK(P1356),"",IF(C1356="Buy",Q1356-M1356+T1356, IF(C1356="Sell",M1356-Q1356-T1356, X)))</f>
        <v/>
      </c>
      <c r="V1356" s="81">
        <f>IF(ISBLANK(P1356),"",U1356/N1356)</f>
        <v/>
      </c>
      <c r="W1356" s="81">
        <f>IF(ISBLANK(P1356),"",IF(S1356=0,(365/0.5)*V1356,(365/S1356)*V1356))</f>
        <v/>
      </c>
      <c r="X1356" s="75" t="n"/>
      <c r="Y1356" s="77" t="n"/>
      <c r="Z1356" s="77" t="n"/>
      <c r="AA1356" s="75" t="n"/>
      <c r="AB1356" s="75" t="n"/>
      <c r="AC1356" s="6" t="n"/>
      <c r="AD1356" s="75" t="n"/>
      <c r="AE1356" s="75" t="n"/>
      <c r="AF1356" s="75" t="n"/>
    </row>
    <row r="1357" ht="15.75" customHeight="1" s="133">
      <c r="A1357" s="75" t="n"/>
      <c r="B1357" s="75" t="n"/>
      <c r="C1357" s="75" t="n"/>
      <c r="D1357" s="75" t="n"/>
      <c r="E1357" s="76" t="n"/>
      <c r="F1357" s="77" t="n"/>
      <c r="G1357" s="75" t="n"/>
      <c r="H1357" s="75">
        <f>IF(ISBLANK(E1357),"",IF(OR(D1357="Butterfly",D1357="Butterfly ",D1357="Iron Fly", D1357="Iron Fly "),LEN(E1357)-LEN(SUBSTITUTE(E1357,"/",""))+2,LEN(E1357)-LEN(SUBSTITUTE(E1357,"/",""))+1))</f>
        <v/>
      </c>
      <c r="I1357" s="78">
        <f>IF(ISBLANK(G1357),"",IF(D1357="Stock","0",Key!$A$3*H1357*G1357))</f>
        <v/>
      </c>
      <c r="J1357" s="78">
        <f>IF(ISBLANK(E1357),"",IF(ISNUMBER(SEARCH("/",E1357)), IF(LEN(E1357)-LEN(SUBSTITUTE(E1357,"/",""))=1,(RIGHT(E1357,LEN(E1357)-FIND("/",E1357)))-(LEFT(E1357,FIND("/",E1357)-1)),(MID(E1357, SEARCH("/",E1357) + 1, SEARCH("/",E1357, SEARCH("/",E1357)+1) - SEARCH("/",E1357) - 1))-(LEFT(E1357,FIND("/",E1357)-1))), "NA"))</f>
        <v/>
      </c>
      <c r="K1357" s="79">
        <f>IF(A1357&lt;&gt;"", IF(ISBLANK(L1357), TODAY(), K1357), "")</f>
        <v/>
      </c>
      <c r="L1357" s="78" t="n"/>
      <c r="M1357" s="78">
        <f>IF(ISBLANK(L1357),"",IF(D1357="Stock",IF(C1357="Buy",L1357*G1357,IF(C1357="Sell",(L1357*G1357)-I1357, X)),IF(C1357="Buy",(L1357*G1357*100)+I1357,IF(C1357="Sell",(L1357*G1357*100)-I1357, X))))</f>
        <v/>
      </c>
      <c r="N1357" s="78">
        <f>IF(ISBLANK(L1357),"",IF(AND(C1357="Sell",D1357="Stock"),M1357,IF(ISBLANK(L1357),"",IF(C1357="Buy",M1357, IF(AND(C1357="Sell",J1357="NA"),(E1357*G1357*100*0.1)+I1357, IF(C1357="Sell",(J1357-L1357)*(100*G1357)+I1357))))))</f>
        <v/>
      </c>
      <c r="O1357" s="75" t="n"/>
      <c r="P1357" s="75" t="n"/>
      <c r="Q1357" s="75">
        <f>IF(ISBLANK(P1357),"",IF(D1357="Stock",P1357*G1357,IF(P1357=0,"0",G1357*P1357*100-(G1357*$AF$14))))</f>
        <v/>
      </c>
      <c r="R1357" s="79">
        <f>IF(P1357&lt;&gt;"", TODAY(), "")</f>
        <v/>
      </c>
      <c r="S1357" s="78">
        <f>IF(AND(K1357&lt;&gt;"", R1357&lt;&gt;""), R1357-K1357, "")</f>
        <v/>
      </c>
      <c r="T1357" s="78" t="n"/>
      <c r="U1357" s="92">
        <f>IF(ISBLANK(P1357),"",IF(C1357="Buy",Q1357-M1357+T1357, IF(C1357="Sell",M1357-Q1357-T1357, X)))</f>
        <v/>
      </c>
      <c r="V1357" s="81">
        <f>IF(ISBLANK(P1357),"",U1357/N1357)</f>
        <v/>
      </c>
      <c r="W1357" s="81">
        <f>IF(ISBLANK(P1357),"",IF(S1357=0,(365/0.5)*V1357,(365/S1357)*V1357))</f>
        <v/>
      </c>
      <c r="X1357" s="75" t="n"/>
      <c r="Y1357" s="77" t="n"/>
      <c r="Z1357" s="77" t="n"/>
      <c r="AA1357" s="75" t="n"/>
      <c r="AB1357" s="75" t="n"/>
      <c r="AC1357" s="6" t="n"/>
      <c r="AD1357" s="75" t="n"/>
      <c r="AE1357" s="75" t="n"/>
      <c r="AF1357" s="75" t="n"/>
    </row>
    <row r="1358" ht="15.75" customHeight="1" s="133">
      <c r="A1358" s="75" t="n"/>
      <c r="B1358" s="75" t="n"/>
      <c r="C1358" s="75" t="n"/>
      <c r="D1358" s="75" t="n"/>
      <c r="E1358" s="76" t="n"/>
      <c r="F1358" s="77" t="n"/>
      <c r="G1358" s="75" t="n"/>
      <c r="H1358" s="75">
        <f>IF(ISBLANK(E1358),"",IF(OR(D1358="Butterfly",D1358="Butterfly ",D1358="Iron Fly", D1358="Iron Fly "),LEN(E1358)-LEN(SUBSTITUTE(E1358,"/",""))+2,LEN(E1358)-LEN(SUBSTITUTE(E1358,"/",""))+1))</f>
        <v/>
      </c>
      <c r="I1358" s="78">
        <f>IF(ISBLANK(G1358),"",IF(D1358="Stock","0",Key!$A$3*H1358*G1358))</f>
        <v/>
      </c>
      <c r="J1358" s="78">
        <f>IF(ISBLANK(E1358),"",IF(ISNUMBER(SEARCH("/",E1358)), IF(LEN(E1358)-LEN(SUBSTITUTE(E1358,"/",""))=1,(RIGHT(E1358,LEN(E1358)-FIND("/",E1358)))-(LEFT(E1358,FIND("/",E1358)-1)),(MID(E1358, SEARCH("/",E1358) + 1, SEARCH("/",E1358, SEARCH("/",E1358)+1) - SEARCH("/",E1358) - 1))-(LEFT(E1358,FIND("/",E1358)-1))), "NA"))</f>
        <v/>
      </c>
      <c r="K1358" s="79">
        <f>IF(A1358&lt;&gt;"", IF(ISBLANK(L1358), TODAY(), K1358), "")</f>
        <v/>
      </c>
      <c r="L1358" s="78" t="n"/>
      <c r="M1358" s="78">
        <f>IF(ISBLANK(L1358),"",IF(D1358="Stock",IF(C1358="Buy",L1358*G1358,IF(C1358="Sell",(L1358*G1358)-I1358, X)),IF(C1358="Buy",(L1358*G1358*100)+I1358,IF(C1358="Sell",(L1358*G1358*100)-I1358, X))))</f>
        <v/>
      </c>
      <c r="N1358" s="78">
        <f>IF(ISBLANK(L1358),"",IF(AND(C1358="Sell",D1358="Stock"),M1358,IF(ISBLANK(L1358),"",IF(C1358="Buy",M1358, IF(AND(C1358="Sell",J1358="NA"),(E1358*G1358*100*0.1)+I1358, IF(C1358="Sell",(J1358-L1358)*(100*G1358)+I1358))))))</f>
        <v/>
      </c>
      <c r="O1358" s="75" t="n"/>
      <c r="P1358" s="75" t="n"/>
      <c r="Q1358" s="75">
        <f>IF(ISBLANK(P1358),"",IF(D1358="Stock",P1358*G1358,IF(P1358=0,"0",G1358*P1358*100-(G1358*$AF$14))))</f>
        <v/>
      </c>
      <c r="R1358" s="79">
        <f>IF(P1358&lt;&gt;"", TODAY(), "")</f>
        <v/>
      </c>
      <c r="S1358" s="78">
        <f>IF(AND(K1358&lt;&gt;"", R1358&lt;&gt;""), R1358-K1358, "")</f>
        <v/>
      </c>
      <c r="T1358" s="78" t="n"/>
      <c r="U1358" s="92">
        <f>IF(ISBLANK(P1358),"",IF(C1358="Buy",Q1358-M1358+T1358, IF(C1358="Sell",M1358-Q1358-T1358, X)))</f>
        <v/>
      </c>
      <c r="V1358" s="81">
        <f>IF(ISBLANK(P1358),"",U1358/N1358)</f>
        <v/>
      </c>
      <c r="W1358" s="81">
        <f>IF(ISBLANK(P1358),"",IF(S1358=0,(365/0.5)*V1358,(365/S1358)*V1358))</f>
        <v/>
      </c>
      <c r="X1358" s="75" t="n"/>
      <c r="Y1358" s="77" t="n"/>
      <c r="Z1358" s="77" t="n"/>
      <c r="AA1358" s="75" t="n"/>
      <c r="AB1358" s="75" t="n"/>
      <c r="AC1358" s="6" t="n"/>
      <c r="AD1358" s="75" t="n"/>
      <c r="AE1358" s="75" t="n"/>
      <c r="AF1358" s="75" t="n"/>
    </row>
    <row r="1359" ht="15.75" customHeight="1" s="133">
      <c r="A1359" s="75" t="n"/>
      <c r="B1359" s="75" t="n"/>
      <c r="C1359" s="75" t="n"/>
      <c r="D1359" s="75" t="n"/>
      <c r="E1359" s="76" t="n"/>
      <c r="F1359" s="77" t="n"/>
      <c r="G1359" s="75" t="n"/>
      <c r="H1359" s="75">
        <f>IF(ISBLANK(E1359),"",IF(OR(D1359="Butterfly",D1359="Butterfly ",D1359="Iron Fly", D1359="Iron Fly "),LEN(E1359)-LEN(SUBSTITUTE(E1359,"/",""))+2,LEN(E1359)-LEN(SUBSTITUTE(E1359,"/",""))+1))</f>
        <v/>
      </c>
      <c r="I1359" s="78">
        <f>IF(ISBLANK(G1359),"",IF(D1359="Stock","0",Key!$A$3*H1359*G1359))</f>
        <v/>
      </c>
      <c r="J1359" s="78">
        <f>IF(ISBLANK(E1359),"",IF(ISNUMBER(SEARCH("/",E1359)), IF(LEN(E1359)-LEN(SUBSTITUTE(E1359,"/",""))=1,(RIGHT(E1359,LEN(E1359)-FIND("/",E1359)))-(LEFT(E1359,FIND("/",E1359)-1)),(MID(E1359, SEARCH("/",E1359) + 1, SEARCH("/",E1359, SEARCH("/",E1359)+1) - SEARCH("/",E1359) - 1))-(LEFT(E1359,FIND("/",E1359)-1))), "NA"))</f>
        <v/>
      </c>
      <c r="K1359" s="79">
        <f>IF(A1359&lt;&gt;"", IF(ISBLANK(L1359), TODAY(), K1359), "")</f>
        <v/>
      </c>
      <c r="L1359" s="78" t="n"/>
      <c r="M1359" s="78">
        <f>IF(ISBLANK(L1359),"",IF(D1359="Stock",IF(C1359="Buy",L1359*G1359,IF(C1359="Sell",(L1359*G1359)-I1359, X)),IF(C1359="Buy",(L1359*G1359*100)+I1359,IF(C1359="Sell",(L1359*G1359*100)-I1359, X))))</f>
        <v/>
      </c>
      <c r="N1359" s="78">
        <f>IF(ISBLANK(L1359),"",IF(AND(C1359="Sell",D1359="Stock"),M1359,IF(ISBLANK(L1359),"",IF(C1359="Buy",M1359, IF(AND(C1359="Sell",J1359="NA"),(E1359*G1359*100*0.1)+I1359, IF(C1359="Sell",(J1359-L1359)*(100*G1359)+I1359))))))</f>
        <v/>
      </c>
      <c r="O1359" s="75" t="n"/>
      <c r="P1359" s="75" t="n"/>
      <c r="Q1359" s="75">
        <f>IF(ISBLANK(P1359),"",IF(D1359="Stock",P1359*G1359,IF(P1359=0,"0",G1359*P1359*100-(G1359*$AF$14))))</f>
        <v/>
      </c>
      <c r="R1359" s="79">
        <f>IF(P1359&lt;&gt;"", TODAY(), "")</f>
        <v/>
      </c>
      <c r="S1359" s="78">
        <f>IF(AND(K1359&lt;&gt;"", R1359&lt;&gt;""), R1359-K1359, "")</f>
        <v/>
      </c>
      <c r="T1359" s="78" t="n"/>
      <c r="U1359" s="92">
        <f>IF(ISBLANK(P1359),"",IF(C1359="Buy",Q1359-M1359+T1359, IF(C1359="Sell",M1359-Q1359-T1359, X)))</f>
        <v/>
      </c>
      <c r="V1359" s="81">
        <f>IF(ISBLANK(P1359),"",U1359/N1359)</f>
        <v/>
      </c>
      <c r="W1359" s="81">
        <f>IF(ISBLANK(P1359),"",IF(S1359=0,(365/0.5)*V1359,(365/S1359)*V1359))</f>
        <v/>
      </c>
      <c r="X1359" s="75" t="n"/>
      <c r="Y1359" s="77" t="n"/>
      <c r="Z1359" s="77" t="n"/>
      <c r="AA1359" s="75" t="n"/>
      <c r="AB1359" s="75" t="n"/>
      <c r="AC1359" s="6" t="n"/>
      <c r="AD1359" s="75" t="n"/>
      <c r="AE1359" s="75" t="n"/>
      <c r="AF1359" s="75" t="n"/>
    </row>
    <row r="1360" ht="15.75" customHeight="1" s="133">
      <c r="A1360" s="75" t="n"/>
      <c r="B1360" s="75" t="n"/>
      <c r="C1360" s="75" t="n"/>
      <c r="D1360" s="75" t="n"/>
      <c r="E1360" s="76" t="n"/>
      <c r="F1360" s="77" t="n"/>
      <c r="G1360" s="75" t="n"/>
      <c r="H1360" s="75">
        <f>IF(ISBLANK(E1360),"",IF(OR(D1360="Butterfly",D1360="Butterfly ",D1360="Iron Fly", D1360="Iron Fly "),LEN(E1360)-LEN(SUBSTITUTE(E1360,"/",""))+2,LEN(E1360)-LEN(SUBSTITUTE(E1360,"/",""))+1))</f>
        <v/>
      </c>
      <c r="I1360" s="78">
        <f>IF(ISBLANK(G1360),"",IF(D1360="Stock","0",Key!$A$3*H1360*G1360))</f>
        <v/>
      </c>
      <c r="J1360" s="78">
        <f>IF(ISBLANK(E1360),"",IF(ISNUMBER(SEARCH("/",E1360)), IF(LEN(E1360)-LEN(SUBSTITUTE(E1360,"/",""))=1,(RIGHT(E1360,LEN(E1360)-FIND("/",E1360)))-(LEFT(E1360,FIND("/",E1360)-1)),(MID(E1360, SEARCH("/",E1360) + 1, SEARCH("/",E1360, SEARCH("/",E1360)+1) - SEARCH("/",E1360) - 1))-(LEFT(E1360,FIND("/",E1360)-1))), "NA"))</f>
        <v/>
      </c>
      <c r="K1360" s="79">
        <f>IF(A1360&lt;&gt;"", IF(ISBLANK(L1360), TODAY(), K1360), "")</f>
        <v/>
      </c>
      <c r="L1360" s="78" t="n"/>
      <c r="M1360" s="78">
        <f>IF(ISBLANK(L1360),"",IF(D1360="Stock",IF(C1360="Buy",L1360*G1360,IF(C1360="Sell",(L1360*G1360)-I1360, X)),IF(C1360="Buy",(L1360*G1360*100)+I1360,IF(C1360="Sell",(L1360*G1360*100)-I1360, X))))</f>
        <v/>
      </c>
      <c r="N1360" s="78">
        <f>IF(ISBLANK(L1360),"",IF(AND(C1360="Sell",D1360="Stock"),M1360,IF(ISBLANK(L1360),"",IF(C1360="Buy",M1360, IF(AND(C1360="Sell",J1360="NA"),(E1360*G1360*100*0.1)+I1360, IF(C1360="Sell",(J1360-L1360)*(100*G1360)+I1360))))))</f>
        <v/>
      </c>
      <c r="O1360" s="75" t="n"/>
      <c r="P1360" s="75" t="n"/>
      <c r="Q1360" s="75">
        <f>IF(ISBLANK(P1360),"",IF(D1360="Stock",P1360*G1360,IF(P1360=0,"0",G1360*P1360*100-(G1360*$AF$14))))</f>
        <v/>
      </c>
      <c r="R1360" s="79">
        <f>IF(P1360&lt;&gt;"", TODAY(), "")</f>
        <v/>
      </c>
      <c r="S1360" s="78">
        <f>IF(AND(K1360&lt;&gt;"", R1360&lt;&gt;""), R1360-K1360, "")</f>
        <v/>
      </c>
      <c r="T1360" s="78" t="n"/>
      <c r="U1360" s="92">
        <f>IF(ISBLANK(P1360),"",IF(C1360="Buy",Q1360-M1360+T1360, IF(C1360="Sell",M1360-Q1360-T1360, X)))</f>
        <v/>
      </c>
      <c r="V1360" s="81">
        <f>IF(ISBLANK(P1360),"",U1360/N1360)</f>
        <v/>
      </c>
      <c r="W1360" s="81">
        <f>IF(ISBLANK(P1360),"",IF(S1360=0,(365/0.5)*V1360,(365/S1360)*V1360))</f>
        <v/>
      </c>
      <c r="X1360" s="75" t="n"/>
      <c r="Y1360" s="77" t="n"/>
      <c r="Z1360" s="77" t="n"/>
      <c r="AA1360" s="75" t="n"/>
      <c r="AB1360" s="75" t="n"/>
      <c r="AC1360" s="6" t="n"/>
      <c r="AD1360" s="75" t="n"/>
      <c r="AE1360" s="75" t="n"/>
      <c r="AF1360" s="75" t="n"/>
    </row>
    <row r="1361" ht="15.75" customHeight="1" s="133">
      <c r="A1361" s="75" t="n"/>
      <c r="B1361" s="75" t="n"/>
      <c r="C1361" s="75" t="n"/>
      <c r="D1361" s="75" t="n"/>
      <c r="E1361" s="76" t="n"/>
      <c r="F1361" s="77" t="n"/>
      <c r="G1361" s="75" t="n"/>
      <c r="H1361" s="75">
        <f>IF(ISBLANK(E1361),"",IF(OR(D1361="Butterfly",D1361="Butterfly ",D1361="Iron Fly", D1361="Iron Fly "),LEN(E1361)-LEN(SUBSTITUTE(E1361,"/",""))+2,LEN(E1361)-LEN(SUBSTITUTE(E1361,"/",""))+1))</f>
        <v/>
      </c>
      <c r="I1361" s="78">
        <f>IF(ISBLANK(G1361),"",IF(D1361="Stock","0",Key!$A$3*H1361*G1361))</f>
        <v/>
      </c>
      <c r="J1361" s="78">
        <f>IF(ISBLANK(E1361),"",IF(ISNUMBER(SEARCH("/",E1361)), IF(LEN(E1361)-LEN(SUBSTITUTE(E1361,"/",""))=1,(RIGHT(E1361,LEN(E1361)-FIND("/",E1361)))-(LEFT(E1361,FIND("/",E1361)-1)),(MID(E1361, SEARCH("/",E1361) + 1, SEARCH("/",E1361, SEARCH("/",E1361)+1) - SEARCH("/",E1361) - 1))-(LEFT(E1361,FIND("/",E1361)-1))), "NA"))</f>
        <v/>
      </c>
      <c r="K1361" s="79">
        <f>IF(A1361&lt;&gt;"", IF(ISBLANK(L1361), TODAY(), K1361), "")</f>
        <v/>
      </c>
      <c r="L1361" s="78" t="n"/>
      <c r="M1361" s="78">
        <f>IF(ISBLANK(L1361),"",IF(D1361="Stock",IF(C1361="Buy",L1361*G1361,IF(C1361="Sell",(L1361*G1361)-I1361, X)),IF(C1361="Buy",(L1361*G1361*100)+I1361,IF(C1361="Sell",(L1361*G1361*100)-I1361, X))))</f>
        <v/>
      </c>
      <c r="N1361" s="78">
        <f>IF(ISBLANK(L1361),"",IF(AND(C1361="Sell",D1361="Stock"),M1361,IF(ISBLANK(L1361),"",IF(C1361="Buy",M1361, IF(AND(C1361="Sell",J1361="NA"),(E1361*G1361*100*0.1)+I1361, IF(C1361="Sell",(J1361-L1361)*(100*G1361)+I1361))))))</f>
        <v/>
      </c>
      <c r="O1361" s="75" t="n"/>
      <c r="P1361" s="75" t="n"/>
      <c r="Q1361" s="75">
        <f>IF(ISBLANK(P1361),"",IF(D1361="Stock",P1361*G1361,IF(P1361=0,"0",G1361*P1361*100-(G1361*$AF$14))))</f>
        <v/>
      </c>
      <c r="R1361" s="79">
        <f>IF(P1361&lt;&gt;"", TODAY(), "")</f>
        <v/>
      </c>
      <c r="S1361" s="78">
        <f>IF(AND(K1361&lt;&gt;"", R1361&lt;&gt;""), R1361-K1361, "")</f>
        <v/>
      </c>
      <c r="T1361" s="78" t="n"/>
      <c r="U1361" s="92">
        <f>IF(ISBLANK(P1361),"",IF(C1361="Buy",Q1361-M1361+T1361, IF(C1361="Sell",M1361-Q1361-T1361, X)))</f>
        <v/>
      </c>
      <c r="V1361" s="81">
        <f>IF(ISBLANK(P1361),"",U1361/N1361)</f>
        <v/>
      </c>
      <c r="W1361" s="81">
        <f>IF(ISBLANK(P1361),"",IF(S1361=0,(365/0.5)*V1361,(365/S1361)*V1361))</f>
        <v/>
      </c>
      <c r="X1361" s="75" t="n"/>
      <c r="Y1361" s="77" t="n"/>
      <c r="Z1361" s="77" t="n"/>
      <c r="AA1361" s="75" t="n"/>
      <c r="AB1361" s="75" t="n"/>
      <c r="AC1361" s="6" t="n"/>
      <c r="AD1361" s="75" t="n"/>
      <c r="AE1361" s="75" t="n"/>
      <c r="AF1361" s="75" t="n"/>
    </row>
    <row r="1362" ht="15.75" customHeight="1" s="133">
      <c r="A1362" s="75" t="n"/>
      <c r="B1362" s="75" t="n"/>
      <c r="C1362" s="75" t="n"/>
      <c r="D1362" s="75" t="n"/>
      <c r="E1362" s="76" t="n"/>
      <c r="F1362" s="77" t="n"/>
      <c r="G1362" s="75" t="n"/>
      <c r="H1362" s="75">
        <f>IF(ISBLANK(E1362),"",IF(OR(D1362="Butterfly",D1362="Butterfly ",D1362="Iron Fly", D1362="Iron Fly "),LEN(E1362)-LEN(SUBSTITUTE(E1362,"/",""))+2,LEN(E1362)-LEN(SUBSTITUTE(E1362,"/",""))+1))</f>
        <v/>
      </c>
      <c r="I1362" s="78">
        <f>IF(ISBLANK(G1362),"",IF(D1362="Stock","0",Key!$A$3*H1362*G1362))</f>
        <v/>
      </c>
      <c r="J1362" s="78">
        <f>IF(ISBLANK(E1362),"",IF(ISNUMBER(SEARCH("/",E1362)), IF(LEN(E1362)-LEN(SUBSTITUTE(E1362,"/",""))=1,(RIGHT(E1362,LEN(E1362)-FIND("/",E1362)))-(LEFT(E1362,FIND("/",E1362)-1)),(MID(E1362, SEARCH("/",E1362) + 1, SEARCH("/",E1362, SEARCH("/",E1362)+1) - SEARCH("/",E1362) - 1))-(LEFT(E1362,FIND("/",E1362)-1))), "NA"))</f>
        <v/>
      </c>
      <c r="K1362" s="79">
        <f>IF(A1362&lt;&gt;"", IF(ISBLANK(L1362), TODAY(), K1362), "")</f>
        <v/>
      </c>
      <c r="L1362" s="78" t="n"/>
      <c r="M1362" s="78">
        <f>IF(ISBLANK(L1362),"",IF(D1362="Stock",IF(C1362="Buy",L1362*G1362,IF(C1362="Sell",(L1362*G1362)-I1362, X)),IF(C1362="Buy",(L1362*G1362*100)+I1362,IF(C1362="Sell",(L1362*G1362*100)-I1362, X))))</f>
        <v/>
      </c>
      <c r="N1362" s="78">
        <f>IF(ISBLANK(L1362),"",IF(AND(C1362="Sell",D1362="Stock"),M1362,IF(ISBLANK(L1362),"",IF(C1362="Buy",M1362, IF(AND(C1362="Sell",J1362="NA"),(E1362*G1362*100*0.1)+I1362, IF(C1362="Sell",(J1362-L1362)*(100*G1362)+I1362))))))</f>
        <v/>
      </c>
      <c r="O1362" s="75" t="n"/>
      <c r="P1362" s="75" t="n"/>
      <c r="Q1362" s="75">
        <f>IF(ISBLANK(P1362),"",IF(D1362="Stock",P1362*G1362,IF(P1362=0,"0",G1362*P1362*100-(G1362*$AF$14))))</f>
        <v/>
      </c>
      <c r="R1362" s="79">
        <f>IF(P1362&lt;&gt;"", TODAY(), "")</f>
        <v/>
      </c>
      <c r="S1362" s="78">
        <f>IF(AND(K1362&lt;&gt;"", R1362&lt;&gt;""), R1362-K1362, "")</f>
        <v/>
      </c>
      <c r="T1362" s="78" t="n"/>
      <c r="U1362" s="92">
        <f>IF(ISBLANK(P1362),"",IF(C1362="Buy",Q1362-M1362+T1362, IF(C1362="Sell",M1362-Q1362-T1362, X)))</f>
        <v/>
      </c>
      <c r="V1362" s="81">
        <f>IF(ISBLANK(P1362),"",U1362/N1362)</f>
        <v/>
      </c>
      <c r="W1362" s="81">
        <f>IF(ISBLANK(P1362),"",IF(S1362=0,(365/0.5)*V1362,(365/S1362)*V1362))</f>
        <v/>
      </c>
      <c r="X1362" s="75" t="n"/>
      <c r="Y1362" s="77" t="n"/>
      <c r="Z1362" s="77" t="n"/>
      <c r="AA1362" s="75" t="n"/>
      <c r="AB1362" s="75" t="n"/>
      <c r="AC1362" s="6" t="n"/>
      <c r="AD1362" s="75" t="n"/>
      <c r="AE1362" s="75" t="n"/>
      <c r="AF1362" s="75" t="n"/>
    </row>
    <row r="1363" ht="15.75" customHeight="1" s="133">
      <c r="A1363" s="75" t="n"/>
      <c r="B1363" s="75" t="n"/>
      <c r="C1363" s="75" t="n"/>
      <c r="D1363" s="75" t="n"/>
      <c r="E1363" s="76" t="n"/>
      <c r="F1363" s="77" t="n"/>
      <c r="G1363" s="75" t="n"/>
      <c r="H1363" s="75">
        <f>IF(ISBLANK(E1363),"",IF(OR(D1363="Butterfly",D1363="Butterfly ",D1363="Iron Fly", D1363="Iron Fly "),LEN(E1363)-LEN(SUBSTITUTE(E1363,"/",""))+2,LEN(E1363)-LEN(SUBSTITUTE(E1363,"/",""))+1))</f>
        <v/>
      </c>
      <c r="I1363" s="78">
        <f>IF(ISBLANK(G1363),"",IF(D1363="Stock","0",Key!$A$3*H1363*G1363))</f>
        <v/>
      </c>
      <c r="J1363" s="78">
        <f>IF(ISBLANK(E1363),"",IF(ISNUMBER(SEARCH("/",E1363)), IF(LEN(E1363)-LEN(SUBSTITUTE(E1363,"/",""))=1,(RIGHT(E1363,LEN(E1363)-FIND("/",E1363)))-(LEFT(E1363,FIND("/",E1363)-1)),(MID(E1363, SEARCH("/",E1363) + 1, SEARCH("/",E1363, SEARCH("/",E1363)+1) - SEARCH("/",E1363) - 1))-(LEFT(E1363,FIND("/",E1363)-1))), "NA"))</f>
        <v/>
      </c>
      <c r="K1363" s="79">
        <f>IF(A1363&lt;&gt;"", IF(ISBLANK(L1363), TODAY(), K1363), "")</f>
        <v/>
      </c>
      <c r="L1363" s="78" t="n"/>
      <c r="M1363" s="78">
        <f>IF(ISBLANK(L1363),"",IF(D1363="Stock",IF(C1363="Buy",L1363*G1363,IF(C1363="Sell",(L1363*G1363)-I1363, X)),IF(C1363="Buy",(L1363*G1363*100)+I1363,IF(C1363="Sell",(L1363*G1363*100)-I1363, X))))</f>
        <v/>
      </c>
      <c r="N1363" s="78">
        <f>IF(ISBLANK(L1363),"",IF(AND(C1363="Sell",D1363="Stock"),M1363,IF(ISBLANK(L1363),"",IF(C1363="Buy",M1363, IF(AND(C1363="Sell",J1363="NA"),(E1363*G1363*100*0.1)+I1363, IF(C1363="Sell",(J1363-L1363)*(100*G1363)+I1363))))))</f>
        <v/>
      </c>
      <c r="O1363" s="75" t="n"/>
      <c r="P1363" s="75" t="n"/>
      <c r="Q1363" s="75">
        <f>IF(ISBLANK(P1363),"",IF(D1363="Stock",P1363*G1363,IF(P1363=0,"0",G1363*P1363*100-(G1363*$AF$14))))</f>
        <v/>
      </c>
      <c r="R1363" s="79">
        <f>IF(P1363&lt;&gt;"", TODAY(), "")</f>
        <v/>
      </c>
      <c r="S1363" s="78">
        <f>IF(AND(K1363&lt;&gt;"", R1363&lt;&gt;""), R1363-K1363, "")</f>
        <v/>
      </c>
      <c r="T1363" s="78" t="n"/>
      <c r="U1363" s="92">
        <f>IF(ISBLANK(P1363),"",IF(C1363="Buy",Q1363-M1363+T1363, IF(C1363="Sell",M1363-Q1363-T1363, X)))</f>
        <v/>
      </c>
      <c r="V1363" s="81">
        <f>IF(ISBLANK(P1363),"",U1363/N1363)</f>
        <v/>
      </c>
      <c r="W1363" s="81">
        <f>IF(ISBLANK(P1363),"",IF(S1363=0,(365/0.5)*V1363,(365/S1363)*V1363))</f>
        <v/>
      </c>
      <c r="X1363" s="75" t="n"/>
      <c r="Y1363" s="77" t="n"/>
      <c r="Z1363" s="77" t="n"/>
      <c r="AA1363" s="75" t="n"/>
      <c r="AB1363" s="75" t="n"/>
      <c r="AC1363" s="6" t="n"/>
      <c r="AD1363" s="75" t="n"/>
      <c r="AE1363" s="75" t="n"/>
      <c r="AF1363" s="75" t="n"/>
    </row>
    <row r="1364" ht="15.75" customHeight="1" s="133">
      <c r="A1364" s="75" t="n"/>
      <c r="B1364" s="75" t="n"/>
      <c r="C1364" s="75" t="n"/>
      <c r="D1364" s="75" t="n"/>
      <c r="E1364" s="76" t="n"/>
      <c r="F1364" s="77" t="n"/>
      <c r="G1364" s="75" t="n"/>
      <c r="H1364" s="75">
        <f>IF(ISBLANK(E1364),"",IF(OR(D1364="Butterfly",D1364="Butterfly ",D1364="Iron Fly", D1364="Iron Fly "),LEN(E1364)-LEN(SUBSTITUTE(E1364,"/",""))+2,LEN(E1364)-LEN(SUBSTITUTE(E1364,"/",""))+1))</f>
        <v/>
      </c>
      <c r="I1364" s="78">
        <f>IF(ISBLANK(G1364),"",IF(D1364="Stock","0",Key!$A$3*H1364*G1364))</f>
        <v/>
      </c>
      <c r="J1364" s="78">
        <f>IF(ISBLANK(E1364),"",IF(ISNUMBER(SEARCH("/",E1364)), IF(LEN(E1364)-LEN(SUBSTITUTE(E1364,"/",""))=1,(RIGHT(E1364,LEN(E1364)-FIND("/",E1364)))-(LEFT(E1364,FIND("/",E1364)-1)),(MID(E1364, SEARCH("/",E1364) + 1, SEARCH("/",E1364, SEARCH("/",E1364)+1) - SEARCH("/",E1364) - 1))-(LEFT(E1364,FIND("/",E1364)-1))), "NA"))</f>
        <v/>
      </c>
      <c r="K1364" s="79">
        <f>IF(A1364&lt;&gt;"", IF(ISBLANK(L1364), TODAY(), K1364), "")</f>
        <v/>
      </c>
      <c r="L1364" s="78" t="n"/>
      <c r="M1364" s="78">
        <f>IF(ISBLANK(L1364),"",IF(D1364="Stock",IF(C1364="Buy",L1364*G1364,IF(C1364="Sell",(L1364*G1364)-I1364, X)),IF(C1364="Buy",(L1364*G1364*100)+I1364,IF(C1364="Sell",(L1364*G1364*100)-I1364, X))))</f>
        <v/>
      </c>
      <c r="N1364" s="78">
        <f>IF(ISBLANK(L1364),"",IF(AND(C1364="Sell",D1364="Stock"),M1364,IF(ISBLANK(L1364),"",IF(C1364="Buy",M1364, IF(AND(C1364="Sell",J1364="NA"),(E1364*G1364*100*0.1)+I1364, IF(C1364="Sell",(J1364-L1364)*(100*G1364)+I1364))))))</f>
        <v/>
      </c>
      <c r="O1364" s="75" t="n"/>
      <c r="P1364" s="75" t="n"/>
      <c r="Q1364" s="75">
        <f>IF(ISBLANK(P1364),"",IF(D1364="Stock",P1364*G1364,IF(P1364=0,"0",G1364*P1364*100-(G1364*$AF$14))))</f>
        <v/>
      </c>
      <c r="R1364" s="79">
        <f>IF(P1364&lt;&gt;"", TODAY(), "")</f>
        <v/>
      </c>
      <c r="S1364" s="78">
        <f>IF(AND(K1364&lt;&gt;"", R1364&lt;&gt;""), R1364-K1364, "")</f>
        <v/>
      </c>
      <c r="T1364" s="78" t="n"/>
      <c r="U1364" s="92">
        <f>IF(ISBLANK(P1364),"",IF(C1364="Buy",Q1364-M1364+T1364, IF(C1364="Sell",M1364-Q1364-T1364, X)))</f>
        <v/>
      </c>
      <c r="V1364" s="81">
        <f>IF(ISBLANK(P1364),"",U1364/N1364)</f>
        <v/>
      </c>
      <c r="W1364" s="81">
        <f>IF(ISBLANK(P1364),"",IF(S1364=0,(365/0.5)*V1364,(365/S1364)*V1364))</f>
        <v/>
      </c>
      <c r="X1364" s="75" t="n"/>
      <c r="Y1364" s="77" t="n"/>
      <c r="Z1364" s="77" t="n"/>
      <c r="AA1364" s="75" t="n"/>
      <c r="AB1364" s="75" t="n"/>
      <c r="AC1364" s="6" t="n"/>
      <c r="AD1364" s="75" t="n"/>
      <c r="AE1364" s="75" t="n"/>
      <c r="AF1364" s="75" t="n"/>
    </row>
    <row r="1365" ht="15.75" customHeight="1" s="133">
      <c r="A1365" s="75" t="n"/>
      <c r="B1365" s="75" t="n"/>
      <c r="C1365" s="75" t="n"/>
      <c r="D1365" s="75" t="n"/>
      <c r="E1365" s="76" t="n"/>
      <c r="F1365" s="77" t="n"/>
      <c r="G1365" s="75" t="n"/>
      <c r="H1365" s="75">
        <f>IF(ISBLANK(E1365),"",IF(OR(D1365="Butterfly",D1365="Butterfly ",D1365="Iron Fly", D1365="Iron Fly "),LEN(E1365)-LEN(SUBSTITUTE(E1365,"/",""))+2,LEN(E1365)-LEN(SUBSTITUTE(E1365,"/",""))+1))</f>
        <v/>
      </c>
      <c r="I1365" s="78">
        <f>IF(ISBLANK(G1365),"",IF(D1365="Stock","0",Key!$A$3*H1365*G1365))</f>
        <v/>
      </c>
      <c r="J1365" s="78">
        <f>IF(ISBLANK(E1365),"",IF(ISNUMBER(SEARCH("/",E1365)), IF(LEN(E1365)-LEN(SUBSTITUTE(E1365,"/",""))=1,(RIGHT(E1365,LEN(E1365)-FIND("/",E1365)))-(LEFT(E1365,FIND("/",E1365)-1)),(MID(E1365, SEARCH("/",E1365) + 1, SEARCH("/",E1365, SEARCH("/",E1365)+1) - SEARCH("/",E1365) - 1))-(LEFT(E1365,FIND("/",E1365)-1))), "NA"))</f>
        <v/>
      </c>
      <c r="K1365" s="79">
        <f>IF(A1365&lt;&gt;"", IF(ISBLANK(L1365), TODAY(), K1365), "")</f>
        <v/>
      </c>
      <c r="L1365" s="78" t="n"/>
      <c r="M1365" s="78">
        <f>IF(ISBLANK(L1365),"",IF(D1365="Stock",IF(C1365="Buy",L1365*G1365,IF(C1365="Sell",(L1365*G1365)-I1365, X)),IF(C1365="Buy",(L1365*G1365*100)+I1365,IF(C1365="Sell",(L1365*G1365*100)-I1365, X))))</f>
        <v/>
      </c>
      <c r="N1365" s="78">
        <f>IF(ISBLANK(L1365),"",IF(AND(C1365="Sell",D1365="Stock"),M1365,IF(ISBLANK(L1365),"",IF(C1365="Buy",M1365, IF(AND(C1365="Sell",J1365="NA"),(E1365*G1365*100*0.1)+I1365, IF(C1365="Sell",(J1365-L1365)*(100*G1365)+I1365))))))</f>
        <v/>
      </c>
      <c r="O1365" s="75" t="n"/>
      <c r="P1365" s="75" t="n"/>
      <c r="Q1365" s="75">
        <f>IF(ISBLANK(P1365),"",IF(D1365="Stock",P1365*G1365,IF(P1365=0,"0",G1365*P1365*100-(G1365*$AF$14))))</f>
        <v/>
      </c>
      <c r="R1365" s="79">
        <f>IF(P1365&lt;&gt;"", TODAY(), "")</f>
        <v/>
      </c>
      <c r="S1365" s="78">
        <f>IF(AND(K1365&lt;&gt;"", R1365&lt;&gt;""), R1365-K1365, "")</f>
        <v/>
      </c>
      <c r="T1365" s="78" t="n"/>
      <c r="U1365" s="92">
        <f>IF(ISBLANK(P1365),"",IF(C1365="Buy",Q1365-M1365+T1365, IF(C1365="Sell",M1365-Q1365-T1365, X)))</f>
        <v/>
      </c>
      <c r="V1365" s="81">
        <f>IF(ISBLANK(P1365),"",U1365/N1365)</f>
        <v/>
      </c>
      <c r="W1365" s="81">
        <f>IF(ISBLANK(P1365),"",IF(S1365=0,(365/0.5)*V1365,(365/S1365)*V1365))</f>
        <v/>
      </c>
      <c r="X1365" s="75" t="n"/>
      <c r="Y1365" s="77" t="n"/>
      <c r="Z1365" s="77" t="n"/>
      <c r="AA1365" s="75" t="n"/>
      <c r="AB1365" s="75" t="n"/>
      <c r="AC1365" s="6" t="n"/>
      <c r="AD1365" s="75" t="n"/>
      <c r="AE1365" s="75" t="n"/>
      <c r="AF1365" s="75" t="n"/>
    </row>
    <row r="1366" ht="15.75" customHeight="1" s="133">
      <c r="A1366" s="75" t="n"/>
      <c r="B1366" s="75" t="n"/>
      <c r="C1366" s="75" t="n"/>
      <c r="D1366" s="75" t="n"/>
      <c r="E1366" s="76" t="n"/>
      <c r="F1366" s="77" t="n"/>
      <c r="G1366" s="75" t="n"/>
      <c r="H1366" s="75">
        <f>IF(ISBLANK(E1366),"",IF(OR(D1366="Butterfly",D1366="Butterfly ",D1366="Iron Fly", D1366="Iron Fly "),LEN(E1366)-LEN(SUBSTITUTE(E1366,"/",""))+2,LEN(E1366)-LEN(SUBSTITUTE(E1366,"/",""))+1))</f>
        <v/>
      </c>
      <c r="I1366" s="78">
        <f>IF(ISBLANK(G1366),"",IF(D1366="Stock","0",Key!$A$3*H1366*G1366))</f>
        <v/>
      </c>
      <c r="J1366" s="78">
        <f>IF(ISBLANK(E1366),"",IF(ISNUMBER(SEARCH("/",E1366)), IF(LEN(E1366)-LEN(SUBSTITUTE(E1366,"/",""))=1,(RIGHT(E1366,LEN(E1366)-FIND("/",E1366)))-(LEFT(E1366,FIND("/",E1366)-1)),(MID(E1366, SEARCH("/",E1366) + 1, SEARCH("/",E1366, SEARCH("/",E1366)+1) - SEARCH("/",E1366) - 1))-(LEFT(E1366,FIND("/",E1366)-1))), "NA"))</f>
        <v/>
      </c>
      <c r="K1366" s="79">
        <f>IF(A1366&lt;&gt;"", IF(ISBLANK(L1366), TODAY(), K1366), "")</f>
        <v/>
      </c>
      <c r="L1366" s="78" t="n"/>
      <c r="M1366" s="78">
        <f>IF(ISBLANK(L1366),"",IF(D1366="Stock",IF(C1366="Buy",L1366*G1366,IF(C1366="Sell",(L1366*G1366)-I1366, X)),IF(C1366="Buy",(L1366*G1366*100)+I1366,IF(C1366="Sell",(L1366*G1366*100)-I1366, X))))</f>
        <v/>
      </c>
      <c r="N1366" s="78">
        <f>IF(ISBLANK(L1366),"",IF(AND(C1366="Sell",D1366="Stock"),M1366,IF(ISBLANK(L1366),"",IF(C1366="Buy",M1366, IF(AND(C1366="Sell",J1366="NA"),(E1366*G1366*100*0.1)+I1366, IF(C1366="Sell",(J1366-L1366)*(100*G1366)+I1366))))))</f>
        <v/>
      </c>
      <c r="O1366" s="75" t="n"/>
      <c r="P1366" s="75" t="n"/>
      <c r="Q1366" s="75">
        <f>IF(ISBLANK(P1366),"",IF(D1366="Stock",P1366*G1366,IF(P1366=0,"0",G1366*P1366*100-(G1366*$AF$14))))</f>
        <v/>
      </c>
      <c r="R1366" s="79">
        <f>IF(P1366&lt;&gt;"", TODAY(), "")</f>
        <v/>
      </c>
      <c r="S1366" s="78">
        <f>IF(AND(K1366&lt;&gt;"", R1366&lt;&gt;""), R1366-K1366, "")</f>
        <v/>
      </c>
      <c r="T1366" s="78" t="n"/>
      <c r="U1366" s="92">
        <f>IF(ISBLANK(P1366),"",IF(C1366="Buy",Q1366-M1366+T1366, IF(C1366="Sell",M1366-Q1366-T1366, X)))</f>
        <v/>
      </c>
      <c r="V1366" s="81">
        <f>IF(ISBLANK(P1366),"",U1366/N1366)</f>
        <v/>
      </c>
      <c r="W1366" s="81">
        <f>IF(ISBLANK(P1366),"",IF(S1366=0,(365/0.5)*V1366,(365/S1366)*V1366))</f>
        <v/>
      </c>
      <c r="X1366" s="75" t="n"/>
      <c r="Y1366" s="77" t="n"/>
      <c r="Z1366" s="77" t="n"/>
      <c r="AA1366" s="75" t="n"/>
      <c r="AB1366" s="75" t="n"/>
      <c r="AC1366" s="6" t="n"/>
      <c r="AD1366" s="75" t="n"/>
      <c r="AE1366" s="75" t="n"/>
      <c r="AF1366" s="75" t="n"/>
    </row>
    <row r="1367" ht="15.75" customHeight="1" s="133">
      <c r="A1367" s="75" t="n"/>
      <c r="B1367" s="75" t="n"/>
      <c r="C1367" s="75" t="n"/>
      <c r="D1367" s="75" t="n"/>
      <c r="E1367" s="76" t="n"/>
      <c r="F1367" s="77" t="n"/>
      <c r="G1367" s="75" t="n"/>
      <c r="H1367" s="75">
        <f>IF(ISBLANK(E1367),"",IF(OR(D1367="Butterfly",D1367="Butterfly ",D1367="Iron Fly", D1367="Iron Fly "),LEN(E1367)-LEN(SUBSTITUTE(E1367,"/",""))+2,LEN(E1367)-LEN(SUBSTITUTE(E1367,"/",""))+1))</f>
        <v/>
      </c>
      <c r="I1367" s="78">
        <f>IF(ISBLANK(G1367),"",IF(D1367="Stock","0",Key!$A$3*H1367*G1367))</f>
        <v/>
      </c>
      <c r="J1367" s="78">
        <f>IF(ISBLANK(E1367),"",IF(ISNUMBER(SEARCH("/",E1367)), IF(LEN(E1367)-LEN(SUBSTITUTE(E1367,"/",""))=1,(RIGHT(E1367,LEN(E1367)-FIND("/",E1367)))-(LEFT(E1367,FIND("/",E1367)-1)),(MID(E1367, SEARCH("/",E1367) + 1, SEARCH("/",E1367, SEARCH("/",E1367)+1) - SEARCH("/",E1367) - 1))-(LEFT(E1367,FIND("/",E1367)-1))), "NA"))</f>
        <v/>
      </c>
      <c r="K1367" s="79">
        <f>IF(A1367&lt;&gt;"", IF(ISBLANK(L1367), TODAY(), K1367), "")</f>
        <v/>
      </c>
      <c r="L1367" s="78" t="n"/>
      <c r="M1367" s="78">
        <f>IF(ISBLANK(L1367),"",IF(D1367="Stock",IF(C1367="Buy",L1367*G1367,IF(C1367="Sell",(L1367*G1367)-I1367, X)),IF(C1367="Buy",(L1367*G1367*100)+I1367,IF(C1367="Sell",(L1367*G1367*100)-I1367, X))))</f>
        <v/>
      </c>
      <c r="N1367" s="78">
        <f>IF(ISBLANK(L1367),"",IF(AND(C1367="Sell",D1367="Stock"),M1367,IF(ISBLANK(L1367),"",IF(C1367="Buy",M1367, IF(AND(C1367="Sell",J1367="NA"),(E1367*G1367*100*0.1)+I1367, IF(C1367="Sell",(J1367-L1367)*(100*G1367)+I1367))))))</f>
        <v/>
      </c>
      <c r="O1367" s="75" t="n"/>
      <c r="P1367" s="75" t="n"/>
      <c r="Q1367" s="75">
        <f>IF(ISBLANK(P1367),"",IF(D1367="Stock",P1367*G1367,IF(P1367=0,"0",G1367*P1367*100-(G1367*$AF$14))))</f>
        <v/>
      </c>
      <c r="R1367" s="79">
        <f>IF(P1367&lt;&gt;"", TODAY(), "")</f>
        <v/>
      </c>
      <c r="S1367" s="78">
        <f>IF(AND(K1367&lt;&gt;"", R1367&lt;&gt;""), R1367-K1367, "")</f>
        <v/>
      </c>
      <c r="T1367" s="78" t="n"/>
      <c r="U1367" s="92">
        <f>IF(ISBLANK(P1367),"",IF(C1367="Buy",Q1367-M1367+T1367, IF(C1367="Sell",M1367-Q1367-T1367, X)))</f>
        <v/>
      </c>
      <c r="V1367" s="81">
        <f>IF(ISBLANK(P1367),"",U1367/N1367)</f>
        <v/>
      </c>
      <c r="W1367" s="81">
        <f>IF(ISBLANK(P1367),"",IF(S1367=0,(365/0.5)*V1367,(365/S1367)*V1367))</f>
        <v/>
      </c>
      <c r="X1367" s="75" t="n"/>
      <c r="Y1367" s="77" t="n"/>
      <c r="Z1367" s="77" t="n"/>
      <c r="AA1367" s="75" t="n"/>
      <c r="AB1367" s="75" t="n"/>
      <c r="AC1367" s="6" t="n"/>
      <c r="AD1367" s="75" t="n"/>
      <c r="AE1367" s="75" t="n"/>
      <c r="AF1367" s="75" t="n"/>
    </row>
    <row r="1368" ht="15.75" customHeight="1" s="133">
      <c r="A1368" s="75" t="n"/>
      <c r="B1368" s="75" t="n"/>
      <c r="C1368" s="75" t="n"/>
      <c r="D1368" s="75" t="n"/>
      <c r="E1368" s="76" t="n"/>
      <c r="F1368" s="77" t="n"/>
      <c r="G1368" s="75" t="n"/>
      <c r="H1368" s="75">
        <f>IF(ISBLANK(E1368),"",IF(OR(D1368="Butterfly",D1368="Butterfly ",D1368="Iron Fly", D1368="Iron Fly "),LEN(E1368)-LEN(SUBSTITUTE(E1368,"/",""))+2,LEN(E1368)-LEN(SUBSTITUTE(E1368,"/",""))+1))</f>
        <v/>
      </c>
      <c r="I1368" s="78">
        <f>IF(ISBLANK(G1368),"",IF(D1368="Stock","0",Key!$A$3*H1368*G1368))</f>
        <v/>
      </c>
      <c r="J1368" s="78">
        <f>IF(ISBLANK(E1368),"",IF(ISNUMBER(SEARCH("/",E1368)), IF(LEN(E1368)-LEN(SUBSTITUTE(E1368,"/",""))=1,(RIGHT(E1368,LEN(E1368)-FIND("/",E1368)))-(LEFT(E1368,FIND("/",E1368)-1)),(MID(E1368, SEARCH("/",E1368) + 1, SEARCH("/",E1368, SEARCH("/",E1368)+1) - SEARCH("/",E1368) - 1))-(LEFT(E1368,FIND("/",E1368)-1))), "NA"))</f>
        <v/>
      </c>
      <c r="K1368" s="79">
        <f>IF(A1368&lt;&gt;"", IF(ISBLANK(L1368), TODAY(), K1368), "")</f>
        <v/>
      </c>
      <c r="L1368" s="78" t="n"/>
      <c r="M1368" s="78">
        <f>IF(ISBLANK(L1368),"",IF(D1368="Stock",IF(C1368="Buy",L1368*G1368,IF(C1368="Sell",(L1368*G1368)-I1368, X)),IF(C1368="Buy",(L1368*G1368*100)+I1368,IF(C1368="Sell",(L1368*G1368*100)-I1368, X))))</f>
        <v/>
      </c>
      <c r="N1368" s="78">
        <f>IF(ISBLANK(L1368),"",IF(AND(C1368="Sell",D1368="Stock"),M1368,IF(ISBLANK(L1368),"",IF(C1368="Buy",M1368, IF(AND(C1368="Sell",J1368="NA"),(E1368*G1368*100*0.1)+I1368, IF(C1368="Sell",(J1368-L1368)*(100*G1368)+I1368))))))</f>
        <v/>
      </c>
      <c r="O1368" s="75" t="n"/>
      <c r="P1368" s="75" t="n"/>
      <c r="Q1368" s="75">
        <f>IF(ISBLANK(P1368),"",IF(D1368="Stock",P1368*G1368,IF(P1368=0,"0",G1368*P1368*100-(G1368*$AF$14))))</f>
        <v/>
      </c>
      <c r="R1368" s="79">
        <f>IF(P1368&lt;&gt;"", TODAY(), "")</f>
        <v/>
      </c>
      <c r="S1368" s="78">
        <f>IF(AND(K1368&lt;&gt;"", R1368&lt;&gt;""), R1368-K1368, "")</f>
        <v/>
      </c>
      <c r="T1368" s="78" t="n"/>
      <c r="U1368" s="92">
        <f>IF(ISBLANK(P1368),"",IF(C1368="Buy",Q1368-M1368+T1368, IF(C1368="Sell",M1368-Q1368-T1368, X)))</f>
        <v/>
      </c>
      <c r="V1368" s="81">
        <f>IF(ISBLANK(P1368),"",U1368/N1368)</f>
        <v/>
      </c>
      <c r="W1368" s="81">
        <f>IF(ISBLANK(P1368),"",IF(S1368=0,(365/0.5)*V1368,(365/S1368)*V1368))</f>
        <v/>
      </c>
      <c r="X1368" s="75" t="n"/>
      <c r="Y1368" s="77" t="n"/>
      <c r="Z1368" s="77" t="n"/>
      <c r="AA1368" s="75" t="n"/>
      <c r="AB1368" s="75" t="n"/>
      <c r="AC1368" s="6" t="n"/>
      <c r="AD1368" s="75" t="n"/>
      <c r="AE1368" s="75" t="n"/>
      <c r="AF1368" s="75" t="n"/>
    </row>
    <row r="1369" ht="15.75" customHeight="1" s="133">
      <c r="A1369" s="75" t="n"/>
      <c r="B1369" s="75" t="n"/>
      <c r="C1369" s="75" t="n"/>
      <c r="D1369" s="75" t="n"/>
      <c r="E1369" s="76" t="n"/>
      <c r="F1369" s="77" t="n"/>
      <c r="G1369" s="75" t="n"/>
      <c r="H1369" s="75">
        <f>IF(ISBLANK(E1369),"",IF(OR(D1369="Butterfly",D1369="Butterfly ",D1369="Iron Fly", D1369="Iron Fly "),LEN(E1369)-LEN(SUBSTITUTE(E1369,"/",""))+2,LEN(E1369)-LEN(SUBSTITUTE(E1369,"/",""))+1))</f>
        <v/>
      </c>
      <c r="I1369" s="78">
        <f>IF(ISBLANK(G1369),"",IF(D1369="Stock","0",Key!$A$3*H1369*G1369))</f>
        <v/>
      </c>
      <c r="J1369" s="78">
        <f>IF(ISBLANK(E1369),"",IF(ISNUMBER(SEARCH("/",E1369)), IF(LEN(E1369)-LEN(SUBSTITUTE(E1369,"/",""))=1,(RIGHT(E1369,LEN(E1369)-FIND("/",E1369)))-(LEFT(E1369,FIND("/",E1369)-1)),(MID(E1369, SEARCH("/",E1369) + 1, SEARCH("/",E1369, SEARCH("/",E1369)+1) - SEARCH("/",E1369) - 1))-(LEFT(E1369,FIND("/",E1369)-1))), "NA"))</f>
        <v/>
      </c>
      <c r="K1369" s="79">
        <f>IF(A1369&lt;&gt;"", IF(ISBLANK(L1369), TODAY(), K1369), "")</f>
        <v/>
      </c>
      <c r="L1369" s="78" t="n"/>
      <c r="M1369" s="78">
        <f>IF(ISBLANK(L1369),"",IF(D1369="Stock",IF(C1369="Buy",L1369*G1369,IF(C1369="Sell",(L1369*G1369)-I1369, X)),IF(C1369="Buy",(L1369*G1369*100)+I1369,IF(C1369="Sell",(L1369*G1369*100)-I1369, X))))</f>
        <v/>
      </c>
      <c r="N1369" s="78">
        <f>IF(ISBLANK(L1369),"",IF(AND(C1369="Sell",D1369="Stock"),M1369,IF(ISBLANK(L1369),"",IF(C1369="Buy",M1369, IF(AND(C1369="Sell",J1369="NA"),(E1369*G1369*100*0.1)+I1369, IF(C1369="Sell",(J1369-L1369)*(100*G1369)+I1369))))))</f>
        <v/>
      </c>
      <c r="O1369" s="75" t="n"/>
      <c r="P1369" s="75" t="n"/>
      <c r="Q1369" s="75">
        <f>IF(ISBLANK(P1369),"",IF(D1369="Stock",P1369*G1369,IF(P1369=0,"0",G1369*P1369*100-(G1369*$AF$14))))</f>
        <v/>
      </c>
      <c r="R1369" s="79">
        <f>IF(P1369&lt;&gt;"", TODAY(), "")</f>
        <v/>
      </c>
      <c r="S1369" s="78">
        <f>IF(AND(K1369&lt;&gt;"", R1369&lt;&gt;""), R1369-K1369, "")</f>
        <v/>
      </c>
      <c r="T1369" s="78" t="n"/>
      <c r="U1369" s="92">
        <f>IF(ISBLANK(P1369),"",IF(C1369="Buy",Q1369-M1369+T1369, IF(C1369="Sell",M1369-Q1369-T1369, X)))</f>
        <v/>
      </c>
      <c r="V1369" s="81">
        <f>IF(ISBLANK(P1369),"",U1369/N1369)</f>
        <v/>
      </c>
      <c r="W1369" s="81">
        <f>IF(ISBLANK(P1369),"",IF(S1369=0,(365/0.5)*V1369,(365/S1369)*V1369))</f>
        <v/>
      </c>
      <c r="X1369" s="75" t="n"/>
      <c r="Y1369" s="77" t="n"/>
      <c r="Z1369" s="77" t="n"/>
      <c r="AA1369" s="75" t="n"/>
      <c r="AB1369" s="75" t="n"/>
      <c r="AC1369" s="6" t="n"/>
      <c r="AD1369" s="75" t="n"/>
      <c r="AE1369" s="75" t="n"/>
      <c r="AF1369" s="75" t="n"/>
    </row>
    <row r="1370" ht="15.75" customHeight="1" s="133">
      <c r="A1370" s="75" t="n"/>
      <c r="B1370" s="75" t="n"/>
      <c r="C1370" s="75" t="n"/>
      <c r="D1370" s="75" t="n"/>
      <c r="E1370" s="76" t="n"/>
      <c r="F1370" s="77" t="n"/>
      <c r="G1370" s="75" t="n"/>
      <c r="H1370" s="75">
        <f>IF(ISBLANK(E1370),"",IF(OR(D1370="Butterfly",D1370="Butterfly ",D1370="Iron Fly", D1370="Iron Fly "),LEN(E1370)-LEN(SUBSTITUTE(E1370,"/",""))+2,LEN(E1370)-LEN(SUBSTITUTE(E1370,"/",""))+1))</f>
        <v/>
      </c>
      <c r="I1370" s="78">
        <f>IF(ISBLANK(G1370),"",IF(D1370="Stock","0",Key!$A$3*H1370*G1370))</f>
        <v/>
      </c>
      <c r="J1370" s="78">
        <f>IF(ISBLANK(E1370),"",IF(ISNUMBER(SEARCH("/",E1370)), IF(LEN(E1370)-LEN(SUBSTITUTE(E1370,"/",""))=1,(RIGHT(E1370,LEN(E1370)-FIND("/",E1370)))-(LEFT(E1370,FIND("/",E1370)-1)),(MID(E1370, SEARCH("/",E1370) + 1, SEARCH("/",E1370, SEARCH("/",E1370)+1) - SEARCH("/",E1370) - 1))-(LEFT(E1370,FIND("/",E1370)-1))), "NA"))</f>
        <v/>
      </c>
      <c r="K1370" s="79">
        <f>IF(A1370&lt;&gt;"", IF(ISBLANK(L1370), TODAY(), K1370), "")</f>
        <v/>
      </c>
      <c r="L1370" s="78" t="n"/>
      <c r="M1370" s="78">
        <f>IF(ISBLANK(L1370),"",IF(D1370="Stock",IF(C1370="Buy",L1370*G1370,IF(C1370="Sell",(L1370*G1370)-I1370, X)),IF(C1370="Buy",(L1370*G1370*100)+I1370,IF(C1370="Sell",(L1370*G1370*100)-I1370, X))))</f>
        <v/>
      </c>
      <c r="N1370" s="78">
        <f>IF(ISBLANK(L1370),"",IF(AND(C1370="Sell",D1370="Stock"),M1370,IF(ISBLANK(L1370),"",IF(C1370="Buy",M1370, IF(AND(C1370="Sell",J1370="NA"),(E1370*G1370*100*0.1)+I1370, IF(C1370="Sell",(J1370-L1370)*(100*G1370)+I1370))))))</f>
        <v/>
      </c>
      <c r="O1370" s="75" t="n"/>
      <c r="P1370" s="75" t="n"/>
      <c r="Q1370" s="75">
        <f>IF(ISBLANK(P1370),"",IF(D1370="Stock",P1370*G1370,IF(P1370=0,"0",G1370*P1370*100-(G1370*$AF$14))))</f>
        <v/>
      </c>
      <c r="R1370" s="79">
        <f>IF(P1370&lt;&gt;"", TODAY(), "")</f>
        <v/>
      </c>
      <c r="S1370" s="78">
        <f>IF(AND(K1370&lt;&gt;"", R1370&lt;&gt;""), R1370-K1370, "")</f>
        <v/>
      </c>
      <c r="T1370" s="78" t="n"/>
      <c r="U1370" s="92">
        <f>IF(ISBLANK(P1370),"",IF(C1370="Buy",Q1370-M1370+T1370, IF(C1370="Sell",M1370-Q1370-T1370, X)))</f>
        <v/>
      </c>
      <c r="V1370" s="81">
        <f>IF(ISBLANK(P1370),"",U1370/N1370)</f>
        <v/>
      </c>
      <c r="W1370" s="81">
        <f>IF(ISBLANK(P1370),"",IF(S1370=0,(365/0.5)*V1370,(365/S1370)*V1370))</f>
        <v/>
      </c>
      <c r="X1370" s="75" t="n"/>
      <c r="Y1370" s="77" t="n"/>
      <c r="Z1370" s="77" t="n"/>
      <c r="AA1370" s="75" t="n"/>
      <c r="AB1370" s="75" t="n"/>
      <c r="AC1370" s="6" t="n"/>
      <c r="AD1370" s="75" t="n"/>
      <c r="AE1370" s="75" t="n"/>
      <c r="AF1370" s="75" t="n"/>
    </row>
    <row r="1371" ht="15.75" customHeight="1" s="133">
      <c r="A1371" s="75" t="n"/>
      <c r="B1371" s="75" t="n"/>
      <c r="C1371" s="75" t="n"/>
      <c r="D1371" s="75" t="n"/>
      <c r="E1371" s="76" t="n"/>
      <c r="F1371" s="77" t="n"/>
      <c r="G1371" s="75" t="n"/>
      <c r="H1371" s="75">
        <f>IF(ISBLANK(E1371),"",IF(OR(D1371="Butterfly",D1371="Butterfly ",D1371="Iron Fly", D1371="Iron Fly "),LEN(E1371)-LEN(SUBSTITUTE(E1371,"/",""))+2,LEN(E1371)-LEN(SUBSTITUTE(E1371,"/",""))+1))</f>
        <v/>
      </c>
      <c r="I1371" s="78">
        <f>IF(ISBLANK(G1371),"",IF(D1371="Stock","0",Key!$A$3*H1371*G1371))</f>
        <v/>
      </c>
      <c r="J1371" s="78">
        <f>IF(ISBLANK(E1371),"",IF(ISNUMBER(SEARCH("/",E1371)), IF(LEN(E1371)-LEN(SUBSTITUTE(E1371,"/",""))=1,(RIGHT(E1371,LEN(E1371)-FIND("/",E1371)))-(LEFT(E1371,FIND("/",E1371)-1)),(MID(E1371, SEARCH("/",E1371) + 1, SEARCH("/",E1371, SEARCH("/",E1371)+1) - SEARCH("/",E1371) - 1))-(LEFT(E1371,FIND("/",E1371)-1))), "NA"))</f>
        <v/>
      </c>
      <c r="K1371" s="79">
        <f>IF(A1371&lt;&gt;"", IF(ISBLANK(L1371), TODAY(), K1371), "")</f>
        <v/>
      </c>
      <c r="L1371" s="78" t="n"/>
      <c r="M1371" s="78">
        <f>IF(ISBLANK(L1371),"",IF(D1371="Stock",IF(C1371="Buy",L1371*G1371,IF(C1371="Sell",(L1371*G1371)-I1371, X)),IF(C1371="Buy",(L1371*G1371*100)+I1371,IF(C1371="Sell",(L1371*G1371*100)-I1371, X))))</f>
        <v/>
      </c>
      <c r="N1371" s="78">
        <f>IF(ISBLANK(L1371),"",IF(AND(C1371="Sell",D1371="Stock"),M1371,IF(ISBLANK(L1371),"",IF(C1371="Buy",M1371, IF(AND(C1371="Sell",J1371="NA"),(E1371*G1371*100*0.1)+I1371, IF(C1371="Sell",(J1371-L1371)*(100*G1371)+I1371))))))</f>
        <v/>
      </c>
      <c r="O1371" s="75" t="n"/>
      <c r="P1371" s="75" t="n"/>
      <c r="Q1371" s="75">
        <f>IF(ISBLANK(P1371),"",IF(D1371="Stock",P1371*G1371,IF(P1371=0,"0",G1371*P1371*100-(G1371*$AF$14))))</f>
        <v/>
      </c>
      <c r="R1371" s="79">
        <f>IF(P1371&lt;&gt;"", TODAY(), "")</f>
        <v/>
      </c>
      <c r="S1371" s="78">
        <f>IF(AND(K1371&lt;&gt;"", R1371&lt;&gt;""), R1371-K1371, "")</f>
        <v/>
      </c>
      <c r="T1371" s="78" t="n"/>
      <c r="U1371" s="92">
        <f>IF(ISBLANK(P1371),"",IF(C1371="Buy",Q1371-M1371+T1371, IF(C1371="Sell",M1371-Q1371-T1371, X)))</f>
        <v/>
      </c>
      <c r="V1371" s="81">
        <f>IF(ISBLANK(P1371),"",U1371/N1371)</f>
        <v/>
      </c>
      <c r="W1371" s="81">
        <f>IF(ISBLANK(P1371),"",IF(S1371=0,(365/0.5)*V1371,(365/S1371)*V1371))</f>
        <v/>
      </c>
      <c r="X1371" s="75" t="n"/>
      <c r="Y1371" s="77" t="n"/>
      <c r="Z1371" s="77" t="n"/>
      <c r="AA1371" s="75" t="n"/>
      <c r="AB1371" s="75" t="n"/>
      <c r="AC1371" s="6" t="n"/>
      <c r="AD1371" s="75" t="n"/>
      <c r="AE1371" s="75" t="n"/>
      <c r="AF1371" s="75" t="n"/>
    </row>
    <row r="1372" ht="15.75" customHeight="1" s="133">
      <c r="A1372" s="75" t="n"/>
      <c r="B1372" s="75" t="n"/>
      <c r="C1372" s="75" t="n"/>
      <c r="D1372" s="75" t="n"/>
      <c r="E1372" s="76" t="n"/>
      <c r="F1372" s="77" t="n"/>
      <c r="G1372" s="75" t="n"/>
      <c r="H1372" s="75">
        <f>IF(ISBLANK(E1372),"",IF(OR(D1372="Butterfly",D1372="Butterfly ",D1372="Iron Fly", D1372="Iron Fly "),LEN(E1372)-LEN(SUBSTITUTE(E1372,"/",""))+2,LEN(E1372)-LEN(SUBSTITUTE(E1372,"/",""))+1))</f>
        <v/>
      </c>
      <c r="I1372" s="78">
        <f>IF(ISBLANK(G1372),"",IF(D1372="Stock","0",Key!$A$3*H1372*G1372))</f>
        <v/>
      </c>
      <c r="J1372" s="78">
        <f>IF(ISBLANK(E1372),"",IF(ISNUMBER(SEARCH("/",E1372)), IF(LEN(E1372)-LEN(SUBSTITUTE(E1372,"/",""))=1,(RIGHT(E1372,LEN(E1372)-FIND("/",E1372)))-(LEFT(E1372,FIND("/",E1372)-1)),(MID(E1372, SEARCH("/",E1372) + 1, SEARCH("/",E1372, SEARCH("/",E1372)+1) - SEARCH("/",E1372) - 1))-(LEFT(E1372,FIND("/",E1372)-1))), "NA"))</f>
        <v/>
      </c>
      <c r="K1372" s="79">
        <f>IF(A1372&lt;&gt;"", IF(ISBLANK(L1372), TODAY(), K1372), "")</f>
        <v/>
      </c>
      <c r="L1372" s="78" t="n"/>
      <c r="M1372" s="78">
        <f>IF(ISBLANK(L1372),"",IF(D1372="Stock",IF(C1372="Buy",L1372*G1372,IF(C1372="Sell",(L1372*G1372)-I1372, X)),IF(C1372="Buy",(L1372*G1372*100)+I1372,IF(C1372="Sell",(L1372*G1372*100)-I1372, X))))</f>
        <v/>
      </c>
      <c r="N1372" s="78">
        <f>IF(ISBLANK(L1372),"",IF(AND(C1372="Sell",D1372="Stock"),M1372,IF(ISBLANK(L1372),"",IF(C1372="Buy",M1372, IF(AND(C1372="Sell",J1372="NA"),(E1372*G1372*100*0.1)+I1372, IF(C1372="Sell",(J1372-L1372)*(100*G1372)+I1372))))))</f>
        <v/>
      </c>
      <c r="O1372" s="75" t="n"/>
      <c r="P1372" s="75" t="n"/>
      <c r="Q1372" s="75">
        <f>IF(ISBLANK(P1372),"",IF(D1372="Stock",P1372*G1372,IF(P1372=0,"0",G1372*P1372*100-(G1372*$AF$14))))</f>
        <v/>
      </c>
      <c r="R1372" s="79">
        <f>IF(P1372&lt;&gt;"", TODAY(), "")</f>
        <v/>
      </c>
      <c r="S1372" s="78">
        <f>IF(AND(K1372&lt;&gt;"", R1372&lt;&gt;""), R1372-K1372, "")</f>
        <v/>
      </c>
      <c r="T1372" s="78" t="n"/>
      <c r="U1372" s="92">
        <f>IF(ISBLANK(P1372),"",IF(C1372="Buy",Q1372-M1372+T1372, IF(C1372="Sell",M1372-Q1372-T1372, X)))</f>
        <v/>
      </c>
      <c r="V1372" s="81">
        <f>IF(ISBLANK(P1372),"",U1372/N1372)</f>
        <v/>
      </c>
      <c r="W1372" s="81">
        <f>IF(ISBLANK(P1372),"",IF(S1372=0,(365/0.5)*V1372,(365/S1372)*V1372))</f>
        <v/>
      </c>
      <c r="X1372" s="75" t="n"/>
      <c r="Y1372" s="77" t="n"/>
      <c r="Z1372" s="77" t="n"/>
      <c r="AA1372" s="75" t="n"/>
      <c r="AB1372" s="75" t="n"/>
      <c r="AC1372" s="6" t="n"/>
      <c r="AD1372" s="75" t="n"/>
      <c r="AE1372" s="75" t="n"/>
      <c r="AF1372" s="75" t="n"/>
    </row>
    <row r="1373" ht="15.75" customHeight="1" s="133">
      <c r="A1373" s="75" t="n"/>
      <c r="B1373" s="75" t="n"/>
      <c r="C1373" s="75" t="n"/>
      <c r="D1373" s="75" t="n"/>
      <c r="E1373" s="76" t="n"/>
      <c r="F1373" s="77" t="n"/>
      <c r="G1373" s="75" t="n"/>
      <c r="H1373" s="75">
        <f>IF(ISBLANK(E1373),"",IF(OR(D1373="Butterfly",D1373="Butterfly ",D1373="Iron Fly", D1373="Iron Fly "),LEN(E1373)-LEN(SUBSTITUTE(E1373,"/",""))+2,LEN(E1373)-LEN(SUBSTITUTE(E1373,"/",""))+1))</f>
        <v/>
      </c>
      <c r="I1373" s="78">
        <f>IF(ISBLANK(G1373),"",IF(D1373="Stock","0",Key!$A$3*H1373*G1373))</f>
        <v/>
      </c>
      <c r="J1373" s="78">
        <f>IF(ISBLANK(E1373),"",IF(ISNUMBER(SEARCH("/",E1373)), IF(LEN(E1373)-LEN(SUBSTITUTE(E1373,"/",""))=1,(RIGHT(E1373,LEN(E1373)-FIND("/",E1373)))-(LEFT(E1373,FIND("/",E1373)-1)),(MID(E1373, SEARCH("/",E1373) + 1, SEARCH("/",E1373, SEARCH("/",E1373)+1) - SEARCH("/",E1373) - 1))-(LEFT(E1373,FIND("/",E1373)-1))), "NA"))</f>
        <v/>
      </c>
      <c r="K1373" s="79">
        <f>IF(A1373&lt;&gt;"", IF(ISBLANK(L1373), TODAY(), K1373), "")</f>
        <v/>
      </c>
      <c r="L1373" s="78" t="n"/>
      <c r="M1373" s="78">
        <f>IF(ISBLANK(L1373),"",IF(D1373="Stock",IF(C1373="Buy",L1373*G1373,IF(C1373="Sell",(L1373*G1373)-I1373, X)),IF(C1373="Buy",(L1373*G1373*100)+I1373,IF(C1373="Sell",(L1373*G1373*100)-I1373, X))))</f>
        <v/>
      </c>
      <c r="N1373" s="78">
        <f>IF(ISBLANK(L1373),"",IF(AND(C1373="Sell",D1373="Stock"),M1373,IF(ISBLANK(L1373),"",IF(C1373="Buy",M1373, IF(AND(C1373="Sell",J1373="NA"),(E1373*G1373*100*0.1)+I1373, IF(C1373="Sell",(J1373-L1373)*(100*G1373)+I1373))))))</f>
        <v/>
      </c>
      <c r="O1373" s="75" t="n"/>
      <c r="P1373" s="75" t="n"/>
      <c r="Q1373" s="75">
        <f>IF(ISBLANK(P1373),"",IF(D1373="Stock",P1373*G1373,IF(P1373=0,"0",G1373*P1373*100-(G1373*$AF$14))))</f>
        <v/>
      </c>
      <c r="R1373" s="79">
        <f>IF(P1373&lt;&gt;"", TODAY(), "")</f>
        <v/>
      </c>
      <c r="S1373" s="78">
        <f>IF(AND(K1373&lt;&gt;"", R1373&lt;&gt;""), R1373-K1373, "")</f>
        <v/>
      </c>
      <c r="T1373" s="78" t="n"/>
      <c r="U1373" s="92">
        <f>IF(ISBLANK(P1373),"",IF(C1373="Buy",Q1373-M1373+T1373, IF(C1373="Sell",M1373-Q1373-T1373, X)))</f>
        <v/>
      </c>
      <c r="V1373" s="81">
        <f>IF(ISBLANK(P1373),"",U1373/N1373)</f>
        <v/>
      </c>
      <c r="W1373" s="81">
        <f>IF(ISBLANK(P1373),"",IF(S1373=0,(365/0.5)*V1373,(365/S1373)*V1373))</f>
        <v/>
      </c>
      <c r="X1373" s="75" t="n"/>
      <c r="Y1373" s="77" t="n"/>
      <c r="Z1373" s="77" t="n"/>
      <c r="AA1373" s="75" t="n"/>
      <c r="AB1373" s="75" t="n"/>
      <c r="AC1373" s="6" t="n"/>
      <c r="AD1373" s="75" t="n"/>
      <c r="AE1373" s="75" t="n"/>
      <c r="AF1373" s="75" t="n"/>
    </row>
    <row r="1374" ht="15.75" customHeight="1" s="133">
      <c r="A1374" s="75" t="n"/>
      <c r="B1374" s="75" t="n"/>
      <c r="C1374" s="75" t="n"/>
      <c r="D1374" s="75" t="n"/>
      <c r="E1374" s="76" t="n"/>
      <c r="F1374" s="77" t="n"/>
      <c r="G1374" s="75" t="n"/>
      <c r="H1374" s="75">
        <f>IF(ISBLANK(E1374),"",IF(OR(D1374="Butterfly",D1374="Butterfly ",D1374="Iron Fly", D1374="Iron Fly "),LEN(E1374)-LEN(SUBSTITUTE(E1374,"/",""))+2,LEN(E1374)-LEN(SUBSTITUTE(E1374,"/",""))+1))</f>
        <v/>
      </c>
      <c r="I1374" s="78">
        <f>IF(ISBLANK(G1374),"",IF(D1374="Stock","0",Key!$A$3*H1374*G1374))</f>
        <v/>
      </c>
      <c r="J1374" s="78">
        <f>IF(ISBLANK(E1374),"",IF(ISNUMBER(SEARCH("/",E1374)), IF(LEN(E1374)-LEN(SUBSTITUTE(E1374,"/",""))=1,(RIGHT(E1374,LEN(E1374)-FIND("/",E1374)))-(LEFT(E1374,FIND("/",E1374)-1)),(MID(E1374, SEARCH("/",E1374) + 1, SEARCH("/",E1374, SEARCH("/",E1374)+1) - SEARCH("/",E1374) - 1))-(LEFT(E1374,FIND("/",E1374)-1))), "NA"))</f>
        <v/>
      </c>
      <c r="K1374" s="79">
        <f>IF(A1374&lt;&gt;"", IF(ISBLANK(L1374), TODAY(), K1374), "")</f>
        <v/>
      </c>
      <c r="L1374" s="78" t="n"/>
      <c r="M1374" s="78">
        <f>IF(ISBLANK(L1374),"",IF(D1374="Stock",IF(C1374="Buy",L1374*G1374,IF(C1374="Sell",(L1374*G1374)-I1374, X)),IF(C1374="Buy",(L1374*G1374*100)+I1374,IF(C1374="Sell",(L1374*G1374*100)-I1374, X))))</f>
        <v/>
      </c>
      <c r="N1374" s="78">
        <f>IF(ISBLANK(L1374),"",IF(AND(C1374="Sell",D1374="Stock"),M1374,IF(ISBLANK(L1374),"",IF(C1374="Buy",M1374, IF(AND(C1374="Sell",J1374="NA"),(E1374*G1374*100*0.1)+I1374, IF(C1374="Sell",(J1374-L1374)*(100*G1374)+I1374))))))</f>
        <v/>
      </c>
      <c r="O1374" s="75" t="n"/>
      <c r="P1374" s="75" t="n"/>
      <c r="Q1374" s="75">
        <f>IF(ISBLANK(P1374),"",IF(D1374="Stock",P1374*G1374,IF(P1374=0,"0",G1374*P1374*100-(G1374*$AF$14))))</f>
        <v/>
      </c>
      <c r="R1374" s="79">
        <f>IF(P1374&lt;&gt;"", TODAY(), "")</f>
        <v/>
      </c>
      <c r="S1374" s="78">
        <f>IF(AND(K1374&lt;&gt;"", R1374&lt;&gt;""), R1374-K1374, "")</f>
        <v/>
      </c>
      <c r="T1374" s="78" t="n"/>
      <c r="U1374" s="92">
        <f>IF(ISBLANK(P1374),"",IF(C1374="Buy",Q1374-M1374+T1374, IF(C1374="Sell",M1374-Q1374-T1374, X)))</f>
        <v/>
      </c>
      <c r="V1374" s="81">
        <f>IF(ISBLANK(P1374),"",U1374/N1374)</f>
        <v/>
      </c>
      <c r="W1374" s="81">
        <f>IF(ISBLANK(P1374),"",IF(S1374=0,(365/0.5)*V1374,(365/S1374)*V1374))</f>
        <v/>
      </c>
      <c r="X1374" s="75" t="n"/>
      <c r="Y1374" s="77" t="n"/>
      <c r="Z1374" s="77" t="n"/>
      <c r="AA1374" s="75" t="n"/>
      <c r="AB1374" s="75" t="n"/>
      <c r="AC1374" s="6" t="n"/>
      <c r="AD1374" s="75" t="n"/>
      <c r="AE1374" s="75" t="n"/>
      <c r="AF1374" s="75" t="n"/>
    </row>
    <row r="1375" ht="15.75" customHeight="1" s="133">
      <c r="A1375" s="75" t="n"/>
      <c r="B1375" s="75" t="n"/>
      <c r="C1375" s="75" t="n"/>
      <c r="D1375" s="75" t="n"/>
      <c r="E1375" s="76" t="n"/>
      <c r="F1375" s="77" t="n"/>
      <c r="G1375" s="75" t="n"/>
      <c r="H1375" s="75">
        <f>IF(ISBLANK(E1375),"",IF(OR(D1375="Butterfly",D1375="Butterfly ",D1375="Iron Fly", D1375="Iron Fly "),LEN(E1375)-LEN(SUBSTITUTE(E1375,"/",""))+2,LEN(E1375)-LEN(SUBSTITUTE(E1375,"/",""))+1))</f>
        <v/>
      </c>
      <c r="I1375" s="78">
        <f>IF(ISBLANK(G1375),"",IF(D1375="Stock","0",Key!$A$3*H1375*G1375))</f>
        <v/>
      </c>
      <c r="J1375" s="78">
        <f>IF(ISBLANK(E1375),"",IF(ISNUMBER(SEARCH("/",E1375)), IF(LEN(E1375)-LEN(SUBSTITUTE(E1375,"/",""))=1,(RIGHT(E1375,LEN(E1375)-FIND("/",E1375)))-(LEFT(E1375,FIND("/",E1375)-1)),(MID(E1375, SEARCH("/",E1375) + 1, SEARCH("/",E1375, SEARCH("/",E1375)+1) - SEARCH("/",E1375) - 1))-(LEFT(E1375,FIND("/",E1375)-1))), "NA"))</f>
        <v/>
      </c>
      <c r="K1375" s="79">
        <f>IF(A1375&lt;&gt;"", IF(ISBLANK(L1375), TODAY(), K1375), "")</f>
        <v/>
      </c>
      <c r="L1375" s="78" t="n"/>
      <c r="M1375" s="78">
        <f>IF(ISBLANK(L1375),"",IF(D1375="Stock",IF(C1375="Buy",L1375*G1375,IF(C1375="Sell",(L1375*G1375)-I1375, X)),IF(C1375="Buy",(L1375*G1375*100)+I1375,IF(C1375="Sell",(L1375*G1375*100)-I1375, X))))</f>
        <v/>
      </c>
      <c r="N1375" s="78">
        <f>IF(ISBLANK(L1375),"",IF(AND(C1375="Sell",D1375="Stock"),M1375,IF(ISBLANK(L1375),"",IF(C1375="Buy",M1375, IF(AND(C1375="Sell",J1375="NA"),(E1375*G1375*100*0.1)+I1375, IF(C1375="Sell",(J1375-L1375)*(100*G1375)+I1375))))))</f>
        <v/>
      </c>
      <c r="O1375" s="75" t="n"/>
      <c r="P1375" s="75" t="n"/>
      <c r="Q1375" s="75">
        <f>IF(ISBLANK(P1375),"",IF(D1375="Stock",P1375*G1375,IF(P1375=0,"0",G1375*P1375*100-(G1375*$AF$14))))</f>
        <v/>
      </c>
      <c r="R1375" s="79">
        <f>IF(P1375&lt;&gt;"", TODAY(), "")</f>
        <v/>
      </c>
      <c r="S1375" s="78">
        <f>IF(AND(K1375&lt;&gt;"", R1375&lt;&gt;""), R1375-K1375, "")</f>
        <v/>
      </c>
      <c r="T1375" s="78" t="n"/>
      <c r="U1375" s="92">
        <f>IF(ISBLANK(P1375),"",IF(C1375="Buy",Q1375-M1375+T1375, IF(C1375="Sell",M1375-Q1375-T1375, X)))</f>
        <v/>
      </c>
      <c r="V1375" s="81">
        <f>IF(ISBLANK(P1375),"",U1375/N1375)</f>
        <v/>
      </c>
      <c r="W1375" s="81">
        <f>IF(ISBLANK(P1375),"",IF(S1375=0,(365/0.5)*V1375,(365/S1375)*V1375))</f>
        <v/>
      </c>
      <c r="X1375" s="75" t="n"/>
      <c r="Y1375" s="77" t="n"/>
      <c r="Z1375" s="77" t="n"/>
      <c r="AA1375" s="75" t="n"/>
      <c r="AB1375" s="75" t="n"/>
      <c r="AC1375" s="6" t="n"/>
      <c r="AD1375" s="75" t="n"/>
      <c r="AE1375" s="75" t="n"/>
      <c r="AF1375" s="75" t="n"/>
    </row>
    <row r="1376" ht="15.75" customHeight="1" s="133">
      <c r="A1376" s="75" t="n"/>
      <c r="B1376" s="75" t="n"/>
      <c r="C1376" s="75" t="n"/>
      <c r="D1376" s="75" t="n"/>
      <c r="E1376" s="76" t="n"/>
      <c r="F1376" s="77" t="n"/>
      <c r="G1376" s="75" t="n"/>
      <c r="H1376" s="75">
        <f>IF(ISBLANK(E1376),"",IF(OR(D1376="Butterfly",D1376="Butterfly ",D1376="Iron Fly", D1376="Iron Fly "),LEN(E1376)-LEN(SUBSTITUTE(E1376,"/",""))+2,LEN(E1376)-LEN(SUBSTITUTE(E1376,"/",""))+1))</f>
        <v/>
      </c>
      <c r="I1376" s="78">
        <f>IF(ISBLANK(G1376),"",IF(D1376="Stock","0",Key!$A$3*H1376*G1376))</f>
        <v/>
      </c>
      <c r="J1376" s="78">
        <f>IF(ISBLANK(E1376),"",IF(ISNUMBER(SEARCH("/",E1376)), IF(LEN(E1376)-LEN(SUBSTITUTE(E1376,"/",""))=1,(RIGHT(E1376,LEN(E1376)-FIND("/",E1376)))-(LEFT(E1376,FIND("/",E1376)-1)),(MID(E1376, SEARCH("/",E1376) + 1, SEARCH("/",E1376, SEARCH("/",E1376)+1) - SEARCH("/",E1376) - 1))-(LEFT(E1376,FIND("/",E1376)-1))), "NA"))</f>
        <v/>
      </c>
      <c r="K1376" s="79">
        <f>IF(A1376&lt;&gt;"", IF(ISBLANK(L1376), TODAY(), K1376), "")</f>
        <v/>
      </c>
      <c r="L1376" s="78" t="n"/>
      <c r="M1376" s="78">
        <f>IF(ISBLANK(L1376),"",IF(D1376="Stock",IF(C1376="Buy",L1376*G1376,IF(C1376="Sell",(L1376*G1376)-I1376, X)),IF(C1376="Buy",(L1376*G1376*100)+I1376,IF(C1376="Sell",(L1376*G1376*100)-I1376, X))))</f>
        <v/>
      </c>
      <c r="N1376" s="78">
        <f>IF(ISBLANK(L1376),"",IF(AND(C1376="Sell",D1376="Stock"),M1376,IF(ISBLANK(L1376),"",IF(C1376="Buy",M1376, IF(AND(C1376="Sell",J1376="NA"),(E1376*G1376*100*0.1)+I1376, IF(C1376="Sell",(J1376-L1376)*(100*G1376)+I1376))))))</f>
        <v/>
      </c>
      <c r="O1376" s="75" t="n"/>
      <c r="P1376" s="75" t="n"/>
      <c r="Q1376" s="75">
        <f>IF(ISBLANK(P1376),"",IF(D1376="Stock",P1376*G1376,IF(P1376=0,"0",G1376*P1376*100-(G1376*$AF$14))))</f>
        <v/>
      </c>
      <c r="R1376" s="79">
        <f>IF(P1376&lt;&gt;"", TODAY(), "")</f>
        <v/>
      </c>
      <c r="S1376" s="78">
        <f>IF(AND(K1376&lt;&gt;"", R1376&lt;&gt;""), R1376-K1376, "")</f>
        <v/>
      </c>
      <c r="T1376" s="78" t="n"/>
      <c r="U1376" s="92">
        <f>IF(ISBLANK(P1376),"",IF(C1376="Buy",Q1376-M1376+T1376, IF(C1376="Sell",M1376-Q1376-T1376, X)))</f>
        <v/>
      </c>
      <c r="V1376" s="81">
        <f>IF(ISBLANK(P1376),"",U1376/N1376)</f>
        <v/>
      </c>
      <c r="W1376" s="81">
        <f>IF(ISBLANK(P1376),"",IF(S1376=0,(365/0.5)*V1376,(365/S1376)*V1376))</f>
        <v/>
      </c>
      <c r="X1376" s="75" t="n"/>
      <c r="Y1376" s="77" t="n"/>
      <c r="Z1376" s="77" t="n"/>
      <c r="AA1376" s="75" t="n"/>
      <c r="AB1376" s="75" t="n"/>
      <c r="AC1376" s="6" t="n"/>
      <c r="AD1376" s="75" t="n"/>
      <c r="AE1376" s="75" t="n"/>
      <c r="AF1376" s="75" t="n"/>
    </row>
    <row r="1377" ht="15.75" customHeight="1" s="133">
      <c r="A1377" s="75" t="n"/>
      <c r="B1377" s="75" t="n"/>
      <c r="C1377" s="75" t="n"/>
      <c r="D1377" s="75" t="n"/>
      <c r="E1377" s="76" t="n"/>
      <c r="F1377" s="77" t="n"/>
      <c r="G1377" s="75" t="n"/>
      <c r="H1377" s="75">
        <f>IF(ISBLANK(E1377),"",IF(OR(D1377="Butterfly",D1377="Butterfly ",D1377="Iron Fly", D1377="Iron Fly "),LEN(E1377)-LEN(SUBSTITUTE(E1377,"/",""))+2,LEN(E1377)-LEN(SUBSTITUTE(E1377,"/",""))+1))</f>
        <v/>
      </c>
      <c r="I1377" s="78">
        <f>IF(ISBLANK(G1377),"",IF(D1377="Stock","0",Key!$A$3*H1377*G1377))</f>
        <v/>
      </c>
      <c r="J1377" s="78">
        <f>IF(ISBLANK(E1377),"",IF(ISNUMBER(SEARCH("/",E1377)), IF(LEN(E1377)-LEN(SUBSTITUTE(E1377,"/",""))=1,(RIGHT(E1377,LEN(E1377)-FIND("/",E1377)))-(LEFT(E1377,FIND("/",E1377)-1)),(MID(E1377, SEARCH("/",E1377) + 1, SEARCH("/",E1377, SEARCH("/",E1377)+1) - SEARCH("/",E1377) - 1))-(LEFT(E1377,FIND("/",E1377)-1))), "NA"))</f>
        <v/>
      </c>
      <c r="K1377" s="79">
        <f>IF(A1377&lt;&gt;"", IF(ISBLANK(L1377), TODAY(), K1377), "")</f>
        <v/>
      </c>
      <c r="L1377" s="78" t="n"/>
      <c r="M1377" s="78">
        <f>IF(ISBLANK(L1377),"",IF(D1377="Stock",IF(C1377="Buy",L1377*G1377,IF(C1377="Sell",(L1377*G1377)-I1377, X)),IF(C1377="Buy",(L1377*G1377*100)+I1377,IF(C1377="Sell",(L1377*G1377*100)-I1377, X))))</f>
        <v/>
      </c>
      <c r="N1377" s="78">
        <f>IF(ISBLANK(L1377),"",IF(AND(C1377="Sell",D1377="Stock"),M1377,IF(ISBLANK(L1377),"",IF(C1377="Buy",M1377, IF(AND(C1377="Sell",J1377="NA"),(E1377*G1377*100*0.1)+I1377, IF(C1377="Sell",(J1377-L1377)*(100*G1377)+I1377))))))</f>
        <v/>
      </c>
      <c r="O1377" s="75" t="n"/>
      <c r="P1377" s="75" t="n"/>
      <c r="Q1377" s="75">
        <f>IF(ISBLANK(P1377),"",IF(D1377="Stock",P1377*G1377,IF(P1377=0,"0",G1377*P1377*100-(G1377*$AF$14))))</f>
        <v/>
      </c>
      <c r="R1377" s="79">
        <f>IF(P1377&lt;&gt;"", TODAY(), "")</f>
        <v/>
      </c>
      <c r="S1377" s="78">
        <f>IF(AND(K1377&lt;&gt;"", R1377&lt;&gt;""), R1377-K1377, "")</f>
        <v/>
      </c>
      <c r="T1377" s="78" t="n"/>
      <c r="U1377" s="92">
        <f>IF(ISBLANK(P1377),"",IF(C1377="Buy",Q1377-M1377+T1377, IF(C1377="Sell",M1377-Q1377-T1377, X)))</f>
        <v/>
      </c>
      <c r="V1377" s="81">
        <f>IF(ISBLANK(P1377),"",U1377/N1377)</f>
        <v/>
      </c>
      <c r="W1377" s="81">
        <f>IF(ISBLANK(P1377),"",IF(S1377=0,(365/0.5)*V1377,(365/S1377)*V1377))</f>
        <v/>
      </c>
      <c r="X1377" s="75" t="n"/>
      <c r="Y1377" s="77" t="n"/>
      <c r="Z1377" s="77" t="n"/>
      <c r="AA1377" s="75" t="n"/>
      <c r="AB1377" s="75" t="n"/>
      <c r="AC1377" s="6" t="n"/>
      <c r="AD1377" s="75" t="n"/>
      <c r="AE1377" s="75" t="n"/>
      <c r="AF1377" s="75" t="n"/>
    </row>
    <row r="1378" ht="15.75" customHeight="1" s="133">
      <c r="A1378" s="75" t="n"/>
      <c r="B1378" s="75" t="n"/>
      <c r="C1378" s="75" t="n"/>
      <c r="D1378" s="75" t="n"/>
      <c r="E1378" s="76" t="n"/>
      <c r="F1378" s="77" t="n"/>
      <c r="G1378" s="75" t="n"/>
      <c r="H1378" s="75">
        <f>IF(ISBLANK(E1378),"",IF(OR(D1378="Butterfly",D1378="Butterfly ",D1378="Iron Fly", D1378="Iron Fly "),LEN(E1378)-LEN(SUBSTITUTE(E1378,"/",""))+2,LEN(E1378)-LEN(SUBSTITUTE(E1378,"/",""))+1))</f>
        <v/>
      </c>
      <c r="I1378" s="78">
        <f>IF(ISBLANK(G1378),"",IF(D1378="Stock","0",Key!$A$3*H1378*G1378))</f>
        <v/>
      </c>
      <c r="J1378" s="78">
        <f>IF(ISBLANK(E1378),"",IF(ISNUMBER(SEARCH("/",E1378)), IF(LEN(E1378)-LEN(SUBSTITUTE(E1378,"/",""))=1,(RIGHT(E1378,LEN(E1378)-FIND("/",E1378)))-(LEFT(E1378,FIND("/",E1378)-1)),(MID(E1378, SEARCH("/",E1378) + 1, SEARCH("/",E1378, SEARCH("/",E1378)+1) - SEARCH("/",E1378) - 1))-(LEFT(E1378,FIND("/",E1378)-1))), "NA"))</f>
        <v/>
      </c>
      <c r="K1378" s="79">
        <f>IF(A1378&lt;&gt;"", IF(ISBLANK(L1378), TODAY(), K1378), "")</f>
        <v/>
      </c>
      <c r="L1378" s="78" t="n"/>
      <c r="M1378" s="78">
        <f>IF(ISBLANK(L1378),"",IF(D1378="Stock",IF(C1378="Buy",L1378*G1378,IF(C1378="Sell",(L1378*G1378)-I1378, X)),IF(C1378="Buy",(L1378*G1378*100)+I1378,IF(C1378="Sell",(L1378*G1378*100)-I1378, X))))</f>
        <v/>
      </c>
      <c r="N1378" s="78">
        <f>IF(ISBLANK(L1378),"",IF(AND(C1378="Sell",D1378="Stock"),M1378,IF(ISBLANK(L1378),"",IF(C1378="Buy",M1378, IF(AND(C1378="Sell",J1378="NA"),(E1378*G1378*100*0.1)+I1378, IF(C1378="Sell",(J1378-L1378)*(100*G1378)+I1378))))))</f>
        <v/>
      </c>
      <c r="O1378" s="75" t="n"/>
      <c r="P1378" s="75" t="n"/>
      <c r="Q1378" s="75">
        <f>IF(ISBLANK(P1378),"",IF(D1378="Stock",P1378*G1378,IF(P1378=0,"0",G1378*P1378*100-(G1378*$AF$14))))</f>
        <v/>
      </c>
      <c r="R1378" s="79">
        <f>IF(P1378&lt;&gt;"", TODAY(), "")</f>
        <v/>
      </c>
      <c r="S1378" s="78">
        <f>IF(AND(K1378&lt;&gt;"", R1378&lt;&gt;""), R1378-K1378, "")</f>
        <v/>
      </c>
      <c r="T1378" s="78" t="n"/>
      <c r="U1378" s="92">
        <f>IF(ISBLANK(P1378),"",IF(C1378="Buy",Q1378-M1378+T1378, IF(C1378="Sell",M1378-Q1378-T1378, X)))</f>
        <v/>
      </c>
      <c r="V1378" s="81">
        <f>IF(ISBLANK(P1378),"",U1378/N1378)</f>
        <v/>
      </c>
      <c r="W1378" s="81">
        <f>IF(ISBLANK(P1378),"",IF(S1378=0,(365/0.5)*V1378,(365/S1378)*V1378))</f>
        <v/>
      </c>
      <c r="X1378" s="75" t="n"/>
      <c r="Y1378" s="77" t="n"/>
      <c r="Z1378" s="77" t="n"/>
      <c r="AA1378" s="75" t="n"/>
      <c r="AB1378" s="75" t="n"/>
      <c r="AC1378" s="6" t="n"/>
      <c r="AD1378" s="75" t="n"/>
      <c r="AE1378" s="75" t="n"/>
      <c r="AF1378" s="75" t="n"/>
    </row>
    <row r="1379" ht="15.75" customHeight="1" s="133">
      <c r="A1379" s="75" t="n"/>
      <c r="B1379" s="75" t="n"/>
      <c r="C1379" s="75" t="n"/>
      <c r="D1379" s="75" t="n"/>
      <c r="E1379" s="76" t="n"/>
      <c r="F1379" s="77" t="n"/>
      <c r="G1379" s="75" t="n"/>
      <c r="H1379" s="75">
        <f>IF(ISBLANK(E1379),"",IF(OR(D1379="Butterfly",D1379="Butterfly ",D1379="Iron Fly", D1379="Iron Fly "),LEN(E1379)-LEN(SUBSTITUTE(E1379,"/",""))+2,LEN(E1379)-LEN(SUBSTITUTE(E1379,"/",""))+1))</f>
        <v/>
      </c>
      <c r="I1379" s="78">
        <f>IF(ISBLANK(G1379),"",IF(D1379="Stock","0",Key!$A$3*H1379*G1379))</f>
        <v/>
      </c>
      <c r="J1379" s="78">
        <f>IF(ISBLANK(E1379),"",IF(ISNUMBER(SEARCH("/",E1379)), IF(LEN(E1379)-LEN(SUBSTITUTE(E1379,"/",""))=1,(RIGHT(E1379,LEN(E1379)-FIND("/",E1379)))-(LEFT(E1379,FIND("/",E1379)-1)),(MID(E1379, SEARCH("/",E1379) + 1, SEARCH("/",E1379, SEARCH("/",E1379)+1) - SEARCH("/",E1379) - 1))-(LEFT(E1379,FIND("/",E1379)-1))), "NA"))</f>
        <v/>
      </c>
      <c r="K1379" s="79">
        <f>IF(A1379&lt;&gt;"", IF(ISBLANK(L1379), TODAY(), K1379), "")</f>
        <v/>
      </c>
      <c r="L1379" s="78" t="n"/>
      <c r="M1379" s="78">
        <f>IF(ISBLANK(L1379),"",IF(D1379="Stock",IF(C1379="Buy",L1379*G1379,IF(C1379="Sell",(L1379*G1379)-I1379, X)),IF(C1379="Buy",(L1379*G1379*100)+I1379,IF(C1379="Sell",(L1379*G1379*100)-I1379, X))))</f>
        <v/>
      </c>
      <c r="N1379" s="78">
        <f>IF(ISBLANK(L1379),"",IF(AND(C1379="Sell",D1379="Stock"),M1379,IF(ISBLANK(L1379),"",IF(C1379="Buy",M1379, IF(AND(C1379="Sell",J1379="NA"),(E1379*G1379*100*0.1)+I1379, IF(C1379="Sell",(J1379-L1379)*(100*G1379)+I1379))))))</f>
        <v/>
      </c>
      <c r="O1379" s="75" t="n"/>
      <c r="P1379" s="75" t="n"/>
      <c r="Q1379" s="75">
        <f>IF(ISBLANK(P1379),"",IF(D1379="Stock",P1379*G1379,IF(P1379=0,"0",G1379*P1379*100-(G1379*$AF$14))))</f>
        <v/>
      </c>
      <c r="R1379" s="79">
        <f>IF(P1379&lt;&gt;"", TODAY(), "")</f>
        <v/>
      </c>
      <c r="S1379" s="78">
        <f>IF(AND(K1379&lt;&gt;"", R1379&lt;&gt;""), R1379-K1379, "")</f>
        <v/>
      </c>
      <c r="T1379" s="78" t="n"/>
      <c r="U1379" s="92">
        <f>IF(ISBLANK(P1379),"",IF(C1379="Buy",Q1379-M1379+T1379, IF(C1379="Sell",M1379-Q1379-T1379, X)))</f>
        <v/>
      </c>
      <c r="V1379" s="81">
        <f>IF(ISBLANK(P1379),"",U1379/N1379)</f>
        <v/>
      </c>
      <c r="W1379" s="81">
        <f>IF(ISBLANK(P1379),"",IF(S1379=0,(365/0.5)*V1379,(365/S1379)*V1379))</f>
        <v/>
      </c>
      <c r="X1379" s="75" t="n"/>
      <c r="Y1379" s="77" t="n"/>
      <c r="Z1379" s="77" t="n"/>
      <c r="AA1379" s="75" t="n"/>
      <c r="AB1379" s="75" t="n"/>
      <c r="AC1379" s="6" t="n"/>
      <c r="AD1379" s="75" t="n"/>
      <c r="AE1379" s="75" t="n"/>
      <c r="AF1379" s="75" t="n"/>
    </row>
    <row r="1380" ht="15.75" customHeight="1" s="133">
      <c r="A1380" s="75" t="n"/>
      <c r="B1380" s="75" t="n"/>
      <c r="C1380" s="75" t="n"/>
      <c r="D1380" s="75" t="n"/>
      <c r="E1380" s="76" t="n"/>
      <c r="F1380" s="77" t="n"/>
      <c r="G1380" s="75" t="n"/>
      <c r="H1380" s="75">
        <f>IF(ISBLANK(E1380),"",IF(OR(D1380="Butterfly",D1380="Butterfly ",D1380="Iron Fly", D1380="Iron Fly "),LEN(E1380)-LEN(SUBSTITUTE(E1380,"/",""))+2,LEN(E1380)-LEN(SUBSTITUTE(E1380,"/",""))+1))</f>
        <v/>
      </c>
      <c r="I1380" s="78">
        <f>IF(ISBLANK(G1380),"",IF(D1380="Stock","0",Key!$A$3*H1380*G1380))</f>
        <v/>
      </c>
      <c r="J1380" s="78">
        <f>IF(ISBLANK(E1380),"",IF(ISNUMBER(SEARCH("/",E1380)), IF(LEN(E1380)-LEN(SUBSTITUTE(E1380,"/",""))=1,(RIGHT(E1380,LEN(E1380)-FIND("/",E1380)))-(LEFT(E1380,FIND("/",E1380)-1)),(MID(E1380, SEARCH("/",E1380) + 1, SEARCH("/",E1380, SEARCH("/",E1380)+1) - SEARCH("/",E1380) - 1))-(LEFT(E1380,FIND("/",E1380)-1))), "NA"))</f>
        <v/>
      </c>
      <c r="K1380" s="79">
        <f>IF(A1380&lt;&gt;"", IF(ISBLANK(L1380), TODAY(), K1380), "")</f>
        <v/>
      </c>
      <c r="L1380" s="78" t="n"/>
      <c r="M1380" s="78">
        <f>IF(ISBLANK(L1380),"",IF(D1380="Stock",IF(C1380="Buy",L1380*G1380,IF(C1380="Sell",(L1380*G1380)-I1380, X)),IF(C1380="Buy",(L1380*G1380*100)+I1380,IF(C1380="Sell",(L1380*G1380*100)-I1380, X))))</f>
        <v/>
      </c>
      <c r="N1380" s="78">
        <f>IF(ISBLANK(L1380),"",IF(AND(C1380="Sell",D1380="Stock"),M1380,IF(ISBLANK(L1380),"",IF(C1380="Buy",M1380, IF(AND(C1380="Sell",J1380="NA"),(E1380*G1380*100*0.1)+I1380, IF(C1380="Sell",(J1380-L1380)*(100*G1380)+I1380))))))</f>
        <v/>
      </c>
      <c r="O1380" s="75" t="n"/>
      <c r="P1380" s="75" t="n"/>
      <c r="Q1380" s="75">
        <f>IF(ISBLANK(P1380),"",IF(D1380="Stock",P1380*G1380,IF(P1380=0,"0",G1380*P1380*100-(G1380*$AF$14))))</f>
        <v/>
      </c>
      <c r="R1380" s="79">
        <f>IF(P1380&lt;&gt;"", TODAY(), "")</f>
        <v/>
      </c>
      <c r="S1380" s="78">
        <f>IF(AND(K1380&lt;&gt;"", R1380&lt;&gt;""), R1380-K1380, "")</f>
        <v/>
      </c>
      <c r="T1380" s="78" t="n"/>
      <c r="U1380" s="92">
        <f>IF(ISBLANK(P1380),"",IF(C1380="Buy",Q1380-M1380+T1380, IF(C1380="Sell",M1380-Q1380-T1380, X)))</f>
        <v/>
      </c>
      <c r="V1380" s="81">
        <f>IF(ISBLANK(P1380),"",U1380/N1380)</f>
        <v/>
      </c>
      <c r="W1380" s="81">
        <f>IF(ISBLANK(P1380),"",IF(S1380=0,(365/0.5)*V1380,(365/S1380)*V1380))</f>
        <v/>
      </c>
      <c r="X1380" s="75" t="n"/>
      <c r="Y1380" s="77" t="n"/>
      <c r="Z1380" s="77" t="n"/>
      <c r="AA1380" s="75" t="n"/>
      <c r="AB1380" s="75" t="n"/>
      <c r="AC1380" s="6" t="n"/>
      <c r="AD1380" s="75" t="n"/>
      <c r="AE1380" s="75" t="n"/>
      <c r="AF1380" s="75" t="n"/>
    </row>
    <row r="1381" ht="15.75" customHeight="1" s="133">
      <c r="A1381" s="75" t="n"/>
      <c r="B1381" s="75" t="n"/>
      <c r="C1381" s="75" t="n"/>
      <c r="D1381" s="75" t="n"/>
      <c r="E1381" s="76" t="n"/>
      <c r="F1381" s="77" t="n"/>
      <c r="G1381" s="75" t="n"/>
      <c r="H1381" s="75">
        <f>IF(ISBLANK(E1381),"",IF(OR(D1381="Butterfly",D1381="Butterfly ",D1381="Iron Fly", D1381="Iron Fly "),LEN(E1381)-LEN(SUBSTITUTE(E1381,"/",""))+2,LEN(E1381)-LEN(SUBSTITUTE(E1381,"/",""))+1))</f>
        <v/>
      </c>
      <c r="I1381" s="78">
        <f>IF(ISBLANK(G1381),"",IF(D1381="Stock","0",Key!$A$3*H1381*G1381))</f>
        <v/>
      </c>
      <c r="J1381" s="78">
        <f>IF(ISBLANK(E1381),"",IF(ISNUMBER(SEARCH("/",E1381)), IF(LEN(E1381)-LEN(SUBSTITUTE(E1381,"/",""))=1,(RIGHT(E1381,LEN(E1381)-FIND("/",E1381)))-(LEFT(E1381,FIND("/",E1381)-1)),(MID(E1381, SEARCH("/",E1381) + 1, SEARCH("/",E1381, SEARCH("/",E1381)+1) - SEARCH("/",E1381) - 1))-(LEFT(E1381,FIND("/",E1381)-1))), "NA"))</f>
        <v/>
      </c>
      <c r="K1381" s="79">
        <f>IF(A1381&lt;&gt;"", IF(ISBLANK(L1381), TODAY(), K1381), "")</f>
        <v/>
      </c>
      <c r="L1381" s="78" t="n"/>
      <c r="M1381" s="78">
        <f>IF(ISBLANK(L1381),"",IF(D1381="Stock",IF(C1381="Buy",L1381*G1381,IF(C1381="Sell",(L1381*G1381)-I1381, X)),IF(C1381="Buy",(L1381*G1381*100)+I1381,IF(C1381="Sell",(L1381*G1381*100)-I1381, X))))</f>
        <v/>
      </c>
      <c r="N1381" s="78">
        <f>IF(ISBLANK(L1381),"",IF(AND(C1381="Sell",D1381="Stock"),M1381,IF(ISBLANK(L1381),"",IF(C1381="Buy",M1381, IF(AND(C1381="Sell",J1381="NA"),(E1381*G1381*100*0.1)+I1381, IF(C1381="Sell",(J1381-L1381)*(100*G1381)+I1381))))))</f>
        <v/>
      </c>
      <c r="O1381" s="75" t="n"/>
      <c r="P1381" s="75" t="n"/>
      <c r="Q1381" s="75">
        <f>IF(ISBLANK(P1381),"",IF(D1381="Stock",P1381*G1381,IF(P1381=0,"0",G1381*P1381*100-(G1381*$AF$14))))</f>
        <v/>
      </c>
      <c r="R1381" s="79">
        <f>IF(P1381&lt;&gt;"", TODAY(), "")</f>
        <v/>
      </c>
      <c r="S1381" s="78">
        <f>IF(AND(K1381&lt;&gt;"", R1381&lt;&gt;""), R1381-K1381, "")</f>
        <v/>
      </c>
      <c r="T1381" s="78" t="n"/>
      <c r="U1381" s="92">
        <f>IF(ISBLANK(P1381),"",IF(C1381="Buy",Q1381-M1381+T1381, IF(C1381="Sell",M1381-Q1381-T1381, X)))</f>
        <v/>
      </c>
      <c r="V1381" s="81">
        <f>IF(ISBLANK(P1381),"",U1381/N1381)</f>
        <v/>
      </c>
      <c r="W1381" s="81">
        <f>IF(ISBLANK(P1381),"",IF(S1381=0,(365/0.5)*V1381,(365/S1381)*V1381))</f>
        <v/>
      </c>
      <c r="X1381" s="75" t="n"/>
      <c r="Y1381" s="77" t="n"/>
      <c r="Z1381" s="77" t="n"/>
      <c r="AA1381" s="75" t="n"/>
      <c r="AB1381" s="75" t="n"/>
      <c r="AC1381" s="6" t="n"/>
      <c r="AD1381" s="75" t="n"/>
      <c r="AE1381" s="75" t="n"/>
      <c r="AF1381" s="75" t="n"/>
    </row>
    <row r="1382" ht="15.75" customHeight="1" s="133">
      <c r="A1382" s="75" t="n"/>
      <c r="B1382" s="75" t="n"/>
      <c r="C1382" s="75" t="n"/>
      <c r="D1382" s="75" t="n"/>
      <c r="E1382" s="76" t="n"/>
      <c r="F1382" s="77" t="n"/>
      <c r="G1382" s="75" t="n"/>
      <c r="H1382" s="75">
        <f>IF(ISBLANK(E1382),"",IF(OR(D1382="Butterfly",D1382="Butterfly ",D1382="Iron Fly", D1382="Iron Fly "),LEN(E1382)-LEN(SUBSTITUTE(E1382,"/",""))+2,LEN(E1382)-LEN(SUBSTITUTE(E1382,"/",""))+1))</f>
        <v/>
      </c>
      <c r="I1382" s="78">
        <f>IF(ISBLANK(G1382),"",IF(D1382="Stock","0",Key!$A$3*H1382*G1382))</f>
        <v/>
      </c>
      <c r="J1382" s="78">
        <f>IF(ISBLANK(E1382),"",IF(ISNUMBER(SEARCH("/",E1382)), IF(LEN(E1382)-LEN(SUBSTITUTE(E1382,"/",""))=1,(RIGHT(E1382,LEN(E1382)-FIND("/",E1382)))-(LEFT(E1382,FIND("/",E1382)-1)),(MID(E1382, SEARCH("/",E1382) + 1, SEARCH("/",E1382, SEARCH("/",E1382)+1) - SEARCH("/",E1382) - 1))-(LEFT(E1382,FIND("/",E1382)-1))), "NA"))</f>
        <v/>
      </c>
      <c r="K1382" s="79">
        <f>IF(A1382&lt;&gt;"", IF(ISBLANK(L1382), TODAY(), K1382), "")</f>
        <v/>
      </c>
      <c r="L1382" s="78" t="n"/>
      <c r="M1382" s="78">
        <f>IF(ISBLANK(L1382),"",IF(D1382="Stock",IF(C1382="Buy",L1382*G1382,IF(C1382="Sell",(L1382*G1382)-I1382, X)),IF(C1382="Buy",(L1382*G1382*100)+I1382,IF(C1382="Sell",(L1382*G1382*100)-I1382, X))))</f>
        <v/>
      </c>
      <c r="N1382" s="78">
        <f>IF(ISBLANK(L1382),"",IF(AND(C1382="Sell",D1382="Stock"),M1382,IF(ISBLANK(L1382),"",IF(C1382="Buy",M1382, IF(AND(C1382="Sell",J1382="NA"),(E1382*G1382*100*0.1)+I1382, IF(C1382="Sell",(J1382-L1382)*(100*G1382)+I1382))))))</f>
        <v/>
      </c>
      <c r="O1382" s="75" t="n"/>
      <c r="P1382" s="75" t="n"/>
      <c r="Q1382" s="75">
        <f>IF(ISBLANK(P1382),"",IF(D1382="Stock",P1382*G1382,IF(P1382=0,"0",G1382*P1382*100-(G1382*$AF$14))))</f>
        <v/>
      </c>
      <c r="R1382" s="79">
        <f>IF(P1382&lt;&gt;"", TODAY(), "")</f>
        <v/>
      </c>
      <c r="S1382" s="78">
        <f>IF(AND(K1382&lt;&gt;"", R1382&lt;&gt;""), R1382-K1382, "")</f>
        <v/>
      </c>
      <c r="T1382" s="78" t="n"/>
      <c r="U1382" s="92">
        <f>IF(ISBLANK(P1382),"",IF(C1382="Buy",Q1382-M1382+T1382, IF(C1382="Sell",M1382-Q1382-T1382, X)))</f>
        <v/>
      </c>
      <c r="V1382" s="81">
        <f>IF(ISBLANK(P1382),"",U1382/N1382)</f>
        <v/>
      </c>
      <c r="W1382" s="81">
        <f>IF(ISBLANK(P1382),"",IF(S1382=0,(365/0.5)*V1382,(365/S1382)*V1382))</f>
        <v/>
      </c>
      <c r="X1382" s="75" t="n"/>
      <c r="Y1382" s="77" t="n"/>
      <c r="Z1382" s="77" t="n"/>
      <c r="AA1382" s="75" t="n"/>
      <c r="AB1382" s="75" t="n"/>
      <c r="AC1382" s="6" t="n"/>
      <c r="AD1382" s="75" t="n"/>
      <c r="AE1382" s="75" t="n"/>
      <c r="AF1382" s="75" t="n"/>
    </row>
    <row r="1383" ht="15.75" customHeight="1" s="133">
      <c r="A1383" s="75" t="n"/>
      <c r="B1383" s="75" t="n"/>
      <c r="C1383" s="75" t="n"/>
      <c r="D1383" s="75" t="n"/>
      <c r="E1383" s="76" t="n"/>
      <c r="F1383" s="77" t="n"/>
      <c r="G1383" s="75" t="n"/>
      <c r="H1383" s="75">
        <f>IF(ISBLANK(E1383),"",IF(OR(D1383="Butterfly",D1383="Butterfly ",D1383="Iron Fly", D1383="Iron Fly "),LEN(E1383)-LEN(SUBSTITUTE(E1383,"/",""))+2,LEN(E1383)-LEN(SUBSTITUTE(E1383,"/",""))+1))</f>
        <v/>
      </c>
      <c r="I1383" s="78">
        <f>IF(ISBLANK(G1383),"",IF(D1383="Stock","0",Key!$A$3*H1383*G1383))</f>
        <v/>
      </c>
      <c r="J1383" s="78">
        <f>IF(ISBLANK(E1383),"",IF(ISNUMBER(SEARCH("/",E1383)), IF(LEN(E1383)-LEN(SUBSTITUTE(E1383,"/",""))=1,(RIGHT(E1383,LEN(E1383)-FIND("/",E1383)))-(LEFT(E1383,FIND("/",E1383)-1)),(MID(E1383, SEARCH("/",E1383) + 1, SEARCH("/",E1383, SEARCH("/",E1383)+1) - SEARCH("/",E1383) - 1))-(LEFT(E1383,FIND("/",E1383)-1))), "NA"))</f>
        <v/>
      </c>
      <c r="K1383" s="79">
        <f>IF(A1383&lt;&gt;"", IF(ISBLANK(L1383), TODAY(), K1383), "")</f>
        <v/>
      </c>
      <c r="L1383" s="78" t="n"/>
      <c r="M1383" s="78">
        <f>IF(ISBLANK(L1383),"",IF(D1383="Stock",IF(C1383="Buy",L1383*G1383,IF(C1383="Sell",(L1383*G1383)-I1383, X)),IF(C1383="Buy",(L1383*G1383*100)+I1383,IF(C1383="Sell",(L1383*G1383*100)-I1383, X))))</f>
        <v/>
      </c>
      <c r="N1383" s="78">
        <f>IF(ISBLANK(L1383),"",IF(AND(C1383="Sell",D1383="Stock"),M1383,IF(ISBLANK(L1383),"",IF(C1383="Buy",M1383, IF(AND(C1383="Sell",J1383="NA"),(E1383*G1383*100*0.1)+I1383, IF(C1383="Sell",(J1383-L1383)*(100*G1383)+I1383))))))</f>
        <v/>
      </c>
      <c r="O1383" s="75" t="n"/>
      <c r="P1383" s="75" t="n"/>
      <c r="Q1383" s="75">
        <f>IF(ISBLANK(P1383),"",IF(D1383="Stock",P1383*G1383,IF(P1383=0,"0",G1383*P1383*100-(G1383*$AF$14))))</f>
        <v/>
      </c>
      <c r="R1383" s="79">
        <f>IF(P1383&lt;&gt;"", TODAY(), "")</f>
        <v/>
      </c>
      <c r="S1383" s="78">
        <f>IF(AND(K1383&lt;&gt;"", R1383&lt;&gt;""), R1383-K1383, "")</f>
        <v/>
      </c>
      <c r="T1383" s="78" t="n"/>
      <c r="U1383" s="92">
        <f>IF(ISBLANK(P1383),"",IF(C1383="Buy",Q1383-M1383+T1383, IF(C1383="Sell",M1383-Q1383-T1383, X)))</f>
        <v/>
      </c>
      <c r="V1383" s="81">
        <f>IF(ISBLANK(P1383),"",U1383/N1383)</f>
        <v/>
      </c>
      <c r="W1383" s="81">
        <f>IF(ISBLANK(P1383),"",IF(S1383=0,(365/0.5)*V1383,(365/S1383)*V1383))</f>
        <v/>
      </c>
      <c r="X1383" s="75" t="n"/>
      <c r="Y1383" s="77" t="n"/>
      <c r="Z1383" s="77" t="n"/>
      <c r="AA1383" s="75" t="n"/>
      <c r="AB1383" s="75" t="n"/>
      <c r="AC1383" s="6" t="n"/>
      <c r="AD1383" s="75" t="n"/>
      <c r="AE1383" s="75" t="n"/>
      <c r="AF1383" s="75" t="n"/>
    </row>
    <row r="1384" ht="15.75" customHeight="1" s="133">
      <c r="A1384" s="75" t="n"/>
      <c r="B1384" s="75" t="n"/>
      <c r="C1384" s="75" t="n"/>
      <c r="D1384" s="75" t="n"/>
      <c r="E1384" s="76" t="n"/>
      <c r="F1384" s="77" t="n"/>
      <c r="G1384" s="75" t="n"/>
      <c r="H1384" s="75">
        <f>IF(ISBLANK(E1384),"",IF(OR(D1384="Butterfly",D1384="Butterfly ",D1384="Iron Fly", D1384="Iron Fly "),LEN(E1384)-LEN(SUBSTITUTE(E1384,"/",""))+2,LEN(E1384)-LEN(SUBSTITUTE(E1384,"/",""))+1))</f>
        <v/>
      </c>
      <c r="I1384" s="78">
        <f>IF(ISBLANK(G1384),"",IF(D1384="Stock","0",Key!$A$3*H1384*G1384))</f>
        <v/>
      </c>
      <c r="J1384" s="78">
        <f>IF(ISBLANK(E1384),"",IF(ISNUMBER(SEARCH("/",E1384)), IF(LEN(E1384)-LEN(SUBSTITUTE(E1384,"/",""))=1,(RIGHT(E1384,LEN(E1384)-FIND("/",E1384)))-(LEFT(E1384,FIND("/",E1384)-1)),(MID(E1384, SEARCH("/",E1384) + 1, SEARCH("/",E1384, SEARCH("/",E1384)+1) - SEARCH("/",E1384) - 1))-(LEFT(E1384,FIND("/",E1384)-1))), "NA"))</f>
        <v/>
      </c>
      <c r="K1384" s="79">
        <f>IF(A1384&lt;&gt;"", IF(ISBLANK(L1384), TODAY(), K1384), "")</f>
        <v/>
      </c>
      <c r="L1384" s="78" t="n"/>
      <c r="M1384" s="78">
        <f>IF(ISBLANK(L1384),"",IF(D1384="Stock",IF(C1384="Buy",L1384*G1384,IF(C1384="Sell",(L1384*G1384)-I1384, X)),IF(C1384="Buy",(L1384*G1384*100)+I1384,IF(C1384="Sell",(L1384*G1384*100)-I1384, X))))</f>
        <v/>
      </c>
      <c r="N1384" s="78">
        <f>IF(ISBLANK(L1384),"",IF(AND(C1384="Sell",D1384="Stock"),M1384,IF(ISBLANK(L1384),"",IF(C1384="Buy",M1384, IF(AND(C1384="Sell",J1384="NA"),(E1384*G1384*100*0.1)+I1384, IF(C1384="Sell",(J1384-L1384)*(100*G1384)+I1384))))))</f>
        <v/>
      </c>
      <c r="O1384" s="75" t="n"/>
      <c r="P1384" s="75" t="n"/>
      <c r="Q1384" s="75">
        <f>IF(ISBLANK(P1384),"",IF(D1384="Stock",P1384*G1384,IF(P1384=0,"0",G1384*P1384*100-(G1384*$AF$14))))</f>
        <v/>
      </c>
      <c r="R1384" s="79">
        <f>IF(P1384&lt;&gt;"", TODAY(), "")</f>
        <v/>
      </c>
      <c r="S1384" s="78">
        <f>IF(AND(K1384&lt;&gt;"", R1384&lt;&gt;""), R1384-K1384, "")</f>
        <v/>
      </c>
      <c r="T1384" s="78" t="n"/>
      <c r="U1384" s="92">
        <f>IF(ISBLANK(P1384),"",IF(C1384="Buy",Q1384-M1384+T1384, IF(C1384="Sell",M1384-Q1384-T1384, X)))</f>
        <v/>
      </c>
      <c r="V1384" s="81">
        <f>IF(ISBLANK(P1384),"",U1384/N1384)</f>
        <v/>
      </c>
      <c r="W1384" s="81">
        <f>IF(ISBLANK(P1384),"",IF(S1384=0,(365/0.5)*V1384,(365/S1384)*V1384))</f>
        <v/>
      </c>
      <c r="X1384" s="75" t="n"/>
      <c r="Y1384" s="77" t="n"/>
      <c r="Z1384" s="77" t="n"/>
      <c r="AA1384" s="75" t="n"/>
      <c r="AB1384" s="75" t="n"/>
      <c r="AC1384" s="6" t="n"/>
      <c r="AD1384" s="75" t="n"/>
      <c r="AE1384" s="75" t="n"/>
      <c r="AF1384" s="75" t="n"/>
    </row>
    <row r="1385" ht="15.75" customHeight="1" s="133">
      <c r="A1385" s="75" t="n"/>
      <c r="B1385" s="75" t="n"/>
      <c r="C1385" s="75" t="n"/>
      <c r="D1385" s="75" t="n"/>
      <c r="E1385" s="76" t="n"/>
      <c r="F1385" s="77" t="n"/>
      <c r="G1385" s="75" t="n"/>
      <c r="H1385" s="75">
        <f>IF(ISBLANK(E1385),"",IF(OR(D1385="Butterfly",D1385="Butterfly ",D1385="Iron Fly", D1385="Iron Fly "),LEN(E1385)-LEN(SUBSTITUTE(E1385,"/",""))+2,LEN(E1385)-LEN(SUBSTITUTE(E1385,"/",""))+1))</f>
        <v/>
      </c>
      <c r="I1385" s="78">
        <f>IF(ISBLANK(G1385),"",IF(D1385="Stock","0",Key!$A$3*H1385*G1385))</f>
        <v/>
      </c>
      <c r="J1385" s="78">
        <f>IF(ISBLANK(E1385),"",IF(ISNUMBER(SEARCH("/",E1385)), IF(LEN(E1385)-LEN(SUBSTITUTE(E1385,"/",""))=1,(RIGHT(E1385,LEN(E1385)-FIND("/",E1385)))-(LEFT(E1385,FIND("/",E1385)-1)),(MID(E1385, SEARCH("/",E1385) + 1, SEARCH("/",E1385, SEARCH("/",E1385)+1) - SEARCH("/",E1385) - 1))-(LEFT(E1385,FIND("/",E1385)-1))), "NA"))</f>
        <v/>
      </c>
      <c r="K1385" s="79">
        <f>IF(A1385&lt;&gt;"", IF(ISBLANK(L1385), TODAY(), K1385), "")</f>
        <v/>
      </c>
      <c r="L1385" s="78" t="n"/>
      <c r="M1385" s="78">
        <f>IF(ISBLANK(L1385),"",IF(D1385="Stock",IF(C1385="Buy",L1385*G1385,IF(C1385="Sell",(L1385*G1385)-I1385, X)),IF(C1385="Buy",(L1385*G1385*100)+I1385,IF(C1385="Sell",(L1385*G1385*100)-I1385, X))))</f>
        <v/>
      </c>
      <c r="N1385" s="78">
        <f>IF(ISBLANK(L1385),"",IF(AND(C1385="Sell",D1385="Stock"),M1385,IF(ISBLANK(L1385),"",IF(C1385="Buy",M1385, IF(AND(C1385="Sell",J1385="NA"),(E1385*G1385*100*0.1)+I1385, IF(C1385="Sell",(J1385-L1385)*(100*G1385)+I1385))))))</f>
        <v/>
      </c>
      <c r="O1385" s="75" t="n"/>
      <c r="P1385" s="75" t="n"/>
      <c r="Q1385" s="75">
        <f>IF(ISBLANK(P1385),"",IF(D1385="Stock",P1385*G1385,IF(P1385=0,"0",G1385*P1385*100-(G1385*$AF$14))))</f>
        <v/>
      </c>
      <c r="R1385" s="79">
        <f>IF(P1385&lt;&gt;"", TODAY(), "")</f>
        <v/>
      </c>
      <c r="S1385" s="78">
        <f>IF(AND(K1385&lt;&gt;"", R1385&lt;&gt;""), R1385-K1385, "")</f>
        <v/>
      </c>
      <c r="T1385" s="78" t="n"/>
      <c r="U1385" s="92">
        <f>IF(ISBLANK(P1385),"",IF(C1385="Buy",Q1385-M1385+T1385, IF(C1385="Sell",M1385-Q1385-T1385, X)))</f>
        <v/>
      </c>
      <c r="V1385" s="81">
        <f>IF(ISBLANK(P1385),"",U1385/N1385)</f>
        <v/>
      </c>
      <c r="W1385" s="81">
        <f>IF(ISBLANK(P1385),"",IF(S1385=0,(365/0.5)*V1385,(365/S1385)*V1385))</f>
        <v/>
      </c>
      <c r="X1385" s="75" t="n"/>
      <c r="Y1385" s="77" t="n"/>
      <c r="Z1385" s="77" t="n"/>
      <c r="AA1385" s="75" t="n"/>
      <c r="AB1385" s="75" t="n"/>
      <c r="AC1385" s="6" t="n"/>
      <c r="AD1385" s="75" t="n"/>
      <c r="AE1385" s="75" t="n"/>
      <c r="AF1385" s="75" t="n"/>
    </row>
    <row r="1386" ht="15.75" customHeight="1" s="133">
      <c r="A1386" s="75" t="n"/>
      <c r="B1386" s="75" t="n"/>
      <c r="C1386" s="75" t="n"/>
      <c r="D1386" s="75" t="n"/>
      <c r="E1386" s="76" t="n"/>
      <c r="F1386" s="77" t="n"/>
      <c r="G1386" s="75" t="n"/>
      <c r="H1386" s="75">
        <f>IF(ISBLANK(E1386),"",IF(OR(D1386="Butterfly",D1386="Butterfly ",D1386="Iron Fly", D1386="Iron Fly "),LEN(E1386)-LEN(SUBSTITUTE(E1386,"/",""))+2,LEN(E1386)-LEN(SUBSTITUTE(E1386,"/",""))+1))</f>
        <v/>
      </c>
      <c r="I1386" s="78">
        <f>IF(ISBLANK(G1386),"",IF(D1386="Stock","0",Key!$A$3*H1386*G1386))</f>
        <v/>
      </c>
      <c r="J1386" s="78">
        <f>IF(ISBLANK(E1386),"",IF(ISNUMBER(SEARCH("/",E1386)), IF(LEN(E1386)-LEN(SUBSTITUTE(E1386,"/",""))=1,(RIGHT(E1386,LEN(E1386)-FIND("/",E1386)))-(LEFT(E1386,FIND("/",E1386)-1)),(MID(E1386, SEARCH("/",E1386) + 1, SEARCH("/",E1386, SEARCH("/",E1386)+1) - SEARCH("/",E1386) - 1))-(LEFT(E1386,FIND("/",E1386)-1))), "NA"))</f>
        <v/>
      </c>
      <c r="K1386" s="79">
        <f>IF(A1386&lt;&gt;"", IF(ISBLANK(L1386), TODAY(), K1386), "")</f>
        <v/>
      </c>
      <c r="L1386" s="78" t="n"/>
      <c r="M1386" s="78">
        <f>IF(ISBLANK(L1386),"",IF(D1386="Stock",IF(C1386="Buy",L1386*G1386,IF(C1386="Sell",(L1386*G1386)-I1386, X)),IF(C1386="Buy",(L1386*G1386*100)+I1386,IF(C1386="Sell",(L1386*G1386*100)-I1386, X))))</f>
        <v/>
      </c>
      <c r="N1386" s="78">
        <f>IF(ISBLANK(L1386),"",IF(AND(C1386="Sell",D1386="Stock"),M1386,IF(ISBLANK(L1386),"",IF(C1386="Buy",M1386, IF(AND(C1386="Sell",J1386="NA"),(E1386*G1386*100*0.1)+I1386, IF(C1386="Sell",(J1386-L1386)*(100*G1386)+I1386))))))</f>
        <v/>
      </c>
      <c r="O1386" s="75" t="n"/>
      <c r="P1386" s="75" t="n"/>
      <c r="Q1386" s="75">
        <f>IF(ISBLANK(P1386),"",IF(D1386="Stock",P1386*G1386,IF(P1386=0,"0",G1386*P1386*100-(G1386*$AF$14))))</f>
        <v/>
      </c>
      <c r="R1386" s="79">
        <f>IF(P1386&lt;&gt;"", TODAY(), "")</f>
        <v/>
      </c>
      <c r="S1386" s="78">
        <f>IF(AND(K1386&lt;&gt;"", R1386&lt;&gt;""), R1386-K1386, "")</f>
        <v/>
      </c>
      <c r="T1386" s="78" t="n"/>
      <c r="U1386" s="92">
        <f>IF(ISBLANK(P1386),"",IF(C1386="Buy",Q1386-M1386+T1386, IF(C1386="Sell",M1386-Q1386-T1386, X)))</f>
        <v/>
      </c>
      <c r="V1386" s="81">
        <f>IF(ISBLANK(P1386),"",U1386/N1386)</f>
        <v/>
      </c>
      <c r="W1386" s="81">
        <f>IF(ISBLANK(P1386),"",IF(S1386=0,(365/0.5)*V1386,(365/S1386)*V1386))</f>
        <v/>
      </c>
      <c r="X1386" s="75" t="n"/>
      <c r="Y1386" s="77" t="n"/>
      <c r="Z1386" s="77" t="n"/>
      <c r="AA1386" s="75" t="n"/>
      <c r="AB1386" s="75" t="n"/>
      <c r="AC1386" s="6" t="n"/>
      <c r="AD1386" s="75" t="n"/>
      <c r="AE1386" s="75" t="n"/>
      <c r="AF1386" s="75" t="n"/>
    </row>
    <row r="1387" ht="15.75" customHeight="1" s="133">
      <c r="A1387" s="75" t="n"/>
      <c r="B1387" s="75" t="n"/>
      <c r="C1387" s="75" t="n"/>
      <c r="D1387" s="75" t="n"/>
      <c r="E1387" s="76" t="n"/>
      <c r="F1387" s="77" t="n"/>
      <c r="G1387" s="75" t="n"/>
      <c r="H1387" s="75">
        <f>IF(ISBLANK(E1387),"",IF(OR(D1387="Butterfly",D1387="Butterfly ",D1387="Iron Fly", D1387="Iron Fly "),LEN(E1387)-LEN(SUBSTITUTE(E1387,"/",""))+2,LEN(E1387)-LEN(SUBSTITUTE(E1387,"/",""))+1))</f>
        <v/>
      </c>
      <c r="I1387" s="78">
        <f>IF(ISBLANK(G1387),"",IF(D1387="Stock","0",Key!$A$3*H1387*G1387))</f>
        <v/>
      </c>
      <c r="J1387" s="78">
        <f>IF(ISBLANK(E1387),"",IF(ISNUMBER(SEARCH("/",E1387)), IF(LEN(E1387)-LEN(SUBSTITUTE(E1387,"/",""))=1,(RIGHT(E1387,LEN(E1387)-FIND("/",E1387)))-(LEFT(E1387,FIND("/",E1387)-1)),(MID(E1387, SEARCH("/",E1387) + 1, SEARCH("/",E1387, SEARCH("/",E1387)+1) - SEARCH("/",E1387) - 1))-(LEFT(E1387,FIND("/",E1387)-1))), "NA"))</f>
        <v/>
      </c>
      <c r="K1387" s="79">
        <f>IF(A1387&lt;&gt;"", IF(ISBLANK(L1387), TODAY(), K1387), "")</f>
        <v/>
      </c>
      <c r="L1387" s="78" t="n"/>
      <c r="M1387" s="78">
        <f>IF(ISBLANK(L1387),"",IF(D1387="Stock",IF(C1387="Buy",L1387*G1387,IF(C1387="Sell",(L1387*G1387)-I1387, X)),IF(C1387="Buy",(L1387*G1387*100)+I1387,IF(C1387="Sell",(L1387*G1387*100)-I1387, X))))</f>
        <v/>
      </c>
      <c r="N1387" s="78">
        <f>IF(ISBLANK(L1387),"",IF(AND(C1387="Sell",D1387="Stock"),M1387,IF(ISBLANK(L1387),"",IF(C1387="Buy",M1387, IF(AND(C1387="Sell",J1387="NA"),(E1387*G1387*100*0.1)+I1387, IF(C1387="Sell",(J1387-L1387)*(100*G1387)+I1387))))))</f>
        <v/>
      </c>
      <c r="O1387" s="75" t="n"/>
      <c r="P1387" s="75" t="n"/>
      <c r="Q1387" s="75">
        <f>IF(ISBLANK(P1387),"",IF(D1387="Stock",P1387*G1387,IF(P1387=0,"0",G1387*P1387*100-(G1387*$AF$14))))</f>
        <v/>
      </c>
      <c r="R1387" s="79">
        <f>IF(P1387&lt;&gt;"", TODAY(), "")</f>
        <v/>
      </c>
      <c r="S1387" s="78">
        <f>IF(AND(K1387&lt;&gt;"", R1387&lt;&gt;""), R1387-K1387, "")</f>
        <v/>
      </c>
      <c r="T1387" s="78" t="n"/>
      <c r="U1387" s="92">
        <f>IF(ISBLANK(P1387),"",IF(C1387="Buy",Q1387-M1387+T1387, IF(C1387="Sell",M1387-Q1387-T1387, X)))</f>
        <v/>
      </c>
      <c r="V1387" s="81">
        <f>IF(ISBLANK(P1387),"",U1387/N1387)</f>
        <v/>
      </c>
      <c r="W1387" s="81">
        <f>IF(ISBLANK(P1387),"",IF(S1387=0,(365/0.5)*V1387,(365/S1387)*V1387))</f>
        <v/>
      </c>
      <c r="X1387" s="75" t="n"/>
      <c r="Y1387" s="77" t="n"/>
      <c r="Z1387" s="77" t="n"/>
      <c r="AA1387" s="75" t="n"/>
      <c r="AB1387" s="75" t="n"/>
      <c r="AC1387" s="6" t="n"/>
      <c r="AD1387" s="75" t="n"/>
      <c r="AE1387" s="75" t="n"/>
      <c r="AF1387" s="75" t="n"/>
    </row>
    <row r="1388" ht="15.75" customHeight="1" s="133">
      <c r="A1388" s="75" t="n"/>
      <c r="B1388" s="75" t="n"/>
      <c r="C1388" s="75" t="n"/>
      <c r="D1388" s="75" t="n"/>
      <c r="E1388" s="76" t="n"/>
      <c r="F1388" s="77" t="n"/>
      <c r="G1388" s="75" t="n"/>
      <c r="H1388" s="75">
        <f>IF(ISBLANK(E1388),"",IF(OR(D1388="Butterfly",D1388="Butterfly ",D1388="Iron Fly", D1388="Iron Fly "),LEN(E1388)-LEN(SUBSTITUTE(E1388,"/",""))+2,LEN(E1388)-LEN(SUBSTITUTE(E1388,"/",""))+1))</f>
        <v/>
      </c>
      <c r="I1388" s="78">
        <f>IF(ISBLANK(G1388),"",IF(D1388="Stock","0",Key!$A$3*H1388*G1388))</f>
        <v/>
      </c>
      <c r="J1388" s="78">
        <f>IF(ISBLANK(E1388),"",IF(ISNUMBER(SEARCH("/",E1388)), IF(LEN(E1388)-LEN(SUBSTITUTE(E1388,"/",""))=1,(RIGHT(E1388,LEN(E1388)-FIND("/",E1388)))-(LEFT(E1388,FIND("/",E1388)-1)),(MID(E1388, SEARCH("/",E1388) + 1, SEARCH("/",E1388, SEARCH("/",E1388)+1) - SEARCH("/",E1388) - 1))-(LEFT(E1388,FIND("/",E1388)-1))), "NA"))</f>
        <v/>
      </c>
      <c r="K1388" s="79">
        <f>IF(A1388&lt;&gt;"", IF(ISBLANK(L1388), TODAY(), K1388), "")</f>
        <v/>
      </c>
      <c r="L1388" s="78" t="n"/>
      <c r="M1388" s="78">
        <f>IF(ISBLANK(L1388),"",IF(D1388="Stock",IF(C1388="Buy",L1388*G1388,IF(C1388="Sell",(L1388*G1388)-I1388, X)),IF(C1388="Buy",(L1388*G1388*100)+I1388,IF(C1388="Sell",(L1388*G1388*100)-I1388, X))))</f>
        <v/>
      </c>
      <c r="N1388" s="78">
        <f>IF(ISBLANK(L1388),"",IF(AND(C1388="Sell",D1388="Stock"),M1388,IF(ISBLANK(L1388),"",IF(C1388="Buy",M1388, IF(AND(C1388="Sell",J1388="NA"),(E1388*G1388*100*0.1)+I1388, IF(C1388="Sell",(J1388-L1388)*(100*G1388)+I1388))))))</f>
        <v/>
      </c>
      <c r="O1388" s="75" t="n"/>
      <c r="P1388" s="75" t="n"/>
      <c r="Q1388" s="75">
        <f>IF(ISBLANK(P1388),"",IF(D1388="Stock",P1388*G1388,IF(P1388=0,"0",G1388*P1388*100-(G1388*$AF$14))))</f>
        <v/>
      </c>
      <c r="R1388" s="79">
        <f>IF(P1388&lt;&gt;"", TODAY(), "")</f>
        <v/>
      </c>
      <c r="S1388" s="78">
        <f>IF(AND(K1388&lt;&gt;"", R1388&lt;&gt;""), R1388-K1388, "")</f>
        <v/>
      </c>
      <c r="T1388" s="78" t="n"/>
      <c r="U1388" s="92">
        <f>IF(ISBLANK(P1388),"",IF(C1388="Buy",Q1388-M1388+T1388, IF(C1388="Sell",M1388-Q1388-T1388, X)))</f>
        <v/>
      </c>
      <c r="V1388" s="81">
        <f>IF(ISBLANK(P1388),"",U1388/N1388)</f>
        <v/>
      </c>
      <c r="W1388" s="81">
        <f>IF(ISBLANK(P1388),"",IF(S1388=0,(365/0.5)*V1388,(365/S1388)*V1388))</f>
        <v/>
      </c>
      <c r="X1388" s="75" t="n"/>
      <c r="Y1388" s="77" t="n"/>
      <c r="Z1388" s="77" t="n"/>
      <c r="AA1388" s="75" t="n"/>
      <c r="AB1388" s="75" t="n"/>
      <c r="AC1388" s="6" t="n"/>
      <c r="AD1388" s="75" t="n"/>
      <c r="AE1388" s="75" t="n"/>
      <c r="AF1388" s="75" t="n"/>
    </row>
    <row r="1389" ht="15.75" customHeight="1" s="133">
      <c r="A1389" s="75" t="n"/>
      <c r="B1389" s="75" t="n"/>
      <c r="C1389" s="75" t="n"/>
      <c r="D1389" s="75" t="n"/>
      <c r="E1389" s="76" t="n"/>
      <c r="F1389" s="77" t="n"/>
      <c r="G1389" s="75" t="n"/>
      <c r="H1389" s="75">
        <f>IF(ISBLANK(E1389),"",IF(OR(D1389="Butterfly",D1389="Butterfly ",D1389="Iron Fly", D1389="Iron Fly "),LEN(E1389)-LEN(SUBSTITUTE(E1389,"/",""))+2,LEN(E1389)-LEN(SUBSTITUTE(E1389,"/",""))+1))</f>
        <v/>
      </c>
      <c r="I1389" s="78">
        <f>IF(ISBLANK(G1389),"",IF(D1389="Stock","0",Key!$A$3*H1389*G1389))</f>
        <v/>
      </c>
      <c r="J1389" s="78">
        <f>IF(ISBLANK(E1389),"",IF(ISNUMBER(SEARCH("/",E1389)), IF(LEN(E1389)-LEN(SUBSTITUTE(E1389,"/",""))=1,(RIGHT(E1389,LEN(E1389)-FIND("/",E1389)))-(LEFT(E1389,FIND("/",E1389)-1)),(MID(E1389, SEARCH("/",E1389) + 1, SEARCH("/",E1389, SEARCH("/",E1389)+1) - SEARCH("/",E1389) - 1))-(LEFT(E1389,FIND("/",E1389)-1))), "NA"))</f>
        <v/>
      </c>
      <c r="K1389" s="79">
        <f>IF(A1389&lt;&gt;"", IF(ISBLANK(L1389), TODAY(), K1389), "")</f>
        <v/>
      </c>
      <c r="L1389" s="78" t="n"/>
      <c r="M1389" s="78">
        <f>IF(ISBLANK(L1389),"",IF(D1389="Stock",IF(C1389="Buy",L1389*G1389,IF(C1389="Sell",(L1389*G1389)-I1389, X)),IF(C1389="Buy",(L1389*G1389*100)+I1389,IF(C1389="Sell",(L1389*G1389*100)-I1389, X))))</f>
        <v/>
      </c>
      <c r="N1389" s="78">
        <f>IF(ISBLANK(L1389),"",IF(AND(C1389="Sell",D1389="Stock"),M1389,IF(ISBLANK(L1389),"",IF(C1389="Buy",M1389, IF(AND(C1389="Sell",J1389="NA"),(E1389*G1389*100*0.1)+I1389, IF(C1389="Sell",(J1389-L1389)*(100*G1389)+I1389))))))</f>
        <v/>
      </c>
      <c r="O1389" s="75" t="n"/>
      <c r="P1389" s="75" t="n"/>
      <c r="Q1389" s="75">
        <f>IF(ISBLANK(P1389),"",IF(D1389="Stock",P1389*G1389,IF(P1389=0,"0",G1389*P1389*100-(G1389*$AF$14))))</f>
        <v/>
      </c>
      <c r="R1389" s="79">
        <f>IF(P1389&lt;&gt;"", TODAY(), "")</f>
        <v/>
      </c>
      <c r="S1389" s="78">
        <f>IF(AND(K1389&lt;&gt;"", R1389&lt;&gt;""), R1389-K1389, "")</f>
        <v/>
      </c>
      <c r="T1389" s="78" t="n"/>
      <c r="U1389" s="92">
        <f>IF(ISBLANK(P1389),"",IF(C1389="Buy",Q1389-M1389+T1389, IF(C1389="Sell",M1389-Q1389-T1389, X)))</f>
        <v/>
      </c>
      <c r="V1389" s="81">
        <f>IF(ISBLANK(P1389),"",U1389/N1389)</f>
        <v/>
      </c>
      <c r="W1389" s="81">
        <f>IF(ISBLANK(P1389),"",IF(S1389=0,(365/0.5)*V1389,(365/S1389)*V1389))</f>
        <v/>
      </c>
      <c r="X1389" s="75" t="n"/>
      <c r="Y1389" s="77" t="n"/>
      <c r="Z1389" s="77" t="n"/>
      <c r="AA1389" s="75" t="n"/>
      <c r="AB1389" s="75" t="n"/>
      <c r="AC1389" s="6" t="n"/>
      <c r="AD1389" s="75" t="n"/>
      <c r="AE1389" s="75" t="n"/>
      <c r="AF1389" s="75" t="n"/>
    </row>
    <row r="1390" ht="15.75" customHeight="1" s="133">
      <c r="A1390" s="75" t="n"/>
      <c r="B1390" s="75" t="n"/>
      <c r="C1390" s="75" t="n"/>
      <c r="D1390" s="75" t="n"/>
      <c r="E1390" s="76" t="n"/>
      <c r="F1390" s="77" t="n"/>
      <c r="G1390" s="75" t="n"/>
      <c r="H1390" s="75">
        <f>IF(ISBLANK(E1390),"",IF(OR(D1390="Butterfly",D1390="Butterfly ",D1390="Iron Fly", D1390="Iron Fly "),LEN(E1390)-LEN(SUBSTITUTE(E1390,"/",""))+2,LEN(E1390)-LEN(SUBSTITUTE(E1390,"/",""))+1))</f>
        <v/>
      </c>
      <c r="I1390" s="78">
        <f>IF(ISBLANK(G1390),"",IF(D1390="Stock","0",Key!$A$3*H1390*G1390))</f>
        <v/>
      </c>
      <c r="J1390" s="78">
        <f>IF(ISBLANK(E1390),"",IF(ISNUMBER(SEARCH("/",E1390)), IF(LEN(E1390)-LEN(SUBSTITUTE(E1390,"/",""))=1,(RIGHT(E1390,LEN(E1390)-FIND("/",E1390)))-(LEFT(E1390,FIND("/",E1390)-1)),(MID(E1390, SEARCH("/",E1390) + 1, SEARCH("/",E1390, SEARCH("/",E1390)+1) - SEARCH("/",E1390) - 1))-(LEFT(E1390,FIND("/",E1390)-1))), "NA"))</f>
        <v/>
      </c>
      <c r="K1390" s="79">
        <f>IF(A1390&lt;&gt;"", IF(ISBLANK(L1390), TODAY(), K1390), "")</f>
        <v/>
      </c>
      <c r="L1390" s="78" t="n"/>
      <c r="M1390" s="78">
        <f>IF(ISBLANK(L1390),"",IF(D1390="Stock",IF(C1390="Buy",L1390*G1390,IF(C1390="Sell",(L1390*G1390)-I1390, X)),IF(C1390="Buy",(L1390*G1390*100)+I1390,IF(C1390="Sell",(L1390*G1390*100)-I1390, X))))</f>
        <v/>
      </c>
      <c r="N1390" s="78">
        <f>IF(ISBLANK(L1390),"",IF(AND(C1390="Sell",D1390="Stock"),M1390,IF(ISBLANK(L1390),"",IF(C1390="Buy",M1390, IF(AND(C1390="Sell",J1390="NA"),(E1390*G1390*100*0.1)+I1390, IF(C1390="Sell",(J1390-L1390)*(100*G1390)+I1390))))))</f>
        <v/>
      </c>
      <c r="O1390" s="75" t="n"/>
      <c r="P1390" s="75" t="n"/>
      <c r="Q1390" s="75">
        <f>IF(ISBLANK(P1390),"",IF(D1390="Stock",P1390*G1390,IF(P1390=0,"0",G1390*P1390*100-(G1390*$AF$14))))</f>
        <v/>
      </c>
      <c r="R1390" s="79">
        <f>IF(P1390&lt;&gt;"", TODAY(), "")</f>
        <v/>
      </c>
      <c r="S1390" s="78">
        <f>IF(AND(K1390&lt;&gt;"", R1390&lt;&gt;""), R1390-K1390, "")</f>
        <v/>
      </c>
      <c r="T1390" s="78" t="n"/>
      <c r="U1390" s="92">
        <f>IF(ISBLANK(P1390),"",IF(C1390="Buy",Q1390-M1390+T1390, IF(C1390="Sell",M1390-Q1390-T1390, X)))</f>
        <v/>
      </c>
      <c r="V1390" s="81">
        <f>IF(ISBLANK(P1390),"",U1390/N1390)</f>
        <v/>
      </c>
      <c r="W1390" s="81">
        <f>IF(ISBLANK(P1390),"",IF(S1390=0,(365/0.5)*V1390,(365/S1390)*V1390))</f>
        <v/>
      </c>
      <c r="X1390" s="75" t="n"/>
      <c r="Y1390" s="77" t="n"/>
      <c r="Z1390" s="77" t="n"/>
      <c r="AA1390" s="75" t="n"/>
      <c r="AB1390" s="75" t="n"/>
      <c r="AC1390" s="6" t="n"/>
      <c r="AD1390" s="75" t="n"/>
      <c r="AE1390" s="75" t="n"/>
      <c r="AF1390" s="75" t="n"/>
    </row>
    <row r="1391" ht="15.75" customHeight="1" s="133">
      <c r="A1391" s="75" t="n"/>
      <c r="B1391" s="75" t="n"/>
      <c r="C1391" s="75" t="n"/>
      <c r="D1391" s="75" t="n"/>
      <c r="E1391" s="76" t="n"/>
      <c r="F1391" s="77" t="n"/>
      <c r="G1391" s="75" t="n"/>
      <c r="H1391" s="75">
        <f>IF(ISBLANK(E1391),"",IF(OR(D1391="Butterfly",D1391="Butterfly ",D1391="Iron Fly", D1391="Iron Fly "),LEN(E1391)-LEN(SUBSTITUTE(E1391,"/",""))+2,LEN(E1391)-LEN(SUBSTITUTE(E1391,"/",""))+1))</f>
        <v/>
      </c>
      <c r="I1391" s="78">
        <f>IF(ISBLANK(G1391),"",IF(D1391="Stock","0",Key!$A$3*H1391*G1391))</f>
        <v/>
      </c>
      <c r="J1391" s="78">
        <f>IF(ISBLANK(E1391),"",IF(ISNUMBER(SEARCH("/",E1391)), IF(LEN(E1391)-LEN(SUBSTITUTE(E1391,"/",""))=1,(RIGHT(E1391,LEN(E1391)-FIND("/",E1391)))-(LEFT(E1391,FIND("/",E1391)-1)),(MID(E1391, SEARCH("/",E1391) + 1, SEARCH("/",E1391, SEARCH("/",E1391)+1) - SEARCH("/",E1391) - 1))-(LEFT(E1391,FIND("/",E1391)-1))), "NA"))</f>
        <v/>
      </c>
      <c r="K1391" s="79">
        <f>IF(A1391&lt;&gt;"", IF(ISBLANK(L1391), TODAY(), K1391), "")</f>
        <v/>
      </c>
      <c r="L1391" s="78" t="n"/>
      <c r="M1391" s="78">
        <f>IF(ISBLANK(L1391),"",IF(D1391="Stock",IF(C1391="Buy",L1391*G1391,IF(C1391="Sell",(L1391*G1391)-I1391, X)),IF(C1391="Buy",(L1391*G1391*100)+I1391,IF(C1391="Sell",(L1391*G1391*100)-I1391, X))))</f>
        <v/>
      </c>
      <c r="N1391" s="78">
        <f>IF(ISBLANK(L1391),"",IF(AND(C1391="Sell",D1391="Stock"),M1391,IF(ISBLANK(L1391),"",IF(C1391="Buy",M1391, IF(AND(C1391="Sell",J1391="NA"),(E1391*G1391*100*0.1)+I1391, IF(C1391="Sell",(J1391-L1391)*(100*G1391)+I1391))))))</f>
        <v/>
      </c>
      <c r="O1391" s="75" t="n"/>
      <c r="P1391" s="75" t="n"/>
      <c r="Q1391" s="75">
        <f>IF(ISBLANK(P1391),"",IF(D1391="Stock",P1391*G1391,IF(P1391=0,"0",G1391*P1391*100-(G1391*$AF$14))))</f>
        <v/>
      </c>
      <c r="R1391" s="79">
        <f>IF(P1391&lt;&gt;"", TODAY(), "")</f>
        <v/>
      </c>
      <c r="S1391" s="78">
        <f>IF(AND(K1391&lt;&gt;"", R1391&lt;&gt;""), R1391-K1391, "")</f>
        <v/>
      </c>
      <c r="T1391" s="78" t="n"/>
      <c r="U1391" s="92">
        <f>IF(ISBLANK(P1391),"",IF(C1391="Buy",Q1391-M1391+T1391, IF(C1391="Sell",M1391-Q1391-T1391, X)))</f>
        <v/>
      </c>
      <c r="V1391" s="81">
        <f>IF(ISBLANK(P1391),"",U1391/N1391)</f>
        <v/>
      </c>
      <c r="W1391" s="81">
        <f>IF(ISBLANK(P1391),"",IF(S1391=0,(365/0.5)*V1391,(365/S1391)*V1391))</f>
        <v/>
      </c>
      <c r="X1391" s="75" t="n"/>
      <c r="Y1391" s="77" t="n"/>
      <c r="Z1391" s="77" t="n"/>
      <c r="AA1391" s="75" t="n"/>
      <c r="AB1391" s="75" t="n"/>
      <c r="AC1391" s="6" t="n"/>
      <c r="AD1391" s="75" t="n"/>
      <c r="AE1391" s="75" t="n"/>
      <c r="AF1391" s="75" t="n"/>
    </row>
    <row r="1392" ht="15.75" customHeight="1" s="133">
      <c r="A1392" s="75" t="n"/>
      <c r="B1392" s="75" t="n"/>
      <c r="C1392" s="75" t="n"/>
      <c r="D1392" s="75" t="n"/>
      <c r="E1392" s="76" t="n"/>
      <c r="F1392" s="77" t="n"/>
      <c r="G1392" s="75" t="n"/>
      <c r="H1392" s="75">
        <f>IF(ISBLANK(E1392),"",IF(OR(D1392="Butterfly",D1392="Butterfly ",D1392="Iron Fly", D1392="Iron Fly "),LEN(E1392)-LEN(SUBSTITUTE(E1392,"/",""))+2,LEN(E1392)-LEN(SUBSTITUTE(E1392,"/",""))+1))</f>
        <v/>
      </c>
      <c r="I1392" s="78">
        <f>IF(ISBLANK(G1392),"",IF(D1392="Stock","0",Key!$A$3*H1392*G1392))</f>
        <v/>
      </c>
      <c r="J1392" s="78">
        <f>IF(ISBLANK(E1392),"",IF(ISNUMBER(SEARCH("/",E1392)), IF(LEN(E1392)-LEN(SUBSTITUTE(E1392,"/",""))=1,(RIGHT(E1392,LEN(E1392)-FIND("/",E1392)))-(LEFT(E1392,FIND("/",E1392)-1)),(MID(E1392, SEARCH("/",E1392) + 1, SEARCH("/",E1392, SEARCH("/",E1392)+1) - SEARCH("/",E1392) - 1))-(LEFT(E1392,FIND("/",E1392)-1))), "NA"))</f>
        <v/>
      </c>
      <c r="K1392" s="79">
        <f>IF(A1392&lt;&gt;"", IF(ISBLANK(L1392), TODAY(), K1392), "")</f>
        <v/>
      </c>
      <c r="L1392" s="78" t="n"/>
      <c r="M1392" s="78">
        <f>IF(ISBLANK(L1392),"",IF(D1392="Stock",IF(C1392="Buy",L1392*G1392,IF(C1392="Sell",(L1392*G1392)-I1392, X)),IF(C1392="Buy",(L1392*G1392*100)+I1392,IF(C1392="Sell",(L1392*G1392*100)-I1392, X))))</f>
        <v/>
      </c>
      <c r="N1392" s="78">
        <f>IF(ISBLANK(L1392),"",IF(AND(C1392="Sell",D1392="Stock"),M1392,IF(ISBLANK(L1392),"",IF(C1392="Buy",M1392, IF(AND(C1392="Sell",J1392="NA"),(E1392*G1392*100*0.1)+I1392, IF(C1392="Sell",(J1392-L1392)*(100*G1392)+I1392))))))</f>
        <v/>
      </c>
      <c r="O1392" s="75" t="n"/>
      <c r="P1392" s="75" t="n"/>
      <c r="Q1392" s="75">
        <f>IF(ISBLANK(P1392),"",IF(D1392="Stock",P1392*G1392,IF(P1392=0,"0",G1392*P1392*100-(G1392*$AF$14))))</f>
        <v/>
      </c>
      <c r="R1392" s="79">
        <f>IF(P1392&lt;&gt;"", TODAY(), "")</f>
        <v/>
      </c>
      <c r="S1392" s="78">
        <f>IF(AND(K1392&lt;&gt;"", R1392&lt;&gt;""), R1392-K1392, "")</f>
        <v/>
      </c>
      <c r="T1392" s="78" t="n"/>
      <c r="U1392" s="92">
        <f>IF(ISBLANK(P1392),"",IF(C1392="Buy",Q1392-M1392+T1392, IF(C1392="Sell",M1392-Q1392-T1392, X)))</f>
        <v/>
      </c>
      <c r="V1392" s="81">
        <f>IF(ISBLANK(P1392),"",U1392/N1392)</f>
        <v/>
      </c>
      <c r="W1392" s="81">
        <f>IF(ISBLANK(P1392),"",IF(S1392=0,(365/0.5)*V1392,(365/S1392)*V1392))</f>
        <v/>
      </c>
      <c r="X1392" s="75" t="n"/>
      <c r="Y1392" s="77" t="n"/>
      <c r="Z1392" s="77" t="n"/>
      <c r="AA1392" s="75" t="n"/>
      <c r="AB1392" s="75" t="n"/>
      <c r="AC1392" s="6" t="n"/>
      <c r="AD1392" s="75" t="n"/>
      <c r="AE1392" s="75" t="n"/>
      <c r="AF1392" s="75" t="n"/>
    </row>
    <row r="1393" ht="15.75" customHeight="1" s="133">
      <c r="A1393" s="75" t="n"/>
      <c r="B1393" s="75" t="n"/>
      <c r="C1393" s="75" t="n"/>
      <c r="D1393" s="75" t="n"/>
      <c r="E1393" s="76" t="n"/>
      <c r="F1393" s="77" t="n"/>
      <c r="G1393" s="75" t="n"/>
      <c r="H1393" s="75">
        <f>IF(ISBLANK(E1393),"",IF(OR(D1393="Butterfly",D1393="Butterfly ",D1393="Iron Fly", D1393="Iron Fly "),LEN(E1393)-LEN(SUBSTITUTE(E1393,"/",""))+2,LEN(E1393)-LEN(SUBSTITUTE(E1393,"/",""))+1))</f>
        <v/>
      </c>
      <c r="I1393" s="78">
        <f>IF(ISBLANK(G1393),"",IF(D1393="Stock","0",Key!$A$3*H1393*G1393))</f>
        <v/>
      </c>
      <c r="J1393" s="78">
        <f>IF(ISBLANK(E1393),"",IF(ISNUMBER(SEARCH("/",E1393)), IF(LEN(E1393)-LEN(SUBSTITUTE(E1393,"/",""))=1,(RIGHT(E1393,LEN(E1393)-FIND("/",E1393)))-(LEFT(E1393,FIND("/",E1393)-1)),(MID(E1393, SEARCH("/",E1393) + 1, SEARCH("/",E1393, SEARCH("/",E1393)+1) - SEARCH("/",E1393) - 1))-(LEFT(E1393,FIND("/",E1393)-1))), "NA"))</f>
        <v/>
      </c>
      <c r="K1393" s="79">
        <f>IF(A1393&lt;&gt;"", IF(ISBLANK(L1393), TODAY(), K1393), "")</f>
        <v/>
      </c>
      <c r="L1393" s="78" t="n"/>
      <c r="M1393" s="78">
        <f>IF(ISBLANK(L1393),"",IF(D1393="Stock",IF(C1393="Buy",L1393*G1393,IF(C1393="Sell",(L1393*G1393)-I1393, X)),IF(C1393="Buy",(L1393*G1393*100)+I1393,IF(C1393="Sell",(L1393*G1393*100)-I1393, X))))</f>
        <v/>
      </c>
      <c r="N1393" s="78">
        <f>IF(ISBLANK(L1393),"",IF(AND(C1393="Sell",D1393="Stock"),M1393,IF(ISBLANK(L1393),"",IF(C1393="Buy",M1393, IF(AND(C1393="Sell",J1393="NA"),(E1393*G1393*100*0.1)+I1393, IF(C1393="Sell",(J1393-L1393)*(100*G1393)+I1393))))))</f>
        <v/>
      </c>
      <c r="O1393" s="75" t="n"/>
      <c r="P1393" s="75" t="n"/>
      <c r="Q1393" s="75">
        <f>IF(ISBLANK(P1393),"",IF(D1393="Stock",P1393*G1393,IF(P1393=0,"0",G1393*P1393*100-(G1393*$AF$14))))</f>
        <v/>
      </c>
      <c r="R1393" s="79">
        <f>IF(P1393&lt;&gt;"", TODAY(), "")</f>
        <v/>
      </c>
      <c r="S1393" s="78">
        <f>IF(AND(K1393&lt;&gt;"", R1393&lt;&gt;""), R1393-K1393, "")</f>
        <v/>
      </c>
      <c r="T1393" s="78" t="n"/>
      <c r="U1393" s="92">
        <f>IF(ISBLANK(P1393),"",IF(C1393="Buy",Q1393-M1393+T1393, IF(C1393="Sell",M1393-Q1393-T1393, X)))</f>
        <v/>
      </c>
      <c r="V1393" s="81">
        <f>IF(ISBLANK(P1393),"",U1393/N1393)</f>
        <v/>
      </c>
      <c r="W1393" s="81">
        <f>IF(ISBLANK(P1393),"",IF(S1393=0,(365/0.5)*V1393,(365/S1393)*V1393))</f>
        <v/>
      </c>
      <c r="X1393" s="75" t="n"/>
      <c r="Y1393" s="77" t="n"/>
      <c r="Z1393" s="77" t="n"/>
      <c r="AA1393" s="75" t="n"/>
      <c r="AB1393" s="75" t="n"/>
      <c r="AC1393" s="6" t="n"/>
      <c r="AD1393" s="75" t="n"/>
      <c r="AE1393" s="75" t="n"/>
      <c r="AF1393" s="75" t="n"/>
    </row>
    <row r="1394" ht="15.75" customHeight="1" s="133">
      <c r="A1394" s="75" t="n"/>
      <c r="B1394" s="75" t="n"/>
      <c r="C1394" s="75" t="n"/>
      <c r="D1394" s="75" t="n"/>
      <c r="E1394" s="76" t="n"/>
      <c r="F1394" s="77" t="n"/>
      <c r="G1394" s="75" t="n"/>
      <c r="H1394" s="75">
        <f>IF(ISBLANK(E1394),"",IF(OR(D1394="Butterfly",D1394="Butterfly ",D1394="Iron Fly", D1394="Iron Fly "),LEN(E1394)-LEN(SUBSTITUTE(E1394,"/",""))+2,LEN(E1394)-LEN(SUBSTITUTE(E1394,"/",""))+1))</f>
        <v/>
      </c>
      <c r="I1394" s="78">
        <f>IF(ISBLANK(G1394),"",IF(D1394="Stock","0",Key!$A$3*H1394*G1394))</f>
        <v/>
      </c>
      <c r="J1394" s="78">
        <f>IF(ISBLANK(E1394),"",IF(ISNUMBER(SEARCH("/",E1394)), IF(LEN(E1394)-LEN(SUBSTITUTE(E1394,"/",""))=1,(RIGHT(E1394,LEN(E1394)-FIND("/",E1394)))-(LEFT(E1394,FIND("/",E1394)-1)),(MID(E1394, SEARCH("/",E1394) + 1, SEARCH("/",E1394, SEARCH("/",E1394)+1) - SEARCH("/",E1394) - 1))-(LEFT(E1394,FIND("/",E1394)-1))), "NA"))</f>
        <v/>
      </c>
      <c r="K1394" s="79">
        <f>IF(A1394&lt;&gt;"", IF(ISBLANK(L1394), TODAY(), K1394), "")</f>
        <v/>
      </c>
      <c r="L1394" s="78" t="n"/>
      <c r="M1394" s="78">
        <f>IF(ISBLANK(L1394),"",IF(D1394="Stock",IF(C1394="Buy",L1394*G1394,IF(C1394="Sell",(L1394*G1394)-I1394, X)),IF(C1394="Buy",(L1394*G1394*100)+I1394,IF(C1394="Sell",(L1394*G1394*100)-I1394, X))))</f>
        <v/>
      </c>
      <c r="N1394" s="78">
        <f>IF(ISBLANK(L1394),"",IF(AND(C1394="Sell",D1394="Stock"),M1394,IF(ISBLANK(L1394),"",IF(C1394="Buy",M1394, IF(AND(C1394="Sell",J1394="NA"),(E1394*G1394*100*0.1)+I1394, IF(C1394="Sell",(J1394-L1394)*(100*G1394)+I1394))))))</f>
        <v/>
      </c>
      <c r="O1394" s="75" t="n"/>
      <c r="P1394" s="75" t="n"/>
      <c r="Q1394" s="75">
        <f>IF(ISBLANK(P1394),"",IF(D1394="Stock",P1394*G1394,IF(P1394=0,"0",G1394*P1394*100-(G1394*$AF$14))))</f>
        <v/>
      </c>
      <c r="R1394" s="79">
        <f>IF(P1394&lt;&gt;"", TODAY(), "")</f>
        <v/>
      </c>
      <c r="S1394" s="78">
        <f>IF(AND(K1394&lt;&gt;"", R1394&lt;&gt;""), R1394-K1394, "")</f>
        <v/>
      </c>
      <c r="T1394" s="78" t="n"/>
      <c r="U1394" s="92">
        <f>IF(ISBLANK(P1394),"",IF(C1394="Buy",Q1394-M1394+T1394, IF(C1394="Sell",M1394-Q1394-T1394, X)))</f>
        <v/>
      </c>
      <c r="V1394" s="81">
        <f>IF(ISBLANK(P1394),"",U1394/N1394)</f>
        <v/>
      </c>
      <c r="W1394" s="81">
        <f>IF(ISBLANK(P1394),"",IF(S1394=0,(365/0.5)*V1394,(365/S1394)*V1394))</f>
        <v/>
      </c>
      <c r="X1394" s="75" t="n"/>
      <c r="Y1394" s="77" t="n"/>
      <c r="Z1394" s="77" t="n"/>
      <c r="AA1394" s="75" t="n"/>
      <c r="AB1394" s="75" t="n"/>
      <c r="AC1394" s="6" t="n"/>
      <c r="AD1394" s="75" t="n"/>
      <c r="AE1394" s="75" t="n"/>
      <c r="AF1394" s="75" t="n"/>
    </row>
    <row r="1395" ht="15.75" customHeight="1" s="133">
      <c r="A1395" s="75" t="n"/>
      <c r="B1395" s="75" t="n"/>
      <c r="C1395" s="75" t="n"/>
      <c r="D1395" s="75" t="n"/>
      <c r="E1395" s="76" t="n"/>
      <c r="F1395" s="77" t="n"/>
      <c r="G1395" s="75" t="n"/>
      <c r="H1395" s="75">
        <f>IF(ISBLANK(E1395),"",IF(OR(D1395="Butterfly",D1395="Butterfly ",D1395="Iron Fly", D1395="Iron Fly "),LEN(E1395)-LEN(SUBSTITUTE(E1395,"/",""))+2,LEN(E1395)-LEN(SUBSTITUTE(E1395,"/",""))+1))</f>
        <v/>
      </c>
      <c r="I1395" s="78">
        <f>IF(ISBLANK(G1395),"",IF(D1395="Stock","0",Key!$A$3*H1395*G1395))</f>
        <v/>
      </c>
      <c r="J1395" s="78">
        <f>IF(ISBLANK(E1395),"",IF(ISNUMBER(SEARCH("/",E1395)), IF(LEN(E1395)-LEN(SUBSTITUTE(E1395,"/",""))=1,(RIGHT(E1395,LEN(E1395)-FIND("/",E1395)))-(LEFT(E1395,FIND("/",E1395)-1)),(MID(E1395, SEARCH("/",E1395) + 1, SEARCH("/",E1395, SEARCH("/",E1395)+1) - SEARCH("/",E1395) - 1))-(LEFT(E1395,FIND("/",E1395)-1))), "NA"))</f>
        <v/>
      </c>
      <c r="K1395" s="79">
        <f>IF(A1395&lt;&gt;"", IF(ISBLANK(L1395), TODAY(), K1395), "")</f>
        <v/>
      </c>
      <c r="L1395" s="78" t="n"/>
      <c r="M1395" s="78">
        <f>IF(ISBLANK(L1395),"",IF(D1395="Stock",IF(C1395="Buy",L1395*G1395,IF(C1395="Sell",(L1395*G1395)-I1395, X)),IF(C1395="Buy",(L1395*G1395*100)+I1395,IF(C1395="Sell",(L1395*G1395*100)-I1395, X))))</f>
        <v/>
      </c>
      <c r="N1395" s="78">
        <f>IF(ISBLANK(L1395),"",IF(AND(C1395="Sell",D1395="Stock"),M1395,IF(ISBLANK(L1395),"",IF(C1395="Buy",M1395, IF(AND(C1395="Sell",J1395="NA"),(E1395*G1395*100*0.1)+I1395, IF(C1395="Sell",(J1395-L1395)*(100*G1395)+I1395))))))</f>
        <v/>
      </c>
      <c r="O1395" s="75" t="n"/>
      <c r="P1395" s="75" t="n"/>
      <c r="Q1395" s="75">
        <f>IF(ISBLANK(P1395),"",IF(D1395="Stock",P1395*G1395,IF(P1395=0,"0",G1395*P1395*100-(G1395*$AF$14))))</f>
        <v/>
      </c>
      <c r="R1395" s="79">
        <f>IF(P1395&lt;&gt;"", TODAY(), "")</f>
        <v/>
      </c>
      <c r="S1395" s="78">
        <f>IF(AND(K1395&lt;&gt;"", R1395&lt;&gt;""), R1395-K1395, "")</f>
        <v/>
      </c>
      <c r="T1395" s="78" t="n"/>
      <c r="U1395" s="92">
        <f>IF(ISBLANK(P1395),"",IF(C1395="Buy",Q1395-M1395+T1395, IF(C1395="Sell",M1395-Q1395-T1395, X)))</f>
        <v/>
      </c>
      <c r="V1395" s="81">
        <f>IF(ISBLANK(P1395),"",U1395/N1395)</f>
        <v/>
      </c>
      <c r="W1395" s="81">
        <f>IF(ISBLANK(P1395),"",IF(S1395=0,(365/0.5)*V1395,(365/S1395)*V1395))</f>
        <v/>
      </c>
      <c r="X1395" s="75" t="n"/>
      <c r="Y1395" s="77" t="n"/>
      <c r="Z1395" s="77" t="n"/>
      <c r="AA1395" s="75" t="n"/>
      <c r="AB1395" s="75" t="n"/>
      <c r="AC1395" s="6" t="n"/>
      <c r="AD1395" s="75" t="n"/>
      <c r="AE1395" s="75" t="n"/>
      <c r="AF1395" s="75" t="n"/>
    </row>
    <row r="1396" ht="15.75" customHeight="1" s="133">
      <c r="A1396" s="75" t="n"/>
      <c r="B1396" s="75" t="n"/>
      <c r="C1396" s="75" t="n"/>
      <c r="D1396" s="75" t="n"/>
      <c r="E1396" s="76" t="n"/>
      <c r="F1396" s="77" t="n"/>
      <c r="G1396" s="75" t="n"/>
      <c r="H1396" s="75">
        <f>IF(ISBLANK(E1396),"",IF(OR(D1396="Butterfly",D1396="Butterfly ",D1396="Iron Fly", D1396="Iron Fly "),LEN(E1396)-LEN(SUBSTITUTE(E1396,"/",""))+2,LEN(E1396)-LEN(SUBSTITUTE(E1396,"/",""))+1))</f>
        <v/>
      </c>
      <c r="I1396" s="78">
        <f>IF(ISBLANK(G1396),"",IF(D1396="Stock","0",Key!$A$3*H1396*G1396))</f>
        <v/>
      </c>
      <c r="J1396" s="78">
        <f>IF(ISBLANK(E1396),"",IF(ISNUMBER(SEARCH("/",E1396)), IF(LEN(E1396)-LEN(SUBSTITUTE(E1396,"/",""))=1,(RIGHT(E1396,LEN(E1396)-FIND("/",E1396)))-(LEFT(E1396,FIND("/",E1396)-1)),(MID(E1396, SEARCH("/",E1396) + 1, SEARCH("/",E1396, SEARCH("/",E1396)+1) - SEARCH("/",E1396) - 1))-(LEFT(E1396,FIND("/",E1396)-1))), "NA"))</f>
        <v/>
      </c>
      <c r="K1396" s="79">
        <f>IF(A1396&lt;&gt;"", IF(ISBLANK(L1396), TODAY(), K1396), "")</f>
        <v/>
      </c>
      <c r="L1396" s="78" t="n"/>
      <c r="M1396" s="78">
        <f>IF(ISBLANK(L1396),"",IF(D1396="Stock",IF(C1396="Buy",L1396*G1396,IF(C1396="Sell",(L1396*G1396)-I1396, X)),IF(C1396="Buy",(L1396*G1396*100)+I1396,IF(C1396="Sell",(L1396*G1396*100)-I1396, X))))</f>
        <v/>
      </c>
      <c r="N1396" s="78">
        <f>IF(ISBLANK(L1396),"",IF(AND(C1396="Sell",D1396="Stock"),M1396,IF(ISBLANK(L1396),"",IF(C1396="Buy",M1396, IF(AND(C1396="Sell",J1396="NA"),(E1396*G1396*100*0.1)+I1396, IF(C1396="Sell",(J1396-L1396)*(100*G1396)+I1396))))))</f>
        <v/>
      </c>
      <c r="O1396" s="75" t="n"/>
      <c r="P1396" s="75" t="n"/>
      <c r="Q1396" s="75">
        <f>IF(ISBLANK(P1396),"",IF(D1396="Stock",P1396*G1396,IF(P1396=0,"0",G1396*P1396*100-(G1396*$AF$14))))</f>
        <v/>
      </c>
      <c r="R1396" s="79">
        <f>IF(P1396&lt;&gt;"", TODAY(), "")</f>
        <v/>
      </c>
      <c r="S1396" s="78">
        <f>IF(AND(K1396&lt;&gt;"", R1396&lt;&gt;""), R1396-K1396, "")</f>
        <v/>
      </c>
      <c r="T1396" s="78" t="n"/>
      <c r="U1396" s="92">
        <f>IF(ISBLANK(P1396),"",IF(C1396="Buy",Q1396-M1396+T1396, IF(C1396="Sell",M1396-Q1396-T1396, X)))</f>
        <v/>
      </c>
      <c r="V1396" s="81">
        <f>IF(ISBLANK(P1396),"",U1396/N1396)</f>
        <v/>
      </c>
      <c r="W1396" s="81">
        <f>IF(ISBLANK(P1396),"",IF(S1396=0,(365/0.5)*V1396,(365/S1396)*V1396))</f>
        <v/>
      </c>
      <c r="X1396" s="75" t="n"/>
      <c r="Y1396" s="77" t="n"/>
      <c r="Z1396" s="77" t="n"/>
      <c r="AA1396" s="75" t="n"/>
      <c r="AB1396" s="75" t="n"/>
      <c r="AC1396" s="6" t="n"/>
      <c r="AD1396" s="75" t="n"/>
      <c r="AE1396" s="75" t="n"/>
      <c r="AF1396" s="75" t="n"/>
    </row>
    <row r="1397" ht="15.75" customHeight="1" s="133">
      <c r="A1397" s="75" t="n"/>
      <c r="B1397" s="75" t="n"/>
      <c r="C1397" s="75" t="n"/>
      <c r="D1397" s="75" t="n"/>
      <c r="E1397" s="76" t="n"/>
      <c r="F1397" s="77" t="n"/>
      <c r="G1397" s="75" t="n"/>
      <c r="H1397" s="75">
        <f>IF(ISBLANK(E1397),"",IF(OR(D1397="Butterfly",D1397="Butterfly ",D1397="Iron Fly", D1397="Iron Fly "),LEN(E1397)-LEN(SUBSTITUTE(E1397,"/",""))+2,LEN(E1397)-LEN(SUBSTITUTE(E1397,"/",""))+1))</f>
        <v/>
      </c>
      <c r="I1397" s="78">
        <f>IF(ISBLANK(G1397),"",IF(D1397="Stock","0",Key!$A$3*H1397*G1397))</f>
        <v/>
      </c>
      <c r="J1397" s="78">
        <f>IF(ISBLANK(E1397),"",IF(ISNUMBER(SEARCH("/",E1397)), IF(LEN(E1397)-LEN(SUBSTITUTE(E1397,"/",""))=1,(RIGHT(E1397,LEN(E1397)-FIND("/",E1397)))-(LEFT(E1397,FIND("/",E1397)-1)),(MID(E1397, SEARCH("/",E1397) + 1, SEARCH("/",E1397, SEARCH("/",E1397)+1) - SEARCH("/",E1397) - 1))-(LEFT(E1397,FIND("/",E1397)-1))), "NA"))</f>
        <v/>
      </c>
      <c r="K1397" s="79">
        <f>IF(A1397&lt;&gt;"", IF(ISBLANK(L1397), TODAY(), K1397), "")</f>
        <v/>
      </c>
      <c r="L1397" s="78" t="n"/>
      <c r="M1397" s="78">
        <f>IF(ISBLANK(L1397),"",IF(D1397="Stock",IF(C1397="Buy",L1397*G1397,IF(C1397="Sell",(L1397*G1397)-I1397, X)),IF(C1397="Buy",(L1397*G1397*100)+I1397,IF(C1397="Sell",(L1397*G1397*100)-I1397, X))))</f>
        <v/>
      </c>
      <c r="N1397" s="78">
        <f>IF(ISBLANK(L1397),"",IF(AND(C1397="Sell",D1397="Stock"),M1397,IF(ISBLANK(L1397),"",IF(C1397="Buy",M1397, IF(AND(C1397="Sell",J1397="NA"),(E1397*G1397*100*0.1)+I1397, IF(C1397="Sell",(J1397-L1397)*(100*G1397)+I1397))))))</f>
        <v/>
      </c>
      <c r="O1397" s="75" t="n"/>
      <c r="P1397" s="75" t="n"/>
      <c r="Q1397" s="75">
        <f>IF(ISBLANK(P1397),"",IF(D1397="Stock",P1397*G1397,IF(P1397=0,"0",G1397*P1397*100-(G1397*$AF$14))))</f>
        <v/>
      </c>
      <c r="R1397" s="79">
        <f>IF(P1397&lt;&gt;"", TODAY(), "")</f>
        <v/>
      </c>
      <c r="S1397" s="78">
        <f>IF(AND(K1397&lt;&gt;"", R1397&lt;&gt;""), R1397-K1397, "")</f>
        <v/>
      </c>
      <c r="T1397" s="78" t="n"/>
      <c r="U1397" s="92">
        <f>IF(ISBLANK(P1397),"",IF(C1397="Buy",Q1397-M1397+T1397, IF(C1397="Sell",M1397-Q1397-T1397, X)))</f>
        <v/>
      </c>
      <c r="V1397" s="81">
        <f>IF(ISBLANK(P1397),"",U1397/N1397)</f>
        <v/>
      </c>
      <c r="W1397" s="81">
        <f>IF(ISBLANK(P1397),"",IF(S1397=0,(365/0.5)*V1397,(365/S1397)*V1397))</f>
        <v/>
      </c>
      <c r="X1397" s="75" t="n"/>
      <c r="Y1397" s="77" t="n"/>
      <c r="Z1397" s="77" t="n"/>
      <c r="AA1397" s="75" t="n"/>
      <c r="AB1397" s="75" t="n"/>
      <c r="AC1397" s="6" t="n"/>
      <c r="AD1397" s="75" t="n"/>
      <c r="AE1397" s="75" t="n"/>
      <c r="AF1397" s="75" t="n"/>
    </row>
    <row r="1398" ht="15.75" customHeight="1" s="133">
      <c r="A1398" s="75" t="n"/>
      <c r="B1398" s="75" t="n"/>
      <c r="C1398" s="75" t="n"/>
      <c r="D1398" s="75" t="n"/>
      <c r="E1398" s="76" t="n"/>
      <c r="F1398" s="77" t="n"/>
      <c r="G1398" s="75" t="n"/>
      <c r="H1398" s="75">
        <f>IF(ISBLANK(E1398),"",IF(OR(D1398="Butterfly",D1398="Butterfly ",D1398="Iron Fly", D1398="Iron Fly "),LEN(E1398)-LEN(SUBSTITUTE(E1398,"/",""))+2,LEN(E1398)-LEN(SUBSTITUTE(E1398,"/",""))+1))</f>
        <v/>
      </c>
      <c r="I1398" s="78">
        <f>IF(ISBLANK(G1398),"",IF(D1398="Stock","0",Key!$A$3*H1398*G1398))</f>
        <v/>
      </c>
      <c r="J1398" s="78">
        <f>IF(ISBLANK(E1398),"",IF(ISNUMBER(SEARCH("/",E1398)), IF(LEN(E1398)-LEN(SUBSTITUTE(E1398,"/",""))=1,(RIGHT(E1398,LEN(E1398)-FIND("/",E1398)))-(LEFT(E1398,FIND("/",E1398)-1)),(MID(E1398, SEARCH("/",E1398) + 1, SEARCH("/",E1398, SEARCH("/",E1398)+1) - SEARCH("/",E1398) - 1))-(LEFT(E1398,FIND("/",E1398)-1))), "NA"))</f>
        <v/>
      </c>
      <c r="K1398" s="79">
        <f>IF(A1398&lt;&gt;"", IF(ISBLANK(L1398), TODAY(), K1398), "")</f>
        <v/>
      </c>
      <c r="L1398" s="78" t="n"/>
      <c r="M1398" s="78">
        <f>IF(ISBLANK(L1398),"",IF(D1398="Stock",IF(C1398="Buy",L1398*G1398,IF(C1398="Sell",(L1398*G1398)-I1398, X)),IF(C1398="Buy",(L1398*G1398*100)+I1398,IF(C1398="Sell",(L1398*G1398*100)-I1398, X))))</f>
        <v/>
      </c>
      <c r="N1398" s="78">
        <f>IF(ISBLANK(L1398),"",IF(AND(C1398="Sell",D1398="Stock"),M1398,IF(ISBLANK(L1398),"",IF(C1398="Buy",M1398, IF(AND(C1398="Sell",J1398="NA"),(E1398*G1398*100*0.1)+I1398, IF(C1398="Sell",(J1398-L1398)*(100*G1398)+I1398))))))</f>
        <v/>
      </c>
      <c r="O1398" s="75" t="n"/>
      <c r="P1398" s="75" t="n"/>
      <c r="Q1398" s="75">
        <f>IF(ISBLANK(P1398),"",IF(D1398="Stock",P1398*G1398,IF(P1398=0,"0",G1398*P1398*100-(G1398*$AF$14))))</f>
        <v/>
      </c>
      <c r="R1398" s="79">
        <f>IF(P1398&lt;&gt;"", TODAY(), "")</f>
        <v/>
      </c>
      <c r="S1398" s="78">
        <f>IF(AND(K1398&lt;&gt;"", R1398&lt;&gt;""), R1398-K1398, "")</f>
        <v/>
      </c>
      <c r="T1398" s="78" t="n"/>
      <c r="U1398" s="92">
        <f>IF(ISBLANK(P1398),"",IF(C1398="Buy",Q1398-M1398+T1398, IF(C1398="Sell",M1398-Q1398-T1398, X)))</f>
        <v/>
      </c>
      <c r="V1398" s="81">
        <f>IF(ISBLANK(P1398),"",U1398/N1398)</f>
        <v/>
      </c>
      <c r="W1398" s="81">
        <f>IF(ISBLANK(P1398),"",IF(S1398=0,(365/0.5)*V1398,(365/S1398)*V1398))</f>
        <v/>
      </c>
      <c r="X1398" s="75" t="n"/>
      <c r="Y1398" s="77" t="n"/>
      <c r="Z1398" s="77" t="n"/>
      <c r="AA1398" s="75" t="n"/>
      <c r="AB1398" s="75" t="n"/>
      <c r="AC1398" s="6" t="n"/>
      <c r="AD1398" s="75" t="n"/>
      <c r="AE1398" s="75" t="n"/>
      <c r="AF1398" s="75" t="n"/>
    </row>
    <row r="1399" ht="15.75" customHeight="1" s="133">
      <c r="A1399" s="75" t="n"/>
      <c r="B1399" s="75" t="n"/>
      <c r="C1399" s="75" t="n"/>
      <c r="D1399" s="75" t="n"/>
      <c r="E1399" s="76" t="n"/>
      <c r="F1399" s="77" t="n"/>
      <c r="G1399" s="75" t="n"/>
      <c r="H1399" s="75">
        <f>IF(ISBLANK(E1399),"",IF(OR(D1399="Butterfly",D1399="Butterfly ",D1399="Iron Fly", D1399="Iron Fly "),LEN(E1399)-LEN(SUBSTITUTE(E1399,"/",""))+2,LEN(E1399)-LEN(SUBSTITUTE(E1399,"/",""))+1))</f>
        <v/>
      </c>
      <c r="I1399" s="78">
        <f>IF(ISBLANK(G1399),"",IF(D1399="Stock","0",Key!$A$3*H1399*G1399))</f>
        <v/>
      </c>
      <c r="J1399" s="78">
        <f>IF(ISBLANK(E1399),"",IF(ISNUMBER(SEARCH("/",E1399)), IF(LEN(E1399)-LEN(SUBSTITUTE(E1399,"/",""))=1,(RIGHT(E1399,LEN(E1399)-FIND("/",E1399)))-(LEFT(E1399,FIND("/",E1399)-1)),(MID(E1399, SEARCH("/",E1399) + 1, SEARCH("/",E1399, SEARCH("/",E1399)+1) - SEARCH("/",E1399) - 1))-(LEFT(E1399,FIND("/",E1399)-1))), "NA"))</f>
        <v/>
      </c>
      <c r="K1399" s="79">
        <f>IF(A1399&lt;&gt;"", IF(ISBLANK(L1399), TODAY(), K1399), "")</f>
        <v/>
      </c>
      <c r="L1399" s="78" t="n"/>
      <c r="M1399" s="78">
        <f>IF(ISBLANK(L1399),"",IF(D1399="Stock",IF(C1399="Buy",L1399*G1399,IF(C1399="Sell",(L1399*G1399)-I1399, X)),IF(C1399="Buy",(L1399*G1399*100)+I1399,IF(C1399="Sell",(L1399*G1399*100)-I1399, X))))</f>
        <v/>
      </c>
      <c r="N1399" s="78">
        <f>IF(ISBLANK(L1399),"",IF(AND(C1399="Sell",D1399="Stock"),M1399,IF(ISBLANK(L1399),"",IF(C1399="Buy",M1399, IF(AND(C1399="Sell",J1399="NA"),(E1399*G1399*100*0.1)+I1399, IF(C1399="Sell",(J1399-L1399)*(100*G1399)+I1399))))))</f>
        <v/>
      </c>
      <c r="O1399" s="75" t="n"/>
      <c r="P1399" s="75" t="n"/>
      <c r="Q1399" s="75">
        <f>IF(ISBLANK(P1399),"",IF(D1399="Stock",P1399*G1399,IF(P1399=0,"0",G1399*P1399*100-(G1399*$AF$14))))</f>
        <v/>
      </c>
      <c r="R1399" s="79">
        <f>IF(P1399&lt;&gt;"", TODAY(), "")</f>
        <v/>
      </c>
      <c r="S1399" s="78">
        <f>IF(AND(K1399&lt;&gt;"", R1399&lt;&gt;""), R1399-K1399, "")</f>
        <v/>
      </c>
      <c r="T1399" s="78" t="n"/>
      <c r="U1399" s="92">
        <f>IF(ISBLANK(P1399),"",IF(C1399="Buy",Q1399-M1399+T1399, IF(C1399="Sell",M1399-Q1399-T1399, X)))</f>
        <v/>
      </c>
      <c r="V1399" s="81">
        <f>IF(ISBLANK(P1399),"",U1399/N1399)</f>
        <v/>
      </c>
      <c r="W1399" s="81">
        <f>IF(ISBLANK(P1399),"",IF(S1399=0,(365/0.5)*V1399,(365/S1399)*V1399))</f>
        <v/>
      </c>
      <c r="X1399" s="75" t="n"/>
      <c r="Y1399" s="77" t="n"/>
      <c r="Z1399" s="77" t="n"/>
      <c r="AA1399" s="75" t="n"/>
      <c r="AB1399" s="75" t="n"/>
      <c r="AC1399" s="6" t="n"/>
      <c r="AD1399" s="75" t="n"/>
      <c r="AE1399" s="75" t="n"/>
      <c r="AF1399" s="75" t="n"/>
    </row>
    <row r="1400" ht="15.75" customHeight="1" s="133">
      <c r="A1400" s="75" t="n"/>
      <c r="B1400" s="75" t="n"/>
      <c r="C1400" s="75" t="n"/>
      <c r="D1400" s="75" t="n"/>
      <c r="E1400" s="76" t="n"/>
      <c r="F1400" s="77" t="n"/>
      <c r="G1400" s="75" t="n"/>
      <c r="H1400" s="75">
        <f>IF(ISBLANK(E1400),"",IF(OR(D1400="Butterfly",D1400="Butterfly ",D1400="Iron Fly", D1400="Iron Fly "),LEN(E1400)-LEN(SUBSTITUTE(E1400,"/",""))+2,LEN(E1400)-LEN(SUBSTITUTE(E1400,"/",""))+1))</f>
        <v/>
      </c>
      <c r="I1400" s="78">
        <f>IF(ISBLANK(G1400),"",IF(D1400="Stock","0",Key!$A$3*H1400*G1400))</f>
        <v/>
      </c>
      <c r="J1400" s="78">
        <f>IF(ISBLANK(E1400),"",IF(ISNUMBER(SEARCH("/",E1400)), IF(LEN(E1400)-LEN(SUBSTITUTE(E1400,"/",""))=1,(RIGHT(E1400,LEN(E1400)-FIND("/",E1400)))-(LEFT(E1400,FIND("/",E1400)-1)),(MID(E1400, SEARCH("/",E1400) + 1, SEARCH("/",E1400, SEARCH("/",E1400)+1) - SEARCH("/",E1400) - 1))-(LEFT(E1400,FIND("/",E1400)-1))), "NA"))</f>
        <v/>
      </c>
      <c r="K1400" s="79">
        <f>IF(A1400&lt;&gt;"", IF(ISBLANK(L1400), TODAY(), K1400), "")</f>
        <v/>
      </c>
      <c r="L1400" s="78" t="n"/>
      <c r="M1400" s="78">
        <f>IF(ISBLANK(L1400),"",IF(D1400="Stock",IF(C1400="Buy",L1400*G1400,IF(C1400="Sell",(L1400*G1400)-I1400, X)),IF(C1400="Buy",(L1400*G1400*100)+I1400,IF(C1400="Sell",(L1400*G1400*100)-I1400, X))))</f>
        <v/>
      </c>
      <c r="N1400" s="78">
        <f>IF(ISBLANK(L1400),"",IF(AND(C1400="Sell",D1400="Stock"),M1400,IF(ISBLANK(L1400),"",IF(C1400="Buy",M1400, IF(AND(C1400="Sell",J1400="NA"),(E1400*G1400*100*0.1)+I1400, IF(C1400="Sell",(J1400-L1400)*(100*G1400)+I1400))))))</f>
        <v/>
      </c>
      <c r="O1400" s="75" t="n"/>
      <c r="P1400" s="75" t="n"/>
      <c r="Q1400" s="75">
        <f>IF(ISBLANK(P1400),"",IF(D1400="Stock",P1400*G1400,IF(P1400=0,"0",G1400*P1400*100-(G1400*$AF$14))))</f>
        <v/>
      </c>
      <c r="R1400" s="79">
        <f>IF(P1400&lt;&gt;"", TODAY(), "")</f>
        <v/>
      </c>
      <c r="S1400" s="78">
        <f>IF(AND(K1400&lt;&gt;"", R1400&lt;&gt;""), R1400-K1400, "")</f>
        <v/>
      </c>
      <c r="T1400" s="78" t="n"/>
      <c r="U1400" s="92">
        <f>IF(ISBLANK(P1400),"",IF(C1400="Buy",Q1400-M1400+T1400, IF(C1400="Sell",M1400-Q1400-T1400, X)))</f>
        <v/>
      </c>
      <c r="V1400" s="81">
        <f>IF(ISBLANK(P1400),"",U1400/N1400)</f>
        <v/>
      </c>
      <c r="W1400" s="81">
        <f>IF(ISBLANK(P1400),"",IF(S1400=0,(365/0.5)*V1400,(365/S1400)*V1400))</f>
        <v/>
      </c>
      <c r="X1400" s="75" t="n"/>
      <c r="Y1400" s="77" t="n"/>
      <c r="Z1400" s="77" t="n"/>
      <c r="AA1400" s="75" t="n"/>
      <c r="AB1400" s="75" t="n"/>
      <c r="AC1400" s="6" t="n"/>
      <c r="AD1400" s="75" t="n"/>
      <c r="AE1400" s="75" t="n"/>
      <c r="AF1400" s="75" t="n"/>
    </row>
    <row r="1401" ht="15.75" customHeight="1" s="133">
      <c r="A1401" s="75" t="n"/>
      <c r="B1401" s="75" t="n"/>
      <c r="C1401" s="75" t="n"/>
      <c r="D1401" s="75" t="n"/>
      <c r="E1401" s="76" t="n"/>
      <c r="F1401" s="77" t="n"/>
      <c r="G1401" s="75" t="n"/>
      <c r="H1401" s="75">
        <f>IF(ISBLANK(E1401),"",IF(OR(D1401="Butterfly",D1401="Butterfly ",D1401="Iron Fly", D1401="Iron Fly "),LEN(E1401)-LEN(SUBSTITUTE(E1401,"/",""))+2,LEN(E1401)-LEN(SUBSTITUTE(E1401,"/",""))+1))</f>
        <v/>
      </c>
      <c r="I1401" s="78">
        <f>IF(ISBLANK(G1401),"",IF(D1401="Stock","0",Key!$A$3*H1401*G1401))</f>
        <v/>
      </c>
      <c r="J1401" s="78">
        <f>IF(ISBLANK(E1401),"",IF(ISNUMBER(SEARCH("/",E1401)), IF(LEN(E1401)-LEN(SUBSTITUTE(E1401,"/",""))=1,(RIGHT(E1401,LEN(E1401)-FIND("/",E1401)))-(LEFT(E1401,FIND("/",E1401)-1)),(MID(E1401, SEARCH("/",E1401) + 1, SEARCH("/",E1401, SEARCH("/",E1401)+1) - SEARCH("/",E1401) - 1))-(LEFT(E1401,FIND("/",E1401)-1))), "NA"))</f>
        <v/>
      </c>
      <c r="K1401" s="79">
        <f>IF(A1401&lt;&gt;"", IF(ISBLANK(L1401), TODAY(), K1401), "")</f>
        <v/>
      </c>
      <c r="L1401" s="78" t="n"/>
      <c r="M1401" s="78">
        <f>IF(ISBLANK(L1401),"",IF(D1401="Stock",IF(C1401="Buy",L1401*G1401,IF(C1401="Sell",(L1401*G1401)-I1401, X)),IF(C1401="Buy",(L1401*G1401*100)+I1401,IF(C1401="Sell",(L1401*G1401*100)-I1401, X))))</f>
        <v/>
      </c>
      <c r="N1401" s="78">
        <f>IF(ISBLANK(L1401),"",IF(AND(C1401="Sell",D1401="Stock"),M1401,IF(ISBLANK(L1401),"",IF(C1401="Buy",M1401, IF(AND(C1401="Sell",J1401="NA"),(E1401*G1401*100*0.1)+I1401, IF(C1401="Sell",(J1401-L1401)*(100*G1401)+I1401))))))</f>
        <v/>
      </c>
      <c r="O1401" s="75" t="n"/>
      <c r="P1401" s="75" t="n"/>
      <c r="Q1401" s="75">
        <f>IF(ISBLANK(P1401),"",IF(D1401="Stock",P1401*G1401,IF(P1401=0,"0",G1401*P1401*100-(G1401*$AF$14))))</f>
        <v/>
      </c>
      <c r="R1401" s="79">
        <f>IF(P1401&lt;&gt;"", TODAY(), "")</f>
        <v/>
      </c>
      <c r="S1401" s="78">
        <f>IF(AND(K1401&lt;&gt;"", R1401&lt;&gt;""), R1401-K1401, "")</f>
        <v/>
      </c>
      <c r="T1401" s="78" t="n"/>
      <c r="U1401" s="92">
        <f>IF(ISBLANK(P1401),"",IF(C1401="Buy",Q1401-M1401+T1401, IF(C1401="Sell",M1401-Q1401-T1401, X)))</f>
        <v/>
      </c>
      <c r="V1401" s="81">
        <f>IF(ISBLANK(P1401),"",U1401/N1401)</f>
        <v/>
      </c>
      <c r="W1401" s="81">
        <f>IF(ISBLANK(P1401),"",IF(S1401=0,(365/0.5)*V1401,(365/S1401)*V1401))</f>
        <v/>
      </c>
      <c r="X1401" s="75" t="n"/>
      <c r="Y1401" s="77" t="n"/>
      <c r="Z1401" s="77" t="n"/>
      <c r="AA1401" s="75" t="n"/>
      <c r="AB1401" s="75" t="n"/>
      <c r="AC1401" s="6" t="n"/>
      <c r="AD1401" s="75" t="n"/>
      <c r="AE1401" s="75" t="n"/>
      <c r="AF1401" s="75" t="n"/>
    </row>
    <row r="1402" ht="15.75" customHeight="1" s="133">
      <c r="A1402" s="75" t="n"/>
      <c r="B1402" s="75" t="n"/>
      <c r="C1402" s="75" t="n"/>
      <c r="D1402" s="75" t="n"/>
      <c r="E1402" s="76" t="n"/>
      <c r="F1402" s="77" t="n"/>
      <c r="G1402" s="75" t="n"/>
      <c r="H1402" s="75">
        <f>IF(ISBLANK(E1402),"",IF(OR(D1402="Butterfly",D1402="Butterfly ",D1402="Iron Fly", D1402="Iron Fly "),LEN(E1402)-LEN(SUBSTITUTE(E1402,"/",""))+2,LEN(E1402)-LEN(SUBSTITUTE(E1402,"/",""))+1))</f>
        <v/>
      </c>
      <c r="I1402" s="78">
        <f>IF(ISBLANK(G1402),"",IF(D1402="Stock","0",Key!$A$3*H1402*G1402))</f>
        <v/>
      </c>
      <c r="J1402" s="78">
        <f>IF(ISBLANK(E1402),"",IF(ISNUMBER(SEARCH("/",E1402)), IF(LEN(E1402)-LEN(SUBSTITUTE(E1402,"/",""))=1,(RIGHT(E1402,LEN(E1402)-FIND("/",E1402)))-(LEFT(E1402,FIND("/",E1402)-1)),(MID(E1402, SEARCH("/",E1402) + 1, SEARCH("/",E1402, SEARCH("/",E1402)+1) - SEARCH("/",E1402) - 1))-(LEFT(E1402,FIND("/",E1402)-1))), "NA"))</f>
        <v/>
      </c>
      <c r="K1402" s="79">
        <f>IF(A1402&lt;&gt;"", IF(ISBLANK(L1402), TODAY(), K1402), "")</f>
        <v/>
      </c>
      <c r="L1402" s="78" t="n"/>
      <c r="M1402" s="78">
        <f>IF(ISBLANK(L1402),"",IF(D1402="Stock",IF(C1402="Buy",L1402*G1402,IF(C1402="Sell",(L1402*G1402)-I1402, X)),IF(C1402="Buy",(L1402*G1402*100)+I1402,IF(C1402="Sell",(L1402*G1402*100)-I1402, X))))</f>
        <v/>
      </c>
      <c r="N1402" s="78">
        <f>IF(ISBLANK(L1402),"",IF(AND(C1402="Sell",D1402="Stock"),M1402,IF(ISBLANK(L1402),"",IF(C1402="Buy",M1402, IF(AND(C1402="Sell",J1402="NA"),(E1402*G1402*100*0.1)+I1402, IF(C1402="Sell",(J1402-L1402)*(100*G1402)+I1402))))))</f>
        <v/>
      </c>
      <c r="O1402" s="75" t="n"/>
      <c r="P1402" s="75" t="n"/>
      <c r="Q1402" s="75">
        <f>IF(ISBLANK(P1402),"",IF(D1402="Stock",P1402*G1402,IF(P1402=0,"0",G1402*P1402*100-(G1402*$AF$14))))</f>
        <v/>
      </c>
      <c r="R1402" s="79">
        <f>IF(P1402&lt;&gt;"", TODAY(), "")</f>
        <v/>
      </c>
      <c r="S1402" s="78">
        <f>IF(AND(K1402&lt;&gt;"", R1402&lt;&gt;""), R1402-K1402, "")</f>
        <v/>
      </c>
      <c r="T1402" s="78" t="n"/>
      <c r="U1402" s="92">
        <f>IF(ISBLANK(P1402),"",IF(C1402="Buy",Q1402-M1402+T1402, IF(C1402="Sell",M1402-Q1402-T1402, X)))</f>
        <v/>
      </c>
      <c r="V1402" s="81">
        <f>IF(ISBLANK(P1402),"",U1402/N1402)</f>
        <v/>
      </c>
      <c r="W1402" s="81">
        <f>IF(ISBLANK(P1402),"",IF(S1402=0,(365/0.5)*V1402,(365/S1402)*V1402))</f>
        <v/>
      </c>
      <c r="X1402" s="75" t="n"/>
      <c r="Y1402" s="77" t="n"/>
      <c r="Z1402" s="77" t="n"/>
      <c r="AA1402" s="75" t="n"/>
      <c r="AB1402" s="75" t="n"/>
      <c r="AC1402" s="6" t="n"/>
      <c r="AD1402" s="75" t="n"/>
      <c r="AE1402" s="75" t="n"/>
      <c r="AF1402" s="75" t="n"/>
    </row>
    <row r="1403" ht="15.75" customHeight="1" s="133">
      <c r="A1403" s="75" t="n"/>
      <c r="B1403" s="75" t="n"/>
      <c r="C1403" s="75" t="n"/>
      <c r="D1403" s="75" t="n"/>
      <c r="E1403" s="76" t="n"/>
      <c r="F1403" s="77" t="n"/>
      <c r="G1403" s="75" t="n"/>
      <c r="H1403" s="75">
        <f>IF(ISBLANK(E1403),"",IF(OR(D1403="Butterfly",D1403="Butterfly ",D1403="Iron Fly", D1403="Iron Fly "),LEN(E1403)-LEN(SUBSTITUTE(E1403,"/",""))+2,LEN(E1403)-LEN(SUBSTITUTE(E1403,"/",""))+1))</f>
        <v/>
      </c>
      <c r="I1403" s="78">
        <f>IF(ISBLANK(G1403),"",IF(D1403="Stock","0",Key!$A$3*H1403*G1403))</f>
        <v/>
      </c>
      <c r="J1403" s="78">
        <f>IF(ISBLANK(E1403),"",IF(ISNUMBER(SEARCH("/",E1403)), IF(LEN(E1403)-LEN(SUBSTITUTE(E1403,"/",""))=1,(RIGHT(E1403,LEN(E1403)-FIND("/",E1403)))-(LEFT(E1403,FIND("/",E1403)-1)),(MID(E1403, SEARCH("/",E1403) + 1, SEARCH("/",E1403, SEARCH("/",E1403)+1) - SEARCH("/",E1403) - 1))-(LEFT(E1403,FIND("/",E1403)-1))), "NA"))</f>
        <v/>
      </c>
      <c r="K1403" s="79">
        <f>IF(A1403&lt;&gt;"", IF(ISBLANK(L1403), TODAY(), K1403), "")</f>
        <v/>
      </c>
      <c r="L1403" s="78" t="n"/>
      <c r="M1403" s="78">
        <f>IF(ISBLANK(L1403),"",IF(D1403="Stock",IF(C1403="Buy",L1403*G1403,IF(C1403="Sell",(L1403*G1403)-I1403, X)),IF(C1403="Buy",(L1403*G1403*100)+I1403,IF(C1403="Sell",(L1403*G1403*100)-I1403, X))))</f>
        <v/>
      </c>
      <c r="N1403" s="78">
        <f>IF(ISBLANK(L1403),"",IF(AND(C1403="Sell",D1403="Stock"),M1403,IF(ISBLANK(L1403),"",IF(C1403="Buy",M1403, IF(AND(C1403="Sell",J1403="NA"),(E1403*G1403*100*0.1)+I1403, IF(C1403="Sell",(J1403-L1403)*(100*G1403)+I1403))))))</f>
        <v/>
      </c>
      <c r="O1403" s="75" t="n"/>
      <c r="P1403" s="75" t="n"/>
      <c r="Q1403" s="75">
        <f>IF(ISBLANK(P1403),"",IF(D1403="Stock",P1403*G1403,IF(P1403=0,"0",G1403*P1403*100-(G1403*$AF$14))))</f>
        <v/>
      </c>
      <c r="R1403" s="79">
        <f>IF(P1403&lt;&gt;"", TODAY(), "")</f>
        <v/>
      </c>
      <c r="S1403" s="78">
        <f>IF(AND(K1403&lt;&gt;"", R1403&lt;&gt;""), R1403-K1403, "")</f>
        <v/>
      </c>
      <c r="T1403" s="78" t="n"/>
      <c r="U1403" s="92">
        <f>IF(ISBLANK(P1403),"",IF(C1403="Buy",Q1403-M1403+T1403, IF(C1403="Sell",M1403-Q1403-T1403, X)))</f>
        <v/>
      </c>
      <c r="V1403" s="81">
        <f>IF(ISBLANK(P1403),"",U1403/N1403)</f>
        <v/>
      </c>
      <c r="W1403" s="81">
        <f>IF(ISBLANK(P1403),"",IF(S1403=0,(365/0.5)*V1403,(365/S1403)*V1403))</f>
        <v/>
      </c>
      <c r="X1403" s="75" t="n"/>
      <c r="Y1403" s="77" t="n"/>
      <c r="Z1403" s="77" t="n"/>
      <c r="AA1403" s="75" t="n"/>
      <c r="AB1403" s="75" t="n"/>
      <c r="AC1403" s="6" t="n"/>
      <c r="AD1403" s="75" t="n"/>
      <c r="AE1403" s="75" t="n"/>
      <c r="AF1403" s="75" t="n"/>
    </row>
    <row r="1404" ht="15.75" customHeight="1" s="133">
      <c r="A1404" s="75" t="n"/>
      <c r="B1404" s="75" t="n"/>
      <c r="C1404" s="75" t="n"/>
      <c r="D1404" s="75" t="n"/>
      <c r="E1404" s="76" t="n"/>
      <c r="F1404" s="77" t="n"/>
      <c r="G1404" s="75" t="n"/>
      <c r="H1404" s="75">
        <f>IF(ISBLANK(E1404),"",IF(OR(D1404="Butterfly",D1404="Butterfly ",D1404="Iron Fly", D1404="Iron Fly "),LEN(E1404)-LEN(SUBSTITUTE(E1404,"/",""))+2,LEN(E1404)-LEN(SUBSTITUTE(E1404,"/",""))+1))</f>
        <v/>
      </c>
      <c r="I1404" s="78">
        <f>IF(ISBLANK(G1404),"",IF(D1404="Stock","0",Key!$A$3*H1404*G1404))</f>
        <v/>
      </c>
      <c r="J1404" s="78">
        <f>IF(ISBLANK(E1404),"",IF(ISNUMBER(SEARCH("/",E1404)), IF(LEN(E1404)-LEN(SUBSTITUTE(E1404,"/",""))=1,(RIGHT(E1404,LEN(E1404)-FIND("/",E1404)))-(LEFT(E1404,FIND("/",E1404)-1)),(MID(E1404, SEARCH("/",E1404) + 1, SEARCH("/",E1404, SEARCH("/",E1404)+1) - SEARCH("/",E1404) - 1))-(LEFT(E1404,FIND("/",E1404)-1))), "NA"))</f>
        <v/>
      </c>
      <c r="K1404" s="79">
        <f>IF(A1404&lt;&gt;"", IF(ISBLANK(L1404), TODAY(), K1404), "")</f>
        <v/>
      </c>
      <c r="L1404" s="78" t="n"/>
      <c r="M1404" s="78">
        <f>IF(ISBLANK(L1404),"",IF(D1404="Stock",IF(C1404="Buy",L1404*G1404,IF(C1404="Sell",(L1404*G1404)-I1404, X)),IF(C1404="Buy",(L1404*G1404*100)+I1404,IF(C1404="Sell",(L1404*G1404*100)-I1404, X))))</f>
        <v/>
      </c>
      <c r="N1404" s="78">
        <f>IF(ISBLANK(L1404),"",IF(AND(C1404="Sell",D1404="Stock"),M1404,IF(ISBLANK(L1404),"",IF(C1404="Buy",M1404, IF(AND(C1404="Sell",J1404="NA"),(E1404*G1404*100*0.1)+I1404, IF(C1404="Sell",(J1404-L1404)*(100*G1404)+I1404))))))</f>
        <v/>
      </c>
      <c r="O1404" s="75" t="n"/>
      <c r="P1404" s="75" t="n"/>
      <c r="Q1404" s="75">
        <f>IF(ISBLANK(P1404),"",IF(D1404="Stock",P1404*G1404,IF(P1404=0,"0",G1404*P1404*100-(G1404*$AF$14))))</f>
        <v/>
      </c>
      <c r="R1404" s="79">
        <f>IF(P1404&lt;&gt;"", TODAY(), "")</f>
        <v/>
      </c>
      <c r="S1404" s="78">
        <f>IF(AND(K1404&lt;&gt;"", R1404&lt;&gt;""), R1404-K1404, "")</f>
        <v/>
      </c>
      <c r="T1404" s="78" t="n"/>
      <c r="U1404" s="92">
        <f>IF(ISBLANK(P1404),"",IF(C1404="Buy",Q1404-M1404+T1404, IF(C1404="Sell",M1404-Q1404-T1404, X)))</f>
        <v/>
      </c>
      <c r="V1404" s="81">
        <f>IF(ISBLANK(P1404),"",U1404/N1404)</f>
        <v/>
      </c>
      <c r="W1404" s="81">
        <f>IF(ISBLANK(P1404),"",IF(S1404=0,(365/0.5)*V1404,(365/S1404)*V1404))</f>
        <v/>
      </c>
      <c r="X1404" s="75" t="n"/>
      <c r="Y1404" s="77" t="n"/>
      <c r="Z1404" s="77" t="n"/>
      <c r="AA1404" s="75" t="n"/>
      <c r="AB1404" s="75" t="n"/>
      <c r="AC1404" s="6" t="n"/>
      <c r="AD1404" s="75" t="n"/>
      <c r="AE1404" s="75" t="n"/>
      <c r="AF1404" s="75" t="n"/>
    </row>
    <row r="1405" ht="15.75" customHeight="1" s="133">
      <c r="A1405" s="75" t="n"/>
      <c r="B1405" s="75" t="n"/>
      <c r="C1405" s="75" t="n"/>
      <c r="D1405" s="75" t="n"/>
      <c r="E1405" s="76" t="n"/>
      <c r="F1405" s="77" t="n"/>
      <c r="G1405" s="75" t="n"/>
      <c r="H1405" s="75">
        <f>IF(ISBLANK(E1405),"",IF(OR(D1405="Butterfly",D1405="Butterfly ",D1405="Iron Fly", D1405="Iron Fly "),LEN(E1405)-LEN(SUBSTITUTE(E1405,"/",""))+2,LEN(E1405)-LEN(SUBSTITUTE(E1405,"/",""))+1))</f>
        <v/>
      </c>
      <c r="I1405" s="78">
        <f>IF(ISBLANK(G1405),"",IF(D1405="Stock","0",Key!$A$3*H1405*G1405))</f>
        <v/>
      </c>
      <c r="J1405" s="78">
        <f>IF(ISBLANK(E1405),"",IF(ISNUMBER(SEARCH("/",E1405)), IF(LEN(E1405)-LEN(SUBSTITUTE(E1405,"/",""))=1,(RIGHT(E1405,LEN(E1405)-FIND("/",E1405)))-(LEFT(E1405,FIND("/",E1405)-1)),(MID(E1405, SEARCH("/",E1405) + 1, SEARCH("/",E1405, SEARCH("/",E1405)+1) - SEARCH("/",E1405) - 1))-(LEFT(E1405,FIND("/",E1405)-1))), "NA"))</f>
        <v/>
      </c>
      <c r="K1405" s="79">
        <f>IF(A1405&lt;&gt;"", IF(ISBLANK(L1405), TODAY(), K1405), "")</f>
        <v/>
      </c>
      <c r="L1405" s="78" t="n"/>
      <c r="M1405" s="78">
        <f>IF(ISBLANK(L1405),"",IF(D1405="Stock",IF(C1405="Buy",L1405*G1405,IF(C1405="Sell",(L1405*G1405)-I1405, X)),IF(C1405="Buy",(L1405*G1405*100)+I1405,IF(C1405="Sell",(L1405*G1405*100)-I1405, X))))</f>
        <v/>
      </c>
      <c r="N1405" s="78">
        <f>IF(ISBLANK(L1405),"",IF(AND(C1405="Sell",D1405="Stock"),M1405,IF(ISBLANK(L1405),"",IF(C1405="Buy",M1405, IF(AND(C1405="Sell",J1405="NA"),(E1405*G1405*100*0.1)+I1405, IF(C1405="Sell",(J1405-L1405)*(100*G1405)+I1405))))))</f>
        <v/>
      </c>
      <c r="O1405" s="75" t="n"/>
      <c r="P1405" s="75" t="n"/>
      <c r="Q1405" s="75">
        <f>IF(ISBLANK(P1405),"",IF(D1405="Stock",P1405*G1405,IF(P1405=0,"0",G1405*P1405*100-(G1405*$AF$14))))</f>
        <v/>
      </c>
      <c r="R1405" s="79">
        <f>IF(P1405&lt;&gt;"", TODAY(), "")</f>
        <v/>
      </c>
      <c r="S1405" s="78">
        <f>IF(AND(K1405&lt;&gt;"", R1405&lt;&gt;""), R1405-K1405, "")</f>
        <v/>
      </c>
      <c r="T1405" s="78" t="n"/>
      <c r="U1405" s="92">
        <f>IF(ISBLANK(P1405),"",IF(C1405="Buy",Q1405-M1405+T1405, IF(C1405="Sell",M1405-Q1405-T1405, X)))</f>
        <v/>
      </c>
      <c r="V1405" s="81">
        <f>IF(ISBLANK(P1405),"",U1405/N1405)</f>
        <v/>
      </c>
      <c r="W1405" s="81">
        <f>IF(ISBLANK(P1405),"",IF(S1405=0,(365/0.5)*V1405,(365/S1405)*V1405))</f>
        <v/>
      </c>
      <c r="X1405" s="75" t="n"/>
      <c r="Y1405" s="77" t="n"/>
      <c r="Z1405" s="77" t="n"/>
      <c r="AA1405" s="75" t="n"/>
      <c r="AB1405" s="75" t="n"/>
      <c r="AC1405" s="6" t="n"/>
      <c r="AD1405" s="75" t="n"/>
      <c r="AE1405" s="75" t="n"/>
      <c r="AF1405" s="75" t="n"/>
    </row>
    <row r="1406" ht="15.75" customHeight="1" s="133">
      <c r="A1406" s="75" t="n"/>
      <c r="B1406" s="75" t="n"/>
      <c r="C1406" s="75" t="n"/>
      <c r="D1406" s="75" t="n"/>
      <c r="E1406" s="76" t="n"/>
      <c r="F1406" s="77" t="n"/>
      <c r="G1406" s="75" t="n"/>
      <c r="H1406" s="75">
        <f>IF(ISBLANK(E1406),"",IF(OR(D1406="Butterfly",D1406="Butterfly ",D1406="Iron Fly", D1406="Iron Fly "),LEN(E1406)-LEN(SUBSTITUTE(E1406,"/",""))+2,LEN(E1406)-LEN(SUBSTITUTE(E1406,"/",""))+1))</f>
        <v/>
      </c>
      <c r="I1406" s="78">
        <f>IF(ISBLANK(G1406),"",IF(D1406="Stock","0",Key!$A$3*H1406*G1406))</f>
        <v/>
      </c>
      <c r="J1406" s="78">
        <f>IF(ISBLANK(E1406),"",IF(ISNUMBER(SEARCH("/",E1406)), IF(LEN(E1406)-LEN(SUBSTITUTE(E1406,"/",""))=1,(RIGHT(E1406,LEN(E1406)-FIND("/",E1406)))-(LEFT(E1406,FIND("/",E1406)-1)),(MID(E1406, SEARCH("/",E1406) + 1, SEARCH("/",E1406, SEARCH("/",E1406)+1) - SEARCH("/",E1406) - 1))-(LEFT(E1406,FIND("/",E1406)-1))), "NA"))</f>
        <v/>
      </c>
      <c r="K1406" s="79">
        <f>IF(A1406&lt;&gt;"", IF(ISBLANK(L1406), TODAY(), K1406), "")</f>
        <v/>
      </c>
      <c r="L1406" s="78" t="n"/>
      <c r="M1406" s="78">
        <f>IF(ISBLANK(L1406),"",IF(D1406="Stock",IF(C1406="Buy",L1406*G1406,IF(C1406="Sell",(L1406*G1406)-I1406, X)),IF(C1406="Buy",(L1406*G1406*100)+I1406,IF(C1406="Sell",(L1406*G1406*100)-I1406, X))))</f>
        <v/>
      </c>
      <c r="N1406" s="78">
        <f>IF(ISBLANK(L1406),"",IF(AND(C1406="Sell",D1406="Stock"),M1406,IF(ISBLANK(L1406),"",IF(C1406="Buy",M1406, IF(AND(C1406="Sell",J1406="NA"),(E1406*G1406*100*0.1)+I1406, IF(C1406="Sell",(J1406-L1406)*(100*G1406)+I1406))))))</f>
        <v/>
      </c>
      <c r="O1406" s="75" t="n"/>
      <c r="P1406" s="75" t="n"/>
      <c r="Q1406" s="75">
        <f>IF(ISBLANK(P1406),"",IF(D1406="Stock",P1406*G1406,IF(P1406=0,"0",G1406*P1406*100-(G1406*$AF$14))))</f>
        <v/>
      </c>
      <c r="R1406" s="79">
        <f>IF(P1406&lt;&gt;"", TODAY(), "")</f>
        <v/>
      </c>
      <c r="S1406" s="78">
        <f>IF(AND(K1406&lt;&gt;"", R1406&lt;&gt;""), R1406-K1406, "")</f>
        <v/>
      </c>
      <c r="T1406" s="78" t="n"/>
      <c r="U1406" s="92">
        <f>IF(ISBLANK(P1406),"",IF(C1406="Buy",Q1406-M1406+T1406, IF(C1406="Sell",M1406-Q1406-T1406, X)))</f>
        <v/>
      </c>
      <c r="V1406" s="81">
        <f>IF(ISBLANK(P1406),"",U1406/N1406)</f>
        <v/>
      </c>
      <c r="W1406" s="81">
        <f>IF(ISBLANK(P1406),"",IF(S1406=0,(365/0.5)*V1406,(365/S1406)*V1406))</f>
        <v/>
      </c>
      <c r="X1406" s="75" t="n"/>
      <c r="Y1406" s="77" t="n"/>
      <c r="Z1406" s="77" t="n"/>
      <c r="AA1406" s="75" t="n"/>
      <c r="AB1406" s="75" t="n"/>
      <c r="AC1406" s="6" t="n"/>
      <c r="AD1406" s="75" t="n"/>
      <c r="AE1406" s="75" t="n"/>
      <c r="AF1406" s="75" t="n"/>
    </row>
    <row r="1407" ht="15.75" customHeight="1" s="133">
      <c r="A1407" s="75" t="n"/>
      <c r="B1407" s="75" t="n"/>
      <c r="C1407" s="75" t="n"/>
      <c r="D1407" s="75" t="n"/>
      <c r="E1407" s="76" t="n"/>
      <c r="F1407" s="77" t="n"/>
      <c r="G1407" s="75" t="n"/>
      <c r="H1407" s="75">
        <f>IF(ISBLANK(E1407),"",IF(OR(D1407="Butterfly",D1407="Butterfly ",D1407="Iron Fly", D1407="Iron Fly "),LEN(E1407)-LEN(SUBSTITUTE(E1407,"/",""))+2,LEN(E1407)-LEN(SUBSTITUTE(E1407,"/",""))+1))</f>
        <v/>
      </c>
      <c r="I1407" s="78">
        <f>IF(ISBLANK(G1407),"",IF(D1407="Stock","0",Key!$A$3*H1407*G1407))</f>
        <v/>
      </c>
      <c r="J1407" s="78">
        <f>IF(ISBLANK(E1407),"",IF(ISNUMBER(SEARCH("/",E1407)), IF(LEN(E1407)-LEN(SUBSTITUTE(E1407,"/",""))=1,(RIGHT(E1407,LEN(E1407)-FIND("/",E1407)))-(LEFT(E1407,FIND("/",E1407)-1)),(MID(E1407, SEARCH("/",E1407) + 1, SEARCH("/",E1407, SEARCH("/",E1407)+1) - SEARCH("/",E1407) - 1))-(LEFT(E1407,FIND("/",E1407)-1))), "NA"))</f>
        <v/>
      </c>
      <c r="K1407" s="79">
        <f>IF(A1407&lt;&gt;"", IF(ISBLANK(L1407), TODAY(), K1407), "")</f>
        <v/>
      </c>
      <c r="L1407" s="78" t="n"/>
      <c r="M1407" s="78">
        <f>IF(ISBLANK(L1407),"",IF(D1407="Stock",IF(C1407="Buy",L1407*G1407,IF(C1407="Sell",(L1407*G1407)-I1407, X)),IF(C1407="Buy",(L1407*G1407*100)+I1407,IF(C1407="Sell",(L1407*G1407*100)-I1407, X))))</f>
        <v/>
      </c>
      <c r="N1407" s="78">
        <f>IF(ISBLANK(L1407),"",IF(AND(C1407="Sell",D1407="Stock"),M1407,IF(ISBLANK(L1407),"",IF(C1407="Buy",M1407, IF(AND(C1407="Sell",J1407="NA"),(E1407*G1407*100*0.1)+I1407, IF(C1407="Sell",(J1407-L1407)*(100*G1407)+I1407))))))</f>
        <v/>
      </c>
      <c r="O1407" s="75" t="n"/>
      <c r="P1407" s="75" t="n"/>
      <c r="Q1407" s="75">
        <f>IF(ISBLANK(P1407),"",IF(D1407="Stock",P1407*G1407,IF(P1407=0,"0",G1407*P1407*100-(G1407*$AF$14))))</f>
        <v/>
      </c>
      <c r="R1407" s="79">
        <f>IF(P1407&lt;&gt;"", TODAY(), "")</f>
        <v/>
      </c>
      <c r="S1407" s="78">
        <f>IF(AND(K1407&lt;&gt;"", R1407&lt;&gt;""), R1407-K1407, "")</f>
        <v/>
      </c>
      <c r="T1407" s="78" t="n"/>
      <c r="U1407" s="92">
        <f>IF(ISBLANK(P1407),"",IF(C1407="Buy",Q1407-M1407+T1407, IF(C1407="Sell",M1407-Q1407-T1407, X)))</f>
        <v/>
      </c>
      <c r="V1407" s="81">
        <f>IF(ISBLANK(P1407),"",U1407/N1407)</f>
        <v/>
      </c>
      <c r="W1407" s="81">
        <f>IF(ISBLANK(P1407),"",IF(S1407=0,(365/0.5)*V1407,(365/S1407)*V1407))</f>
        <v/>
      </c>
      <c r="X1407" s="75" t="n"/>
      <c r="Y1407" s="77" t="n"/>
      <c r="Z1407" s="77" t="n"/>
      <c r="AA1407" s="75" t="n"/>
      <c r="AB1407" s="75" t="n"/>
      <c r="AC1407" s="6" t="n"/>
      <c r="AD1407" s="75" t="n"/>
      <c r="AE1407" s="75" t="n"/>
      <c r="AF1407" s="75" t="n"/>
    </row>
    <row r="1408" ht="15.75" customHeight="1" s="133">
      <c r="A1408" s="75" t="n"/>
      <c r="B1408" s="75" t="n"/>
      <c r="C1408" s="75" t="n"/>
      <c r="D1408" s="75" t="n"/>
      <c r="E1408" s="76" t="n"/>
      <c r="F1408" s="77" t="n"/>
      <c r="G1408" s="75" t="n"/>
      <c r="H1408" s="75">
        <f>IF(ISBLANK(E1408),"",IF(OR(D1408="Butterfly",D1408="Butterfly ",D1408="Iron Fly", D1408="Iron Fly "),LEN(E1408)-LEN(SUBSTITUTE(E1408,"/",""))+2,LEN(E1408)-LEN(SUBSTITUTE(E1408,"/",""))+1))</f>
        <v/>
      </c>
      <c r="I1408" s="78">
        <f>IF(ISBLANK(G1408),"",IF(D1408="Stock","0",Key!$A$3*H1408*G1408))</f>
        <v/>
      </c>
      <c r="J1408" s="78">
        <f>IF(ISBLANK(E1408),"",IF(ISNUMBER(SEARCH("/",E1408)), IF(LEN(E1408)-LEN(SUBSTITUTE(E1408,"/",""))=1,(RIGHT(E1408,LEN(E1408)-FIND("/",E1408)))-(LEFT(E1408,FIND("/",E1408)-1)),(MID(E1408, SEARCH("/",E1408) + 1, SEARCH("/",E1408, SEARCH("/",E1408)+1) - SEARCH("/",E1408) - 1))-(LEFT(E1408,FIND("/",E1408)-1))), "NA"))</f>
        <v/>
      </c>
      <c r="K1408" s="79">
        <f>IF(A1408&lt;&gt;"", IF(ISBLANK(L1408), TODAY(), K1408), "")</f>
        <v/>
      </c>
      <c r="L1408" s="78" t="n"/>
      <c r="M1408" s="78">
        <f>IF(ISBLANK(L1408),"",IF(D1408="Stock",IF(C1408="Buy",L1408*G1408,IF(C1408="Sell",(L1408*G1408)-I1408, X)),IF(C1408="Buy",(L1408*G1408*100)+I1408,IF(C1408="Sell",(L1408*G1408*100)-I1408, X))))</f>
        <v/>
      </c>
      <c r="N1408" s="78">
        <f>IF(ISBLANK(L1408),"",IF(AND(C1408="Sell",D1408="Stock"),M1408,IF(ISBLANK(L1408),"",IF(C1408="Buy",M1408, IF(AND(C1408="Sell",J1408="NA"),(E1408*G1408*100*0.1)+I1408, IF(C1408="Sell",(J1408-L1408)*(100*G1408)+I1408))))))</f>
        <v/>
      </c>
      <c r="O1408" s="75" t="n"/>
      <c r="P1408" s="75" t="n"/>
      <c r="Q1408" s="75">
        <f>IF(ISBLANK(P1408),"",IF(D1408="Stock",P1408*G1408,IF(P1408=0,"0",G1408*P1408*100-(G1408*$AF$14))))</f>
        <v/>
      </c>
      <c r="R1408" s="79">
        <f>IF(P1408&lt;&gt;"", TODAY(), "")</f>
        <v/>
      </c>
      <c r="S1408" s="78">
        <f>IF(AND(K1408&lt;&gt;"", R1408&lt;&gt;""), R1408-K1408, "")</f>
        <v/>
      </c>
      <c r="T1408" s="78" t="n"/>
      <c r="U1408" s="92">
        <f>IF(ISBLANK(P1408),"",IF(C1408="Buy",Q1408-M1408+T1408, IF(C1408="Sell",M1408-Q1408-T1408, X)))</f>
        <v/>
      </c>
      <c r="V1408" s="81">
        <f>IF(ISBLANK(P1408),"",U1408/N1408)</f>
        <v/>
      </c>
      <c r="W1408" s="81">
        <f>IF(ISBLANK(P1408),"",IF(S1408=0,(365/0.5)*V1408,(365/S1408)*V1408))</f>
        <v/>
      </c>
      <c r="X1408" s="75" t="n"/>
      <c r="Y1408" s="77" t="n"/>
      <c r="Z1408" s="77" t="n"/>
      <c r="AA1408" s="75" t="n"/>
      <c r="AB1408" s="75" t="n"/>
      <c r="AC1408" s="6" t="n"/>
      <c r="AD1408" s="75" t="n"/>
      <c r="AE1408" s="75" t="n"/>
      <c r="AF1408" s="75" t="n"/>
    </row>
    <row r="1409" ht="15.75" customHeight="1" s="133">
      <c r="A1409" s="75" t="n"/>
      <c r="B1409" s="75" t="n"/>
      <c r="C1409" s="75" t="n"/>
      <c r="D1409" s="75" t="n"/>
      <c r="E1409" s="76" t="n"/>
      <c r="F1409" s="77" t="n"/>
      <c r="G1409" s="75" t="n"/>
      <c r="H1409" s="75">
        <f>IF(ISBLANK(E1409),"",IF(OR(D1409="Butterfly",D1409="Butterfly ",D1409="Iron Fly", D1409="Iron Fly "),LEN(E1409)-LEN(SUBSTITUTE(E1409,"/",""))+2,LEN(E1409)-LEN(SUBSTITUTE(E1409,"/",""))+1))</f>
        <v/>
      </c>
      <c r="I1409" s="78">
        <f>IF(ISBLANK(G1409),"",IF(D1409="Stock","0",Key!$A$3*H1409*G1409))</f>
        <v/>
      </c>
      <c r="J1409" s="78">
        <f>IF(ISBLANK(E1409),"",IF(ISNUMBER(SEARCH("/",E1409)), IF(LEN(E1409)-LEN(SUBSTITUTE(E1409,"/",""))=1,(RIGHT(E1409,LEN(E1409)-FIND("/",E1409)))-(LEFT(E1409,FIND("/",E1409)-1)),(MID(E1409, SEARCH("/",E1409) + 1, SEARCH("/",E1409, SEARCH("/",E1409)+1) - SEARCH("/",E1409) - 1))-(LEFT(E1409,FIND("/",E1409)-1))), "NA"))</f>
        <v/>
      </c>
      <c r="K1409" s="79">
        <f>IF(A1409&lt;&gt;"", IF(ISBLANK(L1409), TODAY(), K1409), "")</f>
        <v/>
      </c>
      <c r="L1409" s="78" t="n"/>
      <c r="M1409" s="78">
        <f>IF(ISBLANK(L1409),"",IF(D1409="Stock",IF(C1409="Buy",L1409*G1409,IF(C1409="Sell",(L1409*G1409)-I1409, X)),IF(C1409="Buy",(L1409*G1409*100)+I1409,IF(C1409="Sell",(L1409*G1409*100)-I1409, X))))</f>
        <v/>
      </c>
      <c r="N1409" s="78">
        <f>IF(ISBLANK(L1409),"",IF(AND(C1409="Sell",D1409="Stock"),M1409,IF(ISBLANK(L1409),"",IF(C1409="Buy",M1409, IF(AND(C1409="Sell",J1409="NA"),(E1409*G1409*100*0.1)+I1409, IF(C1409="Sell",(J1409-L1409)*(100*G1409)+I1409))))))</f>
        <v/>
      </c>
      <c r="O1409" s="75" t="n"/>
      <c r="P1409" s="75" t="n"/>
      <c r="Q1409" s="75">
        <f>IF(ISBLANK(P1409),"",IF(D1409="Stock",P1409*G1409,IF(P1409=0,"0",G1409*P1409*100-(G1409*$AF$14))))</f>
        <v/>
      </c>
      <c r="R1409" s="79">
        <f>IF(P1409&lt;&gt;"", TODAY(), "")</f>
        <v/>
      </c>
      <c r="S1409" s="78">
        <f>IF(AND(K1409&lt;&gt;"", R1409&lt;&gt;""), R1409-K1409, "")</f>
        <v/>
      </c>
      <c r="T1409" s="78" t="n"/>
      <c r="U1409" s="92">
        <f>IF(ISBLANK(P1409),"",IF(C1409="Buy",Q1409-M1409+T1409, IF(C1409="Sell",M1409-Q1409-T1409, X)))</f>
        <v/>
      </c>
      <c r="V1409" s="81">
        <f>IF(ISBLANK(P1409),"",U1409/N1409)</f>
        <v/>
      </c>
      <c r="W1409" s="81">
        <f>IF(ISBLANK(P1409),"",IF(S1409=0,(365/0.5)*V1409,(365/S1409)*V1409))</f>
        <v/>
      </c>
      <c r="X1409" s="75" t="n"/>
      <c r="Y1409" s="77" t="n"/>
      <c r="Z1409" s="77" t="n"/>
      <c r="AA1409" s="75" t="n"/>
      <c r="AB1409" s="75" t="n"/>
      <c r="AC1409" s="6" t="n"/>
      <c r="AD1409" s="75" t="n"/>
      <c r="AE1409" s="75" t="n"/>
      <c r="AF1409" s="75" t="n"/>
    </row>
    <row r="1410" ht="15.75" customHeight="1" s="133">
      <c r="A1410" s="75" t="n"/>
      <c r="B1410" s="75" t="n"/>
      <c r="C1410" s="75" t="n"/>
      <c r="D1410" s="75" t="n"/>
      <c r="E1410" s="76" t="n"/>
      <c r="F1410" s="77" t="n"/>
      <c r="G1410" s="75" t="n"/>
      <c r="H1410" s="75">
        <f>IF(ISBLANK(E1410),"",IF(OR(D1410="Butterfly",D1410="Butterfly ",D1410="Iron Fly", D1410="Iron Fly "),LEN(E1410)-LEN(SUBSTITUTE(E1410,"/",""))+2,LEN(E1410)-LEN(SUBSTITUTE(E1410,"/",""))+1))</f>
        <v/>
      </c>
      <c r="I1410" s="78">
        <f>IF(ISBLANK(G1410),"",IF(D1410="Stock","0",Key!$A$3*H1410*G1410))</f>
        <v/>
      </c>
      <c r="J1410" s="78">
        <f>IF(ISBLANK(E1410),"",IF(ISNUMBER(SEARCH("/",E1410)), IF(LEN(E1410)-LEN(SUBSTITUTE(E1410,"/",""))=1,(RIGHT(E1410,LEN(E1410)-FIND("/",E1410)))-(LEFT(E1410,FIND("/",E1410)-1)),(MID(E1410, SEARCH("/",E1410) + 1, SEARCH("/",E1410, SEARCH("/",E1410)+1) - SEARCH("/",E1410) - 1))-(LEFT(E1410,FIND("/",E1410)-1))), "NA"))</f>
        <v/>
      </c>
      <c r="K1410" s="79">
        <f>IF(A1410&lt;&gt;"", IF(ISBLANK(L1410), TODAY(), K1410), "")</f>
        <v/>
      </c>
      <c r="L1410" s="78" t="n"/>
      <c r="M1410" s="78">
        <f>IF(ISBLANK(L1410),"",IF(D1410="Stock",IF(C1410="Buy",L1410*G1410,IF(C1410="Sell",(L1410*G1410)-I1410, X)),IF(C1410="Buy",(L1410*G1410*100)+I1410,IF(C1410="Sell",(L1410*G1410*100)-I1410, X))))</f>
        <v/>
      </c>
      <c r="N1410" s="78">
        <f>IF(ISBLANK(L1410),"",IF(AND(C1410="Sell",D1410="Stock"),M1410,IF(ISBLANK(L1410),"",IF(C1410="Buy",M1410, IF(AND(C1410="Sell",J1410="NA"),(E1410*G1410*100*0.1)+I1410, IF(C1410="Sell",(J1410-L1410)*(100*G1410)+I1410))))))</f>
        <v/>
      </c>
      <c r="O1410" s="75" t="n"/>
      <c r="P1410" s="75" t="n"/>
      <c r="Q1410" s="75">
        <f>IF(ISBLANK(P1410),"",IF(D1410="Stock",P1410*G1410,IF(P1410=0,"0",G1410*P1410*100-(G1410*$AF$14))))</f>
        <v/>
      </c>
      <c r="R1410" s="79">
        <f>IF(P1410&lt;&gt;"", TODAY(), "")</f>
        <v/>
      </c>
      <c r="S1410" s="78">
        <f>IF(AND(K1410&lt;&gt;"", R1410&lt;&gt;""), R1410-K1410, "")</f>
        <v/>
      </c>
      <c r="T1410" s="78" t="n"/>
      <c r="U1410" s="92">
        <f>IF(ISBLANK(P1410),"",IF(C1410="Buy",Q1410-M1410+T1410, IF(C1410="Sell",M1410-Q1410-T1410, X)))</f>
        <v/>
      </c>
      <c r="V1410" s="81">
        <f>IF(ISBLANK(P1410),"",U1410/N1410)</f>
        <v/>
      </c>
      <c r="W1410" s="81">
        <f>IF(ISBLANK(P1410),"",IF(S1410=0,(365/0.5)*V1410,(365/S1410)*V1410))</f>
        <v/>
      </c>
      <c r="X1410" s="75" t="n"/>
      <c r="Y1410" s="77" t="n"/>
      <c r="Z1410" s="77" t="n"/>
      <c r="AA1410" s="75" t="n"/>
      <c r="AB1410" s="75" t="n"/>
      <c r="AC1410" s="6" t="n"/>
      <c r="AD1410" s="75" t="n"/>
      <c r="AE1410" s="75" t="n"/>
      <c r="AF1410" s="75" t="n"/>
    </row>
    <row r="1411" ht="15.75" customHeight="1" s="133">
      <c r="A1411" s="75" t="n"/>
      <c r="B1411" s="75" t="n"/>
      <c r="C1411" s="75" t="n"/>
      <c r="D1411" s="75" t="n"/>
      <c r="E1411" s="76" t="n"/>
      <c r="F1411" s="77" t="n"/>
      <c r="G1411" s="75" t="n"/>
      <c r="H1411" s="75">
        <f>IF(ISBLANK(E1411),"",IF(OR(D1411="Butterfly",D1411="Butterfly ",D1411="Iron Fly", D1411="Iron Fly "),LEN(E1411)-LEN(SUBSTITUTE(E1411,"/",""))+2,LEN(E1411)-LEN(SUBSTITUTE(E1411,"/",""))+1))</f>
        <v/>
      </c>
      <c r="I1411" s="78">
        <f>IF(ISBLANK(G1411),"",IF(D1411="Stock","0",Key!$A$3*H1411*G1411))</f>
        <v/>
      </c>
      <c r="J1411" s="78">
        <f>IF(ISBLANK(E1411),"",IF(ISNUMBER(SEARCH("/",E1411)), IF(LEN(E1411)-LEN(SUBSTITUTE(E1411,"/",""))=1,(RIGHT(E1411,LEN(E1411)-FIND("/",E1411)))-(LEFT(E1411,FIND("/",E1411)-1)),(MID(E1411, SEARCH("/",E1411) + 1, SEARCH("/",E1411, SEARCH("/",E1411)+1) - SEARCH("/",E1411) - 1))-(LEFT(E1411,FIND("/",E1411)-1))), "NA"))</f>
        <v/>
      </c>
      <c r="K1411" s="79">
        <f>IF(A1411&lt;&gt;"", IF(ISBLANK(L1411), TODAY(), K1411), "")</f>
        <v/>
      </c>
      <c r="L1411" s="78" t="n"/>
      <c r="M1411" s="78">
        <f>IF(ISBLANK(L1411),"",IF(D1411="Stock",IF(C1411="Buy",L1411*G1411,IF(C1411="Sell",(L1411*G1411)-I1411, X)),IF(C1411="Buy",(L1411*G1411*100)+I1411,IF(C1411="Sell",(L1411*G1411*100)-I1411, X))))</f>
        <v/>
      </c>
      <c r="N1411" s="78">
        <f>IF(ISBLANK(L1411),"",IF(AND(C1411="Sell",D1411="Stock"),M1411,IF(ISBLANK(L1411),"",IF(C1411="Buy",M1411, IF(AND(C1411="Sell",J1411="NA"),(E1411*G1411*100*0.1)+I1411, IF(C1411="Sell",(J1411-L1411)*(100*G1411)+I1411))))))</f>
        <v/>
      </c>
      <c r="O1411" s="75" t="n"/>
      <c r="P1411" s="75" t="n"/>
      <c r="Q1411" s="75">
        <f>IF(ISBLANK(P1411),"",IF(D1411="Stock",P1411*G1411,IF(P1411=0,"0",G1411*P1411*100-(G1411*$AF$14))))</f>
        <v/>
      </c>
      <c r="R1411" s="79">
        <f>IF(P1411&lt;&gt;"", TODAY(), "")</f>
        <v/>
      </c>
      <c r="S1411" s="78">
        <f>IF(AND(K1411&lt;&gt;"", R1411&lt;&gt;""), R1411-K1411, "")</f>
        <v/>
      </c>
      <c r="T1411" s="78" t="n"/>
      <c r="U1411" s="92">
        <f>IF(ISBLANK(P1411),"",IF(C1411="Buy",Q1411-M1411+T1411, IF(C1411="Sell",M1411-Q1411-T1411, X)))</f>
        <v/>
      </c>
      <c r="V1411" s="81">
        <f>IF(ISBLANK(P1411),"",U1411/N1411)</f>
        <v/>
      </c>
      <c r="W1411" s="81">
        <f>IF(ISBLANK(P1411),"",IF(S1411=0,(365/0.5)*V1411,(365/S1411)*V1411))</f>
        <v/>
      </c>
      <c r="X1411" s="75" t="n"/>
      <c r="Y1411" s="77" t="n"/>
      <c r="Z1411" s="77" t="n"/>
      <c r="AA1411" s="75" t="n"/>
      <c r="AB1411" s="75" t="n"/>
      <c r="AC1411" s="6" t="n"/>
      <c r="AD1411" s="75" t="n"/>
      <c r="AE1411" s="75" t="n"/>
      <c r="AF1411" s="75" t="n"/>
    </row>
    <row r="1412" ht="15.75" customHeight="1" s="133">
      <c r="A1412" s="75" t="n"/>
      <c r="B1412" s="75" t="n"/>
      <c r="C1412" s="75" t="n"/>
      <c r="D1412" s="75" t="n"/>
      <c r="E1412" s="76" t="n"/>
      <c r="F1412" s="77" t="n"/>
      <c r="G1412" s="75" t="n"/>
      <c r="H1412" s="75">
        <f>IF(ISBLANK(E1412),"",IF(OR(D1412="Butterfly",D1412="Butterfly ",D1412="Iron Fly", D1412="Iron Fly "),LEN(E1412)-LEN(SUBSTITUTE(E1412,"/",""))+2,LEN(E1412)-LEN(SUBSTITUTE(E1412,"/",""))+1))</f>
        <v/>
      </c>
      <c r="I1412" s="78">
        <f>IF(ISBLANK(G1412),"",IF(D1412="Stock","0",Key!$A$3*H1412*G1412))</f>
        <v/>
      </c>
      <c r="J1412" s="78">
        <f>IF(ISBLANK(E1412),"",IF(ISNUMBER(SEARCH("/",E1412)), IF(LEN(E1412)-LEN(SUBSTITUTE(E1412,"/",""))=1,(RIGHT(E1412,LEN(E1412)-FIND("/",E1412)))-(LEFT(E1412,FIND("/",E1412)-1)),(MID(E1412, SEARCH("/",E1412) + 1, SEARCH("/",E1412, SEARCH("/",E1412)+1) - SEARCH("/",E1412) - 1))-(LEFT(E1412,FIND("/",E1412)-1))), "NA"))</f>
        <v/>
      </c>
      <c r="K1412" s="79">
        <f>IF(A1412&lt;&gt;"", IF(ISBLANK(L1412), TODAY(), K1412), "")</f>
        <v/>
      </c>
      <c r="L1412" s="78" t="n"/>
      <c r="M1412" s="78">
        <f>IF(ISBLANK(L1412),"",IF(D1412="Stock",IF(C1412="Buy",L1412*G1412,IF(C1412="Sell",(L1412*G1412)-I1412, X)),IF(C1412="Buy",(L1412*G1412*100)+I1412,IF(C1412="Sell",(L1412*G1412*100)-I1412, X))))</f>
        <v/>
      </c>
      <c r="N1412" s="78">
        <f>IF(ISBLANK(L1412),"",IF(AND(C1412="Sell",D1412="Stock"),M1412,IF(ISBLANK(L1412),"",IF(C1412="Buy",M1412, IF(AND(C1412="Sell",J1412="NA"),(E1412*G1412*100*0.1)+I1412, IF(C1412="Sell",(J1412-L1412)*(100*G1412)+I1412))))))</f>
        <v/>
      </c>
      <c r="O1412" s="75" t="n"/>
      <c r="P1412" s="75" t="n"/>
      <c r="Q1412" s="75">
        <f>IF(ISBLANK(P1412),"",IF(D1412="Stock",P1412*G1412,IF(P1412=0,"0",G1412*P1412*100-(G1412*$AF$14))))</f>
        <v/>
      </c>
      <c r="R1412" s="79">
        <f>IF(P1412&lt;&gt;"", TODAY(), "")</f>
        <v/>
      </c>
      <c r="S1412" s="78">
        <f>IF(AND(K1412&lt;&gt;"", R1412&lt;&gt;""), R1412-K1412, "")</f>
        <v/>
      </c>
      <c r="T1412" s="78" t="n"/>
      <c r="U1412" s="92">
        <f>IF(ISBLANK(P1412),"",IF(C1412="Buy",Q1412-M1412+T1412, IF(C1412="Sell",M1412-Q1412-T1412, X)))</f>
        <v/>
      </c>
      <c r="V1412" s="81">
        <f>IF(ISBLANK(P1412),"",U1412/N1412)</f>
        <v/>
      </c>
      <c r="W1412" s="81">
        <f>IF(ISBLANK(P1412),"",IF(S1412=0,(365/0.5)*V1412,(365/S1412)*V1412))</f>
        <v/>
      </c>
      <c r="X1412" s="75" t="n"/>
      <c r="Y1412" s="77" t="n"/>
      <c r="Z1412" s="77" t="n"/>
      <c r="AA1412" s="75" t="n"/>
      <c r="AB1412" s="75" t="n"/>
      <c r="AC1412" s="6" t="n"/>
      <c r="AD1412" s="75" t="n"/>
      <c r="AE1412" s="75" t="n"/>
      <c r="AF1412" s="75" t="n"/>
    </row>
    <row r="1413" ht="15.75" customHeight="1" s="133">
      <c r="A1413" s="75" t="n"/>
      <c r="B1413" s="75" t="n"/>
      <c r="C1413" s="75" t="n"/>
      <c r="D1413" s="75" t="n"/>
      <c r="E1413" s="76" t="n"/>
      <c r="F1413" s="77" t="n"/>
      <c r="G1413" s="75" t="n"/>
      <c r="H1413" s="75">
        <f>IF(ISBLANK(E1413),"",IF(OR(D1413="Butterfly",D1413="Butterfly ",D1413="Iron Fly", D1413="Iron Fly "),LEN(E1413)-LEN(SUBSTITUTE(E1413,"/",""))+2,LEN(E1413)-LEN(SUBSTITUTE(E1413,"/",""))+1))</f>
        <v/>
      </c>
      <c r="I1413" s="78">
        <f>IF(ISBLANK(G1413),"",IF(D1413="Stock","0",Key!$A$3*H1413*G1413))</f>
        <v/>
      </c>
      <c r="J1413" s="78">
        <f>IF(ISBLANK(E1413),"",IF(ISNUMBER(SEARCH("/",E1413)), IF(LEN(E1413)-LEN(SUBSTITUTE(E1413,"/",""))=1,(RIGHT(E1413,LEN(E1413)-FIND("/",E1413)))-(LEFT(E1413,FIND("/",E1413)-1)),(MID(E1413, SEARCH("/",E1413) + 1, SEARCH("/",E1413, SEARCH("/",E1413)+1) - SEARCH("/",E1413) - 1))-(LEFT(E1413,FIND("/",E1413)-1))), "NA"))</f>
        <v/>
      </c>
      <c r="K1413" s="79">
        <f>IF(A1413&lt;&gt;"", IF(ISBLANK(L1413), TODAY(), K1413), "")</f>
        <v/>
      </c>
      <c r="L1413" s="78" t="n"/>
      <c r="M1413" s="78">
        <f>IF(ISBLANK(L1413),"",IF(D1413="Stock",IF(C1413="Buy",L1413*G1413,IF(C1413="Sell",(L1413*G1413)-I1413, X)),IF(C1413="Buy",(L1413*G1413*100)+I1413,IF(C1413="Sell",(L1413*G1413*100)-I1413, X))))</f>
        <v/>
      </c>
      <c r="N1413" s="78">
        <f>IF(ISBLANK(L1413),"",IF(AND(C1413="Sell",D1413="Stock"),M1413,IF(ISBLANK(L1413),"",IF(C1413="Buy",M1413, IF(AND(C1413="Sell",J1413="NA"),(E1413*G1413*100*0.1)+I1413, IF(C1413="Sell",(J1413-L1413)*(100*G1413)+I1413))))))</f>
        <v/>
      </c>
      <c r="O1413" s="75" t="n"/>
      <c r="P1413" s="75" t="n"/>
      <c r="Q1413" s="75">
        <f>IF(ISBLANK(P1413),"",IF(D1413="Stock",P1413*G1413,IF(P1413=0,"0",G1413*P1413*100-(G1413*$AF$14))))</f>
        <v/>
      </c>
      <c r="R1413" s="79">
        <f>IF(P1413&lt;&gt;"", TODAY(), "")</f>
        <v/>
      </c>
      <c r="S1413" s="78">
        <f>IF(AND(K1413&lt;&gt;"", R1413&lt;&gt;""), R1413-K1413, "")</f>
        <v/>
      </c>
      <c r="T1413" s="78" t="n"/>
      <c r="U1413" s="92">
        <f>IF(ISBLANK(P1413),"",IF(C1413="Buy",Q1413-M1413+T1413, IF(C1413="Sell",M1413-Q1413-T1413, X)))</f>
        <v/>
      </c>
      <c r="V1413" s="81">
        <f>IF(ISBLANK(P1413),"",U1413/N1413)</f>
        <v/>
      </c>
      <c r="W1413" s="81">
        <f>IF(ISBLANK(P1413),"",IF(S1413=0,(365/0.5)*V1413,(365/S1413)*V1413))</f>
        <v/>
      </c>
      <c r="X1413" s="75" t="n"/>
      <c r="Y1413" s="77" t="n"/>
      <c r="Z1413" s="77" t="n"/>
      <c r="AA1413" s="75" t="n"/>
      <c r="AB1413" s="75" t="n"/>
      <c r="AC1413" s="6" t="n"/>
      <c r="AD1413" s="75" t="n"/>
      <c r="AE1413" s="75" t="n"/>
      <c r="AF1413" s="75" t="n"/>
    </row>
    <row r="1414" ht="15.75" customHeight="1" s="133">
      <c r="A1414" s="75" t="n"/>
      <c r="B1414" s="75" t="n"/>
      <c r="C1414" s="75" t="n"/>
      <c r="D1414" s="75" t="n"/>
      <c r="E1414" s="76" t="n"/>
      <c r="F1414" s="77" t="n"/>
      <c r="G1414" s="75" t="n"/>
      <c r="H1414" s="75">
        <f>IF(ISBLANK(E1414),"",IF(OR(D1414="Butterfly",D1414="Butterfly ",D1414="Iron Fly", D1414="Iron Fly "),LEN(E1414)-LEN(SUBSTITUTE(E1414,"/",""))+2,LEN(E1414)-LEN(SUBSTITUTE(E1414,"/",""))+1))</f>
        <v/>
      </c>
      <c r="I1414" s="78">
        <f>IF(ISBLANK(G1414),"",IF(D1414="Stock","0",Key!$A$3*H1414*G1414))</f>
        <v/>
      </c>
      <c r="J1414" s="78">
        <f>IF(ISBLANK(E1414),"",IF(ISNUMBER(SEARCH("/",E1414)), IF(LEN(E1414)-LEN(SUBSTITUTE(E1414,"/",""))=1,(RIGHT(E1414,LEN(E1414)-FIND("/",E1414)))-(LEFT(E1414,FIND("/",E1414)-1)),(MID(E1414, SEARCH("/",E1414) + 1, SEARCH("/",E1414, SEARCH("/",E1414)+1) - SEARCH("/",E1414) - 1))-(LEFT(E1414,FIND("/",E1414)-1))), "NA"))</f>
        <v/>
      </c>
      <c r="K1414" s="79">
        <f>IF(A1414&lt;&gt;"", IF(ISBLANK(L1414), TODAY(), K1414), "")</f>
        <v/>
      </c>
      <c r="L1414" s="78" t="n"/>
      <c r="M1414" s="78">
        <f>IF(ISBLANK(L1414),"",IF(D1414="Stock",IF(C1414="Buy",L1414*G1414,IF(C1414="Sell",(L1414*G1414)-I1414, X)),IF(C1414="Buy",(L1414*G1414*100)+I1414,IF(C1414="Sell",(L1414*G1414*100)-I1414, X))))</f>
        <v/>
      </c>
      <c r="N1414" s="78">
        <f>IF(ISBLANK(L1414),"",IF(AND(C1414="Sell",D1414="Stock"),M1414,IF(ISBLANK(L1414),"",IF(C1414="Buy",M1414, IF(AND(C1414="Sell",J1414="NA"),(E1414*G1414*100*0.1)+I1414, IF(C1414="Sell",(J1414-L1414)*(100*G1414)+I1414))))))</f>
        <v/>
      </c>
      <c r="O1414" s="75" t="n"/>
      <c r="P1414" s="75" t="n"/>
      <c r="Q1414" s="75">
        <f>IF(ISBLANK(P1414),"",IF(D1414="Stock",P1414*G1414,IF(P1414=0,"0",G1414*P1414*100-(G1414*$AF$14))))</f>
        <v/>
      </c>
      <c r="R1414" s="79">
        <f>IF(P1414&lt;&gt;"", TODAY(), "")</f>
        <v/>
      </c>
      <c r="S1414" s="78">
        <f>IF(AND(K1414&lt;&gt;"", R1414&lt;&gt;""), R1414-K1414, "")</f>
        <v/>
      </c>
      <c r="T1414" s="78" t="n"/>
      <c r="U1414" s="92">
        <f>IF(ISBLANK(P1414),"",IF(C1414="Buy",Q1414-M1414+T1414, IF(C1414="Sell",M1414-Q1414-T1414, X)))</f>
        <v/>
      </c>
      <c r="V1414" s="81">
        <f>IF(ISBLANK(P1414),"",U1414/N1414)</f>
        <v/>
      </c>
      <c r="W1414" s="81">
        <f>IF(ISBLANK(P1414),"",IF(S1414=0,(365/0.5)*V1414,(365/S1414)*V1414))</f>
        <v/>
      </c>
      <c r="X1414" s="75" t="n"/>
      <c r="Y1414" s="77" t="n"/>
      <c r="Z1414" s="77" t="n"/>
      <c r="AA1414" s="75" t="n"/>
      <c r="AB1414" s="75" t="n"/>
      <c r="AC1414" s="6" t="n"/>
      <c r="AD1414" s="75" t="n"/>
      <c r="AE1414" s="75" t="n"/>
      <c r="AF1414" s="75" t="n"/>
    </row>
    <row r="1415" ht="15.75" customHeight="1" s="133">
      <c r="A1415" s="75" t="n"/>
      <c r="B1415" s="75" t="n"/>
      <c r="C1415" s="75" t="n"/>
      <c r="D1415" s="75" t="n"/>
      <c r="E1415" s="76" t="n"/>
      <c r="F1415" s="77" t="n"/>
      <c r="G1415" s="75" t="n"/>
      <c r="H1415" s="75">
        <f>IF(ISBLANK(E1415),"",IF(OR(D1415="Butterfly",D1415="Butterfly ",D1415="Iron Fly", D1415="Iron Fly "),LEN(E1415)-LEN(SUBSTITUTE(E1415,"/",""))+2,LEN(E1415)-LEN(SUBSTITUTE(E1415,"/",""))+1))</f>
        <v/>
      </c>
      <c r="I1415" s="78">
        <f>IF(ISBLANK(G1415),"",IF(D1415="Stock","0",Key!$A$3*H1415*G1415))</f>
        <v/>
      </c>
      <c r="J1415" s="78">
        <f>IF(ISBLANK(E1415),"",IF(ISNUMBER(SEARCH("/",E1415)), IF(LEN(E1415)-LEN(SUBSTITUTE(E1415,"/",""))=1,(RIGHT(E1415,LEN(E1415)-FIND("/",E1415)))-(LEFT(E1415,FIND("/",E1415)-1)),(MID(E1415, SEARCH("/",E1415) + 1, SEARCH("/",E1415, SEARCH("/",E1415)+1) - SEARCH("/",E1415) - 1))-(LEFT(E1415,FIND("/",E1415)-1))), "NA"))</f>
        <v/>
      </c>
      <c r="K1415" s="79">
        <f>IF(A1415&lt;&gt;"", IF(ISBLANK(L1415), TODAY(), K1415), "")</f>
        <v/>
      </c>
      <c r="L1415" s="78" t="n"/>
      <c r="M1415" s="78">
        <f>IF(ISBLANK(L1415),"",IF(D1415="Stock",IF(C1415="Buy",L1415*G1415,IF(C1415="Sell",(L1415*G1415)-I1415, X)),IF(C1415="Buy",(L1415*G1415*100)+I1415,IF(C1415="Sell",(L1415*G1415*100)-I1415, X))))</f>
        <v/>
      </c>
      <c r="N1415" s="78">
        <f>IF(ISBLANK(L1415),"",IF(AND(C1415="Sell",D1415="Stock"),M1415,IF(ISBLANK(L1415),"",IF(C1415="Buy",M1415, IF(AND(C1415="Sell",J1415="NA"),(E1415*G1415*100*0.1)+I1415, IF(C1415="Sell",(J1415-L1415)*(100*G1415)+I1415))))))</f>
        <v/>
      </c>
      <c r="O1415" s="75" t="n"/>
      <c r="P1415" s="75" t="n"/>
      <c r="Q1415" s="75">
        <f>IF(ISBLANK(P1415),"",IF(D1415="Stock",P1415*G1415,IF(P1415=0,"0",G1415*P1415*100-(G1415*$AF$14))))</f>
        <v/>
      </c>
      <c r="R1415" s="79">
        <f>IF(P1415&lt;&gt;"", TODAY(), "")</f>
        <v/>
      </c>
      <c r="S1415" s="78">
        <f>IF(AND(K1415&lt;&gt;"", R1415&lt;&gt;""), R1415-K1415, "")</f>
        <v/>
      </c>
      <c r="T1415" s="78" t="n"/>
      <c r="U1415" s="92">
        <f>IF(ISBLANK(P1415),"",IF(C1415="Buy",Q1415-M1415+T1415, IF(C1415="Sell",M1415-Q1415-T1415, X)))</f>
        <v/>
      </c>
      <c r="V1415" s="81">
        <f>IF(ISBLANK(P1415),"",U1415/N1415)</f>
        <v/>
      </c>
      <c r="W1415" s="81">
        <f>IF(ISBLANK(P1415),"",IF(S1415=0,(365/0.5)*V1415,(365/S1415)*V1415))</f>
        <v/>
      </c>
      <c r="X1415" s="75" t="n"/>
      <c r="Y1415" s="77" t="n"/>
      <c r="Z1415" s="77" t="n"/>
      <c r="AA1415" s="75" t="n"/>
      <c r="AB1415" s="75" t="n"/>
      <c r="AC1415" s="6" t="n"/>
      <c r="AD1415" s="75" t="n"/>
      <c r="AE1415" s="75" t="n"/>
      <c r="AF1415" s="75" t="n"/>
    </row>
    <row r="1416" ht="15.75" customHeight="1" s="133">
      <c r="A1416" s="75" t="n"/>
      <c r="B1416" s="75" t="n"/>
      <c r="C1416" s="75" t="n"/>
      <c r="D1416" s="75" t="n"/>
      <c r="E1416" s="76" t="n"/>
      <c r="F1416" s="77" t="n"/>
      <c r="G1416" s="75" t="n"/>
      <c r="H1416" s="75">
        <f>IF(ISBLANK(E1416),"",IF(OR(D1416="Butterfly",D1416="Butterfly ",D1416="Iron Fly", D1416="Iron Fly "),LEN(E1416)-LEN(SUBSTITUTE(E1416,"/",""))+2,LEN(E1416)-LEN(SUBSTITUTE(E1416,"/",""))+1))</f>
        <v/>
      </c>
      <c r="I1416" s="78">
        <f>IF(ISBLANK(G1416),"",IF(D1416="Stock","0",Key!$A$3*H1416*G1416))</f>
        <v/>
      </c>
      <c r="J1416" s="78">
        <f>IF(ISBLANK(E1416),"",IF(ISNUMBER(SEARCH("/",E1416)), IF(LEN(E1416)-LEN(SUBSTITUTE(E1416,"/",""))=1,(RIGHT(E1416,LEN(E1416)-FIND("/",E1416)))-(LEFT(E1416,FIND("/",E1416)-1)),(MID(E1416, SEARCH("/",E1416) + 1, SEARCH("/",E1416, SEARCH("/",E1416)+1) - SEARCH("/",E1416) - 1))-(LEFT(E1416,FIND("/",E1416)-1))), "NA"))</f>
        <v/>
      </c>
      <c r="K1416" s="79">
        <f>IF(A1416&lt;&gt;"", IF(ISBLANK(L1416), TODAY(), K1416), "")</f>
        <v/>
      </c>
      <c r="L1416" s="78" t="n"/>
      <c r="M1416" s="78">
        <f>IF(ISBLANK(L1416),"",IF(D1416="Stock",IF(C1416="Buy",L1416*G1416,IF(C1416="Sell",(L1416*G1416)-I1416, X)),IF(C1416="Buy",(L1416*G1416*100)+I1416,IF(C1416="Sell",(L1416*G1416*100)-I1416, X))))</f>
        <v/>
      </c>
      <c r="N1416" s="78">
        <f>IF(ISBLANK(L1416),"",IF(AND(C1416="Sell",D1416="Stock"),M1416,IF(ISBLANK(L1416),"",IF(C1416="Buy",M1416, IF(AND(C1416="Sell",J1416="NA"),(E1416*G1416*100*0.1)+I1416, IF(C1416="Sell",(J1416-L1416)*(100*G1416)+I1416))))))</f>
        <v/>
      </c>
      <c r="O1416" s="75" t="n"/>
      <c r="P1416" s="75" t="n"/>
      <c r="Q1416" s="75">
        <f>IF(ISBLANK(P1416),"",IF(D1416="Stock",P1416*G1416,IF(P1416=0,"0",G1416*P1416*100-(G1416*$AF$14))))</f>
        <v/>
      </c>
      <c r="R1416" s="79">
        <f>IF(P1416&lt;&gt;"", TODAY(), "")</f>
        <v/>
      </c>
      <c r="S1416" s="78">
        <f>IF(AND(K1416&lt;&gt;"", R1416&lt;&gt;""), R1416-K1416, "")</f>
        <v/>
      </c>
      <c r="T1416" s="78" t="n"/>
      <c r="U1416" s="92">
        <f>IF(ISBLANK(P1416),"",IF(C1416="Buy",Q1416-M1416+T1416, IF(C1416="Sell",M1416-Q1416-T1416, X)))</f>
        <v/>
      </c>
      <c r="V1416" s="81">
        <f>IF(ISBLANK(P1416),"",U1416/N1416)</f>
        <v/>
      </c>
      <c r="W1416" s="81">
        <f>IF(ISBLANK(P1416),"",IF(S1416=0,(365/0.5)*V1416,(365/S1416)*V1416))</f>
        <v/>
      </c>
      <c r="X1416" s="75" t="n"/>
      <c r="Y1416" s="77" t="n"/>
      <c r="Z1416" s="77" t="n"/>
      <c r="AA1416" s="75" t="n"/>
      <c r="AB1416" s="75" t="n"/>
      <c r="AC1416" s="6" t="n"/>
      <c r="AD1416" s="75" t="n"/>
      <c r="AE1416" s="75" t="n"/>
      <c r="AF1416" s="75" t="n"/>
    </row>
    <row r="1417" ht="15.75" customHeight="1" s="133">
      <c r="A1417" s="75" t="n"/>
      <c r="B1417" s="75" t="n"/>
      <c r="C1417" s="75" t="n"/>
      <c r="D1417" s="75" t="n"/>
      <c r="E1417" s="76" t="n"/>
      <c r="F1417" s="77" t="n"/>
      <c r="G1417" s="75" t="n"/>
      <c r="H1417" s="75">
        <f>IF(ISBLANK(E1417),"",IF(OR(D1417="Butterfly",D1417="Butterfly ",D1417="Iron Fly", D1417="Iron Fly "),LEN(E1417)-LEN(SUBSTITUTE(E1417,"/",""))+2,LEN(E1417)-LEN(SUBSTITUTE(E1417,"/",""))+1))</f>
        <v/>
      </c>
      <c r="I1417" s="78">
        <f>IF(ISBLANK(G1417),"",IF(D1417="Stock","0",Key!$A$3*H1417*G1417))</f>
        <v/>
      </c>
      <c r="J1417" s="78">
        <f>IF(ISBLANK(E1417),"",IF(ISNUMBER(SEARCH("/",E1417)), IF(LEN(E1417)-LEN(SUBSTITUTE(E1417,"/",""))=1,(RIGHT(E1417,LEN(E1417)-FIND("/",E1417)))-(LEFT(E1417,FIND("/",E1417)-1)),(MID(E1417, SEARCH("/",E1417) + 1, SEARCH("/",E1417, SEARCH("/",E1417)+1) - SEARCH("/",E1417) - 1))-(LEFT(E1417,FIND("/",E1417)-1))), "NA"))</f>
        <v/>
      </c>
      <c r="K1417" s="79">
        <f>IF(A1417&lt;&gt;"", IF(ISBLANK(L1417), TODAY(), K1417), "")</f>
        <v/>
      </c>
      <c r="L1417" s="78" t="n"/>
      <c r="M1417" s="78">
        <f>IF(ISBLANK(L1417),"",IF(D1417="Stock",IF(C1417="Buy",L1417*G1417,IF(C1417="Sell",(L1417*G1417)-I1417, X)),IF(C1417="Buy",(L1417*G1417*100)+I1417,IF(C1417="Sell",(L1417*G1417*100)-I1417, X))))</f>
        <v/>
      </c>
      <c r="N1417" s="78">
        <f>IF(ISBLANK(L1417),"",IF(AND(C1417="Sell",D1417="Stock"),M1417,IF(ISBLANK(L1417),"",IF(C1417="Buy",M1417, IF(AND(C1417="Sell",J1417="NA"),(E1417*G1417*100*0.1)+I1417, IF(C1417="Sell",(J1417-L1417)*(100*G1417)+I1417))))))</f>
        <v/>
      </c>
      <c r="O1417" s="75" t="n"/>
      <c r="P1417" s="75" t="n"/>
      <c r="Q1417" s="75">
        <f>IF(ISBLANK(P1417),"",IF(D1417="Stock",P1417*G1417,IF(P1417=0,"0",G1417*P1417*100-(G1417*$AF$14))))</f>
        <v/>
      </c>
      <c r="R1417" s="79">
        <f>IF(P1417&lt;&gt;"", TODAY(), "")</f>
        <v/>
      </c>
      <c r="S1417" s="78">
        <f>IF(AND(K1417&lt;&gt;"", R1417&lt;&gt;""), R1417-K1417, "")</f>
        <v/>
      </c>
      <c r="T1417" s="78" t="n"/>
      <c r="U1417" s="92">
        <f>IF(ISBLANK(P1417),"",IF(C1417="Buy",Q1417-M1417+T1417, IF(C1417="Sell",M1417-Q1417-T1417, X)))</f>
        <v/>
      </c>
      <c r="V1417" s="81">
        <f>IF(ISBLANK(P1417),"",U1417/N1417)</f>
        <v/>
      </c>
      <c r="W1417" s="81">
        <f>IF(ISBLANK(P1417),"",IF(S1417=0,(365/0.5)*V1417,(365/S1417)*V1417))</f>
        <v/>
      </c>
      <c r="X1417" s="75" t="n"/>
      <c r="Y1417" s="77" t="n"/>
      <c r="Z1417" s="77" t="n"/>
      <c r="AA1417" s="75" t="n"/>
      <c r="AB1417" s="75" t="n"/>
      <c r="AC1417" s="6" t="n"/>
      <c r="AD1417" s="75" t="n"/>
      <c r="AE1417" s="75" t="n"/>
      <c r="AF1417" s="75" t="n"/>
    </row>
    <row r="1418" ht="15.75" customHeight="1" s="133">
      <c r="A1418" s="75" t="n"/>
      <c r="B1418" s="75" t="n"/>
      <c r="C1418" s="75" t="n"/>
      <c r="D1418" s="75" t="n"/>
      <c r="E1418" s="76" t="n"/>
      <c r="F1418" s="77" t="n"/>
      <c r="G1418" s="75" t="n"/>
      <c r="H1418" s="75">
        <f>IF(ISBLANK(E1418),"",IF(OR(D1418="Butterfly",D1418="Butterfly ",D1418="Iron Fly", D1418="Iron Fly "),LEN(E1418)-LEN(SUBSTITUTE(E1418,"/",""))+2,LEN(E1418)-LEN(SUBSTITUTE(E1418,"/",""))+1))</f>
        <v/>
      </c>
      <c r="I1418" s="78">
        <f>IF(ISBLANK(G1418),"",IF(D1418="Stock","0",Key!$A$3*H1418*G1418))</f>
        <v/>
      </c>
      <c r="J1418" s="78">
        <f>IF(ISBLANK(E1418),"",IF(ISNUMBER(SEARCH("/",E1418)), IF(LEN(E1418)-LEN(SUBSTITUTE(E1418,"/",""))=1,(RIGHT(E1418,LEN(E1418)-FIND("/",E1418)))-(LEFT(E1418,FIND("/",E1418)-1)),(MID(E1418, SEARCH("/",E1418) + 1, SEARCH("/",E1418, SEARCH("/",E1418)+1) - SEARCH("/",E1418) - 1))-(LEFT(E1418,FIND("/",E1418)-1))), "NA"))</f>
        <v/>
      </c>
      <c r="K1418" s="79">
        <f>IF(A1418&lt;&gt;"", IF(ISBLANK(L1418), TODAY(), K1418), "")</f>
        <v/>
      </c>
      <c r="L1418" s="78" t="n"/>
      <c r="M1418" s="78">
        <f>IF(ISBLANK(L1418),"",IF(D1418="Stock",IF(C1418="Buy",L1418*G1418,IF(C1418="Sell",(L1418*G1418)-I1418, X)),IF(C1418="Buy",(L1418*G1418*100)+I1418,IF(C1418="Sell",(L1418*G1418*100)-I1418, X))))</f>
        <v/>
      </c>
      <c r="N1418" s="78">
        <f>IF(ISBLANK(L1418),"",IF(AND(C1418="Sell",D1418="Stock"),M1418,IF(ISBLANK(L1418),"",IF(C1418="Buy",M1418, IF(AND(C1418="Sell",J1418="NA"),(E1418*G1418*100*0.1)+I1418, IF(C1418="Sell",(J1418-L1418)*(100*G1418)+I1418))))))</f>
        <v/>
      </c>
      <c r="O1418" s="75" t="n"/>
      <c r="P1418" s="75" t="n"/>
      <c r="Q1418" s="75">
        <f>IF(ISBLANK(P1418),"",IF(D1418="Stock",P1418*G1418,IF(P1418=0,"0",G1418*P1418*100-(G1418*$AF$14))))</f>
        <v/>
      </c>
      <c r="R1418" s="79">
        <f>IF(P1418&lt;&gt;"", TODAY(), "")</f>
        <v/>
      </c>
      <c r="S1418" s="78">
        <f>IF(AND(K1418&lt;&gt;"", R1418&lt;&gt;""), R1418-K1418, "")</f>
        <v/>
      </c>
      <c r="T1418" s="78" t="n"/>
      <c r="U1418" s="92">
        <f>IF(ISBLANK(P1418),"",IF(C1418="Buy",Q1418-M1418+T1418, IF(C1418="Sell",M1418-Q1418-T1418, X)))</f>
        <v/>
      </c>
      <c r="V1418" s="81">
        <f>IF(ISBLANK(P1418),"",U1418/N1418)</f>
        <v/>
      </c>
      <c r="W1418" s="81">
        <f>IF(ISBLANK(P1418),"",IF(S1418=0,(365/0.5)*V1418,(365/S1418)*V1418))</f>
        <v/>
      </c>
      <c r="X1418" s="75" t="n"/>
      <c r="Y1418" s="77" t="n"/>
      <c r="Z1418" s="77" t="n"/>
      <c r="AA1418" s="75" t="n"/>
      <c r="AB1418" s="75" t="n"/>
      <c r="AC1418" s="6" t="n"/>
      <c r="AD1418" s="75" t="n"/>
      <c r="AE1418" s="75" t="n"/>
      <c r="AF1418" s="75" t="n"/>
    </row>
    <row r="1419" ht="15.75" customHeight="1" s="133">
      <c r="A1419" s="75" t="n"/>
      <c r="B1419" s="75" t="n"/>
      <c r="C1419" s="75" t="n"/>
      <c r="D1419" s="75" t="n"/>
      <c r="E1419" s="76" t="n"/>
      <c r="F1419" s="77" t="n"/>
      <c r="G1419" s="75" t="n"/>
      <c r="H1419" s="75">
        <f>IF(ISBLANK(E1419),"",IF(OR(D1419="Butterfly",D1419="Butterfly ",D1419="Iron Fly", D1419="Iron Fly "),LEN(E1419)-LEN(SUBSTITUTE(E1419,"/",""))+2,LEN(E1419)-LEN(SUBSTITUTE(E1419,"/",""))+1))</f>
        <v/>
      </c>
      <c r="I1419" s="78">
        <f>IF(ISBLANK(G1419),"",IF(D1419="Stock","0",Key!$A$3*H1419*G1419))</f>
        <v/>
      </c>
      <c r="J1419" s="78">
        <f>IF(ISBLANK(E1419),"",IF(ISNUMBER(SEARCH("/",E1419)), IF(LEN(E1419)-LEN(SUBSTITUTE(E1419,"/",""))=1,(RIGHT(E1419,LEN(E1419)-FIND("/",E1419)))-(LEFT(E1419,FIND("/",E1419)-1)),(MID(E1419, SEARCH("/",E1419) + 1, SEARCH("/",E1419, SEARCH("/",E1419)+1) - SEARCH("/",E1419) - 1))-(LEFT(E1419,FIND("/",E1419)-1))), "NA"))</f>
        <v/>
      </c>
      <c r="K1419" s="79">
        <f>IF(A1419&lt;&gt;"", IF(ISBLANK(L1419), TODAY(), K1419), "")</f>
        <v/>
      </c>
      <c r="L1419" s="78" t="n"/>
      <c r="M1419" s="78">
        <f>IF(ISBLANK(L1419),"",IF(D1419="Stock",IF(C1419="Buy",L1419*G1419,IF(C1419="Sell",(L1419*G1419)-I1419, X)),IF(C1419="Buy",(L1419*G1419*100)+I1419,IF(C1419="Sell",(L1419*G1419*100)-I1419, X))))</f>
        <v/>
      </c>
      <c r="N1419" s="78">
        <f>IF(ISBLANK(L1419),"",IF(AND(C1419="Sell",D1419="Stock"),M1419,IF(ISBLANK(L1419),"",IF(C1419="Buy",M1419, IF(AND(C1419="Sell",J1419="NA"),(E1419*G1419*100*0.1)+I1419, IF(C1419="Sell",(J1419-L1419)*(100*G1419)+I1419))))))</f>
        <v/>
      </c>
      <c r="O1419" s="75" t="n"/>
      <c r="P1419" s="75" t="n"/>
      <c r="Q1419" s="75">
        <f>IF(ISBLANK(P1419),"",IF(D1419="Stock",P1419*G1419,IF(P1419=0,"0",G1419*P1419*100-(G1419*$AF$14))))</f>
        <v/>
      </c>
      <c r="R1419" s="79">
        <f>IF(P1419&lt;&gt;"", TODAY(), "")</f>
        <v/>
      </c>
      <c r="S1419" s="78">
        <f>IF(AND(K1419&lt;&gt;"", R1419&lt;&gt;""), R1419-K1419, "")</f>
        <v/>
      </c>
      <c r="T1419" s="78" t="n"/>
      <c r="U1419" s="92">
        <f>IF(ISBLANK(P1419),"",IF(C1419="Buy",Q1419-M1419+T1419, IF(C1419="Sell",M1419-Q1419-T1419, X)))</f>
        <v/>
      </c>
      <c r="V1419" s="81">
        <f>IF(ISBLANK(P1419),"",U1419/N1419)</f>
        <v/>
      </c>
      <c r="W1419" s="81">
        <f>IF(ISBLANK(P1419),"",IF(S1419=0,(365/0.5)*V1419,(365/S1419)*V1419))</f>
        <v/>
      </c>
      <c r="X1419" s="75" t="n"/>
      <c r="Y1419" s="77" t="n"/>
      <c r="Z1419" s="77" t="n"/>
      <c r="AA1419" s="75" t="n"/>
      <c r="AB1419" s="75" t="n"/>
      <c r="AC1419" s="6" t="n"/>
      <c r="AD1419" s="75" t="n"/>
      <c r="AE1419" s="75" t="n"/>
      <c r="AF1419" s="75" t="n"/>
    </row>
    <row r="1420" ht="15.75" customHeight="1" s="133">
      <c r="A1420" s="75" t="n"/>
      <c r="B1420" s="75" t="n"/>
      <c r="C1420" s="75" t="n"/>
      <c r="D1420" s="75" t="n"/>
      <c r="E1420" s="76" t="n"/>
      <c r="F1420" s="77" t="n"/>
      <c r="G1420" s="75" t="n"/>
      <c r="H1420" s="75">
        <f>IF(ISBLANK(E1420),"",IF(OR(D1420="Butterfly",D1420="Butterfly ",D1420="Iron Fly", D1420="Iron Fly "),LEN(E1420)-LEN(SUBSTITUTE(E1420,"/",""))+2,LEN(E1420)-LEN(SUBSTITUTE(E1420,"/",""))+1))</f>
        <v/>
      </c>
      <c r="I1420" s="78">
        <f>IF(ISBLANK(G1420),"",IF(D1420="Stock","0",Key!$A$3*H1420*G1420))</f>
        <v/>
      </c>
      <c r="J1420" s="78">
        <f>IF(ISBLANK(E1420),"",IF(ISNUMBER(SEARCH("/",E1420)), IF(LEN(E1420)-LEN(SUBSTITUTE(E1420,"/",""))=1,(RIGHT(E1420,LEN(E1420)-FIND("/",E1420)))-(LEFT(E1420,FIND("/",E1420)-1)),(MID(E1420, SEARCH("/",E1420) + 1, SEARCH("/",E1420, SEARCH("/",E1420)+1) - SEARCH("/",E1420) - 1))-(LEFT(E1420,FIND("/",E1420)-1))), "NA"))</f>
        <v/>
      </c>
      <c r="K1420" s="79">
        <f>IF(A1420&lt;&gt;"", IF(ISBLANK(L1420), TODAY(), K1420), "")</f>
        <v/>
      </c>
      <c r="L1420" s="78" t="n"/>
      <c r="M1420" s="78">
        <f>IF(ISBLANK(L1420),"",IF(D1420="Stock",IF(C1420="Buy",L1420*G1420,IF(C1420="Sell",(L1420*G1420)-I1420, X)),IF(C1420="Buy",(L1420*G1420*100)+I1420,IF(C1420="Sell",(L1420*G1420*100)-I1420, X))))</f>
        <v/>
      </c>
      <c r="N1420" s="78">
        <f>IF(ISBLANK(L1420),"",IF(AND(C1420="Sell",D1420="Stock"),M1420,IF(ISBLANK(L1420),"",IF(C1420="Buy",M1420, IF(AND(C1420="Sell",J1420="NA"),(E1420*G1420*100*0.1)+I1420, IF(C1420="Sell",(J1420-L1420)*(100*G1420)+I1420))))))</f>
        <v/>
      </c>
      <c r="O1420" s="75" t="n"/>
      <c r="P1420" s="75" t="n"/>
      <c r="Q1420" s="75">
        <f>IF(ISBLANK(P1420),"",IF(D1420="Stock",P1420*G1420,IF(P1420=0,"0",G1420*P1420*100-(G1420*$AF$14))))</f>
        <v/>
      </c>
      <c r="R1420" s="79">
        <f>IF(P1420&lt;&gt;"", TODAY(), "")</f>
        <v/>
      </c>
      <c r="S1420" s="78">
        <f>IF(AND(K1420&lt;&gt;"", R1420&lt;&gt;""), R1420-K1420, "")</f>
        <v/>
      </c>
      <c r="T1420" s="78" t="n"/>
      <c r="U1420" s="92">
        <f>IF(ISBLANK(P1420),"",IF(C1420="Buy",Q1420-M1420+T1420, IF(C1420="Sell",M1420-Q1420-T1420, X)))</f>
        <v/>
      </c>
      <c r="V1420" s="81">
        <f>IF(ISBLANK(P1420),"",U1420/N1420)</f>
        <v/>
      </c>
      <c r="W1420" s="81">
        <f>IF(ISBLANK(P1420),"",IF(S1420=0,(365/0.5)*V1420,(365/S1420)*V1420))</f>
        <v/>
      </c>
      <c r="X1420" s="75" t="n"/>
      <c r="Y1420" s="77" t="n"/>
      <c r="Z1420" s="77" t="n"/>
      <c r="AA1420" s="75" t="n"/>
      <c r="AB1420" s="75" t="n"/>
      <c r="AC1420" s="6" t="n"/>
      <c r="AD1420" s="75" t="n"/>
      <c r="AE1420" s="75" t="n"/>
      <c r="AF1420" s="75" t="n"/>
    </row>
    <row r="1421" ht="15.75" customHeight="1" s="133">
      <c r="A1421" s="75" t="n"/>
      <c r="B1421" s="75" t="n"/>
      <c r="C1421" s="75" t="n"/>
      <c r="D1421" s="75" t="n"/>
      <c r="E1421" s="76" t="n"/>
      <c r="F1421" s="77" t="n"/>
      <c r="G1421" s="75" t="n"/>
      <c r="H1421" s="75">
        <f>IF(ISBLANK(E1421),"",IF(OR(D1421="Butterfly",D1421="Butterfly ",D1421="Iron Fly", D1421="Iron Fly "),LEN(E1421)-LEN(SUBSTITUTE(E1421,"/",""))+2,LEN(E1421)-LEN(SUBSTITUTE(E1421,"/",""))+1))</f>
        <v/>
      </c>
      <c r="I1421" s="78">
        <f>IF(ISBLANK(G1421),"",IF(D1421="Stock","0",Key!$A$3*H1421*G1421))</f>
        <v/>
      </c>
      <c r="J1421" s="78">
        <f>IF(ISBLANK(E1421),"",IF(ISNUMBER(SEARCH("/",E1421)), IF(LEN(E1421)-LEN(SUBSTITUTE(E1421,"/",""))=1,(RIGHT(E1421,LEN(E1421)-FIND("/",E1421)))-(LEFT(E1421,FIND("/",E1421)-1)),(MID(E1421, SEARCH("/",E1421) + 1, SEARCH("/",E1421, SEARCH("/",E1421)+1) - SEARCH("/",E1421) - 1))-(LEFT(E1421,FIND("/",E1421)-1))), "NA"))</f>
        <v/>
      </c>
      <c r="K1421" s="79">
        <f>IF(A1421&lt;&gt;"", IF(ISBLANK(L1421), TODAY(), K1421), "")</f>
        <v/>
      </c>
      <c r="L1421" s="78" t="n"/>
      <c r="M1421" s="78">
        <f>IF(ISBLANK(L1421),"",IF(D1421="Stock",IF(C1421="Buy",L1421*G1421,IF(C1421="Sell",(L1421*G1421)-I1421, X)),IF(C1421="Buy",(L1421*G1421*100)+I1421,IF(C1421="Sell",(L1421*G1421*100)-I1421, X))))</f>
        <v/>
      </c>
      <c r="N1421" s="78">
        <f>IF(ISBLANK(L1421),"",IF(AND(C1421="Sell",D1421="Stock"),M1421,IF(ISBLANK(L1421),"",IF(C1421="Buy",M1421, IF(AND(C1421="Sell",J1421="NA"),(E1421*G1421*100*0.1)+I1421, IF(C1421="Sell",(J1421-L1421)*(100*G1421)+I1421))))))</f>
        <v/>
      </c>
      <c r="O1421" s="75" t="n"/>
      <c r="P1421" s="75" t="n"/>
      <c r="Q1421" s="75">
        <f>IF(ISBLANK(P1421),"",IF(D1421="Stock",P1421*G1421,IF(P1421=0,"0",G1421*P1421*100-(G1421*$AF$14))))</f>
        <v/>
      </c>
      <c r="R1421" s="79">
        <f>IF(P1421&lt;&gt;"", TODAY(), "")</f>
        <v/>
      </c>
      <c r="S1421" s="78">
        <f>IF(AND(K1421&lt;&gt;"", R1421&lt;&gt;""), R1421-K1421, "")</f>
        <v/>
      </c>
      <c r="T1421" s="78" t="n"/>
      <c r="U1421" s="92">
        <f>IF(ISBLANK(P1421),"",IF(C1421="Buy",Q1421-M1421+T1421, IF(C1421="Sell",M1421-Q1421-T1421, X)))</f>
        <v/>
      </c>
      <c r="V1421" s="81">
        <f>IF(ISBLANK(P1421),"",U1421/N1421)</f>
        <v/>
      </c>
      <c r="W1421" s="81">
        <f>IF(ISBLANK(P1421),"",IF(S1421=0,(365/0.5)*V1421,(365/S1421)*V1421))</f>
        <v/>
      </c>
      <c r="X1421" s="75" t="n"/>
      <c r="Y1421" s="77" t="n"/>
      <c r="Z1421" s="77" t="n"/>
      <c r="AA1421" s="75" t="n"/>
      <c r="AB1421" s="75" t="n"/>
      <c r="AC1421" s="6" t="n"/>
      <c r="AD1421" s="75" t="n"/>
      <c r="AE1421" s="75" t="n"/>
      <c r="AF1421" s="75" t="n"/>
    </row>
    <row r="1422" ht="15.75" customHeight="1" s="133">
      <c r="A1422" s="75" t="n"/>
      <c r="B1422" s="75" t="n"/>
      <c r="C1422" s="75" t="n"/>
      <c r="D1422" s="75" t="n"/>
      <c r="E1422" s="76" t="n"/>
      <c r="F1422" s="77" t="n"/>
      <c r="G1422" s="75" t="n"/>
      <c r="H1422" s="75">
        <f>IF(ISBLANK(E1422),"",IF(OR(D1422="Butterfly",D1422="Butterfly ",D1422="Iron Fly", D1422="Iron Fly "),LEN(E1422)-LEN(SUBSTITUTE(E1422,"/",""))+2,LEN(E1422)-LEN(SUBSTITUTE(E1422,"/",""))+1))</f>
        <v/>
      </c>
      <c r="I1422" s="78">
        <f>IF(ISBLANK(G1422),"",IF(D1422="Stock","0",Key!$A$3*H1422*G1422))</f>
        <v/>
      </c>
      <c r="J1422" s="78">
        <f>IF(ISBLANK(E1422),"",IF(ISNUMBER(SEARCH("/",E1422)), IF(LEN(E1422)-LEN(SUBSTITUTE(E1422,"/",""))=1,(RIGHT(E1422,LEN(E1422)-FIND("/",E1422)))-(LEFT(E1422,FIND("/",E1422)-1)),(MID(E1422, SEARCH("/",E1422) + 1, SEARCH("/",E1422, SEARCH("/",E1422)+1) - SEARCH("/",E1422) - 1))-(LEFT(E1422,FIND("/",E1422)-1))), "NA"))</f>
        <v/>
      </c>
      <c r="K1422" s="79">
        <f>IF(A1422&lt;&gt;"", IF(ISBLANK(L1422), TODAY(), K1422), "")</f>
        <v/>
      </c>
      <c r="L1422" s="78" t="n"/>
      <c r="M1422" s="78">
        <f>IF(ISBLANK(L1422),"",IF(D1422="Stock",IF(C1422="Buy",L1422*G1422,IF(C1422="Sell",(L1422*G1422)-I1422, X)),IF(C1422="Buy",(L1422*G1422*100)+I1422,IF(C1422="Sell",(L1422*G1422*100)-I1422, X))))</f>
        <v/>
      </c>
      <c r="N1422" s="78">
        <f>IF(ISBLANK(L1422),"",IF(AND(C1422="Sell",D1422="Stock"),M1422,IF(ISBLANK(L1422),"",IF(C1422="Buy",M1422, IF(AND(C1422="Sell",J1422="NA"),(E1422*G1422*100*0.1)+I1422, IF(C1422="Sell",(J1422-L1422)*(100*G1422)+I1422))))))</f>
        <v/>
      </c>
      <c r="O1422" s="75" t="n"/>
      <c r="P1422" s="75" t="n"/>
      <c r="Q1422" s="75">
        <f>IF(ISBLANK(P1422),"",IF(D1422="Stock",P1422*G1422,IF(P1422=0,"0",G1422*P1422*100-(G1422*$AF$14))))</f>
        <v/>
      </c>
      <c r="R1422" s="79">
        <f>IF(P1422&lt;&gt;"", TODAY(), "")</f>
        <v/>
      </c>
      <c r="S1422" s="78">
        <f>IF(AND(K1422&lt;&gt;"", R1422&lt;&gt;""), R1422-K1422, "")</f>
        <v/>
      </c>
      <c r="T1422" s="78" t="n"/>
      <c r="U1422" s="92">
        <f>IF(ISBLANK(P1422),"",IF(C1422="Buy",Q1422-M1422+T1422, IF(C1422="Sell",M1422-Q1422-T1422, X)))</f>
        <v/>
      </c>
      <c r="V1422" s="81">
        <f>IF(ISBLANK(P1422),"",U1422/N1422)</f>
        <v/>
      </c>
      <c r="W1422" s="81">
        <f>IF(ISBLANK(P1422),"",IF(S1422=0,(365/0.5)*V1422,(365/S1422)*V1422))</f>
        <v/>
      </c>
      <c r="X1422" s="75" t="n"/>
      <c r="Y1422" s="77" t="n"/>
      <c r="Z1422" s="77" t="n"/>
      <c r="AA1422" s="75" t="n"/>
      <c r="AB1422" s="75" t="n"/>
      <c r="AC1422" s="6" t="n"/>
      <c r="AD1422" s="75" t="n"/>
      <c r="AE1422" s="75" t="n"/>
      <c r="AF1422" s="75" t="n"/>
    </row>
    <row r="1423" ht="15.75" customHeight="1" s="133">
      <c r="A1423" s="75" t="n"/>
      <c r="B1423" s="75" t="n"/>
      <c r="C1423" s="75" t="n"/>
      <c r="D1423" s="75" t="n"/>
      <c r="E1423" s="76" t="n"/>
      <c r="F1423" s="77" t="n"/>
      <c r="G1423" s="75" t="n"/>
      <c r="H1423" s="75">
        <f>IF(ISBLANK(E1423),"",IF(OR(D1423="Butterfly",D1423="Butterfly ",D1423="Iron Fly", D1423="Iron Fly "),LEN(E1423)-LEN(SUBSTITUTE(E1423,"/",""))+2,LEN(E1423)-LEN(SUBSTITUTE(E1423,"/",""))+1))</f>
        <v/>
      </c>
      <c r="I1423" s="78">
        <f>IF(ISBLANK(G1423),"",IF(D1423="Stock","0",Key!$A$3*H1423*G1423))</f>
        <v/>
      </c>
      <c r="J1423" s="78">
        <f>IF(ISBLANK(E1423),"",IF(ISNUMBER(SEARCH("/",E1423)), IF(LEN(E1423)-LEN(SUBSTITUTE(E1423,"/",""))=1,(RIGHT(E1423,LEN(E1423)-FIND("/",E1423)))-(LEFT(E1423,FIND("/",E1423)-1)),(MID(E1423, SEARCH("/",E1423) + 1, SEARCH("/",E1423, SEARCH("/",E1423)+1) - SEARCH("/",E1423) - 1))-(LEFT(E1423,FIND("/",E1423)-1))), "NA"))</f>
        <v/>
      </c>
      <c r="K1423" s="79">
        <f>IF(A1423&lt;&gt;"", IF(ISBLANK(L1423), TODAY(), K1423), "")</f>
        <v/>
      </c>
      <c r="L1423" s="78" t="n"/>
      <c r="M1423" s="78">
        <f>IF(ISBLANK(L1423),"",IF(D1423="Stock",IF(C1423="Buy",L1423*G1423,IF(C1423="Sell",(L1423*G1423)-I1423, X)),IF(C1423="Buy",(L1423*G1423*100)+I1423,IF(C1423="Sell",(L1423*G1423*100)-I1423, X))))</f>
        <v/>
      </c>
      <c r="N1423" s="78">
        <f>IF(ISBLANK(L1423),"",IF(AND(C1423="Sell",D1423="Stock"),M1423,IF(ISBLANK(L1423),"",IF(C1423="Buy",M1423, IF(AND(C1423="Sell",J1423="NA"),(E1423*G1423*100*0.1)+I1423, IF(C1423="Sell",(J1423-L1423)*(100*G1423)+I1423))))))</f>
        <v/>
      </c>
      <c r="O1423" s="75" t="n"/>
      <c r="P1423" s="75" t="n"/>
      <c r="Q1423" s="75">
        <f>IF(ISBLANK(P1423),"",IF(D1423="Stock",P1423*G1423,IF(P1423=0,"0",G1423*P1423*100-(G1423*$AF$14))))</f>
        <v/>
      </c>
      <c r="R1423" s="79">
        <f>IF(P1423&lt;&gt;"", TODAY(), "")</f>
        <v/>
      </c>
      <c r="S1423" s="78">
        <f>IF(AND(K1423&lt;&gt;"", R1423&lt;&gt;""), R1423-K1423, "")</f>
        <v/>
      </c>
      <c r="T1423" s="78" t="n"/>
      <c r="U1423" s="92">
        <f>IF(ISBLANK(P1423),"",IF(C1423="Buy",Q1423-M1423+T1423, IF(C1423="Sell",M1423-Q1423-T1423, X)))</f>
        <v/>
      </c>
      <c r="V1423" s="81">
        <f>IF(ISBLANK(P1423),"",U1423/N1423)</f>
        <v/>
      </c>
      <c r="W1423" s="81">
        <f>IF(ISBLANK(P1423),"",IF(S1423=0,(365/0.5)*V1423,(365/S1423)*V1423))</f>
        <v/>
      </c>
      <c r="X1423" s="75" t="n"/>
      <c r="Y1423" s="77" t="n"/>
      <c r="Z1423" s="77" t="n"/>
      <c r="AA1423" s="75" t="n"/>
      <c r="AB1423" s="75" t="n"/>
      <c r="AC1423" s="6" t="n"/>
      <c r="AD1423" s="75" t="n"/>
      <c r="AE1423" s="75" t="n"/>
      <c r="AF1423" s="75" t="n"/>
    </row>
    <row r="1424" ht="15.75" customHeight="1" s="133">
      <c r="A1424" s="75" t="n"/>
      <c r="B1424" s="75" t="n"/>
      <c r="C1424" s="75" t="n"/>
      <c r="D1424" s="75" t="n"/>
      <c r="E1424" s="76" t="n"/>
      <c r="F1424" s="77" t="n"/>
      <c r="G1424" s="75" t="n"/>
      <c r="H1424" s="75">
        <f>IF(ISBLANK(E1424),"",IF(OR(D1424="Butterfly",D1424="Butterfly ",D1424="Iron Fly", D1424="Iron Fly "),LEN(E1424)-LEN(SUBSTITUTE(E1424,"/",""))+2,LEN(E1424)-LEN(SUBSTITUTE(E1424,"/",""))+1))</f>
        <v/>
      </c>
      <c r="I1424" s="78">
        <f>IF(ISBLANK(G1424),"",IF(D1424="Stock","0",Key!$A$3*H1424*G1424))</f>
        <v/>
      </c>
      <c r="J1424" s="78">
        <f>IF(ISBLANK(E1424),"",IF(ISNUMBER(SEARCH("/",E1424)), IF(LEN(E1424)-LEN(SUBSTITUTE(E1424,"/",""))=1,(RIGHT(E1424,LEN(E1424)-FIND("/",E1424)))-(LEFT(E1424,FIND("/",E1424)-1)),(MID(E1424, SEARCH("/",E1424) + 1, SEARCH("/",E1424, SEARCH("/",E1424)+1) - SEARCH("/",E1424) - 1))-(LEFT(E1424,FIND("/",E1424)-1))), "NA"))</f>
        <v/>
      </c>
      <c r="K1424" s="79">
        <f>IF(A1424&lt;&gt;"", IF(ISBLANK(L1424), TODAY(), K1424), "")</f>
        <v/>
      </c>
      <c r="L1424" s="78" t="n"/>
      <c r="M1424" s="78">
        <f>IF(ISBLANK(L1424),"",IF(D1424="Stock",IF(C1424="Buy",L1424*G1424,IF(C1424="Sell",(L1424*G1424)-I1424, X)),IF(C1424="Buy",(L1424*G1424*100)+I1424,IF(C1424="Sell",(L1424*G1424*100)-I1424, X))))</f>
        <v/>
      </c>
      <c r="N1424" s="78">
        <f>IF(ISBLANK(L1424),"",IF(AND(C1424="Sell",D1424="Stock"),M1424,IF(ISBLANK(L1424),"",IF(C1424="Buy",M1424, IF(AND(C1424="Sell",J1424="NA"),(E1424*G1424*100*0.1)+I1424, IF(C1424="Sell",(J1424-L1424)*(100*G1424)+I1424))))))</f>
        <v/>
      </c>
      <c r="O1424" s="75" t="n"/>
      <c r="P1424" s="75" t="n"/>
      <c r="Q1424" s="75">
        <f>IF(ISBLANK(P1424),"",IF(D1424="Stock",P1424*G1424,IF(P1424=0,"0",G1424*P1424*100-(G1424*$AF$14))))</f>
        <v/>
      </c>
      <c r="R1424" s="79">
        <f>IF(P1424&lt;&gt;"", TODAY(), "")</f>
        <v/>
      </c>
      <c r="S1424" s="78">
        <f>IF(AND(K1424&lt;&gt;"", R1424&lt;&gt;""), R1424-K1424, "")</f>
        <v/>
      </c>
      <c r="T1424" s="78" t="n"/>
      <c r="U1424" s="92">
        <f>IF(ISBLANK(P1424),"",IF(C1424="Buy",Q1424-M1424+T1424, IF(C1424="Sell",M1424-Q1424-T1424, X)))</f>
        <v/>
      </c>
      <c r="V1424" s="81">
        <f>IF(ISBLANK(P1424),"",U1424/N1424)</f>
        <v/>
      </c>
      <c r="W1424" s="81">
        <f>IF(ISBLANK(P1424),"",IF(S1424=0,(365/0.5)*V1424,(365/S1424)*V1424))</f>
        <v/>
      </c>
      <c r="X1424" s="75" t="n"/>
      <c r="Y1424" s="77" t="n"/>
      <c r="Z1424" s="77" t="n"/>
      <c r="AA1424" s="75" t="n"/>
      <c r="AB1424" s="75" t="n"/>
      <c r="AC1424" s="6" t="n"/>
      <c r="AD1424" s="75" t="n"/>
      <c r="AE1424" s="75" t="n"/>
      <c r="AF1424" s="75" t="n"/>
    </row>
    <row r="1425" ht="15.75" customHeight="1" s="133">
      <c r="A1425" s="75" t="n"/>
      <c r="B1425" s="75" t="n"/>
      <c r="C1425" s="75" t="n"/>
      <c r="D1425" s="75" t="n"/>
      <c r="E1425" s="76" t="n"/>
      <c r="F1425" s="77" t="n"/>
      <c r="G1425" s="75" t="n"/>
      <c r="H1425" s="75">
        <f>IF(ISBLANK(E1425),"",IF(OR(D1425="Butterfly",D1425="Butterfly ",D1425="Iron Fly", D1425="Iron Fly "),LEN(E1425)-LEN(SUBSTITUTE(E1425,"/",""))+2,LEN(E1425)-LEN(SUBSTITUTE(E1425,"/",""))+1))</f>
        <v/>
      </c>
      <c r="I1425" s="78">
        <f>IF(ISBLANK(G1425),"",IF(D1425="Stock","0",Key!$A$3*H1425*G1425))</f>
        <v/>
      </c>
      <c r="J1425" s="78">
        <f>IF(ISBLANK(E1425),"",IF(ISNUMBER(SEARCH("/",E1425)), IF(LEN(E1425)-LEN(SUBSTITUTE(E1425,"/",""))=1,(RIGHT(E1425,LEN(E1425)-FIND("/",E1425)))-(LEFT(E1425,FIND("/",E1425)-1)),(MID(E1425, SEARCH("/",E1425) + 1, SEARCH("/",E1425, SEARCH("/",E1425)+1) - SEARCH("/",E1425) - 1))-(LEFT(E1425,FIND("/",E1425)-1))), "NA"))</f>
        <v/>
      </c>
      <c r="K1425" s="79">
        <f>IF(A1425&lt;&gt;"", IF(ISBLANK(L1425), TODAY(), K1425), "")</f>
        <v/>
      </c>
      <c r="L1425" s="78" t="n"/>
      <c r="M1425" s="78">
        <f>IF(ISBLANK(L1425),"",IF(D1425="Stock",IF(C1425="Buy",L1425*G1425,IF(C1425="Sell",(L1425*G1425)-I1425, X)),IF(C1425="Buy",(L1425*G1425*100)+I1425,IF(C1425="Sell",(L1425*G1425*100)-I1425, X))))</f>
        <v/>
      </c>
      <c r="N1425" s="78">
        <f>IF(ISBLANK(L1425),"",IF(AND(C1425="Sell",D1425="Stock"),M1425,IF(ISBLANK(L1425),"",IF(C1425="Buy",M1425, IF(AND(C1425="Sell",J1425="NA"),(E1425*G1425*100*0.1)+I1425, IF(C1425="Sell",(J1425-L1425)*(100*G1425)+I1425))))))</f>
        <v/>
      </c>
      <c r="O1425" s="75" t="n"/>
      <c r="P1425" s="75" t="n"/>
      <c r="Q1425" s="75">
        <f>IF(ISBLANK(P1425),"",IF(D1425="Stock",P1425*G1425,IF(P1425=0,"0",G1425*P1425*100-(G1425*$AF$14))))</f>
        <v/>
      </c>
      <c r="R1425" s="79">
        <f>IF(P1425&lt;&gt;"", TODAY(), "")</f>
        <v/>
      </c>
      <c r="S1425" s="78">
        <f>IF(AND(K1425&lt;&gt;"", R1425&lt;&gt;""), R1425-K1425, "")</f>
        <v/>
      </c>
      <c r="T1425" s="78" t="n"/>
      <c r="U1425" s="92">
        <f>IF(ISBLANK(P1425),"",IF(C1425="Buy",Q1425-M1425+T1425, IF(C1425="Sell",M1425-Q1425-T1425, X)))</f>
        <v/>
      </c>
      <c r="V1425" s="81">
        <f>IF(ISBLANK(P1425),"",U1425/N1425)</f>
        <v/>
      </c>
      <c r="W1425" s="81">
        <f>IF(ISBLANK(P1425),"",IF(S1425=0,(365/0.5)*V1425,(365/S1425)*V1425))</f>
        <v/>
      </c>
      <c r="X1425" s="75" t="n"/>
      <c r="Y1425" s="77" t="n"/>
      <c r="Z1425" s="77" t="n"/>
      <c r="AA1425" s="75" t="n"/>
      <c r="AB1425" s="75" t="n"/>
      <c r="AC1425" s="6" t="n"/>
      <c r="AD1425" s="75" t="n"/>
      <c r="AE1425" s="75" t="n"/>
      <c r="AF1425" s="75" t="n"/>
    </row>
    <row r="1426" ht="15.75" customHeight="1" s="133">
      <c r="A1426" s="75" t="n"/>
      <c r="B1426" s="75" t="n"/>
      <c r="C1426" s="75" t="n"/>
      <c r="D1426" s="75" t="n"/>
      <c r="E1426" s="76" t="n"/>
      <c r="F1426" s="77" t="n"/>
      <c r="G1426" s="75" t="n"/>
      <c r="H1426" s="75">
        <f>IF(ISBLANK(E1426),"",IF(OR(D1426="Butterfly",D1426="Butterfly ",D1426="Iron Fly", D1426="Iron Fly "),LEN(E1426)-LEN(SUBSTITUTE(E1426,"/",""))+2,LEN(E1426)-LEN(SUBSTITUTE(E1426,"/",""))+1))</f>
        <v/>
      </c>
      <c r="I1426" s="78">
        <f>IF(ISBLANK(G1426),"",IF(D1426="Stock","0",Key!$A$3*H1426*G1426))</f>
        <v/>
      </c>
      <c r="J1426" s="78">
        <f>IF(ISBLANK(E1426),"",IF(ISNUMBER(SEARCH("/",E1426)), IF(LEN(E1426)-LEN(SUBSTITUTE(E1426,"/",""))=1,(RIGHT(E1426,LEN(E1426)-FIND("/",E1426)))-(LEFT(E1426,FIND("/",E1426)-1)),(MID(E1426, SEARCH("/",E1426) + 1, SEARCH("/",E1426, SEARCH("/",E1426)+1) - SEARCH("/",E1426) - 1))-(LEFT(E1426,FIND("/",E1426)-1))), "NA"))</f>
        <v/>
      </c>
      <c r="K1426" s="79">
        <f>IF(A1426&lt;&gt;"", IF(ISBLANK(L1426), TODAY(), K1426), "")</f>
        <v/>
      </c>
      <c r="L1426" s="78" t="n"/>
      <c r="M1426" s="78">
        <f>IF(ISBLANK(L1426),"",IF(D1426="Stock",IF(C1426="Buy",L1426*G1426,IF(C1426="Sell",(L1426*G1426)-I1426, X)),IF(C1426="Buy",(L1426*G1426*100)+I1426,IF(C1426="Sell",(L1426*G1426*100)-I1426, X))))</f>
        <v/>
      </c>
      <c r="N1426" s="78">
        <f>IF(ISBLANK(L1426),"",IF(AND(C1426="Sell",D1426="Stock"),M1426,IF(ISBLANK(L1426),"",IF(C1426="Buy",M1426, IF(AND(C1426="Sell",J1426="NA"),(E1426*G1426*100*0.1)+I1426, IF(C1426="Sell",(J1426-L1426)*(100*G1426)+I1426))))))</f>
        <v/>
      </c>
      <c r="O1426" s="75" t="n"/>
      <c r="P1426" s="75" t="n"/>
      <c r="Q1426" s="75">
        <f>IF(ISBLANK(P1426),"",IF(D1426="Stock",P1426*G1426,IF(P1426=0,"0",G1426*P1426*100-(G1426*$AF$14))))</f>
        <v/>
      </c>
      <c r="R1426" s="79">
        <f>IF(P1426&lt;&gt;"", TODAY(), "")</f>
        <v/>
      </c>
      <c r="S1426" s="78">
        <f>IF(AND(K1426&lt;&gt;"", R1426&lt;&gt;""), R1426-K1426, "")</f>
        <v/>
      </c>
      <c r="T1426" s="78" t="n"/>
      <c r="U1426" s="92">
        <f>IF(ISBLANK(P1426),"",IF(C1426="Buy",Q1426-M1426+T1426, IF(C1426="Sell",M1426-Q1426-T1426, X)))</f>
        <v/>
      </c>
      <c r="V1426" s="81">
        <f>IF(ISBLANK(P1426),"",U1426/N1426)</f>
        <v/>
      </c>
      <c r="W1426" s="81">
        <f>IF(ISBLANK(P1426),"",IF(S1426=0,(365/0.5)*V1426,(365/S1426)*V1426))</f>
        <v/>
      </c>
      <c r="X1426" s="75" t="n"/>
      <c r="Y1426" s="77" t="n"/>
      <c r="Z1426" s="77" t="n"/>
      <c r="AA1426" s="75" t="n"/>
      <c r="AB1426" s="75" t="n"/>
      <c r="AC1426" s="6" t="n"/>
      <c r="AD1426" s="75" t="n"/>
      <c r="AE1426" s="75" t="n"/>
      <c r="AF1426" s="75" t="n"/>
    </row>
    <row r="1427" ht="15.75" customHeight="1" s="133">
      <c r="A1427" s="75" t="n"/>
      <c r="B1427" s="75" t="n"/>
      <c r="C1427" s="75" t="n"/>
      <c r="D1427" s="75" t="n"/>
      <c r="E1427" s="76" t="n"/>
      <c r="F1427" s="77" t="n"/>
      <c r="G1427" s="75" t="n"/>
      <c r="H1427" s="75">
        <f>IF(ISBLANK(E1427),"",IF(OR(D1427="Butterfly",D1427="Butterfly ",D1427="Iron Fly", D1427="Iron Fly "),LEN(E1427)-LEN(SUBSTITUTE(E1427,"/",""))+2,LEN(E1427)-LEN(SUBSTITUTE(E1427,"/",""))+1))</f>
        <v/>
      </c>
      <c r="I1427" s="78">
        <f>IF(ISBLANK(G1427),"",IF(D1427="Stock","0",Key!$A$3*H1427*G1427))</f>
        <v/>
      </c>
      <c r="J1427" s="78">
        <f>IF(ISBLANK(E1427),"",IF(ISNUMBER(SEARCH("/",E1427)), IF(LEN(E1427)-LEN(SUBSTITUTE(E1427,"/",""))=1,(RIGHT(E1427,LEN(E1427)-FIND("/",E1427)))-(LEFT(E1427,FIND("/",E1427)-1)),(MID(E1427, SEARCH("/",E1427) + 1, SEARCH("/",E1427, SEARCH("/",E1427)+1) - SEARCH("/",E1427) - 1))-(LEFT(E1427,FIND("/",E1427)-1))), "NA"))</f>
        <v/>
      </c>
      <c r="K1427" s="79">
        <f>IF(A1427&lt;&gt;"", IF(ISBLANK(L1427), TODAY(), K1427), "")</f>
        <v/>
      </c>
      <c r="L1427" s="78" t="n"/>
      <c r="M1427" s="78">
        <f>IF(ISBLANK(L1427),"",IF(D1427="Stock",IF(C1427="Buy",L1427*G1427,IF(C1427="Sell",(L1427*G1427)-I1427, X)),IF(C1427="Buy",(L1427*G1427*100)+I1427,IF(C1427="Sell",(L1427*G1427*100)-I1427, X))))</f>
        <v/>
      </c>
      <c r="N1427" s="78">
        <f>IF(ISBLANK(L1427),"",IF(AND(C1427="Sell",D1427="Stock"),M1427,IF(ISBLANK(L1427),"",IF(C1427="Buy",M1427, IF(AND(C1427="Sell",J1427="NA"),(E1427*G1427*100*0.1)+I1427, IF(C1427="Sell",(J1427-L1427)*(100*G1427)+I1427))))))</f>
        <v/>
      </c>
      <c r="O1427" s="75" t="n"/>
      <c r="P1427" s="75" t="n"/>
      <c r="Q1427" s="75">
        <f>IF(ISBLANK(P1427),"",IF(D1427="Stock",P1427*G1427,IF(P1427=0,"0",G1427*P1427*100-(G1427*$AF$14))))</f>
        <v/>
      </c>
      <c r="R1427" s="79">
        <f>IF(P1427&lt;&gt;"", TODAY(), "")</f>
        <v/>
      </c>
      <c r="S1427" s="78">
        <f>IF(AND(K1427&lt;&gt;"", R1427&lt;&gt;""), R1427-K1427, "")</f>
        <v/>
      </c>
      <c r="T1427" s="78" t="n"/>
      <c r="U1427" s="92">
        <f>IF(ISBLANK(P1427),"",IF(C1427="Buy",Q1427-M1427+T1427, IF(C1427="Sell",M1427-Q1427-T1427, X)))</f>
        <v/>
      </c>
      <c r="V1427" s="81">
        <f>IF(ISBLANK(P1427),"",U1427/N1427)</f>
        <v/>
      </c>
      <c r="W1427" s="81">
        <f>IF(ISBLANK(P1427),"",IF(S1427=0,(365/0.5)*V1427,(365/S1427)*V1427))</f>
        <v/>
      </c>
      <c r="X1427" s="75" t="n"/>
      <c r="Y1427" s="77" t="n"/>
      <c r="Z1427" s="77" t="n"/>
      <c r="AA1427" s="75" t="n"/>
      <c r="AB1427" s="75" t="n"/>
      <c r="AC1427" s="6" t="n"/>
      <c r="AD1427" s="75" t="n"/>
      <c r="AE1427" s="75" t="n"/>
      <c r="AF1427" s="75" t="n"/>
    </row>
    <row r="1428" ht="15.75" customHeight="1" s="133">
      <c r="A1428" s="75" t="n"/>
      <c r="B1428" s="75" t="n"/>
      <c r="C1428" s="75" t="n"/>
      <c r="D1428" s="75" t="n"/>
      <c r="E1428" s="76" t="n"/>
      <c r="F1428" s="77" t="n"/>
      <c r="G1428" s="75" t="n"/>
      <c r="H1428" s="75">
        <f>IF(ISBLANK(E1428),"",IF(OR(D1428="Butterfly",D1428="Butterfly ",D1428="Iron Fly", D1428="Iron Fly "),LEN(E1428)-LEN(SUBSTITUTE(E1428,"/",""))+2,LEN(E1428)-LEN(SUBSTITUTE(E1428,"/",""))+1))</f>
        <v/>
      </c>
      <c r="I1428" s="78">
        <f>IF(ISBLANK(G1428),"",IF(D1428="Stock","0",Key!$A$3*H1428*G1428))</f>
        <v/>
      </c>
      <c r="J1428" s="78">
        <f>IF(ISBLANK(E1428),"",IF(ISNUMBER(SEARCH("/",E1428)), IF(LEN(E1428)-LEN(SUBSTITUTE(E1428,"/",""))=1,(RIGHT(E1428,LEN(E1428)-FIND("/",E1428)))-(LEFT(E1428,FIND("/",E1428)-1)),(MID(E1428, SEARCH("/",E1428) + 1, SEARCH("/",E1428, SEARCH("/",E1428)+1) - SEARCH("/",E1428) - 1))-(LEFT(E1428,FIND("/",E1428)-1))), "NA"))</f>
        <v/>
      </c>
      <c r="K1428" s="79">
        <f>IF(A1428&lt;&gt;"", IF(ISBLANK(L1428), TODAY(), K1428), "")</f>
        <v/>
      </c>
      <c r="L1428" s="78" t="n"/>
      <c r="M1428" s="78">
        <f>IF(ISBLANK(L1428),"",IF(D1428="Stock",IF(C1428="Buy",L1428*G1428,IF(C1428="Sell",(L1428*G1428)-I1428, X)),IF(C1428="Buy",(L1428*G1428*100)+I1428,IF(C1428="Sell",(L1428*G1428*100)-I1428, X))))</f>
        <v/>
      </c>
      <c r="N1428" s="78">
        <f>IF(ISBLANK(L1428),"",IF(AND(C1428="Sell",D1428="Stock"),M1428,IF(ISBLANK(L1428),"",IF(C1428="Buy",M1428, IF(AND(C1428="Sell",J1428="NA"),(E1428*G1428*100*0.1)+I1428, IF(C1428="Sell",(J1428-L1428)*(100*G1428)+I1428))))))</f>
        <v/>
      </c>
      <c r="O1428" s="75" t="n"/>
      <c r="P1428" s="75" t="n"/>
      <c r="Q1428" s="75">
        <f>IF(ISBLANK(P1428),"",IF(D1428="Stock",P1428*G1428,IF(P1428=0,"0",G1428*P1428*100-(G1428*$AF$14))))</f>
        <v/>
      </c>
      <c r="R1428" s="79">
        <f>IF(P1428&lt;&gt;"", TODAY(), "")</f>
        <v/>
      </c>
      <c r="S1428" s="78">
        <f>IF(AND(K1428&lt;&gt;"", R1428&lt;&gt;""), R1428-K1428, "")</f>
        <v/>
      </c>
      <c r="T1428" s="78" t="n"/>
      <c r="U1428" s="92">
        <f>IF(ISBLANK(P1428),"",IF(C1428="Buy",Q1428-M1428+T1428, IF(C1428="Sell",M1428-Q1428-T1428, X)))</f>
        <v/>
      </c>
      <c r="V1428" s="81">
        <f>IF(ISBLANK(P1428),"",U1428/N1428)</f>
        <v/>
      </c>
      <c r="W1428" s="81">
        <f>IF(ISBLANK(P1428),"",IF(S1428=0,(365/0.5)*V1428,(365/S1428)*V1428))</f>
        <v/>
      </c>
      <c r="X1428" s="75" t="n"/>
      <c r="Y1428" s="77" t="n"/>
      <c r="Z1428" s="77" t="n"/>
      <c r="AA1428" s="75" t="n"/>
      <c r="AB1428" s="75" t="n"/>
      <c r="AC1428" s="6" t="n"/>
      <c r="AD1428" s="75" t="n"/>
      <c r="AE1428" s="75" t="n"/>
      <c r="AF1428" s="75" t="n"/>
    </row>
    <row r="1429" ht="15.75" customHeight="1" s="133">
      <c r="A1429" s="75" t="n"/>
      <c r="B1429" s="75" t="n"/>
      <c r="C1429" s="75" t="n"/>
      <c r="D1429" s="75" t="n"/>
      <c r="E1429" s="76" t="n"/>
      <c r="F1429" s="77" t="n"/>
      <c r="G1429" s="75" t="n"/>
      <c r="H1429" s="75">
        <f>IF(ISBLANK(E1429),"",IF(OR(D1429="Butterfly",D1429="Butterfly ",D1429="Iron Fly", D1429="Iron Fly "),LEN(E1429)-LEN(SUBSTITUTE(E1429,"/",""))+2,LEN(E1429)-LEN(SUBSTITUTE(E1429,"/",""))+1))</f>
        <v/>
      </c>
      <c r="I1429" s="78">
        <f>IF(ISBLANK(G1429),"",IF(D1429="Stock","0",Key!$A$3*H1429*G1429))</f>
        <v/>
      </c>
      <c r="J1429" s="78">
        <f>IF(ISBLANK(E1429),"",IF(ISNUMBER(SEARCH("/",E1429)), IF(LEN(E1429)-LEN(SUBSTITUTE(E1429,"/",""))=1,(RIGHT(E1429,LEN(E1429)-FIND("/",E1429)))-(LEFT(E1429,FIND("/",E1429)-1)),(MID(E1429, SEARCH("/",E1429) + 1, SEARCH("/",E1429, SEARCH("/",E1429)+1) - SEARCH("/",E1429) - 1))-(LEFT(E1429,FIND("/",E1429)-1))), "NA"))</f>
        <v/>
      </c>
      <c r="K1429" s="79">
        <f>IF(A1429&lt;&gt;"", IF(ISBLANK(L1429), TODAY(), K1429), "")</f>
        <v/>
      </c>
      <c r="L1429" s="78" t="n"/>
      <c r="M1429" s="78">
        <f>IF(ISBLANK(L1429),"",IF(D1429="Stock",IF(C1429="Buy",L1429*G1429,IF(C1429="Sell",(L1429*G1429)-I1429, X)),IF(C1429="Buy",(L1429*G1429*100)+I1429,IF(C1429="Sell",(L1429*G1429*100)-I1429, X))))</f>
        <v/>
      </c>
      <c r="N1429" s="78">
        <f>IF(ISBLANK(L1429),"",IF(AND(C1429="Sell",D1429="Stock"),M1429,IF(ISBLANK(L1429),"",IF(C1429="Buy",M1429, IF(AND(C1429="Sell",J1429="NA"),(E1429*G1429*100*0.1)+I1429, IF(C1429="Sell",(J1429-L1429)*(100*G1429)+I1429))))))</f>
        <v/>
      </c>
      <c r="O1429" s="75" t="n"/>
      <c r="P1429" s="75" t="n"/>
      <c r="Q1429" s="75">
        <f>IF(ISBLANK(P1429),"",IF(D1429="Stock",P1429*G1429,IF(P1429=0,"0",G1429*P1429*100-(G1429*$AF$14))))</f>
        <v/>
      </c>
      <c r="R1429" s="79">
        <f>IF(P1429&lt;&gt;"", TODAY(), "")</f>
        <v/>
      </c>
      <c r="S1429" s="78">
        <f>IF(AND(K1429&lt;&gt;"", R1429&lt;&gt;""), R1429-K1429, "")</f>
        <v/>
      </c>
      <c r="T1429" s="78" t="n"/>
      <c r="U1429" s="92">
        <f>IF(ISBLANK(P1429),"",IF(C1429="Buy",Q1429-M1429+T1429, IF(C1429="Sell",M1429-Q1429-T1429, X)))</f>
        <v/>
      </c>
      <c r="V1429" s="81">
        <f>IF(ISBLANK(P1429),"",U1429/N1429)</f>
        <v/>
      </c>
      <c r="W1429" s="81">
        <f>IF(ISBLANK(P1429),"",IF(S1429=0,(365/0.5)*V1429,(365/S1429)*V1429))</f>
        <v/>
      </c>
      <c r="X1429" s="75" t="n"/>
      <c r="Y1429" s="77" t="n"/>
      <c r="Z1429" s="77" t="n"/>
      <c r="AA1429" s="75" t="n"/>
      <c r="AB1429" s="75" t="n"/>
      <c r="AC1429" s="6" t="n"/>
      <c r="AD1429" s="75" t="n"/>
      <c r="AE1429" s="75" t="n"/>
      <c r="AF1429" s="75" t="n"/>
    </row>
    <row r="1430" ht="15.75" customHeight="1" s="133">
      <c r="A1430" s="75" t="n"/>
      <c r="B1430" s="75" t="n"/>
      <c r="C1430" s="75" t="n"/>
      <c r="D1430" s="75" t="n"/>
      <c r="E1430" s="76" t="n"/>
      <c r="F1430" s="77" t="n"/>
      <c r="G1430" s="75" t="n"/>
      <c r="H1430" s="75">
        <f>IF(ISBLANK(E1430),"",IF(OR(D1430="Butterfly",D1430="Butterfly ",D1430="Iron Fly", D1430="Iron Fly "),LEN(E1430)-LEN(SUBSTITUTE(E1430,"/",""))+2,LEN(E1430)-LEN(SUBSTITUTE(E1430,"/",""))+1))</f>
        <v/>
      </c>
      <c r="I1430" s="78">
        <f>IF(ISBLANK(G1430),"",IF(D1430="Stock","0",Key!$A$3*H1430*G1430))</f>
        <v/>
      </c>
      <c r="J1430" s="78">
        <f>IF(ISBLANK(E1430),"",IF(ISNUMBER(SEARCH("/",E1430)), IF(LEN(E1430)-LEN(SUBSTITUTE(E1430,"/",""))=1,(RIGHT(E1430,LEN(E1430)-FIND("/",E1430)))-(LEFT(E1430,FIND("/",E1430)-1)),(MID(E1430, SEARCH("/",E1430) + 1, SEARCH("/",E1430, SEARCH("/",E1430)+1) - SEARCH("/",E1430) - 1))-(LEFT(E1430,FIND("/",E1430)-1))), "NA"))</f>
        <v/>
      </c>
      <c r="K1430" s="79">
        <f>IF(A1430&lt;&gt;"", IF(ISBLANK(L1430), TODAY(), K1430), "")</f>
        <v/>
      </c>
      <c r="L1430" s="78" t="n"/>
      <c r="M1430" s="78">
        <f>IF(ISBLANK(L1430),"",IF(D1430="Stock",IF(C1430="Buy",L1430*G1430,IF(C1430="Sell",(L1430*G1430)-I1430, X)),IF(C1430="Buy",(L1430*G1430*100)+I1430,IF(C1430="Sell",(L1430*G1430*100)-I1430, X))))</f>
        <v/>
      </c>
      <c r="N1430" s="78">
        <f>IF(ISBLANK(L1430),"",IF(AND(C1430="Sell",D1430="Stock"),M1430,IF(ISBLANK(L1430),"",IF(C1430="Buy",M1430, IF(AND(C1430="Sell",J1430="NA"),(E1430*G1430*100*0.1)+I1430, IF(C1430="Sell",(J1430-L1430)*(100*G1430)+I1430))))))</f>
        <v/>
      </c>
      <c r="O1430" s="75" t="n"/>
      <c r="P1430" s="75" t="n"/>
      <c r="Q1430" s="75">
        <f>IF(ISBLANK(P1430),"",IF(D1430="Stock",P1430*G1430,IF(P1430=0,"0",G1430*P1430*100-(G1430*$AF$14))))</f>
        <v/>
      </c>
      <c r="R1430" s="79">
        <f>IF(P1430&lt;&gt;"", TODAY(), "")</f>
        <v/>
      </c>
      <c r="S1430" s="78">
        <f>IF(AND(K1430&lt;&gt;"", R1430&lt;&gt;""), R1430-K1430, "")</f>
        <v/>
      </c>
      <c r="T1430" s="78" t="n"/>
      <c r="U1430" s="92">
        <f>IF(ISBLANK(P1430),"",IF(C1430="Buy",Q1430-M1430+T1430, IF(C1430="Sell",M1430-Q1430-T1430, X)))</f>
        <v/>
      </c>
      <c r="V1430" s="81">
        <f>IF(ISBLANK(P1430),"",U1430/N1430)</f>
        <v/>
      </c>
      <c r="W1430" s="81">
        <f>IF(ISBLANK(P1430),"",IF(S1430=0,(365/0.5)*V1430,(365/S1430)*V1430))</f>
        <v/>
      </c>
      <c r="X1430" s="75" t="n"/>
      <c r="Y1430" s="77" t="n"/>
      <c r="Z1430" s="77" t="n"/>
      <c r="AA1430" s="75" t="n"/>
      <c r="AB1430" s="75" t="n"/>
      <c r="AC1430" s="6" t="n"/>
      <c r="AD1430" s="75" t="n"/>
      <c r="AE1430" s="75" t="n"/>
      <c r="AF1430" s="75" t="n"/>
    </row>
    <row r="1431" ht="15.75" customHeight="1" s="133">
      <c r="A1431" s="75" t="n"/>
      <c r="B1431" s="75" t="n"/>
      <c r="C1431" s="75" t="n"/>
      <c r="D1431" s="75" t="n"/>
      <c r="E1431" s="76" t="n"/>
      <c r="F1431" s="77" t="n"/>
      <c r="G1431" s="75" t="n"/>
      <c r="H1431" s="75">
        <f>IF(ISBLANK(E1431),"",IF(OR(D1431="Butterfly",D1431="Butterfly ",D1431="Iron Fly", D1431="Iron Fly "),LEN(E1431)-LEN(SUBSTITUTE(E1431,"/",""))+2,LEN(E1431)-LEN(SUBSTITUTE(E1431,"/",""))+1))</f>
        <v/>
      </c>
      <c r="I1431" s="78">
        <f>IF(ISBLANK(G1431),"",IF(D1431="Stock","0",Key!$A$3*H1431*G1431))</f>
        <v/>
      </c>
      <c r="J1431" s="78">
        <f>IF(ISBLANK(E1431),"",IF(ISNUMBER(SEARCH("/",E1431)), IF(LEN(E1431)-LEN(SUBSTITUTE(E1431,"/",""))=1,(RIGHT(E1431,LEN(E1431)-FIND("/",E1431)))-(LEFT(E1431,FIND("/",E1431)-1)),(MID(E1431, SEARCH("/",E1431) + 1, SEARCH("/",E1431, SEARCH("/",E1431)+1) - SEARCH("/",E1431) - 1))-(LEFT(E1431,FIND("/",E1431)-1))), "NA"))</f>
        <v/>
      </c>
      <c r="K1431" s="79">
        <f>IF(A1431&lt;&gt;"", IF(ISBLANK(L1431), TODAY(), K1431), "")</f>
        <v/>
      </c>
      <c r="L1431" s="78" t="n"/>
      <c r="M1431" s="78">
        <f>IF(ISBLANK(L1431),"",IF(D1431="Stock",IF(C1431="Buy",L1431*G1431,IF(C1431="Sell",(L1431*G1431)-I1431, X)),IF(C1431="Buy",(L1431*G1431*100)+I1431,IF(C1431="Sell",(L1431*G1431*100)-I1431, X))))</f>
        <v/>
      </c>
      <c r="N1431" s="78">
        <f>IF(ISBLANK(L1431),"",IF(AND(C1431="Sell",D1431="Stock"),M1431,IF(ISBLANK(L1431),"",IF(C1431="Buy",M1431, IF(AND(C1431="Sell",J1431="NA"),(E1431*G1431*100*0.1)+I1431, IF(C1431="Sell",(J1431-L1431)*(100*G1431)+I1431))))))</f>
        <v/>
      </c>
      <c r="O1431" s="75" t="n"/>
      <c r="P1431" s="75" t="n"/>
      <c r="Q1431" s="75">
        <f>IF(ISBLANK(P1431),"",IF(D1431="Stock",P1431*G1431,IF(P1431=0,"0",G1431*P1431*100-(G1431*$AF$14))))</f>
        <v/>
      </c>
      <c r="R1431" s="79">
        <f>IF(P1431&lt;&gt;"", TODAY(), "")</f>
        <v/>
      </c>
      <c r="S1431" s="78">
        <f>IF(AND(K1431&lt;&gt;"", R1431&lt;&gt;""), R1431-K1431, "")</f>
        <v/>
      </c>
      <c r="T1431" s="78" t="n"/>
      <c r="U1431" s="92">
        <f>IF(ISBLANK(P1431),"",IF(C1431="Buy",Q1431-M1431+T1431, IF(C1431="Sell",M1431-Q1431-T1431, X)))</f>
        <v/>
      </c>
      <c r="V1431" s="81">
        <f>IF(ISBLANK(P1431),"",U1431/N1431)</f>
        <v/>
      </c>
      <c r="W1431" s="81">
        <f>IF(ISBLANK(P1431),"",IF(S1431=0,(365/0.5)*V1431,(365/S1431)*V1431))</f>
        <v/>
      </c>
      <c r="X1431" s="75" t="n"/>
      <c r="Y1431" s="77" t="n"/>
      <c r="Z1431" s="77" t="n"/>
      <c r="AA1431" s="75" t="n"/>
      <c r="AB1431" s="75" t="n"/>
      <c r="AC1431" s="6" t="n"/>
      <c r="AD1431" s="75" t="n"/>
      <c r="AE1431" s="75" t="n"/>
      <c r="AF1431" s="75" t="n"/>
    </row>
    <row r="1432" ht="15.75" customHeight="1" s="133">
      <c r="A1432" s="75" t="n"/>
      <c r="B1432" s="75" t="n"/>
      <c r="C1432" s="75" t="n"/>
      <c r="D1432" s="75" t="n"/>
      <c r="E1432" s="76" t="n"/>
      <c r="F1432" s="77" t="n"/>
      <c r="G1432" s="75" t="n"/>
      <c r="H1432" s="75">
        <f>IF(ISBLANK(E1432),"",IF(OR(D1432="Butterfly",D1432="Butterfly ",D1432="Iron Fly", D1432="Iron Fly "),LEN(E1432)-LEN(SUBSTITUTE(E1432,"/",""))+2,LEN(E1432)-LEN(SUBSTITUTE(E1432,"/",""))+1))</f>
        <v/>
      </c>
      <c r="I1432" s="78">
        <f>IF(ISBLANK(G1432),"",IF(D1432="Stock","0",Key!$A$3*H1432*G1432))</f>
        <v/>
      </c>
      <c r="J1432" s="78">
        <f>IF(ISBLANK(E1432),"",IF(ISNUMBER(SEARCH("/",E1432)), IF(LEN(E1432)-LEN(SUBSTITUTE(E1432,"/",""))=1,(RIGHT(E1432,LEN(E1432)-FIND("/",E1432)))-(LEFT(E1432,FIND("/",E1432)-1)),(MID(E1432, SEARCH("/",E1432) + 1, SEARCH("/",E1432, SEARCH("/",E1432)+1) - SEARCH("/",E1432) - 1))-(LEFT(E1432,FIND("/",E1432)-1))), "NA"))</f>
        <v/>
      </c>
      <c r="K1432" s="79">
        <f>IF(A1432&lt;&gt;"", IF(ISBLANK(L1432), TODAY(), K1432), "")</f>
        <v/>
      </c>
      <c r="L1432" s="78" t="n"/>
      <c r="M1432" s="78">
        <f>IF(ISBLANK(L1432),"",IF(D1432="Stock",IF(C1432="Buy",L1432*G1432,IF(C1432="Sell",(L1432*G1432)-I1432, X)),IF(C1432="Buy",(L1432*G1432*100)+I1432,IF(C1432="Sell",(L1432*G1432*100)-I1432, X))))</f>
        <v/>
      </c>
      <c r="N1432" s="78">
        <f>IF(ISBLANK(L1432),"",IF(AND(C1432="Sell",D1432="Stock"),M1432,IF(ISBLANK(L1432),"",IF(C1432="Buy",M1432, IF(AND(C1432="Sell",J1432="NA"),(E1432*G1432*100*0.1)+I1432, IF(C1432="Sell",(J1432-L1432)*(100*G1432)+I1432))))))</f>
        <v/>
      </c>
      <c r="O1432" s="75" t="n"/>
      <c r="P1432" s="75" t="n"/>
      <c r="Q1432" s="75">
        <f>IF(ISBLANK(P1432),"",IF(D1432="Stock",P1432*G1432,IF(P1432=0,"0",G1432*P1432*100-(G1432*$AF$14))))</f>
        <v/>
      </c>
      <c r="R1432" s="79">
        <f>IF(P1432&lt;&gt;"", TODAY(), "")</f>
        <v/>
      </c>
      <c r="S1432" s="78">
        <f>IF(AND(K1432&lt;&gt;"", R1432&lt;&gt;""), R1432-K1432, "")</f>
        <v/>
      </c>
      <c r="T1432" s="78" t="n"/>
      <c r="U1432" s="92">
        <f>IF(ISBLANK(P1432),"",IF(C1432="Buy",Q1432-M1432+T1432, IF(C1432="Sell",M1432-Q1432-T1432, X)))</f>
        <v/>
      </c>
      <c r="V1432" s="81">
        <f>IF(ISBLANK(P1432),"",U1432/N1432)</f>
        <v/>
      </c>
      <c r="W1432" s="81">
        <f>IF(ISBLANK(P1432),"",IF(S1432=0,(365/0.5)*V1432,(365/S1432)*V1432))</f>
        <v/>
      </c>
      <c r="X1432" s="75" t="n"/>
      <c r="Y1432" s="77" t="n"/>
      <c r="Z1432" s="77" t="n"/>
      <c r="AA1432" s="75" t="n"/>
      <c r="AB1432" s="75" t="n"/>
      <c r="AC1432" s="6" t="n"/>
      <c r="AD1432" s="75" t="n"/>
      <c r="AE1432" s="75" t="n"/>
      <c r="AF1432" s="75" t="n"/>
    </row>
    <row r="1433" ht="15.75" customHeight="1" s="133">
      <c r="A1433" s="75" t="n"/>
      <c r="B1433" s="75" t="n"/>
      <c r="C1433" s="75" t="n"/>
      <c r="D1433" s="75" t="n"/>
      <c r="E1433" s="76" t="n"/>
      <c r="F1433" s="77" t="n"/>
      <c r="G1433" s="75" t="n"/>
      <c r="H1433" s="75">
        <f>IF(ISBLANK(E1433),"",IF(OR(D1433="Butterfly",D1433="Butterfly ",D1433="Iron Fly", D1433="Iron Fly "),LEN(E1433)-LEN(SUBSTITUTE(E1433,"/",""))+2,LEN(E1433)-LEN(SUBSTITUTE(E1433,"/",""))+1))</f>
        <v/>
      </c>
      <c r="I1433" s="78">
        <f>IF(ISBLANK(G1433),"",IF(D1433="Stock","0",Key!$A$3*H1433*G1433))</f>
        <v/>
      </c>
      <c r="J1433" s="78">
        <f>IF(ISBLANK(E1433),"",IF(ISNUMBER(SEARCH("/",E1433)), IF(LEN(E1433)-LEN(SUBSTITUTE(E1433,"/",""))=1,(RIGHT(E1433,LEN(E1433)-FIND("/",E1433)))-(LEFT(E1433,FIND("/",E1433)-1)),(MID(E1433, SEARCH("/",E1433) + 1, SEARCH("/",E1433, SEARCH("/",E1433)+1) - SEARCH("/",E1433) - 1))-(LEFT(E1433,FIND("/",E1433)-1))), "NA"))</f>
        <v/>
      </c>
      <c r="K1433" s="79">
        <f>IF(A1433&lt;&gt;"", IF(ISBLANK(L1433), TODAY(), K1433), "")</f>
        <v/>
      </c>
      <c r="L1433" s="78" t="n"/>
      <c r="M1433" s="78">
        <f>IF(ISBLANK(L1433),"",IF(D1433="Stock",IF(C1433="Buy",L1433*G1433,IF(C1433="Sell",(L1433*G1433)-I1433, X)),IF(C1433="Buy",(L1433*G1433*100)+I1433,IF(C1433="Sell",(L1433*G1433*100)-I1433, X))))</f>
        <v/>
      </c>
      <c r="N1433" s="78">
        <f>IF(ISBLANK(L1433),"",IF(AND(C1433="Sell",D1433="Stock"),M1433,IF(ISBLANK(L1433),"",IF(C1433="Buy",M1433, IF(AND(C1433="Sell",J1433="NA"),(E1433*G1433*100*0.1)+I1433, IF(C1433="Sell",(J1433-L1433)*(100*G1433)+I1433))))))</f>
        <v/>
      </c>
      <c r="O1433" s="75" t="n"/>
      <c r="P1433" s="75" t="n"/>
      <c r="Q1433" s="75">
        <f>IF(ISBLANK(P1433),"",IF(D1433="Stock",P1433*G1433,IF(P1433=0,"0",G1433*P1433*100-(G1433*$AF$14))))</f>
        <v/>
      </c>
      <c r="R1433" s="79">
        <f>IF(P1433&lt;&gt;"", TODAY(), "")</f>
        <v/>
      </c>
      <c r="S1433" s="78">
        <f>IF(AND(K1433&lt;&gt;"", R1433&lt;&gt;""), R1433-K1433, "")</f>
        <v/>
      </c>
      <c r="T1433" s="78" t="n"/>
      <c r="U1433" s="92">
        <f>IF(ISBLANK(P1433),"",IF(C1433="Buy",Q1433-M1433+T1433, IF(C1433="Sell",M1433-Q1433-T1433, X)))</f>
        <v/>
      </c>
      <c r="V1433" s="81">
        <f>IF(ISBLANK(P1433),"",U1433/N1433)</f>
        <v/>
      </c>
      <c r="W1433" s="81">
        <f>IF(ISBLANK(P1433),"",IF(S1433=0,(365/0.5)*V1433,(365/S1433)*V1433))</f>
        <v/>
      </c>
      <c r="X1433" s="75" t="n"/>
      <c r="Y1433" s="77" t="n"/>
      <c r="Z1433" s="77" t="n"/>
      <c r="AA1433" s="75" t="n"/>
      <c r="AB1433" s="75" t="n"/>
      <c r="AC1433" s="6" t="n"/>
      <c r="AD1433" s="75" t="n"/>
      <c r="AE1433" s="75" t="n"/>
      <c r="AF1433" s="75" t="n"/>
    </row>
    <row r="1434" ht="15.75" customHeight="1" s="133">
      <c r="A1434" s="75" t="n"/>
      <c r="B1434" s="75" t="n"/>
      <c r="C1434" s="75" t="n"/>
      <c r="D1434" s="75" t="n"/>
      <c r="E1434" s="76" t="n"/>
      <c r="F1434" s="77" t="n"/>
      <c r="G1434" s="75" t="n"/>
      <c r="H1434" s="75">
        <f>IF(ISBLANK(E1434),"",IF(OR(D1434="Butterfly",D1434="Butterfly ",D1434="Iron Fly", D1434="Iron Fly "),LEN(E1434)-LEN(SUBSTITUTE(E1434,"/",""))+2,LEN(E1434)-LEN(SUBSTITUTE(E1434,"/",""))+1))</f>
        <v/>
      </c>
      <c r="I1434" s="78">
        <f>IF(ISBLANK(G1434),"",IF(D1434="Stock","0",Key!$A$3*H1434*G1434))</f>
        <v/>
      </c>
      <c r="J1434" s="78">
        <f>IF(ISBLANK(E1434),"",IF(ISNUMBER(SEARCH("/",E1434)), IF(LEN(E1434)-LEN(SUBSTITUTE(E1434,"/",""))=1,(RIGHT(E1434,LEN(E1434)-FIND("/",E1434)))-(LEFT(E1434,FIND("/",E1434)-1)),(MID(E1434, SEARCH("/",E1434) + 1, SEARCH("/",E1434, SEARCH("/",E1434)+1) - SEARCH("/",E1434) - 1))-(LEFT(E1434,FIND("/",E1434)-1))), "NA"))</f>
        <v/>
      </c>
      <c r="K1434" s="79">
        <f>IF(A1434&lt;&gt;"", IF(ISBLANK(L1434), TODAY(), K1434), "")</f>
        <v/>
      </c>
      <c r="L1434" s="78" t="n"/>
      <c r="M1434" s="78">
        <f>IF(ISBLANK(L1434),"",IF(D1434="Stock",IF(C1434="Buy",L1434*G1434,IF(C1434="Sell",(L1434*G1434)-I1434, X)),IF(C1434="Buy",(L1434*G1434*100)+I1434,IF(C1434="Sell",(L1434*G1434*100)-I1434, X))))</f>
        <v/>
      </c>
      <c r="N1434" s="78">
        <f>IF(ISBLANK(L1434),"",IF(AND(C1434="Sell",D1434="Stock"),M1434,IF(ISBLANK(L1434),"",IF(C1434="Buy",M1434, IF(AND(C1434="Sell",J1434="NA"),(E1434*G1434*100*0.1)+I1434, IF(C1434="Sell",(J1434-L1434)*(100*G1434)+I1434))))))</f>
        <v/>
      </c>
      <c r="O1434" s="75" t="n"/>
      <c r="P1434" s="75" t="n"/>
      <c r="Q1434" s="75">
        <f>IF(ISBLANK(P1434),"",IF(D1434="Stock",P1434*G1434,IF(P1434=0,"0",G1434*P1434*100-(G1434*$AF$14))))</f>
        <v/>
      </c>
      <c r="R1434" s="79">
        <f>IF(P1434&lt;&gt;"", TODAY(), "")</f>
        <v/>
      </c>
      <c r="S1434" s="78">
        <f>IF(AND(K1434&lt;&gt;"", R1434&lt;&gt;""), R1434-K1434, "")</f>
        <v/>
      </c>
      <c r="T1434" s="78" t="n"/>
      <c r="U1434" s="92">
        <f>IF(ISBLANK(P1434),"",IF(C1434="Buy",Q1434-M1434+T1434, IF(C1434="Sell",M1434-Q1434-T1434, X)))</f>
        <v/>
      </c>
      <c r="V1434" s="81">
        <f>IF(ISBLANK(P1434),"",U1434/N1434)</f>
        <v/>
      </c>
      <c r="W1434" s="81">
        <f>IF(ISBLANK(P1434),"",IF(S1434=0,(365/0.5)*V1434,(365/S1434)*V1434))</f>
        <v/>
      </c>
      <c r="X1434" s="75" t="n"/>
      <c r="Y1434" s="77" t="n"/>
      <c r="Z1434" s="77" t="n"/>
      <c r="AA1434" s="75" t="n"/>
      <c r="AB1434" s="75" t="n"/>
      <c r="AC1434" s="6" t="n"/>
      <c r="AD1434" s="75" t="n"/>
      <c r="AE1434" s="75" t="n"/>
      <c r="AF1434" s="75" t="n"/>
    </row>
    <row r="1435" ht="15.75" customHeight="1" s="133">
      <c r="A1435" s="75" t="n"/>
      <c r="B1435" s="75" t="n"/>
      <c r="C1435" s="75" t="n"/>
      <c r="D1435" s="75" t="n"/>
      <c r="E1435" s="76" t="n"/>
      <c r="F1435" s="77" t="n"/>
      <c r="G1435" s="75" t="n"/>
      <c r="H1435" s="75">
        <f>IF(ISBLANK(E1435),"",IF(OR(D1435="Butterfly",D1435="Butterfly ",D1435="Iron Fly", D1435="Iron Fly "),LEN(E1435)-LEN(SUBSTITUTE(E1435,"/",""))+2,LEN(E1435)-LEN(SUBSTITUTE(E1435,"/",""))+1))</f>
        <v/>
      </c>
      <c r="I1435" s="78">
        <f>IF(ISBLANK(G1435),"",IF(D1435="Stock","0",Key!$A$3*H1435*G1435))</f>
        <v/>
      </c>
      <c r="J1435" s="78">
        <f>IF(ISBLANK(E1435),"",IF(ISNUMBER(SEARCH("/",E1435)), IF(LEN(E1435)-LEN(SUBSTITUTE(E1435,"/",""))=1,(RIGHT(E1435,LEN(E1435)-FIND("/",E1435)))-(LEFT(E1435,FIND("/",E1435)-1)),(MID(E1435, SEARCH("/",E1435) + 1, SEARCH("/",E1435, SEARCH("/",E1435)+1) - SEARCH("/",E1435) - 1))-(LEFT(E1435,FIND("/",E1435)-1))), "NA"))</f>
        <v/>
      </c>
      <c r="K1435" s="79">
        <f>IF(A1435&lt;&gt;"", IF(ISBLANK(L1435), TODAY(), K1435), "")</f>
        <v/>
      </c>
      <c r="L1435" s="78" t="n"/>
      <c r="M1435" s="78">
        <f>IF(ISBLANK(L1435),"",IF(D1435="Stock",IF(C1435="Buy",L1435*G1435,IF(C1435="Sell",(L1435*G1435)-I1435, X)),IF(C1435="Buy",(L1435*G1435*100)+I1435,IF(C1435="Sell",(L1435*G1435*100)-I1435, X))))</f>
        <v/>
      </c>
      <c r="N1435" s="78">
        <f>IF(ISBLANK(L1435),"",IF(AND(C1435="Sell",D1435="Stock"),M1435,IF(ISBLANK(L1435),"",IF(C1435="Buy",M1435, IF(AND(C1435="Sell",J1435="NA"),(E1435*G1435*100*0.1)+I1435, IF(C1435="Sell",(J1435-L1435)*(100*G1435)+I1435))))))</f>
        <v/>
      </c>
      <c r="O1435" s="75" t="n"/>
      <c r="P1435" s="75" t="n"/>
      <c r="Q1435" s="75">
        <f>IF(ISBLANK(P1435),"",IF(D1435="Stock",P1435*G1435,IF(P1435=0,"0",G1435*P1435*100-(G1435*$AF$14))))</f>
        <v/>
      </c>
      <c r="R1435" s="79">
        <f>IF(P1435&lt;&gt;"", TODAY(), "")</f>
        <v/>
      </c>
      <c r="S1435" s="78">
        <f>IF(AND(K1435&lt;&gt;"", R1435&lt;&gt;""), R1435-K1435, "")</f>
        <v/>
      </c>
      <c r="T1435" s="78" t="n"/>
      <c r="U1435" s="92">
        <f>IF(ISBLANK(P1435),"",IF(C1435="Buy",Q1435-M1435+T1435, IF(C1435="Sell",M1435-Q1435-T1435, X)))</f>
        <v/>
      </c>
      <c r="V1435" s="81">
        <f>IF(ISBLANK(P1435),"",U1435/N1435)</f>
        <v/>
      </c>
      <c r="W1435" s="81">
        <f>IF(ISBLANK(P1435),"",IF(S1435=0,(365/0.5)*V1435,(365/S1435)*V1435))</f>
        <v/>
      </c>
      <c r="X1435" s="75" t="n"/>
      <c r="Y1435" s="77" t="n"/>
      <c r="Z1435" s="77" t="n"/>
      <c r="AA1435" s="75" t="n"/>
      <c r="AB1435" s="75" t="n"/>
      <c r="AC1435" s="6" t="n"/>
      <c r="AD1435" s="75" t="n"/>
      <c r="AE1435" s="75" t="n"/>
      <c r="AF1435" s="75" t="n"/>
    </row>
    <row r="1436" ht="15.75" customHeight="1" s="133">
      <c r="A1436" s="75" t="n"/>
      <c r="B1436" s="75" t="n"/>
      <c r="C1436" s="75" t="n"/>
      <c r="D1436" s="75" t="n"/>
      <c r="E1436" s="76" t="n"/>
      <c r="F1436" s="77" t="n"/>
      <c r="G1436" s="75" t="n"/>
      <c r="H1436" s="75">
        <f>IF(ISBLANK(E1436),"",IF(OR(D1436="Butterfly",D1436="Butterfly ",D1436="Iron Fly", D1436="Iron Fly "),LEN(E1436)-LEN(SUBSTITUTE(E1436,"/",""))+2,LEN(E1436)-LEN(SUBSTITUTE(E1436,"/",""))+1))</f>
        <v/>
      </c>
      <c r="I1436" s="78">
        <f>IF(ISBLANK(G1436),"",IF(D1436="Stock","0",Key!$A$3*H1436*G1436))</f>
        <v/>
      </c>
      <c r="J1436" s="78">
        <f>IF(ISBLANK(E1436),"",IF(ISNUMBER(SEARCH("/",E1436)), IF(LEN(E1436)-LEN(SUBSTITUTE(E1436,"/",""))=1,(RIGHT(E1436,LEN(E1436)-FIND("/",E1436)))-(LEFT(E1436,FIND("/",E1436)-1)),(MID(E1436, SEARCH("/",E1436) + 1, SEARCH("/",E1436, SEARCH("/",E1436)+1) - SEARCH("/",E1436) - 1))-(LEFT(E1436,FIND("/",E1436)-1))), "NA"))</f>
        <v/>
      </c>
      <c r="K1436" s="79">
        <f>IF(A1436&lt;&gt;"", IF(ISBLANK(L1436), TODAY(), K1436), "")</f>
        <v/>
      </c>
      <c r="L1436" s="78" t="n"/>
      <c r="M1436" s="78">
        <f>IF(ISBLANK(L1436),"",IF(D1436="Stock",IF(C1436="Buy",L1436*G1436,IF(C1436="Sell",(L1436*G1436)-I1436, X)),IF(C1436="Buy",(L1436*G1436*100)+I1436,IF(C1436="Sell",(L1436*G1436*100)-I1436, X))))</f>
        <v/>
      </c>
      <c r="N1436" s="78">
        <f>IF(ISBLANK(L1436),"",IF(AND(C1436="Sell",D1436="Stock"),M1436,IF(ISBLANK(L1436),"",IF(C1436="Buy",M1436, IF(AND(C1436="Sell",J1436="NA"),(E1436*G1436*100*0.1)+I1436, IF(C1436="Sell",(J1436-L1436)*(100*G1436)+I1436))))))</f>
        <v/>
      </c>
      <c r="O1436" s="75" t="n"/>
      <c r="P1436" s="75" t="n"/>
      <c r="Q1436" s="75">
        <f>IF(ISBLANK(P1436),"",IF(D1436="Stock",P1436*G1436,IF(P1436=0,"0",G1436*P1436*100-(G1436*$AF$14))))</f>
        <v/>
      </c>
      <c r="R1436" s="79">
        <f>IF(P1436&lt;&gt;"", TODAY(), "")</f>
        <v/>
      </c>
      <c r="S1436" s="78">
        <f>IF(AND(K1436&lt;&gt;"", R1436&lt;&gt;""), R1436-K1436, "")</f>
        <v/>
      </c>
      <c r="T1436" s="78" t="n"/>
      <c r="U1436" s="92">
        <f>IF(ISBLANK(P1436),"",IF(C1436="Buy",Q1436-M1436+T1436, IF(C1436="Sell",M1436-Q1436-T1436, X)))</f>
        <v/>
      </c>
      <c r="V1436" s="81">
        <f>IF(ISBLANK(P1436),"",U1436/N1436)</f>
        <v/>
      </c>
      <c r="W1436" s="81">
        <f>IF(ISBLANK(P1436),"",IF(S1436=0,(365/0.5)*V1436,(365/S1436)*V1436))</f>
        <v/>
      </c>
      <c r="X1436" s="75" t="n"/>
      <c r="Y1436" s="77" t="n"/>
      <c r="Z1436" s="77" t="n"/>
      <c r="AA1436" s="75" t="n"/>
      <c r="AB1436" s="75" t="n"/>
      <c r="AC1436" s="6" t="n"/>
      <c r="AD1436" s="75" t="n"/>
      <c r="AE1436" s="75" t="n"/>
      <c r="AF1436" s="75" t="n"/>
    </row>
    <row r="1437" ht="15.75" customHeight="1" s="133">
      <c r="A1437" s="75" t="n"/>
      <c r="B1437" s="75" t="n"/>
      <c r="C1437" s="75" t="n"/>
      <c r="D1437" s="75" t="n"/>
      <c r="E1437" s="76" t="n"/>
      <c r="F1437" s="77" t="n"/>
      <c r="G1437" s="75" t="n"/>
      <c r="H1437" s="75">
        <f>IF(ISBLANK(E1437),"",IF(OR(D1437="Butterfly",D1437="Butterfly ",D1437="Iron Fly", D1437="Iron Fly "),LEN(E1437)-LEN(SUBSTITUTE(E1437,"/",""))+2,LEN(E1437)-LEN(SUBSTITUTE(E1437,"/",""))+1))</f>
        <v/>
      </c>
      <c r="I1437" s="78">
        <f>IF(ISBLANK(G1437),"",IF(D1437="Stock","0",Key!$A$3*H1437*G1437))</f>
        <v/>
      </c>
      <c r="J1437" s="78">
        <f>IF(ISBLANK(E1437),"",IF(ISNUMBER(SEARCH("/",E1437)), IF(LEN(E1437)-LEN(SUBSTITUTE(E1437,"/",""))=1,(RIGHT(E1437,LEN(E1437)-FIND("/",E1437)))-(LEFT(E1437,FIND("/",E1437)-1)),(MID(E1437, SEARCH("/",E1437) + 1, SEARCH("/",E1437, SEARCH("/",E1437)+1) - SEARCH("/",E1437) - 1))-(LEFT(E1437,FIND("/",E1437)-1))), "NA"))</f>
        <v/>
      </c>
      <c r="K1437" s="79">
        <f>IF(A1437&lt;&gt;"", IF(ISBLANK(L1437), TODAY(), K1437), "")</f>
        <v/>
      </c>
      <c r="L1437" s="78" t="n"/>
      <c r="M1437" s="78">
        <f>IF(ISBLANK(L1437),"",IF(D1437="Stock",IF(C1437="Buy",L1437*G1437,IF(C1437="Sell",(L1437*G1437)-I1437, X)),IF(C1437="Buy",(L1437*G1437*100)+I1437,IF(C1437="Sell",(L1437*G1437*100)-I1437, X))))</f>
        <v/>
      </c>
      <c r="N1437" s="78">
        <f>IF(ISBLANK(L1437),"",IF(AND(C1437="Sell",D1437="Stock"),M1437,IF(ISBLANK(L1437),"",IF(C1437="Buy",M1437, IF(AND(C1437="Sell",J1437="NA"),(E1437*G1437*100*0.1)+I1437, IF(C1437="Sell",(J1437-L1437)*(100*G1437)+I1437))))))</f>
        <v/>
      </c>
      <c r="O1437" s="75" t="n"/>
      <c r="P1437" s="75" t="n"/>
      <c r="Q1437" s="75">
        <f>IF(ISBLANK(P1437),"",IF(D1437="Stock",P1437*G1437,IF(P1437=0,"0",G1437*P1437*100-(G1437*$AF$14))))</f>
        <v/>
      </c>
      <c r="R1437" s="79">
        <f>IF(P1437&lt;&gt;"", TODAY(), "")</f>
        <v/>
      </c>
      <c r="S1437" s="78">
        <f>IF(AND(K1437&lt;&gt;"", R1437&lt;&gt;""), R1437-K1437, "")</f>
        <v/>
      </c>
      <c r="T1437" s="78" t="n"/>
      <c r="U1437" s="92">
        <f>IF(ISBLANK(P1437),"",IF(C1437="Buy",Q1437-M1437+T1437, IF(C1437="Sell",M1437-Q1437-T1437, X)))</f>
        <v/>
      </c>
      <c r="V1437" s="81">
        <f>IF(ISBLANK(P1437),"",U1437/N1437)</f>
        <v/>
      </c>
      <c r="W1437" s="81">
        <f>IF(ISBLANK(P1437),"",IF(S1437=0,(365/0.5)*V1437,(365/S1437)*V1437))</f>
        <v/>
      </c>
      <c r="X1437" s="75" t="n"/>
      <c r="Y1437" s="77" t="n"/>
      <c r="Z1437" s="77" t="n"/>
      <c r="AA1437" s="75" t="n"/>
      <c r="AB1437" s="75" t="n"/>
      <c r="AC1437" s="6" t="n"/>
      <c r="AD1437" s="75" t="n"/>
      <c r="AE1437" s="75" t="n"/>
      <c r="AF1437" s="75" t="n"/>
    </row>
    <row r="1438" ht="15.75" customHeight="1" s="133">
      <c r="A1438" s="75" t="n"/>
      <c r="B1438" s="75" t="n"/>
      <c r="C1438" s="75" t="n"/>
      <c r="D1438" s="75" t="n"/>
      <c r="E1438" s="76" t="n"/>
      <c r="F1438" s="77" t="n"/>
      <c r="G1438" s="75" t="n"/>
      <c r="H1438" s="75">
        <f>IF(ISBLANK(E1438),"",IF(OR(D1438="Butterfly",D1438="Butterfly ",D1438="Iron Fly", D1438="Iron Fly "),LEN(E1438)-LEN(SUBSTITUTE(E1438,"/",""))+2,LEN(E1438)-LEN(SUBSTITUTE(E1438,"/",""))+1))</f>
        <v/>
      </c>
      <c r="I1438" s="78">
        <f>IF(ISBLANK(G1438),"",IF(D1438="Stock","0",Key!$A$3*H1438*G1438))</f>
        <v/>
      </c>
      <c r="J1438" s="78">
        <f>IF(ISBLANK(E1438),"",IF(ISNUMBER(SEARCH("/",E1438)), IF(LEN(E1438)-LEN(SUBSTITUTE(E1438,"/",""))=1,(RIGHT(E1438,LEN(E1438)-FIND("/",E1438)))-(LEFT(E1438,FIND("/",E1438)-1)),(MID(E1438, SEARCH("/",E1438) + 1, SEARCH("/",E1438, SEARCH("/",E1438)+1) - SEARCH("/",E1438) - 1))-(LEFT(E1438,FIND("/",E1438)-1))), "NA"))</f>
        <v/>
      </c>
      <c r="K1438" s="79">
        <f>IF(A1438&lt;&gt;"", IF(ISBLANK(L1438), TODAY(), K1438), "")</f>
        <v/>
      </c>
      <c r="L1438" s="78" t="n"/>
      <c r="M1438" s="78">
        <f>IF(ISBLANK(L1438),"",IF(D1438="Stock",IF(C1438="Buy",L1438*G1438,IF(C1438="Sell",(L1438*G1438)-I1438, X)),IF(C1438="Buy",(L1438*G1438*100)+I1438,IF(C1438="Sell",(L1438*G1438*100)-I1438, X))))</f>
        <v/>
      </c>
      <c r="N1438" s="78">
        <f>IF(ISBLANK(L1438),"",IF(AND(C1438="Sell",D1438="Stock"),M1438,IF(ISBLANK(L1438),"",IF(C1438="Buy",M1438, IF(AND(C1438="Sell",J1438="NA"),(E1438*G1438*100*0.1)+I1438, IF(C1438="Sell",(J1438-L1438)*(100*G1438)+I1438))))))</f>
        <v/>
      </c>
      <c r="O1438" s="75" t="n"/>
      <c r="P1438" s="75" t="n"/>
      <c r="Q1438" s="75">
        <f>IF(ISBLANK(P1438),"",IF(D1438="Stock",P1438*G1438,IF(P1438=0,"0",G1438*P1438*100-(G1438*$AF$14))))</f>
        <v/>
      </c>
      <c r="R1438" s="79">
        <f>IF(P1438&lt;&gt;"", TODAY(), "")</f>
        <v/>
      </c>
      <c r="S1438" s="78">
        <f>IF(AND(K1438&lt;&gt;"", R1438&lt;&gt;""), R1438-K1438, "")</f>
        <v/>
      </c>
      <c r="T1438" s="78" t="n"/>
      <c r="U1438" s="92">
        <f>IF(ISBLANK(P1438),"",IF(C1438="Buy",Q1438-M1438+T1438, IF(C1438="Sell",M1438-Q1438-T1438, X)))</f>
        <v/>
      </c>
      <c r="V1438" s="81">
        <f>IF(ISBLANK(P1438),"",U1438/N1438)</f>
        <v/>
      </c>
      <c r="W1438" s="81">
        <f>IF(ISBLANK(P1438),"",IF(S1438=0,(365/0.5)*V1438,(365/S1438)*V1438))</f>
        <v/>
      </c>
      <c r="X1438" s="75" t="n"/>
      <c r="Y1438" s="77" t="n"/>
      <c r="Z1438" s="77" t="n"/>
      <c r="AA1438" s="75" t="n"/>
      <c r="AB1438" s="75" t="n"/>
      <c r="AC1438" s="6" t="n"/>
      <c r="AD1438" s="75" t="n"/>
      <c r="AE1438" s="75" t="n"/>
      <c r="AF1438" s="75" t="n"/>
    </row>
    <row r="1439" ht="15.75" customHeight="1" s="133">
      <c r="A1439" s="75" t="n"/>
      <c r="B1439" s="75" t="n"/>
      <c r="C1439" s="75" t="n"/>
      <c r="D1439" s="75" t="n"/>
      <c r="E1439" s="76" t="n"/>
      <c r="F1439" s="77" t="n"/>
      <c r="G1439" s="75" t="n"/>
      <c r="H1439" s="75">
        <f>IF(ISBLANK(E1439),"",IF(OR(D1439="Butterfly",D1439="Butterfly ",D1439="Iron Fly", D1439="Iron Fly "),LEN(E1439)-LEN(SUBSTITUTE(E1439,"/",""))+2,LEN(E1439)-LEN(SUBSTITUTE(E1439,"/",""))+1))</f>
        <v/>
      </c>
      <c r="I1439" s="78">
        <f>IF(ISBLANK(G1439),"",IF(D1439="Stock","0",Key!$A$3*H1439*G1439))</f>
        <v/>
      </c>
      <c r="J1439" s="78">
        <f>IF(ISBLANK(E1439),"",IF(ISNUMBER(SEARCH("/",E1439)), IF(LEN(E1439)-LEN(SUBSTITUTE(E1439,"/",""))=1,(RIGHT(E1439,LEN(E1439)-FIND("/",E1439)))-(LEFT(E1439,FIND("/",E1439)-1)),(MID(E1439, SEARCH("/",E1439) + 1, SEARCH("/",E1439, SEARCH("/",E1439)+1) - SEARCH("/",E1439) - 1))-(LEFT(E1439,FIND("/",E1439)-1))), "NA"))</f>
        <v/>
      </c>
      <c r="K1439" s="79">
        <f>IF(A1439&lt;&gt;"", IF(ISBLANK(L1439), TODAY(), K1439), "")</f>
        <v/>
      </c>
      <c r="L1439" s="78" t="n"/>
      <c r="M1439" s="78">
        <f>IF(ISBLANK(L1439),"",IF(D1439="Stock",IF(C1439="Buy",L1439*G1439,IF(C1439="Sell",(L1439*G1439)-I1439, X)),IF(C1439="Buy",(L1439*G1439*100)+I1439,IF(C1439="Sell",(L1439*G1439*100)-I1439, X))))</f>
        <v/>
      </c>
      <c r="N1439" s="78">
        <f>IF(ISBLANK(L1439),"",IF(AND(C1439="Sell",D1439="Stock"),M1439,IF(ISBLANK(L1439),"",IF(C1439="Buy",M1439, IF(AND(C1439="Sell",J1439="NA"),(E1439*G1439*100*0.1)+I1439, IF(C1439="Sell",(J1439-L1439)*(100*G1439)+I1439))))))</f>
        <v/>
      </c>
      <c r="O1439" s="75" t="n"/>
      <c r="P1439" s="75" t="n"/>
      <c r="Q1439" s="75">
        <f>IF(ISBLANK(P1439),"",IF(D1439="Stock",P1439*G1439,IF(P1439=0,"0",G1439*P1439*100-(G1439*$AF$14))))</f>
        <v/>
      </c>
      <c r="R1439" s="79">
        <f>IF(P1439&lt;&gt;"", TODAY(), "")</f>
        <v/>
      </c>
      <c r="S1439" s="78">
        <f>IF(AND(K1439&lt;&gt;"", R1439&lt;&gt;""), R1439-K1439, "")</f>
        <v/>
      </c>
      <c r="T1439" s="78" t="n"/>
      <c r="U1439" s="92">
        <f>IF(ISBLANK(P1439),"",IF(C1439="Buy",Q1439-M1439+T1439, IF(C1439="Sell",M1439-Q1439-T1439, X)))</f>
        <v/>
      </c>
      <c r="V1439" s="81">
        <f>IF(ISBLANK(P1439),"",U1439/N1439)</f>
        <v/>
      </c>
      <c r="W1439" s="81">
        <f>IF(ISBLANK(P1439),"",IF(S1439=0,(365/0.5)*V1439,(365/S1439)*V1439))</f>
        <v/>
      </c>
      <c r="X1439" s="75" t="n"/>
      <c r="Y1439" s="77" t="n"/>
      <c r="Z1439" s="77" t="n"/>
      <c r="AA1439" s="75" t="n"/>
      <c r="AB1439" s="75" t="n"/>
      <c r="AC1439" s="6" t="n"/>
      <c r="AD1439" s="75" t="n"/>
      <c r="AE1439" s="75" t="n"/>
      <c r="AF1439" s="75" t="n"/>
    </row>
    <row r="1440" ht="15.75" customHeight="1" s="133">
      <c r="A1440" s="75" t="n"/>
      <c r="B1440" s="75" t="n"/>
      <c r="C1440" s="75" t="n"/>
      <c r="D1440" s="75" t="n"/>
      <c r="E1440" s="76" t="n"/>
      <c r="F1440" s="77" t="n"/>
      <c r="G1440" s="75" t="n"/>
      <c r="H1440" s="75">
        <f>IF(ISBLANK(E1440),"",IF(OR(D1440="Butterfly",D1440="Butterfly ",D1440="Iron Fly", D1440="Iron Fly "),LEN(E1440)-LEN(SUBSTITUTE(E1440,"/",""))+2,LEN(E1440)-LEN(SUBSTITUTE(E1440,"/",""))+1))</f>
        <v/>
      </c>
      <c r="I1440" s="78">
        <f>IF(ISBLANK(G1440),"",IF(D1440="Stock","0",Key!$A$3*H1440*G1440))</f>
        <v/>
      </c>
      <c r="J1440" s="78">
        <f>IF(ISBLANK(E1440),"",IF(ISNUMBER(SEARCH("/",E1440)), IF(LEN(E1440)-LEN(SUBSTITUTE(E1440,"/",""))=1,(RIGHT(E1440,LEN(E1440)-FIND("/",E1440)))-(LEFT(E1440,FIND("/",E1440)-1)),(MID(E1440, SEARCH("/",E1440) + 1, SEARCH("/",E1440, SEARCH("/",E1440)+1) - SEARCH("/",E1440) - 1))-(LEFT(E1440,FIND("/",E1440)-1))), "NA"))</f>
        <v/>
      </c>
      <c r="K1440" s="79">
        <f>IF(A1440&lt;&gt;"", IF(ISBLANK(L1440), TODAY(), K1440), "")</f>
        <v/>
      </c>
      <c r="L1440" s="78" t="n"/>
      <c r="M1440" s="78">
        <f>IF(ISBLANK(L1440),"",IF(D1440="Stock",IF(C1440="Buy",L1440*G1440,IF(C1440="Sell",(L1440*G1440)-I1440, X)),IF(C1440="Buy",(L1440*G1440*100)+I1440,IF(C1440="Sell",(L1440*G1440*100)-I1440, X))))</f>
        <v/>
      </c>
      <c r="N1440" s="78">
        <f>IF(ISBLANK(L1440),"",IF(AND(C1440="Sell",D1440="Stock"),M1440,IF(ISBLANK(L1440),"",IF(C1440="Buy",M1440, IF(AND(C1440="Sell",J1440="NA"),(E1440*G1440*100*0.1)+I1440, IF(C1440="Sell",(J1440-L1440)*(100*G1440)+I1440))))))</f>
        <v/>
      </c>
      <c r="O1440" s="75" t="n"/>
      <c r="P1440" s="75" t="n"/>
      <c r="Q1440" s="75">
        <f>IF(ISBLANK(P1440),"",IF(D1440="Stock",P1440*G1440,IF(P1440=0,"0",G1440*P1440*100-(G1440*$AF$14))))</f>
        <v/>
      </c>
      <c r="R1440" s="79">
        <f>IF(P1440&lt;&gt;"", TODAY(), "")</f>
        <v/>
      </c>
      <c r="S1440" s="78">
        <f>IF(AND(K1440&lt;&gt;"", R1440&lt;&gt;""), R1440-K1440, "")</f>
        <v/>
      </c>
      <c r="T1440" s="78" t="n"/>
      <c r="U1440" s="92">
        <f>IF(ISBLANK(P1440),"",IF(C1440="Buy",Q1440-M1440+T1440, IF(C1440="Sell",M1440-Q1440-T1440, X)))</f>
        <v/>
      </c>
      <c r="V1440" s="81">
        <f>IF(ISBLANK(P1440),"",U1440/N1440)</f>
        <v/>
      </c>
      <c r="W1440" s="81">
        <f>IF(ISBLANK(P1440),"",IF(S1440=0,(365/0.5)*V1440,(365/S1440)*V1440))</f>
        <v/>
      </c>
      <c r="X1440" s="75" t="n"/>
      <c r="Y1440" s="77" t="n"/>
      <c r="Z1440" s="77" t="n"/>
      <c r="AA1440" s="75" t="n"/>
      <c r="AB1440" s="75" t="n"/>
      <c r="AC1440" s="6" t="n"/>
      <c r="AD1440" s="75" t="n"/>
      <c r="AE1440" s="75" t="n"/>
      <c r="AF1440" s="75" t="n"/>
    </row>
    <row r="1441" ht="15.75" customHeight="1" s="133">
      <c r="A1441" s="75" t="n"/>
      <c r="B1441" s="75" t="n"/>
      <c r="C1441" s="75" t="n"/>
      <c r="D1441" s="75" t="n"/>
      <c r="E1441" s="76" t="n"/>
      <c r="F1441" s="77" t="n"/>
      <c r="G1441" s="75" t="n"/>
      <c r="H1441" s="75">
        <f>IF(ISBLANK(E1441),"",IF(OR(D1441="Butterfly",D1441="Butterfly ",D1441="Iron Fly", D1441="Iron Fly "),LEN(E1441)-LEN(SUBSTITUTE(E1441,"/",""))+2,LEN(E1441)-LEN(SUBSTITUTE(E1441,"/",""))+1))</f>
        <v/>
      </c>
      <c r="I1441" s="78">
        <f>IF(ISBLANK(G1441),"",IF(D1441="Stock","0",Key!$A$3*H1441*G1441))</f>
        <v/>
      </c>
      <c r="J1441" s="78">
        <f>IF(ISBLANK(E1441),"",IF(ISNUMBER(SEARCH("/",E1441)), IF(LEN(E1441)-LEN(SUBSTITUTE(E1441,"/",""))=1,(RIGHT(E1441,LEN(E1441)-FIND("/",E1441)))-(LEFT(E1441,FIND("/",E1441)-1)),(MID(E1441, SEARCH("/",E1441) + 1, SEARCH("/",E1441, SEARCH("/",E1441)+1) - SEARCH("/",E1441) - 1))-(LEFT(E1441,FIND("/",E1441)-1))), "NA"))</f>
        <v/>
      </c>
      <c r="K1441" s="79">
        <f>IF(A1441&lt;&gt;"", IF(ISBLANK(L1441), TODAY(), K1441), "")</f>
        <v/>
      </c>
      <c r="L1441" s="78" t="n"/>
      <c r="M1441" s="78">
        <f>IF(ISBLANK(L1441),"",IF(D1441="Stock",IF(C1441="Buy",L1441*G1441,IF(C1441="Sell",(L1441*G1441)-I1441, X)),IF(C1441="Buy",(L1441*G1441*100)+I1441,IF(C1441="Sell",(L1441*G1441*100)-I1441, X))))</f>
        <v/>
      </c>
      <c r="N1441" s="78">
        <f>IF(ISBLANK(L1441),"",IF(AND(C1441="Sell",D1441="Stock"),M1441,IF(ISBLANK(L1441),"",IF(C1441="Buy",M1441, IF(AND(C1441="Sell",J1441="NA"),(E1441*G1441*100*0.1)+I1441, IF(C1441="Sell",(J1441-L1441)*(100*G1441)+I1441))))))</f>
        <v/>
      </c>
      <c r="O1441" s="75" t="n"/>
      <c r="P1441" s="75" t="n"/>
      <c r="Q1441" s="75">
        <f>IF(ISBLANK(P1441),"",IF(D1441="Stock",P1441*G1441,IF(P1441=0,"0",G1441*P1441*100-(G1441*$AF$14))))</f>
        <v/>
      </c>
      <c r="R1441" s="79">
        <f>IF(P1441&lt;&gt;"", TODAY(), "")</f>
        <v/>
      </c>
      <c r="S1441" s="78">
        <f>IF(AND(K1441&lt;&gt;"", R1441&lt;&gt;""), R1441-K1441, "")</f>
        <v/>
      </c>
      <c r="T1441" s="78" t="n"/>
      <c r="U1441" s="92">
        <f>IF(ISBLANK(P1441),"",IF(C1441="Buy",Q1441-M1441+T1441, IF(C1441="Sell",M1441-Q1441-T1441, X)))</f>
        <v/>
      </c>
      <c r="V1441" s="81">
        <f>IF(ISBLANK(P1441),"",U1441/N1441)</f>
        <v/>
      </c>
      <c r="W1441" s="81">
        <f>IF(ISBLANK(P1441),"",IF(S1441=0,(365/0.5)*V1441,(365/S1441)*V1441))</f>
        <v/>
      </c>
      <c r="X1441" s="75" t="n"/>
      <c r="Y1441" s="77" t="n"/>
      <c r="Z1441" s="77" t="n"/>
      <c r="AA1441" s="75" t="n"/>
      <c r="AB1441" s="75" t="n"/>
      <c r="AC1441" s="6" t="n"/>
      <c r="AD1441" s="75" t="n"/>
      <c r="AE1441" s="75" t="n"/>
      <c r="AF1441" s="75" t="n"/>
    </row>
    <row r="1442" ht="15.75" customHeight="1" s="133">
      <c r="A1442" s="75" t="n"/>
      <c r="B1442" s="75" t="n"/>
      <c r="C1442" s="75" t="n"/>
      <c r="D1442" s="75" t="n"/>
      <c r="E1442" s="76" t="n"/>
      <c r="F1442" s="77" t="n"/>
      <c r="G1442" s="75" t="n"/>
      <c r="H1442" s="75">
        <f>IF(ISBLANK(E1442),"",IF(OR(D1442="Butterfly",D1442="Butterfly ",D1442="Iron Fly", D1442="Iron Fly "),LEN(E1442)-LEN(SUBSTITUTE(E1442,"/",""))+2,LEN(E1442)-LEN(SUBSTITUTE(E1442,"/",""))+1))</f>
        <v/>
      </c>
      <c r="I1442" s="78">
        <f>IF(ISBLANK(G1442),"",IF(D1442="Stock","0",Key!$A$3*H1442*G1442))</f>
        <v/>
      </c>
      <c r="J1442" s="78">
        <f>IF(ISBLANK(E1442),"",IF(ISNUMBER(SEARCH("/",E1442)), IF(LEN(E1442)-LEN(SUBSTITUTE(E1442,"/",""))=1,(RIGHT(E1442,LEN(E1442)-FIND("/",E1442)))-(LEFT(E1442,FIND("/",E1442)-1)),(MID(E1442, SEARCH("/",E1442) + 1, SEARCH("/",E1442, SEARCH("/",E1442)+1) - SEARCH("/",E1442) - 1))-(LEFT(E1442,FIND("/",E1442)-1))), "NA"))</f>
        <v/>
      </c>
      <c r="K1442" s="79">
        <f>IF(A1442&lt;&gt;"", IF(ISBLANK(L1442), TODAY(), K1442), "")</f>
        <v/>
      </c>
      <c r="L1442" s="78" t="n"/>
      <c r="M1442" s="78">
        <f>IF(ISBLANK(L1442),"",IF(D1442="Stock",IF(C1442="Buy",L1442*G1442,IF(C1442="Sell",(L1442*G1442)-I1442, X)),IF(C1442="Buy",(L1442*G1442*100)+I1442,IF(C1442="Sell",(L1442*G1442*100)-I1442, X))))</f>
        <v/>
      </c>
      <c r="N1442" s="78">
        <f>IF(ISBLANK(L1442),"",IF(AND(C1442="Sell",D1442="Stock"),M1442,IF(ISBLANK(L1442),"",IF(C1442="Buy",M1442, IF(AND(C1442="Sell",J1442="NA"),(E1442*G1442*100*0.1)+I1442, IF(C1442="Sell",(J1442-L1442)*(100*G1442)+I1442))))))</f>
        <v/>
      </c>
      <c r="O1442" s="75" t="n"/>
      <c r="P1442" s="75" t="n"/>
      <c r="Q1442" s="75">
        <f>IF(ISBLANK(P1442),"",IF(D1442="Stock",P1442*G1442,IF(P1442=0,"0",G1442*P1442*100-(G1442*$AF$14))))</f>
        <v/>
      </c>
      <c r="R1442" s="79">
        <f>IF(P1442&lt;&gt;"", TODAY(), "")</f>
        <v/>
      </c>
      <c r="S1442" s="78">
        <f>IF(AND(K1442&lt;&gt;"", R1442&lt;&gt;""), R1442-K1442, "")</f>
        <v/>
      </c>
      <c r="T1442" s="78" t="n"/>
      <c r="U1442" s="92">
        <f>IF(ISBLANK(P1442),"",IF(C1442="Buy",Q1442-M1442+T1442, IF(C1442="Sell",M1442-Q1442-T1442, X)))</f>
        <v/>
      </c>
      <c r="V1442" s="81">
        <f>IF(ISBLANK(P1442),"",U1442/N1442)</f>
        <v/>
      </c>
      <c r="W1442" s="81">
        <f>IF(ISBLANK(P1442),"",IF(S1442=0,(365/0.5)*V1442,(365/S1442)*V1442))</f>
        <v/>
      </c>
      <c r="X1442" s="75" t="n"/>
      <c r="Y1442" s="77" t="n"/>
      <c r="Z1442" s="77" t="n"/>
      <c r="AA1442" s="75" t="n"/>
      <c r="AB1442" s="75" t="n"/>
      <c r="AC1442" s="6" t="n"/>
      <c r="AD1442" s="75" t="n"/>
      <c r="AE1442" s="75" t="n"/>
      <c r="AF1442" s="75" t="n"/>
    </row>
    <row r="1443" ht="15.75" customHeight="1" s="133">
      <c r="A1443" s="75" t="n"/>
      <c r="B1443" s="75" t="n"/>
      <c r="C1443" s="75" t="n"/>
      <c r="D1443" s="75" t="n"/>
      <c r="E1443" s="76" t="n"/>
      <c r="F1443" s="77" t="n"/>
      <c r="G1443" s="75" t="n"/>
      <c r="H1443" s="75">
        <f>IF(ISBLANK(E1443),"",IF(OR(D1443="Butterfly",D1443="Butterfly ",D1443="Iron Fly", D1443="Iron Fly "),LEN(E1443)-LEN(SUBSTITUTE(E1443,"/",""))+2,LEN(E1443)-LEN(SUBSTITUTE(E1443,"/",""))+1))</f>
        <v/>
      </c>
      <c r="I1443" s="78">
        <f>IF(ISBLANK(G1443),"",IF(D1443="Stock","0",Key!$A$3*H1443*G1443))</f>
        <v/>
      </c>
      <c r="J1443" s="78">
        <f>IF(ISBLANK(E1443),"",IF(ISNUMBER(SEARCH("/",E1443)), IF(LEN(E1443)-LEN(SUBSTITUTE(E1443,"/",""))=1,(RIGHT(E1443,LEN(E1443)-FIND("/",E1443)))-(LEFT(E1443,FIND("/",E1443)-1)),(MID(E1443, SEARCH("/",E1443) + 1, SEARCH("/",E1443, SEARCH("/",E1443)+1) - SEARCH("/",E1443) - 1))-(LEFT(E1443,FIND("/",E1443)-1))), "NA"))</f>
        <v/>
      </c>
      <c r="K1443" s="79">
        <f>IF(A1443&lt;&gt;"", IF(ISBLANK(L1443), TODAY(), K1443), "")</f>
        <v/>
      </c>
      <c r="L1443" s="78" t="n"/>
      <c r="M1443" s="78">
        <f>IF(ISBLANK(L1443),"",IF(D1443="Stock",IF(C1443="Buy",L1443*G1443,IF(C1443="Sell",(L1443*G1443)-I1443, X)),IF(C1443="Buy",(L1443*G1443*100)+I1443,IF(C1443="Sell",(L1443*G1443*100)-I1443, X))))</f>
        <v/>
      </c>
      <c r="N1443" s="78">
        <f>IF(ISBLANK(L1443),"",IF(AND(C1443="Sell",D1443="Stock"),M1443,IF(ISBLANK(L1443),"",IF(C1443="Buy",M1443, IF(AND(C1443="Sell",J1443="NA"),(E1443*G1443*100*0.1)+I1443, IF(C1443="Sell",(J1443-L1443)*(100*G1443)+I1443))))))</f>
        <v/>
      </c>
      <c r="O1443" s="75" t="n"/>
      <c r="P1443" s="75" t="n"/>
      <c r="Q1443" s="75">
        <f>IF(ISBLANK(P1443),"",IF(D1443="Stock",P1443*G1443,IF(P1443=0,"0",G1443*P1443*100-(G1443*$AF$14))))</f>
        <v/>
      </c>
      <c r="R1443" s="79">
        <f>IF(P1443&lt;&gt;"", TODAY(), "")</f>
        <v/>
      </c>
      <c r="S1443" s="78">
        <f>IF(AND(K1443&lt;&gt;"", R1443&lt;&gt;""), R1443-K1443, "")</f>
        <v/>
      </c>
      <c r="T1443" s="78" t="n"/>
      <c r="U1443" s="92">
        <f>IF(ISBLANK(P1443),"",IF(C1443="Buy",Q1443-M1443+T1443, IF(C1443="Sell",M1443-Q1443-T1443, X)))</f>
        <v/>
      </c>
      <c r="V1443" s="81">
        <f>IF(ISBLANK(P1443),"",U1443/N1443)</f>
        <v/>
      </c>
      <c r="W1443" s="81">
        <f>IF(ISBLANK(P1443),"",IF(S1443=0,(365/0.5)*V1443,(365/S1443)*V1443))</f>
        <v/>
      </c>
      <c r="X1443" s="75" t="n"/>
      <c r="Y1443" s="77" t="n"/>
      <c r="Z1443" s="77" t="n"/>
      <c r="AA1443" s="75" t="n"/>
      <c r="AB1443" s="75" t="n"/>
      <c r="AC1443" s="6" t="n"/>
      <c r="AD1443" s="75" t="n"/>
      <c r="AE1443" s="75" t="n"/>
      <c r="AF1443" s="75" t="n"/>
    </row>
    <row r="1444" ht="15.75" customHeight="1" s="133">
      <c r="A1444" s="75" t="n"/>
      <c r="B1444" s="75" t="n"/>
      <c r="C1444" s="75" t="n"/>
      <c r="D1444" s="75" t="n"/>
      <c r="E1444" s="76" t="n"/>
      <c r="F1444" s="77" t="n"/>
      <c r="G1444" s="75" t="n"/>
      <c r="H1444" s="75">
        <f>IF(ISBLANK(E1444),"",IF(OR(D1444="Butterfly",D1444="Butterfly ",D1444="Iron Fly", D1444="Iron Fly "),LEN(E1444)-LEN(SUBSTITUTE(E1444,"/",""))+2,LEN(E1444)-LEN(SUBSTITUTE(E1444,"/",""))+1))</f>
        <v/>
      </c>
      <c r="I1444" s="78">
        <f>IF(ISBLANK(G1444),"",IF(D1444="Stock","0",Key!$A$3*H1444*G1444))</f>
        <v/>
      </c>
      <c r="J1444" s="78">
        <f>IF(ISBLANK(E1444),"",IF(ISNUMBER(SEARCH("/",E1444)), IF(LEN(E1444)-LEN(SUBSTITUTE(E1444,"/",""))=1,(RIGHT(E1444,LEN(E1444)-FIND("/",E1444)))-(LEFT(E1444,FIND("/",E1444)-1)),(MID(E1444, SEARCH("/",E1444) + 1, SEARCH("/",E1444, SEARCH("/",E1444)+1) - SEARCH("/",E1444) - 1))-(LEFT(E1444,FIND("/",E1444)-1))), "NA"))</f>
        <v/>
      </c>
      <c r="K1444" s="79">
        <f>IF(A1444&lt;&gt;"", IF(ISBLANK(L1444), TODAY(), K1444), "")</f>
        <v/>
      </c>
      <c r="L1444" s="78" t="n"/>
      <c r="M1444" s="78">
        <f>IF(ISBLANK(L1444),"",IF(D1444="Stock",IF(C1444="Buy",L1444*G1444,IF(C1444="Sell",(L1444*G1444)-I1444, X)),IF(C1444="Buy",(L1444*G1444*100)+I1444,IF(C1444="Sell",(L1444*G1444*100)-I1444, X))))</f>
        <v/>
      </c>
      <c r="N1444" s="78">
        <f>IF(ISBLANK(L1444),"",IF(AND(C1444="Sell",D1444="Stock"),M1444,IF(ISBLANK(L1444),"",IF(C1444="Buy",M1444, IF(AND(C1444="Sell",J1444="NA"),(E1444*G1444*100*0.1)+I1444, IF(C1444="Sell",(J1444-L1444)*(100*G1444)+I1444))))))</f>
        <v/>
      </c>
      <c r="O1444" s="75" t="n"/>
      <c r="P1444" s="75" t="n"/>
      <c r="Q1444" s="75">
        <f>IF(ISBLANK(P1444),"",IF(D1444="Stock",P1444*G1444,IF(P1444=0,"0",G1444*P1444*100-(G1444*$AF$14))))</f>
        <v/>
      </c>
      <c r="R1444" s="79">
        <f>IF(P1444&lt;&gt;"", TODAY(), "")</f>
        <v/>
      </c>
      <c r="S1444" s="78">
        <f>IF(AND(K1444&lt;&gt;"", R1444&lt;&gt;""), R1444-K1444, "")</f>
        <v/>
      </c>
      <c r="T1444" s="78" t="n"/>
      <c r="U1444" s="92">
        <f>IF(ISBLANK(P1444),"",IF(C1444="Buy",Q1444-M1444+T1444, IF(C1444="Sell",M1444-Q1444-T1444, X)))</f>
        <v/>
      </c>
      <c r="V1444" s="81">
        <f>IF(ISBLANK(P1444),"",U1444/N1444)</f>
        <v/>
      </c>
      <c r="W1444" s="81">
        <f>IF(ISBLANK(P1444),"",IF(S1444=0,(365/0.5)*V1444,(365/S1444)*V1444))</f>
        <v/>
      </c>
      <c r="X1444" s="75" t="n"/>
      <c r="Y1444" s="77" t="n"/>
      <c r="Z1444" s="77" t="n"/>
      <c r="AA1444" s="75" t="n"/>
      <c r="AB1444" s="75" t="n"/>
      <c r="AC1444" s="6" t="n"/>
      <c r="AD1444" s="75" t="n"/>
      <c r="AE1444" s="75" t="n"/>
      <c r="AF1444" s="75" t="n"/>
    </row>
    <row r="1445" ht="15.75" customHeight="1" s="133">
      <c r="A1445" s="75" t="n"/>
      <c r="B1445" s="75" t="n"/>
      <c r="C1445" s="75" t="n"/>
      <c r="D1445" s="75" t="n"/>
      <c r="E1445" s="76" t="n"/>
      <c r="F1445" s="77" t="n"/>
      <c r="G1445" s="75" t="n"/>
      <c r="H1445" s="75">
        <f>IF(ISBLANK(E1445),"",IF(OR(D1445="Butterfly",D1445="Butterfly ",D1445="Iron Fly", D1445="Iron Fly "),LEN(E1445)-LEN(SUBSTITUTE(E1445,"/",""))+2,LEN(E1445)-LEN(SUBSTITUTE(E1445,"/",""))+1))</f>
        <v/>
      </c>
      <c r="I1445" s="78">
        <f>IF(ISBLANK(G1445),"",IF(D1445="Stock","0",Key!$A$3*H1445*G1445))</f>
        <v/>
      </c>
      <c r="J1445" s="78">
        <f>IF(ISBLANK(E1445),"",IF(ISNUMBER(SEARCH("/",E1445)), IF(LEN(E1445)-LEN(SUBSTITUTE(E1445,"/",""))=1,(RIGHT(E1445,LEN(E1445)-FIND("/",E1445)))-(LEFT(E1445,FIND("/",E1445)-1)),(MID(E1445, SEARCH("/",E1445) + 1, SEARCH("/",E1445, SEARCH("/",E1445)+1) - SEARCH("/",E1445) - 1))-(LEFT(E1445,FIND("/",E1445)-1))), "NA"))</f>
        <v/>
      </c>
      <c r="K1445" s="79">
        <f>IF(A1445&lt;&gt;"", IF(ISBLANK(L1445), TODAY(), K1445), "")</f>
        <v/>
      </c>
      <c r="L1445" s="78" t="n"/>
      <c r="M1445" s="78">
        <f>IF(ISBLANK(L1445),"",IF(D1445="Stock",IF(C1445="Buy",L1445*G1445,IF(C1445="Sell",(L1445*G1445)-I1445, X)),IF(C1445="Buy",(L1445*G1445*100)+I1445,IF(C1445="Sell",(L1445*G1445*100)-I1445, X))))</f>
        <v/>
      </c>
      <c r="N1445" s="78">
        <f>IF(ISBLANK(L1445),"",IF(AND(C1445="Sell",D1445="Stock"),M1445,IF(ISBLANK(L1445),"",IF(C1445="Buy",M1445, IF(AND(C1445="Sell",J1445="NA"),(E1445*G1445*100*0.1)+I1445, IF(C1445="Sell",(J1445-L1445)*(100*G1445)+I1445))))))</f>
        <v/>
      </c>
      <c r="O1445" s="75" t="n"/>
      <c r="P1445" s="75" t="n"/>
      <c r="Q1445" s="75">
        <f>IF(ISBLANK(P1445),"",IF(D1445="Stock",P1445*G1445,IF(P1445=0,"0",G1445*P1445*100-(G1445*$AF$14))))</f>
        <v/>
      </c>
      <c r="R1445" s="79">
        <f>IF(P1445&lt;&gt;"", TODAY(), "")</f>
        <v/>
      </c>
      <c r="S1445" s="78">
        <f>IF(AND(K1445&lt;&gt;"", R1445&lt;&gt;""), R1445-K1445, "")</f>
        <v/>
      </c>
      <c r="T1445" s="78" t="n"/>
      <c r="U1445" s="92">
        <f>IF(ISBLANK(P1445),"",IF(C1445="Buy",Q1445-M1445+T1445, IF(C1445="Sell",M1445-Q1445-T1445, X)))</f>
        <v/>
      </c>
      <c r="V1445" s="81">
        <f>IF(ISBLANK(P1445),"",U1445/N1445)</f>
        <v/>
      </c>
      <c r="W1445" s="81">
        <f>IF(ISBLANK(P1445),"",IF(S1445=0,(365/0.5)*V1445,(365/S1445)*V1445))</f>
        <v/>
      </c>
      <c r="X1445" s="75" t="n"/>
      <c r="Y1445" s="77" t="n"/>
      <c r="Z1445" s="77" t="n"/>
      <c r="AA1445" s="75" t="n"/>
      <c r="AB1445" s="75" t="n"/>
      <c r="AC1445" s="6" t="n"/>
      <c r="AD1445" s="75" t="n"/>
      <c r="AE1445" s="75" t="n"/>
      <c r="AF1445" s="75" t="n"/>
    </row>
    <row r="1446" ht="15.75" customHeight="1" s="133">
      <c r="A1446" s="75" t="n"/>
      <c r="B1446" s="75" t="n"/>
      <c r="C1446" s="75" t="n"/>
      <c r="D1446" s="75" t="n"/>
      <c r="E1446" s="76" t="n"/>
      <c r="F1446" s="77" t="n"/>
      <c r="G1446" s="75" t="n"/>
      <c r="H1446" s="75">
        <f>IF(ISBLANK(E1446),"",IF(OR(D1446="Butterfly",D1446="Butterfly ",D1446="Iron Fly", D1446="Iron Fly "),LEN(E1446)-LEN(SUBSTITUTE(E1446,"/",""))+2,LEN(E1446)-LEN(SUBSTITUTE(E1446,"/",""))+1))</f>
        <v/>
      </c>
      <c r="I1446" s="78">
        <f>IF(ISBLANK(G1446),"",IF(D1446="Stock","0",Key!$A$3*H1446*G1446))</f>
        <v/>
      </c>
      <c r="J1446" s="78">
        <f>IF(ISBLANK(E1446),"",IF(ISNUMBER(SEARCH("/",E1446)), IF(LEN(E1446)-LEN(SUBSTITUTE(E1446,"/",""))=1,(RIGHT(E1446,LEN(E1446)-FIND("/",E1446)))-(LEFT(E1446,FIND("/",E1446)-1)),(MID(E1446, SEARCH("/",E1446) + 1, SEARCH("/",E1446, SEARCH("/",E1446)+1) - SEARCH("/",E1446) - 1))-(LEFT(E1446,FIND("/",E1446)-1))), "NA"))</f>
        <v/>
      </c>
      <c r="K1446" s="79">
        <f>IF(A1446&lt;&gt;"", IF(ISBLANK(L1446), TODAY(), K1446), "")</f>
        <v/>
      </c>
      <c r="L1446" s="78" t="n"/>
      <c r="M1446" s="78">
        <f>IF(ISBLANK(L1446),"",IF(D1446="Stock",IF(C1446="Buy",L1446*G1446,IF(C1446="Sell",(L1446*G1446)-I1446, X)),IF(C1446="Buy",(L1446*G1446*100)+I1446,IF(C1446="Sell",(L1446*G1446*100)-I1446, X))))</f>
        <v/>
      </c>
      <c r="N1446" s="78">
        <f>IF(ISBLANK(L1446),"",IF(AND(C1446="Sell",D1446="Stock"),M1446,IF(ISBLANK(L1446),"",IF(C1446="Buy",M1446, IF(AND(C1446="Sell",J1446="NA"),(E1446*G1446*100*0.1)+I1446, IF(C1446="Sell",(J1446-L1446)*(100*G1446)+I1446))))))</f>
        <v/>
      </c>
      <c r="O1446" s="75" t="n"/>
      <c r="P1446" s="75" t="n"/>
      <c r="Q1446" s="75">
        <f>IF(ISBLANK(P1446),"",IF(D1446="Stock",P1446*G1446,IF(P1446=0,"0",G1446*P1446*100-(G1446*$AF$14))))</f>
        <v/>
      </c>
      <c r="R1446" s="79">
        <f>IF(P1446&lt;&gt;"", TODAY(), "")</f>
        <v/>
      </c>
      <c r="S1446" s="78">
        <f>IF(AND(K1446&lt;&gt;"", R1446&lt;&gt;""), R1446-K1446, "")</f>
        <v/>
      </c>
      <c r="T1446" s="78" t="n"/>
      <c r="U1446" s="92">
        <f>IF(ISBLANK(P1446),"",IF(C1446="Buy",Q1446-M1446+T1446, IF(C1446="Sell",M1446-Q1446-T1446, X)))</f>
        <v/>
      </c>
      <c r="V1446" s="81">
        <f>IF(ISBLANK(P1446),"",U1446/N1446)</f>
        <v/>
      </c>
      <c r="W1446" s="81">
        <f>IF(ISBLANK(P1446),"",IF(S1446=0,(365/0.5)*V1446,(365/S1446)*V1446))</f>
        <v/>
      </c>
      <c r="X1446" s="75" t="n"/>
      <c r="Y1446" s="77" t="n"/>
      <c r="Z1446" s="77" t="n"/>
      <c r="AA1446" s="75" t="n"/>
      <c r="AB1446" s="75" t="n"/>
      <c r="AC1446" s="6" t="n"/>
      <c r="AD1446" s="75" t="n"/>
      <c r="AE1446" s="75" t="n"/>
      <c r="AF1446" s="75" t="n"/>
    </row>
    <row r="1447" ht="15.75" customHeight="1" s="133">
      <c r="A1447" s="75" t="n"/>
      <c r="B1447" s="75" t="n"/>
      <c r="C1447" s="75" t="n"/>
      <c r="D1447" s="75" t="n"/>
      <c r="E1447" s="76" t="n"/>
      <c r="F1447" s="77" t="n"/>
      <c r="G1447" s="75" t="n"/>
      <c r="H1447" s="75">
        <f>IF(ISBLANK(E1447),"",IF(OR(D1447="Butterfly",D1447="Butterfly ",D1447="Iron Fly", D1447="Iron Fly "),LEN(E1447)-LEN(SUBSTITUTE(E1447,"/",""))+2,LEN(E1447)-LEN(SUBSTITUTE(E1447,"/",""))+1))</f>
        <v/>
      </c>
      <c r="I1447" s="78">
        <f>IF(ISBLANK(G1447),"",IF(D1447="Stock","0",Key!$A$3*H1447*G1447))</f>
        <v/>
      </c>
      <c r="J1447" s="78">
        <f>IF(ISBLANK(E1447),"",IF(ISNUMBER(SEARCH("/",E1447)), IF(LEN(E1447)-LEN(SUBSTITUTE(E1447,"/",""))=1,(RIGHT(E1447,LEN(E1447)-FIND("/",E1447)))-(LEFT(E1447,FIND("/",E1447)-1)),(MID(E1447, SEARCH("/",E1447) + 1, SEARCH("/",E1447, SEARCH("/",E1447)+1) - SEARCH("/",E1447) - 1))-(LEFT(E1447,FIND("/",E1447)-1))), "NA"))</f>
        <v/>
      </c>
      <c r="K1447" s="79">
        <f>IF(A1447&lt;&gt;"", IF(ISBLANK(L1447), TODAY(), K1447), "")</f>
        <v/>
      </c>
      <c r="L1447" s="78" t="n"/>
      <c r="M1447" s="78">
        <f>IF(ISBLANK(L1447),"",IF(D1447="Stock",IF(C1447="Buy",L1447*G1447,IF(C1447="Sell",(L1447*G1447)-I1447, X)),IF(C1447="Buy",(L1447*G1447*100)+I1447,IF(C1447="Sell",(L1447*G1447*100)-I1447, X))))</f>
        <v/>
      </c>
      <c r="N1447" s="78">
        <f>IF(ISBLANK(L1447),"",IF(AND(C1447="Sell",D1447="Stock"),M1447,IF(ISBLANK(L1447),"",IF(C1447="Buy",M1447, IF(AND(C1447="Sell",J1447="NA"),(E1447*G1447*100*0.1)+I1447, IF(C1447="Sell",(J1447-L1447)*(100*G1447)+I1447))))))</f>
        <v/>
      </c>
      <c r="O1447" s="75" t="n"/>
      <c r="P1447" s="75" t="n"/>
      <c r="Q1447" s="75">
        <f>IF(ISBLANK(P1447),"",IF(D1447="Stock",P1447*G1447,IF(P1447=0,"0",G1447*P1447*100-(G1447*$AF$14))))</f>
        <v/>
      </c>
      <c r="R1447" s="79">
        <f>IF(P1447&lt;&gt;"", TODAY(), "")</f>
        <v/>
      </c>
      <c r="S1447" s="78">
        <f>IF(AND(K1447&lt;&gt;"", R1447&lt;&gt;""), R1447-K1447, "")</f>
        <v/>
      </c>
      <c r="T1447" s="78" t="n"/>
      <c r="U1447" s="92">
        <f>IF(ISBLANK(P1447),"",IF(C1447="Buy",Q1447-M1447+T1447, IF(C1447="Sell",M1447-Q1447-T1447, X)))</f>
        <v/>
      </c>
      <c r="V1447" s="81">
        <f>IF(ISBLANK(P1447),"",U1447/N1447)</f>
        <v/>
      </c>
      <c r="W1447" s="81">
        <f>IF(ISBLANK(P1447),"",IF(S1447=0,(365/0.5)*V1447,(365/S1447)*V1447))</f>
        <v/>
      </c>
      <c r="X1447" s="75" t="n"/>
      <c r="Y1447" s="77" t="n"/>
      <c r="Z1447" s="77" t="n"/>
      <c r="AA1447" s="75" t="n"/>
      <c r="AB1447" s="75" t="n"/>
      <c r="AC1447" s="6" t="n"/>
      <c r="AD1447" s="75" t="n"/>
      <c r="AE1447" s="75" t="n"/>
      <c r="AF1447" s="75" t="n"/>
    </row>
    <row r="1448" ht="15.75" customHeight="1" s="133">
      <c r="A1448" s="75" t="n"/>
      <c r="B1448" s="75" t="n"/>
      <c r="C1448" s="75" t="n"/>
      <c r="D1448" s="75" t="n"/>
      <c r="E1448" s="76" t="n"/>
      <c r="F1448" s="77" t="n"/>
      <c r="G1448" s="75" t="n"/>
      <c r="H1448" s="75">
        <f>IF(ISBLANK(E1448),"",IF(OR(D1448="Butterfly",D1448="Butterfly ",D1448="Iron Fly", D1448="Iron Fly "),LEN(E1448)-LEN(SUBSTITUTE(E1448,"/",""))+2,LEN(E1448)-LEN(SUBSTITUTE(E1448,"/",""))+1))</f>
        <v/>
      </c>
      <c r="I1448" s="78">
        <f>IF(ISBLANK(G1448),"",IF(D1448="Stock","0",Key!$A$3*H1448*G1448))</f>
        <v/>
      </c>
      <c r="J1448" s="78">
        <f>IF(ISBLANK(E1448),"",IF(ISNUMBER(SEARCH("/",E1448)), IF(LEN(E1448)-LEN(SUBSTITUTE(E1448,"/",""))=1,(RIGHT(E1448,LEN(E1448)-FIND("/",E1448)))-(LEFT(E1448,FIND("/",E1448)-1)),(MID(E1448, SEARCH("/",E1448) + 1, SEARCH("/",E1448, SEARCH("/",E1448)+1) - SEARCH("/",E1448) - 1))-(LEFT(E1448,FIND("/",E1448)-1))), "NA"))</f>
        <v/>
      </c>
      <c r="K1448" s="79">
        <f>IF(A1448&lt;&gt;"", IF(ISBLANK(L1448), TODAY(), K1448), "")</f>
        <v/>
      </c>
      <c r="L1448" s="78" t="n"/>
      <c r="M1448" s="78">
        <f>IF(ISBLANK(L1448),"",IF(D1448="Stock",IF(C1448="Buy",L1448*G1448,IF(C1448="Sell",(L1448*G1448)-I1448, X)),IF(C1448="Buy",(L1448*G1448*100)+I1448,IF(C1448="Sell",(L1448*G1448*100)-I1448, X))))</f>
        <v/>
      </c>
      <c r="N1448" s="78">
        <f>IF(ISBLANK(L1448),"",IF(AND(C1448="Sell",D1448="Stock"),M1448,IF(ISBLANK(L1448),"",IF(C1448="Buy",M1448, IF(AND(C1448="Sell",J1448="NA"),(E1448*G1448*100*0.1)+I1448, IF(C1448="Sell",(J1448-L1448)*(100*G1448)+I1448))))))</f>
        <v/>
      </c>
      <c r="O1448" s="75" t="n"/>
      <c r="P1448" s="75" t="n"/>
      <c r="Q1448" s="75">
        <f>IF(ISBLANK(P1448),"",IF(D1448="Stock",P1448*G1448,IF(P1448=0,"0",G1448*P1448*100-(G1448*$AF$14))))</f>
        <v/>
      </c>
      <c r="R1448" s="79">
        <f>IF(P1448&lt;&gt;"", TODAY(), "")</f>
        <v/>
      </c>
      <c r="S1448" s="78">
        <f>IF(AND(K1448&lt;&gt;"", R1448&lt;&gt;""), R1448-K1448, "")</f>
        <v/>
      </c>
      <c r="T1448" s="78" t="n"/>
      <c r="U1448" s="92">
        <f>IF(ISBLANK(P1448),"",IF(C1448="Buy",Q1448-M1448+T1448, IF(C1448="Sell",M1448-Q1448-T1448, X)))</f>
        <v/>
      </c>
      <c r="V1448" s="81">
        <f>IF(ISBLANK(P1448),"",U1448/N1448)</f>
        <v/>
      </c>
      <c r="W1448" s="81">
        <f>IF(ISBLANK(P1448),"",IF(S1448=0,(365/0.5)*V1448,(365/S1448)*V1448))</f>
        <v/>
      </c>
      <c r="X1448" s="75" t="n"/>
      <c r="Y1448" s="77" t="n"/>
      <c r="Z1448" s="77" t="n"/>
      <c r="AA1448" s="75" t="n"/>
      <c r="AB1448" s="75" t="n"/>
      <c r="AC1448" s="6" t="n"/>
      <c r="AD1448" s="75" t="n"/>
      <c r="AE1448" s="75" t="n"/>
      <c r="AF1448" s="75" t="n"/>
    </row>
    <row r="1449" ht="15.75" customHeight="1" s="133">
      <c r="A1449" s="75" t="n"/>
      <c r="B1449" s="75" t="n"/>
      <c r="C1449" s="75" t="n"/>
      <c r="D1449" s="75" t="n"/>
      <c r="E1449" s="76" t="n"/>
      <c r="F1449" s="77" t="n"/>
      <c r="G1449" s="75" t="n"/>
      <c r="H1449" s="75">
        <f>IF(ISBLANK(E1449),"",IF(OR(D1449="Butterfly",D1449="Butterfly ",D1449="Iron Fly", D1449="Iron Fly "),LEN(E1449)-LEN(SUBSTITUTE(E1449,"/",""))+2,LEN(E1449)-LEN(SUBSTITUTE(E1449,"/",""))+1))</f>
        <v/>
      </c>
      <c r="I1449" s="78">
        <f>IF(ISBLANK(G1449),"",IF(D1449="Stock","0",Key!$A$3*H1449*G1449))</f>
        <v/>
      </c>
      <c r="J1449" s="78">
        <f>IF(ISBLANK(E1449),"",IF(ISNUMBER(SEARCH("/",E1449)), IF(LEN(E1449)-LEN(SUBSTITUTE(E1449,"/",""))=1,(RIGHT(E1449,LEN(E1449)-FIND("/",E1449)))-(LEFT(E1449,FIND("/",E1449)-1)),(MID(E1449, SEARCH("/",E1449) + 1, SEARCH("/",E1449, SEARCH("/",E1449)+1) - SEARCH("/",E1449) - 1))-(LEFT(E1449,FIND("/",E1449)-1))), "NA"))</f>
        <v/>
      </c>
      <c r="K1449" s="79">
        <f>IF(A1449&lt;&gt;"", IF(ISBLANK(L1449), TODAY(), K1449), "")</f>
        <v/>
      </c>
      <c r="L1449" s="78" t="n"/>
      <c r="M1449" s="78">
        <f>IF(ISBLANK(L1449),"",IF(D1449="Stock",IF(C1449="Buy",L1449*G1449,IF(C1449="Sell",(L1449*G1449)-I1449, X)),IF(C1449="Buy",(L1449*G1449*100)+I1449,IF(C1449="Sell",(L1449*G1449*100)-I1449, X))))</f>
        <v/>
      </c>
      <c r="N1449" s="78">
        <f>IF(ISBLANK(L1449),"",IF(AND(C1449="Sell",D1449="Stock"),M1449,IF(ISBLANK(L1449),"",IF(C1449="Buy",M1449, IF(AND(C1449="Sell",J1449="NA"),(E1449*G1449*100*0.1)+I1449, IF(C1449="Sell",(J1449-L1449)*(100*G1449)+I1449))))))</f>
        <v/>
      </c>
      <c r="O1449" s="75" t="n"/>
      <c r="P1449" s="75" t="n"/>
      <c r="Q1449" s="75">
        <f>IF(ISBLANK(P1449),"",IF(D1449="Stock",P1449*G1449,IF(P1449=0,"0",G1449*P1449*100-(G1449*$AF$14))))</f>
        <v/>
      </c>
      <c r="R1449" s="79">
        <f>IF(P1449&lt;&gt;"", TODAY(), "")</f>
        <v/>
      </c>
      <c r="S1449" s="78">
        <f>IF(AND(K1449&lt;&gt;"", R1449&lt;&gt;""), R1449-K1449, "")</f>
        <v/>
      </c>
      <c r="T1449" s="78" t="n"/>
      <c r="U1449" s="92">
        <f>IF(ISBLANK(P1449),"",IF(C1449="Buy",Q1449-M1449+T1449, IF(C1449="Sell",M1449-Q1449-T1449, X)))</f>
        <v/>
      </c>
      <c r="V1449" s="81">
        <f>IF(ISBLANK(P1449),"",U1449/N1449)</f>
        <v/>
      </c>
      <c r="W1449" s="81">
        <f>IF(ISBLANK(P1449),"",IF(S1449=0,(365/0.5)*V1449,(365/S1449)*V1449))</f>
        <v/>
      </c>
      <c r="X1449" s="75" t="n"/>
      <c r="Y1449" s="77" t="n"/>
      <c r="Z1449" s="77" t="n"/>
      <c r="AA1449" s="75" t="n"/>
      <c r="AB1449" s="75" t="n"/>
      <c r="AC1449" s="6" t="n"/>
      <c r="AD1449" s="75" t="n"/>
      <c r="AE1449" s="75" t="n"/>
      <c r="AF1449" s="75" t="n"/>
    </row>
    <row r="1450" ht="15.75" customHeight="1" s="133">
      <c r="A1450" s="75" t="n"/>
      <c r="B1450" s="75" t="n"/>
      <c r="C1450" s="75" t="n"/>
      <c r="D1450" s="75" t="n"/>
      <c r="E1450" s="76" t="n"/>
      <c r="F1450" s="77" t="n"/>
      <c r="G1450" s="75" t="n"/>
      <c r="H1450" s="75">
        <f>IF(ISBLANK(E1450),"",IF(OR(D1450="Butterfly",D1450="Butterfly ",D1450="Iron Fly", D1450="Iron Fly "),LEN(E1450)-LEN(SUBSTITUTE(E1450,"/",""))+2,LEN(E1450)-LEN(SUBSTITUTE(E1450,"/",""))+1))</f>
        <v/>
      </c>
      <c r="I1450" s="78">
        <f>IF(ISBLANK(G1450),"",IF(D1450="Stock","0",Key!$A$3*H1450*G1450))</f>
        <v/>
      </c>
      <c r="J1450" s="78">
        <f>IF(ISBLANK(E1450),"",IF(ISNUMBER(SEARCH("/",E1450)), IF(LEN(E1450)-LEN(SUBSTITUTE(E1450,"/",""))=1,(RIGHT(E1450,LEN(E1450)-FIND("/",E1450)))-(LEFT(E1450,FIND("/",E1450)-1)),(MID(E1450, SEARCH("/",E1450) + 1, SEARCH("/",E1450, SEARCH("/",E1450)+1) - SEARCH("/",E1450) - 1))-(LEFT(E1450,FIND("/",E1450)-1))), "NA"))</f>
        <v/>
      </c>
      <c r="K1450" s="79">
        <f>IF(A1450&lt;&gt;"", IF(ISBLANK(L1450), TODAY(), K1450), "")</f>
        <v/>
      </c>
      <c r="L1450" s="78" t="n"/>
      <c r="M1450" s="78">
        <f>IF(ISBLANK(L1450),"",IF(D1450="Stock",IF(C1450="Buy",L1450*G1450,IF(C1450="Sell",(L1450*G1450)-I1450, X)),IF(C1450="Buy",(L1450*G1450*100)+I1450,IF(C1450="Sell",(L1450*G1450*100)-I1450, X))))</f>
        <v/>
      </c>
      <c r="N1450" s="78">
        <f>IF(ISBLANK(L1450),"",IF(AND(C1450="Sell",D1450="Stock"),M1450,IF(ISBLANK(L1450),"",IF(C1450="Buy",M1450, IF(AND(C1450="Sell",J1450="NA"),(E1450*G1450*100*0.1)+I1450, IF(C1450="Sell",(J1450-L1450)*(100*G1450)+I1450))))))</f>
        <v/>
      </c>
      <c r="O1450" s="75" t="n"/>
      <c r="P1450" s="75" t="n"/>
      <c r="Q1450" s="75">
        <f>IF(ISBLANK(P1450),"",IF(D1450="Stock",P1450*G1450,IF(P1450=0,"0",G1450*P1450*100-(G1450*$AF$14))))</f>
        <v/>
      </c>
      <c r="R1450" s="79">
        <f>IF(P1450&lt;&gt;"", TODAY(), "")</f>
        <v/>
      </c>
      <c r="S1450" s="78">
        <f>IF(AND(K1450&lt;&gt;"", R1450&lt;&gt;""), R1450-K1450, "")</f>
        <v/>
      </c>
      <c r="T1450" s="78" t="n"/>
      <c r="U1450" s="92">
        <f>IF(ISBLANK(P1450),"",IF(C1450="Buy",Q1450-M1450+T1450, IF(C1450="Sell",M1450-Q1450-T1450, X)))</f>
        <v/>
      </c>
      <c r="V1450" s="81">
        <f>IF(ISBLANK(P1450),"",U1450/N1450)</f>
        <v/>
      </c>
      <c r="W1450" s="81">
        <f>IF(ISBLANK(P1450),"",IF(S1450=0,(365/0.5)*V1450,(365/S1450)*V1450))</f>
        <v/>
      </c>
      <c r="X1450" s="75" t="n"/>
      <c r="Y1450" s="77" t="n"/>
      <c r="Z1450" s="77" t="n"/>
      <c r="AA1450" s="75" t="n"/>
      <c r="AB1450" s="75" t="n"/>
      <c r="AC1450" s="6" t="n"/>
      <c r="AD1450" s="75" t="n"/>
      <c r="AE1450" s="75" t="n"/>
      <c r="AF1450" s="75" t="n"/>
    </row>
    <row r="1451" ht="15.75" customHeight="1" s="133">
      <c r="A1451" s="75" t="n"/>
      <c r="B1451" s="75" t="n"/>
      <c r="C1451" s="75" t="n"/>
      <c r="D1451" s="75" t="n"/>
      <c r="E1451" s="76" t="n"/>
      <c r="F1451" s="77" t="n"/>
      <c r="G1451" s="75" t="n"/>
      <c r="H1451" s="75">
        <f>IF(ISBLANK(E1451),"",IF(OR(D1451="Butterfly",D1451="Butterfly ",D1451="Iron Fly", D1451="Iron Fly "),LEN(E1451)-LEN(SUBSTITUTE(E1451,"/",""))+2,LEN(E1451)-LEN(SUBSTITUTE(E1451,"/",""))+1))</f>
        <v/>
      </c>
      <c r="I1451" s="78">
        <f>IF(ISBLANK(G1451),"",IF(D1451="Stock","0",Key!$A$3*H1451*G1451))</f>
        <v/>
      </c>
      <c r="J1451" s="78">
        <f>IF(ISBLANK(E1451),"",IF(ISNUMBER(SEARCH("/",E1451)), IF(LEN(E1451)-LEN(SUBSTITUTE(E1451,"/",""))=1,(RIGHT(E1451,LEN(E1451)-FIND("/",E1451)))-(LEFT(E1451,FIND("/",E1451)-1)),(MID(E1451, SEARCH("/",E1451) + 1, SEARCH("/",E1451, SEARCH("/",E1451)+1) - SEARCH("/",E1451) - 1))-(LEFT(E1451,FIND("/",E1451)-1))), "NA"))</f>
        <v/>
      </c>
      <c r="K1451" s="79">
        <f>IF(A1451&lt;&gt;"", IF(ISBLANK(L1451), TODAY(), K1451), "")</f>
        <v/>
      </c>
      <c r="L1451" s="78" t="n"/>
      <c r="M1451" s="78">
        <f>IF(ISBLANK(L1451),"",IF(D1451="Stock",IF(C1451="Buy",L1451*G1451,IF(C1451="Sell",(L1451*G1451)-I1451, X)),IF(C1451="Buy",(L1451*G1451*100)+I1451,IF(C1451="Sell",(L1451*G1451*100)-I1451, X))))</f>
        <v/>
      </c>
      <c r="N1451" s="78">
        <f>IF(ISBLANK(L1451),"",IF(AND(C1451="Sell",D1451="Stock"),M1451,IF(ISBLANK(L1451),"",IF(C1451="Buy",M1451, IF(AND(C1451="Sell",J1451="NA"),(E1451*G1451*100*0.1)+I1451, IF(C1451="Sell",(J1451-L1451)*(100*G1451)+I1451))))))</f>
        <v/>
      </c>
      <c r="O1451" s="75" t="n"/>
      <c r="P1451" s="75" t="n"/>
      <c r="Q1451" s="75">
        <f>IF(ISBLANK(P1451),"",IF(D1451="Stock",P1451*G1451,IF(P1451=0,"0",G1451*P1451*100-(G1451*$AF$14))))</f>
        <v/>
      </c>
      <c r="R1451" s="79">
        <f>IF(P1451&lt;&gt;"", TODAY(), "")</f>
        <v/>
      </c>
      <c r="S1451" s="78">
        <f>IF(AND(K1451&lt;&gt;"", R1451&lt;&gt;""), R1451-K1451, "")</f>
        <v/>
      </c>
      <c r="T1451" s="78" t="n"/>
      <c r="U1451" s="92">
        <f>IF(ISBLANK(P1451),"",IF(C1451="Buy",Q1451-M1451+T1451, IF(C1451="Sell",M1451-Q1451-T1451, X)))</f>
        <v/>
      </c>
      <c r="V1451" s="81">
        <f>IF(ISBLANK(P1451),"",U1451/N1451)</f>
        <v/>
      </c>
      <c r="W1451" s="81">
        <f>IF(ISBLANK(P1451),"",IF(S1451=0,(365/0.5)*V1451,(365/S1451)*V1451))</f>
        <v/>
      </c>
      <c r="X1451" s="75" t="n"/>
      <c r="Y1451" s="77" t="n"/>
      <c r="Z1451" s="77" t="n"/>
      <c r="AA1451" s="75" t="n"/>
      <c r="AB1451" s="75" t="n"/>
      <c r="AC1451" s="6" t="n"/>
      <c r="AD1451" s="75" t="n"/>
      <c r="AE1451" s="75" t="n"/>
      <c r="AF1451" s="75" t="n"/>
    </row>
    <row r="1452" ht="15.75" customHeight="1" s="133">
      <c r="A1452" s="75" t="n"/>
      <c r="B1452" s="75" t="n"/>
      <c r="C1452" s="75" t="n"/>
      <c r="D1452" s="75" t="n"/>
      <c r="E1452" s="76" t="n"/>
      <c r="F1452" s="77" t="n"/>
      <c r="G1452" s="75" t="n"/>
      <c r="H1452" s="75">
        <f>IF(ISBLANK(E1452),"",IF(OR(D1452="Butterfly",D1452="Butterfly ",D1452="Iron Fly", D1452="Iron Fly "),LEN(E1452)-LEN(SUBSTITUTE(E1452,"/",""))+2,LEN(E1452)-LEN(SUBSTITUTE(E1452,"/",""))+1))</f>
        <v/>
      </c>
      <c r="I1452" s="78">
        <f>IF(ISBLANK(G1452),"",IF(D1452="Stock","0",Key!$A$3*H1452*G1452))</f>
        <v/>
      </c>
      <c r="J1452" s="78">
        <f>IF(ISBLANK(E1452),"",IF(ISNUMBER(SEARCH("/",E1452)), IF(LEN(E1452)-LEN(SUBSTITUTE(E1452,"/",""))=1,(RIGHT(E1452,LEN(E1452)-FIND("/",E1452)))-(LEFT(E1452,FIND("/",E1452)-1)),(MID(E1452, SEARCH("/",E1452) + 1, SEARCH("/",E1452, SEARCH("/",E1452)+1) - SEARCH("/",E1452) - 1))-(LEFT(E1452,FIND("/",E1452)-1))), "NA"))</f>
        <v/>
      </c>
      <c r="K1452" s="79">
        <f>IF(A1452&lt;&gt;"", IF(ISBLANK(L1452), TODAY(), K1452), "")</f>
        <v/>
      </c>
      <c r="L1452" s="78" t="n"/>
      <c r="M1452" s="78">
        <f>IF(ISBLANK(L1452),"",IF(D1452="Stock",IF(C1452="Buy",L1452*G1452,IF(C1452="Sell",(L1452*G1452)-I1452, X)),IF(C1452="Buy",(L1452*G1452*100)+I1452,IF(C1452="Sell",(L1452*G1452*100)-I1452, X))))</f>
        <v/>
      </c>
      <c r="N1452" s="78">
        <f>IF(ISBLANK(L1452),"",IF(AND(C1452="Sell",D1452="Stock"),M1452,IF(ISBLANK(L1452),"",IF(C1452="Buy",M1452, IF(AND(C1452="Sell",J1452="NA"),(E1452*G1452*100*0.1)+I1452, IF(C1452="Sell",(J1452-L1452)*(100*G1452)+I1452))))))</f>
        <v/>
      </c>
      <c r="O1452" s="75" t="n"/>
      <c r="P1452" s="75" t="n"/>
      <c r="Q1452" s="75">
        <f>IF(ISBLANK(P1452),"",IF(D1452="Stock",P1452*G1452,IF(P1452=0,"0",G1452*P1452*100-(G1452*$AF$14))))</f>
        <v/>
      </c>
      <c r="R1452" s="79">
        <f>IF(P1452&lt;&gt;"", TODAY(), "")</f>
        <v/>
      </c>
      <c r="S1452" s="78">
        <f>IF(AND(K1452&lt;&gt;"", R1452&lt;&gt;""), R1452-K1452, "")</f>
        <v/>
      </c>
      <c r="T1452" s="78" t="n"/>
      <c r="U1452" s="92">
        <f>IF(ISBLANK(P1452),"",IF(C1452="Buy",Q1452-M1452+T1452, IF(C1452="Sell",M1452-Q1452-T1452, X)))</f>
        <v/>
      </c>
      <c r="V1452" s="81">
        <f>IF(ISBLANK(P1452),"",U1452/N1452)</f>
        <v/>
      </c>
      <c r="W1452" s="81">
        <f>IF(ISBLANK(P1452),"",IF(S1452=0,(365/0.5)*V1452,(365/S1452)*V1452))</f>
        <v/>
      </c>
      <c r="X1452" s="75" t="n"/>
      <c r="Y1452" s="77" t="n"/>
      <c r="Z1452" s="77" t="n"/>
      <c r="AA1452" s="75" t="n"/>
      <c r="AB1452" s="75" t="n"/>
      <c r="AC1452" s="6" t="n"/>
      <c r="AD1452" s="75" t="n"/>
      <c r="AE1452" s="75" t="n"/>
      <c r="AF1452" s="75" t="n"/>
    </row>
    <row r="1453" ht="15.75" customHeight="1" s="133">
      <c r="A1453" s="75" t="n"/>
      <c r="B1453" s="75" t="n"/>
      <c r="C1453" s="75" t="n"/>
      <c r="D1453" s="75" t="n"/>
      <c r="E1453" s="76" t="n"/>
      <c r="F1453" s="77" t="n"/>
      <c r="G1453" s="75" t="n"/>
      <c r="H1453" s="75">
        <f>IF(ISBLANK(E1453),"",IF(OR(D1453="Butterfly",D1453="Butterfly ",D1453="Iron Fly", D1453="Iron Fly "),LEN(E1453)-LEN(SUBSTITUTE(E1453,"/",""))+2,LEN(E1453)-LEN(SUBSTITUTE(E1453,"/",""))+1))</f>
        <v/>
      </c>
      <c r="I1453" s="78">
        <f>IF(ISBLANK(G1453),"",IF(D1453="Stock","0",Key!$A$3*H1453*G1453))</f>
        <v/>
      </c>
      <c r="J1453" s="78">
        <f>IF(ISBLANK(E1453),"",IF(ISNUMBER(SEARCH("/",E1453)), IF(LEN(E1453)-LEN(SUBSTITUTE(E1453,"/",""))=1,(RIGHT(E1453,LEN(E1453)-FIND("/",E1453)))-(LEFT(E1453,FIND("/",E1453)-1)),(MID(E1453, SEARCH("/",E1453) + 1, SEARCH("/",E1453, SEARCH("/",E1453)+1) - SEARCH("/",E1453) - 1))-(LEFT(E1453,FIND("/",E1453)-1))), "NA"))</f>
        <v/>
      </c>
      <c r="K1453" s="79">
        <f>IF(A1453&lt;&gt;"", IF(ISBLANK(L1453), TODAY(), K1453), "")</f>
        <v/>
      </c>
      <c r="L1453" s="78" t="n"/>
      <c r="M1453" s="78">
        <f>IF(ISBLANK(L1453),"",IF(D1453="Stock",IF(C1453="Buy",L1453*G1453,IF(C1453="Sell",(L1453*G1453)-I1453, X)),IF(C1453="Buy",(L1453*G1453*100)+I1453,IF(C1453="Sell",(L1453*G1453*100)-I1453, X))))</f>
        <v/>
      </c>
      <c r="N1453" s="78">
        <f>IF(ISBLANK(L1453),"",IF(AND(C1453="Sell",D1453="Stock"),M1453,IF(ISBLANK(L1453),"",IF(C1453="Buy",M1453, IF(AND(C1453="Sell",J1453="NA"),(E1453*G1453*100*0.1)+I1453, IF(C1453="Sell",(J1453-L1453)*(100*G1453)+I1453))))))</f>
        <v/>
      </c>
      <c r="O1453" s="75" t="n"/>
      <c r="P1453" s="75" t="n"/>
      <c r="Q1453" s="75">
        <f>IF(ISBLANK(P1453),"",IF(D1453="Stock",P1453*G1453,IF(P1453=0,"0",G1453*P1453*100-(G1453*$AF$14))))</f>
        <v/>
      </c>
      <c r="R1453" s="79">
        <f>IF(P1453&lt;&gt;"", TODAY(), "")</f>
        <v/>
      </c>
      <c r="S1453" s="78">
        <f>IF(AND(K1453&lt;&gt;"", R1453&lt;&gt;""), R1453-K1453, "")</f>
        <v/>
      </c>
      <c r="T1453" s="78" t="n"/>
      <c r="U1453" s="92">
        <f>IF(ISBLANK(P1453),"",IF(C1453="Buy",Q1453-M1453+T1453, IF(C1453="Sell",M1453-Q1453-T1453, X)))</f>
        <v/>
      </c>
      <c r="V1453" s="81">
        <f>IF(ISBLANK(P1453),"",U1453/N1453)</f>
        <v/>
      </c>
      <c r="W1453" s="81">
        <f>IF(ISBLANK(P1453),"",IF(S1453=0,(365/0.5)*V1453,(365/S1453)*V1453))</f>
        <v/>
      </c>
      <c r="X1453" s="75" t="n"/>
      <c r="Y1453" s="77" t="n"/>
      <c r="Z1453" s="77" t="n"/>
      <c r="AA1453" s="75" t="n"/>
      <c r="AB1453" s="75" t="n"/>
      <c r="AC1453" s="6" t="n"/>
      <c r="AD1453" s="75" t="n"/>
      <c r="AE1453" s="75" t="n"/>
      <c r="AF1453" s="75" t="n"/>
    </row>
    <row r="1454" ht="15.75" customHeight="1" s="133">
      <c r="A1454" s="75" t="n"/>
      <c r="B1454" s="75" t="n"/>
      <c r="C1454" s="75" t="n"/>
      <c r="D1454" s="75" t="n"/>
      <c r="E1454" s="76" t="n"/>
      <c r="F1454" s="77" t="n"/>
      <c r="G1454" s="75" t="n"/>
      <c r="H1454" s="75">
        <f>IF(ISBLANK(E1454),"",IF(OR(D1454="Butterfly",D1454="Butterfly ",D1454="Iron Fly", D1454="Iron Fly "),LEN(E1454)-LEN(SUBSTITUTE(E1454,"/",""))+2,LEN(E1454)-LEN(SUBSTITUTE(E1454,"/",""))+1))</f>
        <v/>
      </c>
      <c r="I1454" s="78">
        <f>IF(ISBLANK(G1454),"",IF(D1454="Stock","0",Key!$A$3*H1454*G1454))</f>
        <v/>
      </c>
      <c r="J1454" s="78">
        <f>IF(ISBLANK(E1454),"",IF(ISNUMBER(SEARCH("/",E1454)), IF(LEN(E1454)-LEN(SUBSTITUTE(E1454,"/",""))=1,(RIGHT(E1454,LEN(E1454)-FIND("/",E1454)))-(LEFT(E1454,FIND("/",E1454)-1)),(MID(E1454, SEARCH("/",E1454) + 1, SEARCH("/",E1454, SEARCH("/",E1454)+1) - SEARCH("/",E1454) - 1))-(LEFT(E1454,FIND("/",E1454)-1))), "NA"))</f>
        <v/>
      </c>
      <c r="K1454" s="79">
        <f>IF(A1454&lt;&gt;"", IF(ISBLANK(L1454), TODAY(), K1454), "")</f>
        <v/>
      </c>
      <c r="L1454" s="78" t="n"/>
      <c r="M1454" s="78">
        <f>IF(ISBLANK(L1454),"",IF(D1454="Stock",IF(C1454="Buy",L1454*G1454,IF(C1454="Sell",(L1454*G1454)-I1454, X)),IF(C1454="Buy",(L1454*G1454*100)+I1454,IF(C1454="Sell",(L1454*G1454*100)-I1454, X))))</f>
        <v/>
      </c>
      <c r="N1454" s="78">
        <f>IF(ISBLANK(L1454),"",IF(AND(C1454="Sell",D1454="Stock"),M1454,IF(ISBLANK(L1454),"",IF(C1454="Buy",M1454, IF(AND(C1454="Sell",J1454="NA"),(E1454*G1454*100*0.1)+I1454, IF(C1454="Sell",(J1454-L1454)*(100*G1454)+I1454))))))</f>
        <v/>
      </c>
      <c r="O1454" s="75" t="n"/>
      <c r="P1454" s="75" t="n"/>
      <c r="Q1454" s="75">
        <f>IF(ISBLANK(P1454),"",IF(D1454="Stock",P1454*G1454,IF(P1454=0,"0",G1454*P1454*100-(G1454*$AF$14))))</f>
        <v/>
      </c>
      <c r="R1454" s="79">
        <f>IF(P1454&lt;&gt;"", TODAY(), "")</f>
        <v/>
      </c>
      <c r="S1454" s="78">
        <f>IF(AND(K1454&lt;&gt;"", R1454&lt;&gt;""), R1454-K1454, "")</f>
        <v/>
      </c>
      <c r="T1454" s="78" t="n"/>
      <c r="U1454" s="92">
        <f>IF(ISBLANK(P1454),"",IF(C1454="Buy",Q1454-M1454+T1454, IF(C1454="Sell",M1454-Q1454-T1454, X)))</f>
        <v/>
      </c>
      <c r="V1454" s="81">
        <f>IF(ISBLANK(P1454),"",U1454/N1454)</f>
        <v/>
      </c>
      <c r="W1454" s="81">
        <f>IF(ISBLANK(P1454),"",IF(S1454=0,(365/0.5)*V1454,(365/S1454)*V1454))</f>
        <v/>
      </c>
      <c r="X1454" s="75" t="n"/>
      <c r="Y1454" s="77" t="n"/>
      <c r="Z1454" s="77" t="n"/>
      <c r="AA1454" s="75" t="n"/>
      <c r="AB1454" s="75" t="n"/>
      <c r="AC1454" s="6" t="n"/>
      <c r="AD1454" s="75" t="n"/>
      <c r="AE1454" s="75" t="n"/>
      <c r="AF1454" s="75" t="n"/>
    </row>
    <row r="1455" ht="15.75" customHeight="1" s="133">
      <c r="A1455" s="75" t="n"/>
      <c r="B1455" s="75" t="n"/>
      <c r="C1455" s="75" t="n"/>
      <c r="D1455" s="75" t="n"/>
      <c r="E1455" s="76" t="n"/>
      <c r="F1455" s="77" t="n"/>
      <c r="G1455" s="75" t="n"/>
      <c r="H1455" s="75">
        <f>IF(ISBLANK(E1455),"",IF(OR(D1455="Butterfly",D1455="Butterfly ",D1455="Iron Fly", D1455="Iron Fly "),LEN(E1455)-LEN(SUBSTITUTE(E1455,"/",""))+2,LEN(E1455)-LEN(SUBSTITUTE(E1455,"/",""))+1))</f>
        <v/>
      </c>
      <c r="I1455" s="78">
        <f>IF(ISBLANK(G1455),"",IF(D1455="Stock","0",Key!$A$3*H1455*G1455))</f>
        <v/>
      </c>
      <c r="J1455" s="78">
        <f>IF(ISBLANK(E1455),"",IF(ISNUMBER(SEARCH("/",E1455)), IF(LEN(E1455)-LEN(SUBSTITUTE(E1455,"/",""))=1,(RIGHT(E1455,LEN(E1455)-FIND("/",E1455)))-(LEFT(E1455,FIND("/",E1455)-1)),(MID(E1455, SEARCH("/",E1455) + 1, SEARCH("/",E1455, SEARCH("/",E1455)+1) - SEARCH("/",E1455) - 1))-(LEFT(E1455,FIND("/",E1455)-1))), "NA"))</f>
        <v/>
      </c>
      <c r="K1455" s="79">
        <f>IF(A1455&lt;&gt;"", IF(ISBLANK(L1455), TODAY(), K1455), "")</f>
        <v/>
      </c>
      <c r="L1455" s="78" t="n"/>
      <c r="M1455" s="78">
        <f>IF(ISBLANK(L1455),"",IF(D1455="Stock",IF(C1455="Buy",L1455*G1455,IF(C1455="Sell",(L1455*G1455)-I1455, X)),IF(C1455="Buy",(L1455*G1455*100)+I1455,IF(C1455="Sell",(L1455*G1455*100)-I1455, X))))</f>
        <v/>
      </c>
      <c r="N1455" s="78">
        <f>IF(ISBLANK(L1455),"",IF(AND(C1455="Sell",D1455="Stock"),M1455,IF(ISBLANK(L1455),"",IF(C1455="Buy",M1455, IF(AND(C1455="Sell",J1455="NA"),(E1455*G1455*100*0.1)+I1455, IF(C1455="Sell",(J1455-L1455)*(100*G1455)+I1455))))))</f>
        <v/>
      </c>
      <c r="O1455" s="75" t="n"/>
      <c r="P1455" s="75" t="n"/>
      <c r="Q1455" s="75">
        <f>IF(ISBLANK(P1455),"",IF(D1455="Stock",P1455*G1455,IF(P1455=0,"0",G1455*P1455*100-(G1455*$AF$14))))</f>
        <v/>
      </c>
      <c r="R1455" s="79">
        <f>IF(P1455&lt;&gt;"", TODAY(), "")</f>
        <v/>
      </c>
      <c r="S1455" s="78">
        <f>IF(AND(K1455&lt;&gt;"", R1455&lt;&gt;""), R1455-K1455, "")</f>
        <v/>
      </c>
      <c r="T1455" s="78" t="n"/>
      <c r="U1455" s="92">
        <f>IF(ISBLANK(P1455),"",IF(C1455="Buy",Q1455-M1455+T1455, IF(C1455="Sell",M1455-Q1455-T1455, X)))</f>
        <v/>
      </c>
      <c r="V1455" s="81">
        <f>IF(ISBLANK(P1455),"",U1455/N1455)</f>
        <v/>
      </c>
      <c r="W1455" s="81">
        <f>IF(ISBLANK(P1455),"",IF(S1455=0,(365/0.5)*V1455,(365/S1455)*V1455))</f>
        <v/>
      </c>
      <c r="X1455" s="75" t="n"/>
      <c r="Y1455" s="77" t="n"/>
      <c r="Z1455" s="77" t="n"/>
      <c r="AA1455" s="75" t="n"/>
      <c r="AB1455" s="75" t="n"/>
      <c r="AC1455" s="6" t="n"/>
      <c r="AD1455" s="75" t="n"/>
      <c r="AE1455" s="75" t="n"/>
      <c r="AF1455" s="75" t="n"/>
    </row>
    <row r="1456" ht="15.75" customHeight="1" s="133">
      <c r="A1456" s="75" t="n"/>
      <c r="B1456" s="75" t="n"/>
      <c r="C1456" s="75" t="n"/>
      <c r="D1456" s="75" t="n"/>
      <c r="E1456" s="76" t="n"/>
      <c r="F1456" s="77" t="n"/>
      <c r="G1456" s="75" t="n"/>
      <c r="H1456" s="75">
        <f>IF(ISBLANK(E1456),"",IF(OR(D1456="Butterfly",D1456="Butterfly ",D1456="Iron Fly", D1456="Iron Fly "),LEN(E1456)-LEN(SUBSTITUTE(E1456,"/",""))+2,LEN(E1456)-LEN(SUBSTITUTE(E1456,"/",""))+1))</f>
        <v/>
      </c>
      <c r="I1456" s="78">
        <f>IF(ISBLANK(G1456),"",IF(D1456="Stock","0",Key!$A$3*H1456*G1456))</f>
        <v/>
      </c>
      <c r="J1456" s="78">
        <f>IF(ISBLANK(E1456),"",IF(ISNUMBER(SEARCH("/",E1456)), IF(LEN(E1456)-LEN(SUBSTITUTE(E1456,"/",""))=1,(RIGHT(E1456,LEN(E1456)-FIND("/",E1456)))-(LEFT(E1456,FIND("/",E1456)-1)),(MID(E1456, SEARCH("/",E1456) + 1, SEARCH("/",E1456, SEARCH("/",E1456)+1) - SEARCH("/",E1456) - 1))-(LEFT(E1456,FIND("/",E1456)-1))), "NA"))</f>
        <v/>
      </c>
      <c r="K1456" s="79">
        <f>IF(A1456&lt;&gt;"", IF(ISBLANK(L1456), TODAY(), K1456), "")</f>
        <v/>
      </c>
      <c r="L1456" s="78" t="n"/>
      <c r="M1456" s="78">
        <f>IF(ISBLANK(L1456),"",IF(D1456="Stock",IF(C1456="Buy",L1456*G1456,IF(C1456="Sell",(L1456*G1456)-I1456, X)),IF(C1456="Buy",(L1456*G1456*100)+I1456,IF(C1456="Sell",(L1456*G1456*100)-I1456, X))))</f>
        <v/>
      </c>
      <c r="N1456" s="78">
        <f>IF(ISBLANK(L1456),"",IF(AND(C1456="Sell",D1456="Stock"),M1456,IF(ISBLANK(L1456),"",IF(C1456="Buy",M1456, IF(AND(C1456="Sell",J1456="NA"),(E1456*G1456*100*0.1)+I1456, IF(C1456="Sell",(J1456-L1456)*(100*G1456)+I1456))))))</f>
        <v/>
      </c>
      <c r="O1456" s="75" t="n"/>
      <c r="P1456" s="75" t="n"/>
      <c r="Q1456" s="75">
        <f>IF(ISBLANK(P1456),"",IF(D1456="Stock",P1456*G1456,IF(P1456=0,"0",G1456*P1456*100-(G1456*$AF$14))))</f>
        <v/>
      </c>
      <c r="R1456" s="79">
        <f>IF(P1456&lt;&gt;"", TODAY(), "")</f>
        <v/>
      </c>
      <c r="S1456" s="78">
        <f>IF(AND(K1456&lt;&gt;"", R1456&lt;&gt;""), R1456-K1456, "")</f>
        <v/>
      </c>
      <c r="T1456" s="78" t="n"/>
      <c r="U1456" s="92">
        <f>IF(ISBLANK(P1456),"",IF(C1456="Buy",Q1456-M1456+T1456, IF(C1456="Sell",M1456-Q1456-T1456, X)))</f>
        <v/>
      </c>
      <c r="V1456" s="81">
        <f>IF(ISBLANK(P1456),"",U1456/N1456)</f>
        <v/>
      </c>
      <c r="W1456" s="81">
        <f>IF(ISBLANK(P1456),"",IF(S1456=0,(365/0.5)*V1456,(365/S1456)*V1456))</f>
        <v/>
      </c>
      <c r="X1456" s="75" t="n"/>
      <c r="Y1456" s="77" t="n"/>
      <c r="Z1456" s="77" t="n"/>
      <c r="AA1456" s="75" t="n"/>
      <c r="AB1456" s="75" t="n"/>
      <c r="AC1456" s="6" t="n"/>
      <c r="AD1456" s="75" t="n"/>
      <c r="AE1456" s="75" t="n"/>
      <c r="AF1456" s="75" t="n"/>
    </row>
    <row r="1457" ht="15.75" customHeight="1" s="133">
      <c r="A1457" s="75" t="n"/>
      <c r="B1457" s="75" t="n"/>
      <c r="C1457" s="75" t="n"/>
      <c r="D1457" s="75" t="n"/>
      <c r="E1457" s="76" t="n"/>
      <c r="F1457" s="77" t="n"/>
      <c r="G1457" s="75" t="n"/>
      <c r="H1457" s="75">
        <f>IF(ISBLANK(E1457),"",IF(OR(D1457="Butterfly",D1457="Butterfly ",D1457="Iron Fly", D1457="Iron Fly "),LEN(E1457)-LEN(SUBSTITUTE(E1457,"/",""))+2,LEN(E1457)-LEN(SUBSTITUTE(E1457,"/",""))+1))</f>
        <v/>
      </c>
      <c r="I1457" s="78">
        <f>IF(ISBLANK(G1457),"",IF(D1457="Stock","0",Key!$A$3*H1457*G1457))</f>
        <v/>
      </c>
      <c r="J1457" s="78">
        <f>IF(ISBLANK(E1457),"",IF(ISNUMBER(SEARCH("/",E1457)), IF(LEN(E1457)-LEN(SUBSTITUTE(E1457,"/",""))=1,(RIGHT(E1457,LEN(E1457)-FIND("/",E1457)))-(LEFT(E1457,FIND("/",E1457)-1)),(MID(E1457, SEARCH("/",E1457) + 1, SEARCH("/",E1457, SEARCH("/",E1457)+1) - SEARCH("/",E1457) - 1))-(LEFT(E1457,FIND("/",E1457)-1))), "NA"))</f>
        <v/>
      </c>
      <c r="K1457" s="79">
        <f>IF(A1457&lt;&gt;"", IF(ISBLANK(L1457), TODAY(), K1457), "")</f>
        <v/>
      </c>
      <c r="L1457" s="78" t="n"/>
      <c r="M1457" s="78">
        <f>IF(ISBLANK(L1457),"",IF(D1457="Stock",IF(C1457="Buy",L1457*G1457,IF(C1457="Sell",(L1457*G1457)-I1457, X)),IF(C1457="Buy",(L1457*G1457*100)+I1457,IF(C1457="Sell",(L1457*G1457*100)-I1457, X))))</f>
        <v/>
      </c>
      <c r="N1457" s="78">
        <f>IF(ISBLANK(L1457),"",IF(AND(C1457="Sell",D1457="Stock"),M1457,IF(ISBLANK(L1457),"",IF(C1457="Buy",M1457, IF(AND(C1457="Sell",J1457="NA"),(E1457*G1457*100*0.1)+I1457, IF(C1457="Sell",(J1457-L1457)*(100*G1457)+I1457))))))</f>
        <v/>
      </c>
      <c r="O1457" s="75" t="n"/>
      <c r="P1457" s="75" t="n"/>
      <c r="Q1457" s="75">
        <f>IF(ISBLANK(P1457),"",IF(D1457="Stock",P1457*G1457,IF(P1457=0,"0",G1457*P1457*100-(G1457*$AF$14))))</f>
        <v/>
      </c>
      <c r="R1457" s="79">
        <f>IF(P1457&lt;&gt;"", TODAY(), "")</f>
        <v/>
      </c>
      <c r="S1457" s="78">
        <f>IF(AND(K1457&lt;&gt;"", R1457&lt;&gt;""), R1457-K1457, "")</f>
        <v/>
      </c>
      <c r="T1457" s="78" t="n"/>
      <c r="U1457" s="92">
        <f>IF(ISBLANK(P1457),"",IF(C1457="Buy",Q1457-M1457+T1457, IF(C1457="Sell",M1457-Q1457-T1457, X)))</f>
        <v/>
      </c>
      <c r="V1457" s="81">
        <f>IF(ISBLANK(P1457),"",U1457/N1457)</f>
        <v/>
      </c>
      <c r="W1457" s="81">
        <f>IF(ISBLANK(P1457),"",IF(S1457=0,(365/0.5)*V1457,(365/S1457)*V1457))</f>
        <v/>
      </c>
      <c r="X1457" s="75" t="n"/>
      <c r="Y1457" s="77" t="n"/>
      <c r="Z1457" s="77" t="n"/>
      <c r="AA1457" s="75" t="n"/>
      <c r="AB1457" s="75" t="n"/>
      <c r="AC1457" s="6" t="n"/>
      <c r="AD1457" s="75" t="n"/>
      <c r="AE1457" s="75" t="n"/>
      <c r="AF1457" s="75" t="n"/>
    </row>
    <row r="1458" ht="15.75" customHeight="1" s="133">
      <c r="A1458" s="75" t="n"/>
      <c r="B1458" s="75" t="n"/>
      <c r="C1458" s="75" t="n"/>
      <c r="D1458" s="75" t="n"/>
      <c r="E1458" s="76" t="n"/>
      <c r="F1458" s="77" t="n"/>
      <c r="G1458" s="75" t="n"/>
      <c r="H1458" s="75">
        <f>IF(ISBLANK(E1458),"",IF(OR(D1458="Butterfly",D1458="Butterfly ",D1458="Iron Fly", D1458="Iron Fly "),LEN(E1458)-LEN(SUBSTITUTE(E1458,"/",""))+2,LEN(E1458)-LEN(SUBSTITUTE(E1458,"/",""))+1))</f>
        <v/>
      </c>
      <c r="I1458" s="78">
        <f>IF(ISBLANK(G1458),"",IF(D1458="Stock","0",Key!$A$3*H1458*G1458))</f>
        <v/>
      </c>
      <c r="J1458" s="78">
        <f>IF(ISBLANK(E1458),"",IF(ISNUMBER(SEARCH("/",E1458)), IF(LEN(E1458)-LEN(SUBSTITUTE(E1458,"/",""))=1,(RIGHT(E1458,LEN(E1458)-FIND("/",E1458)))-(LEFT(E1458,FIND("/",E1458)-1)),(MID(E1458, SEARCH("/",E1458) + 1, SEARCH("/",E1458, SEARCH("/",E1458)+1) - SEARCH("/",E1458) - 1))-(LEFT(E1458,FIND("/",E1458)-1))), "NA"))</f>
        <v/>
      </c>
      <c r="K1458" s="79">
        <f>IF(A1458&lt;&gt;"", IF(ISBLANK(L1458), TODAY(), K1458), "")</f>
        <v/>
      </c>
      <c r="L1458" s="78" t="n"/>
      <c r="M1458" s="78">
        <f>IF(ISBLANK(L1458),"",IF(D1458="Stock",IF(C1458="Buy",L1458*G1458,IF(C1458="Sell",(L1458*G1458)-I1458, X)),IF(C1458="Buy",(L1458*G1458*100)+I1458,IF(C1458="Sell",(L1458*G1458*100)-I1458, X))))</f>
        <v/>
      </c>
      <c r="N1458" s="78">
        <f>IF(ISBLANK(L1458),"",IF(AND(C1458="Sell",D1458="Stock"),M1458,IF(ISBLANK(L1458),"",IF(C1458="Buy",M1458, IF(AND(C1458="Sell",J1458="NA"),(E1458*G1458*100*0.1)+I1458, IF(C1458="Sell",(J1458-L1458)*(100*G1458)+I1458))))))</f>
        <v/>
      </c>
      <c r="O1458" s="75" t="n"/>
      <c r="P1458" s="75" t="n"/>
      <c r="Q1458" s="75">
        <f>IF(ISBLANK(P1458),"",IF(D1458="Stock",P1458*G1458,IF(P1458=0,"0",G1458*P1458*100-(G1458*$AF$14))))</f>
        <v/>
      </c>
      <c r="R1458" s="79">
        <f>IF(P1458&lt;&gt;"", TODAY(), "")</f>
        <v/>
      </c>
      <c r="S1458" s="78">
        <f>IF(AND(K1458&lt;&gt;"", R1458&lt;&gt;""), R1458-K1458, "")</f>
        <v/>
      </c>
      <c r="T1458" s="78" t="n"/>
      <c r="U1458" s="92">
        <f>IF(ISBLANK(P1458),"",IF(C1458="Buy",Q1458-M1458+T1458, IF(C1458="Sell",M1458-Q1458-T1458, X)))</f>
        <v/>
      </c>
      <c r="V1458" s="81">
        <f>IF(ISBLANK(P1458),"",U1458/N1458)</f>
        <v/>
      </c>
      <c r="W1458" s="81">
        <f>IF(ISBLANK(P1458),"",IF(S1458=0,(365/0.5)*V1458,(365/S1458)*V1458))</f>
        <v/>
      </c>
      <c r="X1458" s="75" t="n"/>
      <c r="Y1458" s="77" t="n"/>
      <c r="Z1458" s="77" t="n"/>
      <c r="AA1458" s="75" t="n"/>
      <c r="AB1458" s="75" t="n"/>
      <c r="AC1458" s="6" t="n"/>
      <c r="AD1458" s="75" t="n"/>
      <c r="AE1458" s="75" t="n"/>
      <c r="AF1458" s="75" t="n"/>
    </row>
    <row r="1459" ht="15.75" customHeight="1" s="133">
      <c r="A1459" s="75" t="n"/>
      <c r="B1459" s="75" t="n"/>
      <c r="C1459" s="75" t="n"/>
      <c r="D1459" s="75" t="n"/>
      <c r="E1459" s="76" t="n"/>
      <c r="F1459" s="77" t="n"/>
      <c r="G1459" s="75" t="n"/>
      <c r="H1459" s="75">
        <f>IF(ISBLANK(E1459),"",IF(OR(D1459="Butterfly",D1459="Butterfly ",D1459="Iron Fly", D1459="Iron Fly "),LEN(E1459)-LEN(SUBSTITUTE(E1459,"/",""))+2,LEN(E1459)-LEN(SUBSTITUTE(E1459,"/",""))+1))</f>
        <v/>
      </c>
      <c r="I1459" s="78">
        <f>IF(ISBLANK(G1459),"",IF(D1459="Stock","0",Key!$A$3*H1459*G1459))</f>
        <v/>
      </c>
      <c r="J1459" s="78">
        <f>IF(ISBLANK(E1459),"",IF(ISNUMBER(SEARCH("/",E1459)), IF(LEN(E1459)-LEN(SUBSTITUTE(E1459,"/",""))=1,(RIGHT(E1459,LEN(E1459)-FIND("/",E1459)))-(LEFT(E1459,FIND("/",E1459)-1)),(MID(E1459, SEARCH("/",E1459) + 1, SEARCH("/",E1459, SEARCH("/",E1459)+1) - SEARCH("/",E1459) - 1))-(LEFT(E1459,FIND("/",E1459)-1))), "NA"))</f>
        <v/>
      </c>
      <c r="K1459" s="79">
        <f>IF(A1459&lt;&gt;"", IF(ISBLANK(L1459), TODAY(), K1459), "")</f>
        <v/>
      </c>
      <c r="L1459" s="78" t="n"/>
      <c r="M1459" s="78">
        <f>IF(ISBLANK(L1459),"",IF(D1459="Stock",IF(C1459="Buy",L1459*G1459,IF(C1459="Sell",(L1459*G1459)-I1459, X)),IF(C1459="Buy",(L1459*G1459*100)+I1459,IF(C1459="Sell",(L1459*G1459*100)-I1459, X))))</f>
        <v/>
      </c>
      <c r="N1459" s="78">
        <f>IF(ISBLANK(L1459),"",IF(AND(C1459="Sell",D1459="Stock"),M1459,IF(ISBLANK(L1459),"",IF(C1459="Buy",M1459, IF(AND(C1459="Sell",J1459="NA"),(E1459*G1459*100*0.1)+I1459, IF(C1459="Sell",(J1459-L1459)*(100*G1459)+I1459))))))</f>
        <v/>
      </c>
      <c r="O1459" s="75" t="n"/>
      <c r="P1459" s="75" t="n"/>
      <c r="Q1459" s="75">
        <f>IF(ISBLANK(P1459),"",IF(D1459="Stock",P1459*G1459,IF(P1459=0,"0",G1459*P1459*100-(G1459*$AF$14))))</f>
        <v/>
      </c>
      <c r="R1459" s="79">
        <f>IF(P1459&lt;&gt;"", TODAY(), "")</f>
        <v/>
      </c>
      <c r="S1459" s="78">
        <f>IF(AND(K1459&lt;&gt;"", R1459&lt;&gt;""), R1459-K1459, "")</f>
        <v/>
      </c>
      <c r="T1459" s="78" t="n"/>
      <c r="U1459" s="92">
        <f>IF(ISBLANK(P1459),"",IF(C1459="Buy",Q1459-M1459+T1459, IF(C1459="Sell",M1459-Q1459-T1459, X)))</f>
        <v/>
      </c>
      <c r="V1459" s="81">
        <f>IF(ISBLANK(P1459),"",U1459/N1459)</f>
        <v/>
      </c>
      <c r="W1459" s="81">
        <f>IF(ISBLANK(P1459),"",IF(S1459=0,(365/0.5)*V1459,(365/S1459)*V1459))</f>
        <v/>
      </c>
      <c r="X1459" s="75" t="n"/>
      <c r="Y1459" s="77" t="n"/>
      <c r="Z1459" s="77" t="n"/>
      <c r="AA1459" s="75" t="n"/>
      <c r="AB1459" s="75" t="n"/>
      <c r="AC1459" s="6" t="n"/>
      <c r="AD1459" s="75" t="n"/>
      <c r="AE1459" s="75" t="n"/>
      <c r="AF1459" s="75" t="n"/>
    </row>
    <row r="1460" ht="15.75" customHeight="1" s="133">
      <c r="A1460" s="75" t="n"/>
      <c r="B1460" s="75" t="n"/>
      <c r="C1460" s="75" t="n"/>
      <c r="D1460" s="75" t="n"/>
      <c r="E1460" s="76" t="n"/>
      <c r="F1460" s="77" t="n"/>
      <c r="G1460" s="75" t="n"/>
      <c r="H1460" s="75">
        <f>IF(ISBLANK(E1460),"",IF(OR(D1460="Butterfly",D1460="Butterfly ",D1460="Iron Fly", D1460="Iron Fly "),LEN(E1460)-LEN(SUBSTITUTE(E1460,"/",""))+2,LEN(E1460)-LEN(SUBSTITUTE(E1460,"/",""))+1))</f>
        <v/>
      </c>
      <c r="I1460" s="78">
        <f>IF(ISBLANK(G1460),"",IF(D1460="Stock","0",Key!$A$3*H1460*G1460))</f>
        <v/>
      </c>
      <c r="J1460" s="78">
        <f>IF(ISBLANK(E1460),"",IF(ISNUMBER(SEARCH("/",E1460)), IF(LEN(E1460)-LEN(SUBSTITUTE(E1460,"/",""))=1,(RIGHT(E1460,LEN(E1460)-FIND("/",E1460)))-(LEFT(E1460,FIND("/",E1460)-1)),(MID(E1460, SEARCH("/",E1460) + 1, SEARCH("/",E1460, SEARCH("/",E1460)+1) - SEARCH("/",E1460) - 1))-(LEFT(E1460,FIND("/",E1460)-1))), "NA"))</f>
        <v/>
      </c>
      <c r="K1460" s="79">
        <f>IF(A1460&lt;&gt;"", IF(ISBLANK(L1460), TODAY(), K1460), "")</f>
        <v/>
      </c>
      <c r="L1460" s="78" t="n"/>
      <c r="M1460" s="78">
        <f>IF(ISBLANK(L1460),"",IF(D1460="Stock",IF(C1460="Buy",L1460*G1460,IF(C1460="Sell",(L1460*G1460)-I1460, X)),IF(C1460="Buy",(L1460*G1460*100)+I1460,IF(C1460="Sell",(L1460*G1460*100)-I1460, X))))</f>
        <v/>
      </c>
      <c r="N1460" s="78">
        <f>IF(ISBLANK(L1460),"",IF(AND(C1460="Sell",D1460="Stock"),M1460,IF(ISBLANK(L1460),"",IF(C1460="Buy",M1460, IF(AND(C1460="Sell",J1460="NA"),(E1460*G1460*100*0.1)+I1460, IF(C1460="Sell",(J1460-L1460)*(100*G1460)+I1460))))))</f>
        <v/>
      </c>
      <c r="O1460" s="75" t="n"/>
      <c r="P1460" s="75" t="n"/>
      <c r="Q1460" s="75">
        <f>IF(ISBLANK(P1460),"",IF(D1460="Stock",P1460*G1460,IF(P1460=0,"0",G1460*P1460*100-(G1460*$AF$14))))</f>
        <v/>
      </c>
      <c r="R1460" s="79">
        <f>IF(P1460&lt;&gt;"", TODAY(), "")</f>
        <v/>
      </c>
      <c r="S1460" s="78">
        <f>IF(AND(K1460&lt;&gt;"", R1460&lt;&gt;""), R1460-K1460, "")</f>
        <v/>
      </c>
      <c r="T1460" s="78" t="n"/>
      <c r="U1460" s="92">
        <f>IF(ISBLANK(P1460),"",IF(C1460="Buy",Q1460-M1460+T1460, IF(C1460="Sell",M1460-Q1460-T1460, X)))</f>
        <v/>
      </c>
      <c r="V1460" s="81">
        <f>IF(ISBLANK(P1460),"",U1460/N1460)</f>
        <v/>
      </c>
      <c r="W1460" s="81">
        <f>IF(ISBLANK(P1460),"",IF(S1460=0,(365/0.5)*V1460,(365/S1460)*V1460))</f>
        <v/>
      </c>
      <c r="X1460" s="75" t="n"/>
      <c r="Y1460" s="77" t="n"/>
      <c r="Z1460" s="77" t="n"/>
      <c r="AA1460" s="75" t="n"/>
      <c r="AB1460" s="75" t="n"/>
      <c r="AC1460" s="6" t="n"/>
      <c r="AD1460" s="75" t="n"/>
      <c r="AE1460" s="75" t="n"/>
      <c r="AF1460" s="75" t="n"/>
    </row>
    <row r="1461" ht="15.75" customHeight="1" s="133">
      <c r="A1461" s="75" t="n"/>
      <c r="B1461" s="75" t="n"/>
      <c r="C1461" s="75" t="n"/>
      <c r="D1461" s="75" t="n"/>
      <c r="E1461" s="76" t="n"/>
      <c r="F1461" s="77" t="n"/>
      <c r="G1461" s="75" t="n"/>
      <c r="H1461" s="75">
        <f>IF(ISBLANK(E1461),"",IF(OR(D1461="Butterfly",D1461="Butterfly ",D1461="Iron Fly", D1461="Iron Fly "),LEN(E1461)-LEN(SUBSTITUTE(E1461,"/",""))+2,LEN(E1461)-LEN(SUBSTITUTE(E1461,"/",""))+1))</f>
        <v/>
      </c>
      <c r="I1461" s="78">
        <f>IF(ISBLANK(G1461),"",IF(D1461="Stock","0",Key!$A$3*H1461*G1461))</f>
        <v/>
      </c>
      <c r="J1461" s="78">
        <f>IF(ISBLANK(E1461),"",IF(ISNUMBER(SEARCH("/",E1461)), IF(LEN(E1461)-LEN(SUBSTITUTE(E1461,"/",""))=1,(RIGHT(E1461,LEN(E1461)-FIND("/",E1461)))-(LEFT(E1461,FIND("/",E1461)-1)),(MID(E1461, SEARCH("/",E1461) + 1, SEARCH("/",E1461, SEARCH("/",E1461)+1) - SEARCH("/",E1461) - 1))-(LEFT(E1461,FIND("/",E1461)-1))), "NA"))</f>
        <v/>
      </c>
      <c r="K1461" s="79">
        <f>IF(A1461&lt;&gt;"", IF(ISBLANK(L1461), TODAY(), K1461), "")</f>
        <v/>
      </c>
      <c r="L1461" s="78" t="n"/>
      <c r="M1461" s="78">
        <f>IF(ISBLANK(L1461),"",IF(D1461="Stock",IF(C1461="Buy",L1461*G1461,IF(C1461="Sell",(L1461*G1461)-I1461, X)),IF(C1461="Buy",(L1461*G1461*100)+I1461,IF(C1461="Sell",(L1461*G1461*100)-I1461, X))))</f>
        <v/>
      </c>
      <c r="N1461" s="78">
        <f>IF(ISBLANK(L1461),"",IF(AND(C1461="Sell",D1461="Stock"),M1461,IF(ISBLANK(L1461),"",IF(C1461="Buy",M1461, IF(AND(C1461="Sell",J1461="NA"),(E1461*G1461*100*0.1)+I1461, IF(C1461="Sell",(J1461-L1461)*(100*G1461)+I1461))))))</f>
        <v/>
      </c>
      <c r="O1461" s="75" t="n"/>
      <c r="P1461" s="75" t="n"/>
      <c r="Q1461" s="75">
        <f>IF(ISBLANK(P1461),"",IF(D1461="Stock",P1461*G1461,IF(P1461=0,"0",G1461*P1461*100-(G1461*$AF$14))))</f>
        <v/>
      </c>
      <c r="R1461" s="79">
        <f>IF(P1461&lt;&gt;"", TODAY(), "")</f>
        <v/>
      </c>
      <c r="S1461" s="78">
        <f>IF(AND(K1461&lt;&gt;"", R1461&lt;&gt;""), R1461-K1461, "")</f>
        <v/>
      </c>
      <c r="T1461" s="78" t="n"/>
      <c r="U1461" s="92">
        <f>IF(ISBLANK(P1461),"",IF(C1461="Buy",Q1461-M1461+T1461, IF(C1461="Sell",M1461-Q1461-T1461, X)))</f>
        <v/>
      </c>
      <c r="V1461" s="81">
        <f>IF(ISBLANK(P1461),"",U1461/N1461)</f>
        <v/>
      </c>
      <c r="W1461" s="81">
        <f>IF(ISBLANK(P1461),"",IF(S1461=0,(365/0.5)*V1461,(365/S1461)*V1461))</f>
        <v/>
      </c>
      <c r="X1461" s="75" t="n"/>
      <c r="Y1461" s="77" t="n"/>
      <c r="Z1461" s="77" t="n"/>
      <c r="AA1461" s="75" t="n"/>
      <c r="AB1461" s="75" t="n"/>
      <c r="AC1461" s="6" t="n"/>
      <c r="AD1461" s="75" t="n"/>
      <c r="AE1461" s="75" t="n"/>
      <c r="AF1461" s="75" t="n"/>
    </row>
    <row r="1462" ht="15.75" customHeight="1" s="133">
      <c r="A1462" s="75" t="n"/>
      <c r="B1462" s="75" t="n"/>
      <c r="C1462" s="75" t="n"/>
      <c r="D1462" s="75" t="n"/>
      <c r="E1462" s="76" t="n"/>
      <c r="F1462" s="77" t="n"/>
      <c r="G1462" s="75" t="n"/>
      <c r="H1462" s="75">
        <f>IF(ISBLANK(E1462),"",IF(OR(D1462="Butterfly",D1462="Butterfly ",D1462="Iron Fly", D1462="Iron Fly "),LEN(E1462)-LEN(SUBSTITUTE(E1462,"/",""))+2,LEN(E1462)-LEN(SUBSTITUTE(E1462,"/",""))+1))</f>
        <v/>
      </c>
      <c r="I1462" s="78">
        <f>IF(ISBLANK(G1462),"",IF(D1462="Stock","0",Key!$A$3*H1462*G1462))</f>
        <v/>
      </c>
      <c r="J1462" s="78">
        <f>IF(ISBLANK(E1462),"",IF(ISNUMBER(SEARCH("/",E1462)), IF(LEN(E1462)-LEN(SUBSTITUTE(E1462,"/",""))=1,(RIGHT(E1462,LEN(E1462)-FIND("/",E1462)))-(LEFT(E1462,FIND("/",E1462)-1)),(MID(E1462, SEARCH("/",E1462) + 1, SEARCH("/",E1462, SEARCH("/",E1462)+1) - SEARCH("/",E1462) - 1))-(LEFT(E1462,FIND("/",E1462)-1))), "NA"))</f>
        <v/>
      </c>
      <c r="K1462" s="79">
        <f>IF(A1462&lt;&gt;"", IF(ISBLANK(L1462), TODAY(), K1462), "")</f>
        <v/>
      </c>
      <c r="L1462" s="78" t="n"/>
      <c r="M1462" s="78">
        <f>IF(ISBLANK(L1462),"",IF(D1462="Stock",IF(C1462="Buy",L1462*G1462,IF(C1462="Sell",(L1462*G1462)-I1462, X)),IF(C1462="Buy",(L1462*G1462*100)+I1462,IF(C1462="Sell",(L1462*G1462*100)-I1462, X))))</f>
        <v/>
      </c>
      <c r="N1462" s="78">
        <f>IF(ISBLANK(L1462),"",IF(AND(C1462="Sell",D1462="Stock"),M1462,IF(ISBLANK(L1462),"",IF(C1462="Buy",M1462, IF(AND(C1462="Sell",J1462="NA"),(E1462*G1462*100*0.1)+I1462, IF(C1462="Sell",(J1462-L1462)*(100*G1462)+I1462))))))</f>
        <v/>
      </c>
      <c r="O1462" s="75" t="n"/>
      <c r="P1462" s="75" t="n"/>
      <c r="Q1462" s="75">
        <f>IF(ISBLANK(P1462),"",IF(D1462="Stock",P1462*G1462,IF(P1462=0,"0",G1462*P1462*100-(G1462*$AF$14))))</f>
        <v/>
      </c>
      <c r="R1462" s="79">
        <f>IF(P1462&lt;&gt;"", TODAY(), "")</f>
        <v/>
      </c>
      <c r="S1462" s="78">
        <f>IF(AND(K1462&lt;&gt;"", R1462&lt;&gt;""), R1462-K1462, "")</f>
        <v/>
      </c>
      <c r="T1462" s="78" t="n"/>
      <c r="U1462" s="92">
        <f>IF(ISBLANK(P1462),"",IF(C1462="Buy",Q1462-M1462+T1462, IF(C1462="Sell",M1462-Q1462-T1462, X)))</f>
        <v/>
      </c>
      <c r="V1462" s="81">
        <f>IF(ISBLANK(P1462),"",U1462/N1462)</f>
        <v/>
      </c>
      <c r="W1462" s="81">
        <f>IF(ISBLANK(P1462),"",IF(S1462=0,(365/0.5)*V1462,(365/S1462)*V1462))</f>
        <v/>
      </c>
      <c r="X1462" s="75" t="n"/>
      <c r="Y1462" s="77" t="n"/>
      <c r="Z1462" s="77" t="n"/>
      <c r="AA1462" s="75" t="n"/>
      <c r="AB1462" s="75" t="n"/>
      <c r="AC1462" s="6" t="n"/>
      <c r="AD1462" s="75" t="n"/>
      <c r="AE1462" s="75" t="n"/>
      <c r="AF1462" s="75" t="n"/>
    </row>
    <row r="1463" ht="15.75" customHeight="1" s="133">
      <c r="A1463" s="75" t="n"/>
      <c r="B1463" s="75" t="n"/>
      <c r="C1463" s="75" t="n"/>
      <c r="D1463" s="75" t="n"/>
      <c r="E1463" s="76" t="n"/>
      <c r="F1463" s="77" t="n"/>
      <c r="G1463" s="75" t="n"/>
      <c r="H1463" s="75">
        <f>IF(ISBLANK(E1463),"",IF(OR(D1463="Butterfly",D1463="Butterfly ",D1463="Iron Fly", D1463="Iron Fly "),LEN(E1463)-LEN(SUBSTITUTE(E1463,"/",""))+2,LEN(E1463)-LEN(SUBSTITUTE(E1463,"/",""))+1))</f>
        <v/>
      </c>
      <c r="I1463" s="78">
        <f>IF(ISBLANK(G1463),"",IF(D1463="Stock","0",Key!$A$3*H1463*G1463))</f>
        <v/>
      </c>
      <c r="J1463" s="78">
        <f>IF(ISBLANK(E1463),"",IF(ISNUMBER(SEARCH("/",E1463)), IF(LEN(E1463)-LEN(SUBSTITUTE(E1463,"/",""))=1,(RIGHT(E1463,LEN(E1463)-FIND("/",E1463)))-(LEFT(E1463,FIND("/",E1463)-1)),(MID(E1463, SEARCH("/",E1463) + 1, SEARCH("/",E1463, SEARCH("/",E1463)+1) - SEARCH("/",E1463) - 1))-(LEFT(E1463,FIND("/",E1463)-1))), "NA"))</f>
        <v/>
      </c>
      <c r="K1463" s="79">
        <f>IF(A1463&lt;&gt;"", IF(ISBLANK(L1463), TODAY(), K1463), "")</f>
        <v/>
      </c>
      <c r="L1463" s="78" t="n"/>
      <c r="M1463" s="78">
        <f>IF(ISBLANK(L1463),"",IF(D1463="Stock",IF(C1463="Buy",L1463*G1463,IF(C1463="Sell",(L1463*G1463)-I1463, X)),IF(C1463="Buy",(L1463*G1463*100)+I1463,IF(C1463="Sell",(L1463*G1463*100)-I1463, X))))</f>
        <v/>
      </c>
      <c r="N1463" s="78">
        <f>IF(ISBLANK(L1463),"",IF(AND(C1463="Sell",D1463="Stock"),M1463,IF(ISBLANK(L1463),"",IF(C1463="Buy",M1463, IF(AND(C1463="Sell",J1463="NA"),(E1463*G1463*100*0.1)+I1463, IF(C1463="Sell",(J1463-L1463)*(100*G1463)+I1463))))))</f>
        <v/>
      </c>
      <c r="O1463" s="75" t="n"/>
      <c r="P1463" s="75" t="n"/>
      <c r="Q1463" s="75">
        <f>IF(ISBLANK(P1463),"",IF(D1463="Stock",P1463*G1463,IF(P1463=0,"0",G1463*P1463*100-(G1463*$AF$14))))</f>
        <v/>
      </c>
      <c r="R1463" s="79">
        <f>IF(P1463&lt;&gt;"", TODAY(), "")</f>
        <v/>
      </c>
      <c r="S1463" s="78">
        <f>IF(AND(K1463&lt;&gt;"", R1463&lt;&gt;""), R1463-K1463, "")</f>
        <v/>
      </c>
      <c r="T1463" s="78" t="n"/>
      <c r="U1463" s="92">
        <f>IF(ISBLANK(P1463),"",IF(C1463="Buy",Q1463-M1463+T1463, IF(C1463="Sell",M1463-Q1463-T1463, X)))</f>
        <v/>
      </c>
      <c r="V1463" s="81">
        <f>IF(ISBLANK(P1463),"",U1463/N1463)</f>
        <v/>
      </c>
      <c r="W1463" s="81">
        <f>IF(ISBLANK(P1463),"",IF(S1463=0,(365/0.5)*V1463,(365/S1463)*V1463))</f>
        <v/>
      </c>
      <c r="X1463" s="75" t="n"/>
      <c r="Y1463" s="77" t="n"/>
      <c r="Z1463" s="77" t="n"/>
      <c r="AA1463" s="75" t="n"/>
      <c r="AB1463" s="75" t="n"/>
      <c r="AC1463" s="6" t="n"/>
      <c r="AD1463" s="75" t="n"/>
      <c r="AE1463" s="75" t="n"/>
      <c r="AF1463" s="75" t="n"/>
    </row>
    <row r="1464" ht="15.75" customHeight="1" s="133">
      <c r="A1464" s="75" t="n"/>
      <c r="B1464" s="75" t="n"/>
      <c r="C1464" s="75" t="n"/>
      <c r="D1464" s="75" t="n"/>
      <c r="E1464" s="76" t="n"/>
      <c r="F1464" s="77" t="n"/>
      <c r="G1464" s="75" t="n"/>
      <c r="H1464" s="75">
        <f>IF(ISBLANK(E1464),"",IF(OR(D1464="Butterfly",D1464="Butterfly ",D1464="Iron Fly", D1464="Iron Fly "),LEN(E1464)-LEN(SUBSTITUTE(E1464,"/",""))+2,LEN(E1464)-LEN(SUBSTITUTE(E1464,"/",""))+1))</f>
        <v/>
      </c>
      <c r="I1464" s="78">
        <f>IF(ISBLANK(G1464),"",IF(D1464="Stock","0",Key!$A$3*H1464*G1464))</f>
        <v/>
      </c>
      <c r="J1464" s="78">
        <f>IF(ISBLANK(E1464),"",IF(ISNUMBER(SEARCH("/",E1464)), IF(LEN(E1464)-LEN(SUBSTITUTE(E1464,"/",""))=1,(RIGHT(E1464,LEN(E1464)-FIND("/",E1464)))-(LEFT(E1464,FIND("/",E1464)-1)),(MID(E1464, SEARCH("/",E1464) + 1, SEARCH("/",E1464, SEARCH("/",E1464)+1) - SEARCH("/",E1464) - 1))-(LEFT(E1464,FIND("/",E1464)-1))), "NA"))</f>
        <v/>
      </c>
      <c r="K1464" s="79">
        <f>IF(A1464&lt;&gt;"", IF(ISBLANK(L1464), TODAY(), K1464), "")</f>
        <v/>
      </c>
      <c r="L1464" s="78" t="n"/>
      <c r="M1464" s="78">
        <f>IF(ISBLANK(L1464),"",IF(D1464="Stock",IF(C1464="Buy",L1464*G1464,IF(C1464="Sell",(L1464*G1464)-I1464, X)),IF(C1464="Buy",(L1464*G1464*100)+I1464,IF(C1464="Sell",(L1464*G1464*100)-I1464, X))))</f>
        <v/>
      </c>
      <c r="N1464" s="78">
        <f>IF(ISBLANK(L1464),"",IF(AND(C1464="Sell",D1464="Stock"),M1464,IF(ISBLANK(L1464),"",IF(C1464="Buy",M1464, IF(AND(C1464="Sell",J1464="NA"),(E1464*G1464*100*0.1)+I1464, IF(C1464="Sell",(J1464-L1464)*(100*G1464)+I1464))))))</f>
        <v/>
      </c>
      <c r="O1464" s="75" t="n"/>
      <c r="P1464" s="75" t="n"/>
      <c r="Q1464" s="75">
        <f>IF(ISBLANK(P1464),"",IF(D1464="Stock",P1464*G1464,IF(P1464=0,"0",G1464*P1464*100-(G1464*$AF$14))))</f>
        <v/>
      </c>
      <c r="R1464" s="79">
        <f>IF(P1464&lt;&gt;"", TODAY(), "")</f>
        <v/>
      </c>
      <c r="S1464" s="78">
        <f>IF(AND(K1464&lt;&gt;"", R1464&lt;&gt;""), R1464-K1464, "")</f>
        <v/>
      </c>
      <c r="T1464" s="78" t="n"/>
      <c r="U1464" s="92">
        <f>IF(ISBLANK(P1464),"",IF(C1464="Buy",Q1464-M1464+T1464, IF(C1464="Sell",M1464-Q1464-T1464, X)))</f>
        <v/>
      </c>
      <c r="V1464" s="81">
        <f>IF(ISBLANK(P1464),"",U1464/N1464)</f>
        <v/>
      </c>
      <c r="W1464" s="81">
        <f>IF(ISBLANK(P1464),"",IF(S1464=0,(365/0.5)*V1464,(365/S1464)*V1464))</f>
        <v/>
      </c>
      <c r="X1464" s="75" t="n"/>
      <c r="Y1464" s="77" t="n"/>
      <c r="Z1464" s="77" t="n"/>
      <c r="AA1464" s="75" t="n"/>
      <c r="AB1464" s="75" t="n"/>
      <c r="AC1464" s="6" t="n"/>
      <c r="AD1464" s="75" t="n"/>
      <c r="AE1464" s="75" t="n"/>
      <c r="AF1464" s="75" t="n"/>
    </row>
    <row r="1465" ht="15.75" customHeight="1" s="133">
      <c r="A1465" s="75" t="n"/>
      <c r="B1465" s="75" t="n"/>
      <c r="C1465" s="75" t="n"/>
      <c r="D1465" s="75" t="n"/>
      <c r="E1465" s="76" t="n"/>
      <c r="F1465" s="77" t="n"/>
      <c r="G1465" s="75" t="n"/>
      <c r="H1465" s="75">
        <f>IF(ISBLANK(E1465),"",IF(OR(D1465="Butterfly",D1465="Butterfly ",D1465="Iron Fly", D1465="Iron Fly "),LEN(E1465)-LEN(SUBSTITUTE(E1465,"/",""))+2,LEN(E1465)-LEN(SUBSTITUTE(E1465,"/",""))+1))</f>
        <v/>
      </c>
      <c r="I1465" s="78">
        <f>IF(ISBLANK(G1465),"",IF(D1465="Stock","0",Key!$A$3*H1465*G1465))</f>
        <v/>
      </c>
      <c r="J1465" s="78">
        <f>IF(ISBLANK(E1465),"",IF(ISNUMBER(SEARCH("/",E1465)), IF(LEN(E1465)-LEN(SUBSTITUTE(E1465,"/",""))=1,(RIGHT(E1465,LEN(E1465)-FIND("/",E1465)))-(LEFT(E1465,FIND("/",E1465)-1)),(MID(E1465, SEARCH("/",E1465) + 1, SEARCH("/",E1465, SEARCH("/",E1465)+1) - SEARCH("/",E1465) - 1))-(LEFT(E1465,FIND("/",E1465)-1))), "NA"))</f>
        <v/>
      </c>
      <c r="K1465" s="79">
        <f>IF(A1465&lt;&gt;"", IF(ISBLANK(L1465), TODAY(), K1465), "")</f>
        <v/>
      </c>
      <c r="L1465" s="78" t="n"/>
      <c r="M1465" s="78">
        <f>IF(ISBLANK(L1465),"",IF(D1465="Stock",IF(C1465="Buy",L1465*G1465,IF(C1465="Sell",(L1465*G1465)-I1465, X)),IF(C1465="Buy",(L1465*G1465*100)+I1465,IF(C1465="Sell",(L1465*G1465*100)-I1465, X))))</f>
        <v/>
      </c>
      <c r="N1465" s="78">
        <f>IF(ISBLANK(L1465),"",IF(AND(C1465="Sell",D1465="Stock"),M1465,IF(ISBLANK(L1465),"",IF(C1465="Buy",M1465, IF(AND(C1465="Sell",J1465="NA"),(E1465*G1465*100*0.1)+I1465, IF(C1465="Sell",(J1465-L1465)*(100*G1465)+I1465))))))</f>
        <v/>
      </c>
      <c r="O1465" s="75" t="n"/>
      <c r="P1465" s="75" t="n"/>
      <c r="Q1465" s="75">
        <f>IF(ISBLANK(P1465),"",IF(D1465="Stock",P1465*G1465,IF(P1465=0,"0",G1465*P1465*100-(G1465*$AF$14))))</f>
        <v/>
      </c>
      <c r="R1465" s="79">
        <f>IF(P1465&lt;&gt;"", TODAY(), "")</f>
        <v/>
      </c>
      <c r="S1465" s="78">
        <f>IF(AND(K1465&lt;&gt;"", R1465&lt;&gt;""), R1465-K1465, "")</f>
        <v/>
      </c>
      <c r="T1465" s="78" t="n"/>
      <c r="U1465" s="92">
        <f>IF(ISBLANK(P1465),"",IF(C1465="Buy",Q1465-M1465+T1465, IF(C1465="Sell",M1465-Q1465-T1465, X)))</f>
        <v/>
      </c>
      <c r="V1465" s="81">
        <f>IF(ISBLANK(P1465),"",U1465/N1465)</f>
        <v/>
      </c>
      <c r="W1465" s="81">
        <f>IF(ISBLANK(P1465),"",IF(S1465=0,(365/0.5)*V1465,(365/S1465)*V1465))</f>
        <v/>
      </c>
      <c r="X1465" s="75" t="n"/>
      <c r="Y1465" s="77" t="n"/>
      <c r="Z1465" s="77" t="n"/>
      <c r="AA1465" s="75" t="n"/>
      <c r="AB1465" s="75" t="n"/>
      <c r="AC1465" s="6" t="n"/>
      <c r="AD1465" s="75" t="n"/>
      <c r="AE1465" s="75" t="n"/>
      <c r="AF1465" s="75" t="n"/>
    </row>
    <row r="1466" ht="15.75" customHeight="1" s="133">
      <c r="A1466" s="75" t="n"/>
      <c r="B1466" s="75" t="n"/>
      <c r="C1466" s="75" t="n"/>
      <c r="D1466" s="75" t="n"/>
      <c r="E1466" s="76" t="n"/>
      <c r="F1466" s="77" t="n"/>
      <c r="G1466" s="75" t="n"/>
      <c r="H1466" s="75">
        <f>IF(ISBLANK(E1466),"",IF(OR(D1466="Butterfly",D1466="Butterfly ",D1466="Iron Fly", D1466="Iron Fly "),LEN(E1466)-LEN(SUBSTITUTE(E1466,"/",""))+2,LEN(E1466)-LEN(SUBSTITUTE(E1466,"/",""))+1))</f>
        <v/>
      </c>
      <c r="I1466" s="78">
        <f>IF(ISBLANK(G1466),"",IF(D1466="Stock","0",Key!$A$3*H1466*G1466))</f>
        <v/>
      </c>
      <c r="J1466" s="78">
        <f>IF(ISBLANK(E1466),"",IF(ISNUMBER(SEARCH("/",E1466)), IF(LEN(E1466)-LEN(SUBSTITUTE(E1466,"/",""))=1,(RIGHT(E1466,LEN(E1466)-FIND("/",E1466)))-(LEFT(E1466,FIND("/",E1466)-1)),(MID(E1466, SEARCH("/",E1466) + 1, SEARCH("/",E1466, SEARCH("/",E1466)+1) - SEARCH("/",E1466) - 1))-(LEFT(E1466,FIND("/",E1466)-1))), "NA"))</f>
        <v/>
      </c>
      <c r="K1466" s="79">
        <f>IF(A1466&lt;&gt;"", IF(ISBLANK(L1466), TODAY(), K1466), "")</f>
        <v/>
      </c>
      <c r="L1466" s="78" t="n"/>
      <c r="M1466" s="78">
        <f>IF(ISBLANK(L1466),"",IF(D1466="Stock",IF(C1466="Buy",L1466*G1466,IF(C1466="Sell",(L1466*G1466)-I1466, X)),IF(C1466="Buy",(L1466*G1466*100)+I1466,IF(C1466="Sell",(L1466*G1466*100)-I1466, X))))</f>
        <v/>
      </c>
      <c r="N1466" s="78">
        <f>IF(ISBLANK(L1466),"",IF(AND(C1466="Sell",D1466="Stock"),M1466,IF(ISBLANK(L1466),"",IF(C1466="Buy",M1466, IF(AND(C1466="Sell",J1466="NA"),(E1466*G1466*100*0.1)+I1466, IF(C1466="Sell",(J1466-L1466)*(100*G1466)+I1466))))))</f>
        <v/>
      </c>
      <c r="O1466" s="75" t="n"/>
      <c r="P1466" s="75" t="n"/>
      <c r="Q1466" s="75">
        <f>IF(ISBLANK(P1466),"",IF(D1466="Stock",P1466*G1466,IF(P1466=0,"0",G1466*P1466*100-(G1466*$AF$14))))</f>
        <v/>
      </c>
      <c r="R1466" s="79">
        <f>IF(P1466&lt;&gt;"", TODAY(), "")</f>
        <v/>
      </c>
      <c r="S1466" s="78">
        <f>IF(AND(K1466&lt;&gt;"", R1466&lt;&gt;""), R1466-K1466, "")</f>
        <v/>
      </c>
      <c r="T1466" s="78" t="n"/>
      <c r="U1466" s="92">
        <f>IF(ISBLANK(P1466),"",IF(C1466="Buy",Q1466-M1466+T1466, IF(C1466="Sell",M1466-Q1466-T1466, X)))</f>
        <v/>
      </c>
      <c r="V1466" s="81">
        <f>IF(ISBLANK(P1466),"",U1466/N1466)</f>
        <v/>
      </c>
      <c r="W1466" s="81">
        <f>IF(ISBLANK(P1466),"",IF(S1466=0,(365/0.5)*V1466,(365/S1466)*V1466))</f>
        <v/>
      </c>
      <c r="X1466" s="75" t="n"/>
      <c r="Y1466" s="77" t="n"/>
      <c r="Z1466" s="77" t="n"/>
      <c r="AA1466" s="75" t="n"/>
      <c r="AB1466" s="75" t="n"/>
      <c r="AC1466" s="6" t="n"/>
      <c r="AD1466" s="75" t="n"/>
      <c r="AE1466" s="75" t="n"/>
      <c r="AF1466" s="75" t="n"/>
    </row>
    <row r="1467" ht="15.75" customHeight="1" s="133">
      <c r="A1467" s="75" t="n"/>
      <c r="B1467" s="75" t="n"/>
      <c r="C1467" s="75" t="n"/>
      <c r="D1467" s="75" t="n"/>
      <c r="E1467" s="76" t="n"/>
      <c r="F1467" s="77" t="n"/>
      <c r="G1467" s="75" t="n"/>
      <c r="H1467" s="75">
        <f>IF(ISBLANK(E1467),"",IF(OR(D1467="Butterfly",D1467="Butterfly ",D1467="Iron Fly", D1467="Iron Fly "),LEN(E1467)-LEN(SUBSTITUTE(E1467,"/",""))+2,LEN(E1467)-LEN(SUBSTITUTE(E1467,"/",""))+1))</f>
        <v/>
      </c>
      <c r="I1467" s="78">
        <f>IF(ISBLANK(G1467),"",IF(D1467="Stock","0",Key!$A$3*H1467*G1467))</f>
        <v/>
      </c>
      <c r="J1467" s="78">
        <f>IF(ISBLANK(E1467),"",IF(ISNUMBER(SEARCH("/",E1467)), IF(LEN(E1467)-LEN(SUBSTITUTE(E1467,"/",""))=1,(RIGHT(E1467,LEN(E1467)-FIND("/",E1467)))-(LEFT(E1467,FIND("/",E1467)-1)),(MID(E1467, SEARCH("/",E1467) + 1, SEARCH("/",E1467, SEARCH("/",E1467)+1) - SEARCH("/",E1467) - 1))-(LEFT(E1467,FIND("/",E1467)-1))), "NA"))</f>
        <v/>
      </c>
      <c r="K1467" s="79">
        <f>IF(A1467&lt;&gt;"", IF(ISBLANK(L1467), TODAY(), K1467), "")</f>
        <v/>
      </c>
      <c r="L1467" s="78" t="n"/>
      <c r="M1467" s="78">
        <f>IF(ISBLANK(L1467),"",IF(D1467="Stock",IF(C1467="Buy",L1467*G1467,IF(C1467="Sell",(L1467*G1467)-I1467, X)),IF(C1467="Buy",(L1467*G1467*100)+I1467,IF(C1467="Sell",(L1467*G1467*100)-I1467, X))))</f>
        <v/>
      </c>
      <c r="N1467" s="78">
        <f>IF(ISBLANK(L1467),"",IF(AND(C1467="Sell",D1467="Stock"),M1467,IF(ISBLANK(L1467),"",IF(C1467="Buy",M1467, IF(AND(C1467="Sell",J1467="NA"),(E1467*G1467*100*0.1)+I1467, IF(C1467="Sell",(J1467-L1467)*(100*G1467)+I1467))))))</f>
        <v/>
      </c>
      <c r="O1467" s="75" t="n"/>
      <c r="P1467" s="75" t="n"/>
      <c r="Q1467" s="75">
        <f>IF(ISBLANK(P1467),"",IF(D1467="Stock",P1467*G1467,IF(P1467=0,"0",G1467*P1467*100-(G1467*$AF$14))))</f>
        <v/>
      </c>
      <c r="R1467" s="79">
        <f>IF(P1467&lt;&gt;"", TODAY(), "")</f>
        <v/>
      </c>
      <c r="S1467" s="78">
        <f>IF(AND(K1467&lt;&gt;"", R1467&lt;&gt;""), R1467-K1467, "")</f>
        <v/>
      </c>
      <c r="T1467" s="78" t="n"/>
      <c r="U1467" s="92">
        <f>IF(ISBLANK(P1467),"",IF(C1467="Buy",Q1467-M1467+T1467, IF(C1467="Sell",M1467-Q1467-T1467, X)))</f>
        <v/>
      </c>
      <c r="V1467" s="81">
        <f>IF(ISBLANK(P1467),"",U1467/N1467)</f>
        <v/>
      </c>
      <c r="W1467" s="81">
        <f>IF(ISBLANK(P1467),"",IF(S1467=0,(365/0.5)*V1467,(365/S1467)*V1467))</f>
        <v/>
      </c>
      <c r="X1467" s="75" t="n"/>
      <c r="Y1467" s="77" t="n"/>
      <c r="Z1467" s="77" t="n"/>
      <c r="AA1467" s="75" t="n"/>
      <c r="AB1467" s="75" t="n"/>
      <c r="AC1467" s="6" t="n"/>
      <c r="AD1467" s="75" t="n"/>
      <c r="AE1467" s="75" t="n"/>
      <c r="AF1467" s="75" t="n"/>
    </row>
    <row r="1468" ht="15.75" customHeight="1" s="133">
      <c r="A1468" s="75" t="n"/>
      <c r="B1468" s="75" t="n"/>
      <c r="C1468" s="75" t="n"/>
      <c r="D1468" s="75" t="n"/>
      <c r="E1468" s="76" t="n"/>
      <c r="F1468" s="77" t="n"/>
      <c r="G1468" s="75" t="n"/>
      <c r="H1468" s="75">
        <f>IF(ISBLANK(E1468),"",IF(OR(D1468="Butterfly",D1468="Butterfly ",D1468="Iron Fly", D1468="Iron Fly "),LEN(E1468)-LEN(SUBSTITUTE(E1468,"/",""))+2,LEN(E1468)-LEN(SUBSTITUTE(E1468,"/",""))+1))</f>
        <v/>
      </c>
      <c r="I1468" s="78">
        <f>IF(ISBLANK(G1468),"",IF(D1468="Stock","0",Key!$A$3*H1468*G1468))</f>
        <v/>
      </c>
      <c r="J1468" s="78">
        <f>IF(ISBLANK(E1468),"",IF(ISNUMBER(SEARCH("/",E1468)), IF(LEN(E1468)-LEN(SUBSTITUTE(E1468,"/",""))=1,(RIGHT(E1468,LEN(E1468)-FIND("/",E1468)))-(LEFT(E1468,FIND("/",E1468)-1)),(MID(E1468, SEARCH("/",E1468) + 1, SEARCH("/",E1468, SEARCH("/",E1468)+1) - SEARCH("/",E1468) - 1))-(LEFT(E1468,FIND("/",E1468)-1))), "NA"))</f>
        <v/>
      </c>
      <c r="K1468" s="79">
        <f>IF(A1468&lt;&gt;"", IF(ISBLANK(L1468), TODAY(), K1468), "")</f>
        <v/>
      </c>
      <c r="L1468" s="78" t="n"/>
      <c r="M1468" s="78">
        <f>IF(ISBLANK(L1468),"",IF(D1468="Stock",IF(C1468="Buy",L1468*G1468,IF(C1468="Sell",(L1468*G1468)-I1468, X)),IF(C1468="Buy",(L1468*G1468*100)+I1468,IF(C1468="Sell",(L1468*G1468*100)-I1468, X))))</f>
        <v/>
      </c>
      <c r="N1468" s="78">
        <f>IF(ISBLANK(L1468),"",IF(AND(C1468="Sell",D1468="Stock"),M1468,IF(ISBLANK(L1468),"",IF(C1468="Buy",M1468, IF(AND(C1468="Sell",J1468="NA"),(E1468*G1468*100*0.1)+I1468, IF(C1468="Sell",(J1468-L1468)*(100*G1468)+I1468))))))</f>
        <v/>
      </c>
      <c r="O1468" s="75" t="n"/>
      <c r="P1468" s="75" t="n"/>
      <c r="Q1468" s="75">
        <f>IF(ISBLANK(P1468),"",IF(D1468="Stock",P1468*G1468,IF(P1468=0,"0",G1468*P1468*100-(G1468*$AF$14))))</f>
        <v/>
      </c>
      <c r="R1468" s="79">
        <f>IF(P1468&lt;&gt;"", TODAY(), "")</f>
        <v/>
      </c>
      <c r="S1468" s="78">
        <f>IF(AND(K1468&lt;&gt;"", R1468&lt;&gt;""), R1468-K1468, "")</f>
        <v/>
      </c>
      <c r="T1468" s="78" t="n"/>
      <c r="U1468" s="92">
        <f>IF(ISBLANK(P1468),"",IF(C1468="Buy",Q1468-M1468+T1468, IF(C1468="Sell",M1468-Q1468-T1468, X)))</f>
        <v/>
      </c>
      <c r="V1468" s="81">
        <f>IF(ISBLANK(P1468),"",U1468/N1468)</f>
        <v/>
      </c>
      <c r="W1468" s="81">
        <f>IF(ISBLANK(P1468),"",IF(S1468=0,(365/0.5)*V1468,(365/S1468)*V1468))</f>
        <v/>
      </c>
      <c r="X1468" s="75" t="n"/>
      <c r="Y1468" s="77" t="n"/>
      <c r="Z1468" s="77" t="n"/>
      <c r="AA1468" s="75" t="n"/>
      <c r="AB1468" s="75" t="n"/>
      <c r="AC1468" s="6" t="n"/>
      <c r="AD1468" s="75" t="n"/>
      <c r="AE1468" s="75" t="n"/>
      <c r="AF1468" s="75" t="n"/>
    </row>
    <row r="1469" ht="15.75" customHeight="1" s="133">
      <c r="A1469" s="75" t="n"/>
      <c r="B1469" s="75" t="n"/>
      <c r="C1469" s="75" t="n"/>
      <c r="D1469" s="75" t="n"/>
      <c r="E1469" s="76" t="n"/>
      <c r="F1469" s="77" t="n"/>
      <c r="G1469" s="75" t="n"/>
      <c r="H1469" s="75">
        <f>IF(ISBLANK(E1469),"",IF(OR(D1469="Butterfly",D1469="Butterfly ",D1469="Iron Fly", D1469="Iron Fly "),LEN(E1469)-LEN(SUBSTITUTE(E1469,"/",""))+2,LEN(E1469)-LEN(SUBSTITUTE(E1469,"/",""))+1))</f>
        <v/>
      </c>
      <c r="I1469" s="78">
        <f>IF(ISBLANK(G1469),"",IF(D1469="Stock","0",Key!$A$3*H1469*G1469))</f>
        <v/>
      </c>
      <c r="J1469" s="78">
        <f>IF(ISBLANK(E1469),"",IF(ISNUMBER(SEARCH("/",E1469)), IF(LEN(E1469)-LEN(SUBSTITUTE(E1469,"/",""))=1,(RIGHT(E1469,LEN(E1469)-FIND("/",E1469)))-(LEFT(E1469,FIND("/",E1469)-1)),(MID(E1469, SEARCH("/",E1469) + 1, SEARCH("/",E1469, SEARCH("/",E1469)+1) - SEARCH("/",E1469) - 1))-(LEFT(E1469,FIND("/",E1469)-1))), "NA"))</f>
        <v/>
      </c>
      <c r="K1469" s="79">
        <f>IF(A1469&lt;&gt;"", IF(ISBLANK(L1469), TODAY(), K1469), "")</f>
        <v/>
      </c>
      <c r="L1469" s="78" t="n"/>
      <c r="M1469" s="78">
        <f>IF(ISBLANK(L1469),"",IF(D1469="Stock",IF(C1469="Buy",L1469*G1469,IF(C1469="Sell",(L1469*G1469)-I1469, X)),IF(C1469="Buy",(L1469*G1469*100)+I1469,IF(C1469="Sell",(L1469*G1469*100)-I1469, X))))</f>
        <v/>
      </c>
      <c r="N1469" s="78">
        <f>IF(ISBLANK(L1469),"",IF(AND(C1469="Sell",D1469="Stock"),M1469,IF(ISBLANK(L1469),"",IF(C1469="Buy",M1469, IF(AND(C1469="Sell",J1469="NA"),(E1469*G1469*100*0.1)+I1469, IF(C1469="Sell",(J1469-L1469)*(100*G1469)+I1469))))))</f>
        <v/>
      </c>
      <c r="O1469" s="75" t="n"/>
      <c r="P1469" s="75" t="n"/>
      <c r="Q1469" s="75">
        <f>IF(ISBLANK(P1469),"",IF(D1469="Stock",P1469*G1469,IF(P1469=0,"0",G1469*P1469*100-(G1469*$AF$14))))</f>
        <v/>
      </c>
      <c r="R1469" s="79">
        <f>IF(P1469&lt;&gt;"", TODAY(), "")</f>
        <v/>
      </c>
      <c r="S1469" s="78">
        <f>IF(AND(K1469&lt;&gt;"", R1469&lt;&gt;""), R1469-K1469, "")</f>
        <v/>
      </c>
      <c r="T1469" s="78" t="n"/>
      <c r="U1469" s="92">
        <f>IF(ISBLANK(P1469),"",IF(C1469="Buy",Q1469-M1469+T1469, IF(C1469="Sell",M1469-Q1469-T1469, X)))</f>
        <v/>
      </c>
      <c r="V1469" s="81">
        <f>IF(ISBLANK(P1469),"",U1469/N1469)</f>
        <v/>
      </c>
      <c r="W1469" s="81">
        <f>IF(ISBLANK(P1469),"",IF(S1469=0,(365/0.5)*V1469,(365/S1469)*V1469))</f>
        <v/>
      </c>
      <c r="X1469" s="75" t="n"/>
      <c r="Y1469" s="77" t="n"/>
      <c r="Z1469" s="77" t="n"/>
      <c r="AA1469" s="75" t="n"/>
      <c r="AB1469" s="75" t="n"/>
      <c r="AC1469" s="6" t="n"/>
      <c r="AD1469" s="75" t="n"/>
      <c r="AE1469" s="75" t="n"/>
      <c r="AF1469" s="75" t="n"/>
    </row>
    <row r="1470" ht="15.75" customHeight="1" s="133">
      <c r="A1470" s="75" t="n"/>
      <c r="B1470" s="75" t="n"/>
      <c r="C1470" s="75" t="n"/>
      <c r="D1470" s="75" t="n"/>
      <c r="E1470" s="76" t="n"/>
      <c r="F1470" s="77" t="n"/>
      <c r="G1470" s="75" t="n"/>
      <c r="H1470" s="75">
        <f>IF(ISBLANK(E1470),"",IF(OR(D1470="Butterfly",D1470="Butterfly ",D1470="Iron Fly", D1470="Iron Fly "),LEN(E1470)-LEN(SUBSTITUTE(E1470,"/",""))+2,LEN(E1470)-LEN(SUBSTITUTE(E1470,"/",""))+1))</f>
        <v/>
      </c>
      <c r="I1470" s="78">
        <f>IF(ISBLANK(G1470),"",IF(D1470="Stock","0",Key!$A$3*H1470*G1470))</f>
        <v/>
      </c>
      <c r="J1470" s="78">
        <f>IF(ISBLANK(E1470),"",IF(ISNUMBER(SEARCH("/",E1470)), IF(LEN(E1470)-LEN(SUBSTITUTE(E1470,"/",""))=1,(RIGHT(E1470,LEN(E1470)-FIND("/",E1470)))-(LEFT(E1470,FIND("/",E1470)-1)),(MID(E1470, SEARCH("/",E1470) + 1, SEARCH("/",E1470, SEARCH("/",E1470)+1) - SEARCH("/",E1470) - 1))-(LEFT(E1470,FIND("/",E1470)-1))), "NA"))</f>
        <v/>
      </c>
      <c r="K1470" s="79">
        <f>IF(A1470&lt;&gt;"", IF(ISBLANK(L1470), TODAY(), K1470), "")</f>
        <v/>
      </c>
      <c r="L1470" s="78" t="n"/>
      <c r="M1470" s="78">
        <f>IF(ISBLANK(L1470),"",IF(D1470="Stock",IF(C1470="Buy",L1470*G1470,IF(C1470="Sell",(L1470*G1470)-I1470, X)),IF(C1470="Buy",(L1470*G1470*100)+I1470,IF(C1470="Sell",(L1470*G1470*100)-I1470, X))))</f>
        <v/>
      </c>
      <c r="N1470" s="78">
        <f>IF(ISBLANK(L1470),"",IF(AND(C1470="Sell",D1470="Stock"),M1470,IF(ISBLANK(L1470),"",IF(C1470="Buy",M1470, IF(AND(C1470="Sell",J1470="NA"),(E1470*G1470*100*0.1)+I1470, IF(C1470="Sell",(J1470-L1470)*(100*G1470)+I1470))))))</f>
        <v/>
      </c>
      <c r="O1470" s="75" t="n"/>
      <c r="P1470" s="75" t="n"/>
      <c r="Q1470" s="75">
        <f>IF(ISBLANK(P1470),"",IF(D1470="Stock",P1470*G1470,IF(P1470=0,"0",G1470*P1470*100-(G1470*$AF$14))))</f>
        <v/>
      </c>
      <c r="R1470" s="79">
        <f>IF(P1470&lt;&gt;"", TODAY(), "")</f>
        <v/>
      </c>
      <c r="S1470" s="78">
        <f>IF(AND(K1470&lt;&gt;"", R1470&lt;&gt;""), R1470-K1470, "")</f>
        <v/>
      </c>
      <c r="T1470" s="78" t="n"/>
      <c r="U1470" s="92">
        <f>IF(ISBLANK(P1470),"",IF(C1470="Buy",Q1470-M1470+T1470, IF(C1470="Sell",M1470-Q1470-T1470, X)))</f>
        <v/>
      </c>
      <c r="V1470" s="81">
        <f>IF(ISBLANK(P1470),"",U1470/N1470)</f>
        <v/>
      </c>
      <c r="W1470" s="81">
        <f>IF(ISBLANK(P1470),"",IF(S1470=0,(365/0.5)*V1470,(365/S1470)*V1470))</f>
        <v/>
      </c>
      <c r="X1470" s="75" t="n"/>
      <c r="Y1470" s="77" t="n"/>
      <c r="Z1470" s="77" t="n"/>
      <c r="AA1470" s="75" t="n"/>
      <c r="AB1470" s="75" t="n"/>
      <c r="AC1470" s="6" t="n"/>
      <c r="AD1470" s="75" t="n"/>
      <c r="AE1470" s="75" t="n"/>
      <c r="AF1470" s="75" t="n"/>
    </row>
    <row r="1471" ht="15.75" customHeight="1" s="133">
      <c r="A1471" s="75" t="n"/>
      <c r="B1471" s="75" t="n"/>
      <c r="C1471" s="75" t="n"/>
      <c r="D1471" s="75" t="n"/>
      <c r="E1471" s="76" t="n"/>
      <c r="F1471" s="77" t="n"/>
      <c r="G1471" s="75" t="n"/>
      <c r="H1471" s="75">
        <f>IF(ISBLANK(E1471),"",IF(OR(D1471="Butterfly",D1471="Butterfly ",D1471="Iron Fly", D1471="Iron Fly "),LEN(E1471)-LEN(SUBSTITUTE(E1471,"/",""))+2,LEN(E1471)-LEN(SUBSTITUTE(E1471,"/",""))+1))</f>
        <v/>
      </c>
      <c r="I1471" s="78">
        <f>IF(ISBLANK(G1471),"",IF(D1471="Stock","0",Key!$A$3*H1471*G1471))</f>
        <v/>
      </c>
      <c r="J1471" s="78">
        <f>IF(ISBLANK(E1471),"",IF(ISNUMBER(SEARCH("/",E1471)), IF(LEN(E1471)-LEN(SUBSTITUTE(E1471,"/",""))=1,(RIGHT(E1471,LEN(E1471)-FIND("/",E1471)))-(LEFT(E1471,FIND("/",E1471)-1)),(MID(E1471, SEARCH("/",E1471) + 1, SEARCH("/",E1471, SEARCH("/",E1471)+1) - SEARCH("/",E1471) - 1))-(LEFT(E1471,FIND("/",E1471)-1))), "NA"))</f>
        <v/>
      </c>
      <c r="K1471" s="79">
        <f>IF(A1471&lt;&gt;"", IF(ISBLANK(L1471), TODAY(), K1471), "")</f>
        <v/>
      </c>
      <c r="L1471" s="78" t="n"/>
      <c r="M1471" s="78">
        <f>IF(ISBLANK(L1471),"",IF(D1471="Stock",IF(C1471="Buy",L1471*G1471,IF(C1471="Sell",(L1471*G1471)-I1471, X)),IF(C1471="Buy",(L1471*G1471*100)+I1471,IF(C1471="Sell",(L1471*G1471*100)-I1471, X))))</f>
        <v/>
      </c>
      <c r="N1471" s="78">
        <f>IF(ISBLANK(L1471),"",IF(AND(C1471="Sell",D1471="Stock"),M1471,IF(ISBLANK(L1471),"",IF(C1471="Buy",M1471, IF(AND(C1471="Sell",J1471="NA"),(E1471*G1471*100*0.1)+I1471, IF(C1471="Sell",(J1471-L1471)*(100*G1471)+I1471))))))</f>
        <v/>
      </c>
      <c r="O1471" s="75" t="n"/>
      <c r="P1471" s="75" t="n"/>
      <c r="Q1471" s="75">
        <f>IF(ISBLANK(P1471),"",IF(D1471="Stock",P1471*G1471,IF(P1471=0,"0",G1471*P1471*100-(G1471*$AF$14))))</f>
        <v/>
      </c>
      <c r="R1471" s="79">
        <f>IF(P1471&lt;&gt;"", TODAY(), "")</f>
        <v/>
      </c>
      <c r="S1471" s="78">
        <f>IF(AND(K1471&lt;&gt;"", R1471&lt;&gt;""), R1471-K1471, "")</f>
        <v/>
      </c>
      <c r="T1471" s="78" t="n"/>
      <c r="U1471" s="92">
        <f>IF(ISBLANK(P1471),"",IF(C1471="Buy",Q1471-M1471+T1471, IF(C1471="Sell",M1471-Q1471-T1471, X)))</f>
        <v/>
      </c>
      <c r="V1471" s="81">
        <f>IF(ISBLANK(P1471),"",U1471/N1471)</f>
        <v/>
      </c>
      <c r="W1471" s="81">
        <f>IF(ISBLANK(P1471),"",IF(S1471=0,(365/0.5)*V1471,(365/S1471)*V1471))</f>
        <v/>
      </c>
      <c r="X1471" s="75" t="n"/>
      <c r="Y1471" s="77" t="n"/>
      <c r="Z1471" s="77" t="n"/>
      <c r="AA1471" s="75" t="n"/>
      <c r="AB1471" s="75" t="n"/>
      <c r="AC1471" s="6" t="n"/>
      <c r="AD1471" s="75" t="n"/>
      <c r="AE1471" s="75" t="n"/>
      <c r="AF1471" s="75" t="n"/>
    </row>
    <row r="1472" ht="15.75" customHeight="1" s="133">
      <c r="A1472" s="75" t="n"/>
      <c r="B1472" s="75" t="n"/>
      <c r="C1472" s="75" t="n"/>
      <c r="D1472" s="75" t="n"/>
      <c r="E1472" s="76" t="n"/>
      <c r="F1472" s="77" t="n"/>
      <c r="G1472" s="75" t="n"/>
      <c r="H1472" s="75">
        <f>IF(ISBLANK(E1472),"",IF(OR(D1472="Butterfly",D1472="Butterfly ",D1472="Iron Fly", D1472="Iron Fly "),LEN(E1472)-LEN(SUBSTITUTE(E1472,"/",""))+2,LEN(E1472)-LEN(SUBSTITUTE(E1472,"/",""))+1))</f>
        <v/>
      </c>
      <c r="I1472" s="78">
        <f>IF(ISBLANK(G1472),"",IF(D1472="Stock","0",Key!$A$3*H1472*G1472))</f>
        <v/>
      </c>
      <c r="J1472" s="78">
        <f>IF(ISBLANK(E1472),"",IF(ISNUMBER(SEARCH("/",E1472)), IF(LEN(E1472)-LEN(SUBSTITUTE(E1472,"/",""))=1,(RIGHT(E1472,LEN(E1472)-FIND("/",E1472)))-(LEFT(E1472,FIND("/",E1472)-1)),(MID(E1472, SEARCH("/",E1472) + 1, SEARCH("/",E1472, SEARCH("/",E1472)+1) - SEARCH("/",E1472) - 1))-(LEFT(E1472,FIND("/",E1472)-1))), "NA"))</f>
        <v/>
      </c>
      <c r="K1472" s="79">
        <f>IF(A1472&lt;&gt;"", IF(ISBLANK(L1472), TODAY(), K1472), "")</f>
        <v/>
      </c>
      <c r="L1472" s="78" t="n"/>
      <c r="M1472" s="78">
        <f>IF(ISBLANK(L1472),"",IF(D1472="Stock",IF(C1472="Buy",L1472*G1472,IF(C1472="Sell",(L1472*G1472)-I1472, X)),IF(C1472="Buy",(L1472*G1472*100)+I1472,IF(C1472="Sell",(L1472*G1472*100)-I1472, X))))</f>
        <v/>
      </c>
      <c r="N1472" s="78">
        <f>IF(ISBLANK(L1472),"",IF(AND(C1472="Sell",D1472="Stock"),M1472,IF(ISBLANK(L1472),"",IF(C1472="Buy",M1472, IF(AND(C1472="Sell",J1472="NA"),(E1472*G1472*100*0.1)+I1472, IF(C1472="Sell",(J1472-L1472)*(100*G1472)+I1472))))))</f>
        <v/>
      </c>
      <c r="O1472" s="75" t="n"/>
      <c r="P1472" s="75" t="n"/>
      <c r="Q1472" s="75">
        <f>IF(ISBLANK(P1472),"",IF(D1472="Stock",P1472*G1472,IF(P1472=0,"0",G1472*P1472*100-(G1472*$AF$14))))</f>
        <v/>
      </c>
      <c r="R1472" s="79">
        <f>IF(P1472&lt;&gt;"", TODAY(), "")</f>
        <v/>
      </c>
      <c r="S1472" s="78">
        <f>IF(AND(K1472&lt;&gt;"", R1472&lt;&gt;""), R1472-K1472, "")</f>
        <v/>
      </c>
      <c r="T1472" s="78" t="n"/>
      <c r="U1472" s="92">
        <f>IF(ISBLANK(P1472),"",IF(C1472="Buy",Q1472-M1472+T1472, IF(C1472="Sell",M1472-Q1472-T1472, X)))</f>
        <v/>
      </c>
      <c r="V1472" s="81">
        <f>IF(ISBLANK(P1472),"",U1472/N1472)</f>
        <v/>
      </c>
      <c r="W1472" s="81">
        <f>IF(ISBLANK(P1472),"",IF(S1472=0,(365/0.5)*V1472,(365/S1472)*V1472))</f>
        <v/>
      </c>
      <c r="X1472" s="75" t="n"/>
      <c r="Y1472" s="77" t="n"/>
      <c r="Z1472" s="77" t="n"/>
      <c r="AA1472" s="75" t="n"/>
      <c r="AB1472" s="75" t="n"/>
      <c r="AC1472" s="6" t="n"/>
      <c r="AD1472" s="75" t="n"/>
      <c r="AE1472" s="75" t="n"/>
      <c r="AF1472" s="75" t="n"/>
    </row>
    <row r="1473" ht="15.75" customHeight="1" s="133">
      <c r="A1473" s="75" t="n"/>
      <c r="B1473" s="75" t="n"/>
      <c r="C1473" s="75" t="n"/>
      <c r="D1473" s="75" t="n"/>
      <c r="E1473" s="76" t="n"/>
      <c r="F1473" s="77" t="n"/>
      <c r="G1473" s="75" t="n"/>
      <c r="H1473" s="75">
        <f>IF(ISBLANK(E1473),"",IF(OR(D1473="Butterfly",D1473="Butterfly ",D1473="Iron Fly", D1473="Iron Fly "),LEN(E1473)-LEN(SUBSTITUTE(E1473,"/",""))+2,LEN(E1473)-LEN(SUBSTITUTE(E1473,"/",""))+1))</f>
        <v/>
      </c>
      <c r="I1473" s="78">
        <f>IF(ISBLANK(G1473),"",IF(D1473="Stock","0",Key!$A$3*H1473*G1473))</f>
        <v/>
      </c>
      <c r="J1473" s="78">
        <f>IF(ISBLANK(E1473),"",IF(ISNUMBER(SEARCH("/",E1473)), IF(LEN(E1473)-LEN(SUBSTITUTE(E1473,"/",""))=1,(RIGHT(E1473,LEN(E1473)-FIND("/",E1473)))-(LEFT(E1473,FIND("/",E1473)-1)),(MID(E1473, SEARCH("/",E1473) + 1, SEARCH("/",E1473, SEARCH("/",E1473)+1) - SEARCH("/",E1473) - 1))-(LEFT(E1473,FIND("/",E1473)-1))), "NA"))</f>
        <v/>
      </c>
      <c r="K1473" s="79">
        <f>IF(A1473&lt;&gt;"", IF(ISBLANK(L1473), TODAY(), K1473), "")</f>
        <v/>
      </c>
      <c r="L1473" s="78" t="n"/>
      <c r="M1473" s="78">
        <f>IF(ISBLANK(L1473),"",IF(D1473="Stock",IF(C1473="Buy",L1473*G1473,IF(C1473="Sell",(L1473*G1473)-I1473, X)),IF(C1473="Buy",(L1473*G1473*100)+I1473,IF(C1473="Sell",(L1473*G1473*100)-I1473, X))))</f>
        <v/>
      </c>
      <c r="N1473" s="78">
        <f>IF(ISBLANK(L1473),"",IF(AND(C1473="Sell",D1473="Stock"),M1473,IF(ISBLANK(L1473),"",IF(C1473="Buy",M1473, IF(AND(C1473="Sell",J1473="NA"),(E1473*G1473*100*0.1)+I1473, IF(C1473="Sell",(J1473-L1473)*(100*G1473)+I1473))))))</f>
        <v/>
      </c>
      <c r="O1473" s="75" t="n"/>
      <c r="P1473" s="75" t="n"/>
      <c r="Q1473" s="75">
        <f>IF(ISBLANK(P1473),"",IF(D1473="Stock",P1473*G1473,IF(P1473=0,"0",G1473*P1473*100-(G1473*$AF$14))))</f>
        <v/>
      </c>
      <c r="R1473" s="79">
        <f>IF(P1473&lt;&gt;"", TODAY(), "")</f>
        <v/>
      </c>
      <c r="S1473" s="78">
        <f>IF(AND(K1473&lt;&gt;"", R1473&lt;&gt;""), R1473-K1473, "")</f>
        <v/>
      </c>
      <c r="T1473" s="78" t="n"/>
      <c r="U1473" s="92">
        <f>IF(ISBLANK(P1473),"",IF(C1473="Buy",Q1473-M1473+T1473, IF(C1473="Sell",M1473-Q1473-T1473, X)))</f>
        <v/>
      </c>
      <c r="V1473" s="81">
        <f>IF(ISBLANK(P1473),"",U1473/N1473)</f>
        <v/>
      </c>
      <c r="W1473" s="81">
        <f>IF(ISBLANK(P1473),"",IF(S1473=0,(365/0.5)*V1473,(365/S1473)*V1473))</f>
        <v/>
      </c>
      <c r="X1473" s="75" t="n"/>
      <c r="Y1473" s="77" t="n"/>
      <c r="Z1473" s="77" t="n"/>
      <c r="AA1473" s="75" t="n"/>
      <c r="AB1473" s="75" t="n"/>
      <c r="AC1473" s="6" t="n"/>
      <c r="AD1473" s="75" t="n"/>
      <c r="AE1473" s="75" t="n"/>
      <c r="AF1473" s="75" t="n"/>
    </row>
    <row r="1474" ht="15.75" customHeight="1" s="133">
      <c r="A1474" s="75" t="n"/>
      <c r="B1474" s="75" t="n"/>
      <c r="C1474" s="75" t="n"/>
      <c r="D1474" s="75" t="n"/>
      <c r="E1474" s="76" t="n"/>
      <c r="F1474" s="77" t="n"/>
      <c r="G1474" s="75" t="n"/>
      <c r="H1474" s="75">
        <f>IF(ISBLANK(E1474),"",IF(OR(D1474="Butterfly",D1474="Butterfly ",D1474="Iron Fly", D1474="Iron Fly "),LEN(E1474)-LEN(SUBSTITUTE(E1474,"/",""))+2,LEN(E1474)-LEN(SUBSTITUTE(E1474,"/",""))+1))</f>
        <v/>
      </c>
      <c r="I1474" s="78">
        <f>IF(ISBLANK(G1474),"",IF(D1474="Stock","0",Key!$A$3*H1474*G1474))</f>
        <v/>
      </c>
      <c r="J1474" s="78">
        <f>IF(ISBLANK(E1474),"",IF(ISNUMBER(SEARCH("/",E1474)), IF(LEN(E1474)-LEN(SUBSTITUTE(E1474,"/",""))=1,(RIGHT(E1474,LEN(E1474)-FIND("/",E1474)))-(LEFT(E1474,FIND("/",E1474)-1)),(MID(E1474, SEARCH("/",E1474) + 1, SEARCH("/",E1474, SEARCH("/",E1474)+1) - SEARCH("/",E1474) - 1))-(LEFT(E1474,FIND("/",E1474)-1))), "NA"))</f>
        <v/>
      </c>
      <c r="K1474" s="79">
        <f>IF(A1474&lt;&gt;"", IF(ISBLANK(L1474), TODAY(), K1474), "")</f>
        <v/>
      </c>
      <c r="L1474" s="78" t="n"/>
      <c r="M1474" s="78">
        <f>IF(ISBLANK(L1474),"",IF(D1474="Stock",IF(C1474="Buy",L1474*G1474,IF(C1474="Sell",(L1474*G1474)-I1474, X)),IF(C1474="Buy",(L1474*G1474*100)+I1474,IF(C1474="Sell",(L1474*G1474*100)-I1474, X))))</f>
        <v/>
      </c>
      <c r="N1474" s="78">
        <f>IF(ISBLANK(L1474),"",IF(AND(C1474="Sell",D1474="Stock"),M1474,IF(ISBLANK(L1474),"",IF(C1474="Buy",M1474, IF(AND(C1474="Sell",J1474="NA"),(E1474*G1474*100*0.1)+I1474, IF(C1474="Sell",(J1474-L1474)*(100*G1474)+I1474))))))</f>
        <v/>
      </c>
      <c r="O1474" s="75" t="n"/>
      <c r="P1474" s="75" t="n"/>
      <c r="Q1474" s="75">
        <f>IF(ISBLANK(P1474),"",IF(D1474="Stock",P1474*G1474,IF(P1474=0,"0",G1474*P1474*100-(G1474*$AF$14))))</f>
        <v/>
      </c>
      <c r="R1474" s="79">
        <f>IF(P1474&lt;&gt;"", TODAY(), "")</f>
        <v/>
      </c>
      <c r="S1474" s="78">
        <f>IF(AND(K1474&lt;&gt;"", R1474&lt;&gt;""), R1474-K1474, "")</f>
        <v/>
      </c>
      <c r="T1474" s="78" t="n"/>
      <c r="U1474" s="92">
        <f>IF(ISBLANK(P1474),"",IF(C1474="Buy",Q1474-M1474+T1474, IF(C1474="Sell",M1474-Q1474-T1474, X)))</f>
        <v/>
      </c>
      <c r="V1474" s="81">
        <f>IF(ISBLANK(P1474),"",U1474/N1474)</f>
        <v/>
      </c>
      <c r="W1474" s="81">
        <f>IF(ISBLANK(P1474),"",IF(S1474=0,(365/0.5)*V1474,(365/S1474)*V1474))</f>
        <v/>
      </c>
      <c r="X1474" s="75" t="n"/>
      <c r="Y1474" s="77" t="n"/>
      <c r="Z1474" s="77" t="n"/>
      <c r="AA1474" s="75" t="n"/>
      <c r="AB1474" s="75" t="n"/>
      <c r="AC1474" s="6" t="n"/>
      <c r="AD1474" s="75" t="n"/>
      <c r="AE1474" s="75" t="n"/>
      <c r="AF1474" s="75" t="n"/>
    </row>
    <row r="1475" ht="15.75" customHeight="1" s="133">
      <c r="A1475" s="75" t="n"/>
      <c r="B1475" s="75" t="n"/>
      <c r="C1475" s="75" t="n"/>
      <c r="D1475" s="75" t="n"/>
      <c r="E1475" s="76" t="n"/>
      <c r="F1475" s="77" t="n"/>
      <c r="G1475" s="75" t="n"/>
      <c r="H1475" s="75">
        <f>IF(ISBLANK(E1475),"",IF(OR(D1475="Butterfly",D1475="Butterfly ",D1475="Iron Fly", D1475="Iron Fly "),LEN(E1475)-LEN(SUBSTITUTE(E1475,"/",""))+2,LEN(E1475)-LEN(SUBSTITUTE(E1475,"/",""))+1))</f>
        <v/>
      </c>
      <c r="I1475" s="78">
        <f>IF(ISBLANK(G1475),"",IF(D1475="Stock","0",Key!$A$3*H1475*G1475))</f>
        <v/>
      </c>
      <c r="J1475" s="78">
        <f>IF(ISBLANK(E1475),"",IF(ISNUMBER(SEARCH("/",E1475)), IF(LEN(E1475)-LEN(SUBSTITUTE(E1475,"/",""))=1,(RIGHT(E1475,LEN(E1475)-FIND("/",E1475)))-(LEFT(E1475,FIND("/",E1475)-1)),(MID(E1475, SEARCH("/",E1475) + 1, SEARCH("/",E1475, SEARCH("/",E1475)+1) - SEARCH("/",E1475) - 1))-(LEFT(E1475,FIND("/",E1475)-1))), "NA"))</f>
        <v/>
      </c>
      <c r="K1475" s="79">
        <f>IF(A1475&lt;&gt;"", IF(ISBLANK(L1475), TODAY(), K1475), "")</f>
        <v/>
      </c>
      <c r="L1475" s="78" t="n"/>
      <c r="M1475" s="78">
        <f>IF(ISBLANK(L1475),"",IF(D1475="Stock",IF(C1475="Buy",L1475*G1475,IF(C1475="Sell",(L1475*G1475)-I1475, X)),IF(C1475="Buy",(L1475*G1475*100)+I1475,IF(C1475="Sell",(L1475*G1475*100)-I1475, X))))</f>
        <v/>
      </c>
      <c r="N1475" s="78">
        <f>IF(ISBLANK(L1475),"",IF(AND(C1475="Sell",D1475="Stock"),M1475,IF(ISBLANK(L1475),"",IF(C1475="Buy",M1475, IF(AND(C1475="Sell",J1475="NA"),(E1475*G1475*100*0.1)+I1475, IF(C1475="Sell",(J1475-L1475)*(100*G1475)+I1475))))))</f>
        <v/>
      </c>
      <c r="O1475" s="75" t="n"/>
      <c r="P1475" s="75" t="n"/>
      <c r="Q1475" s="75">
        <f>IF(ISBLANK(P1475),"",IF(D1475="Stock",P1475*G1475,IF(P1475=0,"0",G1475*P1475*100-(G1475*$AF$14))))</f>
        <v/>
      </c>
      <c r="R1475" s="79">
        <f>IF(P1475&lt;&gt;"", TODAY(), "")</f>
        <v/>
      </c>
      <c r="S1475" s="78">
        <f>IF(AND(K1475&lt;&gt;"", R1475&lt;&gt;""), R1475-K1475, "")</f>
        <v/>
      </c>
      <c r="T1475" s="78" t="n"/>
      <c r="U1475" s="92">
        <f>IF(ISBLANK(P1475),"",IF(C1475="Buy",Q1475-M1475+T1475, IF(C1475="Sell",M1475-Q1475-T1475, X)))</f>
        <v/>
      </c>
      <c r="V1475" s="81">
        <f>IF(ISBLANK(P1475),"",U1475/N1475)</f>
        <v/>
      </c>
      <c r="W1475" s="81">
        <f>IF(ISBLANK(P1475),"",IF(S1475=0,(365/0.5)*V1475,(365/S1475)*V1475))</f>
        <v/>
      </c>
      <c r="X1475" s="75" t="n"/>
      <c r="Y1475" s="77" t="n"/>
      <c r="Z1475" s="77" t="n"/>
      <c r="AA1475" s="75" t="n"/>
      <c r="AB1475" s="75" t="n"/>
      <c r="AC1475" s="6" t="n"/>
      <c r="AD1475" s="75" t="n"/>
      <c r="AE1475" s="75" t="n"/>
      <c r="AF1475" s="75" t="n"/>
    </row>
    <row r="1476" ht="15.75" customHeight="1" s="133">
      <c r="A1476" s="75" t="n"/>
      <c r="B1476" s="75" t="n"/>
      <c r="C1476" s="75" t="n"/>
      <c r="D1476" s="75" t="n"/>
      <c r="E1476" s="76" t="n"/>
      <c r="F1476" s="77" t="n"/>
      <c r="G1476" s="75" t="n"/>
      <c r="H1476" s="75">
        <f>IF(ISBLANK(E1476),"",IF(OR(D1476="Butterfly",D1476="Butterfly ",D1476="Iron Fly", D1476="Iron Fly "),LEN(E1476)-LEN(SUBSTITUTE(E1476,"/",""))+2,LEN(E1476)-LEN(SUBSTITUTE(E1476,"/",""))+1))</f>
        <v/>
      </c>
      <c r="I1476" s="78">
        <f>IF(ISBLANK(G1476),"",IF(D1476="Stock","0",Key!$A$3*H1476*G1476))</f>
        <v/>
      </c>
      <c r="J1476" s="78">
        <f>IF(ISBLANK(E1476),"",IF(ISNUMBER(SEARCH("/",E1476)), IF(LEN(E1476)-LEN(SUBSTITUTE(E1476,"/",""))=1,(RIGHT(E1476,LEN(E1476)-FIND("/",E1476)))-(LEFT(E1476,FIND("/",E1476)-1)),(MID(E1476, SEARCH("/",E1476) + 1, SEARCH("/",E1476, SEARCH("/",E1476)+1) - SEARCH("/",E1476) - 1))-(LEFT(E1476,FIND("/",E1476)-1))), "NA"))</f>
        <v/>
      </c>
      <c r="K1476" s="79">
        <f>IF(A1476&lt;&gt;"", IF(ISBLANK(L1476), TODAY(), K1476), "")</f>
        <v/>
      </c>
      <c r="L1476" s="78" t="n"/>
      <c r="M1476" s="78">
        <f>IF(ISBLANK(L1476),"",IF(D1476="Stock",IF(C1476="Buy",L1476*G1476,IF(C1476="Sell",(L1476*G1476)-I1476, X)),IF(C1476="Buy",(L1476*G1476*100)+I1476,IF(C1476="Sell",(L1476*G1476*100)-I1476, X))))</f>
        <v/>
      </c>
      <c r="N1476" s="78">
        <f>IF(ISBLANK(L1476),"",IF(AND(C1476="Sell",D1476="Stock"),M1476,IF(ISBLANK(L1476),"",IF(C1476="Buy",M1476, IF(AND(C1476="Sell",J1476="NA"),(E1476*G1476*100*0.1)+I1476, IF(C1476="Sell",(J1476-L1476)*(100*G1476)+I1476))))))</f>
        <v/>
      </c>
      <c r="O1476" s="75" t="n"/>
      <c r="P1476" s="75" t="n"/>
      <c r="Q1476" s="75">
        <f>IF(ISBLANK(P1476),"",IF(D1476="Stock",P1476*G1476,IF(P1476=0,"0",G1476*P1476*100-(G1476*$AF$14))))</f>
        <v/>
      </c>
      <c r="R1476" s="79">
        <f>IF(P1476&lt;&gt;"", TODAY(), "")</f>
        <v/>
      </c>
      <c r="S1476" s="78">
        <f>IF(AND(K1476&lt;&gt;"", R1476&lt;&gt;""), R1476-K1476, "")</f>
        <v/>
      </c>
      <c r="T1476" s="78" t="n"/>
      <c r="U1476" s="92">
        <f>IF(ISBLANK(P1476),"",IF(C1476="Buy",Q1476-M1476+T1476, IF(C1476="Sell",M1476-Q1476-T1476, X)))</f>
        <v/>
      </c>
      <c r="V1476" s="81">
        <f>IF(ISBLANK(P1476),"",U1476/N1476)</f>
        <v/>
      </c>
      <c r="W1476" s="81">
        <f>IF(ISBLANK(P1476),"",IF(S1476=0,(365/0.5)*V1476,(365/S1476)*V1476))</f>
        <v/>
      </c>
      <c r="X1476" s="75" t="n"/>
      <c r="Y1476" s="77" t="n"/>
      <c r="Z1476" s="77" t="n"/>
      <c r="AA1476" s="75" t="n"/>
      <c r="AB1476" s="75" t="n"/>
      <c r="AC1476" s="6" t="n"/>
      <c r="AD1476" s="75" t="n"/>
      <c r="AE1476" s="75" t="n"/>
      <c r="AF1476" s="75" t="n"/>
    </row>
    <row r="1477" ht="15.75" customHeight="1" s="133">
      <c r="A1477" s="75" t="n"/>
      <c r="B1477" s="75" t="n"/>
      <c r="C1477" s="75" t="n"/>
      <c r="D1477" s="75" t="n"/>
      <c r="E1477" s="76" t="n"/>
      <c r="F1477" s="77" t="n"/>
      <c r="G1477" s="75" t="n"/>
      <c r="H1477" s="75">
        <f>IF(ISBLANK(E1477),"",IF(OR(D1477="Butterfly",D1477="Butterfly ",D1477="Iron Fly", D1477="Iron Fly "),LEN(E1477)-LEN(SUBSTITUTE(E1477,"/",""))+2,LEN(E1477)-LEN(SUBSTITUTE(E1477,"/",""))+1))</f>
        <v/>
      </c>
      <c r="I1477" s="78">
        <f>IF(ISBLANK(G1477),"",IF(D1477="Stock","0",Key!$A$3*H1477*G1477))</f>
        <v/>
      </c>
      <c r="J1477" s="78">
        <f>IF(ISBLANK(E1477),"",IF(ISNUMBER(SEARCH("/",E1477)), IF(LEN(E1477)-LEN(SUBSTITUTE(E1477,"/",""))=1,(RIGHT(E1477,LEN(E1477)-FIND("/",E1477)))-(LEFT(E1477,FIND("/",E1477)-1)),(MID(E1477, SEARCH("/",E1477) + 1, SEARCH("/",E1477, SEARCH("/",E1477)+1) - SEARCH("/",E1477) - 1))-(LEFT(E1477,FIND("/",E1477)-1))), "NA"))</f>
        <v/>
      </c>
      <c r="K1477" s="79">
        <f>IF(A1477&lt;&gt;"", IF(ISBLANK(L1477), TODAY(), K1477), "")</f>
        <v/>
      </c>
      <c r="L1477" s="78" t="n"/>
      <c r="M1477" s="78">
        <f>IF(ISBLANK(L1477),"",IF(D1477="Stock",IF(C1477="Buy",L1477*G1477,IF(C1477="Sell",(L1477*G1477)-I1477, X)),IF(C1477="Buy",(L1477*G1477*100)+I1477,IF(C1477="Sell",(L1477*G1477*100)-I1477, X))))</f>
        <v/>
      </c>
      <c r="N1477" s="78">
        <f>IF(ISBLANK(L1477),"",IF(AND(C1477="Sell",D1477="Stock"),M1477,IF(ISBLANK(L1477),"",IF(C1477="Buy",M1477, IF(AND(C1477="Sell",J1477="NA"),(E1477*G1477*100*0.1)+I1477, IF(C1477="Sell",(J1477-L1477)*(100*G1477)+I1477))))))</f>
        <v/>
      </c>
      <c r="O1477" s="75" t="n"/>
      <c r="P1477" s="75" t="n"/>
      <c r="Q1477" s="75">
        <f>IF(ISBLANK(P1477),"",IF(D1477="Stock",P1477*G1477,IF(P1477=0,"0",G1477*P1477*100-(G1477*$AF$14))))</f>
        <v/>
      </c>
      <c r="R1477" s="79">
        <f>IF(P1477&lt;&gt;"", TODAY(), "")</f>
        <v/>
      </c>
      <c r="S1477" s="78">
        <f>IF(AND(K1477&lt;&gt;"", R1477&lt;&gt;""), R1477-K1477, "")</f>
        <v/>
      </c>
      <c r="T1477" s="78" t="n"/>
      <c r="U1477" s="92">
        <f>IF(ISBLANK(P1477),"",IF(C1477="Buy",Q1477-M1477+T1477, IF(C1477="Sell",M1477-Q1477-T1477, X)))</f>
        <v/>
      </c>
      <c r="V1477" s="81">
        <f>IF(ISBLANK(P1477),"",U1477/N1477)</f>
        <v/>
      </c>
      <c r="W1477" s="81">
        <f>IF(ISBLANK(P1477),"",IF(S1477=0,(365/0.5)*V1477,(365/S1477)*V1477))</f>
        <v/>
      </c>
      <c r="X1477" s="75" t="n"/>
      <c r="Y1477" s="77" t="n"/>
      <c r="Z1477" s="77" t="n"/>
      <c r="AA1477" s="75" t="n"/>
      <c r="AB1477" s="75" t="n"/>
      <c r="AC1477" s="6" t="n"/>
      <c r="AD1477" s="75" t="n"/>
      <c r="AE1477" s="75" t="n"/>
      <c r="AF1477" s="75" t="n"/>
    </row>
    <row r="1478" ht="15.75" customHeight="1" s="133">
      <c r="A1478" s="75" t="n"/>
      <c r="B1478" s="75" t="n"/>
      <c r="C1478" s="75" t="n"/>
      <c r="D1478" s="75" t="n"/>
      <c r="E1478" s="76" t="n"/>
      <c r="F1478" s="77" t="n"/>
      <c r="G1478" s="75" t="n"/>
      <c r="H1478" s="75">
        <f>IF(ISBLANK(E1478),"",IF(OR(D1478="Butterfly",D1478="Butterfly ",D1478="Iron Fly", D1478="Iron Fly "),LEN(E1478)-LEN(SUBSTITUTE(E1478,"/",""))+2,LEN(E1478)-LEN(SUBSTITUTE(E1478,"/",""))+1))</f>
        <v/>
      </c>
      <c r="I1478" s="78">
        <f>IF(ISBLANK(G1478),"",IF(D1478="Stock","0",Key!$A$3*H1478*G1478))</f>
        <v/>
      </c>
      <c r="J1478" s="78">
        <f>IF(ISBLANK(E1478),"",IF(ISNUMBER(SEARCH("/",E1478)), IF(LEN(E1478)-LEN(SUBSTITUTE(E1478,"/",""))=1,(RIGHT(E1478,LEN(E1478)-FIND("/",E1478)))-(LEFT(E1478,FIND("/",E1478)-1)),(MID(E1478, SEARCH("/",E1478) + 1, SEARCH("/",E1478, SEARCH("/",E1478)+1) - SEARCH("/",E1478) - 1))-(LEFT(E1478,FIND("/",E1478)-1))), "NA"))</f>
        <v/>
      </c>
      <c r="K1478" s="79">
        <f>IF(A1478&lt;&gt;"", IF(ISBLANK(L1478), TODAY(), K1478), "")</f>
        <v/>
      </c>
      <c r="L1478" s="78" t="n"/>
      <c r="M1478" s="78">
        <f>IF(ISBLANK(L1478),"",IF(D1478="Stock",IF(C1478="Buy",L1478*G1478,IF(C1478="Sell",(L1478*G1478)-I1478, X)),IF(C1478="Buy",(L1478*G1478*100)+I1478,IF(C1478="Sell",(L1478*G1478*100)-I1478, X))))</f>
        <v/>
      </c>
      <c r="N1478" s="78">
        <f>IF(ISBLANK(L1478),"",IF(AND(C1478="Sell",D1478="Stock"),M1478,IF(ISBLANK(L1478),"",IF(C1478="Buy",M1478, IF(AND(C1478="Sell",J1478="NA"),(E1478*G1478*100*0.1)+I1478, IF(C1478="Sell",(J1478-L1478)*(100*G1478)+I1478))))))</f>
        <v/>
      </c>
      <c r="O1478" s="75" t="n"/>
      <c r="P1478" s="75" t="n"/>
      <c r="Q1478" s="75">
        <f>IF(ISBLANK(P1478),"",IF(D1478="Stock",P1478*G1478,IF(P1478=0,"0",G1478*P1478*100-(G1478*$AF$14))))</f>
        <v/>
      </c>
      <c r="R1478" s="79">
        <f>IF(P1478&lt;&gt;"", TODAY(), "")</f>
        <v/>
      </c>
      <c r="S1478" s="78">
        <f>IF(AND(K1478&lt;&gt;"", R1478&lt;&gt;""), R1478-K1478, "")</f>
        <v/>
      </c>
      <c r="T1478" s="78" t="n"/>
      <c r="U1478" s="92">
        <f>IF(ISBLANK(P1478),"",IF(C1478="Buy",Q1478-M1478+T1478, IF(C1478="Sell",M1478-Q1478-T1478, X)))</f>
        <v/>
      </c>
      <c r="V1478" s="81">
        <f>IF(ISBLANK(P1478),"",U1478/N1478)</f>
        <v/>
      </c>
      <c r="W1478" s="81">
        <f>IF(ISBLANK(P1478),"",IF(S1478=0,(365/0.5)*V1478,(365/S1478)*V1478))</f>
        <v/>
      </c>
      <c r="X1478" s="75" t="n"/>
      <c r="Y1478" s="77" t="n"/>
      <c r="Z1478" s="77" t="n"/>
      <c r="AA1478" s="75" t="n"/>
      <c r="AB1478" s="75" t="n"/>
      <c r="AC1478" s="6" t="n"/>
      <c r="AD1478" s="75" t="n"/>
      <c r="AE1478" s="75" t="n"/>
      <c r="AF1478" s="75" t="n"/>
    </row>
    <row r="1479" ht="15.75" customHeight="1" s="133">
      <c r="A1479" s="75" t="n"/>
      <c r="B1479" s="75" t="n"/>
      <c r="C1479" s="75" t="n"/>
      <c r="D1479" s="75" t="n"/>
      <c r="E1479" s="76" t="n"/>
      <c r="F1479" s="77" t="n"/>
      <c r="G1479" s="75" t="n"/>
      <c r="H1479" s="75">
        <f>IF(ISBLANK(E1479),"",IF(OR(D1479="Butterfly",D1479="Butterfly ",D1479="Iron Fly", D1479="Iron Fly "),LEN(E1479)-LEN(SUBSTITUTE(E1479,"/",""))+2,LEN(E1479)-LEN(SUBSTITUTE(E1479,"/",""))+1))</f>
        <v/>
      </c>
      <c r="I1479" s="78">
        <f>IF(ISBLANK(G1479),"",IF(D1479="Stock","0",Key!$A$3*H1479*G1479))</f>
        <v/>
      </c>
      <c r="J1479" s="78">
        <f>IF(ISBLANK(E1479),"",IF(ISNUMBER(SEARCH("/",E1479)), IF(LEN(E1479)-LEN(SUBSTITUTE(E1479,"/",""))=1,(RIGHT(E1479,LEN(E1479)-FIND("/",E1479)))-(LEFT(E1479,FIND("/",E1479)-1)),(MID(E1479, SEARCH("/",E1479) + 1, SEARCH("/",E1479, SEARCH("/",E1479)+1) - SEARCH("/",E1479) - 1))-(LEFT(E1479,FIND("/",E1479)-1))), "NA"))</f>
        <v/>
      </c>
      <c r="K1479" s="79">
        <f>IF(A1479&lt;&gt;"", IF(ISBLANK(L1479), TODAY(), K1479), "")</f>
        <v/>
      </c>
      <c r="L1479" s="78" t="n"/>
      <c r="M1479" s="78">
        <f>IF(ISBLANK(L1479),"",IF(D1479="Stock",IF(C1479="Buy",L1479*G1479,IF(C1479="Sell",(L1479*G1479)-I1479, X)),IF(C1479="Buy",(L1479*G1479*100)+I1479,IF(C1479="Sell",(L1479*G1479*100)-I1479, X))))</f>
        <v/>
      </c>
      <c r="N1479" s="78">
        <f>IF(ISBLANK(L1479),"",IF(AND(C1479="Sell",D1479="Stock"),M1479,IF(ISBLANK(L1479),"",IF(C1479="Buy",M1479, IF(AND(C1479="Sell",J1479="NA"),(E1479*G1479*100*0.1)+I1479, IF(C1479="Sell",(J1479-L1479)*(100*G1479)+I1479))))))</f>
        <v/>
      </c>
      <c r="O1479" s="75" t="n"/>
      <c r="P1479" s="75" t="n"/>
      <c r="Q1479" s="75">
        <f>IF(ISBLANK(P1479),"",IF(D1479="Stock",P1479*G1479,IF(P1479=0,"0",G1479*P1479*100-(G1479*$AF$14))))</f>
        <v/>
      </c>
      <c r="R1479" s="79">
        <f>IF(P1479&lt;&gt;"", TODAY(), "")</f>
        <v/>
      </c>
      <c r="S1479" s="78">
        <f>IF(AND(K1479&lt;&gt;"", R1479&lt;&gt;""), R1479-K1479, "")</f>
        <v/>
      </c>
      <c r="T1479" s="78" t="n"/>
      <c r="U1479" s="92">
        <f>IF(ISBLANK(P1479),"",IF(C1479="Buy",Q1479-M1479+T1479, IF(C1479="Sell",M1479-Q1479-T1479, X)))</f>
        <v/>
      </c>
      <c r="V1479" s="81">
        <f>IF(ISBLANK(P1479),"",U1479/N1479)</f>
        <v/>
      </c>
      <c r="W1479" s="81">
        <f>IF(ISBLANK(P1479),"",IF(S1479=0,(365/0.5)*V1479,(365/S1479)*V1479))</f>
        <v/>
      </c>
      <c r="X1479" s="75" t="n"/>
      <c r="Y1479" s="77" t="n"/>
      <c r="Z1479" s="77" t="n"/>
      <c r="AA1479" s="75" t="n"/>
      <c r="AB1479" s="75" t="n"/>
      <c r="AC1479" s="6" t="n"/>
      <c r="AD1479" s="75" t="n"/>
      <c r="AE1479" s="75" t="n"/>
      <c r="AF1479" s="75" t="n"/>
    </row>
    <row r="1480" ht="15.75" customHeight="1" s="133">
      <c r="A1480" s="75" t="n"/>
      <c r="B1480" s="75" t="n"/>
      <c r="C1480" s="75" t="n"/>
      <c r="D1480" s="75" t="n"/>
      <c r="E1480" s="76" t="n"/>
      <c r="F1480" s="77" t="n"/>
      <c r="G1480" s="75" t="n"/>
      <c r="H1480" s="75">
        <f>IF(ISBLANK(E1480),"",IF(OR(D1480="Butterfly",D1480="Butterfly ",D1480="Iron Fly", D1480="Iron Fly "),LEN(E1480)-LEN(SUBSTITUTE(E1480,"/",""))+2,LEN(E1480)-LEN(SUBSTITUTE(E1480,"/",""))+1))</f>
        <v/>
      </c>
      <c r="I1480" s="78">
        <f>IF(ISBLANK(G1480),"",IF(D1480="Stock","0",Key!$A$3*H1480*G1480))</f>
        <v/>
      </c>
      <c r="J1480" s="78">
        <f>IF(ISBLANK(E1480),"",IF(ISNUMBER(SEARCH("/",E1480)), IF(LEN(E1480)-LEN(SUBSTITUTE(E1480,"/",""))=1,(RIGHT(E1480,LEN(E1480)-FIND("/",E1480)))-(LEFT(E1480,FIND("/",E1480)-1)),(MID(E1480, SEARCH("/",E1480) + 1, SEARCH("/",E1480, SEARCH("/",E1480)+1) - SEARCH("/",E1480) - 1))-(LEFT(E1480,FIND("/",E1480)-1))), "NA"))</f>
        <v/>
      </c>
      <c r="K1480" s="79">
        <f>IF(A1480&lt;&gt;"", IF(ISBLANK(L1480), TODAY(), K1480), "")</f>
        <v/>
      </c>
      <c r="L1480" s="78" t="n"/>
      <c r="M1480" s="78">
        <f>IF(ISBLANK(L1480),"",IF(D1480="Stock",IF(C1480="Buy",L1480*G1480,IF(C1480="Sell",(L1480*G1480)-I1480, X)),IF(C1480="Buy",(L1480*G1480*100)+I1480,IF(C1480="Sell",(L1480*G1480*100)-I1480, X))))</f>
        <v/>
      </c>
      <c r="N1480" s="78">
        <f>IF(ISBLANK(L1480),"",IF(AND(C1480="Sell",D1480="Stock"),M1480,IF(ISBLANK(L1480),"",IF(C1480="Buy",M1480, IF(AND(C1480="Sell",J1480="NA"),(E1480*G1480*100*0.1)+I1480, IF(C1480="Sell",(J1480-L1480)*(100*G1480)+I1480))))))</f>
        <v/>
      </c>
      <c r="O1480" s="75" t="n"/>
      <c r="P1480" s="75" t="n"/>
      <c r="Q1480" s="75">
        <f>IF(ISBLANK(P1480),"",IF(D1480="Stock",P1480*G1480,IF(P1480=0,"0",G1480*P1480*100-(G1480*$AF$14))))</f>
        <v/>
      </c>
      <c r="R1480" s="79">
        <f>IF(P1480&lt;&gt;"", TODAY(), "")</f>
        <v/>
      </c>
      <c r="S1480" s="78">
        <f>IF(AND(K1480&lt;&gt;"", R1480&lt;&gt;""), R1480-K1480, "")</f>
        <v/>
      </c>
      <c r="T1480" s="78" t="n"/>
      <c r="U1480" s="92">
        <f>IF(ISBLANK(P1480),"",IF(C1480="Buy",Q1480-M1480+T1480, IF(C1480="Sell",M1480-Q1480-T1480, X)))</f>
        <v/>
      </c>
      <c r="V1480" s="81">
        <f>IF(ISBLANK(P1480),"",U1480/N1480)</f>
        <v/>
      </c>
      <c r="W1480" s="81">
        <f>IF(ISBLANK(P1480),"",IF(S1480=0,(365/0.5)*V1480,(365/S1480)*V1480))</f>
        <v/>
      </c>
      <c r="X1480" s="75" t="n"/>
      <c r="Y1480" s="77" t="n"/>
      <c r="Z1480" s="77" t="n"/>
      <c r="AA1480" s="75" t="n"/>
      <c r="AB1480" s="75" t="n"/>
      <c r="AC1480" s="6" t="n"/>
      <c r="AD1480" s="75" t="n"/>
      <c r="AE1480" s="75" t="n"/>
      <c r="AF1480" s="75" t="n"/>
    </row>
    <row r="1481" ht="15.75" customHeight="1" s="133">
      <c r="A1481" s="75" t="n"/>
      <c r="B1481" s="75" t="n"/>
      <c r="C1481" s="75" t="n"/>
      <c r="D1481" s="75" t="n"/>
      <c r="E1481" s="76" t="n"/>
      <c r="F1481" s="77" t="n"/>
      <c r="G1481" s="75" t="n"/>
      <c r="H1481" s="75">
        <f>IF(ISBLANK(E1481),"",IF(OR(D1481="Butterfly",D1481="Butterfly ",D1481="Iron Fly", D1481="Iron Fly "),LEN(E1481)-LEN(SUBSTITUTE(E1481,"/",""))+2,LEN(E1481)-LEN(SUBSTITUTE(E1481,"/",""))+1))</f>
        <v/>
      </c>
      <c r="I1481" s="78">
        <f>IF(ISBLANK(G1481),"",IF(D1481="Stock","0",Key!$A$3*H1481*G1481))</f>
        <v/>
      </c>
      <c r="J1481" s="78">
        <f>IF(ISBLANK(E1481),"",IF(ISNUMBER(SEARCH("/",E1481)), IF(LEN(E1481)-LEN(SUBSTITUTE(E1481,"/",""))=1,(RIGHT(E1481,LEN(E1481)-FIND("/",E1481)))-(LEFT(E1481,FIND("/",E1481)-1)),(MID(E1481, SEARCH("/",E1481) + 1, SEARCH("/",E1481, SEARCH("/",E1481)+1) - SEARCH("/",E1481) - 1))-(LEFT(E1481,FIND("/",E1481)-1))), "NA"))</f>
        <v/>
      </c>
      <c r="K1481" s="79">
        <f>IF(A1481&lt;&gt;"", IF(ISBLANK(L1481), TODAY(), K1481), "")</f>
        <v/>
      </c>
      <c r="L1481" s="78" t="n"/>
      <c r="M1481" s="78">
        <f>IF(ISBLANK(L1481),"",IF(D1481="Stock",IF(C1481="Buy",L1481*G1481,IF(C1481="Sell",(L1481*G1481)-I1481, X)),IF(C1481="Buy",(L1481*G1481*100)+I1481,IF(C1481="Sell",(L1481*G1481*100)-I1481, X))))</f>
        <v/>
      </c>
      <c r="N1481" s="78">
        <f>IF(ISBLANK(L1481),"",IF(AND(C1481="Sell",D1481="Stock"),M1481,IF(ISBLANK(L1481),"",IF(C1481="Buy",M1481, IF(AND(C1481="Sell",J1481="NA"),(E1481*G1481*100*0.1)+I1481, IF(C1481="Sell",(J1481-L1481)*(100*G1481)+I1481))))))</f>
        <v/>
      </c>
      <c r="O1481" s="75" t="n"/>
      <c r="P1481" s="75" t="n"/>
      <c r="Q1481" s="75">
        <f>IF(ISBLANK(P1481),"",IF(D1481="Stock",P1481*G1481,IF(P1481=0,"0",G1481*P1481*100-(G1481*$AF$14))))</f>
        <v/>
      </c>
      <c r="R1481" s="79">
        <f>IF(P1481&lt;&gt;"", TODAY(), "")</f>
        <v/>
      </c>
      <c r="S1481" s="78">
        <f>IF(AND(K1481&lt;&gt;"", R1481&lt;&gt;""), R1481-K1481, "")</f>
        <v/>
      </c>
      <c r="T1481" s="78" t="n"/>
      <c r="U1481" s="92">
        <f>IF(ISBLANK(P1481),"",IF(C1481="Buy",Q1481-M1481+T1481, IF(C1481="Sell",M1481-Q1481-T1481, X)))</f>
        <v/>
      </c>
      <c r="V1481" s="81">
        <f>IF(ISBLANK(P1481),"",U1481/N1481)</f>
        <v/>
      </c>
      <c r="W1481" s="81">
        <f>IF(ISBLANK(P1481),"",IF(S1481=0,(365/0.5)*V1481,(365/S1481)*V1481))</f>
        <v/>
      </c>
      <c r="X1481" s="75" t="n"/>
      <c r="Y1481" s="77" t="n"/>
      <c r="Z1481" s="77" t="n"/>
      <c r="AA1481" s="75" t="n"/>
      <c r="AB1481" s="75" t="n"/>
      <c r="AC1481" s="6" t="n"/>
      <c r="AD1481" s="75" t="n"/>
      <c r="AE1481" s="75" t="n"/>
      <c r="AF1481" s="75" t="n"/>
    </row>
    <row r="1482" ht="15.75" customHeight="1" s="133">
      <c r="A1482" s="75" t="n"/>
      <c r="B1482" s="75" t="n"/>
      <c r="C1482" s="75" t="n"/>
      <c r="D1482" s="75" t="n"/>
      <c r="E1482" s="76" t="n"/>
      <c r="F1482" s="77" t="n"/>
      <c r="G1482" s="75" t="n"/>
      <c r="H1482" s="75">
        <f>IF(ISBLANK(E1482),"",IF(OR(D1482="Butterfly",D1482="Butterfly ",D1482="Iron Fly", D1482="Iron Fly "),LEN(E1482)-LEN(SUBSTITUTE(E1482,"/",""))+2,LEN(E1482)-LEN(SUBSTITUTE(E1482,"/",""))+1))</f>
        <v/>
      </c>
      <c r="I1482" s="78">
        <f>IF(ISBLANK(G1482),"",IF(D1482="Stock","0",Key!$A$3*H1482*G1482))</f>
        <v/>
      </c>
      <c r="J1482" s="78">
        <f>IF(ISBLANK(E1482),"",IF(ISNUMBER(SEARCH("/",E1482)), IF(LEN(E1482)-LEN(SUBSTITUTE(E1482,"/",""))=1,(RIGHT(E1482,LEN(E1482)-FIND("/",E1482)))-(LEFT(E1482,FIND("/",E1482)-1)),(MID(E1482, SEARCH("/",E1482) + 1, SEARCH("/",E1482, SEARCH("/",E1482)+1) - SEARCH("/",E1482) - 1))-(LEFT(E1482,FIND("/",E1482)-1))), "NA"))</f>
        <v/>
      </c>
      <c r="K1482" s="79">
        <f>IF(A1482&lt;&gt;"", IF(ISBLANK(L1482), TODAY(), K1482), "")</f>
        <v/>
      </c>
      <c r="L1482" s="78" t="n"/>
      <c r="M1482" s="78">
        <f>IF(ISBLANK(L1482),"",IF(D1482="Stock",IF(C1482="Buy",L1482*G1482,IF(C1482="Sell",(L1482*G1482)-I1482, X)),IF(C1482="Buy",(L1482*G1482*100)+I1482,IF(C1482="Sell",(L1482*G1482*100)-I1482, X))))</f>
        <v/>
      </c>
      <c r="N1482" s="78">
        <f>IF(ISBLANK(L1482),"",IF(AND(C1482="Sell",D1482="Stock"),M1482,IF(ISBLANK(L1482),"",IF(C1482="Buy",M1482, IF(AND(C1482="Sell",J1482="NA"),(E1482*G1482*100*0.1)+I1482, IF(C1482="Sell",(J1482-L1482)*(100*G1482)+I1482))))))</f>
        <v/>
      </c>
      <c r="O1482" s="75" t="n"/>
      <c r="P1482" s="75" t="n"/>
      <c r="Q1482" s="75">
        <f>IF(ISBLANK(P1482),"",IF(D1482="Stock",P1482*G1482,IF(P1482=0,"0",G1482*P1482*100-(G1482*$AF$14))))</f>
        <v/>
      </c>
      <c r="R1482" s="79">
        <f>IF(P1482&lt;&gt;"", TODAY(), "")</f>
        <v/>
      </c>
      <c r="S1482" s="78">
        <f>IF(AND(K1482&lt;&gt;"", R1482&lt;&gt;""), R1482-K1482, "")</f>
        <v/>
      </c>
      <c r="T1482" s="78" t="n"/>
      <c r="U1482" s="92">
        <f>IF(ISBLANK(P1482),"",IF(C1482="Buy",Q1482-M1482+T1482, IF(C1482="Sell",M1482-Q1482-T1482, X)))</f>
        <v/>
      </c>
      <c r="V1482" s="81">
        <f>IF(ISBLANK(P1482),"",U1482/N1482)</f>
        <v/>
      </c>
      <c r="W1482" s="81">
        <f>IF(ISBLANK(P1482),"",IF(S1482=0,(365/0.5)*V1482,(365/S1482)*V1482))</f>
        <v/>
      </c>
      <c r="X1482" s="75" t="n"/>
      <c r="Y1482" s="77" t="n"/>
      <c r="Z1482" s="77" t="n"/>
      <c r="AA1482" s="75" t="n"/>
      <c r="AB1482" s="75" t="n"/>
      <c r="AC1482" s="6" t="n"/>
      <c r="AD1482" s="75" t="n"/>
      <c r="AE1482" s="75" t="n"/>
      <c r="AF1482" s="75" t="n"/>
    </row>
    <row r="1483" ht="15.75" customHeight="1" s="133">
      <c r="A1483" s="75" t="n"/>
      <c r="B1483" s="75" t="n"/>
      <c r="C1483" s="75" t="n"/>
      <c r="D1483" s="75" t="n"/>
      <c r="E1483" s="76" t="n"/>
      <c r="F1483" s="77" t="n"/>
      <c r="G1483" s="75" t="n"/>
      <c r="H1483" s="75">
        <f>IF(ISBLANK(E1483),"",IF(OR(D1483="Butterfly",D1483="Butterfly ",D1483="Iron Fly", D1483="Iron Fly "),LEN(E1483)-LEN(SUBSTITUTE(E1483,"/",""))+2,LEN(E1483)-LEN(SUBSTITUTE(E1483,"/",""))+1))</f>
        <v/>
      </c>
      <c r="I1483" s="78">
        <f>IF(ISBLANK(G1483),"",IF(D1483="Stock","0",Key!$A$3*H1483*G1483))</f>
        <v/>
      </c>
      <c r="J1483" s="78">
        <f>IF(ISBLANK(E1483),"",IF(ISNUMBER(SEARCH("/",E1483)), IF(LEN(E1483)-LEN(SUBSTITUTE(E1483,"/",""))=1,(RIGHT(E1483,LEN(E1483)-FIND("/",E1483)))-(LEFT(E1483,FIND("/",E1483)-1)),(MID(E1483, SEARCH("/",E1483) + 1, SEARCH("/",E1483, SEARCH("/",E1483)+1) - SEARCH("/",E1483) - 1))-(LEFT(E1483,FIND("/",E1483)-1))), "NA"))</f>
        <v/>
      </c>
      <c r="K1483" s="79">
        <f>IF(A1483&lt;&gt;"", IF(ISBLANK(L1483), TODAY(), K1483), "")</f>
        <v/>
      </c>
      <c r="L1483" s="78" t="n"/>
      <c r="M1483" s="78">
        <f>IF(ISBLANK(L1483),"",IF(D1483="Stock",IF(C1483="Buy",L1483*G1483,IF(C1483="Sell",(L1483*G1483)-I1483, X)),IF(C1483="Buy",(L1483*G1483*100)+I1483,IF(C1483="Sell",(L1483*G1483*100)-I1483, X))))</f>
        <v/>
      </c>
      <c r="N1483" s="78">
        <f>IF(ISBLANK(L1483),"",IF(AND(C1483="Sell",D1483="Stock"),M1483,IF(ISBLANK(L1483),"",IF(C1483="Buy",M1483, IF(AND(C1483="Sell",J1483="NA"),(E1483*G1483*100*0.1)+I1483, IF(C1483="Sell",(J1483-L1483)*(100*G1483)+I1483))))))</f>
        <v/>
      </c>
      <c r="O1483" s="75" t="n"/>
      <c r="P1483" s="75" t="n"/>
      <c r="Q1483" s="75">
        <f>IF(ISBLANK(P1483),"",IF(D1483="Stock",P1483*G1483,IF(P1483=0,"0",G1483*P1483*100-(G1483*$AF$14))))</f>
        <v/>
      </c>
      <c r="R1483" s="79">
        <f>IF(P1483&lt;&gt;"", TODAY(), "")</f>
        <v/>
      </c>
      <c r="S1483" s="78">
        <f>IF(AND(K1483&lt;&gt;"", R1483&lt;&gt;""), R1483-K1483, "")</f>
        <v/>
      </c>
      <c r="T1483" s="78" t="n"/>
      <c r="U1483" s="92">
        <f>IF(ISBLANK(P1483),"",IF(C1483="Buy",Q1483-M1483+T1483, IF(C1483="Sell",M1483-Q1483-T1483, X)))</f>
        <v/>
      </c>
      <c r="V1483" s="81">
        <f>IF(ISBLANK(P1483),"",U1483/N1483)</f>
        <v/>
      </c>
      <c r="W1483" s="81">
        <f>IF(ISBLANK(P1483),"",IF(S1483=0,(365/0.5)*V1483,(365/S1483)*V1483))</f>
        <v/>
      </c>
      <c r="X1483" s="75" t="n"/>
      <c r="Y1483" s="77" t="n"/>
      <c r="Z1483" s="77" t="n"/>
      <c r="AA1483" s="75" t="n"/>
      <c r="AB1483" s="75" t="n"/>
      <c r="AC1483" s="6" t="n"/>
      <c r="AD1483" s="75" t="n"/>
      <c r="AE1483" s="75" t="n"/>
      <c r="AF1483" s="75" t="n"/>
    </row>
    <row r="1484" ht="15.75" customHeight="1" s="133">
      <c r="A1484" s="75" t="n"/>
      <c r="B1484" s="75" t="n"/>
      <c r="C1484" s="75" t="n"/>
      <c r="D1484" s="75" t="n"/>
      <c r="E1484" s="76" t="n"/>
      <c r="F1484" s="77" t="n"/>
      <c r="G1484" s="75" t="n"/>
      <c r="H1484" s="75">
        <f>IF(ISBLANK(E1484),"",IF(OR(D1484="Butterfly",D1484="Butterfly ",D1484="Iron Fly", D1484="Iron Fly "),LEN(E1484)-LEN(SUBSTITUTE(E1484,"/",""))+2,LEN(E1484)-LEN(SUBSTITUTE(E1484,"/",""))+1))</f>
        <v/>
      </c>
      <c r="I1484" s="78">
        <f>IF(ISBLANK(G1484),"",IF(D1484="Stock","0",Key!$A$3*H1484*G1484))</f>
        <v/>
      </c>
      <c r="J1484" s="78">
        <f>IF(ISBLANK(E1484),"",IF(ISNUMBER(SEARCH("/",E1484)), IF(LEN(E1484)-LEN(SUBSTITUTE(E1484,"/",""))=1,(RIGHT(E1484,LEN(E1484)-FIND("/",E1484)))-(LEFT(E1484,FIND("/",E1484)-1)),(MID(E1484, SEARCH("/",E1484) + 1, SEARCH("/",E1484, SEARCH("/",E1484)+1) - SEARCH("/",E1484) - 1))-(LEFT(E1484,FIND("/",E1484)-1))), "NA"))</f>
        <v/>
      </c>
      <c r="K1484" s="79">
        <f>IF(A1484&lt;&gt;"", IF(ISBLANK(L1484), TODAY(), K1484), "")</f>
        <v/>
      </c>
      <c r="L1484" s="78" t="n"/>
      <c r="M1484" s="78">
        <f>IF(ISBLANK(L1484),"",IF(D1484="Stock",IF(C1484="Buy",L1484*G1484,IF(C1484="Sell",(L1484*G1484)-I1484, X)),IF(C1484="Buy",(L1484*G1484*100)+I1484,IF(C1484="Sell",(L1484*G1484*100)-I1484, X))))</f>
        <v/>
      </c>
      <c r="N1484" s="78">
        <f>IF(ISBLANK(L1484),"",IF(AND(C1484="Sell",D1484="Stock"),M1484,IF(ISBLANK(L1484),"",IF(C1484="Buy",M1484, IF(AND(C1484="Sell",J1484="NA"),(E1484*G1484*100*0.1)+I1484, IF(C1484="Sell",(J1484-L1484)*(100*G1484)+I1484))))))</f>
        <v/>
      </c>
      <c r="O1484" s="75" t="n"/>
      <c r="P1484" s="75" t="n"/>
      <c r="Q1484" s="75">
        <f>IF(ISBLANK(P1484),"",IF(D1484="Stock",P1484*G1484,IF(P1484=0,"0",G1484*P1484*100-(G1484*$AF$14))))</f>
        <v/>
      </c>
      <c r="R1484" s="79">
        <f>IF(P1484&lt;&gt;"", TODAY(), "")</f>
        <v/>
      </c>
      <c r="S1484" s="78">
        <f>IF(AND(K1484&lt;&gt;"", R1484&lt;&gt;""), R1484-K1484, "")</f>
        <v/>
      </c>
      <c r="T1484" s="78" t="n"/>
      <c r="U1484" s="92">
        <f>IF(ISBLANK(P1484),"",IF(C1484="Buy",Q1484-M1484+T1484, IF(C1484="Sell",M1484-Q1484-T1484, X)))</f>
        <v/>
      </c>
      <c r="V1484" s="81">
        <f>IF(ISBLANK(P1484),"",U1484/N1484)</f>
        <v/>
      </c>
      <c r="W1484" s="81">
        <f>IF(ISBLANK(P1484),"",IF(S1484=0,(365/0.5)*V1484,(365/S1484)*V1484))</f>
        <v/>
      </c>
      <c r="X1484" s="75" t="n"/>
      <c r="Y1484" s="77" t="n"/>
      <c r="Z1484" s="77" t="n"/>
      <c r="AA1484" s="75" t="n"/>
      <c r="AB1484" s="75" t="n"/>
      <c r="AC1484" s="6" t="n"/>
      <c r="AD1484" s="75" t="n"/>
      <c r="AE1484" s="75" t="n"/>
      <c r="AF1484" s="75" t="n"/>
    </row>
    <row r="1485" ht="15.75" customHeight="1" s="133">
      <c r="A1485" s="75" t="n"/>
      <c r="B1485" s="75" t="n"/>
      <c r="C1485" s="75" t="n"/>
      <c r="D1485" s="75" t="n"/>
      <c r="E1485" s="76" t="n"/>
      <c r="F1485" s="77" t="n"/>
      <c r="G1485" s="75" t="n"/>
      <c r="H1485" s="75">
        <f>IF(ISBLANK(E1485),"",IF(OR(D1485="Butterfly",D1485="Butterfly ",D1485="Iron Fly", D1485="Iron Fly "),LEN(E1485)-LEN(SUBSTITUTE(E1485,"/",""))+2,LEN(E1485)-LEN(SUBSTITUTE(E1485,"/",""))+1))</f>
        <v/>
      </c>
      <c r="I1485" s="78">
        <f>IF(ISBLANK(G1485),"",IF(D1485="Stock","0",Key!$A$3*H1485*G1485))</f>
        <v/>
      </c>
      <c r="J1485" s="78">
        <f>IF(ISBLANK(E1485),"",IF(ISNUMBER(SEARCH("/",E1485)), IF(LEN(E1485)-LEN(SUBSTITUTE(E1485,"/",""))=1,(RIGHT(E1485,LEN(E1485)-FIND("/",E1485)))-(LEFT(E1485,FIND("/",E1485)-1)),(MID(E1485, SEARCH("/",E1485) + 1, SEARCH("/",E1485, SEARCH("/",E1485)+1) - SEARCH("/",E1485) - 1))-(LEFT(E1485,FIND("/",E1485)-1))), "NA"))</f>
        <v/>
      </c>
      <c r="K1485" s="79">
        <f>IF(A1485&lt;&gt;"", IF(ISBLANK(L1485), TODAY(), K1485), "")</f>
        <v/>
      </c>
      <c r="L1485" s="78" t="n"/>
      <c r="M1485" s="78">
        <f>IF(ISBLANK(L1485),"",IF(D1485="Stock",IF(C1485="Buy",L1485*G1485,IF(C1485="Sell",(L1485*G1485)-I1485, X)),IF(C1485="Buy",(L1485*G1485*100)+I1485,IF(C1485="Sell",(L1485*G1485*100)-I1485, X))))</f>
        <v/>
      </c>
      <c r="N1485" s="78">
        <f>IF(ISBLANK(L1485),"",IF(AND(C1485="Sell",D1485="Stock"),M1485,IF(ISBLANK(L1485),"",IF(C1485="Buy",M1485, IF(AND(C1485="Sell",J1485="NA"),(E1485*G1485*100*0.1)+I1485, IF(C1485="Sell",(J1485-L1485)*(100*G1485)+I1485))))))</f>
        <v/>
      </c>
      <c r="O1485" s="75" t="n"/>
      <c r="P1485" s="75" t="n"/>
      <c r="Q1485" s="75">
        <f>IF(ISBLANK(P1485),"",IF(D1485="Stock",P1485*G1485,IF(P1485=0,"0",G1485*P1485*100-(G1485*$AF$14))))</f>
        <v/>
      </c>
      <c r="R1485" s="79">
        <f>IF(P1485&lt;&gt;"", TODAY(), "")</f>
        <v/>
      </c>
      <c r="S1485" s="78">
        <f>IF(AND(K1485&lt;&gt;"", R1485&lt;&gt;""), R1485-K1485, "")</f>
        <v/>
      </c>
      <c r="T1485" s="78" t="n"/>
      <c r="U1485" s="92">
        <f>IF(ISBLANK(P1485),"",IF(C1485="Buy",Q1485-M1485+T1485, IF(C1485="Sell",M1485-Q1485-T1485, X)))</f>
        <v/>
      </c>
      <c r="V1485" s="81">
        <f>IF(ISBLANK(P1485),"",U1485/N1485)</f>
        <v/>
      </c>
      <c r="W1485" s="81">
        <f>IF(ISBLANK(P1485),"",IF(S1485=0,(365/0.5)*V1485,(365/S1485)*V1485))</f>
        <v/>
      </c>
      <c r="X1485" s="75" t="n"/>
      <c r="Y1485" s="77" t="n"/>
      <c r="Z1485" s="77" t="n"/>
      <c r="AA1485" s="75" t="n"/>
      <c r="AB1485" s="75" t="n"/>
      <c r="AC1485" s="6" t="n"/>
      <c r="AD1485" s="75" t="n"/>
      <c r="AE1485" s="75" t="n"/>
      <c r="AF1485" s="75" t="n"/>
    </row>
    <row r="1486" ht="15.75" customHeight="1" s="133">
      <c r="A1486" s="75" t="n"/>
      <c r="B1486" s="75" t="n"/>
      <c r="C1486" s="75" t="n"/>
      <c r="D1486" s="75" t="n"/>
      <c r="E1486" s="76" t="n"/>
      <c r="F1486" s="77" t="n"/>
      <c r="G1486" s="75" t="n"/>
      <c r="H1486" s="75">
        <f>IF(ISBLANK(E1486),"",IF(OR(D1486="Butterfly",D1486="Butterfly ",D1486="Iron Fly", D1486="Iron Fly "),LEN(E1486)-LEN(SUBSTITUTE(E1486,"/",""))+2,LEN(E1486)-LEN(SUBSTITUTE(E1486,"/",""))+1))</f>
        <v/>
      </c>
      <c r="I1486" s="78">
        <f>IF(ISBLANK(G1486),"",IF(D1486="Stock","0",Key!$A$3*H1486*G1486))</f>
        <v/>
      </c>
      <c r="J1486" s="78">
        <f>IF(ISBLANK(E1486),"",IF(ISNUMBER(SEARCH("/",E1486)), IF(LEN(E1486)-LEN(SUBSTITUTE(E1486,"/",""))=1,(RIGHT(E1486,LEN(E1486)-FIND("/",E1486)))-(LEFT(E1486,FIND("/",E1486)-1)),(MID(E1486, SEARCH("/",E1486) + 1, SEARCH("/",E1486, SEARCH("/",E1486)+1) - SEARCH("/",E1486) - 1))-(LEFT(E1486,FIND("/",E1486)-1))), "NA"))</f>
        <v/>
      </c>
      <c r="K1486" s="79">
        <f>IF(A1486&lt;&gt;"", IF(ISBLANK(L1486), TODAY(), K1486), "")</f>
        <v/>
      </c>
      <c r="L1486" s="78" t="n"/>
      <c r="M1486" s="78">
        <f>IF(ISBLANK(L1486),"",IF(D1486="Stock",IF(C1486="Buy",L1486*G1486,IF(C1486="Sell",(L1486*G1486)-I1486, X)),IF(C1486="Buy",(L1486*G1486*100)+I1486,IF(C1486="Sell",(L1486*G1486*100)-I1486, X))))</f>
        <v/>
      </c>
      <c r="N1486" s="78">
        <f>IF(ISBLANK(L1486),"",IF(AND(C1486="Sell",D1486="Stock"),M1486,IF(ISBLANK(L1486),"",IF(C1486="Buy",M1486, IF(AND(C1486="Sell",J1486="NA"),(E1486*G1486*100*0.1)+I1486, IF(C1486="Sell",(J1486-L1486)*(100*G1486)+I1486))))))</f>
        <v/>
      </c>
      <c r="O1486" s="75" t="n"/>
      <c r="P1486" s="75" t="n"/>
      <c r="Q1486" s="75">
        <f>IF(ISBLANK(P1486),"",IF(D1486="Stock",P1486*G1486,IF(P1486=0,"0",G1486*P1486*100-(G1486*$AF$14))))</f>
        <v/>
      </c>
      <c r="R1486" s="79">
        <f>IF(P1486&lt;&gt;"", TODAY(), "")</f>
        <v/>
      </c>
      <c r="S1486" s="78">
        <f>IF(AND(K1486&lt;&gt;"", R1486&lt;&gt;""), R1486-K1486, "")</f>
        <v/>
      </c>
      <c r="T1486" s="78" t="n"/>
      <c r="U1486" s="92">
        <f>IF(ISBLANK(P1486),"",IF(C1486="Buy",Q1486-M1486+T1486, IF(C1486="Sell",M1486-Q1486-T1486, X)))</f>
        <v/>
      </c>
      <c r="V1486" s="81">
        <f>IF(ISBLANK(P1486),"",U1486/N1486)</f>
        <v/>
      </c>
      <c r="W1486" s="81">
        <f>IF(ISBLANK(P1486),"",IF(S1486=0,(365/0.5)*V1486,(365/S1486)*V1486))</f>
        <v/>
      </c>
      <c r="X1486" s="75" t="n"/>
      <c r="Y1486" s="77" t="n"/>
      <c r="Z1486" s="77" t="n"/>
      <c r="AA1486" s="75" t="n"/>
      <c r="AB1486" s="75" t="n"/>
      <c r="AC1486" s="6" t="n"/>
      <c r="AD1486" s="75" t="n"/>
      <c r="AE1486" s="75" t="n"/>
      <c r="AF1486" s="75" t="n"/>
    </row>
    <row r="1487" ht="15.75" customHeight="1" s="133">
      <c r="A1487" s="75" t="n"/>
      <c r="B1487" s="75" t="n"/>
      <c r="C1487" s="75" t="n"/>
      <c r="D1487" s="75" t="n"/>
      <c r="E1487" s="76" t="n"/>
      <c r="F1487" s="77" t="n"/>
      <c r="G1487" s="75" t="n"/>
      <c r="H1487" s="75">
        <f>IF(ISBLANK(E1487),"",IF(OR(D1487="Butterfly",D1487="Butterfly ",D1487="Iron Fly", D1487="Iron Fly "),LEN(E1487)-LEN(SUBSTITUTE(E1487,"/",""))+2,LEN(E1487)-LEN(SUBSTITUTE(E1487,"/",""))+1))</f>
        <v/>
      </c>
      <c r="I1487" s="78">
        <f>IF(ISBLANK(G1487),"",IF(D1487="Stock","0",Key!$A$3*H1487*G1487))</f>
        <v/>
      </c>
      <c r="J1487" s="78">
        <f>IF(ISBLANK(E1487),"",IF(ISNUMBER(SEARCH("/",E1487)), IF(LEN(E1487)-LEN(SUBSTITUTE(E1487,"/",""))=1,(RIGHT(E1487,LEN(E1487)-FIND("/",E1487)))-(LEFT(E1487,FIND("/",E1487)-1)),(MID(E1487, SEARCH("/",E1487) + 1, SEARCH("/",E1487, SEARCH("/",E1487)+1) - SEARCH("/",E1487) - 1))-(LEFT(E1487,FIND("/",E1487)-1))), "NA"))</f>
        <v/>
      </c>
      <c r="K1487" s="79">
        <f>IF(A1487&lt;&gt;"", IF(ISBLANK(L1487), TODAY(), K1487), "")</f>
        <v/>
      </c>
      <c r="L1487" s="78" t="n"/>
      <c r="M1487" s="78">
        <f>IF(ISBLANK(L1487),"",IF(D1487="Stock",IF(C1487="Buy",L1487*G1487,IF(C1487="Sell",(L1487*G1487)-I1487, X)),IF(C1487="Buy",(L1487*G1487*100)+I1487,IF(C1487="Sell",(L1487*G1487*100)-I1487, X))))</f>
        <v/>
      </c>
      <c r="N1487" s="78">
        <f>IF(ISBLANK(L1487),"",IF(AND(C1487="Sell",D1487="Stock"),M1487,IF(ISBLANK(L1487),"",IF(C1487="Buy",M1487, IF(AND(C1487="Sell",J1487="NA"),(E1487*G1487*100*0.1)+I1487, IF(C1487="Sell",(J1487-L1487)*(100*G1487)+I1487))))))</f>
        <v/>
      </c>
      <c r="O1487" s="75" t="n"/>
      <c r="P1487" s="75" t="n"/>
      <c r="Q1487" s="75">
        <f>IF(ISBLANK(P1487),"",IF(D1487="Stock",P1487*G1487,IF(P1487=0,"0",G1487*P1487*100-(G1487*$AF$14))))</f>
        <v/>
      </c>
      <c r="R1487" s="79">
        <f>IF(P1487&lt;&gt;"", TODAY(), "")</f>
        <v/>
      </c>
      <c r="S1487" s="78">
        <f>IF(AND(K1487&lt;&gt;"", R1487&lt;&gt;""), R1487-K1487, "")</f>
        <v/>
      </c>
      <c r="T1487" s="78" t="n"/>
      <c r="U1487" s="92">
        <f>IF(ISBLANK(P1487),"",IF(C1487="Buy",Q1487-M1487+T1487, IF(C1487="Sell",M1487-Q1487-T1487, X)))</f>
        <v/>
      </c>
      <c r="V1487" s="81">
        <f>IF(ISBLANK(P1487),"",U1487/N1487)</f>
        <v/>
      </c>
      <c r="W1487" s="81">
        <f>IF(ISBLANK(P1487),"",IF(S1487=0,(365/0.5)*V1487,(365/S1487)*V1487))</f>
        <v/>
      </c>
      <c r="X1487" s="75" t="n"/>
      <c r="Y1487" s="77" t="n"/>
      <c r="Z1487" s="77" t="n"/>
      <c r="AA1487" s="75" t="n"/>
      <c r="AB1487" s="75" t="n"/>
      <c r="AC1487" s="6" t="n"/>
      <c r="AD1487" s="75" t="n"/>
      <c r="AE1487" s="75" t="n"/>
      <c r="AF1487" s="75" t="n"/>
    </row>
    <row r="1488" ht="15.75" customHeight="1" s="133">
      <c r="A1488" s="75" t="n"/>
      <c r="B1488" s="75" t="n"/>
      <c r="C1488" s="75" t="n"/>
      <c r="D1488" s="75" t="n"/>
      <c r="E1488" s="76" t="n"/>
      <c r="F1488" s="77" t="n"/>
      <c r="G1488" s="75" t="n"/>
      <c r="H1488" s="75">
        <f>IF(ISBLANK(E1488),"",IF(OR(D1488="Butterfly",D1488="Butterfly ",D1488="Iron Fly", D1488="Iron Fly "),LEN(E1488)-LEN(SUBSTITUTE(E1488,"/",""))+2,LEN(E1488)-LEN(SUBSTITUTE(E1488,"/",""))+1))</f>
        <v/>
      </c>
      <c r="I1488" s="78">
        <f>IF(ISBLANK(G1488),"",IF(D1488="Stock","0",Key!$A$3*H1488*G1488))</f>
        <v/>
      </c>
      <c r="J1488" s="78">
        <f>IF(ISBLANK(E1488),"",IF(ISNUMBER(SEARCH("/",E1488)), IF(LEN(E1488)-LEN(SUBSTITUTE(E1488,"/",""))=1,(RIGHT(E1488,LEN(E1488)-FIND("/",E1488)))-(LEFT(E1488,FIND("/",E1488)-1)),(MID(E1488, SEARCH("/",E1488) + 1, SEARCH("/",E1488, SEARCH("/",E1488)+1) - SEARCH("/",E1488) - 1))-(LEFT(E1488,FIND("/",E1488)-1))), "NA"))</f>
        <v/>
      </c>
      <c r="K1488" s="79">
        <f>IF(A1488&lt;&gt;"", IF(ISBLANK(L1488), TODAY(), K1488), "")</f>
        <v/>
      </c>
      <c r="L1488" s="78" t="n"/>
      <c r="M1488" s="78">
        <f>IF(ISBLANK(L1488),"",IF(D1488="Stock",IF(C1488="Buy",L1488*G1488,IF(C1488="Sell",(L1488*G1488)-I1488, X)),IF(C1488="Buy",(L1488*G1488*100)+I1488,IF(C1488="Sell",(L1488*G1488*100)-I1488, X))))</f>
        <v/>
      </c>
      <c r="N1488" s="78">
        <f>IF(ISBLANK(L1488),"",IF(AND(C1488="Sell",D1488="Stock"),M1488,IF(ISBLANK(L1488),"",IF(C1488="Buy",M1488, IF(AND(C1488="Sell",J1488="NA"),(E1488*G1488*100*0.1)+I1488, IF(C1488="Sell",(J1488-L1488)*(100*G1488)+I1488))))))</f>
        <v/>
      </c>
      <c r="O1488" s="75" t="n"/>
      <c r="P1488" s="75" t="n"/>
      <c r="Q1488" s="75">
        <f>IF(ISBLANK(P1488),"",IF(D1488="Stock",P1488*G1488,IF(P1488=0,"0",G1488*P1488*100-(G1488*$AF$14))))</f>
        <v/>
      </c>
      <c r="R1488" s="79">
        <f>IF(P1488&lt;&gt;"", TODAY(), "")</f>
        <v/>
      </c>
      <c r="S1488" s="78">
        <f>IF(AND(K1488&lt;&gt;"", R1488&lt;&gt;""), R1488-K1488, "")</f>
        <v/>
      </c>
      <c r="T1488" s="78" t="n"/>
      <c r="U1488" s="92">
        <f>IF(ISBLANK(P1488),"",IF(C1488="Buy",Q1488-M1488+T1488, IF(C1488="Sell",M1488-Q1488-T1488, X)))</f>
        <v/>
      </c>
      <c r="V1488" s="81">
        <f>IF(ISBLANK(P1488),"",U1488/N1488)</f>
        <v/>
      </c>
      <c r="W1488" s="81">
        <f>IF(ISBLANK(P1488),"",IF(S1488=0,(365/0.5)*V1488,(365/S1488)*V1488))</f>
        <v/>
      </c>
      <c r="X1488" s="75" t="n"/>
      <c r="Y1488" s="77" t="n"/>
      <c r="Z1488" s="77" t="n"/>
      <c r="AA1488" s="75" t="n"/>
      <c r="AB1488" s="75" t="n"/>
      <c r="AC1488" s="6" t="n"/>
      <c r="AD1488" s="75" t="n"/>
      <c r="AE1488" s="75" t="n"/>
      <c r="AF1488" s="75" t="n"/>
    </row>
    <row r="1489" ht="15.75" customHeight="1" s="133">
      <c r="A1489" s="75" t="n"/>
      <c r="B1489" s="75" t="n"/>
      <c r="C1489" s="75" t="n"/>
      <c r="D1489" s="75" t="n"/>
      <c r="E1489" s="76" t="n"/>
      <c r="F1489" s="77" t="n"/>
      <c r="G1489" s="75" t="n"/>
      <c r="H1489" s="75">
        <f>IF(ISBLANK(E1489),"",IF(OR(D1489="Butterfly",D1489="Butterfly ",D1489="Iron Fly", D1489="Iron Fly "),LEN(E1489)-LEN(SUBSTITUTE(E1489,"/",""))+2,LEN(E1489)-LEN(SUBSTITUTE(E1489,"/",""))+1))</f>
        <v/>
      </c>
      <c r="I1489" s="78">
        <f>IF(ISBLANK(G1489),"",IF(D1489="Stock","0",Key!$A$3*H1489*G1489))</f>
        <v/>
      </c>
      <c r="J1489" s="78">
        <f>IF(ISBLANK(E1489),"",IF(ISNUMBER(SEARCH("/",E1489)), IF(LEN(E1489)-LEN(SUBSTITUTE(E1489,"/",""))=1,(RIGHT(E1489,LEN(E1489)-FIND("/",E1489)))-(LEFT(E1489,FIND("/",E1489)-1)),(MID(E1489, SEARCH("/",E1489) + 1, SEARCH("/",E1489, SEARCH("/",E1489)+1) - SEARCH("/",E1489) - 1))-(LEFT(E1489,FIND("/",E1489)-1))), "NA"))</f>
        <v/>
      </c>
      <c r="K1489" s="79">
        <f>IF(A1489&lt;&gt;"", IF(ISBLANK(L1489), TODAY(), K1489), "")</f>
        <v/>
      </c>
      <c r="L1489" s="78" t="n"/>
      <c r="M1489" s="78">
        <f>IF(ISBLANK(L1489),"",IF(D1489="Stock",IF(C1489="Buy",L1489*G1489,IF(C1489="Sell",(L1489*G1489)-I1489, X)),IF(C1489="Buy",(L1489*G1489*100)+I1489,IF(C1489="Sell",(L1489*G1489*100)-I1489, X))))</f>
        <v/>
      </c>
      <c r="N1489" s="78">
        <f>IF(ISBLANK(L1489),"",IF(AND(C1489="Sell",D1489="Stock"),M1489,IF(ISBLANK(L1489),"",IF(C1489="Buy",M1489, IF(AND(C1489="Sell",J1489="NA"),(E1489*G1489*100*0.1)+I1489, IF(C1489="Sell",(J1489-L1489)*(100*G1489)+I1489))))))</f>
        <v/>
      </c>
      <c r="O1489" s="75" t="n"/>
      <c r="P1489" s="75" t="n"/>
      <c r="Q1489" s="75">
        <f>IF(ISBLANK(P1489),"",IF(D1489="Stock",P1489*G1489,IF(P1489=0,"0",G1489*P1489*100-(G1489*$AF$14))))</f>
        <v/>
      </c>
      <c r="R1489" s="79">
        <f>IF(P1489&lt;&gt;"", TODAY(), "")</f>
        <v/>
      </c>
      <c r="S1489" s="78">
        <f>IF(AND(K1489&lt;&gt;"", R1489&lt;&gt;""), R1489-K1489, "")</f>
        <v/>
      </c>
      <c r="T1489" s="78" t="n"/>
      <c r="U1489" s="92">
        <f>IF(ISBLANK(P1489),"",IF(C1489="Buy",Q1489-M1489+T1489, IF(C1489="Sell",M1489-Q1489-T1489, X)))</f>
        <v/>
      </c>
      <c r="V1489" s="81">
        <f>IF(ISBLANK(P1489),"",U1489/N1489)</f>
        <v/>
      </c>
      <c r="W1489" s="81">
        <f>IF(ISBLANK(P1489),"",IF(S1489=0,(365/0.5)*V1489,(365/S1489)*V1489))</f>
        <v/>
      </c>
      <c r="X1489" s="75" t="n"/>
      <c r="Y1489" s="77" t="n"/>
      <c r="Z1489" s="77" t="n"/>
      <c r="AA1489" s="75" t="n"/>
      <c r="AB1489" s="75" t="n"/>
      <c r="AC1489" s="6" t="n"/>
      <c r="AD1489" s="75" t="n"/>
      <c r="AE1489" s="75" t="n"/>
      <c r="AF1489" s="75" t="n"/>
    </row>
    <row r="1490" ht="15.75" customHeight="1" s="133">
      <c r="A1490" s="75" t="n"/>
      <c r="B1490" s="75" t="n"/>
      <c r="C1490" s="75" t="n"/>
      <c r="D1490" s="75" t="n"/>
      <c r="E1490" s="76" t="n"/>
      <c r="F1490" s="77" t="n"/>
      <c r="G1490" s="75" t="n"/>
      <c r="H1490" s="75">
        <f>IF(ISBLANK(E1490),"",IF(OR(D1490="Butterfly",D1490="Butterfly ",D1490="Iron Fly", D1490="Iron Fly "),LEN(E1490)-LEN(SUBSTITUTE(E1490,"/",""))+2,LEN(E1490)-LEN(SUBSTITUTE(E1490,"/",""))+1))</f>
        <v/>
      </c>
      <c r="I1490" s="78">
        <f>IF(ISBLANK(G1490),"",IF(D1490="Stock","0",Key!$A$3*H1490*G1490))</f>
        <v/>
      </c>
      <c r="J1490" s="78">
        <f>IF(ISBLANK(E1490),"",IF(ISNUMBER(SEARCH("/",E1490)), IF(LEN(E1490)-LEN(SUBSTITUTE(E1490,"/",""))=1,(RIGHT(E1490,LEN(E1490)-FIND("/",E1490)))-(LEFT(E1490,FIND("/",E1490)-1)),(MID(E1490, SEARCH("/",E1490) + 1, SEARCH("/",E1490, SEARCH("/",E1490)+1) - SEARCH("/",E1490) - 1))-(LEFT(E1490,FIND("/",E1490)-1))), "NA"))</f>
        <v/>
      </c>
      <c r="K1490" s="79">
        <f>IF(A1490&lt;&gt;"", IF(ISBLANK(L1490), TODAY(), K1490), "")</f>
        <v/>
      </c>
      <c r="L1490" s="78" t="n"/>
      <c r="M1490" s="78">
        <f>IF(ISBLANK(L1490),"",IF(D1490="Stock",IF(C1490="Buy",L1490*G1490,IF(C1490="Sell",(L1490*G1490)-I1490, X)),IF(C1490="Buy",(L1490*G1490*100)+I1490,IF(C1490="Sell",(L1490*G1490*100)-I1490, X))))</f>
        <v/>
      </c>
      <c r="N1490" s="78">
        <f>IF(ISBLANK(L1490),"",IF(AND(C1490="Sell",D1490="Stock"),M1490,IF(ISBLANK(L1490),"",IF(C1490="Buy",M1490, IF(AND(C1490="Sell",J1490="NA"),(E1490*G1490*100*0.1)+I1490, IF(C1490="Sell",(J1490-L1490)*(100*G1490)+I1490))))))</f>
        <v/>
      </c>
      <c r="O1490" s="75" t="n"/>
      <c r="P1490" s="75" t="n"/>
      <c r="Q1490" s="75">
        <f>IF(ISBLANK(P1490),"",IF(D1490="Stock",P1490*G1490,IF(P1490=0,"0",G1490*P1490*100-(G1490*$AF$14))))</f>
        <v/>
      </c>
      <c r="R1490" s="79">
        <f>IF(P1490&lt;&gt;"", TODAY(), "")</f>
        <v/>
      </c>
      <c r="S1490" s="78">
        <f>IF(AND(K1490&lt;&gt;"", R1490&lt;&gt;""), R1490-K1490, "")</f>
        <v/>
      </c>
      <c r="T1490" s="78" t="n"/>
      <c r="U1490" s="92">
        <f>IF(ISBLANK(P1490),"",IF(C1490="Buy",Q1490-M1490+T1490, IF(C1490="Sell",M1490-Q1490-T1490, X)))</f>
        <v/>
      </c>
      <c r="V1490" s="81">
        <f>IF(ISBLANK(P1490),"",U1490/N1490)</f>
        <v/>
      </c>
      <c r="W1490" s="81">
        <f>IF(ISBLANK(P1490),"",IF(S1490=0,(365/0.5)*V1490,(365/S1490)*V1490))</f>
        <v/>
      </c>
      <c r="X1490" s="75" t="n"/>
      <c r="Y1490" s="77" t="n"/>
      <c r="Z1490" s="77" t="n"/>
      <c r="AA1490" s="75" t="n"/>
      <c r="AB1490" s="75" t="n"/>
      <c r="AC1490" s="6" t="n"/>
      <c r="AD1490" s="75" t="n"/>
      <c r="AE1490" s="75" t="n"/>
      <c r="AF1490" s="75" t="n"/>
    </row>
    <row r="1491" ht="15.75" customHeight="1" s="133">
      <c r="A1491" s="75" t="n"/>
      <c r="B1491" s="75" t="n"/>
      <c r="C1491" s="75" t="n"/>
      <c r="D1491" s="75" t="n"/>
      <c r="E1491" s="76" t="n"/>
      <c r="F1491" s="77" t="n"/>
      <c r="G1491" s="75" t="n"/>
      <c r="H1491" s="75">
        <f>IF(ISBLANK(E1491),"",IF(OR(D1491="Butterfly",D1491="Butterfly ",D1491="Iron Fly", D1491="Iron Fly "),LEN(E1491)-LEN(SUBSTITUTE(E1491,"/",""))+2,LEN(E1491)-LEN(SUBSTITUTE(E1491,"/",""))+1))</f>
        <v/>
      </c>
      <c r="I1491" s="78">
        <f>IF(ISBLANK(G1491),"",IF(D1491="Stock","0",Key!$A$3*H1491*G1491))</f>
        <v/>
      </c>
      <c r="J1491" s="78">
        <f>IF(ISBLANK(E1491),"",IF(ISNUMBER(SEARCH("/",E1491)), IF(LEN(E1491)-LEN(SUBSTITUTE(E1491,"/",""))=1,(RIGHT(E1491,LEN(E1491)-FIND("/",E1491)))-(LEFT(E1491,FIND("/",E1491)-1)),(MID(E1491, SEARCH("/",E1491) + 1, SEARCH("/",E1491, SEARCH("/",E1491)+1) - SEARCH("/",E1491) - 1))-(LEFT(E1491,FIND("/",E1491)-1))), "NA"))</f>
        <v/>
      </c>
      <c r="K1491" s="79">
        <f>IF(A1491&lt;&gt;"", IF(ISBLANK(L1491), TODAY(), K1491), "")</f>
        <v/>
      </c>
      <c r="L1491" s="78" t="n"/>
      <c r="M1491" s="78">
        <f>IF(ISBLANK(L1491),"",IF(D1491="Stock",IF(C1491="Buy",L1491*G1491,IF(C1491="Sell",(L1491*G1491)-I1491, X)),IF(C1491="Buy",(L1491*G1491*100)+I1491,IF(C1491="Sell",(L1491*G1491*100)-I1491, X))))</f>
        <v/>
      </c>
      <c r="N1491" s="78">
        <f>IF(ISBLANK(L1491),"",IF(AND(C1491="Sell",D1491="Stock"),M1491,IF(ISBLANK(L1491),"",IF(C1491="Buy",M1491, IF(AND(C1491="Sell",J1491="NA"),(E1491*G1491*100*0.1)+I1491, IF(C1491="Sell",(J1491-L1491)*(100*G1491)+I1491))))))</f>
        <v/>
      </c>
      <c r="O1491" s="75" t="n"/>
      <c r="P1491" s="75" t="n"/>
      <c r="Q1491" s="75">
        <f>IF(ISBLANK(P1491),"",IF(D1491="Stock",P1491*G1491,IF(P1491=0,"0",G1491*P1491*100-(G1491*$AF$14))))</f>
        <v/>
      </c>
      <c r="R1491" s="79">
        <f>IF(P1491&lt;&gt;"", TODAY(), "")</f>
        <v/>
      </c>
      <c r="S1491" s="78">
        <f>IF(AND(K1491&lt;&gt;"", R1491&lt;&gt;""), R1491-K1491, "")</f>
        <v/>
      </c>
      <c r="T1491" s="78" t="n"/>
      <c r="U1491" s="92">
        <f>IF(ISBLANK(P1491),"",IF(C1491="Buy",Q1491-M1491+T1491, IF(C1491="Sell",M1491-Q1491-T1491, X)))</f>
        <v/>
      </c>
      <c r="V1491" s="81">
        <f>IF(ISBLANK(P1491),"",U1491/N1491)</f>
        <v/>
      </c>
      <c r="W1491" s="81">
        <f>IF(ISBLANK(P1491),"",IF(S1491=0,(365/0.5)*V1491,(365/S1491)*V1491))</f>
        <v/>
      </c>
      <c r="X1491" s="75" t="n"/>
      <c r="Y1491" s="77" t="n"/>
      <c r="Z1491" s="77" t="n"/>
      <c r="AA1491" s="75" t="n"/>
      <c r="AB1491" s="75" t="n"/>
      <c r="AC1491" s="6" t="n"/>
      <c r="AD1491" s="75" t="n"/>
      <c r="AE1491" s="75" t="n"/>
      <c r="AF1491" s="75" t="n"/>
    </row>
    <row r="1492" ht="15.75" customHeight="1" s="133">
      <c r="A1492" s="75" t="n"/>
      <c r="B1492" s="75" t="n"/>
      <c r="C1492" s="75" t="n"/>
      <c r="D1492" s="75" t="n"/>
      <c r="E1492" s="76" t="n"/>
      <c r="F1492" s="77" t="n"/>
      <c r="G1492" s="75" t="n"/>
      <c r="H1492" s="75">
        <f>IF(ISBLANK(E1492),"",IF(OR(D1492="Butterfly",D1492="Butterfly ",D1492="Iron Fly", D1492="Iron Fly "),LEN(E1492)-LEN(SUBSTITUTE(E1492,"/",""))+2,LEN(E1492)-LEN(SUBSTITUTE(E1492,"/",""))+1))</f>
        <v/>
      </c>
      <c r="I1492" s="78">
        <f>IF(ISBLANK(G1492),"",IF(D1492="Stock","0",Key!$A$3*H1492*G1492))</f>
        <v/>
      </c>
      <c r="J1492" s="78">
        <f>IF(ISBLANK(E1492),"",IF(ISNUMBER(SEARCH("/",E1492)), IF(LEN(E1492)-LEN(SUBSTITUTE(E1492,"/",""))=1,(RIGHT(E1492,LEN(E1492)-FIND("/",E1492)))-(LEFT(E1492,FIND("/",E1492)-1)),(MID(E1492, SEARCH("/",E1492) + 1, SEARCH("/",E1492, SEARCH("/",E1492)+1) - SEARCH("/",E1492) - 1))-(LEFT(E1492,FIND("/",E1492)-1))), "NA"))</f>
        <v/>
      </c>
      <c r="K1492" s="79">
        <f>IF(A1492&lt;&gt;"", IF(ISBLANK(L1492), TODAY(), K1492), "")</f>
        <v/>
      </c>
      <c r="L1492" s="78" t="n"/>
      <c r="M1492" s="78">
        <f>IF(ISBLANK(L1492),"",IF(D1492="Stock",IF(C1492="Buy",L1492*G1492,IF(C1492="Sell",(L1492*G1492)-I1492, X)),IF(C1492="Buy",(L1492*G1492*100)+I1492,IF(C1492="Sell",(L1492*G1492*100)-I1492, X))))</f>
        <v/>
      </c>
      <c r="N1492" s="78">
        <f>IF(ISBLANK(L1492),"",IF(AND(C1492="Sell",D1492="Stock"),M1492,IF(ISBLANK(L1492),"",IF(C1492="Buy",M1492, IF(AND(C1492="Sell",J1492="NA"),(E1492*G1492*100*0.1)+I1492, IF(C1492="Sell",(J1492-L1492)*(100*G1492)+I1492))))))</f>
        <v/>
      </c>
      <c r="O1492" s="75" t="n"/>
      <c r="P1492" s="75" t="n"/>
      <c r="Q1492" s="75">
        <f>IF(ISBLANK(P1492),"",IF(D1492="Stock",P1492*G1492,IF(P1492=0,"0",G1492*P1492*100-(G1492*$AF$14))))</f>
        <v/>
      </c>
      <c r="R1492" s="79">
        <f>IF(P1492&lt;&gt;"", TODAY(), "")</f>
        <v/>
      </c>
      <c r="S1492" s="78">
        <f>IF(AND(K1492&lt;&gt;"", R1492&lt;&gt;""), R1492-K1492, "")</f>
        <v/>
      </c>
      <c r="T1492" s="78" t="n"/>
      <c r="U1492" s="92">
        <f>IF(ISBLANK(P1492),"",IF(C1492="Buy",Q1492-M1492+T1492, IF(C1492="Sell",M1492-Q1492-T1492, X)))</f>
        <v/>
      </c>
      <c r="V1492" s="81">
        <f>IF(ISBLANK(P1492),"",U1492/N1492)</f>
        <v/>
      </c>
      <c r="W1492" s="81">
        <f>IF(ISBLANK(P1492),"",IF(S1492=0,(365/0.5)*V1492,(365/S1492)*V1492))</f>
        <v/>
      </c>
      <c r="X1492" s="75" t="n"/>
      <c r="Y1492" s="77" t="n"/>
      <c r="Z1492" s="77" t="n"/>
      <c r="AA1492" s="75" t="n"/>
      <c r="AB1492" s="75" t="n"/>
      <c r="AC1492" s="6" t="n"/>
      <c r="AD1492" s="75" t="n"/>
      <c r="AE1492" s="75" t="n"/>
      <c r="AF1492" s="75" t="n"/>
    </row>
    <row r="1493" ht="15.75" customHeight="1" s="133">
      <c r="A1493" s="75" t="n"/>
      <c r="B1493" s="75" t="n"/>
      <c r="C1493" s="75" t="n"/>
      <c r="D1493" s="75" t="n"/>
      <c r="E1493" s="76" t="n"/>
      <c r="F1493" s="77" t="n"/>
      <c r="G1493" s="75" t="n"/>
      <c r="H1493" s="75">
        <f>IF(ISBLANK(E1493),"",IF(OR(D1493="Butterfly",D1493="Butterfly ",D1493="Iron Fly", D1493="Iron Fly "),LEN(E1493)-LEN(SUBSTITUTE(E1493,"/",""))+2,LEN(E1493)-LEN(SUBSTITUTE(E1493,"/",""))+1))</f>
        <v/>
      </c>
      <c r="I1493" s="78">
        <f>IF(ISBLANK(G1493),"",IF(D1493="Stock","0",Key!$A$3*H1493*G1493))</f>
        <v/>
      </c>
      <c r="J1493" s="78">
        <f>IF(ISBLANK(E1493),"",IF(ISNUMBER(SEARCH("/",E1493)), IF(LEN(E1493)-LEN(SUBSTITUTE(E1493,"/",""))=1,(RIGHT(E1493,LEN(E1493)-FIND("/",E1493)))-(LEFT(E1493,FIND("/",E1493)-1)),(MID(E1493, SEARCH("/",E1493) + 1, SEARCH("/",E1493, SEARCH("/",E1493)+1) - SEARCH("/",E1493) - 1))-(LEFT(E1493,FIND("/",E1493)-1))), "NA"))</f>
        <v/>
      </c>
      <c r="K1493" s="79">
        <f>IF(A1493&lt;&gt;"", IF(ISBLANK(L1493), TODAY(), K1493), "")</f>
        <v/>
      </c>
      <c r="L1493" s="78" t="n"/>
      <c r="M1493" s="78">
        <f>IF(ISBLANK(L1493),"",IF(D1493="Stock",IF(C1493="Buy",L1493*G1493,IF(C1493="Sell",(L1493*G1493)-I1493, X)),IF(C1493="Buy",(L1493*G1493*100)+I1493,IF(C1493="Sell",(L1493*G1493*100)-I1493, X))))</f>
        <v/>
      </c>
      <c r="N1493" s="78">
        <f>IF(ISBLANK(L1493),"",IF(AND(C1493="Sell",D1493="Stock"),M1493,IF(ISBLANK(L1493),"",IF(C1493="Buy",M1493, IF(AND(C1493="Sell",J1493="NA"),(E1493*G1493*100*0.1)+I1493, IF(C1493="Sell",(J1493-L1493)*(100*G1493)+I1493))))))</f>
        <v/>
      </c>
      <c r="O1493" s="75" t="n"/>
      <c r="P1493" s="75" t="n"/>
      <c r="Q1493" s="75">
        <f>IF(ISBLANK(P1493),"",IF(D1493="Stock",P1493*G1493,IF(P1493=0,"0",G1493*P1493*100-(G1493*$AF$14))))</f>
        <v/>
      </c>
      <c r="R1493" s="79">
        <f>IF(P1493&lt;&gt;"", TODAY(), "")</f>
        <v/>
      </c>
      <c r="S1493" s="78">
        <f>IF(AND(K1493&lt;&gt;"", R1493&lt;&gt;""), R1493-K1493, "")</f>
        <v/>
      </c>
      <c r="T1493" s="78" t="n"/>
      <c r="U1493" s="92">
        <f>IF(ISBLANK(P1493),"",IF(C1493="Buy",Q1493-M1493+T1493, IF(C1493="Sell",M1493-Q1493-T1493, X)))</f>
        <v/>
      </c>
      <c r="V1493" s="81">
        <f>IF(ISBLANK(P1493),"",U1493/N1493)</f>
        <v/>
      </c>
      <c r="W1493" s="81">
        <f>IF(ISBLANK(P1493),"",IF(S1493=0,(365/0.5)*V1493,(365/S1493)*V1493))</f>
        <v/>
      </c>
      <c r="X1493" s="75" t="n"/>
      <c r="Y1493" s="77" t="n"/>
      <c r="Z1493" s="77" t="n"/>
      <c r="AA1493" s="75" t="n"/>
      <c r="AB1493" s="75" t="n"/>
      <c r="AC1493" s="6" t="n"/>
      <c r="AD1493" s="75" t="n"/>
      <c r="AE1493" s="75" t="n"/>
      <c r="AF1493" s="75" t="n"/>
    </row>
    <row r="1494" ht="15.75" customHeight="1" s="133">
      <c r="A1494" s="75" t="n"/>
      <c r="B1494" s="75" t="n"/>
      <c r="C1494" s="75" t="n"/>
      <c r="D1494" s="75" t="n"/>
      <c r="E1494" s="76" t="n"/>
      <c r="F1494" s="77" t="n"/>
      <c r="G1494" s="75" t="n"/>
      <c r="H1494" s="75">
        <f>IF(ISBLANK(E1494),"",IF(OR(D1494="Butterfly",D1494="Butterfly ",D1494="Iron Fly", D1494="Iron Fly "),LEN(E1494)-LEN(SUBSTITUTE(E1494,"/",""))+2,LEN(E1494)-LEN(SUBSTITUTE(E1494,"/",""))+1))</f>
        <v/>
      </c>
      <c r="I1494" s="78">
        <f>IF(ISBLANK(G1494),"",IF(D1494="Stock","0",Key!$A$3*H1494*G1494))</f>
        <v/>
      </c>
      <c r="J1494" s="78">
        <f>IF(ISBLANK(E1494),"",IF(ISNUMBER(SEARCH("/",E1494)), IF(LEN(E1494)-LEN(SUBSTITUTE(E1494,"/",""))=1,(RIGHT(E1494,LEN(E1494)-FIND("/",E1494)))-(LEFT(E1494,FIND("/",E1494)-1)),(MID(E1494, SEARCH("/",E1494) + 1, SEARCH("/",E1494, SEARCH("/",E1494)+1) - SEARCH("/",E1494) - 1))-(LEFT(E1494,FIND("/",E1494)-1))), "NA"))</f>
        <v/>
      </c>
      <c r="K1494" s="79">
        <f>IF(A1494&lt;&gt;"", IF(ISBLANK(L1494), TODAY(), K1494), "")</f>
        <v/>
      </c>
      <c r="L1494" s="78" t="n"/>
      <c r="M1494" s="78">
        <f>IF(ISBLANK(L1494),"",IF(D1494="Stock",IF(C1494="Buy",L1494*G1494,IF(C1494="Sell",(L1494*G1494)-I1494, X)),IF(C1494="Buy",(L1494*G1494*100)+I1494,IF(C1494="Sell",(L1494*G1494*100)-I1494, X))))</f>
        <v/>
      </c>
      <c r="N1494" s="78">
        <f>IF(ISBLANK(L1494),"",IF(AND(C1494="Sell",D1494="Stock"),M1494,IF(ISBLANK(L1494),"",IF(C1494="Buy",M1494, IF(AND(C1494="Sell",J1494="NA"),(E1494*G1494*100*0.1)+I1494, IF(C1494="Sell",(J1494-L1494)*(100*G1494)+I1494))))))</f>
        <v/>
      </c>
      <c r="O1494" s="75" t="n"/>
      <c r="P1494" s="75" t="n"/>
      <c r="Q1494" s="75">
        <f>IF(ISBLANK(P1494),"",IF(D1494="Stock",P1494*G1494,IF(P1494=0,"0",G1494*P1494*100-(G1494*$AF$14))))</f>
        <v/>
      </c>
      <c r="R1494" s="79">
        <f>IF(P1494&lt;&gt;"", TODAY(), "")</f>
        <v/>
      </c>
      <c r="S1494" s="78">
        <f>IF(AND(K1494&lt;&gt;"", R1494&lt;&gt;""), R1494-K1494, "")</f>
        <v/>
      </c>
      <c r="T1494" s="78" t="n"/>
      <c r="U1494" s="92">
        <f>IF(ISBLANK(P1494),"",IF(C1494="Buy",Q1494-M1494+T1494, IF(C1494="Sell",M1494-Q1494-T1494, X)))</f>
        <v/>
      </c>
      <c r="V1494" s="81">
        <f>IF(ISBLANK(P1494),"",U1494/N1494)</f>
        <v/>
      </c>
      <c r="W1494" s="81">
        <f>IF(ISBLANK(P1494),"",IF(S1494=0,(365/0.5)*V1494,(365/S1494)*V1494))</f>
        <v/>
      </c>
      <c r="X1494" s="75" t="n"/>
      <c r="Y1494" s="77" t="n"/>
      <c r="Z1494" s="77" t="n"/>
      <c r="AA1494" s="75" t="n"/>
      <c r="AB1494" s="75" t="n"/>
      <c r="AC1494" s="6" t="n"/>
      <c r="AD1494" s="75" t="n"/>
      <c r="AE1494" s="75" t="n"/>
      <c r="AF1494" s="75" t="n"/>
    </row>
    <row r="1495" ht="15.75" customHeight="1" s="133">
      <c r="A1495" s="75" t="n"/>
      <c r="B1495" s="75" t="n"/>
      <c r="C1495" s="75" t="n"/>
      <c r="D1495" s="75" t="n"/>
      <c r="E1495" s="76" t="n"/>
      <c r="F1495" s="77" t="n"/>
      <c r="G1495" s="75" t="n"/>
      <c r="H1495" s="75">
        <f>IF(ISBLANK(E1495),"",IF(OR(D1495="Butterfly",D1495="Butterfly ",D1495="Iron Fly", D1495="Iron Fly "),LEN(E1495)-LEN(SUBSTITUTE(E1495,"/",""))+2,LEN(E1495)-LEN(SUBSTITUTE(E1495,"/",""))+1))</f>
        <v/>
      </c>
      <c r="I1495" s="78">
        <f>IF(ISBLANK(G1495),"",IF(D1495="Stock","0",Key!$A$3*H1495*G1495))</f>
        <v/>
      </c>
      <c r="J1495" s="78">
        <f>IF(ISBLANK(E1495),"",IF(ISNUMBER(SEARCH("/",E1495)), IF(LEN(E1495)-LEN(SUBSTITUTE(E1495,"/",""))=1,(RIGHT(E1495,LEN(E1495)-FIND("/",E1495)))-(LEFT(E1495,FIND("/",E1495)-1)),(MID(E1495, SEARCH("/",E1495) + 1, SEARCH("/",E1495, SEARCH("/",E1495)+1) - SEARCH("/",E1495) - 1))-(LEFT(E1495,FIND("/",E1495)-1))), "NA"))</f>
        <v/>
      </c>
      <c r="K1495" s="79">
        <f>IF(A1495&lt;&gt;"", IF(ISBLANK(L1495), TODAY(), K1495), "")</f>
        <v/>
      </c>
      <c r="L1495" s="78" t="n"/>
      <c r="M1495" s="78">
        <f>IF(ISBLANK(L1495),"",IF(D1495="Stock",IF(C1495="Buy",L1495*G1495,IF(C1495="Sell",(L1495*G1495)-I1495, X)),IF(C1495="Buy",(L1495*G1495*100)+I1495,IF(C1495="Sell",(L1495*G1495*100)-I1495, X))))</f>
        <v/>
      </c>
      <c r="N1495" s="78">
        <f>IF(ISBLANK(L1495),"",IF(AND(C1495="Sell",D1495="Stock"),M1495,IF(ISBLANK(L1495),"",IF(C1495="Buy",M1495, IF(AND(C1495="Sell",J1495="NA"),(E1495*G1495*100*0.1)+I1495, IF(C1495="Sell",(J1495-L1495)*(100*G1495)+I1495))))))</f>
        <v/>
      </c>
      <c r="O1495" s="75" t="n"/>
      <c r="P1495" s="75" t="n"/>
      <c r="Q1495" s="75">
        <f>IF(ISBLANK(P1495),"",IF(D1495="Stock",P1495*G1495,IF(P1495=0,"0",G1495*P1495*100-(G1495*$AF$14))))</f>
        <v/>
      </c>
      <c r="R1495" s="79">
        <f>IF(P1495&lt;&gt;"", TODAY(), "")</f>
        <v/>
      </c>
      <c r="S1495" s="78">
        <f>IF(AND(K1495&lt;&gt;"", R1495&lt;&gt;""), R1495-K1495, "")</f>
        <v/>
      </c>
      <c r="T1495" s="78" t="n"/>
      <c r="U1495" s="92">
        <f>IF(ISBLANK(P1495),"",IF(C1495="Buy",Q1495-M1495+T1495, IF(C1495="Sell",M1495-Q1495-T1495, X)))</f>
        <v/>
      </c>
      <c r="V1495" s="81">
        <f>IF(ISBLANK(P1495),"",U1495/N1495)</f>
        <v/>
      </c>
      <c r="W1495" s="81">
        <f>IF(ISBLANK(P1495),"",IF(S1495=0,(365/0.5)*V1495,(365/S1495)*V1495))</f>
        <v/>
      </c>
      <c r="X1495" s="75" t="n"/>
      <c r="Y1495" s="77" t="n"/>
      <c r="Z1495" s="77" t="n"/>
      <c r="AA1495" s="75" t="n"/>
      <c r="AB1495" s="75" t="n"/>
      <c r="AC1495" s="6" t="n"/>
      <c r="AD1495" s="75" t="n"/>
      <c r="AE1495" s="75" t="n"/>
      <c r="AF1495" s="75" t="n"/>
    </row>
    <row r="1496" ht="15.75" customHeight="1" s="133">
      <c r="A1496" s="75" t="n"/>
      <c r="B1496" s="75" t="n"/>
      <c r="C1496" s="75" t="n"/>
      <c r="D1496" s="75" t="n"/>
      <c r="E1496" s="76" t="n"/>
      <c r="F1496" s="77" t="n"/>
      <c r="G1496" s="75" t="n"/>
      <c r="H1496" s="75">
        <f>IF(ISBLANK(E1496),"",IF(OR(D1496="Butterfly",D1496="Butterfly ",D1496="Iron Fly", D1496="Iron Fly "),LEN(E1496)-LEN(SUBSTITUTE(E1496,"/",""))+2,LEN(E1496)-LEN(SUBSTITUTE(E1496,"/",""))+1))</f>
        <v/>
      </c>
      <c r="I1496" s="78">
        <f>IF(ISBLANK(G1496),"",IF(D1496="Stock","0",Key!$A$3*H1496*G1496))</f>
        <v/>
      </c>
      <c r="J1496" s="78">
        <f>IF(ISBLANK(E1496),"",IF(ISNUMBER(SEARCH("/",E1496)), IF(LEN(E1496)-LEN(SUBSTITUTE(E1496,"/",""))=1,(RIGHT(E1496,LEN(E1496)-FIND("/",E1496)))-(LEFT(E1496,FIND("/",E1496)-1)),(MID(E1496, SEARCH("/",E1496) + 1, SEARCH("/",E1496, SEARCH("/",E1496)+1) - SEARCH("/",E1496) - 1))-(LEFT(E1496,FIND("/",E1496)-1))), "NA"))</f>
        <v/>
      </c>
      <c r="K1496" s="79">
        <f>IF(A1496&lt;&gt;"", IF(ISBLANK(L1496), TODAY(), K1496), "")</f>
        <v/>
      </c>
      <c r="L1496" s="78" t="n"/>
      <c r="M1496" s="78">
        <f>IF(ISBLANK(L1496),"",IF(D1496="Stock",IF(C1496="Buy",L1496*G1496,IF(C1496="Sell",(L1496*G1496)-I1496, X)),IF(C1496="Buy",(L1496*G1496*100)+I1496,IF(C1496="Sell",(L1496*G1496*100)-I1496, X))))</f>
        <v/>
      </c>
      <c r="N1496" s="78">
        <f>IF(ISBLANK(L1496),"",IF(AND(C1496="Sell",D1496="Stock"),M1496,IF(ISBLANK(L1496),"",IF(C1496="Buy",M1496, IF(AND(C1496="Sell",J1496="NA"),(E1496*G1496*100*0.1)+I1496, IF(C1496="Sell",(J1496-L1496)*(100*G1496)+I1496))))))</f>
        <v/>
      </c>
      <c r="O1496" s="75" t="n"/>
      <c r="P1496" s="75" t="n"/>
      <c r="Q1496" s="75">
        <f>IF(ISBLANK(P1496),"",IF(D1496="Stock",P1496*G1496,IF(P1496=0,"0",G1496*P1496*100-(G1496*$AF$14))))</f>
        <v/>
      </c>
      <c r="R1496" s="79">
        <f>IF(P1496&lt;&gt;"", TODAY(), "")</f>
        <v/>
      </c>
      <c r="S1496" s="78">
        <f>IF(AND(K1496&lt;&gt;"", R1496&lt;&gt;""), R1496-K1496, "")</f>
        <v/>
      </c>
      <c r="T1496" s="78" t="n"/>
      <c r="U1496" s="92">
        <f>IF(ISBLANK(P1496),"",IF(C1496="Buy",Q1496-M1496+T1496, IF(C1496="Sell",M1496-Q1496-T1496, X)))</f>
        <v/>
      </c>
      <c r="V1496" s="81">
        <f>IF(ISBLANK(P1496),"",U1496/N1496)</f>
        <v/>
      </c>
      <c r="W1496" s="81">
        <f>IF(ISBLANK(P1496),"",IF(S1496=0,(365/0.5)*V1496,(365/S1496)*V1496))</f>
        <v/>
      </c>
      <c r="X1496" s="75" t="n"/>
      <c r="Y1496" s="77" t="n"/>
      <c r="Z1496" s="77" t="n"/>
      <c r="AA1496" s="75" t="n"/>
      <c r="AB1496" s="75" t="n"/>
      <c r="AC1496" s="6" t="n"/>
      <c r="AD1496" s="75" t="n"/>
      <c r="AE1496" s="75" t="n"/>
      <c r="AF1496" s="75" t="n"/>
    </row>
    <row r="1497" ht="15.75" customHeight="1" s="133">
      <c r="A1497" s="75" t="n"/>
      <c r="B1497" s="75" t="n"/>
      <c r="C1497" s="75" t="n"/>
      <c r="D1497" s="75" t="n"/>
      <c r="E1497" s="76" t="n"/>
      <c r="F1497" s="77" t="n"/>
      <c r="G1497" s="75" t="n"/>
      <c r="H1497" s="75">
        <f>IF(ISBLANK(E1497),"",IF(OR(D1497="Butterfly",D1497="Butterfly ",D1497="Iron Fly", D1497="Iron Fly "),LEN(E1497)-LEN(SUBSTITUTE(E1497,"/",""))+2,LEN(E1497)-LEN(SUBSTITUTE(E1497,"/",""))+1))</f>
        <v/>
      </c>
      <c r="I1497" s="78">
        <f>IF(ISBLANK(G1497),"",IF(D1497="Stock","0",Key!$A$3*H1497*G1497))</f>
        <v/>
      </c>
      <c r="J1497" s="78">
        <f>IF(ISBLANK(E1497),"",IF(ISNUMBER(SEARCH("/",E1497)), IF(LEN(E1497)-LEN(SUBSTITUTE(E1497,"/",""))=1,(RIGHT(E1497,LEN(E1497)-FIND("/",E1497)))-(LEFT(E1497,FIND("/",E1497)-1)),(MID(E1497, SEARCH("/",E1497) + 1, SEARCH("/",E1497, SEARCH("/",E1497)+1) - SEARCH("/",E1497) - 1))-(LEFT(E1497,FIND("/",E1497)-1))), "NA"))</f>
        <v/>
      </c>
      <c r="K1497" s="79">
        <f>IF(A1497&lt;&gt;"", IF(ISBLANK(L1497), TODAY(), K1497), "")</f>
        <v/>
      </c>
      <c r="L1497" s="78" t="n"/>
      <c r="M1497" s="78">
        <f>IF(ISBLANK(L1497),"",IF(D1497="Stock",IF(C1497="Buy",L1497*G1497,IF(C1497="Sell",(L1497*G1497)-I1497, X)),IF(C1497="Buy",(L1497*G1497*100)+I1497,IF(C1497="Sell",(L1497*G1497*100)-I1497, X))))</f>
        <v/>
      </c>
      <c r="N1497" s="78">
        <f>IF(ISBLANK(L1497),"",IF(AND(C1497="Sell",D1497="Stock"),M1497,IF(ISBLANK(L1497),"",IF(C1497="Buy",M1497, IF(AND(C1497="Sell",J1497="NA"),(E1497*G1497*100*0.1)+I1497, IF(C1497="Sell",(J1497-L1497)*(100*G1497)+I1497))))))</f>
        <v/>
      </c>
      <c r="O1497" s="75" t="n"/>
      <c r="P1497" s="75" t="n"/>
      <c r="Q1497" s="75">
        <f>IF(ISBLANK(P1497),"",IF(D1497="Stock",P1497*G1497,IF(P1497=0,"0",G1497*P1497*100-(G1497*$AF$14))))</f>
        <v/>
      </c>
      <c r="R1497" s="79">
        <f>IF(P1497&lt;&gt;"", TODAY(), "")</f>
        <v/>
      </c>
      <c r="S1497" s="78">
        <f>IF(AND(K1497&lt;&gt;"", R1497&lt;&gt;""), R1497-K1497, "")</f>
        <v/>
      </c>
      <c r="T1497" s="78" t="n"/>
      <c r="U1497" s="92">
        <f>IF(ISBLANK(P1497),"",IF(C1497="Buy",Q1497-M1497+T1497, IF(C1497="Sell",M1497-Q1497-T1497, X)))</f>
        <v/>
      </c>
      <c r="V1497" s="81">
        <f>IF(ISBLANK(P1497),"",U1497/N1497)</f>
        <v/>
      </c>
      <c r="W1497" s="81">
        <f>IF(ISBLANK(P1497),"",IF(S1497=0,(365/0.5)*V1497,(365/S1497)*V1497))</f>
        <v/>
      </c>
      <c r="X1497" s="75" t="n"/>
      <c r="Y1497" s="77" t="n"/>
      <c r="Z1497" s="77" t="n"/>
      <c r="AA1497" s="75" t="n"/>
      <c r="AB1497" s="75" t="n"/>
      <c r="AC1497" s="6" t="n"/>
      <c r="AD1497" s="75" t="n"/>
      <c r="AE1497" s="75" t="n"/>
      <c r="AF1497" s="75" t="n"/>
    </row>
    <row r="1498" ht="15.75" customHeight="1" s="133">
      <c r="A1498" s="75" t="n"/>
      <c r="B1498" s="75" t="n"/>
      <c r="C1498" s="75" t="n"/>
      <c r="D1498" s="75" t="n"/>
      <c r="E1498" s="76" t="n"/>
      <c r="F1498" s="77" t="n"/>
      <c r="G1498" s="75" t="n"/>
      <c r="H1498" s="75">
        <f>IF(ISBLANK(E1498),"",IF(OR(D1498="Butterfly",D1498="Butterfly ",D1498="Iron Fly", D1498="Iron Fly "),LEN(E1498)-LEN(SUBSTITUTE(E1498,"/",""))+2,LEN(E1498)-LEN(SUBSTITUTE(E1498,"/",""))+1))</f>
        <v/>
      </c>
      <c r="I1498" s="78">
        <f>IF(ISBLANK(G1498),"",IF(D1498="Stock","0",Key!$A$3*H1498*G1498))</f>
        <v/>
      </c>
      <c r="J1498" s="78">
        <f>IF(ISBLANK(E1498),"",IF(ISNUMBER(SEARCH("/",E1498)), IF(LEN(E1498)-LEN(SUBSTITUTE(E1498,"/",""))=1,(RIGHT(E1498,LEN(E1498)-FIND("/",E1498)))-(LEFT(E1498,FIND("/",E1498)-1)),(MID(E1498, SEARCH("/",E1498) + 1, SEARCH("/",E1498, SEARCH("/",E1498)+1) - SEARCH("/",E1498) - 1))-(LEFT(E1498,FIND("/",E1498)-1))), "NA"))</f>
        <v/>
      </c>
      <c r="K1498" s="79">
        <f>IF(A1498&lt;&gt;"", IF(ISBLANK(L1498), TODAY(), K1498), "")</f>
        <v/>
      </c>
      <c r="L1498" s="78" t="n"/>
      <c r="M1498" s="78">
        <f>IF(ISBLANK(L1498),"",IF(D1498="Stock",IF(C1498="Buy",L1498*G1498,IF(C1498="Sell",(L1498*G1498)-I1498, X)),IF(C1498="Buy",(L1498*G1498*100)+I1498,IF(C1498="Sell",(L1498*G1498*100)-I1498, X))))</f>
        <v/>
      </c>
      <c r="N1498" s="78">
        <f>IF(ISBLANK(L1498),"",IF(AND(C1498="Sell",D1498="Stock"),M1498,IF(ISBLANK(L1498),"",IF(C1498="Buy",M1498, IF(AND(C1498="Sell",J1498="NA"),(E1498*G1498*100*0.1)+I1498, IF(C1498="Sell",(J1498-L1498)*(100*G1498)+I1498))))))</f>
        <v/>
      </c>
      <c r="O1498" s="75" t="n"/>
      <c r="P1498" s="75" t="n"/>
      <c r="Q1498" s="75">
        <f>IF(ISBLANK(P1498),"",IF(D1498="Stock",P1498*G1498,IF(P1498=0,"0",G1498*P1498*100-(G1498*$AF$14))))</f>
        <v/>
      </c>
      <c r="R1498" s="79">
        <f>IF(P1498&lt;&gt;"", TODAY(), "")</f>
        <v/>
      </c>
      <c r="S1498" s="78">
        <f>IF(AND(K1498&lt;&gt;"", R1498&lt;&gt;""), R1498-K1498, "")</f>
        <v/>
      </c>
      <c r="T1498" s="78" t="n"/>
      <c r="U1498" s="92">
        <f>IF(ISBLANK(P1498),"",IF(C1498="Buy",Q1498-M1498+T1498, IF(C1498="Sell",M1498-Q1498-T1498, X)))</f>
        <v/>
      </c>
      <c r="V1498" s="81">
        <f>IF(ISBLANK(P1498),"",U1498/N1498)</f>
        <v/>
      </c>
      <c r="W1498" s="81">
        <f>IF(ISBLANK(P1498),"",IF(S1498=0,(365/0.5)*V1498,(365/S1498)*V1498))</f>
        <v/>
      </c>
      <c r="X1498" s="75" t="n"/>
      <c r="Y1498" s="77" t="n"/>
      <c r="Z1498" s="77" t="n"/>
      <c r="AA1498" s="75" t="n"/>
      <c r="AB1498" s="75" t="n"/>
      <c r="AC1498" s="6" t="n"/>
      <c r="AD1498" s="75" t="n"/>
      <c r="AE1498" s="75" t="n"/>
      <c r="AF1498" s="75" t="n"/>
    </row>
    <row r="1499" ht="15.75" customHeight="1" s="133">
      <c r="A1499" s="75" t="n"/>
      <c r="B1499" s="75" t="n"/>
      <c r="C1499" s="75" t="n"/>
      <c r="D1499" s="75" t="n"/>
      <c r="E1499" s="76" t="n"/>
      <c r="F1499" s="77" t="n"/>
      <c r="G1499" s="75" t="n"/>
      <c r="H1499" s="75">
        <f>IF(ISBLANK(E1499),"",IF(OR(D1499="Butterfly",D1499="Butterfly ",D1499="Iron Fly", D1499="Iron Fly "),LEN(E1499)-LEN(SUBSTITUTE(E1499,"/",""))+2,LEN(E1499)-LEN(SUBSTITUTE(E1499,"/",""))+1))</f>
        <v/>
      </c>
      <c r="I1499" s="78">
        <f>IF(ISBLANK(G1499),"",IF(D1499="Stock","0",Key!$A$3*H1499*G1499))</f>
        <v/>
      </c>
      <c r="J1499" s="78">
        <f>IF(ISBLANK(E1499),"",IF(ISNUMBER(SEARCH("/",E1499)), IF(LEN(E1499)-LEN(SUBSTITUTE(E1499,"/",""))=1,(RIGHT(E1499,LEN(E1499)-FIND("/",E1499)))-(LEFT(E1499,FIND("/",E1499)-1)),(MID(E1499, SEARCH("/",E1499) + 1, SEARCH("/",E1499, SEARCH("/",E1499)+1) - SEARCH("/",E1499) - 1))-(LEFT(E1499,FIND("/",E1499)-1))), "NA"))</f>
        <v/>
      </c>
      <c r="K1499" s="79">
        <f>IF(A1499&lt;&gt;"", IF(ISBLANK(L1499), TODAY(), K1499), "")</f>
        <v/>
      </c>
      <c r="L1499" s="78" t="n"/>
      <c r="M1499" s="78">
        <f>IF(ISBLANK(L1499),"",IF(D1499="Stock",IF(C1499="Buy",L1499*G1499,IF(C1499="Sell",(L1499*G1499)-I1499, X)),IF(C1499="Buy",(L1499*G1499*100)+I1499,IF(C1499="Sell",(L1499*G1499*100)-I1499, X))))</f>
        <v/>
      </c>
      <c r="N1499" s="78">
        <f>IF(ISBLANK(L1499),"",IF(AND(C1499="Sell",D1499="Stock"),M1499,IF(ISBLANK(L1499),"",IF(C1499="Buy",M1499, IF(AND(C1499="Sell",J1499="NA"),(E1499*G1499*100*0.1)+I1499, IF(C1499="Sell",(J1499-L1499)*(100*G1499)+I1499))))))</f>
        <v/>
      </c>
      <c r="O1499" s="75" t="n"/>
      <c r="P1499" s="75" t="n"/>
      <c r="Q1499" s="75">
        <f>IF(ISBLANK(P1499),"",IF(D1499="Stock",P1499*G1499,IF(P1499=0,"0",G1499*P1499*100-(G1499*$AF$14))))</f>
        <v/>
      </c>
      <c r="R1499" s="79">
        <f>IF(P1499&lt;&gt;"", TODAY(), "")</f>
        <v/>
      </c>
      <c r="S1499" s="78">
        <f>IF(AND(K1499&lt;&gt;"", R1499&lt;&gt;""), R1499-K1499, "")</f>
        <v/>
      </c>
      <c r="T1499" s="78" t="n"/>
      <c r="U1499" s="92">
        <f>IF(ISBLANK(P1499),"",IF(C1499="Buy",Q1499-M1499+T1499, IF(C1499="Sell",M1499-Q1499-T1499, X)))</f>
        <v/>
      </c>
      <c r="V1499" s="81">
        <f>IF(ISBLANK(P1499),"",U1499/N1499)</f>
        <v/>
      </c>
      <c r="W1499" s="81">
        <f>IF(ISBLANK(P1499),"",IF(S1499=0,(365/0.5)*V1499,(365/S1499)*V1499))</f>
        <v/>
      </c>
      <c r="X1499" s="75" t="n"/>
      <c r="Y1499" s="77" t="n"/>
      <c r="Z1499" s="77" t="n"/>
      <c r="AA1499" s="75" t="n"/>
      <c r="AB1499" s="75" t="n"/>
      <c r="AC1499" s="6" t="n"/>
      <c r="AD1499" s="75" t="n"/>
      <c r="AE1499" s="75" t="n"/>
      <c r="AF1499" s="75" t="n"/>
    </row>
    <row r="1500" ht="15.75" customHeight="1" s="133">
      <c r="A1500" s="75" t="n"/>
      <c r="B1500" s="75" t="n"/>
      <c r="C1500" s="75" t="n"/>
      <c r="D1500" s="75" t="n"/>
      <c r="E1500" s="76" t="n"/>
      <c r="F1500" s="77" t="n"/>
      <c r="G1500" s="75" t="n"/>
      <c r="H1500" s="75">
        <f>IF(ISBLANK(E1500),"",IF(OR(D1500="Butterfly",D1500="Butterfly ",D1500="Iron Fly", D1500="Iron Fly "),LEN(E1500)-LEN(SUBSTITUTE(E1500,"/",""))+2,LEN(E1500)-LEN(SUBSTITUTE(E1500,"/",""))+1))</f>
        <v/>
      </c>
      <c r="I1500" s="78">
        <f>IF(ISBLANK(G1500),"",IF(D1500="Stock","0",Key!$A$3*H1500*G1500))</f>
        <v/>
      </c>
      <c r="J1500" s="78">
        <f>IF(ISBLANK(E1500),"",IF(ISNUMBER(SEARCH("/",E1500)), IF(LEN(E1500)-LEN(SUBSTITUTE(E1500,"/",""))=1,(RIGHT(E1500,LEN(E1500)-FIND("/",E1500)))-(LEFT(E1500,FIND("/",E1500)-1)),(MID(E1500, SEARCH("/",E1500) + 1, SEARCH("/",E1500, SEARCH("/",E1500)+1) - SEARCH("/",E1500) - 1))-(LEFT(E1500,FIND("/",E1500)-1))), "NA"))</f>
        <v/>
      </c>
      <c r="K1500" s="79">
        <f>IF(A1500&lt;&gt;"", IF(ISBLANK(L1500), TODAY(), K1500), "")</f>
        <v/>
      </c>
      <c r="L1500" s="78" t="n"/>
      <c r="M1500" s="78">
        <f>IF(ISBLANK(L1500),"",IF(D1500="Stock",IF(C1500="Buy",L1500*G1500,IF(C1500="Sell",(L1500*G1500)-I1500, X)),IF(C1500="Buy",(L1500*G1500*100)+I1500,IF(C1500="Sell",(L1500*G1500*100)-I1500, X))))</f>
        <v/>
      </c>
      <c r="N1500" s="78">
        <f>IF(ISBLANK(L1500),"",IF(AND(C1500="Sell",D1500="Stock"),M1500,IF(ISBLANK(L1500),"",IF(C1500="Buy",M1500, IF(AND(C1500="Sell",J1500="NA"),(E1500*G1500*100*0.1)+I1500, IF(C1500="Sell",(J1500-L1500)*(100*G1500)+I1500))))))</f>
        <v/>
      </c>
      <c r="O1500" s="75" t="n"/>
      <c r="P1500" s="75" t="n"/>
      <c r="Q1500" s="75">
        <f>IF(ISBLANK(P1500),"",IF(D1500="Stock",P1500*G1500,IF(P1500=0,"0",G1500*P1500*100-(G1500*$AF$14))))</f>
        <v/>
      </c>
      <c r="R1500" s="79">
        <f>IF(P1500&lt;&gt;"", TODAY(), "")</f>
        <v/>
      </c>
      <c r="S1500" s="78">
        <f>IF(AND(K1500&lt;&gt;"", R1500&lt;&gt;""), R1500-K1500, "")</f>
        <v/>
      </c>
      <c r="T1500" s="78" t="n"/>
      <c r="U1500" s="92">
        <f>IF(ISBLANK(P1500),"",IF(C1500="Buy",Q1500-M1500+T1500, IF(C1500="Sell",M1500-Q1500-T1500, X)))</f>
        <v/>
      </c>
      <c r="V1500" s="81">
        <f>IF(ISBLANK(P1500),"",U1500/N1500)</f>
        <v/>
      </c>
      <c r="W1500" s="81">
        <f>IF(ISBLANK(P1500),"",IF(S1500=0,(365/0.5)*V1500,(365/S1500)*V1500))</f>
        <v/>
      </c>
      <c r="X1500" s="75" t="n"/>
      <c r="Y1500" s="77" t="n"/>
      <c r="Z1500" s="77" t="n"/>
      <c r="AA1500" s="75" t="n"/>
      <c r="AB1500" s="75" t="n"/>
      <c r="AC1500" s="6" t="n"/>
      <c r="AD1500" s="75" t="n"/>
      <c r="AE1500" s="75" t="n"/>
      <c r="AF1500" s="75" t="n"/>
    </row>
    <row r="1501" ht="15.75" customHeight="1" s="133">
      <c r="A1501" s="75" t="n"/>
      <c r="B1501" s="75" t="n"/>
      <c r="C1501" s="75" t="n"/>
      <c r="D1501" s="75" t="n"/>
      <c r="E1501" s="76" t="n"/>
      <c r="F1501" s="77" t="n"/>
      <c r="G1501" s="75" t="n"/>
      <c r="H1501" s="75">
        <f>IF(ISBLANK(E1501),"",IF(OR(D1501="Butterfly",D1501="Butterfly ",D1501="Iron Fly", D1501="Iron Fly "),LEN(E1501)-LEN(SUBSTITUTE(E1501,"/",""))+2,LEN(E1501)-LEN(SUBSTITUTE(E1501,"/",""))+1))</f>
        <v/>
      </c>
      <c r="I1501" s="78">
        <f>IF(ISBLANK(G1501),"",IF(D1501="Stock","0",Key!$A$3*H1501*G1501))</f>
        <v/>
      </c>
      <c r="J1501" s="78">
        <f>IF(ISBLANK(E1501),"",IF(ISNUMBER(SEARCH("/",E1501)), IF(LEN(E1501)-LEN(SUBSTITUTE(E1501,"/",""))=1,(RIGHT(E1501,LEN(E1501)-FIND("/",E1501)))-(LEFT(E1501,FIND("/",E1501)-1)),(MID(E1501, SEARCH("/",E1501) + 1, SEARCH("/",E1501, SEARCH("/",E1501)+1) - SEARCH("/",E1501) - 1))-(LEFT(E1501,FIND("/",E1501)-1))), "NA"))</f>
        <v/>
      </c>
      <c r="K1501" s="79">
        <f>IF(A1501&lt;&gt;"", IF(ISBLANK(L1501), TODAY(), K1501), "")</f>
        <v/>
      </c>
      <c r="L1501" s="78" t="n"/>
      <c r="M1501" s="78">
        <f>IF(ISBLANK(L1501),"",IF(D1501="Stock",IF(C1501="Buy",L1501*G1501,IF(C1501="Sell",(L1501*G1501)-I1501, X)),IF(C1501="Buy",(L1501*G1501*100)+I1501,IF(C1501="Sell",(L1501*G1501*100)-I1501, X))))</f>
        <v/>
      </c>
      <c r="N1501" s="78">
        <f>IF(ISBLANK(L1501),"",IF(AND(C1501="Sell",D1501="Stock"),M1501,IF(ISBLANK(L1501),"",IF(C1501="Buy",M1501, IF(AND(C1501="Sell",J1501="NA"),(E1501*G1501*100*0.1)+I1501, IF(C1501="Sell",(J1501-L1501)*(100*G1501)+I1501))))))</f>
        <v/>
      </c>
      <c r="O1501" s="75" t="n"/>
      <c r="P1501" s="75" t="n"/>
      <c r="Q1501" s="75">
        <f>IF(ISBLANK(P1501),"",IF(D1501="Stock",P1501*G1501,IF(P1501=0,"0",G1501*P1501*100-(G1501*$AF$14))))</f>
        <v/>
      </c>
      <c r="R1501" s="79">
        <f>IF(P1501&lt;&gt;"", TODAY(), "")</f>
        <v/>
      </c>
      <c r="S1501" s="78">
        <f>IF(AND(K1501&lt;&gt;"", R1501&lt;&gt;""), R1501-K1501, "")</f>
        <v/>
      </c>
      <c r="T1501" s="78" t="n"/>
      <c r="U1501" s="92">
        <f>IF(ISBLANK(P1501),"",IF(C1501="Buy",Q1501-M1501+T1501, IF(C1501="Sell",M1501-Q1501-T1501, X)))</f>
        <v/>
      </c>
      <c r="V1501" s="81">
        <f>IF(ISBLANK(P1501),"",U1501/N1501)</f>
        <v/>
      </c>
      <c r="W1501" s="81">
        <f>IF(ISBLANK(P1501),"",IF(S1501=0,(365/0.5)*V1501,(365/S1501)*V1501))</f>
        <v/>
      </c>
      <c r="X1501" s="75" t="n"/>
      <c r="Y1501" s="77" t="n"/>
      <c r="Z1501" s="77" t="n"/>
      <c r="AA1501" s="75" t="n"/>
      <c r="AB1501" s="75" t="n"/>
      <c r="AC1501" s="6" t="n"/>
      <c r="AD1501" s="75" t="n"/>
      <c r="AE1501" s="75" t="n"/>
      <c r="AF1501" s="75" t="n"/>
    </row>
    <row r="1502" ht="15.75" customHeight="1" s="133">
      <c r="A1502" s="75" t="n"/>
      <c r="B1502" s="75" t="n"/>
      <c r="C1502" s="75" t="n"/>
      <c r="D1502" s="75" t="n"/>
      <c r="E1502" s="76" t="n"/>
      <c r="F1502" s="77" t="n"/>
      <c r="G1502" s="75" t="n"/>
      <c r="H1502" s="75">
        <f>IF(ISBLANK(E1502),"",IF(OR(D1502="Butterfly",D1502="Butterfly ",D1502="Iron Fly", D1502="Iron Fly "),LEN(E1502)-LEN(SUBSTITUTE(E1502,"/",""))+2,LEN(E1502)-LEN(SUBSTITUTE(E1502,"/",""))+1))</f>
        <v/>
      </c>
      <c r="I1502" s="78">
        <f>IF(ISBLANK(G1502),"",IF(D1502="Stock","0",Key!$A$3*H1502*G1502))</f>
        <v/>
      </c>
      <c r="J1502" s="78">
        <f>IF(ISBLANK(E1502),"",IF(ISNUMBER(SEARCH("/",E1502)), IF(LEN(E1502)-LEN(SUBSTITUTE(E1502,"/",""))=1,(RIGHT(E1502,LEN(E1502)-FIND("/",E1502)))-(LEFT(E1502,FIND("/",E1502)-1)),(MID(E1502, SEARCH("/",E1502) + 1, SEARCH("/",E1502, SEARCH("/",E1502)+1) - SEARCH("/",E1502) - 1))-(LEFT(E1502,FIND("/",E1502)-1))), "NA"))</f>
        <v/>
      </c>
      <c r="K1502" s="79">
        <f>IF(A1502&lt;&gt;"", IF(ISBLANK(L1502), TODAY(), K1502), "")</f>
        <v/>
      </c>
      <c r="L1502" s="78" t="n"/>
      <c r="M1502" s="78">
        <f>IF(ISBLANK(L1502),"",IF(D1502="Stock",IF(C1502="Buy",L1502*G1502,IF(C1502="Sell",(L1502*G1502)-I1502, X)),IF(C1502="Buy",(L1502*G1502*100)+I1502,IF(C1502="Sell",(L1502*G1502*100)-I1502, X))))</f>
        <v/>
      </c>
      <c r="N1502" s="78">
        <f>IF(ISBLANK(L1502),"",IF(AND(C1502="Sell",D1502="Stock"),M1502,IF(ISBLANK(L1502),"",IF(C1502="Buy",M1502, IF(AND(C1502="Sell",J1502="NA"),(E1502*G1502*100*0.1)+I1502, IF(C1502="Sell",(J1502-L1502)*(100*G1502)+I1502))))))</f>
        <v/>
      </c>
      <c r="O1502" s="75" t="n"/>
      <c r="P1502" s="75" t="n"/>
      <c r="Q1502" s="75">
        <f>IF(ISBLANK(P1502),"",IF(D1502="Stock",P1502*G1502,IF(P1502=0,"0",G1502*P1502*100-(G1502*$AF$14))))</f>
        <v/>
      </c>
      <c r="R1502" s="79">
        <f>IF(P1502&lt;&gt;"", TODAY(), "")</f>
        <v/>
      </c>
      <c r="S1502" s="78">
        <f>IF(AND(K1502&lt;&gt;"", R1502&lt;&gt;""), R1502-K1502, "")</f>
        <v/>
      </c>
      <c r="T1502" s="78" t="n"/>
      <c r="U1502" s="92">
        <f>IF(ISBLANK(P1502),"",IF(C1502="Buy",Q1502-M1502+T1502, IF(C1502="Sell",M1502-Q1502-T1502, X)))</f>
        <v/>
      </c>
      <c r="V1502" s="81">
        <f>IF(ISBLANK(P1502),"",U1502/N1502)</f>
        <v/>
      </c>
      <c r="W1502" s="81">
        <f>IF(ISBLANK(P1502),"",IF(S1502=0,(365/0.5)*V1502,(365/S1502)*V1502))</f>
        <v/>
      </c>
      <c r="X1502" s="75" t="n"/>
      <c r="Y1502" s="77" t="n"/>
      <c r="Z1502" s="77" t="n"/>
      <c r="AA1502" s="75" t="n"/>
      <c r="AB1502" s="75" t="n"/>
      <c r="AC1502" s="6" t="n"/>
      <c r="AD1502" s="75" t="n"/>
      <c r="AE1502" s="75" t="n"/>
      <c r="AF1502" s="75" t="n"/>
    </row>
    <row r="1503" ht="15.75" customHeight="1" s="133">
      <c r="A1503" s="75" t="n"/>
      <c r="B1503" s="75" t="n"/>
      <c r="C1503" s="75" t="n"/>
      <c r="D1503" s="75" t="n"/>
      <c r="E1503" s="76" t="n"/>
      <c r="F1503" s="77" t="n"/>
      <c r="G1503" s="75" t="n"/>
      <c r="H1503" s="75">
        <f>IF(ISBLANK(E1503),"",IF(OR(D1503="Butterfly",D1503="Butterfly ",D1503="Iron Fly", D1503="Iron Fly "),LEN(E1503)-LEN(SUBSTITUTE(E1503,"/",""))+2,LEN(E1503)-LEN(SUBSTITUTE(E1503,"/",""))+1))</f>
        <v/>
      </c>
      <c r="I1503" s="78">
        <f>IF(ISBLANK(G1503),"",IF(D1503="Stock","0",Key!$A$3*H1503*G1503))</f>
        <v/>
      </c>
      <c r="J1503" s="78">
        <f>IF(ISBLANK(E1503),"",IF(ISNUMBER(SEARCH("/",E1503)), IF(LEN(E1503)-LEN(SUBSTITUTE(E1503,"/",""))=1,(RIGHT(E1503,LEN(E1503)-FIND("/",E1503)))-(LEFT(E1503,FIND("/",E1503)-1)),(MID(E1503, SEARCH("/",E1503) + 1, SEARCH("/",E1503, SEARCH("/",E1503)+1) - SEARCH("/",E1503) - 1))-(LEFT(E1503,FIND("/",E1503)-1))), "NA"))</f>
        <v/>
      </c>
      <c r="K1503" s="79">
        <f>IF(A1503&lt;&gt;"", IF(ISBLANK(L1503), TODAY(), K1503), "")</f>
        <v/>
      </c>
      <c r="L1503" s="78" t="n"/>
      <c r="M1503" s="78">
        <f>IF(ISBLANK(L1503),"",IF(D1503="Stock",IF(C1503="Buy",L1503*G1503,IF(C1503="Sell",(L1503*G1503)-I1503, X)),IF(C1503="Buy",(L1503*G1503*100)+I1503,IF(C1503="Sell",(L1503*G1503*100)-I1503, X))))</f>
        <v/>
      </c>
      <c r="N1503" s="78">
        <f>IF(ISBLANK(L1503),"",IF(AND(C1503="Sell",D1503="Stock"),M1503,IF(ISBLANK(L1503),"",IF(C1503="Buy",M1503, IF(AND(C1503="Sell",J1503="NA"),(E1503*G1503*100*0.1)+I1503, IF(C1503="Sell",(J1503-L1503)*(100*G1503)+I1503))))))</f>
        <v/>
      </c>
      <c r="O1503" s="75" t="n"/>
      <c r="P1503" s="75" t="n"/>
      <c r="Q1503" s="75">
        <f>IF(ISBLANK(P1503),"",IF(D1503="Stock",P1503*G1503,IF(P1503=0,"0",G1503*P1503*100-(G1503*$AF$14))))</f>
        <v/>
      </c>
      <c r="R1503" s="79">
        <f>IF(P1503&lt;&gt;"", TODAY(), "")</f>
        <v/>
      </c>
      <c r="S1503" s="78">
        <f>IF(AND(K1503&lt;&gt;"", R1503&lt;&gt;""), R1503-K1503, "")</f>
        <v/>
      </c>
      <c r="T1503" s="78" t="n"/>
      <c r="U1503" s="92">
        <f>IF(ISBLANK(P1503),"",IF(C1503="Buy",Q1503-M1503+T1503, IF(C1503="Sell",M1503-Q1503-T1503, X)))</f>
        <v/>
      </c>
      <c r="V1503" s="81">
        <f>IF(ISBLANK(P1503),"",U1503/N1503)</f>
        <v/>
      </c>
      <c r="W1503" s="81">
        <f>IF(ISBLANK(P1503),"",IF(S1503=0,(365/0.5)*V1503,(365/S1503)*V1503))</f>
        <v/>
      </c>
      <c r="X1503" s="75" t="n"/>
      <c r="Y1503" s="77" t="n"/>
      <c r="Z1503" s="77" t="n"/>
      <c r="AA1503" s="75" t="n"/>
      <c r="AB1503" s="75" t="n"/>
      <c r="AC1503" s="6" t="n"/>
      <c r="AD1503" s="75" t="n"/>
      <c r="AE1503" s="75" t="n"/>
      <c r="AF1503" s="75" t="n"/>
    </row>
    <row r="1504" ht="15.75" customHeight="1" s="133">
      <c r="A1504" s="75" t="n"/>
      <c r="B1504" s="75" t="n"/>
      <c r="C1504" s="75" t="n"/>
      <c r="D1504" s="75" t="n"/>
      <c r="E1504" s="76" t="n"/>
      <c r="F1504" s="77" t="n"/>
      <c r="G1504" s="75" t="n"/>
      <c r="H1504" s="75">
        <f>IF(ISBLANK(E1504),"",IF(OR(D1504="Butterfly",D1504="Butterfly ",D1504="Iron Fly", D1504="Iron Fly "),LEN(E1504)-LEN(SUBSTITUTE(E1504,"/",""))+2,LEN(E1504)-LEN(SUBSTITUTE(E1504,"/",""))+1))</f>
        <v/>
      </c>
      <c r="I1504" s="78">
        <f>IF(ISBLANK(G1504),"",IF(D1504="Stock","0",Key!$A$3*H1504*G1504))</f>
        <v/>
      </c>
      <c r="J1504" s="78">
        <f>IF(ISBLANK(E1504),"",IF(ISNUMBER(SEARCH("/",E1504)), IF(LEN(E1504)-LEN(SUBSTITUTE(E1504,"/",""))=1,(RIGHT(E1504,LEN(E1504)-FIND("/",E1504)))-(LEFT(E1504,FIND("/",E1504)-1)),(MID(E1504, SEARCH("/",E1504) + 1, SEARCH("/",E1504, SEARCH("/",E1504)+1) - SEARCH("/",E1504) - 1))-(LEFT(E1504,FIND("/",E1504)-1))), "NA"))</f>
        <v/>
      </c>
      <c r="K1504" s="79">
        <f>IF(A1504&lt;&gt;"", IF(ISBLANK(L1504), TODAY(), K1504), "")</f>
        <v/>
      </c>
      <c r="L1504" s="78" t="n"/>
      <c r="M1504" s="78">
        <f>IF(ISBLANK(L1504),"",IF(D1504="Stock",IF(C1504="Buy",L1504*G1504,IF(C1504="Sell",(L1504*G1504)-I1504, X)),IF(C1504="Buy",(L1504*G1504*100)+I1504,IF(C1504="Sell",(L1504*G1504*100)-I1504, X))))</f>
        <v/>
      </c>
      <c r="N1504" s="78">
        <f>IF(ISBLANK(L1504),"",IF(AND(C1504="Sell",D1504="Stock"),M1504,IF(ISBLANK(L1504),"",IF(C1504="Buy",M1504, IF(AND(C1504="Sell",J1504="NA"),(E1504*G1504*100*0.1)+I1504, IF(C1504="Sell",(J1504-L1504)*(100*G1504)+I1504))))))</f>
        <v/>
      </c>
      <c r="O1504" s="75" t="n"/>
      <c r="P1504" s="75" t="n"/>
      <c r="Q1504" s="75">
        <f>IF(ISBLANK(P1504),"",IF(D1504="Stock",P1504*G1504,IF(P1504=0,"0",G1504*P1504*100-(G1504*$AF$14))))</f>
        <v/>
      </c>
      <c r="R1504" s="79">
        <f>IF(P1504&lt;&gt;"", TODAY(), "")</f>
        <v/>
      </c>
      <c r="S1504" s="78">
        <f>IF(AND(K1504&lt;&gt;"", R1504&lt;&gt;""), R1504-K1504, "")</f>
        <v/>
      </c>
      <c r="T1504" s="78" t="n"/>
      <c r="U1504" s="92">
        <f>IF(ISBLANK(P1504),"",IF(C1504="Buy",Q1504-M1504+T1504, IF(C1504="Sell",M1504-Q1504-T1504, X)))</f>
        <v/>
      </c>
      <c r="V1504" s="81">
        <f>IF(ISBLANK(P1504),"",U1504/N1504)</f>
        <v/>
      </c>
      <c r="W1504" s="81">
        <f>IF(ISBLANK(P1504),"",IF(S1504=0,(365/0.5)*V1504,(365/S1504)*V1504))</f>
        <v/>
      </c>
      <c r="X1504" s="75" t="n"/>
      <c r="Y1504" s="77" t="n"/>
      <c r="Z1504" s="77" t="n"/>
      <c r="AA1504" s="75" t="n"/>
      <c r="AB1504" s="75" t="n"/>
      <c r="AC1504" s="6" t="n"/>
      <c r="AD1504" s="75" t="n"/>
      <c r="AE1504" s="75" t="n"/>
      <c r="AF1504" s="75" t="n"/>
    </row>
    <row r="1505" ht="15.75" customHeight="1" s="133">
      <c r="A1505" s="75" t="n"/>
      <c r="B1505" s="75" t="n"/>
      <c r="C1505" s="75" t="n"/>
      <c r="D1505" s="75" t="n"/>
      <c r="E1505" s="76" t="n"/>
      <c r="F1505" s="77" t="n"/>
      <c r="G1505" s="75" t="n"/>
      <c r="H1505" s="75">
        <f>IF(ISBLANK(E1505),"",IF(OR(D1505="Butterfly",D1505="Butterfly ",D1505="Iron Fly", D1505="Iron Fly "),LEN(E1505)-LEN(SUBSTITUTE(E1505,"/",""))+2,LEN(E1505)-LEN(SUBSTITUTE(E1505,"/",""))+1))</f>
        <v/>
      </c>
      <c r="I1505" s="78">
        <f>IF(ISBLANK(G1505),"",IF(D1505="Stock","0",Key!$A$3*H1505*G1505))</f>
        <v/>
      </c>
      <c r="J1505" s="78">
        <f>IF(ISBLANK(E1505),"",IF(ISNUMBER(SEARCH("/",E1505)), IF(LEN(E1505)-LEN(SUBSTITUTE(E1505,"/",""))=1,(RIGHT(E1505,LEN(E1505)-FIND("/",E1505)))-(LEFT(E1505,FIND("/",E1505)-1)),(MID(E1505, SEARCH("/",E1505) + 1, SEARCH("/",E1505, SEARCH("/",E1505)+1) - SEARCH("/",E1505) - 1))-(LEFT(E1505,FIND("/",E1505)-1))), "NA"))</f>
        <v/>
      </c>
      <c r="K1505" s="79">
        <f>IF(A1505&lt;&gt;"", IF(ISBLANK(L1505), TODAY(), K1505), "")</f>
        <v/>
      </c>
      <c r="L1505" s="78" t="n"/>
      <c r="M1505" s="78">
        <f>IF(ISBLANK(L1505),"",IF(D1505="Stock",IF(C1505="Buy",L1505*G1505,IF(C1505="Sell",(L1505*G1505)-I1505, X)),IF(C1505="Buy",(L1505*G1505*100)+I1505,IF(C1505="Sell",(L1505*G1505*100)-I1505, X))))</f>
        <v/>
      </c>
      <c r="N1505" s="78">
        <f>IF(ISBLANK(L1505),"",IF(AND(C1505="Sell",D1505="Stock"),M1505,IF(ISBLANK(L1505),"",IF(C1505="Buy",M1505, IF(AND(C1505="Sell",J1505="NA"),(E1505*G1505*100*0.1)+I1505, IF(C1505="Sell",(J1505-L1505)*(100*G1505)+I1505))))))</f>
        <v/>
      </c>
      <c r="O1505" s="75" t="n"/>
      <c r="P1505" s="75" t="n"/>
      <c r="Q1505" s="75">
        <f>IF(ISBLANK(P1505),"",IF(D1505="Stock",P1505*G1505,IF(P1505=0,"0",G1505*P1505*100-(G1505*$AF$14))))</f>
        <v/>
      </c>
      <c r="R1505" s="79">
        <f>IF(P1505&lt;&gt;"", TODAY(), "")</f>
        <v/>
      </c>
      <c r="S1505" s="78">
        <f>IF(AND(K1505&lt;&gt;"", R1505&lt;&gt;""), R1505-K1505, "")</f>
        <v/>
      </c>
      <c r="T1505" s="78" t="n"/>
      <c r="U1505" s="92">
        <f>IF(ISBLANK(P1505),"",IF(C1505="Buy",Q1505-M1505+T1505, IF(C1505="Sell",M1505-Q1505-T1505, X)))</f>
        <v/>
      </c>
      <c r="V1505" s="81">
        <f>IF(ISBLANK(P1505),"",U1505/N1505)</f>
        <v/>
      </c>
      <c r="W1505" s="81">
        <f>IF(ISBLANK(P1505),"",IF(S1505=0,(365/0.5)*V1505,(365/S1505)*V1505))</f>
        <v/>
      </c>
      <c r="X1505" s="75" t="n"/>
      <c r="Y1505" s="77" t="n"/>
      <c r="Z1505" s="77" t="n"/>
      <c r="AA1505" s="75" t="n"/>
      <c r="AB1505" s="75" t="n"/>
      <c r="AC1505" s="6" t="n"/>
      <c r="AD1505" s="75" t="n"/>
      <c r="AE1505" s="75" t="n"/>
      <c r="AF1505" s="75" t="n"/>
    </row>
    <row r="1506" ht="15.75" customHeight="1" s="133">
      <c r="A1506" s="75" t="n"/>
      <c r="B1506" s="75" t="n"/>
      <c r="C1506" s="75" t="n"/>
      <c r="D1506" s="75" t="n"/>
      <c r="E1506" s="76" t="n"/>
      <c r="F1506" s="77" t="n"/>
      <c r="G1506" s="75" t="n"/>
      <c r="H1506" s="75">
        <f>IF(ISBLANK(E1506),"",IF(OR(D1506="Butterfly",D1506="Butterfly ",D1506="Iron Fly", D1506="Iron Fly "),LEN(E1506)-LEN(SUBSTITUTE(E1506,"/",""))+2,LEN(E1506)-LEN(SUBSTITUTE(E1506,"/",""))+1))</f>
        <v/>
      </c>
      <c r="I1506" s="78">
        <f>IF(ISBLANK(G1506),"",IF(D1506="Stock","0",Key!$A$3*H1506*G1506))</f>
        <v/>
      </c>
      <c r="J1506" s="78">
        <f>IF(ISBLANK(E1506),"",IF(ISNUMBER(SEARCH("/",E1506)), IF(LEN(E1506)-LEN(SUBSTITUTE(E1506,"/",""))=1,(RIGHT(E1506,LEN(E1506)-FIND("/",E1506)))-(LEFT(E1506,FIND("/",E1506)-1)),(MID(E1506, SEARCH("/",E1506) + 1, SEARCH("/",E1506, SEARCH("/",E1506)+1) - SEARCH("/",E1506) - 1))-(LEFT(E1506,FIND("/",E1506)-1))), "NA"))</f>
        <v/>
      </c>
      <c r="K1506" s="79">
        <f>IF(A1506&lt;&gt;"", IF(ISBLANK(L1506), TODAY(), K1506), "")</f>
        <v/>
      </c>
      <c r="L1506" s="78" t="n"/>
      <c r="M1506" s="78">
        <f>IF(ISBLANK(L1506),"",IF(D1506="Stock",IF(C1506="Buy",L1506*G1506,IF(C1506="Sell",(L1506*G1506)-I1506, X)),IF(C1506="Buy",(L1506*G1506*100)+I1506,IF(C1506="Sell",(L1506*G1506*100)-I1506, X))))</f>
        <v/>
      </c>
      <c r="N1506" s="78">
        <f>IF(ISBLANK(L1506),"",IF(AND(C1506="Sell",D1506="Stock"),M1506,IF(ISBLANK(L1506),"",IF(C1506="Buy",M1506, IF(AND(C1506="Sell",J1506="NA"),(E1506*G1506*100*0.1)+I1506, IF(C1506="Sell",(J1506-L1506)*(100*G1506)+I1506))))))</f>
        <v/>
      </c>
      <c r="O1506" s="75" t="n"/>
      <c r="P1506" s="75" t="n"/>
      <c r="Q1506" s="75">
        <f>IF(ISBLANK(P1506),"",IF(D1506="Stock",P1506*G1506,IF(P1506=0,"0",G1506*P1506*100-(G1506*$AF$14))))</f>
        <v/>
      </c>
      <c r="R1506" s="79">
        <f>IF(P1506&lt;&gt;"", TODAY(), "")</f>
        <v/>
      </c>
      <c r="S1506" s="78">
        <f>IF(AND(K1506&lt;&gt;"", R1506&lt;&gt;""), R1506-K1506, "")</f>
        <v/>
      </c>
      <c r="T1506" s="78" t="n"/>
      <c r="U1506" s="92">
        <f>IF(ISBLANK(P1506),"",IF(C1506="Buy",Q1506-M1506+T1506, IF(C1506="Sell",M1506-Q1506-T1506, X)))</f>
        <v/>
      </c>
      <c r="V1506" s="81">
        <f>IF(ISBLANK(P1506),"",U1506/N1506)</f>
        <v/>
      </c>
      <c r="W1506" s="81">
        <f>IF(ISBLANK(P1506),"",IF(S1506=0,(365/0.5)*V1506,(365/S1506)*V1506))</f>
        <v/>
      </c>
      <c r="X1506" s="75" t="n"/>
      <c r="Y1506" s="77" t="n"/>
      <c r="Z1506" s="77" t="n"/>
      <c r="AA1506" s="75" t="n"/>
      <c r="AB1506" s="75" t="n"/>
      <c r="AC1506" s="6" t="n"/>
      <c r="AD1506" s="75" t="n"/>
      <c r="AE1506" s="75" t="n"/>
      <c r="AF1506" s="75" t="n"/>
    </row>
    <row r="1507" ht="15.75" customHeight="1" s="133">
      <c r="A1507" s="75" t="n"/>
      <c r="B1507" s="75" t="n"/>
      <c r="C1507" s="75" t="n"/>
      <c r="D1507" s="75" t="n"/>
      <c r="E1507" s="76" t="n"/>
      <c r="F1507" s="77" t="n"/>
      <c r="G1507" s="75" t="n"/>
      <c r="H1507" s="75">
        <f>IF(ISBLANK(E1507),"",IF(OR(D1507="Butterfly",D1507="Butterfly ",D1507="Iron Fly", D1507="Iron Fly "),LEN(E1507)-LEN(SUBSTITUTE(E1507,"/",""))+2,LEN(E1507)-LEN(SUBSTITUTE(E1507,"/",""))+1))</f>
        <v/>
      </c>
      <c r="I1507" s="78">
        <f>IF(ISBLANK(G1507),"",IF(D1507="Stock","0",Key!$A$3*H1507*G1507))</f>
        <v/>
      </c>
      <c r="J1507" s="78">
        <f>IF(ISBLANK(E1507),"",IF(ISNUMBER(SEARCH("/",E1507)), IF(LEN(E1507)-LEN(SUBSTITUTE(E1507,"/",""))=1,(RIGHT(E1507,LEN(E1507)-FIND("/",E1507)))-(LEFT(E1507,FIND("/",E1507)-1)),(MID(E1507, SEARCH("/",E1507) + 1, SEARCH("/",E1507, SEARCH("/",E1507)+1) - SEARCH("/",E1507) - 1))-(LEFT(E1507,FIND("/",E1507)-1))), "NA"))</f>
        <v/>
      </c>
      <c r="K1507" s="79">
        <f>IF(A1507&lt;&gt;"", IF(ISBLANK(L1507), TODAY(), K1507), "")</f>
        <v/>
      </c>
      <c r="L1507" s="78" t="n"/>
      <c r="M1507" s="78">
        <f>IF(ISBLANK(L1507),"",IF(D1507="Stock",IF(C1507="Buy",L1507*G1507,IF(C1507="Sell",(L1507*G1507)-I1507, X)),IF(C1507="Buy",(L1507*G1507*100)+I1507,IF(C1507="Sell",(L1507*G1507*100)-I1507, X))))</f>
        <v/>
      </c>
      <c r="N1507" s="78">
        <f>IF(ISBLANK(L1507),"",IF(AND(C1507="Sell",D1507="Stock"),M1507,IF(ISBLANK(L1507),"",IF(C1507="Buy",M1507, IF(AND(C1507="Sell",J1507="NA"),(E1507*G1507*100*0.1)+I1507, IF(C1507="Sell",(J1507-L1507)*(100*G1507)+I1507))))))</f>
        <v/>
      </c>
      <c r="O1507" s="75" t="n"/>
      <c r="P1507" s="75" t="n"/>
      <c r="Q1507" s="75">
        <f>IF(ISBLANK(P1507),"",IF(D1507="Stock",P1507*G1507,IF(P1507=0,"0",G1507*P1507*100-(G1507*$AF$14))))</f>
        <v/>
      </c>
      <c r="R1507" s="79">
        <f>IF(P1507&lt;&gt;"", TODAY(), "")</f>
        <v/>
      </c>
      <c r="S1507" s="78">
        <f>IF(AND(K1507&lt;&gt;"", R1507&lt;&gt;""), R1507-K1507, "")</f>
        <v/>
      </c>
      <c r="T1507" s="78" t="n"/>
      <c r="U1507" s="92">
        <f>IF(ISBLANK(P1507),"",IF(C1507="Buy",Q1507-M1507+T1507, IF(C1507="Sell",M1507-Q1507-T1507, X)))</f>
        <v/>
      </c>
      <c r="V1507" s="81">
        <f>IF(ISBLANK(P1507),"",U1507/N1507)</f>
        <v/>
      </c>
      <c r="W1507" s="81">
        <f>IF(ISBLANK(P1507),"",IF(S1507=0,(365/0.5)*V1507,(365/S1507)*V1507))</f>
        <v/>
      </c>
      <c r="X1507" s="75" t="n"/>
      <c r="Y1507" s="77" t="n"/>
      <c r="Z1507" s="77" t="n"/>
      <c r="AA1507" s="75" t="n"/>
      <c r="AB1507" s="75" t="n"/>
      <c r="AC1507" s="6" t="n"/>
      <c r="AD1507" s="75" t="n"/>
      <c r="AE1507" s="75" t="n"/>
      <c r="AF1507" s="75" t="n"/>
    </row>
    <row r="1508" ht="15.75" customHeight="1" s="133">
      <c r="A1508" s="75" t="n"/>
      <c r="B1508" s="75" t="n"/>
      <c r="C1508" s="75" t="n"/>
      <c r="D1508" s="75" t="n"/>
      <c r="E1508" s="76" t="n"/>
      <c r="F1508" s="77" t="n"/>
      <c r="G1508" s="75" t="n"/>
      <c r="H1508" s="75">
        <f>IF(ISBLANK(E1508),"",IF(OR(D1508="Butterfly",D1508="Butterfly ",D1508="Iron Fly", D1508="Iron Fly "),LEN(E1508)-LEN(SUBSTITUTE(E1508,"/",""))+2,LEN(E1508)-LEN(SUBSTITUTE(E1508,"/",""))+1))</f>
        <v/>
      </c>
      <c r="I1508" s="78">
        <f>IF(ISBLANK(G1508),"",IF(D1508="Stock","0",Key!$A$3*H1508*G1508))</f>
        <v/>
      </c>
      <c r="J1508" s="78">
        <f>IF(ISBLANK(E1508),"",IF(ISNUMBER(SEARCH("/",E1508)), IF(LEN(E1508)-LEN(SUBSTITUTE(E1508,"/",""))=1,(RIGHT(E1508,LEN(E1508)-FIND("/",E1508)))-(LEFT(E1508,FIND("/",E1508)-1)),(MID(E1508, SEARCH("/",E1508) + 1, SEARCH("/",E1508, SEARCH("/",E1508)+1) - SEARCH("/",E1508) - 1))-(LEFT(E1508,FIND("/",E1508)-1))), "NA"))</f>
        <v/>
      </c>
      <c r="K1508" s="79">
        <f>IF(A1508&lt;&gt;"", IF(ISBLANK(L1508), TODAY(), K1508), "")</f>
        <v/>
      </c>
      <c r="L1508" s="78" t="n"/>
      <c r="M1508" s="78">
        <f>IF(ISBLANK(L1508),"",IF(D1508="Stock",IF(C1508="Buy",L1508*G1508,IF(C1508="Sell",(L1508*G1508)-I1508, X)),IF(C1508="Buy",(L1508*G1508*100)+I1508,IF(C1508="Sell",(L1508*G1508*100)-I1508, X))))</f>
        <v/>
      </c>
      <c r="N1508" s="78">
        <f>IF(ISBLANK(L1508),"",IF(AND(C1508="Sell",D1508="Stock"),M1508,IF(ISBLANK(L1508),"",IF(C1508="Buy",M1508, IF(AND(C1508="Sell",J1508="NA"),(E1508*G1508*100*0.1)+I1508, IF(C1508="Sell",(J1508-L1508)*(100*G1508)+I1508))))))</f>
        <v/>
      </c>
      <c r="O1508" s="75" t="n"/>
      <c r="P1508" s="75" t="n"/>
      <c r="Q1508" s="75">
        <f>IF(ISBLANK(P1508),"",IF(D1508="Stock",P1508*G1508,IF(P1508=0,"0",G1508*P1508*100-(G1508*$AF$14))))</f>
        <v/>
      </c>
      <c r="R1508" s="79">
        <f>IF(P1508&lt;&gt;"", TODAY(), "")</f>
        <v/>
      </c>
      <c r="S1508" s="78">
        <f>IF(AND(K1508&lt;&gt;"", R1508&lt;&gt;""), R1508-K1508, "")</f>
        <v/>
      </c>
      <c r="T1508" s="78" t="n"/>
      <c r="U1508" s="92">
        <f>IF(ISBLANK(P1508),"",IF(C1508="Buy",Q1508-M1508+T1508, IF(C1508="Sell",M1508-Q1508-T1508, X)))</f>
        <v/>
      </c>
      <c r="V1508" s="81">
        <f>IF(ISBLANK(P1508),"",U1508/N1508)</f>
        <v/>
      </c>
      <c r="W1508" s="81">
        <f>IF(ISBLANK(P1508),"",IF(S1508=0,(365/0.5)*V1508,(365/S1508)*V1508))</f>
        <v/>
      </c>
      <c r="X1508" s="75" t="n"/>
      <c r="Y1508" s="77" t="n"/>
      <c r="Z1508" s="77" t="n"/>
      <c r="AA1508" s="75" t="n"/>
      <c r="AB1508" s="75" t="n"/>
      <c r="AC1508" s="6" t="n"/>
      <c r="AD1508" s="75" t="n"/>
      <c r="AE1508" s="75" t="n"/>
      <c r="AF1508" s="75" t="n"/>
    </row>
    <row r="1509" ht="15.75" customHeight="1" s="133">
      <c r="A1509" s="75" t="n"/>
      <c r="B1509" s="75" t="n"/>
      <c r="C1509" s="75" t="n"/>
      <c r="D1509" s="75" t="n"/>
      <c r="E1509" s="76" t="n"/>
      <c r="F1509" s="77" t="n"/>
      <c r="G1509" s="75" t="n"/>
      <c r="H1509" s="75">
        <f>IF(ISBLANK(E1509),"",IF(OR(D1509="Butterfly",D1509="Butterfly ",D1509="Iron Fly", D1509="Iron Fly "),LEN(E1509)-LEN(SUBSTITUTE(E1509,"/",""))+2,LEN(E1509)-LEN(SUBSTITUTE(E1509,"/",""))+1))</f>
        <v/>
      </c>
      <c r="I1509" s="78">
        <f>IF(ISBLANK(G1509),"",IF(D1509="Stock","0",Key!$A$3*H1509*G1509))</f>
        <v/>
      </c>
      <c r="J1509" s="78">
        <f>IF(ISBLANK(E1509),"",IF(ISNUMBER(SEARCH("/",E1509)), IF(LEN(E1509)-LEN(SUBSTITUTE(E1509,"/",""))=1,(RIGHT(E1509,LEN(E1509)-FIND("/",E1509)))-(LEFT(E1509,FIND("/",E1509)-1)),(MID(E1509, SEARCH("/",E1509) + 1, SEARCH("/",E1509, SEARCH("/",E1509)+1) - SEARCH("/",E1509) - 1))-(LEFT(E1509,FIND("/",E1509)-1))), "NA"))</f>
        <v/>
      </c>
      <c r="K1509" s="79">
        <f>IF(A1509&lt;&gt;"", IF(ISBLANK(L1509), TODAY(), K1509), "")</f>
        <v/>
      </c>
      <c r="L1509" s="78" t="n"/>
      <c r="M1509" s="78">
        <f>IF(ISBLANK(L1509),"",IF(D1509="Stock",IF(C1509="Buy",L1509*G1509,IF(C1509="Sell",(L1509*G1509)-I1509, X)),IF(C1509="Buy",(L1509*G1509*100)+I1509,IF(C1509="Sell",(L1509*G1509*100)-I1509, X))))</f>
        <v/>
      </c>
      <c r="N1509" s="78">
        <f>IF(ISBLANK(L1509),"",IF(AND(C1509="Sell",D1509="Stock"),M1509,IF(ISBLANK(L1509),"",IF(C1509="Buy",M1509, IF(AND(C1509="Sell",J1509="NA"),(E1509*G1509*100*0.1)+I1509, IF(C1509="Sell",(J1509-L1509)*(100*G1509)+I1509))))))</f>
        <v/>
      </c>
      <c r="O1509" s="75" t="n"/>
      <c r="P1509" s="75" t="n"/>
      <c r="Q1509" s="75">
        <f>IF(ISBLANK(P1509),"",IF(D1509="Stock",P1509*G1509,IF(P1509=0,"0",G1509*P1509*100-(G1509*$AF$14))))</f>
        <v/>
      </c>
      <c r="R1509" s="79">
        <f>IF(P1509&lt;&gt;"", TODAY(), "")</f>
        <v/>
      </c>
      <c r="S1509" s="78">
        <f>IF(AND(K1509&lt;&gt;"", R1509&lt;&gt;""), R1509-K1509, "")</f>
        <v/>
      </c>
      <c r="T1509" s="78" t="n"/>
      <c r="U1509" s="92">
        <f>IF(ISBLANK(P1509),"",IF(C1509="Buy",Q1509-M1509+T1509, IF(C1509="Sell",M1509-Q1509-T1509, X)))</f>
        <v/>
      </c>
      <c r="V1509" s="81">
        <f>IF(ISBLANK(P1509),"",U1509/N1509)</f>
        <v/>
      </c>
      <c r="W1509" s="81">
        <f>IF(ISBLANK(P1509),"",IF(S1509=0,(365/0.5)*V1509,(365/S1509)*V1509))</f>
        <v/>
      </c>
      <c r="X1509" s="75" t="n"/>
      <c r="Y1509" s="77" t="n"/>
      <c r="Z1509" s="77" t="n"/>
      <c r="AA1509" s="75" t="n"/>
      <c r="AB1509" s="75" t="n"/>
      <c r="AC1509" s="6" t="n"/>
      <c r="AD1509" s="75" t="n"/>
      <c r="AE1509" s="75" t="n"/>
      <c r="AF1509" s="75" t="n"/>
    </row>
    <row r="1510" ht="15.75" customHeight="1" s="133">
      <c r="A1510" s="75" t="n"/>
      <c r="B1510" s="75" t="n"/>
      <c r="C1510" s="75" t="n"/>
      <c r="D1510" s="75" t="n"/>
      <c r="E1510" s="76" t="n"/>
      <c r="F1510" s="77" t="n"/>
      <c r="G1510" s="75" t="n"/>
      <c r="H1510" s="75">
        <f>IF(ISBLANK(E1510),"",IF(OR(D1510="Butterfly",D1510="Butterfly ",D1510="Iron Fly", D1510="Iron Fly "),LEN(E1510)-LEN(SUBSTITUTE(E1510,"/",""))+2,LEN(E1510)-LEN(SUBSTITUTE(E1510,"/",""))+1))</f>
        <v/>
      </c>
      <c r="I1510" s="78">
        <f>IF(ISBLANK(G1510),"",IF(D1510="Stock","0",Key!$A$3*H1510*G1510))</f>
        <v/>
      </c>
      <c r="J1510" s="78">
        <f>IF(ISBLANK(E1510),"",IF(ISNUMBER(SEARCH("/",E1510)), IF(LEN(E1510)-LEN(SUBSTITUTE(E1510,"/",""))=1,(RIGHT(E1510,LEN(E1510)-FIND("/",E1510)))-(LEFT(E1510,FIND("/",E1510)-1)),(MID(E1510, SEARCH("/",E1510) + 1, SEARCH("/",E1510, SEARCH("/",E1510)+1) - SEARCH("/",E1510) - 1))-(LEFT(E1510,FIND("/",E1510)-1))), "NA"))</f>
        <v/>
      </c>
      <c r="K1510" s="79">
        <f>IF(A1510&lt;&gt;"", IF(ISBLANK(L1510), TODAY(), K1510), "")</f>
        <v/>
      </c>
      <c r="L1510" s="78" t="n"/>
      <c r="M1510" s="78">
        <f>IF(ISBLANK(L1510),"",IF(D1510="Stock",IF(C1510="Buy",L1510*G1510,IF(C1510="Sell",(L1510*G1510)-I1510, X)),IF(C1510="Buy",(L1510*G1510*100)+I1510,IF(C1510="Sell",(L1510*G1510*100)-I1510, X))))</f>
        <v/>
      </c>
      <c r="N1510" s="78">
        <f>IF(ISBLANK(L1510),"",IF(AND(C1510="Sell",D1510="Stock"),M1510,IF(ISBLANK(L1510),"",IF(C1510="Buy",M1510, IF(AND(C1510="Sell",J1510="NA"),(E1510*G1510*100*0.1)+I1510, IF(C1510="Sell",(J1510-L1510)*(100*G1510)+I1510))))))</f>
        <v/>
      </c>
      <c r="O1510" s="75" t="n"/>
      <c r="P1510" s="75" t="n"/>
      <c r="Q1510" s="75">
        <f>IF(ISBLANK(P1510),"",IF(D1510="Stock",P1510*G1510,IF(P1510=0,"0",G1510*P1510*100-(G1510*$AF$14))))</f>
        <v/>
      </c>
      <c r="R1510" s="79">
        <f>IF(P1510&lt;&gt;"", TODAY(), "")</f>
        <v/>
      </c>
      <c r="S1510" s="78">
        <f>IF(AND(K1510&lt;&gt;"", R1510&lt;&gt;""), R1510-K1510, "")</f>
        <v/>
      </c>
      <c r="T1510" s="78" t="n"/>
      <c r="U1510" s="92">
        <f>IF(ISBLANK(P1510),"",IF(C1510="Buy",Q1510-M1510+T1510, IF(C1510="Sell",M1510-Q1510-T1510, X)))</f>
        <v/>
      </c>
      <c r="V1510" s="81">
        <f>IF(ISBLANK(P1510),"",U1510/N1510)</f>
        <v/>
      </c>
      <c r="W1510" s="81">
        <f>IF(ISBLANK(P1510),"",IF(S1510=0,(365/0.5)*V1510,(365/S1510)*V1510))</f>
        <v/>
      </c>
      <c r="X1510" s="75" t="n"/>
      <c r="Y1510" s="77" t="n"/>
      <c r="Z1510" s="77" t="n"/>
      <c r="AA1510" s="75" t="n"/>
      <c r="AB1510" s="75" t="n"/>
      <c r="AC1510" s="6" t="n"/>
      <c r="AD1510" s="75" t="n"/>
      <c r="AE1510" s="75" t="n"/>
      <c r="AF1510" s="75" t="n"/>
    </row>
    <row r="1511" ht="15.75" customHeight="1" s="133">
      <c r="A1511" s="75" t="n"/>
      <c r="B1511" s="75" t="n"/>
      <c r="C1511" s="75" t="n"/>
      <c r="D1511" s="75" t="n"/>
      <c r="E1511" s="76" t="n"/>
      <c r="F1511" s="77" t="n"/>
      <c r="G1511" s="75" t="n"/>
      <c r="H1511" s="75">
        <f>IF(ISBLANK(E1511),"",IF(OR(D1511="Butterfly",D1511="Butterfly ",D1511="Iron Fly", D1511="Iron Fly "),LEN(E1511)-LEN(SUBSTITUTE(E1511,"/",""))+2,LEN(E1511)-LEN(SUBSTITUTE(E1511,"/",""))+1))</f>
        <v/>
      </c>
      <c r="I1511" s="78">
        <f>IF(ISBLANK(G1511),"",IF(D1511="Stock","0",Key!$A$3*H1511*G1511))</f>
        <v/>
      </c>
      <c r="J1511" s="78">
        <f>IF(ISBLANK(E1511),"",IF(ISNUMBER(SEARCH("/",E1511)), IF(LEN(E1511)-LEN(SUBSTITUTE(E1511,"/",""))=1,(RIGHT(E1511,LEN(E1511)-FIND("/",E1511)))-(LEFT(E1511,FIND("/",E1511)-1)),(MID(E1511, SEARCH("/",E1511) + 1, SEARCH("/",E1511, SEARCH("/",E1511)+1) - SEARCH("/",E1511) - 1))-(LEFT(E1511,FIND("/",E1511)-1))), "NA"))</f>
        <v/>
      </c>
      <c r="K1511" s="79">
        <f>IF(A1511&lt;&gt;"", IF(ISBLANK(L1511), TODAY(), K1511), "")</f>
        <v/>
      </c>
      <c r="L1511" s="78" t="n"/>
      <c r="M1511" s="78">
        <f>IF(ISBLANK(L1511),"",IF(D1511="Stock",IF(C1511="Buy",L1511*G1511,IF(C1511="Sell",(L1511*G1511)-I1511, X)),IF(C1511="Buy",(L1511*G1511*100)+I1511,IF(C1511="Sell",(L1511*G1511*100)-I1511, X))))</f>
        <v/>
      </c>
      <c r="N1511" s="78">
        <f>IF(ISBLANK(L1511),"",IF(AND(C1511="Sell",D1511="Stock"),M1511,IF(ISBLANK(L1511),"",IF(C1511="Buy",M1511, IF(AND(C1511="Sell",J1511="NA"),(E1511*G1511*100*0.1)+I1511, IF(C1511="Sell",(J1511-L1511)*(100*G1511)+I1511))))))</f>
        <v/>
      </c>
      <c r="O1511" s="75" t="n"/>
      <c r="P1511" s="75" t="n"/>
      <c r="Q1511" s="75">
        <f>IF(ISBLANK(P1511),"",IF(D1511="Stock",P1511*G1511,IF(P1511=0,"0",G1511*P1511*100-(G1511*$AF$14))))</f>
        <v/>
      </c>
      <c r="R1511" s="79">
        <f>IF(P1511&lt;&gt;"", TODAY(), "")</f>
        <v/>
      </c>
      <c r="S1511" s="78">
        <f>IF(AND(K1511&lt;&gt;"", R1511&lt;&gt;""), R1511-K1511, "")</f>
        <v/>
      </c>
      <c r="T1511" s="78" t="n"/>
      <c r="U1511" s="92">
        <f>IF(ISBLANK(P1511),"",IF(C1511="Buy",Q1511-M1511+T1511, IF(C1511="Sell",M1511-Q1511-T1511, X)))</f>
        <v/>
      </c>
      <c r="V1511" s="81">
        <f>IF(ISBLANK(P1511),"",U1511/N1511)</f>
        <v/>
      </c>
      <c r="W1511" s="81">
        <f>IF(ISBLANK(P1511),"",IF(S1511=0,(365/0.5)*V1511,(365/S1511)*V1511))</f>
        <v/>
      </c>
      <c r="X1511" s="75" t="n"/>
      <c r="Y1511" s="77" t="n"/>
      <c r="Z1511" s="77" t="n"/>
      <c r="AA1511" s="75" t="n"/>
      <c r="AB1511" s="75" t="n"/>
      <c r="AC1511" s="6" t="n"/>
      <c r="AD1511" s="75" t="n"/>
      <c r="AE1511" s="75" t="n"/>
      <c r="AF1511" s="75" t="n"/>
    </row>
    <row r="1512" ht="15.75" customHeight="1" s="133">
      <c r="A1512" s="75" t="n"/>
      <c r="B1512" s="75" t="n"/>
      <c r="C1512" s="75" t="n"/>
      <c r="D1512" s="75" t="n"/>
      <c r="E1512" s="76" t="n"/>
      <c r="F1512" s="77" t="n"/>
      <c r="G1512" s="75" t="n"/>
      <c r="H1512" s="75">
        <f>IF(ISBLANK(E1512),"",IF(OR(D1512="Butterfly",D1512="Butterfly ",D1512="Iron Fly", D1512="Iron Fly "),LEN(E1512)-LEN(SUBSTITUTE(E1512,"/",""))+2,LEN(E1512)-LEN(SUBSTITUTE(E1512,"/",""))+1))</f>
        <v/>
      </c>
      <c r="I1512" s="78">
        <f>IF(ISBLANK(G1512),"",IF(D1512="Stock","0",Key!$A$3*H1512*G1512))</f>
        <v/>
      </c>
      <c r="J1512" s="78">
        <f>IF(ISBLANK(E1512),"",IF(ISNUMBER(SEARCH("/",E1512)), IF(LEN(E1512)-LEN(SUBSTITUTE(E1512,"/",""))=1,(RIGHT(E1512,LEN(E1512)-FIND("/",E1512)))-(LEFT(E1512,FIND("/",E1512)-1)),(MID(E1512, SEARCH("/",E1512) + 1, SEARCH("/",E1512, SEARCH("/",E1512)+1) - SEARCH("/",E1512) - 1))-(LEFT(E1512,FIND("/",E1512)-1))), "NA"))</f>
        <v/>
      </c>
      <c r="K1512" s="79">
        <f>IF(A1512&lt;&gt;"", IF(ISBLANK(L1512), TODAY(), K1512), "")</f>
        <v/>
      </c>
      <c r="L1512" s="78" t="n"/>
      <c r="M1512" s="78">
        <f>IF(ISBLANK(L1512),"",IF(D1512="Stock",IF(C1512="Buy",L1512*G1512,IF(C1512="Sell",(L1512*G1512)-I1512, X)),IF(C1512="Buy",(L1512*G1512*100)+I1512,IF(C1512="Sell",(L1512*G1512*100)-I1512, X))))</f>
        <v/>
      </c>
      <c r="N1512" s="78">
        <f>IF(ISBLANK(L1512),"",IF(AND(C1512="Sell",D1512="Stock"),M1512,IF(ISBLANK(L1512),"",IF(C1512="Buy",M1512, IF(AND(C1512="Sell",J1512="NA"),(E1512*G1512*100*0.1)+I1512, IF(C1512="Sell",(J1512-L1512)*(100*G1512)+I1512))))))</f>
        <v/>
      </c>
      <c r="O1512" s="75" t="n"/>
      <c r="P1512" s="75" t="n"/>
      <c r="Q1512" s="75">
        <f>IF(ISBLANK(P1512),"",IF(D1512="Stock",P1512*G1512,IF(P1512=0,"0",G1512*P1512*100-(G1512*$AF$14))))</f>
        <v/>
      </c>
      <c r="R1512" s="79">
        <f>IF(P1512&lt;&gt;"", TODAY(), "")</f>
        <v/>
      </c>
      <c r="S1512" s="78">
        <f>IF(AND(K1512&lt;&gt;"", R1512&lt;&gt;""), R1512-K1512, "")</f>
        <v/>
      </c>
      <c r="T1512" s="78" t="n"/>
      <c r="U1512" s="92">
        <f>IF(ISBLANK(P1512),"",IF(C1512="Buy",Q1512-M1512+T1512, IF(C1512="Sell",M1512-Q1512-T1512, X)))</f>
        <v/>
      </c>
      <c r="V1512" s="81">
        <f>IF(ISBLANK(P1512),"",U1512/N1512)</f>
        <v/>
      </c>
      <c r="W1512" s="81">
        <f>IF(ISBLANK(P1512),"",IF(S1512=0,(365/0.5)*V1512,(365/S1512)*V1512))</f>
        <v/>
      </c>
      <c r="X1512" s="75" t="n"/>
      <c r="Y1512" s="77" t="n"/>
      <c r="Z1512" s="77" t="n"/>
      <c r="AA1512" s="75" t="n"/>
      <c r="AB1512" s="75" t="n"/>
      <c r="AC1512" s="6" t="n"/>
      <c r="AD1512" s="75" t="n"/>
      <c r="AE1512" s="75" t="n"/>
      <c r="AF1512" s="75" t="n"/>
    </row>
    <row r="1513" ht="15.75" customHeight="1" s="133">
      <c r="A1513" s="75" t="n"/>
      <c r="B1513" s="75" t="n"/>
      <c r="C1513" s="75" t="n"/>
      <c r="D1513" s="75" t="n"/>
      <c r="E1513" s="76" t="n"/>
      <c r="F1513" s="77" t="n"/>
      <c r="G1513" s="75" t="n"/>
      <c r="H1513" s="75">
        <f>IF(ISBLANK(E1513),"",IF(OR(D1513="Butterfly",D1513="Butterfly ",D1513="Iron Fly", D1513="Iron Fly "),LEN(E1513)-LEN(SUBSTITUTE(E1513,"/",""))+2,LEN(E1513)-LEN(SUBSTITUTE(E1513,"/",""))+1))</f>
        <v/>
      </c>
      <c r="I1513" s="78">
        <f>IF(ISBLANK(G1513),"",IF(D1513="Stock","0",Key!$A$3*H1513*G1513))</f>
        <v/>
      </c>
      <c r="J1513" s="78">
        <f>IF(ISBLANK(E1513),"",IF(ISNUMBER(SEARCH("/",E1513)), IF(LEN(E1513)-LEN(SUBSTITUTE(E1513,"/",""))=1,(RIGHT(E1513,LEN(E1513)-FIND("/",E1513)))-(LEFT(E1513,FIND("/",E1513)-1)),(MID(E1513, SEARCH("/",E1513) + 1, SEARCH("/",E1513, SEARCH("/",E1513)+1) - SEARCH("/",E1513) - 1))-(LEFT(E1513,FIND("/",E1513)-1))), "NA"))</f>
        <v/>
      </c>
      <c r="K1513" s="79">
        <f>IF(A1513&lt;&gt;"", IF(ISBLANK(L1513), TODAY(), K1513), "")</f>
        <v/>
      </c>
      <c r="L1513" s="78" t="n"/>
      <c r="M1513" s="78">
        <f>IF(ISBLANK(L1513),"",IF(D1513="Stock",IF(C1513="Buy",L1513*G1513,IF(C1513="Sell",(L1513*G1513)-I1513, X)),IF(C1513="Buy",(L1513*G1513*100)+I1513,IF(C1513="Sell",(L1513*G1513*100)-I1513, X))))</f>
        <v/>
      </c>
      <c r="N1513" s="78">
        <f>IF(ISBLANK(L1513),"",IF(AND(C1513="Sell",D1513="Stock"),M1513,IF(ISBLANK(L1513),"",IF(C1513="Buy",M1513, IF(AND(C1513="Sell",J1513="NA"),(E1513*G1513*100*0.1)+I1513, IF(C1513="Sell",(J1513-L1513)*(100*G1513)+I1513))))))</f>
        <v/>
      </c>
      <c r="O1513" s="75" t="n"/>
      <c r="P1513" s="75" t="n"/>
      <c r="Q1513" s="75">
        <f>IF(ISBLANK(P1513),"",IF(D1513="Stock",P1513*G1513,IF(P1513=0,"0",G1513*P1513*100-(G1513*$AF$14))))</f>
        <v/>
      </c>
      <c r="R1513" s="79">
        <f>IF(P1513&lt;&gt;"", TODAY(), "")</f>
        <v/>
      </c>
      <c r="S1513" s="78">
        <f>IF(AND(K1513&lt;&gt;"", R1513&lt;&gt;""), R1513-K1513, "")</f>
        <v/>
      </c>
      <c r="T1513" s="78" t="n"/>
      <c r="U1513" s="92">
        <f>IF(ISBLANK(P1513),"",IF(C1513="Buy",Q1513-M1513+T1513, IF(C1513="Sell",M1513-Q1513-T1513, X)))</f>
        <v/>
      </c>
      <c r="V1513" s="81">
        <f>IF(ISBLANK(P1513),"",U1513/N1513)</f>
        <v/>
      </c>
      <c r="W1513" s="81">
        <f>IF(ISBLANK(P1513),"",IF(S1513=0,(365/0.5)*V1513,(365/S1513)*V1513))</f>
        <v/>
      </c>
      <c r="X1513" s="75" t="n"/>
      <c r="Y1513" s="77" t="n"/>
      <c r="Z1513" s="77" t="n"/>
      <c r="AA1513" s="75" t="n"/>
      <c r="AB1513" s="75" t="n"/>
      <c r="AC1513" s="6" t="n"/>
      <c r="AD1513" s="75" t="n"/>
      <c r="AE1513" s="75" t="n"/>
      <c r="AF1513" s="75" t="n"/>
    </row>
    <row r="1514" ht="15.75" customHeight="1" s="133">
      <c r="A1514" s="75" t="n"/>
      <c r="B1514" s="75" t="n"/>
      <c r="C1514" s="75" t="n"/>
      <c r="D1514" s="75" t="n"/>
      <c r="E1514" s="76" t="n"/>
      <c r="F1514" s="77" t="n"/>
      <c r="G1514" s="75" t="n"/>
      <c r="H1514" s="75">
        <f>IF(ISBLANK(E1514),"",IF(OR(D1514="Butterfly",D1514="Butterfly ",D1514="Iron Fly", D1514="Iron Fly "),LEN(E1514)-LEN(SUBSTITUTE(E1514,"/",""))+2,LEN(E1514)-LEN(SUBSTITUTE(E1514,"/",""))+1))</f>
        <v/>
      </c>
      <c r="I1514" s="78">
        <f>IF(ISBLANK(G1514),"",IF(D1514="Stock","0",Key!$A$3*H1514*G1514))</f>
        <v/>
      </c>
      <c r="J1514" s="78">
        <f>IF(ISBLANK(E1514),"",IF(ISNUMBER(SEARCH("/",E1514)), IF(LEN(E1514)-LEN(SUBSTITUTE(E1514,"/",""))=1,(RIGHT(E1514,LEN(E1514)-FIND("/",E1514)))-(LEFT(E1514,FIND("/",E1514)-1)),(MID(E1514, SEARCH("/",E1514) + 1, SEARCH("/",E1514, SEARCH("/",E1514)+1) - SEARCH("/",E1514) - 1))-(LEFT(E1514,FIND("/",E1514)-1))), "NA"))</f>
        <v/>
      </c>
      <c r="K1514" s="79">
        <f>IF(A1514&lt;&gt;"", IF(ISBLANK(L1514), TODAY(), K1514), "")</f>
        <v/>
      </c>
      <c r="L1514" s="78" t="n"/>
      <c r="M1514" s="78">
        <f>IF(ISBLANK(L1514),"",IF(D1514="Stock",IF(C1514="Buy",L1514*G1514,IF(C1514="Sell",(L1514*G1514)-I1514, X)),IF(C1514="Buy",(L1514*G1514*100)+I1514,IF(C1514="Sell",(L1514*G1514*100)-I1514, X))))</f>
        <v/>
      </c>
      <c r="N1514" s="78">
        <f>IF(ISBLANK(L1514),"",IF(AND(C1514="Sell",D1514="Stock"),M1514,IF(ISBLANK(L1514),"",IF(C1514="Buy",M1514, IF(AND(C1514="Sell",J1514="NA"),(E1514*G1514*100*0.1)+I1514, IF(C1514="Sell",(J1514-L1514)*(100*G1514)+I1514))))))</f>
        <v/>
      </c>
      <c r="O1514" s="75" t="n"/>
      <c r="P1514" s="75" t="n"/>
      <c r="Q1514" s="75">
        <f>IF(ISBLANK(P1514),"",IF(D1514="Stock",P1514*G1514,IF(P1514=0,"0",G1514*P1514*100-(G1514*$AF$14))))</f>
        <v/>
      </c>
      <c r="R1514" s="79">
        <f>IF(P1514&lt;&gt;"", TODAY(), "")</f>
        <v/>
      </c>
      <c r="S1514" s="78">
        <f>IF(AND(K1514&lt;&gt;"", R1514&lt;&gt;""), R1514-K1514, "")</f>
        <v/>
      </c>
      <c r="T1514" s="78" t="n"/>
      <c r="U1514" s="92">
        <f>IF(ISBLANK(P1514),"",IF(C1514="Buy",Q1514-M1514+T1514, IF(C1514="Sell",M1514-Q1514-T1514, X)))</f>
        <v/>
      </c>
      <c r="V1514" s="81">
        <f>IF(ISBLANK(P1514),"",U1514/N1514)</f>
        <v/>
      </c>
      <c r="W1514" s="81">
        <f>IF(ISBLANK(P1514),"",IF(S1514=0,(365/0.5)*V1514,(365/S1514)*V1514))</f>
        <v/>
      </c>
      <c r="X1514" s="75" t="n"/>
      <c r="Y1514" s="77" t="n"/>
      <c r="Z1514" s="77" t="n"/>
      <c r="AA1514" s="75" t="n"/>
      <c r="AB1514" s="75" t="n"/>
      <c r="AC1514" s="6" t="n"/>
      <c r="AD1514" s="75" t="n"/>
      <c r="AE1514" s="75" t="n"/>
      <c r="AF1514" s="75" t="n"/>
    </row>
    <row r="1515" ht="15.75" customHeight="1" s="133">
      <c r="A1515" s="75" t="n"/>
      <c r="B1515" s="75" t="n"/>
      <c r="C1515" s="75" t="n"/>
      <c r="D1515" s="75" t="n"/>
      <c r="E1515" s="76" t="n"/>
      <c r="F1515" s="77" t="n"/>
      <c r="G1515" s="75" t="n"/>
      <c r="H1515" s="75">
        <f>IF(ISBLANK(E1515),"",IF(OR(D1515="Butterfly",D1515="Butterfly ",D1515="Iron Fly", D1515="Iron Fly "),LEN(E1515)-LEN(SUBSTITUTE(E1515,"/",""))+2,LEN(E1515)-LEN(SUBSTITUTE(E1515,"/",""))+1))</f>
        <v/>
      </c>
      <c r="I1515" s="78">
        <f>IF(ISBLANK(G1515),"",IF(D1515="Stock","0",Key!$A$3*H1515*G1515))</f>
        <v/>
      </c>
      <c r="J1515" s="78">
        <f>IF(ISBLANK(E1515),"",IF(ISNUMBER(SEARCH("/",E1515)), IF(LEN(E1515)-LEN(SUBSTITUTE(E1515,"/",""))=1,(RIGHT(E1515,LEN(E1515)-FIND("/",E1515)))-(LEFT(E1515,FIND("/",E1515)-1)),(MID(E1515, SEARCH("/",E1515) + 1, SEARCH("/",E1515, SEARCH("/",E1515)+1) - SEARCH("/",E1515) - 1))-(LEFT(E1515,FIND("/",E1515)-1))), "NA"))</f>
        <v/>
      </c>
      <c r="K1515" s="79">
        <f>IF(A1515&lt;&gt;"", IF(ISBLANK(L1515), TODAY(), K1515), "")</f>
        <v/>
      </c>
      <c r="L1515" s="78" t="n"/>
      <c r="M1515" s="78">
        <f>IF(ISBLANK(L1515),"",IF(D1515="Stock",IF(C1515="Buy",L1515*G1515,IF(C1515="Sell",(L1515*G1515)-I1515, X)),IF(C1515="Buy",(L1515*G1515*100)+I1515,IF(C1515="Sell",(L1515*G1515*100)-I1515, X))))</f>
        <v/>
      </c>
      <c r="N1515" s="78">
        <f>IF(ISBLANK(L1515),"",IF(AND(C1515="Sell",D1515="Stock"),M1515,IF(ISBLANK(L1515),"",IF(C1515="Buy",M1515, IF(AND(C1515="Sell",J1515="NA"),(E1515*G1515*100*0.1)+I1515, IF(C1515="Sell",(J1515-L1515)*(100*G1515)+I1515))))))</f>
        <v/>
      </c>
      <c r="O1515" s="75" t="n"/>
      <c r="P1515" s="75" t="n"/>
      <c r="Q1515" s="75">
        <f>IF(ISBLANK(P1515),"",IF(D1515="Stock",P1515*G1515,IF(P1515=0,"0",G1515*P1515*100-(G1515*$AF$14))))</f>
        <v/>
      </c>
      <c r="R1515" s="79">
        <f>IF(P1515&lt;&gt;"", TODAY(), "")</f>
        <v/>
      </c>
      <c r="S1515" s="78">
        <f>IF(AND(K1515&lt;&gt;"", R1515&lt;&gt;""), R1515-K1515, "")</f>
        <v/>
      </c>
      <c r="T1515" s="78" t="n"/>
      <c r="U1515" s="92">
        <f>IF(ISBLANK(P1515),"",IF(C1515="Buy",Q1515-M1515+T1515, IF(C1515="Sell",M1515-Q1515-T1515, X)))</f>
        <v/>
      </c>
      <c r="V1515" s="81">
        <f>IF(ISBLANK(P1515),"",U1515/N1515)</f>
        <v/>
      </c>
      <c r="W1515" s="81">
        <f>IF(ISBLANK(P1515),"",IF(S1515=0,(365/0.5)*V1515,(365/S1515)*V1515))</f>
        <v/>
      </c>
      <c r="X1515" s="75" t="n"/>
      <c r="Y1515" s="77" t="n"/>
      <c r="Z1515" s="77" t="n"/>
      <c r="AA1515" s="75" t="n"/>
      <c r="AB1515" s="75" t="n"/>
      <c r="AC1515" s="6" t="n"/>
      <c r="AD1515" s="75" t="n"/>
      <c r="AE1515" s="75" t="n"/>
      <c r="AF1515" s="75" t="n"/>
    </row>
    <row r="1516" ht="15.75" customHeight="1" s="133">
      <c r="A1516" s="75" t="n"/>
      <c r="B1516" s="75" t="n"/>
      <c r="C1516" s="75" t="n"/>
      <c r="D1516" s="75" t="n"/>
      <c r="E1516" s="76" t="n"/>
      <c r="F1516" s="77" t="n"/>
      <c r="G1516" s="75" t="n"/>
      <c r="H1516" s="75">
        <f>IF(ISBLANK(E1516),"",IF(OR(D1516="Butterfly",D1516="Butterfly ",D1516="Iron Fly", D1516="Iron Fly "),LEN(E1516)-LEN(SUBSTITUTE(E1516,"/",""))+2,LEN(E1516)-LEN(SUBSTITUTE(E1516,"/",""))+1))</f>
        <v/>
      </c>
      <c r="I1516" s="78">
        <f>IF(ISBLANK(G1516),"",IF(D1516="Stock","0",Key!$A$3*H1516*G1516))</f>
        <v/>
      </c>
      <c r="J1516" s="78">
        <f>IF(ISBLANK(E1516),"",IF(ISNUMBER(SEARCH("/",E1516)), IF(LEN(E1516)-LEN(SUBSTITUTE(E1516,"/",""))=1,(RIGHT(E1516,LEN(E1516)-FIND("/",E1516)))-(LEFT(E1516,FIND("/",E1516)-1)),(MID(E1516, SEARCH("/",E1516) + 1, SEARCH("/",E1516, SEARCH("/",E1516)+1) - SEARCH("/",E1516) - 1))-(LEFT(E1516,FIND("/",E1516)-1))), "NA"))</f>
        <v/>
      </c>
      <c r="K1516" s="79">
        <f>IF(A1516&lt;&gt;"", IF(ISBLANK(L1516), TODAY(), K1516), "")</f>
        <v/>
      </c>
      <c r="L1516" s="78" t="n"/>
      <c r="M1516" s="78">
        <f>IF(ISBLANK(L1516),"",IF(D1516="Stock",IF(C1516="Buy",L1516*G1516,IF(C1516="Sell",(L1516*G1516)-I1516, X)),IF(C1516="Buy",(L1516*G1516*100)+I1516,IF(C1516="Sell",(L1516*G1516*100)-I1516, X))))</f>
        <v/>
      </c>
      <c r="N1516" s="78">
        <f>IF(ISBLANK(L1516),"",IF(AND(C1516="Sell",D1516="Stock"),M1516,IF(ISBLANK(L1516),"",IF(C1516="Buy",M1516, IF(AND(C1516="Sell",J1516="NA"),(E1516*G1516*100*0.1)+I1516, IF(C1516="Sell",(J1516-L1516)*(100*G1516)+I1516))))))</f>
        <v/>
      </c>
      <c r="O1516" s="75" t="n"/>
      <c r="P1516" s="75" t="n"/>
      <c r="Q1516" s="75">
        <f>IF(ISBLANK(P1516),"",IF(D1516="Stock",P1516*G1516,IF(P1516=0,"0",G1516*P1516*100-(G1516*$AF$14))))</f>
        <v/>
      </c>
      <c r="R1516" s="79">
        <f>IF(P1516&lt;&gt;"", TODAY(), "")</f>
        <v/>
      </c>
      <c r="S1516" s="78">
        <f>IF(AND(K1516&lt;&gt;"", R1516&lt;&gt;""), R1516-K1516, "")</f>
        <v/>
      </c>
      <c r="T1516" s="78" t="n"/>
      <c r="U1516" s="92">
        <f>IF(ISBLANK(P1516),"",IF(C1516="Buy",Q1516-M1516+T1516, IF(C1516="Sell",M1516-Q1516-T1516, X)))</f>
        <v/>
      </c>
      <c r="V1516" s="81">
        <f>IF(ISBLANK(P1516),"",U1516/N1516)</f>
        <v/>
      </c>
      <c r="W1516" s="81">
        <f>IF(ISBLANK(P1516),"",IF(S1516=0,(365/0.5)*V1516,(365/S1516)*V1516))</f>
        <v/>
      </c>
      <c r="X1516" s="75" t="n"/>
      <c r="Y1516" s="77" t="n"/>
      <c r="Z1516" s="77" t="n"/>
      <c r="AA1516" s="75" t="n"/>
      <c r="AB1516" s="75" t="n"/>
      <c r="AC1516" s="6" t="n"/>
      <c r="AD1516" s="75" t="n"/>
      <c r="AE1516" s="75" t="n"/>
      <c r="AF1516" s="75" t="n"/>
    </row>
    <row r="1517" ht="15.75" customHeight="1" s="133">
      <c r="A1517" s="75" t="n"/>
      <c r="B1517" s="75" t="n"/>
      <c r="C1517" s="75" t="n"/>
      <c r="D1517" s="75" t="n"/>
      <c r="E1517" s="76" t="n"/>
      <c r="F1517" s="77" t="n"/>
      <c r="G1517" s="75" t="n"/>
      <c r="H1517" s="75">
        <f>IF(ISBLANK(E1517),"",IF(OR(D1517="Butterfly",D1517="Butterfly ",D1517="Iron Fly", D1517="Iron Fly "),LEN(E1517)-LEN(SUBSTITUTE(E1517,"/",""))+2,LEN(E1517)-LEN(SUBSTITUTE(E1517,"/",""))+1))</f>
        <v/>
      </c>
      <c r="I1517" s="78">
        <f>IF(ISBLANK(G1517),"",IF(D1517="Stock","0",Key!$A$3*H1517*G1517))</f>
        <v/>
      </c>
      <c r="J1517" s="78">
        <f>IF(ISBLANK(E1517),"",IF(ISNUMBER(SEARCH("/",E1517)), IF(LEN(E1517)-LEN(SUBSTITUTE(E1517,"/",""))=1,(RIGHT(E1517,LEN(E1517)-FIND("/",E1517)))-(LEFT(E1517,FIND("/",E1517)-1)),(MID(E1517, SEARCH("/",E1517) + 1, SEARCH("/",E1517, SEARCH("/",E1517)+1) - SEARCH("/",E1517) - 1))-(LEFT(E1517,FIND("/",E1517)-1))), "NA"))</f>
        <v/>
      </c>
      <c r="K1517" s="79">
        <f>IF(A1517&lt;&gt;"", IF(ISBLANK(L1517), TODAY(), K1517), "")</f>
        <v/>
      </c>
      <c r="L1517" s="78" t="n"/>
      <c r="M1517" s="78">
        <f>IF(ISBLANK(L1517),"",IF(D1517="Stock",IF(C1517="Buy",L1517*G1517,IF(C1517="Sell",(L1517*G1517)-I1517, X)),IF(C1517="Buy",(L1517*G1517*100)+I1517,IF(C1517="Sell",(L1517*G1517*100)-I1517, X))))</f>
        <v/>
      </c>
      <c r="N1517" s="78">
        <f>IF(ISBLANK(L1517),"",IF(AND(C1517="Sell",D1517="Stock"),M1517,IF(ISBLANK(L1517),"",IF(C1517="Buy",M1517, IF(AND(C1517="Sell",J1517="NA"),(E1517*G1517*100*0.1)+I1517, IF(C1517="Sell",(J1517-L1517)*(100*G1517)+I1517))))))</f>
        <v/>
      </c>
      <c r="O1517" s="75" t="n"/>
      <c r="P1517" s="75" t="n"/>
      <c r="Q1517" s="75">
        <f>IF(ISBLANK(P1517),"",IF(D1517="Stock",P1517*G1517,IF(P1517=0,"0",G1517*P1517*100-(G1517*$AF$14))))</f>
        <v/>
      </c>
      <c r="R1517" s="79">
        <f>IF(P1517&lt;&gt;"", TODAY(), "")</f>
        <v/>
      </c>
      <c r="S1517" s="78">
        <f>IF(AND(K1517&lt;&gt;"", R1517&lt;&gt;""), R1517-K1517, "")</f>
        <v/>
      </c>
      <c r="T1517" s="78" t="n"/>
      <c r="U1517" s="92">
        <f>IF(ISBLANK(P1517),"",IF(C1517="Buy",Q1517-M1517+T1517, IF(C1517="Sell",M1517-Q1517-T1517, X)))</f>
        <v/>
      </c>
      <c r="V1517" s="81">
        <f>IF(ISBLANK(P1517),"",U1517/N1517)</f>
        <v/>
      </c>
      <c r="W1517" s="81">
        <f>IF(ISBLANK(P1517),"",IF(S1517=0,(365/0.5)*V1517,(365/S1517)*V1517))</f>
        <v/>
      </c>
      <c r="X1517" s="75" t="n"/>
      <c r="Y1517" s="77" t="n"/>
      <c r="Z1517" s="77" t="n"/>
      <c r="AA1517" s="75" t="n"/>
      <c r="AB1517" s="75" t="n"/>
      <c r="AC1517" s="6" t="n"/>
      <c r="AD1517" s="75" t="n"/>
      <c r="AE1517" s="75" t="n"/>
      <c r="AF1517" s="75" t="n"/>
    </row>
    <row r="1518" ht="15.75" customHeight="1" s="133">
      <c r="A1518" s="75" t="n"/>
      <c r="B1518" s="75" t="n"/>
      <c r="C1518" s="75" t="n"/>
      <c r="D1518" s="75" t="n"/>
      <c r="E1518" s="76" t="n"/>
      <c r="F1518" s="77" t="n"/>
      <c r="G1518" s="75" t="n"/>
      <c r="H1518" s="75">
        <f>IF(ISBLANK(E1518),"",IF(OR(D1518="Butterfly",D1518="Butterfly ",D1518="Iron Fly", D1518="Iron Fly "),LEN(E1518)-LEN(SUBSTITUTE(E1518,"/",""))+2,LEN(E1518)-LEN(SUBSTITUTE(E1518,"/",""))+1))</f>
        <v/>
      </c>
      <c r="I1518" s="78">
        <f>IF(ISBLANK(G1518),"",IF(D1518="Stock","0",Key!$A$3*H1518*G1518))</f>
        <v/>
      </c>
      <c r="J1518" s="78">
        <f>IF(ISBLANK(E1518),"",IF(ISNUMBER(SEARCH("/",E1518)), IF(LEN(E1518)-LEN(SUBSTITUTE(E1518,"/",""))=1,(RIGHT(E1518,LEN(E1518)-FIND("/",E1518)))-(LEFT(E1518,FIND("/",E1518)-1)),(MID(E1518, SEARCH("/",E1518) + 1, SEARCH("/",E1518, SEARCH("/",E1518)+1) - SEARCH("/",E1518) - 1))-(LEFT(E1518,FIND("/",E1518)-1))), "NA"))</f>
        <v/>
      </c>
      <c r="K1518" s="79">
        <f>IF(A1518&lt;&gt;"", IF(ISBLANK(L1518), TODAY(), K1518), "")</f>
        <v/>
      </c>
      <c r="L1518" s="78" t="n"/>
      <c r="M1518" s="78">
        <f>IF(ISBLANK(L1518),"",IF(D1518="Stock",IF(C1518="Buy",L1518*G1518,IF(C1518="Sell",(L1518*G1518)-I1518, X)),IF(C1518="Buy",(L1518*G1518*100)+I1518,IF(C1518="Sell",(L1518*G1518*100)-I1518, X))))</f>
        <v/>
      </c>
      <c r="N1518" s="78">
        <f>IF(ISBLANK(L1518),"",IF(AND(C1518="Sell",D1518="Stock"),M1518,IF(ISBLANK(L1518),"",IF(C1518="Buy",M1518, IF(AND(C1518="Sell",J1518="NA"),(E1518*G1518*100*0.1)+I1518, IF(C1518="Sell",(J1518-L1518)*(100*G1518)+I1518))))))</f>
        <v/>
      </c>
      <c r="O1518" s="75" t="n"/>
      <c r="P1518" s="75" t="n"/>
      <c r="Q1518" s="75">
        <f>IF(ISBLANK(P1518),"",IF(D1518="Stock",P1518*G1518,IF(P1518=0,"0",G1518*P1518*100-(G1518*$AF$14))))</f>
        <v/>
      </c>
      <c r="R1518" s="79">
        <f>IF(P1518&lt;&gt;"", TODAY(), "")</f>
        <v/>
      </c>
      <c r="S1518" s="78">
        <f>IF(AND(K1518&lt;&gt;"", R1518&lt;&gt;""), R1518-K1518, "")</f>
        <v/>
      </c>
      <c r="T1518" s="78" t="n"/>
      <c r="U1518" s="92">
        <f>IF(ISBLANK(P1518),"",IF(C1518="Buy",Q1518-M1518+T1518, IF(C1518="Sell",M1518-Q1518-T1518, X)))</f>
        <v/>
      </c>
      <c r="V1518" s="81">
        <f>IF(ISBLANK(P1518),"",U1518/N1518)</f>
        <v/>
      </c>
      <c r="W1518" s="81">
        <f>IF(ISBLANK(P1518),"",IF(S1518=0,(365/0.5)*V1518,(365/S1518)*V1518))</f>
        <v/>
      </c>
      <c r="X1518" s="75" t="n"/>
      <c r="Y1518" s="77" t="n"/>
      <c r="Z1518" s="77" t="n"/>
      <c r="AA1518" s="75" t="n"/>
      <c r="AB1518" s="75" t="n"/>
      <c r="AC1518" s="6" t="n"/>
      <c r="AD1518" s="75" t="n"/>
      <c r="AE1518" s="75" t="n"/>
      <c r="AF1518" s="75" t="n"/>
    </row>
    <row r="1519" ht="15.75" customHeight="1" s="133">
      <c r="A1519" s="75" t="n"/>
      <c r="B1519" s="75" t="n"/>
      <c r="C1519" s="75" t="n"/>
      <c r="D1519" s="75" t="n"/>
      <c r="E1519" s="76" t="n"/>
      <c r="F1519" s="77" t="n"/>
      <c r="G1519" s="75" t="n"/>
      <c r="H1519" s="75">
        <f>IF(ISBLANK(E1519),"",IF(OR(D1519="Butterfly",D1519="Butterfly ",D1519="Iron Fly", D1519="Iron Fly "),LEN(E1519)-LEN(SUBSTITUTE(E1519,"/",""))+2,LEN(E1519)-LEN(SUBSTITUTE(E1519,"/",""))+1))</f>
        <v/>
      </c>
      <c r="I1519" s="78">
        <f>IF(ISBLANK(G1519),"",IF(D1519="Stock","0",Key!$A$3*H1519*G1519))</f>
        <v/>
      </c>
      <c r="J1519" s="78">
        <f>IF(ISBLANK(E1519),"",IF(ISNUMBER(SEARCH("/",E1519)), IF(LEN(E1519)-LEN(SUBSTITUTE(E1519,"/",""))=1,(RIGHT(E1519,LEN(E1519)-FIND("/",E1519)))-(LEFT(E1519,FIND("/",E1519)-1)),(MID(E1519, SEARCH("/",E1519) + 1, SEARCH("/",E1519, SEARCH("/",E1519)+1) - SEARCH("/",E1519) - 1))-(LEFT(E1519,FIND("/",E1519)-1))), "NA"))</f>
        <v/>
      </c>
      <c r="K1519" s="79">
        <f>IF(A1519&lt;&gt;"", IF(ISBLANK(L1519), TODAY(), K1519), "")</f>
        <v/>
      </c>
      <c r="L1519" s="78" t="n"/>
      <c r="M1519" s="78">
        <f>IF(ISBLANK(L1519),"",IF(D1519="Stock",IF(C1519="Buy",L1519*G1519,IF(C1519="Sell",(L1519*G1519)-I1519, X)),IF(C1519="Buy",(L1519*G1519*100)+I1519,IF(C1519="Sell",(L1519*G1519*100)-I1519, X))))</f>
        <v/>
      </c>
      <c r="N1519" s="78">
        <f>IF(ISBLANK(L1519),"",IF(AND(C1519="Sell",D1519="Stock"),M1519,IF(ISBLANK(L1519),"",IF(C1519="Buy",M1519, IF(AND(C1519="Sell",J1519="NA"),(E1519*G1519*100*0.1)+I1519, IF(C1519="Sell",(J1519-L1519)*(100*G1519)+I1519))))))</f>
        <v/>
      </c>
      <c r="O1519" s="75" t="n"/>
      <c r="P1519" s="75" t="n"/>
      <c r="Q1519" s="75">
        <f>IF(ISBLANK(P1519),"",IF(D1519="Stock",P1519*G1519,IF(P1519=0,"0",G1519*P1519*100-(G1519*$AF$14))))</f>
        <v/>
      </c>
      <c r="R1519" s="79">
        <f>IF(P1519&lt;&gt;"", TODAY(), "")</f>
        <v/>
      </c>
      <c r="S1519" s="78">
        <f>IF(AND(K1519&lt;&gt;"", R1519&lt;&gt;""), R1519-K1519, "")</f>
        <v/>
      </c>
      <c r="T1519" s="78" t="n"/>
      <c r="U1519" s="92">
        <f>IF(ISBLANK(P1519),"",IF(C1519="Buy",Q1519-M1519+T1519, IF(C1519="Sell",M1519-Q1519-T1519, X)))</f>
        <v/>
      </c>
      <c r="V1519" s="81">
        <f>IF(ISBLANK(P1519),"",U1519/N1519)</f>
        <v/>
      </c>
      <c r="W1519" s="81">
        <f>IF(ISBLANK(P1519),"",IF(S1519=0,(365/0.5)*V1519,(365/S1519)*V1519))</f>
        <v/>
      </c>
      <c r="X1519" s="75" t="n"/>
      <c r="Y1519" s="77" t="n"/>
      <c r="Z1519" s="77" t="n"/>
      <c r="AA1519" s="75" t="n"/>
      <c r="AB1519" s="75" t="n"/>
      <c r="AC1519" s="6" t="n"/>
      <c r="AD1519" s="75" t="n"/>
      <c r="AE1519" s="75" t="n"/>
      <c r="AF1519" s="75" t="n"/>
    </row>
    <row r="1520" ht="15.75" customHeight="1" s="133">
      <c r="A1520" s="75" t="n"/>
      <c r="B1520" s="75" t="n"/>
      <c r="C1520" s="75" t="n"/>
      <c r="D1520" s="75" t="n"/>
      <c r="E1520" s="76" t="n"/>
      <c r="F1520" s="77" t="n"/>
      <c r="G1520" s="75" t="n"/>
      <c r="H1520" s="75">
        <f>IF(ISBLANK(E1520),"",IF(OR(D1520="Butterfly",D1520="Butterfly ",D1520="Iron Fly", D1520="Iron Fly "),LEN(E1520)-LEN(SUBSTITUTE(E1520,"/",""))+2,LEN(E1520)-LEN(SUBSTITUTE(E1520,"/",""))+1))</f>
        <v/>
      </c>
      <c r="I1520" s="78">
        <f>IF(ISBLANK(G1520),"",IF(D1520="Stock","0",Key!$A$3*H1520*G1520))</f>
        <v/>
      </c>
      <c r="J1520" s="78">
        <f>IF(ISBLANK(E1520),"",IF(ISNUMBER(SEARCH("/",E1520)), IF(LEN(E1520)-LEN(SUBSTITUTE(E1520,"/",""))=1,(RIGHT(E1520,LEN(E1520)-FIND("/",E1520)))-(LEFT(E1520,FIND("/",E1520)-1)),(MID(E1520, SEARCH("/",E1520) + 1, SEARCH("/",E1520, SEARCH("/",E1520)+1) - SEARCH("/",E1520) - 1))-(LEFT(E1520,FIND("/",E1520)-1))), "NA"))</f>
        <v/>
      </c>
      <c r="K1520" s="79">
        <f>IF(A1520&lt;&gt;"", IF(ISBLANK(L1520), TODAY(), K1520), "")</f>
        <v/>
      </c>
      <c r="L1520" s="78" t="n"/>
      <c r="M1520" s="78">
        <f>IF(ISBLANK(L1520),"",IF(D1520="Stock",IF(C1520="Buy",L1520*G1520,IF(C1520="Sell",(L1520*G1520)-I1520, X)),IF(C1520="Buy",(L1520*G1520*100)+I1520,IF(C1520="Sell",(L1520*G1520*100)-I1520, X))))</f>
        <v/>
      </c>
      <c r="N1520" s="78">
        <f>IF(ISBLANK(L1520),"",IF(AND(C1520="Sell",D1520="Stock"),M1520,IF(ISBLANK(L1520),"",IF(C1520="Buy",M1520, IF(AND(C1520="Sell",J1520="NA"),(E1520*G1520*100*0.1)+I1520, IF(C1520="Sell",(J1520-L1520)*(100*G1520)+I1520))))))</f>
        <v/>
      </c>
      <c r="O1520" s="75" t="n"/>
      <c r="P1520" s="75" t="n"/>
      <c r="Q1520" s="75">
        <f>IF(ISBLANK(P1520),"",IF(D1520="Stock",P1520*G1520,IF(P1520=0,"0",G1520*P1520*100-(G1520*$AF$14))))</f>
        <v/>
      </c>
      <c r="R1520" s="79">
        <f>IF(P1520&lt;&gt;"", TODAY(), "")</f>
        <v/>
      </c>
      <c r="S1520" s="78">
        <f>IF(AND(K1520&lt;&gt;"", R1520&lt;&gt;""), R1520-K1520, "")</f>
        <v/>
      </c>
      <c r="T1520" s="78" t="n"/>
      <c r="U1520" s="92">
        <f>IF(ISBLANK(P1520),"",IF(C1520="Buy",Q1520-M1520+T1520, IF(C1520="Sell",M1520-Q1520-T1520, X)))</f>
        <v/>
      </c>
      <c r="V1520" s="81">
        <f>IF(ISBLANK(P1520),"",U1520/N1520)</f>
        <v/>
      </c>
      <c r="W1520" s="81">
        <f>IF(ISBLANK(P1520),"",IF(S1520=0,(365/0.5)*V1520,(365/S1520)*V1520))</f>
        <v/>
      </c>
      <c r="X1520" s="75" t="n"/>
      <c r="Y1520" s="77" t="n"/>
      <c r="Z1520" s="77" t="n"/>
      <c r="AA1520" s="75" t="n"/>
      <c r="AB1520" s="75" t="n"/>
      <c r="AC1520" s="6" t="n"/>
      <c r="AD1520" s="75" t="n"/>
      <c r="AE1520" s="75" t="n"/>
      <c r="AF1520" s="75" t="n"/>
    </row>
    <row r="1521" ht="15.75" customHeight="1" s="133">
      <c r="A1521" s="75" t="n"/>
      <c r="B1521" s="75" t="n"/>
      <c r="C1521" s="75" t="n"/>
      <c r="D1521" s="75" t="n"/>
      <c r="E1521" s="76" t="n"/>
      <c r="F1521" s="77" t="n"/>
      <c r="G1521" s="75" t="n"/>
      <c r="H1521" s="75">
        <f>IF(ISBLANK(E1521),"",IF(OR(D1521="Butterfly",D1521="Butterfly ",D1521="Iron Fly", D1521="Iron Fly "),LEN(E1521)-LEN(SUBSTITUTE(E1521,"/",""))+2,LEN(E1521)-LEN(SUBSTITUTE(E1521,"/",""))+1))</f>
        <v/>
      </c>
      <c r="I1521" s="78">
        <f>IF(ISBLANK(G1521),"",IF(D1521="Stock","0",Key!$A$3*H1521*G1521))</f>
        <v/>
      </c>
      <c r="J1521" s="78">
        <f>IF(ISBLANK(E1521),"",IF(ISNUMBER(SEARCH("/",E1521)), IF(LEN(E1521)-LEN(SUBSTITUTE(E1521,"/",""))=1,(RIGHT(E1521,LEN(E1521)-FIND("/",E1521)))-(LEFT(E1521,FIND("/",E1521)-1)),(MID(E1521, SEARCH("/",E1521) + 1, SEARCH("/",E1521, SEARCH("/",E1521)+1) - SEARCH("/",E1521) - 1))-(LEFT(E1521,FIND("/",E1521)-1))), "NA"))</f>
        <v/>
      </c>
      <c r="K1521" s="79">
        <f>IF(A1521&lt;&gt;"", IF(ISBLANK(L1521), TODAY(), K1521), "")</f>
        <v/>
      </c>
      <c r="L1521" s="78" t="n"/>
      <c r="M1521" s="78">
        <f>IF(ISBLANK(L1521),"",IF(D1521="Stock",IF(C1521="Buy",L1521*G1521,IF(C1521="Sell",(L1521*G1521)-I1521, X)),IF(C1521="Buy",(L1521*G1521*100)+I1521,IF(C1521="Sell",(L1521*G1521*100)-I1521, X))))</f>
        <v/>
      </c>
      <c r="N1521" s="78">
        <f>IF(ISBLANK(L1521),"",IF(AND(C1521="Sell",D1521="Stock"),M1521,IF(ISBLANK(L1521),"",IF(C1521="Buy",M1521, IF(AND(C1521="Sell",J1521="NA"),(E1521*G1521*100*0.1)+I1521, IF(C1521="Sell",(J1521-L1521)*(100*G1521)+I1521))))))</f>
        <v/>
      </c>
      <c r="O1521" s="75" t="n"/>
      <c r="P1521" s="75" t="n"/>
      <c r="Q1521" s="75">
        <f>IF(ISBLANK(P1521),"",IF(D1521="Stock",P1521*G1521,IF(P1521=0,"0",G1521*P1521*100-(G1521*$AF$14))))</f>
        <v/>
      </c>
      <c r="R1521" s="79">
        <f>IF(P1521&lt;&gt;"", TODAY(), "")</f>
        <v/>
      </c>
      <c r="S1521" s="78">
        <f>IF(AND(K1521&lt;&gt;"", R1521&lt;&gt;""), R1521-K1521, "")</f>
        <v/>
      </c>
      <c r="T1521" s="78" t="n"/>
      <c r="U1521" s="92">
        <f>IF(ISBLANK(P1521),"",IF(C1521="Buy",Q1521-M1521+T1521, IF(C1521="Sell",M1521-Q1521-T1521, X)))</f>
        <v/>
      </c>
      <c r="V1521" s="81">
        <f>IF(ISBLANK(P1521),"",U1521/N1521)</f>
        <v/>
      </c>
      <c r="W1521" s="81">
        <f>IF(ISBLANK(P1521),"",IF(S1521=0,(365/0.5)*V1521,(365/S1521)*V1521))</f>
        <v/>
      </c>
      <c r="X1521" s="75" t="n"/>
      <c r="Y1521" s="77" t="n"/>
      <c r="Z1521" s="77" t="n"/>
      <c r="AA1521" s="75" t="n"/>
      <c r="AB1521" s="75" t="n"/>
      <c r="AC1521" s="6" t="n"/>
      <c r="AD1521" s="75" t="n"/>
      <c r="AE1521" s="75" t="n"/>
      <c r="AF1521" s="75" t="n"/>
    </row>
    <row r="1522" ht="15.75" customHeight="1" s="133">
      <c r="A1522" s="75" t="n"/>
      <c r="B1522" s="75" t="n"/>
      <c r="C1522" s="75" t="n"/>
      <c r="D1522" s="75" t="n"/>
      <c r="E1522" s="76" t="n"/>
      <c r="F1522" s="77" t="n"/>
      <c r="G1522" s="75" t="n"/>
      <c r="H1522" s="75">
        <f>IF(ISBLANK(E1522),"",IF(OR(D1522="Butterfly",D1522="Butterfly ",D1522="Iron Fly", D1522="Iron Fly "),LEN(E1522)-LEN(SUBSTITUTE(E1522,"/",""))+2,LEN(E1522)-LEN(SUBSTITUTE(E1522,"/",""))+1))</f>
        <v/>
      </c>
      <c r="I1522" s="78">
        <f>IF(ISBLANK(G1522),"",IF(D1522="Stock","0",Key!$A$3*H1522*G1522))</f>
        <v/>
      </c>
      <c r="J1522" s="78">
        <f>IF(ISBLANK(E1522),"",IF(ISNUMBER(SEARCH("/",E1522)), IF(LEN(E1522)-LEN(SUBSTITUTE(E1522,"/",""))=1,(RIGHT(E1522,LEN(E1522)-FIND("/",E1522)))-(LEFT(E1522,FIND("/",E1522)-1)),(MID(E1522, SEARCH("/",E1522) + 1, SEARCH("/",E1522, SEARCH("/",E1522)+1) - SEARCH("/",E1522) - 1))-(LEFT(E1522,FIND("/",E1522)-1))), "NA"))</f>
        <v/>
      </c>
      <c r="K1522" s="79">
        <f>IF(A1522&lt;&gt;"", IF(ISBLANK(L1522), TODAY(), K1522), "")</f>
        <v/>
      </c>
      <c r="L1522" s="78" t="n"/>
      <c r="M1522" s="78">
        <f>IF(ISBLANK(L1522),"",IF(D1522="Stock",IF(C1522="Buy",L1522*G1522,IF(C1522="Sell",(L1522*G1522)-I1522, X)),IF(C1522="Buy",(L1522*G1522*100)+I1522,IF(C1522="Sell",(L1522*G1522*100)-I1522, X))))</f>
        <v/>
      </c>
      <c r="N1522" s="78">
        <f>IF(ISBLANK(L1522),"",IF(AND(C1522="Sell",D1522="Stock"),M1522,IF(ISBLANK(L1522),"",IF(C1522="Buy",M1522, IF(AND(C1522="Sell",J1522="NA"),(E1522*G1522*100*0.1)+I1522, IF(C1522="Sell",(J1522-L1522)*(100*G1522)+I1522))))))</f>
        <v/>
      </c>
      <c r="O1522" s="75" t="n"/>
      <c r="P1522" s="75" t="n"/>
      <c r="Q1522" s="75">
        <f>IF(ISBLANK(P1522),"",IF(D1522="Stock",P1522*G1522,IF(P1522=0,"0",G1522*P1522*100-(G1522*$AF$14))))</f>
        <v/>
      </c>
      <c r="R1522" s="79">
        <f>IF(P1522&lt;&gt;"", TODAY(), "")</f>
        <v/>
      </c>
      <c r="S1522" s="78">
        <f>IF(AND(K1522&lt;&gt;"", R1522&lt;&gt;""), R1522-K1522, "")</f>
        <v/>
      </c>
      <c r="T1522" s="78" t="n"/>
      <c r="U1522" s="92">
        <f>IF(ISBLANK(P1522),"",IF(C1522="Buy",Q1522-M1522+T1522, IF(C1522="Sell",M1522-Q1522-T1522, X)))</f>
        <v/>
      </c>
      <c r="V1522" s="81">
        <f>IF(ISBLANK(P1522),"",U1522/N1522)</f>
        <v/>
      </c>
      <c r="W1522" s="81">
        <f>IF(ISBLANK(P1522),"",IF(S1522=0,(365/0.5)*V1522,(365/S1522)*V1522))</f>
        <v/>
      </c>
      <c r="X1522" s="75" t="n"/>
      <c r="Y1522" s="77" t="n"/>
      <c r="Z1522" s="77" t="n"/>
      <c r="AA1522" s="75" t="n"/>
      <c r="AB1522" s="75" t="n"/>
      <c r="AC1522" s="6" t="n"/>
      <c r="AD1522" s="75" t="n"/>
      <c r="AE1522" s="75" t="n"/>
      <c r="AF1522" s="75" t="n"/>
    </row>
    <row r="1523" ht="15.75" customHeight="1" s="133">
      <c r="A1523" s="75" t="n"/>
      <c r="B1523" s="75" t="n"/>
      <c r="C1523" s="75" t="n"/>
      <c r="D1523" s="75" t="n"/>
      <c r="E1523" s="76" t="n"/>
      <c r="F1523" s="77" t="n"/>
      <c r="G1523" s="75" t="n"/>
      <c r="H1523" s="75">
        <f>IF(ISBLANK(E1523),"",IF(OR(D1523="Butterfly",D1523="Butterfly ",D1523="Iron Fly", D1523="Iron Fly "),LEN(E1523)-LEN(SUBSTITUTE(E1523,"/",""))+2,LEN(E1523)-LEN(SUBSTITUTE(E1523,"/",""))+1))</f>
        <v/>
      </c>
      <c r="I1523" s="78">
        <f>IF(ISBLANK(G1523),"",IF(D1523="Stock","0",Key!$A$3*H1523*G1523))</f>
        <v/>
      </c>
      <c r="J1523" s="78">
        <f>IF(ISBLANK(E1523),"",IF(ISNUMBER(SEARCH("/",E1523)), IF(LEN(E1523)-LEN(SUBSTITUTE(E1523,"/",""))=1,(RIGHT(E1523,LEN(E1523)-FIND("/",E1523)))-(LEFT(E1523,FIND("/",E1523)-1)),(MID(E1523, SEARCH("/",E1523) + 1, SEARCH("/",E1523, SEARCH("/",E1523)+1) - SEARCH("/",E1523) - 1))-(LEFT(E1523,FIND("/",E1523)-1))), "NA"))</f>
        <v/>
      </c>
      <c r="K1523" s="79">
        <f>IF(A1523&lt;&gt;"", IF(ISBLANK(L1523), TODAY(), K1523), "")</f>
        <v/>
      </c>
      <c r="L1523" s="78" t="n"/>
      <c r="M1523" s="78">
        <f>IF(ISBLANK(L1523),"",IF(D1523="Stock",IF(C1523="Buy",L1523*G1523,IF(C1523="Sell",(L1523*G1523)-I1523, X)),IF(C1523="Buy",(L1523*G1523*100)+I1523,IF(C1523="Sell",(L1523*G1523*100)-I1523, X))))</f>
        <v/>
      </c>
      <c r="N1523" s="78">
        <f>IF(ISBLANK(L1523),"",IF(AND(C1523="Sell",D1523="Stock"),M1523,IF(ISBLANK(L1523),"",IF(C1523="Buy",M1523, IF(AND(C1523="Sell",J1523="NA"),(E1523*G1523*100*0.1)+I1523, IF(C1523="Sell",(J1523-L1523)*(100*G1523)+I1523))))))</f>
        <v/>
      </c>
      <c r="O1523" s="75" t="n"/>
      <c r="P1523" s="75" t="n"/>
      <c r="Q1523" s="75">
        <f>IF(ISBLANK(P1523),"",IF(D1523="Stock",P1523*G1523,IF(P1523=0,"0",G1523*P1523*100-(G1523*$AF$14))))</f>
        <v/>
      </c>
      <c r="R1523" s="79">
        <f>IF(P1523&lt;&gt;"", TODAY(), "")</f>
        <v/>
      </c>
      <c r="S1523" s="78">
        <f>IF(AND(K1523&lt;&gt;"", R1523&lt;&gt;""), R1523-K1523, "")</f>
        <v/>
      </c>
      <c r="T1523" s="78" t="n"/>
      <c r="U1523" s="92">
        <f>IF(ISBLANK(P1523),"",IF(C1523="Buy",Q1523-M1523+T1523, IF(C1523="Sell",M1523-Q1523-T1523, X)))</f>
        <v/>
      </c>
      <c r="V1523" s="81">
        <f>IF(ISBLANK(P1523),"",U1523/N1523)</f>
        <v/>
      </c>
      <c r="W1523" s="81">
        <f>IF(ISBLANK(P1523),"",IF(S1523=0,(365/0.5)*V1523,(365/S1523)*V1523))</f>
        <v/>
      </c>
      <c r="X1523" s="75" t="n"/>
      <c r="Y1523" s="77" t="n"/>
      <c r="Z1523" s="77" t="n"/>
      <c r="AA1523" s="75" t="n"/>
      <c r="AB1523" s="75" t="n"/>
      <c r="AC1523" s="6" t="n"/>
      <c r="AD1523" s="75" t="n"/>
      <c r="AE1523" s="75" t="n"/>
      <c r="AF1523" s="75" t="n"/>
    </row>
    <row r="1524" ht="15.75" customHeight="1" s="133">
      <c r="A1524" s="75" t="n"/>
      <c r="B1524" s="75" t="n"/>
      <c r="C1524" s="75" t="n"/>
      <c r="D1524" s="75" t="n"/>
      <c r="E1524" s="76" t="n"/>
      <c r="F1524" s="77" t="n"/>
      <c r="G1524" s="75" t="n"/>
      <c r="H1524" s="75">
        <f>IF(ISBLANK(E1524),"",IF(OR(D1524="Butterfly",D1524="Butterfly ",D1524="Iron Fly", D1524="Iron Fly "),LEN(E1524)-LEN(SUBSTITUTE(E1524,"/",""))+2,LEN(E1524)-LEN(SUBSTITUTE(E1524,"/",""))+1))</f>
        <v/>
      </c>
      <c r="I1524" s="78">
        <f>IF(ISBLANK(G1524),"",IF(D1524="Stock","0",Key!$A$3*H1524*G1524))</f>
        <v/>
      </c>
      <c r="J1524" s="78">
        <f>IF(ISBLANK(E1524),"",IF(ISNUMBER(SEARCH("/",E1524)), IF(LEN(E1524)-LEN(SUBSTITUTE(E1524,"/",""))=1,(RIGHT(E1524,LEN(E1524)-FIND("/",E1524)))-(LEFT(E1524,FIND("/",E1524)-1)),(MID(E1524, SEARCH("/",E1524) + 1, SEARCH("/",E1524, SEARCH("/",E1524)+1) - SEARCH("/",E1524) - 1))-(LEFT(E1524,FIND("/",E1524)-1))), "NA"))</f>
        <v/>
      </c>
      <c r="K1524" s="79">
        <f>IF(A1524&lt;&gt;"", IF(ISBLANK(L1524), TODAY(), K1524), "")</f>
        <v/>
      </c>
      <c r="L1524" s="78" t="n"/>
      <c r="M1524" s="78">
        <f>IF(ISBLANK(L1524),"",IF(D1524="Stock",IF(C1524="Buy",L1524*G1524,IF(C1524="Sell",(L1524*G1524)-I1524, X)),IF(C1524="Buy",(L1524*G1524*100)+I1524,IF(C1524="Sell",(L1524*G1524*100)-I1524, X))))</f>
        <v/>
      </c>
      <c r="N1524" s="78">
        <f>IF(ISBLANK(L1524),"",IF(AND(C1524="Sell",D1524="Stock"),M1524,IF(ISBLANK(L1524),"",IF(C1524="Buy",M1524, IF(AND(C1524="Sell",J1524="NA"),(E1524*G1524*100*0.1)+I1524, IF(C1524="Sell",(J1524-L1524)*(100*G1524)+I1524))))))</f>
        <v/>
      </c>
      <c r="O1524" s="75" t="n"/>
      <c r="P1524" s="75" t="n"/>
      <c r="Q1524" s="75">
        <f>IF(ISBLANK(P1524),"",IF(D1524="Stock",P1524*G1524,IF(P1524=0,"0",G1524*P1524*100-(G1524*$AF$14))))</f>
        <v/>
      </c>
      <c r="R1524" s="79">
        <f>IF(P1524&lt;&gt;"", TODAY(), "")</f>
        <v/>
      </c>
      <c r="S1524" s="78">
        <f>IF(AND(K1524&lt;&gt;"", R1524&lt;&gt;""), R1524-K1524, "")</f>
        <v/>
      </c>
      <c r="T1524" s="78" t="n"/>
      <c r="U1524" s="92">
        <f>IF(ISBLANK(P1524),"",IF(C1524="Buy",Q1524-M1524+T1524, IF(C1524="Sell",M1524-Q1524-T1524, X)))</f>
        <v/>
      </c>
      <c r="V1524" s="81">
        <f>IF(ISBLANK(P1524),"",U1524/N1524)</f>
        <v/>
      </c>
      <c r="W1524" s="81">
        <f>IF(ISBLANK(P1524),"",IF(S1524=0,(365/0.5)*V1524,(365/S1524)*V1524))</f>
        <v/>
      </c>
      <c r="X1524" s="75" t="n"/>
      <c r="Y1524" s="77" t="n"/>
      <c r="Z1524" s="77" t="n"/>
      <c r="AA1524" s="75" t="n"/>
      <c r="AB1524" s="75" t="n"/>
      <c r="AC1524" s="6" t="n"/>
      <c r="AD1524" s="75" t="n"/>
      <c r="AE1524" s="75" t="n"/>
      <c r="AF1524" s="75" t="n"/>
    </row>
    <row r="1525" ht="15.75" customHeight="1" s="133">
      <c r="A1525" s="75" t="n"/>
      <c r="B1525" s="75" t="n"/>
      <c r="C1525" s="75" t="n"/>
      <c r="D1525" s="75" t="n"/>
      <c r="E1525" s="76" t="n"/>
      <c r="F1525" s="77" t="n"/>
      <c r="G1525" s="75" t="n"/>
      <c r="H1525" s="75">
        <f>IF(ISBLANK(E1525),"",IF(OR(D1525="Butterfly",D1525="Butterfly ",D1525="Iron Fly", D1525="Iron Fly "),LEN(E1525)-LEN(SUBSTITUTE(E1525,"/",""))+2,LEN(E1525)-LEN(SUBSTITUTE(E1525,"/",""))+1))</f>
        <v/>
      </c>
      <c r="I1525" s="78">
        <f>IF(ISBLANK(G1525),"",IF(D1525="Stock","0",Key!$A$3*H1525*G1525))</f>
        <v/>
      </c>
      <c r="J1525" s="78">
        <f>IF(ISBLANK(E1525),"",IF(ISNUMBER(SEARCH("/",E1525)), IF(LEN(E1525)-LEN(SUBSTITUTE(E1525,"/",""))=1,(RIGHT(E1525,LEN(E1525)-FIND("/",E1525)))-(LEFT(E1525,FIND("/",E1525)-1)),(MID(E1525, SEARCH("/",E1525) + 1, SEARCH("/",E1525, SEARCH("/",E1525)+1) - SEARCH("/",E1525) - 1))-(LEFT(E1525,FIND("/",E1525)-1))), "NA"))</f>
        <v/>
      </c>
      <c r="K1525" s="79">
        <f>IF(A1525&lt;&gt;"", IF(ISBLANK(L1525), TODAY(), K1525), "")</f>
        <v/>
      </c>
      <c r="L1525" s="78" t="n"/>
      <c r="M1525" s="78">
        <f>IF(ISBLANK(L1525),"",IF(D1525="Stock",IF(C1525="Buy",L1525*G1525,IF(C1525="Sell",(L1525*G1525)-I1525, X)),IF(C1525="Buy",(L1525*G1525*100)+I1525,IF(C1525="Sell",(L1525*G1525*100)-I1525, X))))</f>
        <v/>
      </c>
      <c r="N1525" s="78">
        <f>IF(ISBLANK(L1525),"",IF(AND(C1525="Sell",D1525="Stock"),M1525,IF(ISBLANK(L1525),"",IF(C1525="Buy",M1525, IF(AND(C1525="Sell",J1525="NA"),(E1525*G1525*100*0.1)+I1525, IF(C1525="Sell",(J1525-L1525)*(100*G1525)+I1525))))))</f>
        <v/>
      </c>
      <c r="O1525" s="75" t="n"/>
      <c r="P1525" s="75" t="n"/>
      <c r="Q1525" s="75">
        <f>IF(ISBLANK(P1525),"",IF(D1525="Stock",P1525*G1525,IF(P1525=0,"0",G1525*P1525*100-(G1525*$AF$14))))</f>
        <v/>
      </c>
      <c r="R1525" s="79">
        <f>IF(P1525&lt;&gt;"", TODAY(), "")</f>
        <v/>
      </c>
      <c r="S1525" s="78">
        <f>IF(AND(K1525&lt;&gt;"", R1525&lt;&gt;""), R1525-K1525, "")</f>
        <v/>
      </c>
      <c r="T1525" s="78" t="n"/>
      <c r="U1525" s="92">
        <f>IF(ISBLANK(P1525),"",IF(C1525="Buy",Q1525-M1525+T1525, IF(C1525="Sell",M1525-Q1525-T1525, X)))</f>
        <v/>
      </c>
      <c r="V1525" s="81">
        <f>IF(ISBLANK(P1525),"",U1525/N1525)</f>
        <v/>
      </c>
      <c r="W1525" s="81">
        <f>IF(ISBLANK(P1525),"",IF(S1525=0,(365/0.5)*V1525,(365/S1525)*V1525))</f>
        <v/>
      </c>
      <c r="X1525" s="75" t="n"/>
      <c r="Y1525" s="77" t="n"/>
      <c r="Z1525" s="77" t="n"/>
      <c r="AA1525" s="75" t="n"/>
      <c r="AB1525" s="75" t="n"/>
      <c r="AC1525" s="6" t="n"/>
      <c r="AD1525" s="75" t="n"/>
      <c r="AE1525" s="75" t="n"/>
      <c r="AF1525" s="75" t="n"/>
    </row>
    <row r="1526" ht="15.75" customHeight="1" s="133">
      <c r="A1526" s="75" t="n"/>
      <c r="B1526" s="75" t="n"/>
      <c r="C1526" s="75" t="n"/>
      <c r="D1526" s="75" t="n"/>
      <c r="E1526" s="76" t="n"/>
      <c r="F1526" s="77" t="n"/>
      <c r="G1526" s="75" t="n"/>
      <c r="H1526" s="75">
        <f>IF(ISBLANK(E1526),"",IF(OR(D1526="Butterfly",D1526="Butterfly ",D1526="Iron Fly", D1526="Iron Fly "),LEN(E1526)-LEN(SUBSTITUTE(E1526,"/",""))+2,LEN(E1526)-LEN(SUBSTITUTE(E1526,"/",""))+1))</f>
        <v/>
      </c>
      <c r="I1526" s="78">
        <f>IF(ISBLANK(G1526),"",IF(D1526="Stock","0",Key!$A$3*H1526*G1526))</f>
        <v/>
      </c>
      <c r="J1526" s="78">
        <f>IF(ISBLANK(E1526),"",IF(ISNUMBER(SEARCH("/",E1526)), IF(LEN(E1526)-LEN(SUBSTITUTE(E1526,"/",""))=1,(RIGHT(E1526,LEN(E1526)-FIND("/",E1526)))-(LEFT(E1526,FIND("/",E1526)-1)),(MID(E1526, SEARCH("/",E1526) + 1, SEARCH("/",E1526, SEARCH("/",E1526)+1) - SEARCH("/",E1526) - 1))-(LEFT(E1526,FIND("/",E1526)-1))), "NA"))</f>
        <v/>
      </c>
      <c r="K1526" s="79">
        <f>IF(A1526&lt;&gt;"", IF(ISBLANK(L1526), TODAY(), K1526), "")</f>
        <v/>
      </c>
      <c r="L1526" s="78" t="n"/>
      <c r="M1526" s="78">
        <f>IF(ISBLANK(L1526),"",IF(D1526="Stock",IF(C1526="Buy",L1526*G1526,IF(C1526="Sell",(L1526*G1526)-I1526, X)),IF(C1526="Buy",(L1526*G1526*100)+I1526,IF(C1526="Sell",(L1526*G1526*100)-I1526, X))))</f>
        <v/>
      </c>
      <c r="N1526" s="78">
        <f>IF(ISBLANK(L1526),"",IF(AND(C1526="Sell",D1526="Stock"),M1526,IF(ISBLANK(L1526),"",IF(C1526="Buy",M1526, IF(AND(C1526="Sell",J1526="NA"),(E1526*G1526*100*0.1)+I1526, IF(C1526="Sell",(J1526-L1526)*(100*G1526)+I1526))))))</f>
        <v/>
      </c>
      <c r="O1526" s="75" t="n"/>
      <c r="P1526" s="75" t="n"/>
      <c r="Q1526" s="75">
        <f>IF(ISBLANK(P1526),"",IF(D1526="Stock",P1526*G1526,IF(P1526=0,"0",G1526*P1526*100-(G1526*$AF$14))))</f>
        <v/>
      </c>
      <c r="R1526" s="79">
        <f>IF(P1526&lt;&gt;"", TODAY(), "")</f>
        <v/>
      </c>
      <c r="S1526" s="78">
        <f>IF(AND(K1526&lt;&gt;"", R1526&lt;&gt;""), R1526-K1526, "")</f>
        <v/>
      </c>
      <c r="T1526" s="78" t="n"/>
      <c r="U1526" s="92">
        <f>IF(ISBLANK(P1526),"",IF(C1526="Buy",Q1526-M1526+T1526, IF(C1526="Sell",M1526-Q1526-T1526, X)))</f>
        <v/>
      </c>
      <c r="V1526" s="81">
        <f>IF(ISBLANK(P1526),"",U1526/N1526)</f>
        <v/>
      </c>
      <c r="W1526" s="81">
        <f>IF(ISBLANK(P1526),"",IF(S1526=0,(365/0.5)*V1526,(365/S1526)*V1526))</f>
        <v/>
      </c>
      <c r="X1526" s="75" t="n"/>
      <c r="Y1526" s="77" t="n"/>
      <c r="Z1526" s="77" t="n"/>
      <c r="AA1526" s="75" t="n"/>
      <c r="AB1526" s="75" t="n"/>
      <c r="AC1526" s="6" t="n"/>
      <c r="AD1526" s="75" t="n"/>
      <c r="AE1526" s="75" t="n"/>
      <c r="AF1526" s="75" t="n"/>
    </row>
    <row r="1527" ht="15.75" customHeight="1" s="133">
      <c r="A1527" s="75" t="n"/>
      <c r="B1527" s="75" t="n"/>
      <c r="C1527" s="75" t="n"/>
      <c r="D1527" s="75" t="n"/>
      <c r="E1527" s="76" t="n"/>
      <c r="F1527" s="77" t="n"/>
      <c r="G1527" s="75" t="n"/>
      <c r="H1527" s="75">
        <f>IF(ISBLANK(E1527),"",IF(OR(D1527="Butterfly",D1527="Butterfly ",D1527="Iron Fly", D1527="Iron Fly "),LEN(E1527)-LEN(SUBSTITUTE(E1527,"/",""))+2,LEN(E1527)-LEN(SUBSTITUTE(E1527,"/",""))+1))</f>
        <v/>
      </c>
      <c r="I1527" s="78">
        <f>IF(ISBLANK(G1527),"",IF(D1527="Stock","0",Key!$A$3*H1527*G1527))</f>
        <v/>
      </c>
      <c r="J1527" s="78">
        <f>IF(ISBLANK(E1527),"",IF(ISNUMBER(SEARCH("/",E1527)), IF(LEN(E1527)-LEN(SUBSTITUTE(E1527,"/",""))=1,(RIGHT(E1527,LEN(E1527)-FIND("/",E1527)))-(LEFT(E1527,FIND("/",E1527)-1)),(MID(E1527, SEARCH("/",E1527) + 1, SEARCH("/",E1527, SEARCH("/",E1527)+1) - SEARCH("/",E1527) - 1))-(LEFT(E1527,FIND("/",E1527)-1))), "NA"))</f>
        <v/>
      </c>
      <c r="K1527" s="79">
        <f>IF(A1527&lt;&gt;"", IF(ISBLANK(L1527), TODAY(), K1527), "")</f>
        <v/>
      </c>
      <c r="L1527" s="78" t="n"/>
      <c r="M1527" s="78">
        <f>IF(ISBLANK(L1527),"",IF(D1527="Stock",IF(C1527="Buy",L1527*G1527,IF(C1527="Sell",(L1527*G1527)-I1527, X)),IF(C1527="Buy",(L1527*G1527*100)+I1527,IF(C1527="Sell",(L1527*G1527*100)-I1527, X))))</f>
        <v/>
      </c>
      <c r="N1527" s="78">
        <f>IF(ISBLANK(L1527),"",IF(AND(C1527="Sell",D1527="Stock"),M1527,IF(ISBLANK(L1527),"",IF(C1527="Buy",M1527, IF(AND(C1527="Sell",J1527="NA"),(E1527*G1527*100*0.1)+I1527, IF(C1527="Sell",(J1527-L1527)*(100*G1527)+I1527))))))</f>
        <v/>
      </c>
      <c r="O1527" s="75" t="n"/>
      <c r="P1527" s="75" t="n"/>
      <c r="Q1527" s="75">
        <f>IF(ISBLANK(P1527),"",IF(D1527="Stock",P1527*G1527,IF(P1527=0,"0",G1527*P1527*100-(G1527*$AF$14))))</f>
        <v/>
      </c>
      <c r="R1527" s="79">
        <f>IF(P1527&lt;&gt;"", TODAY(), "")</f>
        <v/>
      </c>
      <c r="S1527" s="78">
        <f>IF(AND(K1527&lt;&gt;"", R1527&lt;&gt;""), R1527-K1527, "")</f>
        <v/>
      </c>
      <c r="T1527" s="78" t="n"/>
      <c r="U1527" s="92">
        <f>IF(ISBLANK(P1527),"",IF(C1527="Buy",Q1527-M1527+T1527, IF(C1527="Sell",M1527-Q1527-T1527, X)))</f>
        <v/>
      </c>
      <c r="V1527" s="81">
        <f>IF(ISBLANK(P1527),"",U1527/N1527)</f>
        <v/>
      </c>
      <c r="W1527" s="81">
        <f>IF(ISBLANK(P1527),"",IF(S1527=0,(365/0.5)*V1527,(365/S1527)*V1527))</f>
        <v/>
      </c>
      <c r="X1527" s="75" t="n"/>
      <c r="Y1527" s="77" t="n"/>
      <c r="Z1527" s="77" t="n"/>
      <c r="AA1527" s="75" t="n"/>
      <c r="AB1527" s="75" t="n"/>
      <c r="AC1527" s="6" t="n"/>
      <c r="AD1527" s="75" t="n"/>
      <c r="AE1527" s="75" t="n"/>
      <c r="AF1527" s="75" t="n"/>
    </row>
    <row r="1528" ht="15.75" customHeight="1" s="133">
      <c r="A1528" s="75" t="n"/>
      <c r="B1528" s="75" t="n"/>
      <c r="C1528" s="75" t="n"/>
      <c r="D1528" s="75" t="n"/>
      <c r="E1528" s="76" t="n"/>
      <c r="F1528" s="77" t="n"/>
      <c r="G1528" s="75" t="n"/>
      <c r="H1528" s="75">
        <f>IF(ISBLANK(E1528),"",IF(OR(D1528="Butterfly",D1528="Butterfly ",D1528="Iron Fly", D1528="Iron Fly "),LEN(E1528)-LEN(SUBSTITUTE(E1528,"/",""))+2,LEN(E1528)-LEN(SUBSTITUTE(E1528,"/",""))+1))</f>
        <v/>
      </c>
      <c r="I1528" s="78">
        <f>IF(ISBLANK(G1528),"",IF(D1528="Stock","0",Key!$A$3*H1528*G1528))</f>
        <v/>
      </c>
      <c r="J1528" s="78">
        <f>IF(ISBLANK(E1528),"",IF(ISNUMBER(SEARCH("/",E1528)), IF(LEN(E1528)-LEN(SUBSTITUTE(E1528,"/",""))=1,(RIGHT(E1528,LEN(E1528)-FIND("/",E1528)))-(LEFT(E1528,FIND("/",E1528)-1)),(MID(E1528, SEARCH("/",E1528) + 1, SEARCH("/",E1528, SEARCH("/",E1528)+1) - SEARCH("/",E1528) - 1))-(LEFT(E1528,FIND("/",E1528)-1))), "NA"))</f>
        <v/>
      </c>
      <c r="K1528" s="79">
        <f>IF(A1528&lt;&gt;"", IF(ISBLANK(L1528), TODAY(), K1528), "")</f>
        <v/>
      </c>
      <c r="L1528" s="78" t="n"/>
      <c r="M1528" s="78">
        <f>IF(ISBLANK(L1528),"",IF(D1528="Stock",IF(C1528="Buy",L1528*G1528,IF(C1528="Sell",(L1528*G1528)-I1528, X)),IF(C1528="Buy",(L1528*G1528*100)+I1528,IF(C1528="Sell",(L1528*G1528*100)-I1528, X))))</f>
        <v/>
      </c>
      <c r="N1528" s="78">
        <f>IF(ISBLANK(L1528),"",IF(AND(C1528="Sell",D1528="Stock"),M1528,IF(ISBLANK(L1528),"",IF(C1528="Buy",M1528, IF(AND(C1528="Sell",J1528="NA"),(E1528*G1528*100*0.1)+I1528, IF(C1528="Sell",(J1528-L1528)*(100*G1528)+I1528))))))</f>
        <v/>
      </c>
      <c r="O1528" s="75" t="n"/>
      <c r="P1528" s="75" t="n"/>
      <c r="Q1528" s="75">
        <f>IF(ISBLANK(P1528),"",IF(D1528="Stock",P1528*G1528,IF(P1528=0,"0",G1528*P1528*100-(G1528*$AF$14))))</f>
        <v/>
      </c>
      <c r="R1528" s="79">
        <f>IF(P1528&lt;&gt;"", TODAY(), "")</f>
        <v/>
      </c>
      <c r="S1528" s="78">
        <f>IF(AND(K1528&lt;&gt;"", R1528&lt;&gt;""), R1528-K1528, "")</f>
        <v/>
      </c>
      <c r="T1528" s="78" t="n"/>
      <c r="U1528" s="92">
        <f>IF(ISBLANK(P1528),"",IF(C1528="Buy",Q1528-M1528+T1528, IF(C1528="Sell",M1528-Q1528-T1528, X)))</f>
        <v/>
      </c>
      <c r="V1528" s="81">
        <f>IF(ISBLANK(P1528),"",U1528/N1528)</f>
        <v/>
      </c>
      <c r="W1528" s="81">
        <f>IF(ISBLANK(P1528),"",IF(S1528=0,(365/0.5)*V1528,(365/S1528)*V1528))</f>
        <v/>
      </c>
      <c r="X1528" s="75" t="n"/>
      <c r="Y1528" s="77" t="n"/>
      <c r="Z1528" s="77" t="n"/>
      <c r="AA1528" s="75" t="n"/>
      <c r="AB1528" s="75" t="n"/>
      <c r="AC1528" s="6" t="n"/>
      <c r="AD1528" s="75" t="n"/>
      <c r="AE1528" s="75" t="n"/>
      <c r="AF1528" s="75" t="n"/>
    </row>
    <row r="1529" ht="15.75" customHeight="1" s="133">
      <c r="A1529" s="75" t="n"/>
      <c r="B1529" s="75" t="n"/>
      <c r="C1529" s="75" t="n"/>
      <c r="D1529" s="75" t="n"/>
      <c r="E1529" s="76" t="n"/>
      <c r="F1529" s="77" t="n"/>
      <c r="G1529" s="75" t="n"/>
      <c r="H1529" s="75">
        <f>IF(ISBLANK(E1529),"",IF(OR(D1529="Butterfly",D1529="Butterfly ",D1529="Iron Fly", D1529="Iron Fly "),LEN(E1529)-LEN(SUBSTITUTE(E1529,"/",""))+2,LEN(E1529)-LEN(SUBSTITUTE(E1529,"/",""))+1))</f>
        <v/>
      </c>
      <c r="I1529" s="78">
        <f>IF(ISBLANK(G1529),"",IF(D1529="Stock","0",Key!$A$3*H1529*G1529))</f>
        <v/>
      </c>
      <c r="J1529" s="78">
        <f>IF(ISBLANK(E1529),"",IF(ISNUMBER(SEARCH("/",E1529)), IF(LEN(E1529)-LEN(SUBSTITUTE(E1529,"/",""))=1,(RIGHT(E1529,LEN(E1529)-FIND("/",E1529)))-(LEFT(E1529,FIND("/",E1529)-1)),(MID(E1529, SEARCH("/",E1529) + 1, SEARCH("/",E1529, SEARCH("/",E1529)+1) - SEARCH("/",E1529) - 1))-(LEFT(E1529,FIND("/",E1529)-1))), "NA"))</f>
        <v/>
      </c>
      <c r="K1529" s="79">
        <f>IF(A1529&lt;&gt;"", IF(ISBLANK(L1529), TODAY(), K1529), "")</f>
        <v/>
      </c>
      <c r="L1529" s="78" t="n"/>
      <c r="M1529" s="78">
        <f>IF(ISBLANK(L1529),"",IF(D1529="Stock",IF(C1529="Buy",L1529*G1529,IF(C1529="Sell",(L1529*G1529)-I1529, X)),IF(C1529="Buy",(L1529*G1529*100)+I1529,IF(C1529="Sell",(L1529*G1529*100)-I1529, X))))</f>
        <v/>
      </c>
      <c r="N1529" s="78">
        <f>IF(ISBLANK(L1529),"",IF(AND(C1529="Sell",D1529="Stock"),M1529,IF(ISBLANK(L1529),"",IF(C1529="Buy",M1529, IF(AND(C1529="Sell",J1529="NA"),(E1529*G1529*100*0.1)+I1529, IF(C1529="Sell",(J1529-L1529)*(100*G1529)+I1529))))))</f>
        <v/>
      </c>
      <c r="O1529" s="75" t="n"/>
      <c r="P1529" s="75" t="n"/>
      <c r="Q1529" s="75">
        <f>IF(ISBLANK(P1529),"",IF(D1529="Stock",P1529*G1529,IF(P1529=0,"0",G1529*P1529*100-(G1529*$AF$14))))</f>
        <v/>
      </c>
      <c r="R1529" s="79">
        <f>IF(P1529&lt;&gt;"", TODAY(), "")</f>
        <v/>
      </c>
      <c r="S1529" s="78">
        <f>IF(AND(K1529&lt;&gt;"", R1529&lt;&gt;""), R1529-K1529, "")</f>
        <v/>
      </c>
      <c r="T1529" s="78" t="n"/>
      <c r="U1529" s="92">
        <f>IF(ISBLANK(P1529),"",IF(C1529="Buy",Q1529-M1529+T1529, IF(C1529="Sell",M1529-Q1529-T1529, X)))</f>
        <v/>
      </c>
      <c r="V1529" s="81">
        <f>IF(ISBLANK(P1529),"",U1529/N1529)</f>
        <v/>
      </c>
      <c r="W1529" s="81">
        <f>IF(ISBLANK(P1529),"",IF(S1529=0,(365/0.5)*V1529,(365/S1529)*V1529))</f>
        <v/>
      </c>
      <c r="X1529" s="75" t="n"/>
      <c r="Y1529" s="77" t="n"/>
      <c r="Z1529" s="77" t="n"/>
      <c r="AA1529" s="75" t="n"/>
      <c r="AB1529" s="75" t="n"/>
      <c r="AC1529" s="6" t="n"/>
      <c r="AD1529" s="75" t="n"/>
      <c r="AE1529" s="75" t="n"/>
      <c r="AF1529" s="75" t="n"/>
    </row>
    <row r="1530" ht="15.75" customHeight="1" s="133">
      <c r="A1530" s="75" t="n"/>
      <c r="B1530" s="75" t="n"/>
      <c r="C1530" s="75" t="n"/>
      <c r="D1530" s="75" t="n"/>
      <c r="E1530" s="76" t="n"/>
      <c r="F1530" s="77" t="n"/>
      <c r="G1530" s="75" t="n"/>
      <c r="H1530" s="75">
        <f>IF(ISBLANK(E1530),"",IF(OR(D1530="Butterfly",D1530="Butterfly ",D1530="Iron Fly", D1530="Iron Fly "),LEN(E1530)-LEN(SUBSTITUTE(E1530,"/",""))+2,LEN(E1530)-LEN(SUBSTITUTE(E1530,"/",""))+1))</f>
        <v/>
      </c>
      <c r="I1530" s="78">
        <f>IF(ISBLANK(G1530),"",IF(D1530="Stock","0",Key!$A$3*H1530*G1530))</f>
        <v/>
      </c>
      <c r="J1530" s="78">
        <f>IF(ISBLANK(E1530),"",IF(ISNUMBER(SEARCH("/",E1530)), IF(LEN(E1530)-LEN(SUBSTITUTE(E1530,"/",""))=1,(RIGHT(E1530,LEN(E1530)-FIND("/",E1530)))-(LEFT(E1530,FIND("/",E1530)-1)),(MID(E1530, SEARCH("/",E1530) + 1, SEARCH("/",E1530, SEARCH("/",E1530)+1) - SEARCH("/",E1530) - 1))-(LEFT(E1530,FIND("/",E1530)-1))), "NA"))</f>
        <v/>
      </c>
      <c r="K1530" s="79">
        <f>IF(A1530&lt;&gt;"", IF(ISBLANK(L1530), TODAY(), K1530), "")</f>
        <v/>
      </c>
      <c r="L1530" s="78" t="n"/>
      <c r="M1530" s="78">
        <f>IF(ISBLANK(L1530),"",IF(D1530="Stock",IF(C1530="Buy",L1530*G1530,IF(C1530="Sell",(L1530*G1530)-I1530, X)),IF(C1530="Buy",(L1530*G1530*100)+I1530,IF(C1530="Sell",(L1530*G1530*100)-I1530, X))))</f>
        <v/>
      </c>
      <c r="N1530" s="78">
        <f>IF(ISBLANK(L1530),"",IF(AND(C1530="Sell",D1530="Stock"),M1530,IF(ISBLANK(L1530),"",IF(C1530="Buy",M1530, IF(AND(C1530="Sell",J1530="NA"),(E1530*G1530*100*0.1)+I1530, IF(C1530="Sell",(J1530-L1530)*(100*G1530)+I1530))))))</f>
        <v/>
      </c>
      <c r="O1530" s="75" t="n"/>
      <c r="P1530" s="75" t="n"/>
      <c r="Q1530" s="75">
        <f>IF(ISBLANK(P1530),"",IF(D1530="Stock",P1530*G1530,IF(P1530=0,"0",G1530*P1530*100-(G1530*$AF$14))))</f>
        <v/>
      </c>
      <c r="R1530" s="79">
        <f>IF(P1530&lt;&gt;"", TODAY(), "")</f>
        <v/>
      </c>
      <c r="S1530" s="78">
        <f>IF(AND(K1530&lt;&gt;"", R1530&lt;&gt;""), R1530-K1530, "")</f>
        <v/>
      </c>
      <c r="T1530" s="78" t="n"/>
      <c r="U1530" s="92">
        <f>IF(ISBLANK(P1530),"",IF(C1530="Buy",Q1530-M1530+T1530, IF(C1530="Sell",M1530-Q1530-T1530, X)))</f>
        <v/>
      </c>
      <c r="V1530" s="81">
        <f>IF(ISBLANK(P1530),"",U1530/N1530)</f>
        <v/>
      </c>
      <c r="W1530" s="81">
        <f>IF(ISBLANK(P1530),"",IF(S1530=0,(365/0.5)*V1530,(365/S1530)*V1530))</f>
        <v/>
      </c>
      <c r="X1530" s="75" t="n"/>
      <c r="Y1530" s="77" t="n"/>
      <c r="Z1530" s="77" t="n"/>
      <c r="AA1530" s="75" t="n"/>
      <c r="AB1530" s="75" t="n"/>
      <c r="AC1530" s="6" t="n"/>
      <c r="AD1530" s="75" t="n"/>
      <c r="AE1530" s="75" t="n"/>
      <c r="AF1530" s="75" t="n"/>
    </row>
    <row r="1531" ht="15.75" customHeight="1" s="133">
      <c r="A1531" s="75" t="n"/>
      <c r="B1531" s="75" t="n"/>
      <c r="C1531" s="75" t="n"/>
      <c r="D1531" s="75" t="n"/>
      <c r="E1531" s="76" t="n"/>
      <c r="F1531" s="77" t="n"/>
      <c r="G1531" s="75" t="n"/>
      <c r="H1531" s="75">
        <f>IF(ISBLANK(E1531),"",IF(OR(D1531="Butterfly",D1531="Butterfly ",D1531="Iron Fly", D1531="Iron Fly "),LEN(E1531)-LEN(SUBSTITUTE(E1531,"/",""))+2,LEN(E1531)-LEN(SUBSTITUTE(E1531,"/",""))+1))</f>
        <v/>
      </c>
      <c r="I1531" s="78">
        <f>IF(ISBLANK(G1531),"",IF(D1531="Stock","0",Key!$A$3*H1531*G1531))</f>
        <v/>
      </c>
      <c r="J1531" s="78">
        <f>IF(ISBLANK(E1531),"",IF(ISNUMBER(SEARCH("/",E1531)), IF(LEN(E1531)-LEN(SUBSTITUTE(E1531,"/",""))=1,(RIGHT(E1531,LEN(E1531)-FIND("/",E1531)))-(LEFT(E1531,FIND("/",E1531)-1)),(MID(E1531, SEARCH("/",E1531) + 1, SEARCH("/",E1531, SEARCH("/",E1531)+1) - SEARCH("/",E1531) - 1))-(LEFT(E1531,FIND("/",E1531)-1))), "NA"))</f>
        <v/>
      </c>
      <c r="K1531" s="79">
        <f>IF(A1531&lt;&gt;"", IF(ISBLANK(L1531), TODAY(), K1531), "")</f>
        <v/>
      </c>
      <c r="L1531" s="78" t="n"/>
      <c r="M1531" s="78">
        <f>IF(ISBLANK(L1531),"",IF(D1531="Stock",IF(C1531="Buy",L1531*G1531,IF(C1531="Sell",(L1531*G1531)-I1531, X)),IF(C1531="Buy",(L1531*G1531*100)+I1531,IF(C1531="Sell",(L1531*G1531*100)-I1531, X))))</f>
        <v/>
      </c>
      <c r="N1531" s="78">
        <f>IF(ISBLANK(L1531),"",IF(AND(C1531="Sell",D1531="Stock"),M1531,IF(ISBLANK(L1531),"",IF(C1531="Buy",M1531, IF(AND(C1531="Sell",J1531="NA"),(E1531*G1531*100*0.1)+I1531, IF(C1531="Sell",(J1531-L1531)*(100*G1531)+I1531))))))</f>
        <v/>
      </c>
      <c r="O1531" s="75" t="n"/>
      <c r="P1531" s="75" t="n"/>
      <c r="Q1531" s="75">
        <f>IF(ISBLANK(P1531),"",IF(D1531="Stock",P1531*G1531,IF(P1531=0,"0",G1531*P1531*100-(G1531*$AF$14))))</f>
        <v/>
      </c>
      <c r="R1531" s="79">
        <f>IF(P1531&lt;&gt;"", TODAY(), "")</f>
        <v/>
      </c>
      <c r="S1531" s="78">
        <f>IF(AND(K1531&lt;&gt;"", R1531&lt;&gt;""), R1531-K1531, "")</f>
        <v/>
      </c>
      <c r="T1531" s="78" t="n"/>
      <c r="U1531" s="92">
        <f>IF(ISBLANK(P1531),"",IF(C1531="Buy",Q1531-M1531+T1531, IF(C1531="Sell",M1531-Q1531-T1531, X)))</f>
        <v/>
      </c>
      <c r="V1531" s="81">
        <f>IF(ISBLANK(P1531),"",U1531/N1531)</f>
        <v/>
      </c>
      <c r="W1531" s="81">
        <f>IF(ISBLANK(P1531),"",IF(S1531=0,(365/0.5)*V1531,(365/S1531)*V1531))</f>
        <v/>
      </c>
      <c r="X1531" s="75" t="n"/>
      <c r="Y1531" s="77" t="n"/>
      <c r="Z1531" s="77" t="n"/>
      <c r="AA1531" s="75" t="n"/>
      <c r="AB1531" s="75" t="n"/>
      <c r="AC1531" s="6" t="n"/>
      <c r="AD1531" s="75" t="n"/>
      <c r="AE1531" s="75" t="n"/>
      <c r="AF1531" s="75" t="n"/>
    </row>
    <row r="1532" ht="15.75" customHeight="1" s="133">
      <c r="A1532" s="75" t="n"/>
      <c r="B1532" s="75" t="n"/>
      <c r="C1532" s="75" t="n"/>
      <c r="D1532" s="75" t="n"/>
      <c r="E1532" s="76" t="n"/>
      <c r="F1532" s="77" t="n"/>
      <c r="G1532" s="75" t="n"/>
      <c r="H1532" s="75">
        <f>IF(ISBLANK(E1532),"",IF(OR(D1532="Butterfly",D1532="Butterfly ",D1532="Iron Fly", D1532="Iron Fly "),LEN(E1532)-LEN(SUBSTITUTE(E1532,"/",""))+2,LEN(E1532)-LEN(SUBSTITUTE(E1532,"/",""))+1))</f>
        <v/>
      </c>
      <c r="I1532" s="78">
        <f>IF(ISBLANK(G1532),"",IF(D1532="Stock","0",Key!$A$3*H1532*G1532))</f>
        <v/>
      </c>
      <c r="J1532" s="78">
        <f>IF(ISBLANK(E1532),"",IF(ISNUMBER(SEARCH("/",E1532)), IF(LEN(E1532)-LEN(SUBSTITUTE(E1532,"/",""))=1,(RIGHT(E1532,LEN(E1532)-FIND("/",E1532)))-(LEFT(E1532,FIND("/",E1532)-1)),(MID(E1532, SEARCH("/",E1532) + 1, SEARCH("/",E1532, SEARCH("/",E1532)+1) - SEARCH("/",E1532) - 1))-(LEFT(E1532,FIND("/",E1532)-1))), "NA"))</f>
        <v/>
      </c>
      <c r="K1532" s="79">
        <f>IF(A1532&lt;&gt;"", IF(ISBLANK(L1532), TODAY(), K1532), "")</f>
        <v/>
      </c>
      <c r="L1532" s="78" t="n"/>
      <c r="M1532" s="78">
        <f>IF(ISBLANK(L1532),"",IF(D1532="Stock",IF(C1532="Buy",L1532*G1532,IF(C1532="Sell",(L1532*G1532)-I1532, X)),IF(C1532="Buy",(L1532*G1532*100)+I1532,IF(C1532="Sell",(L1532*G1532*100)-I1532, X))))</f>
        <v/>
      </c>
      <c r="N1532" s="78">
        <f>IF(ISBLANK(L1532),"",IF(AND(C1532="Sell",D1532="Stock"),M1532,IF(ISBLANK(L1532),"",IF(C1532="Buy",M1532, IF(AND(C1532="Sell",J1532="NA"),(E1532*G1532*100*0.1)+I1532, IF(C1532="Sell",(J1532-L1532)*(100*G1532)+I1532))))))</f>
        <v/>
      </c>
      <c r="O1532" s="75" t="n"/>
      <c r="P1532" s="75" t="n"/>
      <c r="Q1532" s="75">
        <f>IF(ISBLANK(P1532),"",IF(D1532="Stock",P1532*G1532,IF(P1532=0,"0",G1532*P1532*100-(G1532*$AF$14))))</f>
        <v/>
      </c>
      <c r="R1532" s="79">
        <f>IF(P1532&lt;&gt;"", TODAY(), "")</f>
        <v/>
      </c>
      <c r="S1532" s="78">
        <f>IF(AND(K1532&lt;&gt;"", R1532&lt;&gt;""), R1532-K1532, "")</f>
        <v/>
      </c>
      <c r="T1532" s="78" t="n"/>
      <c r="U1532" s="92">
        <f>IF(ISBLANK(P1532),"",IF(C1532="Buy",Q1532-M1532+T1532, IF(C1532="Sell",M1532-Q1532-T1532, X)))</f>
        <v/>
      </c>
      <c r="V1532" s="81">
        <f>IF(ISBLANK(P1532),"",U1532/N1532)</f>
        <v/>
      </c>
      <c r="W1532" s="81">
        <f>IF(ISBLANK(P1532),"",IF(S1532=0,(365/0.5)*V1532,(365/S1532)*V1532))</f>
        <v/>
      </c>
      <c r="X1532" s="75" t="n"/>
      <c r="Y1532" s="77" t="n"/>
      <c r="Z1532" s="77" t="n"/>
      <c r="AA1532" s="75" t="n"/>
      <c r="AB1532" s="75" t="n"/>
      <c r="AC1532" s="6" t="n"/>
      <c r="AD1532" s="75" t="n"/>
      <c r="AE1532" s="75" t="n"/>
      <c r="AF1532" s="75" t="n"/>
    </row>
    <row r="1533" ht="15.75" customHeight="1" s="133">
      <c r="A1533" s="75" t="n"/>
      <c r="B1533" s="75" t="n"/>
      <c r="C1533" s="75" t="n"/>
      <c r="D1533" s="75" t="n"/>
      <c r="E1533" s="76" t="n"/>
      <c r="F1533" s="77" t="n"/>
      <c r="G1533" s="75" t="n"/>
      <c r="H1533" s="75">
        <f>IF(ISBLANK(E1533),"",IF(OR(D1533="Butterfly",D1533="Butterfly ",D1533="Iron Fly", D1533="Iron Fly "),LEN(E1533)-LEN(SUBSTITUTE(E1533,"/",""))+2,LEN(E1533)-LEN(SUBSTITUTE(E1533,"/",""))+1))</f>
        <v/>
      </c>
      <c r="I1533" s="78">
        <f>IF(ISBLANK(G1533),"",IF(D1533="Stock","0",Key!$A$3*H1533*G1533))</f>
        <v/>
      </c>
      <c r="J1533" s="78">
        <f>IF(ISBLANK(E1533),"",IF(ISNUMBER(SEARCH("/",E1533)), IF(LEN(E1533)-LEN(SUBSTITUTE(E1533,"/",""))=1,(RIGHT(E1533,LEN(E1533)-FIND("/",E1533)))-(LEFT(E1533,FIND("/",E1533)-1)),(MID(E1533, SEARCH("/",E1533) + 1, SEARCH("/",E1533, SEARCH("/",E1533)+1) - SEARCH("/",E1533) - 1))-(LEFT(E1533,FIND("/",E1533)-1))), "NA"))</f>
        <v/>
      </c>
      <c r="K1533" s="79">
        <f>IF(A1533&lt;&gt;"", IF(ISBLANK(L1533), TODAY(), K1533), "")</f>
        <v/>
      </c>
      <c r="L1533" s="78" t="n"/>
      <c r="M1533" s="78">
        <f>IF(ISBLANK(L1533),"",IF(D1533="Stock",IF(C1533="Buy",L1533*G1533,IF(C1533="Sell",(L1533*G1533)-I1533, X)),IF(C1533="Buy",(L1533*G1533*100)+I1533,IF(C1533="Sell",(L1533*G1533*100)-I1533, X))))</f>
        <v/>
      </c>
      <c r="N1533" s="78">
        <f>IF(ISBLANK(L1533),"",IF(AND(C1533="Sell",D1533="Stock"),M1533,IF(ISBLANK(L1533),"",IF(C1533="Buy",M1533, IF(AND(C1533="Sell",J1533="NA"),(E1533*G1533*100*0.1)+I1533, IF(C1533="Sell",(J1533-L1533)*(100*G1533)+I1533))))))</f>
        <v/>
      </c>
      <c r="O1533" s="75" t="n"/>
      <c r="P1533" s="75" t="n"/>
      <c r="Q1533" s="75">
        <f>IF(ISBLANK(P1533),"",IF(D1533="Stock",P1533*G1533,IF(P1533=0,"0",G1533*P1533*100-(G1533*$AF$14))))</f>
        <v/>
      </c>
      <c r="R1533" s="79">
        <f>IF(P1533&lt;&gt;"", TODAY(), "")</f>
        <v/>
      </c>
      <c r="S1533" s="78">
        <f>IF(AND(K1533&lt;&gt;"", R1533&lt;&gt;""), R1533-K1533, "")</f>
        <v/>
      </c>
      <c r="T1533" s="78" t="n"/>
      <c r="U1533" s="92">
        <f>IF(ISBLANK(P1533),"",IF(C1533="Buy",Q1533-M1533+T1533, IF(C1533="Sell",M1533-Q1533-T1533, X)))</f>
        <v/>
      </c>
      <c r="V1533" s="81">
        <f>IF(ISBLANK(P1533),"",U1533/N1533)</f>
        <v/>
      </c>
      <c r="W1533" s="81">
        <f>IF(ISBLANK(P1533),"",IF(S1533=0,(365/0.5)*V1533,(365/S1533)*V1533))</f>
        <v/>
      </c>
      <c r="X1533" s="75" t="n"/>
      <c r="Y1533" s="77" t="n"/>
      <c r="Z1533" s="77" t="n"/>
      <c r="AA1533" s="75" t="n"/>
      <c r="AB1533" s="75" t="n"/>
      <c r="AC1533" s="6" t="n"/>
      <c r="AD1533" s="75" t="n"/>
      <c r="AE1533" s="75" t="n"/>
      <c r="AF1533" s="75" t="n"/>
    </row>
    <row r="1534" ht="15.75" customHeight="1" s="133">
      <c r="A1534" s="75" t="n"/>
      <c r="B1534" s="75" t="n"/>
      <c r="C1534" s="75" t="n"/>
      <c r="D1534" s="75" t="n"/>
      <c r="E1534" s="76" t="n"/>
      <c r="F1534" s="77" t="n"/>
      <c r="G1534" s="75" t="n"/>
      <c r="H1534" s="75">
        <f>IF(ISBLANK(E1534),"",IF(OR(D1534="Butterfly",D1534="Butterfly ",D1534="Iron Fly", D1534="Iron Fly "),LEN(E1534)-LEN(SUBSTITUTE(E1534,"/",""))+2,LEN(E1534)-LEN(SUBSTITUTE(E1534,"/",""))+1))</f>
        <v/>
      </c>
      <c r="I1534" s="78">
        <f>IF(ISBLANK(G1534),"",IF(D1534="Stock","0",Key!$A$3*H1534*G1534))</f>
        <v/>
      </c>
      <c r="J1534" s="78">
        <f>IF(ISBLANK(E1534),"",IF(ISNUMBER(SEARCH("/",E1534)), IF(LEN(E1534)-LEN(SUBSTITUTE(E1534,"/",""))=1,(RIGHT(E1534,LEN(E1534)-FIND("/",E1534)))-(LEFT(E1534,FIND("/",E1534)-1)),(MID(E1534, SEARCH("/",E1534) + 1, SEARCH("/",E1534, SEARCH("/",E1534)+1) - SEARCH("/",E1534) - 1))-(LEFT(E1534,FIND("/",E1534)-1))), "NA"))</f>
        <v/>
      </c>
      <c r="K1534" s="79">
        <f>IF(A1534&lt;&gt;"", IF(ISBLANK(L1534), TODAY(), K1534), "")</f>
        <v/>
      </c>
      <c r="L1534" s="78" t="n"/>
      <c r="M1534" s="78">
        <f>IF(ISBLANK(L1534),"",IF(D1534="Stock",IF(C1534="Buy",L1534*G1534,IF(C1534="Sell",(L1534*G1534)-I1534, X)),IF(C1534="Buy",(L1534*G1534*100)+I1534,IF(C1534="Sell",(L1534*G1534*100)-I1534, X))))</f>
        <v/>
      </c>
      <c r="N1534" s="78">
        <f>IF(ISBLANK(L1534),"",IF(AND(C1534="Sell",D1534="Stock"),M1534,IF(ISBLANK(L1534),"",IF(C1534="Buy",M1534, IF(AND(C1534="Sell",J1534="NA"),(E1534*G1534*100*0.1)+I1534, IF(C1534="Sell",(J1534-L1534)*(100*G1534)+I1534))))))</f>
        <v/>
      </c>
      <c r="O1534" s="75" t="n"/>
      <c r="P1534" s="75" t="n"/>
      <c r="Q1534" s="75">
        <f>IF(ISBLANK(P1534),"",IF(D1534="Stock",P1534*G1534,IF(P1534=0,"0",G1534*P1534*100-(G1534*$AF$14))))</f>
        <v/>
      </c>
      <c r="R1534" s="79">
        <f>IF(P1534&lt;&gt;"", TODAY(), "")</f>
        <v/>
      </c>
      <c r="S1534" s="78">
        <f>IF(AND(K1534&lt;&gt;"", R1534&lt;&gt;""), R1534-K1534, "")</f>
        <v/>
      </c>
      <c r="T1534" s="78" t="n"/>
      <c r="U1534" s="92">
        <f>IF(ISBLANK(P1534),"",IF(C1534="Buy",Q1534-M1534+T1534, IF(C1534="Sell",M1534-Q1534-T1534, X)))</f>
        <v/>
      </c>
      <c r="V1534" s="81">
        <f>IF(ISBLANK(P1534),"",U1534/N1534)</f>
        <v/>
      </c>
      <c r="W1534" s="81">
        <f>IF(ISBLANK(P1534),"",IF(S1534=0,(365/0.5)*V1534,(365/S1534)*V1534))</f>
        <v/>
      </c>
      <c r="X1534" s="75" t="n"/>
      <c r="Y1534" s="77" t="n"/>
      <c r="Z1534" s="77" t="n"/>
      <c r="AA1534" s="75" t="n"/>
      <c r="AB1534" s="75" t="n"/>
      <c r="AC1534" s="6" t="n"/>
      <c r="AD1534" s="75" t="n"/>
      <c r="AE1534" s="75" t="n"/>
      <c r="AF1534" s="75" t="n"/>
    </row>
    <row r="1535" ht="15.75" customHeight="1" s="133">
      <c r="A1535" s="75" t="n"/>
      <c r="B1535" s="75" t="n"/>
      <c r="C1535" s="75" t="n"/>
      <c r="D1535" s="75" t="n"/>
      <c r="E1535" s="76" t="n"/>
      <c r="F1535" s="77" t="n"/>
      <c r="G1535" s="75" t="n"/>
      <c r="H1535" s="75">
        <f>IF(ISBLANK(E1535),"",IF(OR(D1535="Butterfly",D1535="Butterfly ",D1535="Iron Fly", D1535="Iron Fly "),LEN(E1535)-LEN(SUBSTITUTE(E1535,"/",""))+2,LEN(E1535)-LEN(SUBSTITUTE(E1535,"/",""))+1))</f>
        <v/>
      </c>
      <c r="I1535" s="78">
        <f>IF(ISBLANK(G1535),"",IF(D1535="Stock","0",Key!$A$3*H1535*G1535))</f>
        <v/>
      </c>
      <c r="J1535" s="78">
        <f>IF(ISBLANK(E1535),"",IF(ISNUMBER(SEARCH("/",E1535)), IF(LEN(E1535)-LEN(SUBSTITUTE(E1535,"/",""))=1,(RIGHT(E1535,LEN(E1535)-FIND("/",E1535)))-(LEFT(E1535,FIND("/",E1535)-1)),(MID(E1535, SEARCH("/",E1535) + 1, SEARCH("/",E1535, SEARCH("/",E1535)+1) - SEARCH("/",E1535) - 1))-(LEFT(E1535,FIND("/",E1535)-1))), "NA"))</f>
        <v/>
      </c>
      <c r="K1535" s="79">
        <f>IF(A1535&lt;&gt;"", IF(ISBLANK(L1535), TODAY(), K1535), "")</f>
        <v/>
      </c>
      <c r="L1535" s="78" t="n"/>
      <c r="M1535" s="78">
        <f>IF(ISBLANK(L1535),"",IF(D1535="Stock",IF(C1535="Buy",L1535*G1535,IF(C1535="Sell",(L1535*G1535)-I1535, X)),IF(C1535="Buy",(L1535*G1535*100)+I1535,IF(C1535="Sell",(L1535*G1535*100)-I1535, X))))</f>
        <v/>
      </c>
      <c r="N1535" s="78">
        <f>IF(ISBLANK(L1535),"",IF(AND(C1535="Sell",D1535="Stock"),M1535,IF(ISBLANK(L1535),"",IF(C1535="Buy",M1535, IF(AND(C1535="Sell",J1535="NA"),(E1535*G1535*100*0.1)+I1535, IF(C1535="Sell",(J1535-L1535)*(100*G1535)+I1535))))))</f>
        <v/>
      </c>
      <c r="O1535" s="75" t="n"/>
      <c r="P1535" s="75" t="n"/>
      <c r="Q1535" s="75">
        <f>IF(ISBLANK(P1535),"",IF(D1535="Stock",P1535*G1535,IF(P1535=0,"0",G1535*P1535*100-(G1535*$AF$14))))</f>
        <v/>
      </c>
      <c r="R1535" s="79">
        <f>IF(P1535&lt;&gt;"", TODAY(), "")</f>
        <v/>
      </c>
      <c r="S1535" s="78">
        <f>IF(AND(K1535&lt;&gt;"", R1535&lt;&gt;""), R1535-K1535, "")</f>
        <v/>
      </c>
      <c r="T1535" s="78" t="n"/>
      <c r="U1535" s="92">
        <f>IF(ISBLANK(P1535),"",IF(C1535="Buy",Q1535-M1535+T1535, IF(C1535="Sell",M1535-Q1535-T1535, X)))</f>
        <v/>
      </c>
      <c r="V1535" s="81">
        <f>IF(ISBLANK(P1535),"",U1535/N1535)</f>
        <v/>
      </c>
      <c r="W1535" s="81">
        <f>IF(ISBLANK(P1535),"",IF(S1535=0,(365/0.5)*V1535,(365/S1535)*V1535))</f>
        <v/>
      </c>
      <c r="X1535" s="75" t="n"/>
      <c r="Y1535" s="77" t="n"/>
      <c r="Z1535" s="77" t="n"/>
      <c r="AA1535" s="75" t="n"/>
      <c r="AB1535" s="75" t="n"/>
      <c r="AC1535" s="6" t="n"/>
      <c r="AD1535" s="75" t="n"/>
      <c r="AE1535" s="75" t="n"/>
      <c r="AF1535" s="75" t="n"/>
    </row>
    <row r="1536" ht="15.75" customHeight="1" s="133">
      <c r="A1536" s="75" t="n"/>
      <c r="B1536" s="75" t="n"/>
      <c r="C1536" s="75" t="n"/>
      <c r="D1536" s="75" t="n"/>
      <c r="E1536" s="76" t="n"/>
      <c r="F1536" s="77" t="n"/>
      <c r="G1536" s="75" t="n"/>
      <c r="H1536" s="75">
        <f>IF(ISBLANK(E1536),"",IF(OR(D1536="Butterfly",D1536="Butterfly ",D1536="Iron Fly", D1536="Iron Fly "),LEN(E1536)-LEN(SUBSTITUTE(E1536,"/",""))+2,LEN(E1536)-LEN(SUBSTITUTE(E1536,"/",""))+1))</f>
        <v/>
      </c>
      <c r="I1536" s="78">
        <f>IF(ISBLANK(G1536),"",IF(D1536="Stock","0",Key!$A$3*H1536*G1536))</f>
        <v/>
      </c>
      <c r="J1536" s="78">
        <f>IF(ISBLANK(E1536),"",IF(ISNUMBER(SEARCH("/",E1536)), IF(LEN(E1536)-LEN(SUBSTITUTE(E1536,"/",""))=1,(RIGHT(E1536,LEN(E1536)-FIND("/",E1536)))-(LEFT(E1536,FIND("/",E1536)-1)),(MID(E1536, SEARCH("/",E1536) + 1, SEARCH("/",E1536, SEARCH("/",E1536)+1) - SEARCH("/",E1536) - 1))-(LEFT(E1536,FIND("/",E1536)-1))), "NA"))</f>
        <v/>
      </c>
      <c r="K1536" s="79">
        <f>IF(A1536&lt;&gt;"", IF(ISBLANK(L1536), TODAY(), K1536), "")</f>
        <v/>
      </c>
      <c r="L1536" s="78" t="n"/>
      <c r="M1536" s="78">
        <f>IF(ISBLANK(L1536),"",IF(D1536="Stock",IF(C1536="Buy",L1536*G1536,IF(C1536="Sell",(L1536*G1536)-I1536, X)),IF(C1536="Buy",(L1536*G1536*100)+I1536,IF(C1536="Sell",(L1536*G1536*100)-I1536, X))))</f>
        <v/>
      </c>
      <c r="N1536" s="78">
        <f>IF(ISBLANK(L1536),"",IF(AND(C1536="Sell",D1536="Stock"),M1536,IF(ISBLANK(L1536),"",IF(C1536="Buy",M1536, IF(AND(C1536="Sell",J1536="NA"),(E1536*G1536*100*0.1)+I1536, IF(C1536="Sell",(J1536-L1536)*(100*G1536)+I1536))))))</f>
        <v/>
      </c>
      <c r="O1536" s="75" t="n"/>
      <c r="P1536" s="75" t="n"/>
      <c r="Q1536" s="75">
        <f>IF(ISBLANK(P1536),"",IF(D1536="Stock",P1536*G1536,IF(P1536=0,"0",G1536*P1536*100-(G1536*$AF$14))))</f>
        <v/>
      </c>
      <c r="R1536" s="79">
        <f>IF(P1536&lt;&gt;"", TODAY(), "")</f>
        <v/>
      </c>
      <c r="S1536" s="78">
        <f>IF(AND(K1536&lt;&gt;"", R1536&lt;&gt;""), R1536-K1536, "")</f>
        <v/>
      </c>
      <c r="T1536" s="78" t="n"/>
      <c r="U1536" s="92">
        <f>IF(ISBLANK(P1536),"",IF(C1536="Buy",Q1536-M1536+T1536, IF(C1536="Sell",M1536-Q1536-T1536, X)))</f>
        <v/>
      </c>
      <c r="V1536" s="81">
        <f>IF(ISBLANK(P1536),"",U1536/N1536)</f>
        <v/>
      </c>
      <c r="W1536" s="81">
        <f>IF(ISBLANK(P1536),"",IF(S1536=0,(365/0.5)*V1536,(365/S1536)*V1536))</f>
        <v/>
      </c>
      <c r="X1536" s="75" t="n"/>
      <c r="Y1536" s="77" t="n"/>
      <c r="Z1536" s="77" t="n"/>
      <c r="AA1536" s="75" t="n"/>
      <c r="AB1536" s="75" t="n"/>
      <c r="AC1536" s="6" t="n"/>
      <c r="AD1536" s="75" t="n"/>
      <c r="AE1536" s="75" t="n"/>
      <c r="AF1536" s="75" t="n"/>
    </row>
    <row r="1537" ht="15.75" customHeight="1" s="133">
      <c r="A1537" s="75" t="n"/>
      <c r="B1537" s="75" t="n"/>
      <c r="C1537" s="75" t="n"/>
      <c r="D1537" s="75" t="n"/>
      <c r="E1537" s="76" t="n"/>
      <c r="F1537" s="77" t="n"/>
      <c r="G1537" s="75" t="n"/>
      <c r="H1537" s="75">
        <f>IF(ISBLANK(E1537),"",IF(OR(D1537="Butterfly",D1537="Butterfly ",D1537="Iron Fly", D1537="Iron Fly "),LEN(E1537)-LEN(SUBSTITUTE(E1537,"/",""))+2,LEN(E1537)-LEN(SUBSTITUTE(E1537,"/",""))+1))</f>
        <v/>
      </c>
      <c r="I1537" s="78">
        <f>IF(ISBLANK(G1537),"",IF(D1537="Stock","0",Key!$A$3*H1537*G1537))</f>
        <v/>
      </c>
      <c r="J1537" s="78">
        <f>IF(ISBLANK(E1537),"",IF(ISNUMBER(SEARCH("/",E1537)), IF(LEN(E1537)-LEN(SUBSTITUTE(E1537,"/",""))=1,(RIGHT(E1537,LEN(E1537)-FIND("/",E1537)))-(LEFT(E1537,FIND("/",E1537)-1)),(MID(E1537, SEARCH("/",E1537) + 1, SEARCH("/",E1537, SEARCH("/",E1537)+1) - SEARCH("/",E1537) - 1))-(LEFT(E1537,FIND("/",E1537)-1))), "NA"))</f>
        <v/>
      </c>
      <c r="K1537" s="79">
        <f>IF(A1537&lt;&gt;"", IF(ISBLANK(L1537), TODAY(), K1537), "")</f>
        <v/>
      </c>
      <c r="L1537" s="78" t="n"/>
      <c r="M1537" s="78">
        <f>IF(ISBLANK(L1537),"",IF(D1537="Stock",IF(C1537="Buy",L1537*G1537,IF(C1537="Sell",(L1537*G1537)-I1537, X)),IF(C1537="Buy",(L1537*G1537*100)+I1537,IF(C1537="Sell",(L1537*G1537*100)-I1537, X))))</f>
        <v/>
      </c>
      <c r="N1537" s="78">
        <f>IF(ISBLANK(L1537),"",IF(AND(C1537="Sell",D1537="Stock"),M1537,IF(ISBLANK(L1537),"",IF(C1537="Buy",M1537, IF(AND(C1537="Sell",J1537="NA"),(E1537*G1537*100*0.1)+I1537, IF(C1537="Sell",(J1537-L1537)*(100*G1537)+I1537))))))</f>
        <v/>
      </c>
      <c r="O1537" s="75" t="n"/>
      <c r="P1537" s="75" t="n"/>
      <c r="Q1537" s="75">
        <f>IF(ISBLANK(P1537),"",IF(D1537="Stock",P1537*G1537,IF(P1537=0,"0",G1537*P1537*100-(G1537*$AF$14))))</f>
        <v/>
      </c>
      <c r="R1537" s="79">
        <f>IF(P1537&lt;&gt;"", TODAY(), "")</f>
        <v/>
      </c>
      <c r="S1537" s="78">
        <f>IF(AND(K1537&lt;&gt;"", R1537&lt;&gt;""), R1537-K1537, "")</f>
        <v/>
      </c>
      <c r="T1537" s="78" t="n"/>
      <c r="U1537" s="92">
        <f>IF(ISBLANK(P1537),"",IF(C1537="Buy",Q1537-M1537+T1537, IF(C1537="Sell",M1537-Q1537-T1537, X)))</f>
        <v/>
      </c>
      <c r="V1537" s="81">
        <f>IF(ISBLANK(P1537),"",U1537/N1537)</f>
        <v/>
      </c>
      <c r="W1537" s="81">
        <f>IF(ISBLANK(P1537),"",IF(S1537=0,(365/0.5)*V1537,(365/S1537)*V1537))</f>
        <v/>
      </c>
      <c r="X1537" s="75" t="n"/>
      <c r="Y1537" s="77" t="n"/>
      <c r="Z1537" s="77" t="n"/>
      <c r="AA1537" s="75" t="n"/>
      <c r="AB1537" s="75" t="n"/>
      <c r="AC1537" s="6" t="n"/>
      <c r="AD1537" s="75" t="n"/>
      <c r="AE1537" s="75" t="n"/>
      <c r="AF1537" s="75" t="n"/>
    </row>
    <row r="1538" ht="15.75" customHeight="1" s="133">
      <c r="A1538" s="75" t="n"/>
      <c r="B1538" s="75" t="n"/>
      <c r="C1538" s="75" t="n"/>
      <c r="D1538" s="75" t="n"/>
      <c r="E1538" s="76" t="n"/>
      <c r="F1538" s="77" t="n"/>
      <c r="G1538" s="75" t="n"/>
      <c r="H1538" s="75">
        <f>IF(ISBLANK(E1538),"",IF(OR(D1538="Butterfly",D1538="Butterfly ",D1538="Iron Fly", D1538="Iron Fly "),LEN(E1538)-LEN(SUBSTITUTE(E1538,"/",""))+2,LEN(E1538)-LEN(SUBSTITUTE(E1538,"/",""))+1))</f>
        <v/>
      </c>
      <c r="I1538" s="78">
        <f>IF(ISBLANK(G1538),"",IF(D1538="Stock","0",Key!$A$3*H1538*G1538))</f>
        <v/>
      </c>
      <c r="J1538" s="78">
        <f>IF(ISBLANK(E1538),"",IF(ISNUMBER(SEARCH("/",E1538)), IF(LEN(E1538)-LEN(SUBSTITUTE(E1538,"/",""))=1,(RIGHT(E1538,LEN(E1538)-FIND("/",E1538)))-(LEFT(E1538,FIND("/",E1538)-1)),(MID(E1538, SEARCH("/",E1538) + 1, SEARCH("/",E1538, SEARCH("/",E1538)+1) - SEARCH("/",E1538) - 1))-(LEFT(E1538,FIND("/",E1538)-1))), "NA"))</f>
        <v/>
      </c>
      <c r="K1538" s="79">
        <f>IF(A1538&lt;&gt;"", IF(ISBLANK(L1538), TODAY(), K1538), "")</f>
        <v/>
      </c>
      <c r="L1538" s="78" t="n"/>
      <c r="M1538" s="78">
        <f>IF(ISBLANK(L1538),"",IF(D1538="Stock",IF(C1538="Buy",L1538*G1538,IF(C1538="Sell",(L1538*G1538)-I1538, X)),IF(C1538="Buy",(L1538*G1538*100)+I1538,IF(C1538="Sell",(L1538*G1538*100)-I1538, X))))</f>
        <v/>
      </c>
      <c r="N1538" s="78">
        <f>IF(ISBLANK(L1538),"",IF(AND(C1538="Sell",D1538="Stock"),M1538,IF(ISBLANK(L1538),"",IF(C1538="Buy",M1538, IF(AND(C1538="Sell",J1538="NA"),(E1538*G1538*100*0.1)+I1538, IF(C1538="Sell",(J1538-L1538)*(100*G1538)+I1538))))))</f>
        <v/>
      </c>
      <c r="O1538" s="75" t="n"/>
      <c r="P1538" s="75" t="n"/>
      <c r="Q1538" s="75">
        <f>IF(ISBLANK(P1538),"",IF(D1538="Stock",P1538*G1538,IF(P1538=0,"0",G1538*P1538*100-(G1538*$AF$14))))</f>
        <v/>
      </c>
      <c r="R1538" s="79">
        <f>IF(P1538&lt;&gt;"", TODAY(), "")</f>
        <v/>
      </c>
      <c r="S1538" s="78">
        <f>IF(AND(K1538&lt;&gt;"", R1538&lt;&gt;""), R1538-K1538, "")</f>
        <v/>
      </c>
      <c r="T1538" s="78" t="n"/>
      <c r="U1538" s="92">
        <f>IF(ISBLANK(P1538),"",IF(C1538="Buy",Q1538-M1538+T1538, IF(C1538="Sell",M1538-Q1538-T1538, X)))</f>
        <v/>
      </c>
      <c r="V1538" s="81">
        <f>IF(ISBLANK(P1538),"",U1538/N1538)</f>
        <v/>
      </c>
      <c r="W1538" s="81">
        <f>IF(ISBLANK(P1538),"",IF(S1538=0,(365/0.5)*V1538,(365/S1538)*V1538))</f>
        <v/>
      </c>
      <c r="X1538" s="75" t="n"/>
      <c r="Y1538" s="77" t="n"/>
      <c r="Z1538" s="77" t="n"/>
      <c r="AA1538" s="75" t="n"/>
      <c r="AB1538" s="75" t="n"/>
      <c r="AC1538" s="6" t="n"/>
      <c r="AD1538" s="75" t="n"/>
      <c r="AE1538" s="75" t="n"/>
      <c r="AF1538" s="75" t="n"/>
    </row>
    <row r="1539" ht="15.75" customHeight="1" s="133">
      <c r="A1539" s="75" t="n"/>
      <c r="B1539" s="75" t="n"/>
      <c r="C1539" s="75" t="n"/>
      <c r="D1539" s="75" t="n"/>
      <c r="E1539" s="76" t="n"/>
      <c r="F1539" s="77" t="n"/>
      <c r="G1539" s="75" t="n"/>
      <c r="H1539" s="75">
        <f>IF(ISBLANK(E1539),"",IF(OR(D1539="Butterfly",D1539="Butterfly ",D1539="Iron Fly", D1539="Iron Fly "),LEN(E1539)-LEN(SUBSTITUTE(E1539,"/",""))+2,LEN(E1539)-LEN(SUBSTITUTE(E1539,"/",""))+1))</f>
        <v/>
      </c>
      <c r="I1539" s="78">
        <f>IF(ISBLANK(G1539),"",IF(D1539="Stock","0",Key!$A$3*H1539*G1539))</f>
        <v/>
      </c>
      <c r="J1539" s="78">
        <f>IF(ISBLANK(E1539),"",IF(ISNUMBER(SEARCH("/",E1539)), IF(LEN(E1539)-LEN(SUBSTITUTE(E1539,"/",""))=1,(RIGHT(E1539,LEN(E1539)-FIND("/",E1539)))-(LEFT(E1539,FIND("/",E1539)-1)),(MID(E1539, SEARCH("/",E1539) + 1, SEARCH("/",E1539, SEARCH("/",E1539)+1) - SEARCH("/",E1539) - 1))-(LEFT(E1539,FIND("/",E1539)-1))), "NA"))</f>
        <v/>
      </c>
      <c r="K1539" s="79">
        <f>IF(A1539&lt;&gt;"", IF(ISBLANK(L1539), TODAY(), K1539), "")</f>
        <v/>
      </c>
      <c r="L1539" s="78" t="n"/>
      <c r="M1539" s="78">
        <f>IF(ISBLANK(L1539),"",IF(D1539="Stock",IF(C1539="Buy",L1539*G1539,IF(C1539="Sell",(L1539*G1539)-I1539, X)),IF(C1539="Buy",(L1539*G1539*100)+I1539,IF(C1539="Sell",(L1539*G1539*100)-I1539, X))))</f>
        <v/>
      </c>
      <c r="N1539" s="78">
        <f>IF(ISBLANK(L1539),"",IF(AND(C1539="Sell",D1539="Stock"),M1539,IF(ISBLANK(L1539),"",IF(C1539="Buy",M1539, IF(AND(C1539="Sell",J1539="NA"),(E1539*G1539*100*0.1)+I1539, IF(C1539="Sell",(J1539-L1539)*(100*G1539)+I1539))))))</f>
        <v/>
      </c>
      <c r="O1539" s="75" t="n"/>
      <c r="P1539" s="75" t="n"/>
      <c r="Q1539" s="75">
        <f>IF(ISBLANK(P1539),"",IF(D1539="Stock",P1539*G1539,IF(P1539=0,"0",G1539*P1539*100-(G1539*$AF$14))))</f>
        <v/>
      </c>
      <c r="R1539" s="79">
        <f>IF(P1539&lt;&gt;"", TODAY(), "")</f>
        <v/>
      </c>
      <c r="S1539" s="78">
        <f>IF(AND(K1539&lt;&gt;"", R1539&lt;&gt;""), R1539-K1539, "")</f>
        <v/>
      </c>
      <c r="T1539" s="78" t="n"/>
      <c r="U1539" s="92">
        <f>IF(ISBLANK(P1539),"",IF(C1539="Buy",Q1539-M1539+T1539, IF(C1539="Sell",M1539-Q1539-T1539, X)))</f>
        <v/>
      </c>
      <c r="V1539" s="81">
        <f>IF(ISBLANK(P1539),"",U1539/N1539)</f>
        <v/>
      </c>
      <c r="W1539" s="81">
        <f>IF(ISBLANK(P1539),"",IF(S1539=0,(365/0.5)*V1539,(365/S1539)*V1539))</f>
        <v/>
      </c>
      <c r="X1539" s="75" t="n"/>
      <c r="Y1539" s="77" t="n"/>
      <c r="Z1539" s="77" t="n"/>
      <c r="AA1539" s="75" t="n"/>
      <c r="AB1539" s="75" t="n"/>
      <c r="AC1539" s="6" t="n"/>
      <c r="AD1539" s="75" t="n"/>
      <c r="AE1539" s="75" t="n"/>
      <c r="AF1539" s="75" t="n"/>
    </row>
    <row r="1540" ht="15.75" customHeight="1" s="133">
      <c r="A1540" s="75" t="n"/>
      <c r="B1540" s="75" t="n"/>
      <c r="C1540" s="75" t="n"/>
      <c r="D1540" s="75" t="n"/>
      <c r="E1540" s="76" t="n"/>
      <c r="F1540" s="77" t="n"/>
      <c r="G1540" s="75" t="n"/>
      <c r="H1540" s="75">
        <f>IF(ISBLANK(E1540),"",IF(OR(D1540="Butterfly",D1540="Butterfly ",D1540="Iron Fly", D1540="Iron Fly "),LEN(E1540)-LEN(SUBSTITUTE(E1540,"/",""))+2,LEN(E1540)-LEN(SUBSTITUTE(E1540,"/",""))+1))</f>
        <v/>
      </c>
      <c r="I1540" s="78">
        <f>IF(ISBLANK(G1540),"",IF(D1540="Stock","0",Key!$A$3*H1540*G1540))</f>
        <v/>
      </c>
      <c r="J1540" s="78">
        <f>IF(ISBLANK(E1540),"",IF(ISNUMBER(SEARCH("/",E1540)), IF(LEN(E1540)-LEN(SUBSTITUTE(E1540,"/",""))=1,(RIGHT(E1540,LEN(E1540)-FIND("/",E1540)))-(LEFT(E1540,FIND("/",E1540)-1)),(MID(E1540, SEARCH("/",E1540) + 1, SEARCH("/",E1540, SEARCH("/",E1540)+1) - SEARCH("/",E1540) - 1))-(LEFT(E1540,FIND("/",E1540)-1))), "NA"))</f>
        <v/>
      </c>
      <c r="K1540" s="79">
        <f>IF(A1540&lt;&gt;"", IF(ISBLANK(L1540), TODAY(), K1540), "")</f>
        <v/>
      </c>
      <c r="L1540" s="78" t="n"/>
      <c r="M1540" s="78">
        <f>IF(ISBLANK(L1540),"",IF(D1540="Stock",IF(C1540="Buy",L1540*G1540,IF(C1540="Sell",(L1540*G1540)-I1540, X)),IF(C1540="Buy",(L1540*G1540*100)+I1540,IF(C1540="Sell",(L1540*G1540*100)-I1540, X))))</f>
        <v/>
      </c>
      <c r="N1540" s="78">
        <f>IF(ISBLANK(L1540),"",IF(AND(C1540="Sell",D1540="Stock"),M1540,IF(ISBLANK(L1540),"",IF(C1540="Buy",M1540, IF(AND(C1540="Sell",J1540="NA"),(E1540*G1540*100*0.1)+I1540, IF(C1540="Sell",(J1540-L1540)*(100*G1540)+I1540))))))</f>
        <v/>
      </c>
      <c r="O1540" s="75" t="n"/>
      <c r="P1540" s="75" t="n"/>
      <c r="Q1540" s="75">
        <f>IF(ISBLANK(P1540),"",IF(D1540="Stock",P1540*G1540,IF(P1540=0,"0",G1540*P1540*100-(G1540*$AF$14))))</f>
        <v/>
      </c>
      <c r="R1540" s="79">
        <f>IF(P1540&lt;&gt;"", TODAY(), "")</f>
        <v/>
      </c>
      <c r="S1540" s="78">
        <f>IF(AND(K1540&lt;&gt;"", R1540&lt;&gt;""), R1540-K1540, "")</f>
        <v/>
      </c>
      <c r="T1540" s="78" t="n"/>
      <c r="U1540" s="92">
        <f>IF(ISBLANK(P1540),"",IF(C1540="Buy",Q1540-M1540+T1540, IF(C1540="Sell",M1540-Q1540-T1540, X)))</f>
        <v/>
      </c>
      <c r="V1540" s="81">
        <f>IF(ISBLANK(P1540),"",U1540/N1540)</f>
        <v/>
      </c>
      <c r="W1540" s="81">
        <f>IF(ISBLANK(P1540),"",IF(S1540=0,(365/0.5)*V1540,(365/S1540)*V1540))</f>
        <v/>
      </c>
      <c r="X1540" s="75" t="n"/>
      <c r="Y1540" s="77" t="n"/>
      <c r="Z1540" s="77" t="n"/>
      <c r="AA1540" s="75" t="n"/>
      <c r="AB1540" s="75" t="n"/>
      <c r="AC1540" s="6" t="n"/>
      <c r="AD1540" s="75" t="n"/>
      <c r="AE1540" s="75" t="n"/>
      <c r="AF1540" s="75" t="n"/>
    </row>
    <row r="1541" ht="15.75" customHeight="1" s="133">
      <c r="A1541" s="75" t="n"/>
      <c r="B1541" s="75" t="n"/>
      <c r="C1541" s="75" t="n"/>
      <c r="D1541" s="75" t="n"/>
      <c r="E1541" s="76" t="n"/>
      <c r="F1541" s="77" t="n"/>
      <c r="G1541" s="75" t="n"/>
      <c r="H1541" s="75">
        <f>IF(ISBLANK(E1541),"",IF(OR(D1541="Butterfly",D1541="Butterfly ",D1541="Iron Fly", D1541="Iron Fly "),LEN(E1541)-LEN(SUBSTITUTE(E1541,"/",""))+2,LEN(E1541)-LEN(SUBSTITUTE(E1541,"/",""))+1))</f>
        <v/>
      </c>
      <c r="I1541" s="78">
        <f>IF(ISBLANK(G1541),"",IF(D1541="Stock","0",Key!$A$3*H1541*G1541))</f>
        <v/>
      </c>
      <c r="J1541" s="78">
        <f>IF(ISBLANK(E1541),"",IF(ISNUMBER(SEARCH("/",E1541)), IF(LEN(E1541)-LEN(SUBSTITUTE(E1541,"/",""))=1,(RIGHT(E1541,LEN(E1541)-FIND("/",E1541)))-(LEFT(E1541,FIND("/",E1541)-1)),(MID(E1541, SEARCH("/",E1541) + 1, SEARCH("/",E1541, SEARCH("/",E1541)+1) - SEARCH("/",E1541) - 1))-(LEFT(E1541,FIND("/",E1541)-1))), "NA"))</f>
        <v/>
      </c>
      <c r="K1541" s="79">
        <f>IF(A1541&lt;&gt;"", IF(ISBLANK(L1541), TODAY(), K1541), "")</f>
        <v/>
      </c>
      <c r="L1541" s="78" t="n"/>
      <c r="M1541" s="78">
        <f>IF(ISBLANK(L1541),"",IF(D1541="Stock",IF(C1541="Buy",L1541*G1541,IF(C1541="Sell",(L1541*G1541)-I1541, X)),IF(C1541="Buy",(L1541*G1541*100)+I1541,IF(C1541="Sell",(L1541*G1541*100)-I1541, X))))</f>
        <v/>
      </c>
      <c r="N1541" s="78">
        <f>IF(ISBLANK(L1541),"",IF(AND(C1541="Sell",D1541="Stock"),M1541,IF(ISBLANK(L1541),"",IF(C1541="Buy",M1541, IF(AND(C1541="Sell",J1541="NA"),(E1541*G1541*100*0.1)+I1541, IF(C1541="Sell",(J1541-L1541)*(100*G1541)+I1541))))))</f>
        <v/>
      </c>
      <c r="O1541" s="75" t="n"/>
      <c r="P1541" s="75" t="n"/>
      <c r="Q1541" s="75">
        <f>IF(ISBLANK(P1541),"",IF(D1541="Stock",P1541*G1541,IF(P1541=0,"0",G1541*P1541*100-(G1541*$AF$14))))</f>
        <v/>
      </c>
      <c r="R1541" s="79">
        <f>IF(P1541&lt;&gt;"", TODAY(), "")</f>
        <v/>
      </c>
      <c r="S1541" s="78">
        <f>IF(AND(K1541&lt;&gt;"", R1541&lt;&gt;""), R1541-K1541, "")</f>
        <v/>
      </c>
      <c r="T1541" s="78" t="n"/>
      <c r="U1541" s="92">
        <f>IF(ISBLANK(P1541),"",IF(C1541="Buy",Q1541-M1541+T1541, IF(C1541="Sell",M1541-Q1541-T1541, X)))</f>
        <v/>
      </c>
      <c r="V1541" s="81">
        <f>IF(ISBLANK(P1541),"",U1541/N1541)</f>
        <v/>
      </c>
      <c r="W1541" s="81">
        <f>IF(ISBLANK(P1541),"",IF(S1541=0,(365/0.5)*V1541,(365/S1541)*V1541))</f>
        <v/>
      </c>
      <c r="X1541" s="75" t="n"/>
      <c r="Y1541" s="77" t="n"/>
      <c r="Z1541" s="77" t="n"/>
      <c r="AA1541" s="75" t="n"/>
      <c r="AB1541" s="75" t="n"/>
      <c r="AC1541" s="6" t="n"/>
      <c r="AD1541" s="75" t="n"/>
      <c r="AE1541" s="75" t="n"/>
      <c r="AF1541" s="75" t="n"/>
    </row>
    <row r="1542" ht="15.75" customHeight="1" s="133">
      <c r="A1542" s="75" t="n"/>
      <c r="B1542" s="75" t="n"/>
      <c r="C1542" s="75" t="n"/>
      <c r="D1542" s="75" t="n"/>
      <c r="E1542" s="76" t="n"/>
      <c r="F1542" s="77" t="n"/>
      <c r="G1542" s="75" t="n"/>
      <c r="H1542" s="75">
        <f>IF(ISBLANK(E1542),"",IF(OR(D1542="Butterfly",D1542="Butterfly ",D1542="Iron Fly", D1542="Iron Fly "),LEN(E1542)-LEN(SUBSTITUTE(E1542,"/",""))+2,LEN(E1542)-LEN(SUBSTITUTE(E1542,"/",""))+1))</f>
        <v/>
      </c>
      <c r="I1542" s="78">
        <f>IF(ISBLANK(G1542),"",IF(D1542="Stock","0",Key!$A$3*H1542*G1542))</f>
        <v/>
      </c>
      <c r="J1542" s="78">
        <f>IF(ISBLANK(E1542),"",IF(ISNUMBER(SEARCH("/",E1542)), IF(LEN(E1542)-LEN(SUBSTITUTE(E1542,"/",""))=1,(RIGHT(E1542,LEN(E1542)-FIND("/",E1542)))-(LEFT(E1542,FIND("/",E1542)-1)),(MID(E1542, SEARCH("/",E1542) + 1, SEARCH("/",E1542, SEARCH("/",E1542)+1) - SEARCH("/",E1542) - 1))-(LEFT(E1542,FIND("/",E1542)-1))), "NA"))</f>
        <v/>
      </c>
      <c r="K1542" s="79">
        <f>IF(A1542&lt;&gt;"", IF(ISBLANK(L1542), TODAY(), K1542), "")</f>
        <v/>
      </c>
      <c r="L1542" s="78" t="n"/>
      <c r="M1542" s="78">
        <f>IF(ISBLANK(L1542),"",IF(D1542="Stock",IF(C1542="Buy",L1542*G1542,IF(C1542="Sell",(L1542*G1542)-I1542, X)),IF(C1542="Buy",(L1542*G1542*100)+I1542,IF(C1542="Sell",(L1542*G1542*100)-I1542, X))))</f>
        <v/>
      </c>
      <c r="N1542" s="78">
        <f>IF(ISBLANK(L1542),"",IF(AND(C1542="Sell",D1542="Stock"),M1542,IF(ISBLANK(L1542),"",IF(C1542="Buy",M1542, IF(AND(C1542="Sell",J1542="NA"),(E1542*G1542*100*0.1)+I1542, IF(C1542="Sell",(J1542-L1542)*(100*G1542)+I1542))))))</f>
        <v/>
      </c>
      <c r="O1542" s="75" t="n"/>
      <c r="P1542" s="75" t="n"/>
      <c r="Q1542" s="75">
        <f>IF(ISBLANK(P1542),"",IF(D1542="Stock",P1542*G1542,IF(P1542=0,"0",G1542*P1542*100-(G1542*$AF$14))))</f>
        <v/>
      </c>
      <c r="R1542" s="79">
        <f>IF(P1542&lt;&gt;"", TODAY(), "")</f>
        <v/>
      </c>
      <c r="S1542" s="78">
        <f>IF(AND(K1542&lt;&gt;"", R1542&lt;&gt;""), R1542-K1542, "")</f>
        <v/>
      </c>
      <c r="T1542" s="78" t="n"/>
      <c r="U1542" s="92">
        <f>IF(ISBLANK(P1542),"",IF(C1542="Buy",Q1542-M1542+T1542, IF(C1542="Sell",M1542-Q1542-T1542, X)))</f>
        <v/>
      </c>
      <c r="V1542" s="81">
        <f>IF(ISBLANK(P1542),"",U1542/N1542)</f>
        <v/>
      </c>
      <c r="W1542" s="81">
        <f>IF(ISBLANK(P1542),"",IF(S1542=0,(365/0.5)*V1542,(365/S1542)*V1542))</f>
        <v/>
      </c>
      <c r="X1542" s="75" t="n"/>
      <c r="Y1542" s="77" t="n"/>
      <c r="Z1542" s="77" t="n"/>
      <c r="AA1542" s="75" t="n"/>
      <c r="AB1542" s="75" t="n"/>
      <c r="AC1542" s="6" t="n"/>
      <c r="AD1542" s="75" t="n"/>
      <c r="AE1542" s="75" t="n"/>
      <c r="AF1542" s="75" t="n"/>
    </row>
    <row r="1543" ht="15.75" customHeight="1" s="133">
      <c r="A1543" s="75" t="n"/>
      <c r="B1543" s="75" t="n"/>
      <c r="C1543" s="75" t="n"/>
      <c r="D1543" s="75" t="n"/>
      <c r="E1543" s="76" t="n"/>
      <c r="F1543" s="77" t="n"/>
      <c r="G1543" s="75" t="n"/>
      <c r="H1543" s="75">
        <f>IF(ISBLANK(E1543),"",IF(OR(D1543="Butterfly",D1543="Butterfly ",D1543="Iron Fly", D1543="Iron Fly "),LEN(E1543)-LEN(SUBSTITUTE(E1543,"/",""))+2,LEN(E1543)-LEN(SUBSTITUTE(E1543,"/",""))+1))</f>
        <v/>
      </c>
      <c r="I1543" s="78">
        <f>IF(ISBLANK(G1543),"",IF(D1543="Stock","0",Key!$A$3*H1543*G1543))</f>
        <v/>
      </c>
      <c r="J1543" s="78">
        <f>IF(ISBLANK(E1543),"",IF(ISNUMBER(SEARCH("/",E1543)), IF(LEN(E1543)-LEN(SUBSTITUTE(E1543,"/",""))=1,(RIGHT(E1543,LEN(E1543)-FIND("/",E1543)))-(LEFT(E1543,FIND("/",E1543)-1)),(MID(E1543, SEARCH("/",E1543) + 1, SEARCH("/",E1543, SEARCH("/",E1543)+1) - SEARCH("/",E1543) - 1))-(LEFT(E1543,FIND("/",E1543)-1))), "NA"))</f>
        <v/>
      </c>
      <c r="K1543" s="79">
        <f>IF(A1543&lt;&gt;"", IF(ISBLANK(L1543), TODAY(), K1543), "")</f>
        <v/>
      </c>
      <c r="L1543" s="78" t="n"/>
      <c r="M1543" s="78">
        <f>IF(ISBLANK(L1543),"",IF(D1543="Stock",IF(C1543="Buy",L1543*G1543,IF(C1543="Sell",(L1543*G1543)-I1543, X)),IF(C1543="Buy",(L1543*G1543*100)+I1543,IF(C1543="Sell",(L1543*G1543*100)-I1543, X))))</f>
        <v/>
      </c>
      <c r="N1543" s="78">
        <f>IF(ISBLANK(L1543),"",IF(AND(C1543="Sell",D1543="Stock"),M1543,IF(ISBLANK(L1543),"",IF(C1543="Buy",M1543, IF(AND(C1543="Sell",J1543="NA"),(E1543*G1543*100*0.1)+I1543, IF(C1543="Sell",(J1543-L1543)*(100*G1543)+I1543))))))</f>
        <v/>
      </c>
      <c r="O1543" s="75" t="n"/>
      <c r="P1543" s="75" t="n"/>
      <c r="Q1543" s="75">
        <f>IF(ISBLANK(P1543),"",IF(D1543="Stock",P1543*G1543,IF(P1543=0,"0",G1543*P1543*100-(G1543*$AF$14))))</f>
        <v/>
      </c>
      <c r="R1543" s="79">
        <f>IF(P1543&lt;&gt;"", TODAY(), "")</f>
        <v/>
      </c>
      <c r="S1543" s="78">
        <f>IF(AND(K1543&lt;&gt;"", R1543&lt;&gt;""), R1543-K1543, "")</f>
        <v/>
      </c>
      <c r="T1543" s="78" t="n"/>
      <c r="U1543" s="92">
        <f>IF(ISBLANK(P1543),"",IF(C1543="Buy",Q1543-M1543+T1543, IF(C1543="Sell",M1543-Q1543-T1543, X)))</f>
        <v/>
      </c>
      <c r="V1543" s="81">
        <f>IF(ISBLANK(P1543),"",U1543/N1543)</f>
        <v/>
      </c>
      <c r="W1543" s="81">
        <f>IF(ISBLANK(P1543),"",IF(S1543=0,(365/0.5)*V1543,(365/S1543)*V1543))</f>
        <v/>
      </c>
      <c r="X1543" s="75" t="n"/>
      <c r="Y1543" s="77" t="n"/>
      <c r="Z1543" s="77" t="n"/>
      <c r="AA1543" s="75" t="n"/>
      <c r="AB1543" s="75" t="n"/>
      <c r="AC1543" s="6" t="n"/>
      <c r="AD1543" s="75" t="n"/>
      <c r="AE1543" s="75" t="n"/>
      <c r="AF1543" s="75" t="n"/>
    </row>
    <row r="1544" ht="15.75" customHeight="1" s="133">
      <c r="A1544" s="75" t="n"/>
      <c r="B1544" s="75" t="n"/>
      <c r="C1544" s="75" t="n"/>
      <c r="D1544" s="75" t="n"/>
      <c r="E1544" s="76" t="n"/>
      <c r="F1544" s="77" t="n"/>
      <c r="G1544" s="75" t="n"/>
      <c r="H1544" s="75">
        <f>IF(ISBLANK(E1544),"",IF(OR(D1544="Butterfly",D1544="Butterfly ",D1544="Iron Fly", D1544="Iron Fly "),LEN(E1544)-LEN(SUBSTITUTE(E1544,"/",""))+2,LEN(E1544)-LEN(SUBSTITUTE(E1544,"/",""))+1))</f>
        <v/>
      </c>
      <c r="I1544" s="78">
        <f>IF(ISBLANK(G1544),"",IF(D1544="Stock","0",Key!$A$3*H1544*G1544))</f>
        <v/>
      </c>
      <c r="J1544" s="78">
        <f>IF(ISBLANK(E1544),"",IF(ISNUMBER(SEARCH("/",E1544)), IF(LEN(E1544)-LEN(SUBSTITUTE(E1544,"/",""))=1,(RIGHT(E1544,LEN(E1544)-FIND("/",E1544)))-(LEFT(E1544,FIND("/",E1544)-1)),(MID(E1544, SEARCH("/",E1544) + 1, SEARCH("/",E1544, SEARCH("/",E1544)+1) - SEARCH("/",E1544) - 1))-(LEFT(E1544,FIND("/",E1544)-1))), "NA"))</f>
        <v/>
      </c>
      <c r="K1544" s="79">
        <f>IF(A1544&lt;&gt;"", IF(ISBLANK(L1544), TODAY(), K1544), "")</f>
        <v/>
      </c>
      <c r="L1544" s="78" t="n"/>
      <c r="M1544" s="78">
        <f>IF(ISBLANK(L1544),"",IF(D1544="Stock",IF(C1544="Buy",L1544*G1544,IF(C1544="Sell",(L1544*G1544)-I1544, X)),IF(C1544="Buy",(L1544*G1544*100)+I1544,IF(C1544="Sell",(L1544*G1544*100)-I1544, X))))</f>
        <v/>
      </c>
      <c r="N1544" s="78">
        <f>IF(ISBLANK(L1544),"",IF(AND(C1544="Sell",D1544="Stock"),M1544,IF(ISBLANK(L1544),"",IF(C1544="Buy",M1544, IF(AND(C1544="Sell",J1544="NA"),(E1544*G1544*100*0.1)+I1544, IF(C1544="Sell",(J1544-L1544)*(100*G1544)+I1544))))))</f>
        <v/>
      </c>
      <c r="O1544" s="75" t="n"/>
      <c r="P1544" s="75" t="n"/>
      <c r="Q1544" s="75">
        <f>IF(ISBLANK(P1544),"",IF(D1544="Stock",P1544*G1544,IF(P1544=0,"0",G1544*P1544*100-(G1544*$AF$14))))</f>
        <v/>
      </c>
      <c r="R1544" s="79">
        <f>IF(P1544&lt;&gt;"", TODAY(), "")</f>
        <v/>
      </c>
      <c r="S1544" s="78">
        <f>IF(AND(K1544&lt;&gt;"", R1544&lt;&gt;""), R1544-K1544, "")</f>
        <v/>
      </c>
      <c r="T1544" s="78" t="n"/>
      <c r="U1544" s="92">
        <f>IF(ISBLANK(P1544),"",IF(C1544="Buy",Q1544-M1544+T1544, IF(C1544="Sell",M1544-Q1544-T1544, X)))</f>
        <v/>
      </c>
      <c r="V1544" s="81">
        <f>IF(ISBLANK(P1544),"",U1544/N1544)</f>
        <v/>
      </c>
      <c r="W1544" s="81">
        <f>IF(ISBLANK(P1544),"",IF(S1544=0,(365/0.5)*V1544,(365/S1544)*V1544))</f>
        <v/>
      </c>
      <c r="X1544" s="75" t="n"/>
      <c r="Y1544" s="77" t="n"/>
      <c r="Z1544" s="77" t="n"/>
      <c r="AA1544" s="75" t="n"/>
      <c r="AB1544" s="75" t="n"/>
      <c r="AC1544" s="6" t="n"/>
      <c r="AD1544" s="75" t="n"/>
      <c r="AE1544" s="75" t="n"/>
      <c r="AF1544" s="75" t="n"/>
    </row>
    <row r="1545" ht="15.75" customHeight="1" s="133">
      <c r="A1545" s="75" t="n"/>
      <c r="B1545" s="75" t="n"/>
      <c r="C1545" s="75" t="n"/>
      <c r="D1545" s="75" t="n"/>
      <c r="E1545" s="76" t="n"/>
      <c r="F1545" s="77" t="n"/>
      <c r="G1545" s="75" t="n"/>
      <c r="H1545" s="75">
        <f>IF(ISBLANK(E1545),"",IF(OR(D1545="Butterfly",D1545="Butterfly ",D1545="Iron Fly", D1545="Iron Fly "),LEN(E1545)-LEN(SUBSTITUTE(E1545,"/",""))+2,LEN(E1545)-LEN(SUBSTITUTE(E1545,"/",""))+1))</f>
        <v/>
      </c>
      <c r="I1545" s="78">
        <f>IF(ISBLANK(G1545),"",IF(D1545="Stock","0",Key!$A$3*H1545*G1545))</f>
        <v/>
      </c>
      <c r="J1545" s="78">
        <f>IF(ISBLANK(E1545),"",IF(ISNUMBER(SEARCH("/",E1545)), IF(LEN(E1545)-LEN(SUBSTITUTE(E1545,"/",""))=1,(RIGHT(E1545,LEN(E1545)-FIND("/",E1545)))-(LEFT(E1545,FIND("/",E1545)-1)),(MID(E1545, SEARCH("/",E1545) + 1, SEARCH("/",E1545, SEARCH("/",E1545)+1) - SEARCH("/",E1545) - 1))-(LEFT(E1545,FIND("/",E1545)-1))), "NA"))</f>
        <v/>
      </c>
      <c r="K1545" s="79">
        <f>IF(A1545&lt;&gt;"", IF(ISBLANK(L1545), TODAY(), K1545), "")</f>
        <v/>
      </c>
      <c r="L1545" s="78" t="n"/>
      <c r="M1545" s="78">
        <f>IF(ISBLANK(L1545),"",IF(D1545="Stock",IF(C1545="Buy",L1545*G1545,IF(C1545="Sell",(L1545*G1545)-I1545, X)),IF(C1545="Buy",(L1545*G1545*100)+I1545,IF(C1545="Sell",(L1545*G1545*100)-I1545, X))))</f>
        <v/>
      </c>
      <c r="N1545" s="78">
        <f>IF(ISBLANK(L1545),"",IF(AND(C1545="Sell",D1545="Stock"),M1545,IF(ISBLANK(L1545),"",IF(C1545="Buy",M1545, IF(AND(C1545="Sell",J1545="NA"),(E1545*G1545*100*0.1)+I1545, IF(C1545="Sell",(J1545-L1545)*(100*G1545)+I1545))))))</f>
        <v/>
      </c>
      <c r="O1545" s="75" t="n"/>
      <c r="P1545" s="75" t="n"/>
      <c r="Q1545" s="75">
        <f>IF(ISBLANK(P1545),"",IF(D1545="Stock",P1545*G1545,IF(P1545=0,"0",G1545*P1545*100-(G1545*$AF$14))))</f>
        <v/>
      </c>
      <c r="R1545" s="79">
        <f>IF(P1545&lt;&gt;"", TODAY(), "")</f>
        <v/>
      </c>
      <c r="S1545" s="78">
        <f>IF(AND(K1545&lt;&gt;"", R1545&lt;&gt;""), R1545-K1545, "")</f>
        <v/>
      </c>
      <c r="T1545" s="78" t="n"/>
      <c r="U1545" s="92">
        <f>IF(ISBLANK(P1545),"",IF(C1545="Buy",Q1545-M1545+T1545, IF(C1545="Sell",M1545-Q1545-T1545, X)))</f>
        <v/>
      </c>
      <c r="V1545" s="81">
        <f>IF(ISBLANK(P1545),"",U1545/N1545)</f>
        <v/>
      </c>
      <c r="W1545" s="81">
        <f>IF(ISBLANK(P1545),"",IF(S1545=0,(365/0.5)*V1545,(365/S1545)*V1545))</f>
        <v/>
      </c>
      <c r="X1545" s="75" t="n"/>
      <c r="Y1545" s="77" t="n"/>
      <c r="Z1545" s="77" t="n"/>
      <c r="AA1545" s="75" t="n"/>
      <c r="AB1545" s="75" t="n"/>
      <c r="AC1545" s="6" t="n"/>
      <c r="AD1545" s="75" t="n"/>
      <c r="AE1545" s="75" t="n"/>
      <c r="AF1545" s="75" t="n"/>
    </row>
    <row r="1546" ht="15.75" customHeight="1" s="133">
      <c r="A1546" s="75" t="n"/>
      <c r="B1546" s="75" t="n"/>
      <c r="C1546" s="75" t="n"/>
      <c r="D1546" s="75" t="n"/>
      <c r="E1546" s="76" t="n"/>
      <c r="F1546" s="77" t="n"/>
      <c r="G1546" s="75" t="n"/>
      <c r="H1546" s="75">
        <f>IF(ISBLANK(E1546),"",IF(OR(D1546="Butterfly",D1546="Butterfly ",D1546="Iron Fly", D1546="Iron Fly "),LEN(E1546)-LEN(SUBSTITUTE(E1546,"/",""))+2,LEN(E1546)-LEN(SUBSTITUTE(E1546,"/",""))+1))</f>
        <v/>
      </c>
      <c r="I1546" s="78">
        <f>IF(ISBLANK(G1546),"",IF(D1546="Stock","0",Key!$A$3*H1546*G1546))</f>
        <v/>
      </c>
      <c r="J1546" s="78">
        <f>IF(ISBLANK(E1546),"",IF(ISNUMBER(SEARCH("/",E1546)), IF(LEN(E1546)-LEN(SUBSTITUTE(E1546,"/",""))=1,(RIGHT(E1546,LEN(E1546)-FIND("/",E1546)))-(LEFT(E1546,FIND("/",E1546)-1)),(MID(E1546, SEARCH("/",E1546) + 1, SEARCH("/",E1546, SEARCH("/",E1546)+1) - SEARCH("/",E1546) - 1))-(LEFT(E1546,FIND("/",E1546)-1))), "NA"))</f>
        <v/>
      </c>
      <c r="K1546" s="79">
        <f>IF(A1546&lt;&gt;"", IF(ISBLANK(L1546), TODAY(), K1546), "")</f>
        <v/>
      </c>
      <c r="L1546" s="78" t="n"/>
      <c r="M1546" s="78">
        <f>IF(ISBLANK(L1546),"",IF(D1546="Stock",IF(C1546="Buy",L1546*G1546,IF(C1546="Sell",(L1546*G1546)-I1546, X)),IF(C1546="Buy",(L1546*G1546*100)+I1546,IF(C1546="Sell",(L1546*G1546*100)-I1546, X))))</f>
        <v/>
      </c>
      <c r="N1546" s="78">
        <f>IF(ISBLANK(L1546),"",IF(AND(C1546="Sell",D1546="Stock"),M1546,IF(ISBLANK(L1546),"",IF(C1546="Buy",M1546, IF(AND(C1546="Sell",J1546="NA"),(E1546*G1546*100*0.1)+I1546, IF(C1546="Sell",(J1546-L1546)*(100*G1546)+I1546))))))</f>
        <v/>
      </c>
      <c r="O1546" s="75" t="n"/>
      <c r="P1546" s="75" t="n"/>
      <c r="Q1546" s="75">
        <f>IF(ISBLANK(P1546),"",IF(D1546="Stock",P1546*G1546,IF(P1546=0,"0",G1546*P1546*100-(G1546*$AF$14))))</f>
        <v/>
      </c>
      <c r="R1546" s="79">
        <f>IF(P1546&lt;&gt;"", TODAY(), "")</f>
        <v/>
      </c>
      <c r="S1546" s="78">
        <f>IF(AND(K1546&lt;&gt;"", R1546&lt;&gt;""), R1546-K1546, "")</f>
        <v/>
      </c>
      <c r="T1546" s="78" t="n"/>
      <c r="U1546" s="92">
        <f>IF(ISBLANK(P1546),"",IF(C1546="Buy",Q1546-M1546+T1546, IF(C1546="Sell",M1546-Q1546-T1546, X)))</f>
        <v/>
      </c>
      <c r="V1546" s="81">
        <f>IF(ISBLANK(P1546),"",U1546/N1546)</f>
        <v/>
      </c>
      <c r="W1546" s="81">
        <f>IF(ISBLANK(P1546),"",IF(S1546=0,(365/0.5)*V1546,(365/S1546)*V1546))</f>
        <v/>
      </c>
      <c r="X1546" s="75" t="n"/>
      <c r="Y1546" s="77" t="n"/>
      <c r="Z1546" s="77" t="n"/>
      <c r="AA1546" s="75" t="n"/>
      <c r="AB1546" s="75" t="n"/>
      <c r="AC1546" s="6" t="n"/>
      <c r="AD1546" s="75" t="n"/>
      <c r="AE1546" s="75" t="n"/>
      <c r="AF1546" s="75" t="n"/>
    </row>
    <row r="1547" ht="15.75" customHeight="1" s="133">
      <c r="A1547" s="75" t="n"/>
      <c r="B1547" s="75" t="n"/>
      <c r="C1547" s="75" t="n"/>
      <c r="D1547" s="75" t="n"/>
      <c r="E1547" s="76" t="n"/>
      <c r="F1547" s="77" t="n"/>
      <c r="G1547" s="75" t="n"/>
      <c r="H1547" s="75">
        <f>IF(ISBLANK(E1547),"",IF(OR(D1547="Butterfly",D1547="Butterfly ",D1547="Iron Fly", D1547="Iron Fly "),LEN(E1547)-LEN(SUBSTITUTE(E1547,"/",""))+2,LEN(E1547)-LEN(SUBSTITUTE(E1547,"/",""))+1))</f>
        <v/>
      </c>
      <c r="I1547" s="78">
        <f>IF(ISBLANK(G1547),"",IF(D1547="Stock","0",Key!$A$3*H1547*G1547))</f>
        <v/>
      </c>
      <c r="J1547" s="78">
        <f>IF(ISBLANK(E1547),"",IF(ISNUMBER(SEARCH("/",E1547)), IF(LEN(E1547)-LEN(SUBSTITUTE(E1547,"/",""))=1,(RIGHT(E1547,LEN(E1547)-FIND("/",E1547)))-(LEFT(E1547,FIND("/",E1547)-1)),(MID(E1547, SEARCH("/",E1547) + 1, SEARCH("/",E1547, SEARCH("/",E1547)+1) - SEARCH("/",E1547) - 1))-(LEFT(E1547,FIND("/",E1547)-1))), "NA"))</f>
        <v/>
      </c>
      <c r="K1547" s="79">
        <f>IF(A1547&lt;&gt;"", IF(ISBLANK(L1547), TODAY(), K1547), "")</f>
        <v/>
      </c>
      <c r="L1547" s="78" t="n"/>
      <c r="M1547" s="78">
        <f>IF(ISBLANK(L1547),"",IF(D1547="Stock",IF(C1547="Buy",L1547*G1547,IF(C1547="Sell",(L1547*G1547)-I1547, X)),IF(C1547="Buy",(L1547*G1547*100)+I1547,IF(C1547="Sell",(L1547*G1547*100)-I1547, X))))</f>
        <v/>
      </c>
      <c r="N1547" s="78">
        <f>IF(ISBLANK(L1547),"",IF(AND(C1547="Sell",D1547="Stock"),M1547,IF(ISBLANK(L1547),"",IF(C1547="Buy",M1547, IF(AND(C1547="Sell",J1547="NA"),(E1547*G1547*100*0.1)+I1547, IF(C1547="Sell",(J1547-L1547)*(100*G1547)+I1547))))))</f>
        <v/>
      </c>
      <c r="O1547" s="75" t="n"/>
      <c r="P1547" s="75" t="n"/>
      <c r="Q1547" s="75">
        <f>IF(ISBLANK(P1547),"",IF(D1547="Stock",P1547*G1547,IF(P1547=0,"0",G1547*P1547*100-(G1547*$AF$14))))</f>
        <v/>
      </c>
      <c r="R1547" s="79">
        <f>IF(P1547&lt;&gt;"", TODAY(), "")</f>
        <v/>
      </c>
      <c r="S1547" s="78">
        <f>IF(AND(K1547&lt;&gt;"", R1547&lt;&gt;""), R1547-K1547, "")</f>
        <v/>
      </c>
      <c r="T1547" s="78" t="n"/>
      <c r="U1547" s="92">
        <f>IF(ISBLANK(P1547),"",IF(C1547="Buy",Q1547-M1547+T1547, IF(C1547="Sell",M1547-Q1547-T1547, X)))</f>
        <v/>
      </c>
      <c r="V1547" s="81">
        <f>IF(ISBLANK(P1547),"",U1547/N1547)</f>
        <v/>
      </c>
      <c r="W1547" s="81">
        <f>IF(ISBLANK(P1547),"",IF(S1547=0,(365/0.5)*V1547,(365/S1547)*V1547))</f>
        <v/>
      </c>
      <c r="X1547" s="75" t="n"/>
      <c r="Y1547" s="77" t="n"/>
      <c r="Z1547" s="77" t="n"/>
      <c r="AA1547" s="75" t="n"/>
      <c r="AB1547" s="75" t="n"/>
      <c r="AC1547" s="6" t="n"/>
      <c r="AD1547" s="75" t="n"/>
      <c r="AE1547" s="75" t="n"/>
      <c r="AF1547" s="75" t="n"/>
    </row>
    <row r="1548" ht="15.75" customHeight="1" s="133">
      <c r="A1548" s="75" t="n"/>
      <c r="B1548" s="75" t="n"/>
      <c r="C1548" s="75" t="n"/>
      <c r="D1548" s="75" t="n"/>
      <c r="E1548" s="76" t="n"/>
      <c r="F1548" s="77" t="n"/>
      <c r="G1548" s="75" t="n"/>
      <c r="H1548" s="75">
        <f>IF(ISBLANK(E1548),"",IF(OR(D1548="Butterfly",D1548="Butterfly ",D1548="Iron Fly", D1548="Iron Fly "),LEN(E1548)-LEN(SUBSTITUTE(E1548,"/",""))+2,LEN(E1548)-LEN(SUBSTITUTE(E1548,"/",""))+1))</f>
        <v/>
      </c>
      <c r="I1548" s="78">
        <f>IF(ISBLANK(G1548),"",IF(D1548="Stock","0",Key!$A$3*H1548*G1548))</f>
        <v/>
      </c>
      <c r="J1548" s="78">
        <f>IF(ISBLANK(E1548),"",IF(ISNUMBER(SEARCH("/",E1548)), IF(LEN(E1548)-LEN(SUBSTITUTE(E1548,"/",""))=1,(RIGHT(E1548,LEN(E1548)-FIND("/",E1548)))-(LEFT(E1548,FIND("/",E1548)-1)),(MID(E1548, SEARCH("/",E1548) + 1, SEARCH("/",E1548, SEARCH("/",E1548)+1) - SEARCH("/",E1548) - 1))-(LEFT(E1548,FIND("/",E1548)-1))), "NA"))</f>
        <v/>
      </c>
      <c r="K1548" s="79">
        <f>IF(A1548&lt;&gt;"", IF(ISBLANK(L1548), TODAY(), K1548), "")</f>
        <v/>
      </c>
      <c r="L1548" s="78" t="n"/>
      <c r="M1548" s="78">
        <f>IF(ISBLANK(L1548),"",IF(D1548="Stock",IF(C1548="Buy",L1548*G1548,IF(C1548="Sell",(L1548*G1548)-I1548, X)),IF(C1548="Buy",(L1548*G1548*100)+I1548,IF(C1548="Sell",(L1548*G1548*100)-I1548, X))))</f>
        <v/>
      </c>
      <c r="N1548" s="78">
        <f>IF(ISBLANK(L1548),"",IF(AND(C1548="Sell",D1548="Stock"),M1548,IF(ISBLANK(L1548),"",IF(C1548="Buy",M1548, IF(AND(C1548="Sell",J1548="NA"),(E1548*G1548*100*0.1)+I1548, IF(C1548="Sell",(J1548-L1548)*(100*G1548)+I1548))))))</f>
        <v/>
      </c>
      <c r="O1548" s="75" t="n"/>
      <c r="P1548" s="75" t="n"/>
      <c r="Q1548" s="75">
        <f>IF(ISBLANK(P1548),"",IF(D1548="Stock",P1548*G1548,IF(P1548=0,"0",G1548*P1548*100-(G1548*$AF$14))))</f>
        <v/>
      </c>
      <c r="R1548" s="79">
        <f>IF(P1548&lt;&gt;"", TODAY(), "")</f>
        <v/>
      </c>
      <c r="S1548" s="78">
        <f>IF(AND(K1548&lt;&gt;"", R1548&lt;&gt;""), R1548-K1548, "")</f>
        <v/>
      </c>
      <c r="T1548" s="78" t="n"/>
      <c r="U1548" s="92">
        <f>IF(ISBLANK(P1548),"",IF(C1548="Buy",Q1548-M1548+T1548, IF(C1548="Sell",M1548-Q1548-T1548, X)))</f>
        <v/>
      </c>
      <c r="V1548" s="81">
        <f>IF(ISBLANK(P1548),"",U1548/N1548)</f>
        <v/>
      </c>
      <c r="W1548" s="81">
        <f>IF(ISBLANK(P1548),"",IF(S1548=0,(365/0.5)*V1548,(365/S1548)*V1548))</f>
        <v/>
      </c>
      <c r="X1548" s="75" t="n"/>
      <c r="Y1548" s="77" t="n"/>
      <c r="Z1548" s="77" t="n"/>
      <c r="AA1548" s="75" t="n"/>
      <c r="AB1548" s="75" t="n"/>
      <c r="AC1548" s="6" t="n"/>
      <c r="AD1548" s="75" t="n"/>
      <c r="AE1548" s="75" t="n"/>
      <c r="AF1548" s="75" t="n"/>
    </row>
    <row r="1549" ht="15.75" customHeight="1" s="133">
      <c r="A1549" s="75" t="n"/>
      <c r="B1549" s="75" t="n"/>
      <c r="C1549" s="75" t="n"/>
      <c r="D1549" s="75" t="n"/>
      <c r="E1549" s="76" t="n"/>
      <c r="F1549" s="77" t="n"/>
      <c r="G1549" s="75" t="n"/>
      <c r="H1549" s="75">
        <f>IF(ISBLANK(E1549),"",IF(OR(D1549="Butterfly",D1549="Butterfly ",D1549="Iron Fly", D1549="Iron Fly "),LEN(E1549)-LEN(SUBSTITUTE(E1549,"/",""))+2,LEN(E1549)-LEN(SUBSTITUTE(E1549,"/",""))+1))</f>
        <v/>
      </c>
      <c r="I1549" s="78">
        <f>IF(ISBLANK(G1549),"",IF(D1549="Stock","0",Key!$A$3*H1549*G1549))</f>
        <v/>
      </c>
      <c r="J1549" s="78">
        <f>IF(ISBLANK(E1549),"",IF(ISNUMBER(SEARCH("/",E1549)), IF(LEN(E1549)-LEN(SUBSTITUTE(E1549,"/",""))=1,(RIGHT(E1549,LEN(E1549)-FIND("/",E1549)))-(LEFT(E1549,FIND("/",E1549)-1)),(MID(E1549, SEARCH("/",E1549) + 1, SEARCH("/",E1549, SEARCH("/",E1549)+1) - SEARCH("/",E1549) - 1))-(LEFT(E1549,FIND("/",E1549)-1))), "NA"))</f>
        <v/>
      </c>
      <c r="K1549" s="79">
        <f>IF(A1549&lt;&gt;"", IF(ISBLANK(L1549), TODAY(), K1549), "")</f>
        <v/>
      </c>
      <c r="L1549" s="78" t="n"/>
      <c r="M1549" s="78">
        <f>IF(ISBLANK(L1549),"",IF(D1549="Stock",IF(C1549="Buy",L1549*G1549,IF(C1549="Sell",(L1549*G1549)-I1549, X)),IF(C1549="Buy",(L1549*G1549*100)+I1549,IF(C1549="Sell",(L1549*G1549*100)-I1549, X))))</f>
        <v/>
      </c>
      <c r="N1549" s="78">
        <f>IF(ISBLANK(L1549),"",IF(AND(C1549="Sell",D1549="Stock"),M1549,IF(ISBLANK(L1549),"",IF(C1549="Buy",M1549, IF(AND(C1549="Sell",J1549="NA"),(E1549*G1549*100*0.1)+I1549, IF(C1549="Sell",(J1549-L1549)*(100*G1549)+I1549))))))</f>
        <v/>
      </c>
      <c r="O1549" s="75" t="n"/>
      <c r="P1549" s="75" t="n"/>
      <c r="Q1549" s="75">
        <f>IF(ISBLANK(P1549),"",IF(D1549="Stock",P1549*G1549,IF(P1549=0,"0",G1549*P1549*100-(G1549*$AF$14))))</f>
        <v/>
      </c>
      <c r="R1549" s="79">
        <f>IF(P1549&lt;&gt;"", TODAY(), "")</f>
        <v/>
      </c>
      <c r="S1549" s="78">
        <f>IF(AND(K1549&lt;&gt;"", R1549&lt;&gt;""), R1549-K1549, "")</f>
        <v/>
      </c>
      <c r="T1549" s="78" t="n"/>
      <c r="U1549" s="92">
        <f>IF(ISBLANK(P1549),"",IF(C1549="Buy",Q1549-M1549+T1549, IF(C1549="Sell",M1549-Q1549-T1549, X)))</f>
        <v/>
      </c>
      <c r="V1549" s="81">
        <f>IF(ISBLANK(P1549),"",U1549/N1549)</f>
        <v/>
      </c>
      <c r="W1549" s="81">
        <f>IF(ISBLANK(P1549),"",IF(S1549=0,(365/0.5)*V1549,(365/S1549)*V1549))</f>
        <v/>
      </c>
      <c r="X1549" s="75" t="n"/>
      <c r="Y1549" s="77" t="n"/>
      <c r="Z1549" s="77" t="n"/>
      <c r="AA1549" s="75" t="n"/>
      <c r="AB1549" s="75" t="n"/>
      <c r="AC1549" s="6" t="n"/>
      <c r="AD1549" s="75" t="n"/>
      <c r="AE1549" s="75" t="n"/>
      <c r="AF1549" s="75" t="n"/>
    </row>
    <row r="1550" ht="15.75" customHeight="1" s="133">
      <c r="A1550" s="75" t="n"/>
      <c r="B1550" s="75" t="n"/>
      <c r="C1550" s="75" t="n"/>
      <c r="D1550" s="75" t="n"/>
      <c r="E1550" s="76" t="n"/>
      <c r="F1550" s="77" t="n"/>
      <c r="G1550" s="75" t="n"/>
      <c r="H1550" s="75">
        <f>IF(ISBLANK(E1550),"",IF(OR(D1550="Butterfly",D1550="Butterfly ",D1550="Iron Fly", D1550="Iron Fly "),LEN(E1550)-LEN(SUBSTITUTE(E1550,"/",""))+2,LEN(E1550)-LEN(SUBSTITUTE(E1550,"/",""))+1))</f>
        <v/>
      </c>
      <c r="I1550" s="78">
        <f>IF(ISBLANK(G1550),"",IF(D1550="Stock","0",Key!$A$3*H1550*G1550))</f>
        <v/>
      </c>
      <c r="J1550" s="78">
        <f>IF(ISBLANK(E1550),"",IF(ISNUMBER(SEARCH("/",E1550)), IF(LEN(E1550)-LEN(SUBSTITUTE(E1550,"/",""))=1,(RIGHT(E1550,LEN(E1550)-FIND("/",E1550)))-(LEFT(E1550,FIND("/",E1550)-1)),(MID(E1550, SEARCH("/",E1550) + 1, SEARCH("/",E1550, SEARCH("/",E1550)+1) - SEARCH("/",E1550) - 1))-(LEFT(E1550,FIND("/",E1550)-1))), "NA"))</f>
        <v/>
      </c>
      <c r="K1550" s="79">
        <f>IF(A1550&lt;&gt;"", IF(ISBLANK(L1550), TODAY(), K1550), "")</f>
        <v/>
      </c>
      <c r="L1550" s="78" t="n"/>
      <c r="M1550" s="78">
        <f>IF(ISBLANK(L1550),"",IF(D1550="Stock",IF(C1550="Buy",L1550*G1550,IF(C1550="Sell",(L1550*G1550)-I1550, X)),IF(C1550="Buy",(L1550*G1550*100)+I1550,IF(C1550="Sell",(L1550*G1550*100)-I1550, X))))</f>
        <v/>
      </c>
      <c r="N1550" s="78">
        <f>IF(ISBLANK(L1550),"",IF(AND(C1550="Sell",D1550="Stock"),M1550,IF(ISBLANK(L1550),"",IF(C1550="Buy",M1550, IF(AND(C1550="Sell",J1550="NA"),(E1550*G1550*100*0.1)+I1550, IF(C1550="Sell",(J1550-L1550)*(100*G1550)+I1550))))))</f>
        <v/>
      </c>
      <c r="O1550" s="75" t="n"/>
      <c r="P1550" s="75" t="n"/>
      <c r="Q1550" s="75">
        <f>IF(ISBLANK(P1550),"",IF(D1550="Stock",P1550*G1550,IF(P1550=0,"0",G1550*P1550*100-(G1550*$AF$14))))</f>
        <v/>
      </c>
      <c r="R1550" s="79">
        <f>IF(P1550&lt;&gt;"", TODAY(), "")</f>
        <v/>
      </c>
      <c r="S1550" s="78">
        <f>IF(AND(K1550&lt;&gt;"", R1550&lt;&gt;""), R1550-K1550, "")</f>
        <v/>
      </c>
      <c r="T1550" s="78" t="n"/>
      <c r="U1550" s="92">
        <f>IF(ISBLANK(P1550),"",IF(C1550="Buy",Q1550-M1550+T1550, IF(C1550="Sell",M1550-Q1550-T1550, X)))</f>
        <v/>
      </c>
      <c r="V1550" s="81">
        <f>IF(ISBLANK(P1550),"",U1550/N1550)</f>
        <v/>
      </c>
      <c r="W1550" s="81">
        <f>IF(ISBLANK(P1550),"",IF(S1550=0,(365/0.5)*V1550,(365/S1550)*V1550))</f>
        <v/>
      </c>
      <c r="X1550" s="75" t="n"/>
      <c r="Y1550" s="77" t="n"/>
      <c r="Z1550" s="77" t="n"/>
      <c r="AA1550" s="75" t="n"/>
      <c r="AB1550" s="75" t="n"/>
      <c r="AC1550" s="6" t="n"/>
      <c r="AD1550" s="75" t="n"/>
      <c r="AE1550" s="75" t="n"/>
      <c r="AF1550" s="75" t="n"/>
    </row>
    <row r="1551" ht="15.75" customHeight="1" s="133">
      <c r="A1551" s="75" t="n"/>
      <c r="B1551" s="75" t="n"/>
      <c r="C1551" s="75" t="n"/>
      <c r="D1551" s="75" t="n"/>
      <c r="E1551" s="76" t="n"/>
      <c r="F1551" s="77" t="n"/>
      <c r="G1551" s="75" t="n"/>
      <c r="H1551" s="75">
        <f>IF(ISBLANK(E1551),"",IF(OR(D1551="Butterfly",D1551="Butterfly ",D1551="Iron Fly", D1551="Iron Fly "),LEN(E1551)-LEN(SUBSTITUTE(E1551,"/",""))+2,LEN(E1551)-LEN(SUBSTITUTE(E1551,"/",""))+1))</f>
        <v/>
      </c>
      <c r="I1551" s="78">
        <f>IF(ISBLANK(G1551),"",IF(D1551="Stock","0",Key!$A$3*H1551*G1551))</f>
        <v/>
      </c>
      <c r="J1551" s="78">
        <f>IF(ISBLANK(E1551),"",IF(ISNUMBER(SEARCH("/",E1551)), IF(LEN(E1551)-LEN(SUBSTITUTE(E1551,"/",""))=1,(RIGHT(E1551,LEN(E1551)-FIND("/",E1551)))-(LEFT(E1551,FIND("/",E1551)-1)),(MID(E1551, SEARCH("/",E1551) + 1, SEARCH("/",E1551, SEARCH("/",E1551)+1) - SEARCH("/",E1551) - 1))-(LEFT(E1551,FIND("/",E1551)-1))), "NA"))</f>
        <v/>
      </c>
      <c r="K1551" s="79">
        <f>IF(A1551&lt;&gt;"", IF(ISBLANK(L1551), TODAY(), K1551), "")</f>
        <v/>
      </c>
      <c r="L1551" s="78" t="n"/>
      <c r="M1551" s="78">
        <f>IF(ISBLANK(L1551),"",IF(D1551="Stock",IF(C1551="Buy",L1551*G1551,IF(C1551="Sell",(L1551*G1551)-I1551, X)),IF(C1551="Buy",(L1551*G1551*100)+I1551,IF(C1551="Sell",(L1551*G1551*100)-I1551, X))))</f>
        <v/>
      </c>
      <c r="N1551" s="78">
        <f>IF(ISBLANK(L1551),"",IF(AND(C1551="Sell",D1551="Stock"),M1551,IF(ISBLANK(L1551),"",IF(C1551="Buy",M1551, IF(AND(C1551="Sell",J1551="NA"),(E1551*G1551*100*0.1)+I1551, IF(C1551="Sell",(J1551-L1551)*(100*G1551)+I1551))))))</f>
        <v/>
      </c>
      <c r="O1551" s="75" t="n"/>
      <c r="P1551" s="75" t="n"/>
      <c r="Q1551" s="75">
        <f>IF(ISBLANK(P1551),"",IF(D1551="Stock",P1551*G1551,IF(P1551=0,"0",G1551*P1551*100-(G1551*$AF$14))))</f>
        <v/>
      </c>
      <c r="R1551" s="79">
        <f>IF(P1551&lt;&gt;"", TODAY(), "")</f>
        <v/>
      </c>
      <c r="S1551" s="78">
        <f>IF(AND(K1551&lt;&gt;"", R1551&lt;&gt;""), R1551-K1551, "")</f>
        <v/>
      </c>
      <c r="T1551" s="78" t="n"/>
      <c r="U1551" s="92">
        <f>IF(ISBLANK(P1551),"",IF(C1551="Buy",Q1551-M1551+T1551, IF(C1551="Sell",M1551-Q1551-T1551, X)))</f>
        <v/>
      </c>
      <c r="V1551" s="81">
        <f>IF(ISBLANK(P1551),"",U1551/N1551)</f>
        <v/>
      </c>
      <c r="W1551" s="81">
        <f>IF(ISBLANK(P1551),"",IF(S1551=0,(365/0.5)*V1551,(365/S1551)*V1551))</f>
        <v/>
      </c>
      <c r="X1551" s="75" t="n"/>
      <c r="Y1551" s="77" t="n"/>
      <c r="Z1551" s="77" t="n"/>
      <c r="AA1551" s="75" t="n"/>
      <c r="AB1551" s="75" t="n"/>
      <c r="AC1551" s="6" t="n"/>
      <c r="AD1551" s="75" t="n"/>
      <c r="AE1551" s="75" t="n"/>
      <c r="AF1551" s="75" t="n"/>
    </row>
    <row r="1552" ht="15.75" customHeight="1" s="133">
      <c r="A1552" s="75" t="n"/>
      <c r="B1552" s="75" t="n"/>
      <c r="C1552" s="75" t="n"/>
      <c r="D1552" s="75" t="n"/>
      <c r="E1552" s="76" t="n"/>
      <c r="F1552" s="77" t="n"/>
      <c r="G1552" s="75" t="n"/>
      <c r="H1552" s="75">
        <f>IF(ISBLANK(E1552),"",IF(OR(D1552="Butterfly",D1552="Butterfly ",D1552="Iron Fly", D1552="Iron Fly "),LEN(E1552)-LEN(SUBSTITUTE(E1552,"/",""))+2,LEN(E1552)-LEN(SUBSTITUTE(E1552,"/",""))+1))</f>
        <v/>
      </c>
      <c r="I1552" s="78">
        <f>IF(ISBLANK(G1552),"",IF(D1552="Stock","0",Key!$A$3*H1552*G1552))</f>
        <v/>
      </c>
      <c r="J1552" s="78">
        <f>IF(ISBLANK(E1552),"",IF(ISNUMBER(SEARCH("/",E1552)), IF(LEN(E1552)-LEN(SUBSTITUTE(E1552,"/",""))=1,(RIGHT(E1552,LEN(E1552)-FIND("/",E1552)))-(LEFT(E1552,FIND("/",E1552)-1)),(MID(E1552, SEARCH("/",E1552) + 1, SEARCH("/",E1552, SEARCH("/",E1552)+1) - SEARCH("/",E1552) - 1))-(LEFT(E1552,FIND("/",E1552)-1))), "NA"))</f>
        <v/>
      </c>
      <c r="K1552" s="79">
        <f>IF(A1552&lt;&gt;"", IF(ISBLANK(L1552), TODAY(), K1552), "")</f>
        <v/>
      </c>
      <c r="L1552" s="78" t="n"/>
      <c r="M1552" s="78">
        <f>IF(ISBLANK(L1552),"",IF(D1552="Stock",IF(C1552="Buy",L1552*G1552,IF(C1552="Sell",(L1552*G1552)-I1552, X)),IF(C1552="Buy",(L1552*G1552*100)+I1552,IF(C1552="Sell",(L1552*G1552*100)-I1552, X))))</f>
        <v/>
      </c>
      <c r="N1552" s="78">
        <f>IF(ISBLANK(L1552),"",IF(AND(C1552="Sell",D1552="Stock"),M1552,IF(ISBLANK(L1552),"",IF(C1552="Buy",M1552, IF(AND(C1552="Sell",J1552="NA"),(E1552*G1552*100*0.1)+I1552, IF(C1552="Sell",(J1552-L1552)*(100*G1552)+I1552))))))</f>
        <v/>
      </c>
      <c r="O1552" s="75" t="n"/>
      <c r="P1552" s="75" t="n"/>
      <c r="Q1552" s="75">
        <f>IF(ISBLANK(P1552),"",IF(D1552="Stock",P1552*G1552,IF(P1552=0,"0",G1552*P1552*100-(G1552*$AF$14))))</f>
        <v/>
      </c>
      <c r="R1552" s="79">
        <f>IF(P1552&lt;&gt;"", TODAY(), "")</f>
        <v/>
      </c>
      <c r="S1552" s="78">
        <f>IF(AND(K1552&lt;&gt;"", R1552&lt;&gt;""), R1552-K1552, "")</f>
        <v/>
      </c>
      <c r="T1552" s="78" t="n"/>
      <c r="U1552" s="92">
        <f>IF(ISBLANK(P1552),"",IF(C1552="Buy",Q1552-M1552+T1552, IF(C1552="Sell",M1552-Q1552-T1552, X)))</f>
        <v/>
      </c>
      <c r="V1552" s="81">
        <f>IF(ISBLANK(P1552),"",U1552/N1552)</f>
        <v/>
      </c>
      <c r="W1552" s="81">
        <f>IF(ISBLANK(P1552),"",IF(S1552=0,(365/0.5)*V1552,(365/S1552)*V1552))</f>
        <v/>
      </c>
      <c r="X1552" s="75" t="n"/>
      <c r="Y1552" s="77" t="n"/>
      <c r="Z1552" s="77" t="n"/>
      <c r="AA1552" s="75" t="n"/>
      <c r="AB1552" s="75" t="n"/>
      <c r="AC1552" s="6" t="n"/>
      <c r="AD1552" s="75" t="n"/>
      <c r="AE1552" s="75" t="n"/>
      <c r="AF1552" s="75" t="n"/>
    </row>
    <row r="1553" ht="15.75" customHeight="1" s="133">
      <c r="A1553" s="75" t="n"/>
      <c r="B1553" s="75" t="n"/>
      <c r="C1553" s="75" t="n"/>
      <c r="D1553" s="75" t="n"/>
      <c r="E1553" s="76" t="n"/>
      <c r="F1553" s="77" t="n"/>
      <c r="G1553" s="75" t="n"/>
      <c r="H1553" s="75">
        <f>IF(ISBLANK(E1553),"",IF(OR(D1553="Butterfly",D1553="Butterfly ",D1553="Iron Fly", D1553="Iron Fly "),LEN(E1553)-LEN(SUBSTITUTE(E1553,"/",""))+2,LEN(E1553)-LEN(SUBSTITUTE(E1553,"/",""))+1))</f>
        <v/>
      </c>
      <c r="I1553" s="78">
        <f>IF(ISBLANK(G1553),"",IF(D1553="Stock","0",Key!$A$3*H1553*G1553))</f>
        <v/>
      </c>
      <c r="J1553" s="78">
        <f>IF(ISBLANK(E1553),"",IF(ISNUMBER(SEARCH("/",E1553)), IF(LEN(E1553)-LEN(SUBSTITUTE(E1553,"/",""))=1,(RIGHT(E1553,LEN(E1553)-FIND("/",E1553)))-(LEFT(E1553,FIND("/",E1553)-1)),(MID(E1553, SEARCH("/",E1553) + 1, SEARCH("/",E1553, SEARCH("/",E1553)+1) - SEARCH("/",E1553) - 1))-(LEFT(E1553,FIND("/",E1553)-1))), "NA"))</f>
        <v/>
      </c>
      <c r="K1553" s="79">
        <f>IF(A1553&lt;&gt;"", IF(ISBLANK(L1553), TODAY(), K1553), "")</f>
        <v/>
      </c>
      <c r="L1553" s="78" t="n"/>
      <c r="M1553" s="78">
        <f>IF(ISBLANK(L1553),"",IF(D1553="Stock",IF(C1553="Buy",L1553*G1553,IF(C1553="Sell",(L1553*G1553)-I1553, X)),IF(C1553="Buy",(L1553*G1553*100)+I1553,IF(C1553="Sell",(L1553*G1553*100)-I1553, X))))</f>
        <v/>
      </c>
      <c r="N1553" s="78">
        <f>IF(ISBLANK(L1553),"",IF(AND(C1553="Sell",D1553="Stock"),M1553,IF(ISBLANK(L1553),"",IF(C1553="Buy",M1553, IF(AND(C1553="Sell",J1553="NA"),(E1553*G1553*100*0.1)+I1553, IF(C1553="Sell",(J1553-L1553)*(100*G1553)+I1553))))))</f>
        <v/>
      </c>
      <c r="O1553" s="75" t="n"/>
      <c r="P1553" s="75" t="n"/>
      <c r="Q1553" s="75">
        <f>IF(ISBLANK(P1553),"",IF(D1553="Stock",P1553*G1553,IF(P1553=0,"0",G1553*P1553*100-(G1553*$AF$14))))</f>
        <v/>
      </c>
      <c r="R1553" s="79">
        <f>IF(P1553&lt;&gt;"", TODAY(), "")</f>
        <v/>
      </c>
      <c r="S1553" s="78">
        <f>IF(AND(K1553&lt;&gt;"", R1553&lt;&gt;""), R1553-K1553, "")</f>
        <v/>
      </c>
      <c r="T1553" s="78" t="n"/>
      <c r="U1553" s="92">
        <f>IF(ISBLANK(P1553),"",IF(C1553="Buy",Q1553-M1553+T1553, IF(C1553="Sell",M1553-Q1553-T1553, X)))</f>
        <v/>
      </c>
      <c r="V1553" s="81">
        <f>IF(ISBLANK(P1553),"",U1553/N1553)</f>
        <v/>
      </c>
      <c r="W1553" s="81">
        <f>IF(ISBLANK(P1553),"",IF(S1553=0,(365/0.5)*V1553,(365/S1553)*V1553))</f>
        <v/>
      </c>
      <c r="X1553" s="75" t="n"/>
      <c r="Y1553" s="77" t="n"/>
      <c r="Z1553" s="77" t="n"/>
      <c r="AA1553" s="75" t="n"/>
      <c r="AB1553" s="75" t="n"/>
      <c r="AC1553" s="6" t="n"/>
      <c r="AD1553" s="75" t="n"/>
      <c r="AE1553" s="75" t="n"/>
      <c r="AF1553" s="75" t="n"/>
    </row>
    <row r="1554" ht="15.75" customHeight="1" s="133">
      <c r="A1554" s="75" t="n"/>
      <c r="B1554" s="75" t="n"/>
      <c r="C1554" s="75" t="n"/>
      <c r="D1554" s="75" t="n"/>
      <c r="E1554" s="76" t="n"/>
      <c r="F1554" s="77" t="n"/>
      <c r="G1554" s="75" t="n"/>
      <c r="H1554" s="75">
        <f>IF(ISBLANK(E1554),"",IF(OR(D1554="Butterfly",D1554="Butterfly ",D1554="Iron Fly", D1554="Iron Fly "),LEN(E1554)-LEN(SUBSTITUTE(E1554,"/",""))+2,LEN(E1554)-LEN(SUBSTITUTE(E1554,"/",""))+1))</f>
        <v/>
      </c>
      <c r="I1554" s="78">
        <f>IF(ISBLANK(G1554),"",IF(D1554="Stock","0",Key!$A$3*H1554*G1554))</f>
        <v/>
      </c>
      <c r="J1554" s="78">
        <f>IF(ISBLANK(E1554),"",IF(ISNUMBER(SEARCH("/",E1554)), IF(LEN(E1554)-LEN(SUBSTITUTE(E1554,"/",""))=1,(RIGHT(E1554,LEN(E1554)-FIND("/",E1554)))-(LEFT(E1554,FIND("/",E1554)-1)),(MID(E1554, SEARCH("/",E1554) + 1, SEARCH("/",E1554, SEARCH("/",E1554)+1) - SEARCH("/",E1554) - 1))-(LEFT(E1554,FIND("/",E1554)-1))), "NA"))</f>
        <v/>
      </c>
      <c r="K1554" s="79">
        <f>IF(A1554&lt;&gt;"", IF(ISBLANK(L1554), TODAY(), K1554), "")</f>
        <v/>
      </c>
      <c r="L1554" s="78" t="n"/>
      <c r="M1554" s="78">
        <f>IF(ISBLANK(L1554),"",IF(D1554="Stock",IF(C1554="Buy",L1554*G1554,IF(C1554="Sell",(L1554*G1554)-I1554, X)),IF(C1554="Buy",(L1554*G1554*100)+I1554,IF(C1554="Sell",(L1554*G1554*100)-I1554, X))))</f>
        <v/>
      </c>
      <c r="N1554" s="78">
        <f>IF(ISBLANK(L1554),"",IF(AND(C1554="Sell",D1554="Stock"),M1554,IF(ISBLANK(L1554),"",IF(C1554="Buy",M1554, IF(AND(C1554="Sell",J1554="NA"),(E1554*G1554*100*0.1)+I1554, IF(C1554="Sell",(J1554-L1554)*(100*G1554)+I1554))))))</f>
        <v/>
      </c>
      <c r="O1554" s="75" t="n"/>
      <c r="P1554" s="75" t="n"/>
      <c r="Q1554" s="75">
        <f>IF(ISBLANK(P1554),"",IF(D1554="Stock",P1554*G1554,IF(P1554=0,"0",G1554*P1554*100-(G1554*$AF$14))))</f>
        <v/>
      </c>
      <c r="R1554" s="79">
        <f>IF(P1554&lt;&gt;"", TODAY(), "")</f>
        <v/>
      </c>
      <c r="S1554" s="78">
        <f>IF(AND(K1554&lt;&gt;"", R1554&lt;&gt;""), R1554-K1554, "")</f>
        <v/>
      </c>
      <c r="T1554" s="78" t="n"/>
      <c r="U1554" s="92">
        <f>IF(ISBLANK(P1554),"",IF(C1554="Buy",Q1554-M1554+T1554, IF(C1554="Sell",M1554-Q1554-T1554, X)))</f>
        <v/>
      </c>
      <c r="V1554" s="81">
        <f>IF(ISBLANK(P1554),"",U1554/N1554)</f>
        <v/>
      </c>
      <c r="W1554" s="81">
        <f>IF(ISBLANK(P1554),"",IF(S1554=0,(365/0.5)*V1554,(365/S1554)*V1554))</f>
        <v/>
      </c>
      <c r="X1554" s="75" t="n"/>
      <c r="Y1554" s="77" t="n"/>
      <c r="Z1554" s="77" t="n"/>
      <c r="AA1554" s="75" t="n"/>
      <c r="AB1554" s="75" t="n"/>
      <c r="AC1554" s="6" t="n"/>
      <c r="AD1554" s="75" t="n"/>
      <c r="AE1554" s="75" t="n"/>
      <c r="AF1554" s="75" t="n"/>
    </row>
    <row r="1555" ht="15.75" customHeight="1" s="133">
      <c r="A1555" s="75" t="n"/>
      <c r="B1555" s="75" t="n"/>
      <c r="C1555" s="75" t="n"/>
      <c r="D1555" s="75" t="n"/>
      <c r="E1555" s="76" t="n"/>
      <c r="F1555" s="77" t="n"/>
      <c r="G1555" s="75" t="n"/>
      <c r="H1555" s="75">
        <f>IF(ISBLANK(E1555),"",IF(OR(D1555="Butterfly",D1555="Butterfly ",D1555="Iron Fly", D1555="Iron Fly "),LEN(E1555)-LEN(SUBSTITUTE(E1555,"/",""))+2,LEN(E1555)-LEN(SUBSTITUTE(E1555,"/",""))+1))</f>
        <v/>
      </c>
      <c r="I1555" s="78">
        <f>IF(ISBLANK(G1555),"",IF(D1555="Stock","0",Key!$A$3*H1555*G1555))</f>
        <v/>
      </c>
      <c r="J1555" s="78">
        <f>IF(ISBLANK(E1555),"",IF(ISNUMBER(SEARCH("/",E1555)), IF(LEN(E1555)-LEN(SUBSTITUTE(E1555,"/",""))=1,(RIGHT(E1555,LEN(E1555)-FIND("/",E1555)))-(LEFT(E1555,FIND("/",E1555)-1)),(MID(E1555, SEARCH("/",E1555) + 1, SEARCH("/",E1555, SEARCH("/",E1555)+1) - SEARCH("/",E1555) - 1))-(LEFT(E1555,FIND("/",E1555)-1))), "NA"))</f>
        <v/>
      </c>
      <c r="K1555" s="79">
        <f>IF(A1555&lt;&gt;"", IF(ISBLANK(L1555), TODAY(), K1555), "")</f>
        <v/>
      </c>
      <c r="L1555" s="78" t="n"/>
      <c r="M1555" s="78">
        <f>IF(ISBLANK(L1555),"",IF(D1555="Stock",IF(C1555="Buy",L1555*G1555,IF(C1555="Sell",(L1555*G1555)-I1555, X)),IF(C1555="Buy",(L1555*G1555*100)+I1555,IF(C1555="Sell",(L1555*G1555*100)-I1555, X))))</f>
        <v/>
      </c>
      <c r="N1555" s="78">
        <f>IF(ISBLANK(L1555),"",IF(AND(C1555="Sell",D1555="Stock"),M1555,IF(ISBLANK(L1555),"",IF(C1555="Buy",M1555, IF(AND(C1555="Sell",J1555="NA"),(E1555*G1555*100*0.1)+I1555, IF(C1555="Sell",(J1555-L1555)*(100*G1555)+I1555))))))</f>
        <v/>
      </c>
      <c r="O1555" s="75" t="n"/>
      <c r="P1555" s="75" t="n"/>
      <c r="Q1555" s="75">
        <f>IF(ISBLANK(P1555),"",IF(D1555="Stock",P1555*G1555,IF(P1555=0,"0",G1555*P1555*100-(G1555*$AF$14))))</f>
        <v/>
      </c>
      <c r="R1555" s="79">
        <f>IF(P1555&lt;&gt;"", TODAY(), "")</f>
        <v/>
      </c>
      <c r="S1555" s="78">
        <f>IF(AND(K1555&lt;&gt;"", R1555&lt;&gt;""), R1555-K1555, "")</f>
        <v/>
      </c>
      <c r="T1555" s="78" t="n"/>
      <c r="U1555" s="92">
        <f>IF(ISBLANK(P1555),"",IF(C1555="Buy",Q1555-M1555+T1555, IF(C1555="Sell",M1555-Q1555-T1555, X)))</f>
        <v/>
      </c>
      <c r="V1555" s="81">
        <f>IF(ISBLANK(P1555),"",U1555/N1555)</f>
        <v/>
      </c>
      <c r="W1555" s="81">
        <f>IF(ISBLANK(P1555),"",IF(S1555=0,(365/0.5)*V1555,(365/S1555)*V1555))</f>
        <v/>
      </c>
      <c r="X1555" s="75" t="n"/>
      <c r="Y1555" s="77" t="n"/>
      <c r="Z1555" s="77" t="n"/>
      <c r="AA1555" s="75" t="n"/>
      <c r="AB1555" s="75" t="n"/>
      <c r="AC1555" s="6" t="n"/>
      <c r="AD1555" s="75" t="n"/>
      <c r="AE1555" s="75" t="n"/>
      <c r="AF1555" s="75" t="n"/>
    </row>
    <row r="1556" ht="15.75" customHeight="1" s="133">
      <c r="A1556" s="75" t="n"/>
      <c r="B1556" s="75" t="n"/>
      <c r="C1556" s="75" t="n"/>
      <c r="D1556" s="75" t="n"/>
      <c r="E1556" s="76" t="n"/>
      <c r="F1556" s="77" t="n"/>
      <c r="G1556" s="75" t="n"/>
      <c r="H1556" s="75">
        <f>IF(ISBLANK(E1556),"",IF(OR(D1556="Butterfly",D1556="Butterfly ",D1556="Iron Fly", D1556="Iron Fly "),LEN(E1556)-LEN(SUBSTITUTE(E1556,"/",""))+2,LEN(E1556)-LEN(SUBSTITUTE(E1556,"/",""))+1))</f>
        <v/>
      </c>
      <c r="I1556" s="78">
        <f>IF(ISBLANK(G1556),"",IF(D1556="Stock","0",Key!$A$3*H1556*G1556))</f>
        <v/>
      </c>
      <c r="J1556" s="78">
        <f>IF(ISBLANK(E1556),"",IF(ISNUMBER(SEARCH("/",E1556)), IF(LEN(E1556)-LEN(SUBSTITUTE(E1556,"/",""))=1,(RIGHT(E1556,LEN(E1556)-FIND("/",E1556)))-(LEFT(E1556,FIND("/",E1556)-1)),(MID(E1556, SEARCH("/",E1556) + 1, SEARCH("/",E1556, SEARCH("/",E1556)+1) - SEARCH("/",E1556) - 1))-(LEFT(E1556,FIND("/",E1556)-1))), "NA"))</f>
        <v/>
      </c>
      <c r="K1556" s="79">
        <f>IF(A1556&lt;&gt;"", IF(ISBLANK(L1556), TODAY(), K1556), "")</f>
        <v/>
      </c>
      <c r="L1556" s="78" t="n"/>
      <c r="M1556" s="78">
        <f>IF(ISBLANK(L1556),"",IF(D1556="Stock",IF(C1556="Buy",L1556*G1556,IF(C1556="Sell",(L1556*G1556)-I1556, X)),IF(C1556="Buy",(L1556*G1556*100)+I1556,IF(C1556="Sell",(L1556*G1556*100)-I1556, X))))</f>
        <v/>
      </c>
      <c r="N1556" s="78">
        <f>IF(ISBLANK(L1556),"",IF(AND(C1556="Sell",D1556="Stock"),M1556,IF(ISBLANK(L1556),"",IF(C1556="Buy",M1556, IF(AND(C1556="Sell",J1556="NA"),(E1556*G1556*100*0.1)+I1556, IF(C1556="Sell",(J1556-L1556)*(100*G1556)+I1556))))))</f>
        <v/>
      </c>
      <c r="O1556" s="75" t="n"/>
      <c r="P1556" s="75" t="n"/>
      <c r="Q1556" s="75">
        <f>IF(ISBLANK(P1556),"",IF(D1556="Stock",P1556*G1556,IF(P1556=0,"0",G1556*P1556*100-(G1556*$AF$14))))</f>
        <v/>
      </c>
      <c r="R1556" s="79">
        <f>IF(P1556&lt;&gt;"", TODAY(), "")</f>
        <v/>
      </c>
      <c r="S1556" s="78">
        <f>IF(AND(K1556&lt;&gt;"", R1556&lt;&gt;""), R1556-K1556, "")</f>
        <v/>
      </c>
      <c r="T1556" s="78" t="n"/>
      <c r="U1556" s="92">
        <f>IF(ISBLANK(P1556),"",IF(C1556="Buy",Q1556-M1556+T1556, IF(C1556="Sell",M1556-Q1556-T1556, X)))</f>
        <v/>
      </c>
      <c r="V1556" s="81">
        <f>IF(ISBLANK(P1556),"",U1556/N1556)</f>
        <v/>
      </c>
      <c r="W1556" s="81">
        <f>IF(ISBLANK(P1556),"",IF(S1556=0,(365/0.5)*V1556,(365/S1556)*V1556))</f>
        <v/>
      </c>
      <c r="X1556" s="75" t="n"/>
      <c r="Y1556" s="77" t="n"/>
      <c r="Z1556" s="77" t="n"/>
      <c r="AA1556" s="75" t="n"/>
      <c r="AB1556" s="75" t="n"/>
      <c r="AC1556" s="6" t="n"/>
      <c r="AD1556" s="75" t="n"/>
      <c r="AE1556" s="75" t="n"/>
      <c r="AF1556" s="75" t="n"/>
    </row>
    <row r="1557" ht="15.75" customHeight="1" s="133">
      <c r="A1557" s="75" t="n"/>
      <c r="B1557" s="75" t="n"/>
      <c r="C1557" s="75" t="n"/>
      <c r="D1557" s="75" t="n"/>
      <c r="E1557" s="76" t="n"/>
      <c r="F1557" s="77" t="n"/>
      <c r="G1557" s="75" t="n"/>
      <c r="H1557" s="75">
        <f>IF(ISBLANK(E1557),"",IF(OR(D1557="Butterfly",D1557="Butterfly ",D1557="Iron Fly", D1557="Iron Fly "),LEN(E1557)-LEN(SUBSTITUTE(E1557,"/",""))+2,LEN(E1557)-LEN(SUBSTITUTE(E1557,"/",""))+1))</f>
        <v/>
      </c>
      <c r="I1557" s="78">
        <f>IF(ISBLANK(G1557),"",IF(D1557="Stock","0",Key!$A$3*H1557*G1557))</f>
        <v/>
      </c>
      <c r="J1557" s="78">
        <f>IF(ISBLANK(E1557),"",IF(ISNUMBER(SEARCH("/",E1557)), IF(LEN(E1557)-LEN(SUBSTITUTE(E1557,"/",""))=1,(RIGHT(E1557,LEN(E1557)-FIND("/",E1557)))-(LEFT(E1557,FIND("/",E1557)-1)),(MID(E1557, SEARCH("/",E1557) + 1, SEARCH("/",E1557, SEARCH("/",E1557)+1) - SEARCH("/",E1557) - 1))-(LEFT(E1557,FIND("/",E1557)-1))), "NA"))</f>
        <v/>
      </c>
      <c r="K1557" s="79">
        <f>IF(A1557&lt;&gt;"", IF(ISBLANK(L1557), TODAY(), K1557), "")</f>
        <v/>
      </c>
      <c r="L1557" s="78" t="n"/>
      <c r="M1557" s="78">
        <f>IF(ISBLANK(L1557),"",IF(D1557="Stock",IF(C1557="Buy",L1557*G1557,IF(C1557="Sell",(L1557*G1557)-I1557, X)),IF(C1557="Buy",(L1557*G1557*100)+I1557,IF(C1557="Sell",(L1557*G1557*100)-I1557, X))))</f>
        <v/>
      </c>
      <c r="N1557" s="78">
        <f>IF(ISBLANK(L1557),"",IF(AND(C1557="Sell",D1557="Stock"),M1557,IF(ISBLANK(L1557),"",IF(C1557="Buy",M1557, IF(AND(C1557="Sell",J1557="NA"),(E1557*G1557*100*0.1)+I1557, IF(C1557="Sell",(J1557-L1557)*(100*G1557)+I1557))))))</f>
        <v/>
      </c>
      <c r="O1557" s="75" t="n"/>
      <c r="P1557" s="75" t="n"/>
      <c r="Q1557" s="75">
        <f>IF(ISBLANK(P1557),"",IF(D1557="Stock",P1557*G1557,IF(P1557=0,"0",G1557*P1557*100-(G1557*$AF$14))))</f>
        <v/>
      </c>
      <c r="R1557" s="79">
        <f>IF(P1557&lt;&gt;"", TODAY(), "")</f>
        <v/>
      </c>
      <c r="S1557" s="78">
        <f>IF(AND(K1557&lt;&gt;"", R1557&lt;&gt;""), R1557-K1557, "")</f>
        <v/>
      </c>
      <c r="T1557" s="78" t="n"/>
      <c r="U1557" s="92">
        <f>IF(ISBLANK(P1557),"",IF(C1557="Buy",Q1557-M1557+T1557, IF(C1557="Sell",M1557-Q1557-T1557, X)))</f>
        <v/>
      </c>
      <c r="V1557" s="81">
        <f>IF(ISBLANK(P1557),"",U1557/N1557)</f>
        <v/>
      </c>
      <c r="W1557" s="81">
        <f>IF(ISBLANK(P1557),"",IF(S1557=0,(365/0.5)*V1557,(365/S1557)*V1557))</f>
        <v/>
      </c>
      <c r="X1557" s="75" t="n"/>
      <c r="Y1557" s="77" t="n"/>
      <c r="Z1557" s="77" t="n"/>
      <c r="AA1557" s="75" t="n"/>
      <c r="AB1557" s="75" t="n"/>
      <c r="AC1557" s="6" t="n"/>
      <c r="AD1557" s="75" t="n"/>
      <c r="AE1557" s="75" t="n"/>
      <c r="AF1557" s="75" t="n"/>
    </row>
    <row r="1558" ht="15.75" customHeight="1" s="133">
      <c r="A1558" s="75" t="n"/>
      <c r="B1558" s="75" t="n"/>
      <c r="C1558" s="75" t="n"/>
      <c r="D1558" s="75" t="n"/>
      <c r="E1558" s="76" t="n"/>
      <c r="F1558" s="77" t="n"/>
      <c r="G1558" s="75" t="n"/>
      <c r="H1558" s="75">
        <f>IF(ISBLANK(E1558),"",IF(OR(D1558="Butterfly",D1558="Butterfly ",D1558="Iron Fly", D1558="Iron Fly "),LEN(E1558)-LEN(SUBSTITUTE(E1558,"/",""))+2,LEN(E1558)-LEN(SUBSTITUTE(E1558,"/",""))+1))</f>
        <v/>
      </c>
      <c r="I1558" s="78">
        <f>IF(ISBLANK(G1558),"",IF(D1558="Stock","0",Key!$A$3*H1558*G1558))</f>
        <v/>
      </c>
      <c r="J1558" s="78">
        <f>IF(ISBLANK(E1558),"",IF(ISNUMBER(SEARCH("/",E1558)), IF(LEN(E1558)-LEN(SUBSTITUTE(E1558,"/",""))=1,(RIGHT(E1558,LEN(E1558)-FIND("/",E1558)))-(LEFT(E1558,FIND("/",E1558)-1)),(MID(E1558, SEARCH("/",E1558) + 1, SEARCH("/",E1558, SEARCH("/",E1558)+1) - SEARCH("/",E1558) - 1))-(LEFT(E1558,FIND("/",E1558)-1))), "NA"))</f>
        <v/>
      </c>
      <c r="K1558" s="79">
        <f>IF(A1558&lt;&gt;"", IF(ISBLANK(L1558), TODAY(), K1558), "")</f>
        <v/>
      </c>
      <c r="L1558" s="78" t="n"/>
      <c r="M1558" s="78">
        <f>IF(ISBLANK(L1558),"",IF(D1558="Stock",IF(C1558="Buy",L1558*G1558,IF(C1558="Sell",(L1558*G1558)-I1558, X)),IF(C1558="Buy",(L1558*G1558*100)+I1558,IF(C1558="Sell",(L1558*G1558*100)-I1558, X))))</f>
        <v/>
      </c>
      <c r="N1558" s="78">
        <f>IF(ISBLANK(L1558),"",IF(AND(C1558="Sell",D1558="Stock"),M1558,IF(ISBLANK(L1558),"",IF(C1558="Buy",M1558, IF(AND(C1558="Sell",J1558="NA"),(E1558*G1558*100*0.1)+I1558, IF(C1558="Sell",(J1558-L1558)*(100*G1558)+I1558))))))</f>
        <v/>
      </c>
      <c r="O1558" s="75" t="n"/>
      <c r="P1558" s="75" t="n"/>
      <c r="Q1558" s="75">
        <f>IF(ISBLANK(P1558),"",IF(D1558="Stock",P1558*G1558,IF(P1558=0,"0",G1558*P1558*100-(G1558*$AF$14))))</f>
        <v/>
      </c>
      <c r="R1558" s="79">
        <f>IF(P1558&lt;&gt;"", TODAY(), "")</f>
        <v/>
      </c>
      <c r="S1558" s="78">
        <f>IF(AND(K1558&lt;&gt;"", R1558&lt;&gt;""), R1558-K1558, "")</f>
        <v/>
      </c>
      <c r="T1558" s="78" t="n"/>
      <c r="U1558" s="92">
        <f>IF(ISBLANK(P1558),"",IF(C1558="Buy",Q1558-M1558+T1558, IF(C1558="Sell",M1558-Q1558-T1558, X)))</f>
        <v/>
      </c>
      <c r="V1558" s="81">
        <f>IF(ISBLANK(P1558),"",U1558/N1558)</f>
        <v/>
      </c>
      <c r="W1558" s="81">
        <f>IF(ISBLANK(P1558),"",IF(S1558=0,(365/0.5)*V1558,(365/S1558)*V1558))</f>
        <v/>
      </c>
      <c r="X1558" s="75" t="n"/>
      <c r="Y1558" s="77" t="n"/>
      <c r="Z1558" s="77" t="n"/>
      <c r="AA1558" s="75" t="n"/>
      <c r="AB1558" s="75" t="n"/>
      <c r="AC1558" s="6" t="n"/>
      <c r="AD1558" s="75" t="n"/>
      <c r="AE1558" s="75" t="n"/>
      <c r="AF1558" s="75" t="n"/>
    </row>
    <row r="1559" ht="15.75" customHeight="1" s="133">
      <c r="A1559" s="75" t="n"/>
      <c r="B1559" s="75" t="n"/>
      <c r="C1559" s="75" t="n"/>
      <c r="D1559" s="75" t="n"/>
      <c r="E1559" s="76" t="n"/>
      <c r="F1559" s="77" t="n"/>
      <c r="G1559" s="75" t="n"/>
      <c r="H1559" s="75">
        <f>IF(ISBLANK(E1559),"",IF(OR(D1559="Butterfly",D1559="Butterfly ",D1559="Iron Fly", D1559="Iron Fly "),LEN(E1559)-LEN(SUBSTITUTE(E1559,"/",""))+2,LEN(E1559)-LEN(SUBSTITUTE(E1559,"/",""))+1))</f>
        <v/>
      </c>
      <c r="I1559" s="78">
        <f>IF(ISBLANK(G1559),"",IF(D1559="Stock","0",Key!$A$3*H1559*G1559))</f>
        <v/>
      </c>
      <c r="J1559" s="78">
        <f>IF(ISBLANK(E1559),"",IF(ISNUMBER(SEARCH("/",E1559)), IF(LEN(E1559)-LEN(SUBSTITUTE(E1559,"/",""))=1,(RIGHT(E1559,LEN(E1559)-FIND("/",E1559)))-(LEFT(E1559,FIND("/",E1559)-1)),(MID(E1559, SEARCH("/",E1559) + 1, SEARCH("/",E1559, SEARCH("/",E1559)+1) - SEARCH("/",E1559) - 1))-(LEFT(E1559,FIND("/",E1559)-1))), "NA"))</f>
        <v/>
      </c>
      <c r="K1559" s="79">
        <f>IF(A1559&lt;&gt;"", IF(ISBLANK(L1559), TODAY(), K1559), "")</f>
        <v/>
      </c>
      <c r="L1559" s="78" t="n"/>
      <c r="M1559" s="78">
        <f>IF(ISBLANK(L1559),"",IF(D1559="Stock",IF(C1559="Buy",L1559*G1559,IF(C1559="Sell",(L1559*G1559)-I1559, X)),IF(C1559="Buy",(L1559*G1559*100)+I1559,IF(C1559="Sell",(L1559*G1559*100)-I1559, X))))</f>
        <v/>
      </c>
      <c r="N1559" s="78">
        <f>IF(ISBLANK(L1559),"",IF(AND(C1559="Sell",D1559="Stock"),M1559,IF(ISBLANK(L1559),"",IF(C1559="Buy",M1559, IF(AND(C1559="Sell",J1559="NA"),(E1559*G1559*100*0.1)+I1559, IF(C1559="Sell",(J1559-L1559)*(100*G1559)+I1559))))))</f>
        <v/>
      </c>
      <c r="O1559" s="75" t="n"/>
      <c r="P1559" s="75" t="n"/>
      <c r="Q1559" s="75">
        <f>IF(ISBLANK(P1559),"",IF(D1559="Stock",P1559*G1559,IF(P1559=0,"0",G1559*P1559*100-(G1559*$AF$14))))</f>
        <v/>
      </c>
      <c r="R1559" s="79">
        <f>IF(P1559&lt;&gt;"", TODAY(), "")</f>
        <v/>
      </c>
      <c r="S1559" s="78">
        <f>IF(AND(K1559&lt;&gt;"", R1559&lt;&gt;""), R1559-K1559, "")</f>
        <v/>
      </c>
      <c r="T1559" s="78" t="n"/>
      <c r="U1559" s="92">
        <f>IF(ISBLANK(P1559),"",IF(C1559="Buy",Q1559-M1559+T1559, IF(C1559="Sell",M1559-Q1559-T1559, X)))</f>
        <v/>
      </c>
      <c r="V1559" s="81">
        <f>IF(ISBLANK(P1559),"",U1559/N1559)</f>
        <v/>
      </c>
      <c r="W1559" s="81">
        <f>IF(ISBLANK(P1559),"",IF(S1559=0,(365/0.5)*V1559,(365/S1559)*V1559))</f>
        <v/>
      </c>
      <c r="X1559" s="75" t="n"/>
      <c r="Y1559" s="77" t="n"/>
      <c r="Z1559" s="77" t="n"/>
      <c r="AA1559" s="75" t="n"/>
      <c r="AB1559" s="75" t="n"/>
      <c r="AC1559" s="6" t="n"/>
      <c r="AD1559" s="75" t="n"/>
      <c r="AE1559" s="75" t="n"/>
      <c r="AF1559" s="75" t="n"/>
    </row>
    <row r="1560" ht="15.75" customHeight="1" s="133">
      <c r="A1560" s="75" t="n"/>
      <c r="B1560" s="75" t="n"/>
      <c r="C1560" s="75" t="n"/>
      <c r="D1560" s="75" t="n"/>
      <c r="E1560" s="76" t="n"/>
      <c r="F1560" s="77" t="n"/>
      <c r="G1560" s="75" t="n"/>
      <c r="H1560" s="75">
        <f>IF(ISBLANK(E1560),"",IF(OR(D1560="Butterfly",D1560="Butterfly ",D1560="Iron Fly", D1560="Iron Fly "),LEN(E1560)-LEN(SUBSTITUTE(E1560,"/",""))+2,LEN(E1560)-LEN(SUBSTITUTE(E1560,"/",""))+1))</f>
        <v/>
      </c>
      <c r="I1560" s="78">
        <f>IF(ISBLANK(G1560),"",IF(D1560="Stock","0",Key!$A$3*H1560*G1560))</f>
        <v/>
      </c>
      <c r="J1560" s="78">
        <f>IF(ISBLANK(E1560),"",IF(ISNUMBER(SEARCH("/",E1560)), IF(LEN(E1560)-LEN(SUBSTITUTE(E1560,"/",""))=1,(RIGHT(E1560,LEN(E1560)-FIND("/",E1560)))-(LEFT(E1560,FIND("/",E1560)-1)),(MID(E1560, SEARCH("/",E1560) + 1, SEARCH("/",E1560, SEARCH("/",E1560)+1) - SEARCH("/",E1560) - 1))-(LEFT(E1560,FIND("/",E1560)-1))), "NA"))</f>
        <v/>
      </c>
      <c r="K1560" s="79">
        <f>IF(A1560&lt;&gt;"", IF(ISBLANK(L1560), TODAY(), K1560), "")</f>
        <v/>
      </c>
      <c r="L1560" s="78" t="n"/>
      <c r="M1560" s="78">
        <f>IF(ISBLANK(L1560),"",IF(D1560="Stock",IF(C1560="Buy",L1560*G1560,IF(C1560="Sell",(L1560*G1560)-I1560, X)),IF(C1560="Buy",(L1560*G1560*100)+I1560,IF(C1560="Sell",(L1560*G1560*100)-I1560, X))))</f>
        <v/>
      </c>
      <c r="N1560" s="78">
        <f>IF(ISBLANK(L1560),"",IF(AND(C1560="Sell",D1560="Stock"),M1560,IF(ISBLANK(L1560),"",IF(C1560="Buy",M1560, IF(AND(C1560="Sell",J1560="NA"),(E1560*G1560*100*0.1)+I1560, IF(C1560="Sell",(J1560-L1560)*(100*G1560)+I1560))))))</f>
        <v/>
      </c>
      <c r="O1560" s="75" t="n"/>
      <c r="P1560" s="75" t="n"/>
      <c r="Q1560" s="75">
        <f>IF(ISBLANK(P1560),"",IF(D1560="Stock",P1560*G1560,IF(P1560=0,"0",G1560*P1560*100-(G1560*$AF$14))))</f>
        <v/>
      </c>
      <c r="R1560" s="79">
        <f>IF(P1560&lt;&gt;"", TODAY(), "")</f>
        <v/>
      </c>
      <c r="S1560" s="78">
        <f>IF(AND(K1560&lt;&gt;"", R1560&lt;&gt;""), R1560-K1560, "")</f>
        <v/>
      </c>
      <c r="T1560" s="78" t="n"/>
      <c r="U1560" s="92">
        <f>IF(ISBLANK(P1560),"",IF(C1560="Buy",Q1560-M1560+T1560, IF(C1560="Sell",M1560-Q1560-T1560, X)))</f>
        <v/>
      </c>
      <c r="V1560" s="81">
        <f>IF(ISBLANK(P1560),"",U1560/N1560)</f>
        <v/>
      </c>
      <c r="W1560" s="81">
        <f>IF(ISBLANK(P1560),"",IF(S1560=0,(365/0.5)*V1560,(365/S1560)*V1560))</f>
        <v/>
      </c>
      <c r="X1560" s="75" t="n"/>
      <c r="Y1560" s="77" t="n"/>
      <c r="Z1560" s="77" t="n"/>
      <c r="AA1560" s="75" t="n"/>
      <c r="AB1560" s="75" t="n"/>
      <c r="AC1560" s="6" t="n"/>
      <c r="AD1560" s="75" t="n"/>
      <c r="AE1560" s="75" t="n"/>
      <c r="AF1560" s="75" t="n"/>
    </row>
    <row r="1561" ht="15.75" customHeight="1" s="133">
      <c r="A1561" s="75" t="n"/>
      <c r="B1561" s="75" t="n"/>
      <c r="C1561" s="75" t="n"/>
      <c r="D1561" s="75" t="n"/>
      <c r="E1561" s="76" t="n"/>
      <c r="F1561" s="77" t="n"/>
      <c r="G1561" s="75" t="n"/>
      <c r="H1561" s="75">
        <f>IF(ISBLANK(E1561),"",IF(OR(D1561="Butterfly",D1561="Butterfly ",D1561="Iron Fly", D1561="Iron Fly "),LEN(E1561)-LEN(SUBSTITUTE(E1561,"/",""))+2,LEN(E1561)-LEN(SUBSTITUTE(E1561,"/",""))+1))</f>
        <v/>
      </c>
      <c r="I1561" s="78">
        <f>IF(ISBLANK(G1561),"",IF(D1561="Stock","0",Key!$A$3*H1561*G1561))</f>
        <v/>
      </c>
      <c r="J1561" s="78">
        <f>IF(ISBLANK(E1561),"",IF(ISNUMBER(SEARCH("/",E1561)), IF(LEN(E1561)-LEN(SUBSTITUTE(E1561,"/",""))=1,(RIGHT(E1561,LEN(E1561)-FIND("/",E1561)))-(LEFT(E1561,FIND("/",E1561)-1)),(MID(E1561, SEARCH("/",E1561) + 1, SEARCH("/",E1561, SEARCH("/",E1561)+1) - SEARCH("/",E1561) - 1))-(LEFT(E1561,FIND("/",E1561)-1))), "NA"))</f>
        <v/>
      </c>
      <c r="K1561" s="79">
        <f>IF(A1561&lt;&gt;"", IF(ISBLANK(L1561), TODAY(), K1561), "")</f>
        <v/>
      </c>
      <c r="L1561" s="78" t="n"/>
      <c r="M1561" s="78">
        <f>IF(ISBLANK(L1561),"",IF(D1561="Stock",IF(C1561="Buy",L1561*G1561,IF(C1561="Sell",(L1561*G1561)-I1561, X)),IF(C1561="Buy",(L1561*G1561*100)+I1561,IF(C1561="Sell",(L1561*G1561*100)-I1561, X))))</f>
        <v/>
      </c>
      <c r="N1561" s="78">
        <f>IF(ISBLANK(L1561),"",IF(AND(C1561="Sell",D1561="Stock"),M1561,IF(ISBLANK(L1561),"",IF(C1561="Buy",M1561, IF(AND(C1561="Sell",J1561="NA"),(E1561*G1561*100*0.1)+I1561, IF(C1561="Sell",(J1561-L1561)*(100*G1561)+I1561))))))</f>
        <v/>
      </c>
      <c r="O1561" s="75" t="n"/>
      <c r="P1561" s="75" t="n"/>
      <c r="Q1561" s="75">
        <f>IF(ISBLANK(P1561),"",IF(D1561="Stock",P1561*G1561,IF(P1561=0,"0",G1561*P1561*100-(G1561*$AF$14))))</f>
        <v/>
      </c>
      <c r="R1561" s="79">
        <f>IF(P1561&lt;&gt;"", TODAY(), "")</f>
        <v/>
      </c>
      <c r="S1561" s="78">
        <f>IF(AND(K1561&lt;&gt;"", R1561&lt;&gt;""), R1561-K1561, "")</f>
        <v/>
      </c>
      <c r="T1561" s="78" t="n"/>
      <c r="U1561" s="92">
        <f>IF(ISBLANK(P1561),"",IF(C1561="Buy",Q1561-M1561+T1561, IF(C1561="Sell",M1561-Q1561-T1561, X)))</f>
        <v/>
      </c>
      <c r="V1561" s="81">
        <f>IF(ISBLANK(P1561),"",U1561/N1561)</f>
        <v/>
      </c>
      <c r="W1561" s="81">
        <f>IF(ISBLANK(P1561),"",IF(S1561=0,(365/0.5)*V1561,(365/S1561)*V1561))</f>
        <v/>
      </c>
      <c r="X1561" s="75" t="n"/>
      <c r="Y1561" s="77" t="n"/>
      <c r="Z1561" s="77" t="n"/>
      <c r="AA1561" s="75" t="n"/>
      <c r="AB1561" s="75" t="n"/>
      <c r="AC1561" s="6" t="n"/>
      <c r="AD1561" s="75" t="n"/>
      <c r="AE1561" s="75" t="n"/>
      <c r="AF1561" s="75" t="n"/>
    </row>
    <row r="1562" ht="15.75" customHeight="1" s="133">
      <c r="A1562" s="75" t="n"/>
      <c r="B1562" s="75" t="n"/>
      <c r="C1562" s="75" t="n"/>
      <c r="D1562" s="75" t="n"/>
      <c r="E1562" s="76" t="n"/>
      <c r="F1562" s="77" t="n"/>
      <c r="G1562" s="75" t="n"/>
      <c r="H1562" s="75">
        <f>IF(ISBLANK(E1562),"",IF(OR(D1562="Butterfly",D1562="Butterfly ",D1562="Iron Fly", D1562="Iron Fly "),LEN(E1562)-LEN(SUBSTITUTE(E1562,"/",""))+2,LEN(E1562)-LEN(SUBSTITUTE(E1562,"/",""))+1))</f>
        <v/>
      </c>
      <c r="I1562" s="78">
        <f>IF(ISBLANK(G1562),"",IF(D1562="Stock","0",Key!$A$3*H1562*G1562))</f>
        <v/>
      </c>
      <c r="J1562" s="78">
        <f>IF(ISBLANK(E1562),"",IF(ISNUMBER(SEARCH("/",E1562)), IF(LEN(E1562)-LEN(SUBSTITUTE(E1562,"/",""))=1,(RIGHT(E1562,LEN(E1562)-FIND("/",E1562)))-(LEFT(E1562,FIND("/",E1562)-1)),(MID(E1562, SEARCH("/",E1562) + 1, SEARCH("/",E1562, SEARCH("/",E1562)+1) - SEARCH("/",E1562) - 1))-(LEFT(E1562,FIND("/",E1562)-1))), "NA"))</f>
        <v/>
      </c>
      <c r="K1562" s="79">
        <f>IF(A1562&lt;&gt;"", IF(ISBLANK(L1562), TODAY(), K1562), "")</f>
        <v/>
      </c>
      <c r="L1562" s="78" t="n"/>
      <c r="M1562" s="78">
        <f>IF(ISBLANK(L1562),"",IF(D1562="Stock",IF(C1562="Buy",L1562*G1562,IF(C1562="Sell",(L1562*G1562)-I1562, X)),IF(C1562="Buy",(L1562*G1562*100)+I1562,IF(C1562="Sell",(L1562*G1562*100)-I1562, X))))</f>
        <v/>
      </c>
      <c r="N1562" s="78">
        <f>IF(ISBLANK(L1562),"",IF(AND(C1562="Sell",D1562="Stock"),M1562,IF(ISBLANK(L1562),"",IF(C1562="Buy",M1562, IF(AND(C1562="Sell",J1562="NA"),(E1562*G1562*100*0.1)+I1562, IF(C1562="Sell",(J1562-L1562)*(100*G1562)+I1562))))))</f>
        <v/>
      </c>
      <c r="O1562" s="75" t="n"/>
      <c r="P1562" s="75" t="n"/>
      <c r="Q1562" s="75">
        <f>IF(ISBLANK(P1562),"",IF(D1562="Stock",P1562*G1562,IF(P1562=0,"0",G1562*P1562*100-(G1562*$AF$14))))</f>
        <v/>
      </c>
      <c r="R1562" s="79">
        <f>IF(P1562&lt;&gt;"", TODAY(), "")</f>
        <v/>
      </c>
      <c r="S1562" s="78">
        <f>IF(AND(K1562&lt;&gt;"", R1562&lt;&gt;""), R1562-K1562, "")</f>
        <v/>
      </c>
      <c r="T1562" s="78" t="n"/>
      <c r="U1562" s="92">
        <f>IF(ISBLANK(P1562),"",IF(C1562="Buy",Q1562-M1562+T1562, IF(C1562="Sell",M1562-Q1562-T1562, X)))</f>
        <v/>
      </c>
      <c r="V1562" s="81">
        <f>IF(ISBLANK(P1562),"",U1562/N1562)</f>
        <v/>
      </c>
      <c r="W1562" s="81">
        <f>IF(ISBLANK(P1562),"",IF(S1562=0,(365/0.5)*V1562,(365/S1562)*V1562))</f>
        <v/>
      </c>
      <c r="X1562" s="75" t="n"/>
      <c r="Y1562" s="77" t="n"/>
      <c r="Z1562" s="77" t="n"/>
      <c r="AA1562" s="75" t="n"/>
      <c r="AB1562" s="75" t="n"/>
      <c r="AC1562" s="6" t="n"/>
      <c r="AD1562" s="75" t="n"/>
      <c r="AE1562" s="75" t="n"/>
      <c r="AF1562" s="75" t="n"/>
    </row>
    <row r="1563" ht="15.75" customHeight="1" s="133">
      <c r="A1563" s="75" t="n"/>
      <c r="B1563" s="75" t="n"/>
      <c r="C1563" s="75" t="n"/>
      <c r="D1563" s="75" t="n"/>
      <c r="E1563" s="76" t="n"/>
      <c r="F1563" s="77" t="n"/>
      <c r="G1563" s="75" t="n"/>
      <c r="H1563" s="75">
        <f>IF(ISBLANK(E1563),"",IF(OR(D1563="Butterfly",D1563="Butterfly ",D1563="Iron Fly", D1563="Iron Fly "),LEN(E1563)-LEN(SUBSTITUTE(E1563,"/",""))+2,LEN(E1563)-LEN(SUBSTITUTE(E1563,"/",""))+1))</f>
        <v/>
      </c>
      <c r="I1563" s="78">
        <f>IF(ISBLANK(G1563),"",IF(D1563="Stock","0",Key!$A$3*H1563*G1563))</f>
        <v/>
      </c>
      <c r="J1563" s="78">
        <f>IF(ISBLANK(E1563),"",IF(ISNUMBER(SEARCH("/",E1563)), IF(LEN(E1563)-LEN(SUBSTITUTE(E1563,"/",""))=1,(RIGHT(E1563,LEN(E1563)-FIND("/",E1563)))-(LEFT(E1563,FIND("/",E1563)-1)),(MID(E1563, SEARCH("/",E1563) + 1, SEARCH("/",E1563, SEARCH("/",E1563)+1) - SEARCH("/",E1563) - 1))-(LEFT(E1563,FIND("/",E1563)-1))), "NA"))</f>
        <v/>
      </c>
      <c r="K1563" s="79">
        <f>IF(A1563&lt;&gt;"", IF(ISBLANK(L1563), TODAY(), K1563), "")</f>
        <v/>
      </c>
      <c r="L1563" s="78" t="n"/>
      <c r="M1563" s="78">
        <f>IF(ISBLANK(L1563),"",IF(D1563="Stock",IF(C1563="Buy",L1563*G1563,IF(C1563="Sell",(L1563*G1563)-I1563, X)),IF(C1563="Buy",(L1563*G1563*100)+I1563,IF(C1563="Sell",(L1563*G1563*100)-I1563, X))))</f>
        <v/>
      </c>
      <c r="N1563" s="78">
        <f>IF(ISBLANK(L1563),"",IF(AND(C1563="Sell",D1563="Stock"),M1563,IF(ISBLANK(L1563),"",IF(C1563="Buy",M1563, IF(AND(C1563="Sell",J1563="NA"),(E1563*G1563*100*0.1)+I1563, IF(C1563="Sell",(J1563-L1563)*(100*G1563)+I1563))))))</f>
        <v/>
      </c>
      <c r="O1563" s="75" t="n"/>
      <c r="P1563" s="75" t="n"/>
      <c r="Q1563" s="75">
        <f>IF(ISBLANK(P1563),"",IF(D1563="Stock",P1563*G1563,IF(P1563=0,"0",G1563*P1563*100-(G1563*$AF$14))))</f>
        <v/>
      </c>
      <c r="R1563" s="79">
        <f>IF(P1563&lt;&gt;"", TODAY(), "")</f>
        <v/>
      </c>
      <c r="S1563" s="78">
        <f>IF(AND(K1563&lt;&gt;"", R1563&lt;&gt;""), R1563-K1563, "")</f>
        <v/>
      </c>
      <c r="T1563" s="78" t="n"/>
      <c r="U1563" s="92">
        <f>IF(ISBLANK(P1563),"",IF(C1563="Buy",Q1563-M1563+T1563, IF(C1563="Sell",M1563-Q1563-T1563, X)))</f>
        <v/>
      </c>
      <c r="V1563" s="81">
        <f>IF(ISBLANK(P1563),"",U1563/N1563)</f>
        <v/>
      </c>
      <c r="W1563" s="81">
        <f>IF(ISBLANK(P1563),"",IF(S1563=0,(365/0.5)*V1563,(365/S1563)*V1563))</f>
        <v/>
      </c>
      <c r="X1563" s="75" t="n"/>
      <c r="Y1563" s="77" t="n"/>
      <c r="Z1563" s="77" t="n"/>
      <c r="AA1563" s="75" t="n"/>
      <c r="AB1563" s="75" t="n"/>
      <c r="AC1563" s="6" t="n"/>
      <c r="AD1563" s="75" t="n"/>
      <c r="AE1563" s="75" t="n"/>
      <c r="AF1563" s="75" t="n"/>
    </row>
    <row r="1564" ht="15.75" customHeight="1" s="133">
      <c r="A1564" s="75" t="n"/>
      <c r="B1564" s="75" t="n"/>
      <c r="C1564" s="75" t="n"/>
      <c r="D1564" s="75" t="n"/>
      <c r="E1564" s="76" t="n"/>
      <c r="F1564" s="77" t="n"/>
      <c r="G1564" s="75" t="n"/>
      <c r="H1564" s="75">
        <f>IF(ISBLANK(E1564),"",IF(OR(D1564="Butterfly",D1564="Butterfly ",D1564="Iron Fly", D1564="Iron Fly "),LEN(E1564)-LEN(SUBSTITUTE(E1564,"/",""))+2,LEN(E1564)-LEN(SUBSTITUTE(E1564,"/",""))+1))</f>
        <v/>
      </c>
      <c r="I1564" s="78">
        <f>IF(ISBLANK(G1564),"",IF(D1564="Stock","0",Key!$A$3*H1564*G1564))</f>
        <v/>
      </c>
      <c r="J1564" s="78">
        <f>IF(ISBLANK(E1564),"",IF(ISNUMBER(SEARCH("/",E1564)), IF(LEN(E1564)-LEN(SUBSTITUTE(E1564,"/",""))=1,(RIGHT(E1564,LEN(E1564)-FIND("/",E1564)))-(LEFT(E1564,FIND("/",E1564)-1)),(MID(E1564, SEARCH("/",E1564) + 1, SEARCH("/",E1564, SEARCH("/",E1564)+1) - SEARCH("/",E1564) - 1))-(LEFT(E1564,FIND("/",E1564)-1))), "NA"))</f>
        <v/>
      </c>
      <c r="K1564" s="79">
        <f>IF(A1564&lt;&gt;"", IF(ISBLANK(L1564), TODAY(), K1564), "")</f>
        <v/>
      </c>
      <c r="L1564" s="78" t="n"/>
      <c r="M1564" s="78">
        <f>IF(ISBLANK(L1564),"",IF(D1564="Stock",IF(C1564="Buy",L1564*G1564,IF(C1564="Sell",(L1564*G1564)-I1564, X)),IF(C1564="Buy",(L1564*G1564*100)+I1564,IF(C1564="Sell",(L1564*G1564*100)-I1564, X))))</f>
        <v/>
      </c>
      <c r="N1564" s="78">
        <f>IF(ISBLANK(L1564),"",IF(AND(C1564="Sell",D1564="Stock"),M1564,IF(ISBLANK(L1564),"",IF(C1564="Buy",M1564, IF(AND(C1564="Sell",J1564="NA"),(E1564*G1564*100*0.1)+I1564, IF(C1564="Sell",(J1564-L1564)*(100*G1564)+I1564))))))</f>
        <v/>
      </c>
      <c r="O1564" s="75" t="n"/>
      <c r="P1564" s="75" t="n"/>
      <c r="Q1564" s="75">
        <f>IF(ISBLANK(P1564),"",IF(D1564="Stock",P1564*G1564,IF(P1564=0,"0",G1564*P1564*100-(G1564*$AF$14))))</f>
        <v/>
      </c>
      <c r="R1564" s="79">
        <f>IF(P1564&lt;&gt;"", TODAY(), "")</f>
        <v/>
      </c>
      <c r="S1564" s="78">
        <f>IF(AND(K1564&lt;&gt;"", R1564&lt;&gt;""), R1564-K1564, "")</f>
        <v/>
      </c>
      <c r="T1564" s="78" t="n"/>
      <c r="U1564" s="92">
        <f>IF(ISBLANK(P1564),"",IF(C1564="Buy",Q1564-M1564+T1564, IF(C1564="Sell",M1564-Q1564-T1564, X)))</f>
        <v/>
      </c>
      <c r="V1564" s="81">
        <f>IF(ISBLANK(P1564),"",U1564/N1564)</f>
        <v/>
      </c>
      <c r="W1564" s="81">
        <f>IF(ISBLANK(P1564),"",IF(S1564=0,(365/0.5)*V1564,(365/S1564)*V1564))</f>
        <v/>
      </c>
      <c r="X1564" s="75" t="n"/>
      <c r="Y1564" s="77" t="n"/>
      <c r="Z1564" s="77" t="n"/>
      <c r="AA1564" s="75" t="n"/>
      <c r="AB1564" s="75" t="n"/>
      <c r="AC1564" s="6" t="n"/>
      <c r="AD1564" s="75" t="n"/>
      <c r="AE1564" s="75" t="n"/>
      <c r="AF1564" s="75" t="n"/>
    </row>
    <row r="1565" ht="15.75" customHeight="1" s="133">
      <c r="A1565" s="75" t="n"/>
      <c r="B1565" s="75" t="n"/>
      <c r="C1565" s="75" t="n"/>
      <c r="D1565" s="75" t="n"/>
      <c r="E1565" s="76" t="n"/>
      <c r="F1565" s="77" t="n"/>
      <c r="G1565" s="75" t="n"/>
      <c r="H1565" s="75">
        <f>IF(ISBLANK(E1565),"",IF(OR(D1565="Butterfly",D1565="Butterfly ",D1565="Iron Fly", D1565="Iron Fly "),LEN(E1565)-LEN(SUBSTITUTE(E1565,"/",""))+2,LEN(E1565)-LEN(SUBSTITUTE(E1565,"/",""))+1))</f>
        <v/>
      </c>
      <c r="I1565" s="78">
        <f>IF(ISBLANK(G1565),"",IF(D1565="Stock","0",Key!$A$3*H1565*G1565))</f>
        <v/>
      </c>
      <c r="J1565" s="78">
        <f>IF(ISBLANK(E1565),"",IF(ISNUMBER(SEARCH("/",E1565)), IF(LEN(E1565)-LEN(SUBSTITUTE(E1565,"/",""))=1,(RIGHT(E1565,LEN(E1565)-FIND("/",E1565)))-(LEFT(E1565,FIND("/",E1565)-1)),(MID(E1565, SEARCH("/",E1565) + 1, SEARCH("/",E1565, SEARCH("/",E1565)+1) - SEARCH("/",E1565) - 1))-(LEFT(E1565,FIND("/",E1565)-1))), "NA"))</f>
        <v/>
      </c>
      <c r="K1565" s="79">
        <f>IF(A1565&lt;&gt;"", IF(ISBLANK(L1565), TODAY(), K1565), "")</f>
        <v/>
      </c>
      <c r="L1565" s="78" t="n"/>
      <c r="M1565" s="78">
        <f>IF(ISBLANK(L1565),"",IF(D1565="Stock",IF(C1565="Buy",L1565*G1565,IF(C1565="Sell",(L1565*G1565)-I1565, X)),IF(C1565="Buy",(L1565*G1565*100)+I1565,IF(C1565="Sell",(L1565*G1565*100)-I1565, X))))</f>
        <v/>
      </c>
      <c r="N1565" s="78">
        <f>IF(ISBLANK(L1565),"",IF(AND(C1565="Sell",D1565="Stock"),M1565,IF(ISBLANK(L1565),"",IF(C1565="Buy",M1565, IF(AND(C1565="Sell",J1565="NA"),(E1565*G1565*100*0.1)+I1565, IF(C1565="Sell",(J1565-L1565)*(100*G1565)+I1565))))))</f>
        <v/>
      </c>
      <c r="O1565" s="75" t="n"/>
      <c r="P1565" s="75" t="n"/>
      <c r="Q1565" s="75">
        <f>IF(ISBLANK(P1565),"",IF(D1565="Stock",P1565*G1565,IF(P1565=0,"0",G1565*P1565*100-(G1565*$AF$14))))</f>
        <v/>
      </c>
      <c r="R1565" s="79">
        <f>IF(P1565&lt;&gt;"", TODAY(), "")</f>
        <v/>
      </c>
      <c r="S1565" s="78">
        <f>IF(AND(K1565&lt;&gt;"", R1565&lt;&gt;""), R1565-K1565, "")</f>
        <v/>
      </c>
      <c r="T1565" s="78" t="n"/>
      <c r="U1565" s="92">
        <f>IF(ISBLANK(P1565),"",IF(C1565="Buy",Q1565-M1565+T1565, IF(C1565="Sell",M1565-Q1565-T1565, X)))</f>
        <v/>
      </c>
      <c r="V1565" s="81">
        <f>IF(ISBLANK(P1565),"",U1565/N1565)</f>
        <v/>
      </c>
      <c r="W1565" s="81">
        <f>IF(ISBLANK(P1565),"",IF(S1565=0,(365/0.5)*V1565,(365/S1565)*V1565))</f>
        <v/>
      </c>
      <c r="X1565" s="75" t="n"/>
      <c r="Y1565" s="77" t="n"/>
      <c r="Z1565" s="77" t="n"/>
      <c r="AA1565" s="75" t="n"/>
      <c r="AB1565" s="75" t="n"/>
      <c r="AC1565" s="6" t="n"/>
      <c r="AD1565" s="75" t="n"/>
      <c r="AE1565" s="75" t="n"/>
      <c r="AF1565" s="75" t="n"/>
    </row>
    <row r="1566" ht="15.75" customHeight="1" s="133">
      <c r="A1566" s="75" t="n"/>
      <c r="B1566" s="75" t="n"/>
      <c r="C1566" s="75" t="n"/>
      <c r="D1566" s="75" t="n"/>
      <c r="E1566" s="76" t="n"/>
      <c r="F1566" s="77" t="n"/>
      <c r="G1566" s="75" t="n"/>
      <c r="H1566" s="75">
        <f>IF(ISBLANK(E1566),"",IF(OR(D1566="Butterfly",D1566="Butterfly ",D1566="Iron Fly", D1566="Iron Fly "),LEN(E1566)-LEN(SUBSTITUTE(E1566,"/",""))+2,LEN(E1566)-LEN(SUBSTITUTE(E1566,"/",""))+1))</f>
        <v/>
      </c>
      <c r="I1566" s="78">
        <f>IF(ISBLANK(G1566),"",IF(D1566="Stock","0",Key!$A$3*H1566*G1566))</f>
        <v/>
      </c>
      <c r="J1566" s="78">
        <f>IF(ISBLANK(E1566),"",IF(ISNUMBER(SEARCH("/",E1566)), IF(LEN(E1566)-LEN(SUBSTITUTE(E1566,"/",""))=1,(RIGHT(E1566,LEN(E1566)-FIND("/",E1566)))-(LEFT(E1566,FIND("/",E1566)-1)),(MID(E1566, SEARCH("/",E1566) + 1, SEARCH("/",E1566, SEARCH("/",E1566)+1) - SEARCH("/",E1566) - 1))-(LEFT(E1566,FIND("/",E1566)-1))), "NA"))</f>
        <v/>
      </c>
      <c r="K1566" s="79">
        <f>IF(A1566&lt;&gt;"", IF(ISBLANK(L1566), TODAY(), K1566), "")</f>
        <v/>
      </c>
      <c r="L1566" s="78" t="n"/>
      <c r="M1566" s="78">
        <f>IF(ISBLANK(L1566),"",IF(D1566="Stock",IF(C1566="Buy",L1566*G1566,IF(C1566="Sell",(L1566*G1566)-I1566, X)),IF(C1566="Buy",(L1566*G1566*100)+I1566,IF(C1566="Sell",(L1566*G1566*100)-I1566, X))))</f>
        <v/>
      </c>
      <c r="N1566" s="78">
        <f>IF(ISBLANK(L1566),"",IF(AND(C1566="Sell",D1566="Stock"),M1566,IF(ISBLANK(L1566),"",IF(C1566="Buy",M1566, IF(AND(C1566="Sell",J1566="NA"),(E1566*G1566*100*0.1)+I1566, IF(C1566="Sell",(J1566-L1566)*(100*G1566)+I1566))))))</f>
        <v/>
      </c>
      <c r="O1566" s="75" t="n"/>
      <c r="P1566" s="75" t="n"/>
      <c r="Q1566" s="75">
        <f>IF(ISBLANK(P1566),"",IF(D1566="Stock",P1566*G1566,IF(P1566=0,"0",G1566*P1566*100-(G1566*$AF$14))))</f>
        <v/>
      </c>
      <c r="R1566" s="79">
        <f>IF(P1566&lt;&gt;"", TODAY(), "")</f>
        <v/>
      </c>
      <c r="S1566" s="78">
        <f>IF(AND(K1566&lt;&gt;"", R1566&lt;&gt;""), R1566-K1566, "")</f>
        <v/>
      </c>
      <c r="T1566" s="78" t="n"/>
      <c r="U1566" s="92">
        <f>IF(ISBLANK(P1566),"",IF(C1566="Buy",Q1566-M1566+T1566, IF(C1566="Sell",M1566-Q1566-T1566, X)))</f>
        <v/>
      </c>
      <c r="V1566" s="81">
        <f>IF(ISBLANK(P1566),"",U1566/N1566)</f>
        <v/>
      </c>
      <c r="W1566" s="81">
        <f>IF(ISBLANK(P1566),"",IF(S1566=0,(365/0.5)*V1566,(365/S1566)*V1566))</f>
        <v/>
      </c>
      <c r="X1566" s="75" t="n"/>
      <c r="Y1566" s="77" t="n"/>
      <c r="Z1566" s="77" t="n"/>
      <c r="AA1566" s="75" t="n"/>
      <c r="AB1566" s="75" t="n"/>
      <c r="AC1566" s="6" t="n"/>
      <c r="AD1566" s="75" t="n"/>
      <c r="AE1566" s="75" t="n"/>
      <c r="AF1566" s="75" t="n"/>
    </row>
    <row r="1567" ht="15.75" customHeight="1" s="133">
      <c r="A1567" s="75" t="n"/>
      <c r="B1567" s="75" t="n"/>
      <c r="C1567" s="75" t="n"/>
      <c r="D1567" s="75" t="n"/>
      <c r="E1567" s="76" t="n"/>
      <c r="F1567" s="77" t="n"/>
      <c r="G1567" s="75" t="n"/>
      <c r="H1567" s="75">
        <f>IF(ISBLANK(E1567),"",IF(OR(D1567="Butterfly",D1567="Butterfly ",D1567="Iron Fly", D1567="Iron Fly "),LEN(E1567)-LEN(SUBSTITUTE(E1567,"/",""))+2,LEN(E1567)-LEN(SUBSTITUTE(E1567,"/",""))+1))</f>
        <v/>
      </c>
      <c r="I1567" s="78">
        <f>IF(ISBLANK(G1567),"",IF(D1567="Stock","0",Key!$A$3*H1567*G1567))</f>
        <v/>
      </c>
      <c r="J1567" s="78">
        <f>IF(ISBLANK(E1567),"",IF(ISNUMBER(SEARCH("/",E1567)), IF(LEN(E1567)-LEN(SUBSTITUTE(E1567,"/",""))=1,(RIGHT(E1567,LEN(E1567)-FIND("/",E1567)))-(LEFT(E1567,FIND("/",E1567)-1)),(MID(E1567, SEARCH("/",E1567) + 1, SEARCH("/",E1567, SEARCH("/",E1567)+1) - SEARCH("/",E1567) - 1))-(LEFT(E1567,FIND("/",E1567)-1))), "NA"))</f>
        <v/>
      </c>
      <c r="K1567" s="79">
        <f>IF(A1567&lt;&gt;"", IF(ISBLANK(L1567), TODAY(), K1567), "")</f>
        <v/>
      </c>
      <c r="L1567" s="78" t="n"/>
      <c r="M1567" s="78">
        <f>IF(ISBLANK(L1567),"",IF(D1567="Stock",IF(C1567="Buy",L1567*G1567,IF(C1567="Sell",(L1567*G1567)-I1567, X)),IF(C1567="Buy",(L1567*G1567*100)+I1567,IF(C1567="Sell",(L1567*G1567*100)-I1567, X))))</f>
        <v/>
      </c>
      <c r="N1567" s="78">
        <f>IF(ISBLANK(L1567),"",IF(AND(C1567="Sell",D1567="Stock"),M1567,IF(ISBLANK(L1567),"",IF(C1567="Buy",M1567, IF(AND(C1567="Sell",J1567="NA"),(E1567*G1567*100*0.1)+I1567, IF(C1567="Sell",(J1567-L1567)*(100*G1567)+I1567))))))</f>
        <v/>
      </c>
      <c r="O1567" s="75" t="n"/>
      <c r="P1567" s="75" t="n"/>
      <c r="Q1567" s="75">
        <f>IF(ISBLANK(P1567),"",IF(D1567="Stock",P1567*G1567,IF(P1567=0,"0",G1567*P1567*100-(G1567*$AF$14))))</f>
        <v/>
      </c>
      <c r="R1567" s="79">
        <f>IF(P1567&lt;&gt;"", TODAY(), "")</f>
        <v/>
      </c>
      <c r="S1567" s="78">
        <f>IF(AND(K1567&lt;&gt;"", R1567&lt;&gt;""), R1567-K1567, "")</f>
        <v/>
      </c>
      <c r="T1567" s="78" t="n"/>
      <c r="U1567" s="92">
        <f>IF(ISBLANK(P1567),"",IF(C1567="Buy",Q1567-M1567+T1567, IF(C1567="Sell",M1567-Q1567-T1567, X)))</f>
        <v/>
      </c>
      <c r="V1567" s="81">
        <f>IF(ISBLANK(P1567),"",U1567/N1567)</f>
        <v/>
      </c>
      <c r="W1567" s="81">
        <f>IF(ISBLANK(P1567),"",IF(S1567=0,(365/0.5)*V1567,(365/S1567)*V1567))</f>
        <v/>
      </c>
      <c r="X1567" s="75" t="n"/>
      <c r="Y1567" s="77" t="n"/>
      <c r="Z1567" s="77" t="n"/>
      <c r="AA1567" s="75" t="n"/>
      <c r="AB1567" s="75" t="n"/>
      <c r="AC1567" s="6" t="n"/>
      <c r="AD1567" s="75" t="n"/>
      <c r="AE1567" s="75" t="n"/>
      <c r="AF1567" s="75" t="n"/>
    </row>
    <row r="1568" ht="15.75" customHeight="1" s="133">
      <c r="A1568" s="75" t="n"/>
      <c r="B1568" s="75" t="n"/>
      <c r="C1568" s="75" t="n"/>
      <c r="D1568" s="75" t="n"/>
      <c r="E1568" s="76" t="n"/>
      <c r="F1568" s="77" t="n"/>
      <c r="G1568" s="75" t="n"/>
      <c r="H1568" s="75">
        <f>IF(ISBLANK(E1568),"",IF(OR(D1568="Butterfly",D1568="Butterfly ",D1568="Iron Fly", D1568="Iron Fly "),LEN(E1568)-LEN(SUBSTITUTE(E1568,"/",""))+2,LEN(E1568)-LEN(SUBSTITUTE(E1568,"/",""))+1))</f>
        <v/>
      </c>
      <c r="I1568" s="78">
        <f>IF(ISBLANK(G1568),"",IF(D1568="Stock","0",Key!$A$3*H1568*G1568))</f>
        <v/>
      </c>
      <c r="J1568" s="78">
        <f>IF(ISBLANK(E1568),"",IF(ISNUMBER(SEARCH("/",E1568)), IF(LEN(E1568)-LEN(SUBSTITUTE(E1568,"/",""))=1,(RIGHT(E1568,LEN(E1568)-FIND("/",E1568)))-(LEFT(E1568,FIND("/",E1568)-1)),(MID(E1568, SEARCH("/",E1568) + 1, SEARCH("/",E1568, SEARCH("/",E1568)+1) - SEARCH("/",E1568) - 1))-(LEFT(E1568,FIND("/",E1568)-1))), "NA"))</f>
        <v/>
      </c>
      <c r="K1568" s="79">
        <f>IF(A1568&lt;&gt;"", IF(ISBLANK(L1568), TODAY(), K1568), "")</f>
        <v/>
      </c>
      <c r="L1568" s="78" t="n"/>
      <c r="M1568" s="78">
        <f>IF(ISBLANK(L1568),"",IF(D1568="Stock",IF(C1568="Buy",L1568*G1568,IF(C1568="Sell",(L1568*G1568)-I1568, X)),IF(C1568="Buy",(L1568*G1568*100)+I1568,IF(C1568="Sell",(L1568*G1568*100)-I1568, X))))</f>
        <v/>
      </c>
      <c r="N1568" s="78">
        <f>IF(ISBLANK(L1568),"",IF(AND(C1568="Sell",D1568="Stock"),M1568,IF(ISBLANK(L1568),"",IF(C1568="Buy",M1568, IF(AND(C1568="Sell",J1568="NA"),(E1568*G1568*100*0.1)+I1568, IF(C1568="Sell",(J1568-L1568)*(100*G1568)+I1568))))))</f>
        <v/>
      </c>
      <c r="O1568" s="75" t="n"/>
      <c r="P1568" s="75" t="n"/>
      <c r="Q1568" s="75">
        <f>IF(ISBLANK(P1568),"",IF(D1568="Stock",P1568*G1568,IF(P1568=0,"0",G1568*P1568*100-(G1568*$AF$14))))</f>
        <v/>
      </c>
      <c r="R1568" s="79">
        <f>IF(P1568&lt;&gt;"", TODAY(), "")</f>
        <v/>
      </c>
      <c r="S1568" s="78">
        <f>IF(AND(K1568&lt;&gt;"", R1568&lt;&gt;""), R1568-K1568, "")</f>
        <v/>
      </c>
      <c r="T1568" s="78" t="n"/>
      <c r="U1568" s="92">
        <f>IF(ISBLANK(P1568),"",IF(C1568="Buy",Q1568-M1568+T1568, IF(C1568="Sell",M1568-Q1568-T1568, X)))</f>
        <v/>
      </c>
      <c r="V1568" s="81">
        <f>IF(ISBLANK(P1568),"",U1568/N1568)</f>
        <v/>
      </c>
      <c r="W1568" s="81">
        <f>IF(ISBLANK(P1568),"",IF(S1568=0,(365/0.5)*V1568,(365/S1568)*V1568))</f>
        <v/>
      </c>
      <c r="X1568" s="75" t="n"/>
      <c r="Y1568" s="77" t="n"/>
      <c r="Z1568" s="77" t="n"/>
      <c r="AA1568" s="75" t="n"/>
      <c r="AB1568" s="75" t="n"/>
      <c r="AC1568" s="6" t="n"/>
      <c r="AD1568" s="75" t="n"/>
      <c r="AE1568" s="75" t="n"/>
      <c r="AF1568" s="75" t="n"/>
    </row>
    <row r="1569" ht="15.75" customHeight="1" s="133">
      <c r="A1569" s="75" t="n"/>
      <c r="B1569" s="75" t="n"/>
      <c r="C1569" s="75" t="n"/>
      <c r="D1569" s="75" t="n"/>
      <c r="E1569" s="76" t="n"/>
      <c r="F1569" s="77" t="n"/>
      <c r="G1569" s="75" t="n"/>
      <c r="H1569" s="75">
        <f>IF(ISBLANK(E1569),"",IF(OR(D1569="Butterfly",D1569="Butterfly ",D1569="Iron Fly", D1569="Iron Fly "),LEN(E1569)-LEN(SUBSTITUTE(E1569,"/",""))+2,LEN(E1569)-LEN(SUBSTITUTE(E1569,"/",""))+1))</f>
        <v/>
      </c>
      <c r="I1569" s="78">
        <f>IF(ISBLANK(G1569),"",IF(D1569="Stock","0",Key!$A$3*H1569*G1569))</f>
        <v/>
      </c>
      <c r="J1569" s="78">
        <f>IF(ISBLANK(E1569),"",IF(ISNUMBER(SEARCH("/",E1569)), IF(LEN(E1569)-LEN(SUBSTITUTE(E1569,"/",""))=1,(RIGHT(E1569,LEN(E1569)-FIND("/",E1569)))-(LEFT(E1569,FIND("/",E1569)-1)),(MID(E1569, SEARCH("/",E1569) + 1, SEARCH("/",E1569, SEARCH("/",E1569)+1) - SEARCH("/",E1569) - 1))-(LEFT(E1569,FIND("/",E1569)-1))), "NA"))</f>
        <v/>
      </c>
      <c r="K1569" s="79">
        <f>IF(A1569&lt;&gt;"", IF(ISBLANK(L1569), TODAY(), K1569), "")</f>
        <v/>
      </c>
      <c r="L1569" s="78" t="n"/>
      <c r="M1569" s="78">
        <f>IF(ISBLANK(L1569),"",IF(D1569="Stock",IF(C1569="Buy",L1569*G1569,IF(C1569="Sell",(L1569*G1569)-I1569, X)),IF(C1569="Buy",(L1569*G1569*100)+I1569,IF(C1569="Sell",(L1569*G1569*100)-I1569, X))))</f>
        <v/>
      </c>
      <c r="N1569" s="78">
        <f>IF(ISBLANK(L1569),"",IF(AND(C1569="Sell",D1569="Stock"),M1569,IF(ISBLANK(L1569),"",IF(C1569="Buy",M1569, IF(AND(C1569="Sell",J1569="NA"),(E1569*G1569*100*0.1)+I1569, IF(C1569="Sell",(J1569-L1569)*(100*G1569)+I1569))))))</f>
        <v/>
      </c>
      <c r="O1569" s="75" t="n"/>
      <c r="P1569" s="75" t="n"/>
      <c r="Q1569" s="75">
        <f>IF(ISBLANK(P1569),"",IF(D1569="Stock",P1569*G1569,IF(P1569=0,"0",G1569*P1569*100-(G1569*$AF$14))))</f>
        <v/>
      </c>
      <c r="R1569" s="79">
        <f>IF(P1569&lt;&gt;"", TODAY(), "")</f>
        <v/>
      </c>
      <c r="S1569" s="78">
        <f>IF(AND(K1569&lt;&gt;"", R1569&lt;&gt;""), R1569-K1569, "")</f>
        <v/>
      </c>
      <c r="T1569" s="78" t="n"/>
      <c r="U1569" s="92">
        <f>IF(ISBLANK(P1569),"",IF(C1569="Buy",Q1569-M1569+T1569, IF(C1569="Sell",M1569-Q1569-T1569, X)))</f>
        <v/>
      </c>
      <c r="V1569" s="81">
        <f>IF(ISBLANK(P1569),"",U1569/N1569)</f>
        <v/>
      </c>
      <c r="W1569" s="81">
        <f>IF(ISBLANK(P1569),"",IF(S1569=0,(365/0.5)*V1569,(365/S1569)*V1569))</f>
        <v/>
      </c>
      <c r="X1569" s="75" t="n"/>
      <c r="Y1569" s="77" t="n"/>
      <c r="Z1569" s="77" t="n"/>
      <c r="AA1569" s="75" t="n"/>
      <c r="AB1569" s="75" t="n"/>
      <c r="AC1569" s="6" t="n"/>
      <c r="AD1569" s="75" t="n"/>
      <c r="AE1569" s="75" t="n"/>
      <c r="AF1569" s="75" t="n"/>
    </row>
    <row r="1570" ht="15.75" customHeight="1" s="133">
      <c r="A1570" s="75" t="n"/>
      <c r="B1570" s="75" t="n"/>
      <c r="C1570" s="75" t="n"/>
      <c r="D1570" s="75" t="n"/>
      <c r="E1570" s="76" t="n"/>
      <c r="F1570" s="77" t="n"/>
      <c r="G1570" s="75" t="n"/>
      <c r="H1570" s="75">
        <f>IF(ISBLANK(E1570),"",IF(OR(D1570="Butterfly",D1570="Butterfly ",D1570="Iron Fly", D1570="Iron Fly "),LEN(E1570)-LEN(SUBSTITUTE(E1570,"/",""))+2,LEN(E1570)-LEN(SUBSTITUTE(E1570,"/",""))+1))</f>
        <v/>
      </c>
      <c r="I1570" s="78">
        <f>IF(ISBLANK(G1570),"",IF(D1570="Stock","0",Key!$A$3*H1570*G1570))</f>
        <v/>
      </c>
      <c r="J1570" s="78">
        <f>IF(ISBLANK(E1570),"",IF(ISNUMBER(SEARCH("/",E1570)), IF(LEN(E1570)-LEN(SUBSTITUTE(E1570,"/",""))=1,(RIGHT(E1570,LEN(E1570)-FIND("/",E1570)))-(LEFT(E1570,FIND("/",E1570)-1)),(MID(E1570, SEARCH("/",E1570) + 1, SEARCH("/",E1570, SEARCH("/",E1570)+1) - SEARCH("/",E1570) - 1))-(LEFT(E1570,FIND("/",E1570)-1))), "NA"))</f>
        <v/>
      </c>
      <c r="K1570" s="79">
        <f>IF(A1570&lt;&gt;"", IF(ISBLANK(L1570), TODAY(), K1570), "")</f>
        <v/>
      </c>
      <c r="L1570" s="78" t="n"/>
      <c r="M1570" s="78">
        <f>IF(ISBLANK(L1570),"",IF(D1570="Stock",IF(C1570="Buy",L1570*G1570,IF(C1570="Sell",(L1570*G1570)-I1570, X)),IF(C1570="Buy",(L1570*G1570*100)+I1570,IF(C1570="Sell",(L1570*G1570*100)-I1570, X))))</f>
        <v/>
      </c>
      <c r="N1570" s="78">
        <f>IF(ISBLANK(L1570),"",IF(AND(C1570="Sell",D1570="Stock"),M1570,IF(ISBLANK(L1570),"",IF(C1570="Buy",M1570, IF(AND(C1570="Sell",J1570="NA"),(E1570*G1570*100*0.1)+I1570, IF(C1570="Sell",(J1570-L1570)*(100*G1570)+I1570))))))</f>
        <v/>
      </c>
      <c r="O1570" s="75" t="n"/>
      <c r="P1570" s="75" t="n"/>
      <c r="Q1570" s="75">
        <f>IF(ISBLANK(P1570),"",IF(D1570="Stock",P1570*G1570,IF(P1570=0,"0",G1570*P1570*100-(G1570*$AF$14))))</f>
        <v/>
      </c>
      <c r="R1570" s="79">
        <f>IF(P1570&lt;&gt;"", TODAY(), "")</f>
        <v/>
      </c>
      <c r="S1570" s="78">
        <f>IF(AND(K1570&lt;&gt;"", R1570&lt;&gt;""), R1570-K1570, "")</f>
        <v/>
      </c>
      <c r="T1570" s="78" t="n"/>
      <c r="U1570" s="92">
        <f>IF(ISBLANK(P1570),"",IF(C1570="Buy",Q1570-M1570+T1570, IF(C1570="Sell",M1570-Q1570-T1570, X)))</f>
        <v/>
      </c>
      <c r="V1570" s="81">
        <f>IF(ISBLANK(P1570),"",U1570/N1570)</f>
        <v/>
      </c>
      <c r="W1570" s="81">
        <f>IF(ISBLANK(P1570),"",IF(S1570=0,(365/0.5)*V1570,(365/S1570)*V1570))</f>
        <v/>
      </c>
      <c r="X1570" s="75" t="n"/>
      <c r="Y1570" s="77" t="n"/>
      <c r="Z1570" s="77" t="n"/>
      <c r="AA1570" s="75" t="n"/>
      <c r="AB1570" s="75" t="n"/>
      <c r="AC1570" s="6" t="n"/>
      <c r="AD1570" s="75" t="n"/>
      <c r="AE1570" s="75" t="n"/>
      <c r="AF1570" s="75" t="n"/>
    </row>
    <row r="1571" ht="15.75" customHeight="1" s="133">
      <c r="A1571" s="75" t="n"/>
      <c r="B1571" s="75" t="n"/>
      <c r="C1571" s="75" t="n"/>
      <c r="D1571" s="75" t="n"/>
      <c r="E1571" s="76" t="n"/>
      <c r="F1571" s="77" t="n"/>
      <c r="G1571" s="75" t="n"/>
      <c r="H1571" s="75">
        <f>IF(ISBLANK(E1571),"",IF(OR(D1571="Butterfly",D1571="Butterfly ",D1571="Iron Fly", D1571="Iron Fly "),LEN(E1571)-LEN(SUBSTITUTE(E1571,"/",""))+2,LEN(E1571)-LEN(SUBSTITUTE(E1571,"/",""))+1))</f>
        <v/>
      </c>
      <c r="I1571" s="78">
        <f>IF(ISBLANK(G1571),"",IF(D1571="Stock","0",Key!$A$3*H1571*G1571))</f>
        <v/>
      </c>
      <c r="J1571" s="78">
        <f>IF(ISBLANK(E1571),"",IF(ISNUMBER(SEARCH("/",E1571)), IF(LEN(E1571)-LEN(SUBSTITUTE(E1571,"/",""))=1,(RIGHT(E1571,LEN(E1571)-FIND("/",E1571)))-(LEFT(E1571,FIND("/",E1571)-1)),(MID(E1571, SEARCH("/",E1571) + 1, SEARCH("/",E1571, SEARCH("/",E1571)+1) - SEARCH("/",E1571) - 1))-(LEFT(E1571,FIND("/",E1571)-1))), "NA"))</f>
        <v/>
      </c>
      <c r="K1571" s="79">
        <f>IF(A1571&lt;&gt;"", IF(ISBLANK(L1571), TODAY(), K1571), "")</f>
        <v/>
      </c>
      <c r="L1571" s="78" t="n"/>
      <c r="M1571" s="78">
        <f>IF(ISBLANK(L1571),"",IF(D1571="Stock",IF(C1571="Buy",L1571*G1571,IF(C1571="Sell",(L1571*G1571)-I1571, X)),IF(C1571="Buy",(L1571*G1571*100)+I1571,IF(C1571="Sell",(L1571*G1571*100)-I1571, X))))</f>
        <v/>
      </c>
      <c r="N1571" s="78">
        <f>IF(ISBLANK(L1571),"",IF(AND(C1571="Sell",D1571="Stock"),M1571,IF(ISBLANK(L1571),"",IF(C1571="Buy",M1571, IF(AND(C1571="Sell",J1571="NA"),(E1571*G1571*100*0.1)+I1571, IF(C1571="Sell",(J1571-L1571)*(100*G1571)+I1571))))))</f>
        <v/>
      </c>
      <c r="O1571" s="75" t="n"/>
      <c r="P1571" s="75" t="n"/>
      <c r="Q1571" s="75">
        <f>IF(ISBLANK(P1571),"",IF(D1571="Stock",P1571*G1571,IF(P1571=0,"0",G1571*P1571*100-(G1571*$AF$14))))</f>
        <v/>
      </c>
      <c r="R1571" s="79">
        <f>IF(P1571&lt;&gt;"", TODAY(), "")</f>
        <v/>
      </c>
      <c r="S1571" s="78">
        <f>IF(AND(K1571&lt;&gt;"", R1571&lt;&gt;""), R1571-K1571, "")</f>
        <v/>
      </c>
      <c r="T1571" s="78" t="n"/>
      <c r="U1571" s="92">
        <f>IF(ISBLANK(P1571),"",IF(C1571="Buy",Q1571-M1571+T1571, IF(C1571="Sell",M1571-Q1571-T1571, X)))</f>
        <v/>
      </c>
      <c r="V1571" s="81">
        <f>IF(ISBLANK(P1571),"",U1571/N1571)</f>
        <v/>
      </c>
      <c r="W1571" s="81">
        <f>IF(ISBLANK(P1571),"",IF(S1571=0,(365/0.5)*V1571,(365/S1571)*V1571))</f>
        <v/>
      </c>
      <c r="X1571" s="75" t="n"/>
      <c r="Y1571" s="77" t="n"/>
      <c r="Z1571" s="77" t="n"/>
      <c r="AA1571" s="75" t="n"/>
      <c r="AB1571" s="75" t="n"/>
      <c r="AC1571" s="6" t="n"/>
      <c r="AD1571" s="75" t="n"/>
      <c r="AE1571" s="75" t="n"/>
      <c r="AF1571" s="75" t="n"/>
    </row>
    <row r="1572" ht="15.75" customHeight="1" s="133">
      <c r="A1572" s="75" t="n"/>
      <c r="B1572" s="75" t="n"/>
      <c r="C1572" s="75" t="n"/>
      <c r="D1572" s="75" t="n"/>
      <c r="E1572" s="76" t="n"/>
      <c r="F1572" s="77" t="n"/>
      <c r="G1572" s="75" t="n"/>
      <c r="H1572" s="75">
        <f>IF(ISBLANK(E1572),"",IF(OR(D1572="Butterfly",D1572="Butterfly ",D1572="Iron Fly", D1572="Iron Fly "),LEN(E1572)-LEN(SUBSTITUTE(E1572,"/",""))+2,LEN(E1572)-LEN(SUBSTITUTE(E1572,"/",""))+1))</f>
        <v/>
      </c>
      <c r="I1572" s="78">
        <f>IF(ISBLANK(G1572),"",IF(D1572="Stock","0",Key!$A$3*H1572*G1572))</f>
        <v/>
      </c>
      <c r="J1572" s="78">
        <f>IF(ISBLANK(E1572),"",IF(ISNUMBER(SEARCH("/",E1572)), IF(LEN(E1572)-LEN(SUBSTITUTE(E1572,"/",""))=1,(RIGHT(E1572,LEN(E1572)-FIND("/",E1572)))-(LEFT(E1572,FIND("/",E1572)-1)),(MID(E1572, SEARCH("/",E1572) + 1, SEARCH("/",E1572, SEARCH("/",E1572)+1) - SEARCH("/",E1572) - 1))-(LEFT(E1572,FIND("/",E1572)-1))), "NA"))</f>
        <v/>
      </c>
      <c r="K1572" s="79">
        <f>IF(A1572&lt;&gt;"", IF(ISBLANK(L1572), TODAY(), K1572), "")</f>
        <v/>
      </c>
      <c r="L1572" s="78" t="n"/>
      <c r="M1572" s="78">
        <f>IF(ISBLANK(L1572),"",IF(D1572="Stock",IF(C1572="Buy",L1572*G1572,IF(C1572="Sell",(L1572*G1572)-I1572, X)),IF(C1572="Buy",(L1572*G1572*100)+I1572,IF(C1572="Sell",(L1572*G1572*100)-I1572, X))))</f>
        <v/>
      </c>
      <c r="N1572" s="78">
        <f>IF(ISBLANK(L1572),"",IF(AND(C1572="Sell",D1572="Stock"),M1572,IF(ISBLANK(L1572),"",IF(C1572="Buy",M1572, IF(AND(C1572="Sell",J1572="NA"),(E1572*G1572*100*0.1)+I1572, IF(C1572="Sell",(J1572-L1572)*(100*G1572)+I1572))))))</f>
        <v/>
      </c>
      <c r="O1572" s="75" t="n"/>
      <c r="P1572" s="75" t="n"/>
      <c r="Q1572" s="75">
        <f>IF(ISBLANK(P1572),"",IF(D1572="Stock",P1572*G1572,IF(P1572=0,"0",G1572*P1572*100-(G1572*$AF$14))))</f>
        <v/>
      </c>
      <c r="R1572" s="79">
        <f>IF(P1572&lt;&gt;"", TODAY(), "")</f>
        <v/>
      </c>
      <c r="S1572" s="78">
        <f>IF(AND(K1572&lt;&gt;"", R1572&lt;&gt;""), R1572-K1572, "")</f>
        <v/>
      </c>
      <c r="T1572" s="78" t="n"/>
      <c r="U1572" s="92">
        <f>IF(ISBLANK(P1572),"",IF(C1572="Buy",Q1572-M1572+T1572, IF(C1572="Sell",M1572-Q1572-T1572, X)))</f>
        <v/>
      </c>
      <c r="V1572" s="81">
        <f>IF(ISBLANK(P1572),"",U1572/N1572)</f>
        <v/>
      </c>
      <c r="W1572" s="81">
        <f>IF(ISBLANK(P1572),"",IF(S1572=0,(365/0.5)*V1572,(365/S1572)*V1572))</f>
        <v/>
      </c>
      <c r="X1572" s="75" t="n"/>
      <c r="Y1572" s="77" t="n"/>
      <c r="Z1572" s="77" t="n"/>
      <c r="AA1572" s="75" t="n"/>
      <c r="AB1572" s="75" t="n"/>
      <c r="AC1572" s="6" t="n"/>
      <c r="AD1572" s="75" t="n"/>
      <c r="AE1572" s="75" t="n"/>
      <c r="AF1572" s="75" t="n"/>
    </row>
    <row r="1573" ht="15.75" customHeight="1" s="133">
      <c r="A1573" s="75" t="n"/>
      <c r="B1573" s="75" t="n"/>
      <c r="C1573" s="75" t="n"/>
      <c r="D1573" s="75" t="n"/>
      <c r="E1573" s="76" t="n"/>
      <c r="F1573" s="77" t="n"/>
      <c r="G1573" s="75" t="n"/>
      <c r="H1573" s="75">
        <f>IF(ISBLANK(E1573),"",IF(OR(D1573="Butterfly",D1573="Butterfly ",D1573="Iron Fly", D1573="Iron Fly "),LEN(E1573)-LEN(SUBSTITUTE(E1573,"/",""))+2,LEN(E1573)-LEN(SUBSTITUTE(E1573,"/",""))+1))</f>
        <v/>
      </c>
      <c r="I1573" s="78">
        <f>IF(ISBLANK(G1573),"",IF(D1573="Stock","0",Key!$A$3*H1573*G1573))</f>
        <v/>
      </c>
      <c r="J1573" s="78">
        <f>IF(ISBLANK(E1573),"",IF(ISNUMBER(SEARCH("/",E1573)), IF(LEN(E1573)-LEN(SUBSTITUTE(E1573,"/",""))=1,(RIGHT(E1573,LEN(E1573)-FIND("/",E1573)))-(LEFT(E1573,FIND("/",E1573)-1)),(MID(E1573, SEARCH("/",E1573) + 1, SEARCH("/",E1573, SEARCH("/",E1573)+1) - SEARCH("/",E1573) - 1))-(LEFT(E1573,FIND("/",E1573)-1))), "NA"))</f>
        <v/>
      </c>
      <c r="K1573" s="79">
        <f>IF(A1573&lt;&gt;"", IF(ISBLANK(L1573), TODAY(), K1573), "")</f>
        <v/>
      </c>
      <c r="L1573" s="78" t="n"/>
      <c r="M1573" s="78">
        <f>IF(ISBLANK(L1573),"",IF(D1573="Stock",IF(C1573="Buy",L1573*G1573,IF(C1573="Sell",(L1573*G1573)-I1573, X)),IF(C1573="Buy",(L1573*G1573*100)+I1573,IF(C1573="Sell",(L1573*G1573*100)-I1573, X))))</f>
        <v/>
      </c>
      <c r="N1573" s="78">
        <f>IF(ISBLANK(L1573),"",IF(AND(C1573="Sell",D1573="Stock"),M1573,IF(ISBLANK(L1573),"",IF(C1573="Buy",M1573, IF(AND(C1573="Sell",J1573="NA"),(E1573*G1573*100*0.1)+I1573, IF(C1573="Sell",(J1573-L1573)*(100*G1573)+I1573))))))</f>
        <v/>
      </c>
      <c r="O1573" s="75" t="n"/>
      <c r="P1573" s="75" t="n"/>
      <c r="Q1573" s="75">
        <f>IF(ISBLANK(P1573),"",IF(D1573="Stock",P1573*G1573,IF(P1573=0,"0",G1573*P1573*100-(G1573*$AF$14))))</f>
        <v/>
      </c>
      <c r="R1573" s="79">
        <f>IF(P1573&lt;&gt;"", TODAY(), "")</f>
        <v/>
      </c>
      <c r="S1573" s="78">
        <f>IF(AND(K1573&lt;&gt;"", R1573&lt;&gt;""), R1573-K1573, "")</f>
        <v/>
      </c>
      <c r="T1573" s="78" t="n"/>
      <c r="U1573" s="92">
        <f>IF(ISBLANK(P1573),"",IF(C1573="Buy",Q1573-M1573+T1573, IF(C1573="Sell",M1573-Q1573-T1573, X)))</f>
        <v/>
      </c>
      <c r="V1573" s="81">
        <f>IF(ISBLANK(P1573),"",U1573/N1573)</f>
        <v/>
      </c>
      <c r="W1573" s="81">
        <f>IF(ISBLANK(P1573),"",IF(S1573=0,(365/0.5)*V1573,(365/S1573)*V1573))</f>
        <v/>
      </c>
      <c r="X1573" s="75" t="n"/>
      <c r="Y1573" s="77" t="n"/>
      <c r="Z1573" s="77" t="n"/>
      <c r="AA1573" s="75" t="n"/>
      <c r="AB1573" s="75" t="n"/>
      <c r="AC1573" s="6" t="n"/>
      <c r="AD1573" s="75" t="n"/>
      <c r="AE1573" s="75" t="n"/>
      <c r="AF1573" s="75" t="n"/>
    </row>
    <row r="1574" ht="15.75" customHeight="1" s="133">
      <c r="A1574" s="75" t="n"/>
      <c r="B1574" s="75" t="n"/>
      <c r="C1574" s="75" t="n"/>
      <c r="D1574" s="75" t="n"/>
      <c r="E1574" s="76" t="n"/>
      <c r="F1574" s="77" t="n"/>
      <c r="G1574" s="75" t="n"/>
      <c r="H1574" s="75">
        <f>IF(ISBLANK(E1574),"",IF(OR(D1574="Butterfly",D1574="Butterfly ",D1574="Iron Fly", D1574="Iron Fly "),LEN(E1574)-LEN(SUBSTITUTE(E1574,"/",""))+2,LEN(E1574)-LEN(SUBSTITUTE(E1574,"/",""))+1))</f>
        <v/>
      </c>
      <c r="I1574" s="78">
        <f>IF(ISBLANK(G1574),"",IF(D1574="Stock","0",Key!$A$3*H1574*G1574))</f>
        <v/>
      </c>
      <c r="J1574" s="78">
        <f>IF(ISBLANK(E1574),"",IF(ISNUMBER(SEARCH("/",E1574)), IF(LEN(E1574)-LEN(SUBSTITUTE(E1574,"/",""))=1,(RIGHT(E1574,LEN(E1574)-FIND("/",E1574)))-(LEFT(E1574,FIND("/",E1574)-1)),(MID(E1574, SEARCH("/",E1574) + 1, SEARCH("/",E1574, SEARCH("/",E1574)+1) - SEARCH("/",E1574) - 1))-(LEFT(E1574,FIND("/",E1574)-1))), "NA"))</f>
        <v/>
      </c>
      <c r="K1574" s="79">
        <f>IF(A1574&lt;&gt;"", IF(ISBLANK(L1574), TODAY(), K1574), "")</f>
        <v/>
      </c>
      <c r="L1574" s="78" t="n"/>
      <c r="M1574" s="78">
        <f>IF(ISBLANK(L1574),"",IF(D1574="Stock",IF(C1574="Buy",L1574*G1574,IF(C1574="Sell",(L1574*G1574)-I1574, X)),IF(C1574="Buy",(L1574*G1574*100)+I1574,IF(C1574="Sell",(L1574*G1574*100)-I1574, X))))</f>
        <v/>
      </c>
      <c r="N1574" s="78">
        <f>IF(ISBLANK(L1574),"",IF(AND(C1574="Sell",D1574="Stock"),M1574,IF(ISBLANK(L1574),"",IF(C1574="Buy",M1574, IF(AND(C1574="Sell",J1574="NA"),(E1574*G1574*100*0.1)+I1574, IF(C1574="Sell",(J1574-L1574)*(100*G1574)+I1574))))))</f>
        <v/>
      </c>
      <c r="O1574" s="75" t="n"/>
      <c r="P1574" s="75" t="n"/>
      <c r="Q1574" s="75">
        <f>IF(ISBLANK(P1574),"",IF(D1574="Stock",P1574*G1574,IF(P1574=0,"0",G1574*P1574*100-(G1574*$AF$14))))</f>
        <v/>
      </c>
      <c r="R1574" s="79">
        <f>IF(P1574&lt;&gt;"", TODAY(), "")</f>
        <v/>
      </c>
      <c r="S1574" s="78">
        <f>IF(AND(K1574&lt;&gt;"", R1574&lt;&gt;""), R1574-K1574, "")</f>
        <v/>
      </c>
      <c r="T1574" s="78" t="n"/>
      <c r="U1574" s="92">
        <f>IF(ISBLANK(P1574),"",IF(C1574="Buy",Q1574-M1574+T1574, IF(C1574="Sell",M1574-Q1574-T1574, X)))</f>
        <v/>
      </c>
      <c r="V1574" s="81">
        <f>IF(ISBLANK(P1574),"",U1574/N1574)</f>
        <v/>
      </c>
      <c r="W1574" s="81">
        <f>IF(ISBLANK(P1574),"",IF(S1574=0,(365/0.5)*V1574,(365/S1574)*V1574))</f>
        <v/>
      </c>
      <c r="X1574" s="75" t="n"/>
      <c r="Y1574" s="77" t="n"/>
      <c r="Z1574" s="77" t="n"/>
      <c r="AA1574" s="75" t="n"/>
      <c r="AB1574" s="75" t="n"/>
      <c r="AC1574" s="6" t="n"/>
      <c r="AD1574" s="75" t="n"/>
      <c r="AE1574" s="75" t="n"/>
      <c r="AF1574" s="75" t="n"/>
    </row>
    <row r="1575" ht="15.75" customHeight="1" s="133">
      <c r="A1575" s="75" t="n"/>
      <c r="B1575" s="75" t="n"/>
      <c r="C1575" s="75" t="n"/>
      <c r="D1575" s="75" t="n"/>
      <c r="E1575" s="76" t="n"/>
      <c r="F1575" s="77" t="n"/>
      <c r="G1575" s="75" t="n"/>
      <c r="H1575" s="75">
        <f>IF(ISBLANK(E1575),"",IF(OR(D1575="Butterfly",D1575="Butterfly ",D1575="Iron Fly", D1575="Iron Fly "),LEN(E1575)-LEN(SUBSTITUTE(E1575,"/",""))+2,LEN(E1575)-LEN(SUBSTITUTE(E1575,"/",""))+1))</f>
        <v/>
      </c>
      <c r="I1575" s="78">
        <f>IF(ISBLANK(G1575),"",IF(D1575="Stock","0",Key!$A$3*H1575*G1575))</f>
        <v/>
      </c>
      <c r="J1575" s="78">
        <f>IF(ISBLANK(E1575),"",IF(ISNUMBER(SEARCH("/",E1575)), IF(LEN(E1575)-LEN(SUBSTITUTE(E1575,"/",""))=1,(RIGHT(E1575,LEN(E1575)-FIND("/",E1575)))-(LEFT(E1575,FIND("/",E1575)-1)),(MID(E1575, SEARCH("/",E1575) + 1, SEARCH("/",E1575, SEARCH("/",E1575)+1) - SEARCH("/",E1575) - 1))-(LEFT(E1575,FIND("/",E1575)-1))), "NA"))</f>
        <v/>
      </c>
      <c r="K1575" s="79">
        <f>IF(A1575&lt;&gt;"", IF(ISBLANK(L1575), TODAY(), K1575), "")</f>
        <v/>
      </c>
      <c r="L1575" s="78" t="n"/>
      <c r="M1575" s="78">
        <f>IF(ISBLANK(L1575),"",IF(D1575="Stock",IF(C1575="Buy",L1575*G1575,IF(C1575="Sell",(L1575*G1575)-I1575, X)),IF(C1575="Buy",(L1575*G1575*100)+I1575,IF(C1575="Sell",(L1575*G1575*100)-I1575, X))))</f>
        <v/>
      </c>
      <c r="N1575" s="78">
        <f>IF(ISBLANK(L1575),"",IF(AND(C1575="Sell",D1575="Stock"),M1575,IF(ISBLANK(L1575),"",IF(C1575="Buy",M1575, IF(AND(C1575="Sell",J1575="NA"),(E1575*G1575*100*0.1)+I1575, IF(C1575="Sell",(J1575-L1575)*(100*G1575)+I1575))))))</f>
        <v/>
      </c>
      <c r="O1575" s="75" t="n"/>
      <c r="P1575" s="75" t="n"/>
      <c r="Q1575" s="75">
        <f>IF(ISBLANK(P1575),"",IF(D1575="Stock",P1575*G1575,IF(P1575=0,"0",G1575*P1575*100-(G1575*$AF$14))))</f>
        <v/>
      </c>
      <c r="R1575" s="79">
        <f>IF(P1575&lt;&gt;"", TODAY(), "")</f>
        <v/>
      </c>
      <c r="S1575" s="78">
        <f>IF(AND(K1575&lt;&gt;"", R1575&lt;&gt;""), R1575-K1575, "")</f>
        <v/>
      </c>
      <c r="T1575" s="78" t="n"/>
      <c r="U1575" s="92">
        <f>IF(ISBLANK(P1575),"",IF(C1575="Buy",Q1575-M1575+T1575, IF(C1575="Sell",M1575-Q1575-T1575, X)))</f>
        <v/>
      </c>
      <c r="V1575" s="81">
        <f>IF(ISBLANK(P1575),"",U1575/N1575)</f>
        <v/>
      </c>
      <c r="W1575" s="81">
        <f>IF(ISBLANK(P1575),"",IF(S1575=0,(365/0.5)*V1575,(365/S1575)*V1575))</f>
        <v/>
      </c>
      <c r="X1575" s="75" t="n"/>
      <c r="Y1575" s="77" t="n"/>
      <c r="Z1575" s="77" t="n"/>
      <c r="AA1575" s="75" t="n"/>
      <c r="AB1575" s="75" t="n"/>
      <c r="AC1575" s="6" t="n"/>
      <c r="AD1575" s="75" t="n"/>
      <c r="AE1575" s="75" t="n"/>
      <c r="AF1575" s="75" t="n"/>
    </row>
    <row r="1576" ht="15.75" customHeight="1" s="133">
      <c r="A1576" s="75" t="n"/>
      <c r="B1576" s="75" t="n"/>
      <c r="C1576" s="75" t="n"/>
      <c r="D1576" s="75" t="n"/>
      <c r="E1576" s="76" t="n"/>
      <c r="F1576" s="77" t="n"/>
      <c r="G1576" s="75" t="n"/>
      <c r="H1576" s="75">
        <f>IF(ISBLANK(E1576),"",IF(OR(D1576="Butterfly",D1576="Butterfly ",D1576="Iron Fly", D1576="Iron Fly "),LEN(E1576)-LEN(SUBSTITUTE(E1576,"/",""))+2,LEN(E1576)-LEN(SUBSTITUTE(E1576,"/",""))+1))</f>
        <v/>
      </c>
      <c r="I1576" s="78">
        <f>IF(ISBLANK(G1576),"",IF(D1576="Stock","0",Key!$A$3*H1576*G1576))</f>
        <v/>
      </c>
      <c r="J1576" s="78">
        <f>IF(ISBLANK(E1576),"",IF(ISNUMBER(SEARCH("/",E1576)), IF(LEN(E1576)-LEN(SUBSTITUTE(E1576,"/",""))=1,(RIGHT(E1576,LEN(E1576)-FIND("/",E1576)))-(LEFT(E1576,FIND("/",E1576)-1)),(MID(E1576, SEARCH("/",E1576) + 1, SEARCH("/",E1576, SEARCH("/",E1576)+1) - SEARCH("/",E1576) - 1))-(LEFT(E1576,FIND("/",E1576)-1))), "NA"))</f>
        <v/>
      </c>
      <c r="K1576" s="79">
        <f>IF(A1576&lt;&gt;"", IF(ISBLANK(L1576), TODAY(), K1576), "")</f>
        <v/>
      </c>
      <c r="L1576" s="78" t="n"/>
      <c r="M1576" s="78">
        <f>IF(ISBLANK(L1576),"",IF(D1576="Stock",IF(C1576="Buy",L1576*G1576,IF(C1576="Sell",(L1576*G1576)-I1576, X)),IF(C1576="Buy",(L1576*G1576*100)+I1576,IF(C1576="Sell",(L1576*G1576*100)-I1576, X))))</f>
        <v/>
      </c>
      <c r="N1576" s="78">
        <f>IF(ISBLANK(L1576),"",IF(AND(C1576="Sell",D1576="Stock"),M1576,IF(ISBLANK(L1576),"",IF(C1576="Buy",M1576, IF(AND(C1576="Sell",J1576="NA"),(E1576*G1576*100*0.1)+I1576, IF(C1576="Sell",(J1576-L1576)*(100*G1576)+I1576))))))</f>
        <v/>
      </c>
      <c r="O1576" s="75" t="n"/>
      <c r="P1576" s="75" t="n"/>
      <c r="Q1576" s="75">
        <f>IF(ISBLANK(P1576),"",IF(D1576="Stock",P1576*G1576,IF(P1576=0,"0",G1576*P1576*100-(G1576*$AF$14))))</f>
        <v/>
      </c>
      <c r="R1576" s="79">
        <f>IF(P1576&lt;&gt;"", TODAY(), "")</f>
        <v/>
      </c>
      <c r="S1576" s="78">
        <f>IF(AND(K1576&lt;&gt;"", R1576&lt;&gt;""), R1576-K1576, "")</f>
        <v/>
      </c>
      <c r="T1576" s="78" t="n"/>
      <c r="U1576" s="92">
        <f>IF(ISBLANK(P1576),"",IF(C1576="Buy",Q1576-M1576+T1576, IF(C1576="Sell",M1576-Q1576-T1576, X)))</f>
        <v/>
      </c>
      <c r="V1576" s="81">
        <f>IF(ISBLANK(P1576),"",U1576/N1576)</f>
        <v/>
      </c>
      <c r="W1576" s="81">
        <f>IF(ISBLANK(P1576),"",IF(S1576=0,(365/0.5)*V1576,(365/S1576)*V1576))</f>
        <v/>
      </c>
      <c r="X1576" s="75" t="n"/>
      <c r="Y1576" s="77" t="n"/>
      <c r="Z1576" s="77" t="n"/>
      <c r="AA1576" s="75" t="n"/>
      <c r="AB1576" s="75" t="n"/>
      <c r="AC1576" s="6" t="n"/>
      <c r="AD1576" s="75" t="n"/>
      <c r="AE1576" s="75" t="n"/>
      <c r="AF1576" s="75" t="n"/>
    </row>
    <row r="1577" ht="15.75" customHeight="1" s="133">
      <c r="A1577" s="75" t="n"/>
      <c r="B1577" s="75" t="n"/>
      <c r="C1577" s="75" t="n"/>
      <c r="D1577" s="75" t="n"/>
      <c r="E1577" s="76" t="n"/>
      <c r="F1577" s="77" t="n"/>
      <c r="G1577" s="75" t="n"/>
      <c r="H1577" s="75">
        <f>IF(ISBLANK(E1577),"",IF(OR(D1577="Butterfly",D1577="Butterfly ",D1577="Iron Fly", D1577="Iron Fly "),LEN(E1577)-LEN(SUBSTITUTE(E1577,"/",""))+2,LEN(E1577)-LEN(SUBSTITUTE(E1577,"/",""))+1))</f>
        <v/>
      </c>
      <c r="I1577" s="78">
        <f>IF(ISBLANK(G1577),"",IF(D1577="Stock","0",Key!$A$3*H1577*G1577))</f>
        <v/>
      </c>
      <c r="J1577" s="78">
        <f>IF(ISBLANK(E1577),"",IF(ISNUMBER(SEARCH("/",E1577)), IF(LEN(E1577)-LEN(SUBSTITUTE(E1577,"/",""))=1,(RIGHT(E1577,LEN(E1577)-FIND("/",E1577)))-(LEFT(E1577,FIND("/",E1577)-1)),(MID(E1577, SEARCH("/",E1577) + 1, SEARCH("/",E1577, SEARCH("/",E1577)+1) - SEARCH("/",E1577) - 1))-(LEFT(E1577,FIND("/",E1577)-1))), "NA"))</f>
        <v/>
      </c>
      <c r="K1577" s="79">
        <f>IF(A1577&lt;&gt;"", IF(ISBLANK(L1577), TODAY(), K1577), "")</f>
        <v/>
      </c>
      <c r="L1577" s="78" t="n"/>
      <c r="M1577" s="78">
        <f>IF(ISBLANK(L1577),"",IF(D1577="Stock",IF(C1577="Buy",L1577*G1577,IF(C1577="Sell",(L1577*G1577)-I1577, X)),IF(C1577="Buy",(L1577*G1577*100)+I1577,IF(C1577="Sell",(L1577*G1577*100)-I1577, X))))</f>
        <v/>
      </c>
      <c r="N1577" s="78">
        <f>IF(ISBLANK(L1577),"",IF(AND(C1577="Sell",D1577="Stock"),M1577,IF(ISBLANK(L1577),"",IF(C1577="Buy",M1577, IF(AND(C1577="Sell",J1577="NA"),(E1577*G1577*100*0.1)+I1577, IF(C1577="Sell",(J1577-L1577)*(100*G1577)+I1577))))))</f>
        <v/>
      </c>
      <c r="O1577" s="75" t="n"/>
      <c r="P1577" s="75" t="n"/>
      <c r="Q1577" s="75">
        <f>IF(ISBLANK(P1577),"",IF(D1577="Stock",P1577*G1577,IF(P1577=0,"0",G1577*P1577*100-(G1577*$AF$14))))</f>
        <v/>
      </c>
      <c r="R1577" s="79">
        <f>IF(P1577&lt;&gt;"", TODAY(), "")</f>
        <v/>
      </c>
      <c r="S1577" s="78">
        <f>IF(AND(K1577&lt;&gt;"", R1577&lt;&gt;""), R1577-K1577, "")</f>
        <v/>
      </c>
      <c r="T1577" s="78" t="n"/>
      <c r="U1577" s="92">
        <f>IF(ISBLANK(P1577),"",IF(C1577="Buy",Q1577-M1577+T1577, IF(C1577="Sell",M1577-Q1577-T1577, X)))</f>
        <v/>
      </c>
      <c r="V1577" s="81">
        <f>IF(ISBLANK(P1577),"",U1577/N1577)</f>
        <v/>
      </c>
      <c r="W1577" s="81">
        <f>IF(ISBLANK(P1577),"",IF(S1577=0,(365/0.5)*V1577,(365/S1577)*V1577))</f>
        <v/>
      </c>
      <c r="X1577" s="75" t="n"/>
      <c r="Y1577" s="77" t="n"/>
      <c r="Z1577" s="77" t="n"/>
      <c r="AA1577" s="75" t="n"/>
      <c r="AB1577" s="75" t="n"/>
      <c r="AC1577" s="6" t="n"/>
      <c r="AD1577" s="75" t="n"/>
      <c r="AE1577" s="75" t="n"/>
      <c r="AF1577" s="75" t="n"/>
    </row>
    <row r="1578" ht="15.75" customHeight="1" s="133">
      <c r="A1578" s="75" t="n"/>
      <c r="B1578" s="75" t="n"/>
      <c r="C1578" s="75" t="n"/>
      <c r="D1578" s="75" t="n"/>
      <c r="E1578" s="76" t="n"/>
      <c r="F1578" s="77" t="n"/>
      <c r="G1578" s="75" t="n"/>
      <c r="H1578" s="75">
        <f>IF(ISBLANK(E1578),"",IF(OR(D1578="Butterfly",D1578="Butterfly ",D1578="Iron Fly", D1578="Iron Fly "),LEN(E1578)-LEN(SUBSTITUTE(E1578,"/",""))+2,LEN(E1578)-LEN(SUBSTITUTE(E1578,"/",""))+1))</f>
        <v/>
      </c>
      <c r="I1578" s="78">
        <f>IF(ISBLANK(G1578),"",IF(D1578="Stock","0",Key!$A$3*H1578*G1578))</f>
        <v/>
      </c>
      <c r="J1578" s="78">
        <f>IF(ISBLANK(E1578),"",IF(ISNUMBER(SEARCH("/",E1578)), IF(LEN(E1578)-LEN(SUBSTITUTE(E1578,"/",""))=1,(RIGHT(E1578,LEN(E1578)-FIND("/",E1578)))-(LEFT(E1578,FIND("/",E1578)-1)),(MID(E1578, SEARCH("/",E1578) + 1, SEARCH("/",E1578, SEARCH("/",E1578)+1) - SEARCH("/",E1578) - 1))-(LEFT(E1578,FIND("/",E1578)-1))), "NA"))</f>
        <v/>
      </c>
      <c r="K1578" s="79">
        <f>IF(A1578&lt;&gt;"", IF(ISBLANK(L1578), TODAY(), K1578), "")</f>
        <v/>
      </c>
      <c r="L1578" s="78" t="n"/>
      <c r="M1578" s="78">
        <f>IF(ISBLANK(L1578),"",IF(D1578="Stock",IF(C1578="Buy",L1578*G1578,IF(C1578="Sell",(L1578*G1578)-I1578, X)),IF(C1578="Buy",(L1578*G1578*100)+I1578,IF(C1578="Sell",(L1578*G1578*100)-I1578, X))))</f>
        <v/>
      </c>
      <c r="N1578" s="78">
        <f>IF(ISBLANK(L1578),"",IF(AND(C1578="Sell",D1578="Stock"),M1578,IF(ISBLANK(L1578),"",IF(C1578="Buy",M1578, IF(AND(C1578="Sell",J1578="NA"),(E1578*G1578*100*0.1)+I1578, IF(C1578="Sell",(J1578-L1578)*(100*G1578)+I1578))))))</f>
        <v/>
      </c>
      <c r="O1578" s="75" t="n"/>
      <c r="P1578" s="75" t="n"/>
      <c r="Q1578" s="75">
        <f>IF(ISBLANK(P1578),"",IF(D1578="Stock",P1578*G1578,IF(P1578=0,"0",G1578*P1578*100-(G1578*$AF$14))))</f>
        <v/>
      </c>
      <c r="R1578" s="79">
        <f>IF(P1578&lt;&gt;"", TODAY(), "")</f>
        <v/>
      </c>
      <c r="S1578" s="78">
        <f>IF(AND(K1578&lt;&gt;"", R1578&lt;&gt;""), R1578-K1578, "")</f>
        <v/>
      </c>
      <c r="T1578" s="78" t="n"/>
      <c r="U1578" s="92">
        <f>IF(ISBLANK(P1578),"",IF(C1578="Buy",Q1578-M1578+T1578, IF(C1578="Sell",M1578-Q1578-T1578, X)))</f>
        <v/>
      </c>
      <c r="V1578" s="81">
        <f>IF(ISBLANK(P1578),"",U1578/N1578)</f>
        <v/>
      </c>
      <c r="W1578" s="81">
        <f>IF(ISBLANK(P1578),"",IF(S1578=0,(365/0.5)*V1578,(365/S1578)*V1578))</f>
        <v/>
      </c>
      <c r="X1578" s="75" t="n"/>
      <c r="Y1578" s="77" t="n"/>
      <c r="Z1578" s="77" t="n"/>
      <c r="AA1578" s="75" t="n"/>
      <c r="AB1578" s="75" t="n"/>
      <c r="AC1578" s="6" t="n"/>
      <c r="AD1578" s="75" t="n"/>
      <c r="AE1578" s="75" t="n"/>
      <c r="AF1578" s="75" t="n"/>
    </row>
    <row r="1579" ht="15.75" customHeight="1" s="133">
      <c r="A1579" s="75" t="n"/>
      <c r="B1579" s="75" t="n"/>
      <c r="C1579" s="75" t="n"/>
      <c r="D1579" s="75" t="n"/>
      <c r="E1579" s="76" t="n"/>
      <c r="F1579" s="77" t="n"/>
      <c r="G1579" s="75" t="n"/>
      <c r="H1579" s="75">
        <f>IF(ISBLANK(E1579),"",IF(OR(D1579="Butterfly",D1579="Butterfly ",D1579="Iron Fly", D1579="Iron Fly "),LEN(E1579)-LEN(SUBSTITUTE(E1579,"/",""))+2,LEN(E1579)-LEN(SUBSTITUTE(E1579,"/",""))+1))</f>
        <v/>
      </c>
      <c r="I1579" s="78">
        <f>IF(ISBLANK(G1579),"",IF(D1579="Stock","0",Key!$A$3*H1579*G1579))</f>
        <v/>
      </c>
      <c r="J1579" s="78">
        <f>IF(ISBLANK(E1579),"",IF(ISNUMBER(SEARCH("/",E1579)), IF(LEN(E1579)-LEN(SUBSTITUTE(E1579,"/",""))=1,(RIGHT(E1579,LEN(E1579)-FIND("/",E1579)))-(LEFT(E1579,FIND("/",E1579)-1)),(MID(E1579, SEARCH("/",E1579) + 1, SEARCH("/",E1579, SEARCH("/",E1579)+1) - SEARCH("/",E1579) - 1))-(LEFT(E1579,FIND("/",E1579)-1))), "NA"))</f>
        <v/>
      </c>
      <c r="K1579" s="79">
        <f>IF(A1579&lt;&gt;"", IF(ISBLANK(L1579), TODAY(), K1579), "")</f>
        <v/>
      </c>
      <c r="L1579" s="78" t="n"/>
      <c r="M1579" s="78">
        <f>IF(ISBLANK(L1579),"",IF(D1579="Stock",IF(C1579="Buy",L1579*G1579,IF(C1579="Sell",(L1579*G1579)-I1579, X)),IF(C1579="Buy",(L1579*G1579*100)+I1579,IF(C1579="Sell",(L1579*G1579*100)-I1579, X))))</f>
        <v/>
      </c>
      <c r="N1579" s="78">
        <f>IF(ISBLANK(L1579),"",IF(AND(C1579="Sell",D1579="Stock"),M1579,IF(ISBLANK(L1579),"",IF(C1579="Buy",M1579, IF(AND(C1579="Sell",J1579="NA"),(E1579*G1579*100*0.1)+I1579, IF(C1579="Sell",(J1579-L1579)*(100*G1579)+I1579))))))</f>
        <v/>
      </c>
      <c r="O1579" s="75" t="n"/>
      <c r="P1579" s="75" t="n"/>
      <c r="Q1579" s="75">
        <f>IF(ISBLANK(P1579),"",IF(D1579="Stock",P1579*G1579,IF(P1579=0,"0",G1579*P1579*100-(G1579*$AF$14))))</f>
        <v/>
      </c>
      <c r="R1579" s="79">
        <f>IF(P1579&lt;&gt;"", TODAY(), "")</f>
        <v/>
      </c>
      <c r="S1579" s="78">
        <f>IF(AND(K1579&lt;&gt;"", R1579&lt;&gt;""), R1579-K1579, "")</f>
        <v/>
      </c>
      <c r="T1579" s="78" t="n"/>
      <c r="U1579" s="92">
        <f>IF(ISBLANK(P1579),"",IF(C1579="Buy",Q1579-M1579+T1579, IF(C1579="Sell",M1579-Q1579-T1579, X)))</f>
        <v/>
      </c>
      <c r="V1579" s="81">
        <f>IF(ISBLANK(P1579),"",U1579/N1579)</f>
        <v/>
      </c>
      <c r="W1579" s="81">
        <f>IF(ISBLANK(P1579),"",IF(S1579=0,(365/0.5)*V1579,(365/S1579)*V1579))</f>
        <v/>
      </c>
      <c r="X1579" s="75" t="n"/>
      <c r="Y1579" s="77" t="n"/>
      <c r="Z1579" s="77" t="n"/>
      <c r="AA1579" s="75" t="n"/>
      <c r="AB1579" s="75" t="n"/>
      <c r="AC1579" s="6" t="n"/>
      <c r="AD1579" s="75" t="n"/>
      <c r="AE1579" s="75" t="n"/>
      <c r="AF1579" s="75" t="n"/>
    </row>
    <row r="1580" ht="15.75" customHeight="1" s="133">
      <c r="A1580" s="75" t="n"/>
      <c r="B1580" s="75" t="n"/>
      <c r="C1580" s="75" t="n"/>
      <c r="D1580" s="75" t="n"/>
      <c r="E1580" s="76" t="n"/>
      <c r="F1580" s="77" t="n"/>
      <c r="G1580" s="75" t="n"/>
      <c r="H1580" s="75">
        <f>IF(ISBLANK(E1580),"",IF(OR(D1580="Butterfly",D1580="Butterfly ",D1580="Iron Fly", D1580="Iron Fly "),LEN(E1580)-LEN(SUBSTITUTE(E1580,"/",""))+2,LEN(E1580)-LEN(SUBSTITUTE(E1580,"/",""))+1))</f>
        <v/>
      </c>
      <c r="I1580" s="78">
        <f>IF(ISBLANK(G1580),"",IF(D1580="Stock","0",Key!$A$3*H1580*G1580))</f>
        <v/>
      </c>
      <c r="J1580" s="78">
        <f>IF(ISBLANK(E1580),"",IF(ISNUMBER(SEARCH("/",E1580)), IF(LEN(E1580)-LEN(SUBSTITUTE(E1580,"/",""))=1,(RIGHT(E1580,LEN(E1580)-FIND("/",E1580)))-(LEFT(E1580,FIND("/",E1580)-1)),(MID(E1580, SEARCH("/",E1580) + 1, SEARCH("/",E1580, SEARCH("/",E1580)+1) - SEARCH("/",E1580) - 1))-(LEFT(E1580,FIND("/",E1580)-1))), "NA"))</f>
        <v/>
      </c>
      <c r="K1580" s="79">
        <f>IF(A1580&lt;&gt;"", IF(ISBLANK(L1580), TODAY(), K1580), "")</f>
        <v/>
      </c>
      <c r="L1580" s="78" t="n"/>
      <c r="M1580" s="78">
        <f>IF(ISBLANK(L1580),"",IF(D1580="Stock",IF(C1580="Buy",L1580*G1580,IF(C1580="Sell",(L1580*G1580)-I1580, X)),IF(C1580="Buy",(L1580*G1580*100)+I1580,IF(C1580="Sell",(L1580*G1580*100)-I1580, X))))</f>
        <v/>
      </c>
      <c r="N1580" s="78">
        <f>IF(ISBLANK(L1580),"",IF(AND(C1580="Sell",D1580="Stock"),M1580,IF(ISBLANK(L1580),"",IF(C1580="Buy",M1580, IF(AND(C1580="Sell",J1580="NA"),(E1580*G1580*100*0.1)+I1580, IF(C1580="Sell",(J1580-L1580)*(100*G1580)+I1580))))))</f>
        <v/>
      </c>
      <c r="O1580" s="75" t="n"/>
      <c r="P1580" s="75" t="n"/>
      <c r="Q1580" s="75">
        <f>IF(ISBLANK(P1580),"",IF(D1580="Stock",P1580*G1580,IF(P1580=0,"0",G1580*P1580*100-(G1580*$AF$14))))</f>
        <v/>
      </c>
      <c r="R1580" s="79">
        <f>IF(P1580&lt;&gt;"", TODAY(), "")</f>
        <v/>
      </c>
      <c r="S1580" s="78">
        <f>IF(AND(K1580&lt;&gt;"", R1580&lt;&gt;""), R1580-K1580, "")</f>
        <v/>
      </c>
      <c r="T1580" s="78" t="n"/>
      <c r="U1580" s="92">
        <f>IF(ISBLANK(P1580),"",IF(C1580="Buy",Q1580-M1580+T1580, IF(C1580="Sell",M1580-Q1580-T1580, X)))</f>
        <v/>
      </c>
      <c r="V1580" s="81">
        <f>IF(ISBLANK(P1580),"",U1580/N1580)</f>
        <v/>
      </c>
      <c r="W1580" s="81">
        <f>IF(ISBLANK(P1580),"",IF(S1580=0,(365/0.5)*V1580,(365/S1580)*V1580))</f>
        <v/>
      </c>
      <c r="X1580" s="75" t="n"/>
      <c r="Y1580" s="77" t="n"/>
      <c r="Z1580" s="77" t="n"/>
      <c r="AA1580" s="75" t="n"/>
      <c r="AB1580" s="75" t="n"/>
      <c r="AC1580" s="6" t="n"/>
      <c r="AD1580" s="75" t="n"/>
      <c r="AE1580" s="75" t="n"/>
      <c r="AF1580" s="75" t="n"/>
    </row>
    <row r="1581" ht="15.75" customHeight="1" s="133">
      <c r="A1581" s="75" t="n"/>
      <c r="B1581" s="75" t="n"/>
      <c r="C1581" s="75" t="n"/>
      <c r="D1581" s="75" t="n"/>
      <c r="E1581" s="76" t="n"/>
      <c r="F1581" s="77" t="n"/>
      <c r="G1581" s="75" t="n"/>
      <c r="H1581" s="75">
        <f>IF(ISBLANK(E1581),"",IF(OR(D1581="Butterfly",D1581="Butterfly ",D1581="Iron Fly", D1581="Iron Fly "),LEN(E1581)-LEN(SUBSTITUTE(E1581,"/",""))+2,LEN(E1581)-LEN(SUBSTITUTE(E1581,"/",""))+1))</f>
        <v/>
      </c>
      <c r="I1581" s="78">
        <f>IF(ISBLANK(G1581),"",IF(D1581="Stock","0",Key!$A$3*H1581*G1581))</f>
        <v/>
      </c>
      <c r="J1581" s="78">
        <f>IF(ISBLANK(E1581),"",IF(ISNUMBER(SEARCH("/",E1581)), IF(LEN(E1581)-LEN(SUBSTITUTE(E1581,"/",""))=1,(RIGHT(E1581,LEN(E1581)-FIND("/",E1581)))-(LEFT(E1581,FIND("/",E1581)-1)),(MID(E1581, SEARCH("/",E1581) + 1, SEARCH("/",E1581, SEARCH("/",E1581)+1) - SEARCH("/",E1581) - 1))-(LEFT(E1581,FIND("/",E1581)-1))), "NA"))</f>
        <v/>
      </c>
      <c r="K1581" s="79">
        <f>IF(A1581&lt;&gt;"", IF(ISBLANK(L1581), TODAY(), K1581), "")</f>
        <v/>
      </c>
      <c r="L1581" s="78" t="n"/>
      <c r="M1581" s="78">
        <f>IF(ISBLANK(L1581),"",IF(D1581="Stock",IF(C1581="Buy",L1581*G1581,IF(C1581="Sell",(L1581*G1581)-I1581, X)),IF(C1581="Buy",(L1581*G1581*100)+I1581,IF(C1581="Sell",(L1581*G1581*100)-I1581, X))))</f>
        <v/>
      </c>
      <c r="N1581" s="78">
        <f>IF(ISBLANK(L1581),"",IF(AND(C1581="Sell",D1581="Stock"),M1581,IF(ISBLANK(L1581),"",IF(C1581="Buy",M1581, IF(AND(C1581="Sell",J1581="NA"),(E1581*G1581*100*0.1)+I1581, IF(C1581="Sell",(J1581-L1581)*(100*G1581)+I1581))))))</f>
        <v/>
      </c>
      <c r="O1581" s="75" t="n"/>
      <c r="P1581" s="75" t="n"/>
      <c r="Q1581" s="75">
        <f>IF(ISBLANK(P1581),"",IF(D1581="Stock",P1581*G1581,IF(P1581=0,"0",G1581*P1581*100-(G1581*$AF$14))))</f>
        <v/>
      </c>
      <c r="R1581" s="79">
        <f>IF(P1581&lt;&gt;"", TODAY(), "")</f>
        <v/>
      </c>
      <c r="S1581" s="78">
        <f>IF(AND(K1581&lt;&gt;"", R1581&lt;&gt;""), R1581-K1581, "")</f>
        <v/>
      </c>
      <c r="T1581" s="78" t="n"/>
      <c r="U1581" s="92">
        <f>IF(ISBLANK(P1581),"",IF(C1581="Buy",Q1581-M1581+T1581, IF(C1581="Sell",M1581-Q1581-T1581, X)))</f>
        <v/>
      </c>
      <c r="V1581" s="81">
        <f>IF(ISBLANK(P1581),"",U1581/N1581)</f>
        <v/>
      </c>
      <c r="W1581" s="81">
        <f>IF(ISBLANK(P1581),"",IF(S1581=0,(365/0.5)*V1581,(365/S1581)*V1581))</f>
        <v/>
      </c>
      <c r="X1581" s="75" t="n"/>
      <c r="Y1581" s="77" t="n"/>
      <c r="Z1581" s="77" t="n"/>
      <c r="AA1581" s="75" t="n"/>
      <c r="AB1581" s="75" t="n"/>
      <c r="AC1581" s="6" t="n"/>
      <c r="AD1581" s="75" t="n"/>
      <c r="AE1581" s="75" t="n"/>
      <c r="AF1581" s="75" t="n"/>
    </row>
    <row r="1582" ht="15.75" customHeight="1" s="133">
      <c r="A1582" s="75" t="n"/>
      <c r="B1582" s="75" t="n"/>
      <c r="C1582" s="75" t="n"/>
      <c r="D1582" s="75" t="n"/>
      <c r="E1582" s="76" t="n"/>
      <c r="F1582" s="77" t="n"/>
      <c r="G1582" s="75" t="n"/>
      <c r="H1582" s="75">
        <f>IF(ISBLANK(E1582),"",IF(OR(D1582="Butterfly",D1582="Butterfly ",D1582="Iron Fly", D1582="Iron Fly "),LEN(E1582)-LEN(SUBSTITUTE(E1582,"/",""))+2,LEN(E1582)-LEN(SUBSTITUTE(E1582,"/",""))+1))</f>
        <v/>
      </c>
      <c r="I1582" s="78">
        <f>IF(ISBLANK(G1582),"",IF(D1582="Stock","0",Key!$A$3*H1582*G1582))</f>
        <v/>
      </c>
      <c r="J1582" s="78">
        <f>IF(ISBLANK(E1582),"",IF(ISNUMBER(SEARCH("/",E1582)), IF(LEN(E1582)-LEN(SUBSTITUTE(E1582,"/",""))=1,(RIGHT(E1582,LEN(E1582)-FIND("/",E1582)))-(LEFT(E1582,FIND("/",E1582)-1)),(MID(E1582, SEARCH("/",E1582) + 1, SEARCH("/",E1582, SEARCH("/",E1582)+1) - SEARCH("/",E1582) - 1))-(LEFT(E1582,FIND("/",E1582)-1))), "NA"))</f>
        <v/>
      </c>
      <c r="K1582" s="79">
        <f>IF(A1582&lt;&gt;"", IF(ISBLANK(L1582), TODAY(), K1582), "")</f>
        <v/>
      </c>
      <c r="L1582" s="78" t="n"/>
      <c r="M1582" s="78">
        <f>IF(ISBLANK(L1582),"",IF(D1582="Stock",IF(C1582="Buy",L1582*G1582,IF(C1582="Sell",(L1582*G1582)-I1582, X)),IF(C1582="Buy",(L1582*G1582*100)+I1582,IF(C1582="Sell",(L1582*G1582*100)-I1582, X))))</f>
        <v/>
      </c>
      <c r="N1582" s="78">
        <f>IF(ISBLANK(L1582),"",IF(AND(C1582="Sell",D1582="Stock"),M1582,IF(ISBLANK(L1582),"",IF(C1582="Buy",M1582, IF(AND(C1582="Sell",J1582="NA"),(E1582*G1582*100*0.1)+I1582, IF(C1582="Sell",(J1582-L1582)*(100*G1582)+I1582))))))</f>
        <v/>
      </c>
      <c r="O1582" s="75" t="n"/>
      <c r="P1582" s="75" t="n"/>
      <c r="Q1582" s="75">
        <f>IF(ISBLANK(P1582),"",IF(D1582="Stock",P1582*G1582,IF(P1582=0,"0",G1582*P1582*100-(G1582*$AF$14))))</f>
        <v/>
      </c>
      <c r="R1582" s="79">
        <f>IF(P1582&lt;&gt;"", TODAY(), "")</f>
        <v/>
      </c>
      <c r="S1582" s="78">
        <f>IF(AND(K1582&lt;&gt;"", R1582&lt;&gt;""), R1582-K1582, "")</f>
        <v/>
      </c>
      <c r="T1582" s="78" t="n"/>
      <c r="U1582" s="92">
        <f>IF(ISBLANK(P1582),"",IF(C1582="Buy",Q1582-M1582+T1582, IF(C1582="Sell",M1582-Q1582-T1582, X)))</f>
        <v/>
      </c>
      <c r="V1582" s="81">
        <f>IF(ISBLANK(P1582),"",U1582/N1582)</f>
        <v/>
      </c>
      <c r="W1582" s="81">
        <f>IF(ISBLANK(P1582),"",IF(S1582=0,(365/0.5)*V1582,(365/S1582)*V1582))</f>
        <v/>
      </c>
      <c r="X1582" s="75" t="n"/>
      <c r="Y1582" s="77" t="n"/>
      <c r="Z1582" s="77" t="n"/>
      <c r="AA1582" s="75" t="n"/>
      <c r="AB1582" s="75" t="n"/>
      <c r="AC1582" s="6" t="n"/>
      <c r="AD1582" s="75" t="n"/>
      <c r="AE1582" s="75" t="n"/>
      <c r="AF1582" s="75" t="n"/>
    </row>
    <row r="1583" ht="15.75" customHeight="1" s="133">
      <c r="A1583" s="75" t="n"/>
      <c r="B1583" s="75" t="n"/>
      <c r="C1583" s="75" t="n"/>
      <c r="D1583" s="75" t="n"/>
      <c r="E1583" s="76" t="n"/>
      <c r="F1583" s="77" t="n"/>
      <c r="G1583" s="75" t="n"/>
      <c r="H1583" s="75">
        <f>IF(ISBLANK(E1583),"",IF(OR(D1583="Butterfly",D1583="Butterfly ",D1583="Iron Fly", D1583="Iron Fly "),LEN(E1583)-LEN(SUBSTITUTE(E1583,"/",""))+2,LEN(E1583)-LEN(SUBSTITUTE(E1583,"/",""))+1))</f>
        <v/>
      </c>
      <c r="I1583" s="78">
        <f>IF(ISBLANK(G1583),"",IF(D1583="Stock","0",Key!$A$3*H1583*G1583))</f>
        <v/>
      </c>
      <c r="J1583" s="78">
        <f>IF(ISBLANK(E1583),"",IF(ISNUMBER(SEARCH("/",E1583)), IF(LEN(E1583)-LEN(SUBSTITUTE(E1583,"/",""))=1,(RIGHT(E1583,LEN(E1583)-FIND("/",E1583)))-(LEFT(E1583,FIND("/",E1583)-1)),(MID(E1583, SEARCH("/",E1583) + 1, SEARCH("/",E1583, SEARCH("/",E1583)+1) - SEARCH("/",E1583) - 1))-(LEFT(E1583,FIND("/",E1583)-1))), "NA"))</f>
        <v/>
      </c>
      <c r="K1583" s="79">
        <f>IF(A1583&lt;&gt;"", IF(ISBLANK(L1583), TODAY(), K1583), "")</f>
        <v/>
      </c>
      <c r="L1583" s="78" t="n"/>
      <c r="M1583" s="78">
        <f>IF(ISBLANK(L1583),"",IF(D1583="Stock",IF(C1583="Buy",L1583*G1583,IF(C1583="Sell",(L1583*G1583)-I1583, X)),IF(C1583="Buy",(L1583*G1583*100)+I1583,IF(C1583="Sell",(L1583*G1583*100)-I1583, X))))</f>
        <v/>
      </c>
      <c r="N1583" s="78">
        <f>IF(ISBLANK(L1583),"",IF(AND(C1583="Sell",D1583="Stock"),M1583,IF(ISBLANK(L1583),"",IF(C1583="Buy",M1583, IF(AND(C1583="Sell",J1583="NA"),(E1583*G1583*100*0.1)+I1583, IF(C1583="Sell",(J1583-L1583)*(100*G1583)+I1583))))))</f>
        <v/>
      </c>
      <c r="O1583" s="75" t="n"/>
      <c r="P1583" s="75" t="n"/>
      <c r="Q1583" s="75">
        <f>IF(ISBLANK(P1583),"",IF(D1583="Stock",P1583*G1583,IF(P1583=0,"0",G1583*P1583*100-(G1583*$AF$14))))</f>
        <v/>
      </c>
      <c r="R1583" s="79">
        <f>IF(P1583&lt;&gt;"", TODAY(), "")</f>
        <v/>
      </c>
      <c r="S1583" s="78">
        <f>IF(AND(K1583&lt;&gt;"", R1583&lt;&gt;""), R1583-K1583, "")</f>
        <v/>
      </c>
      <c r="T1583" s="78" t="n"/>
      <c r="U1583" s="92">
        <f>IF(ISBLANK(P1583),"",IF(C1583="Buy",Q1583-M1583+T1583, IF(C1583="Sell",M1583-Q1583-T1583, X)))</f>
        <v/>
      </c>
      <c r="V1583" s="81">
        <f>IF(ISBLANK(P1583),"",U1583/N1583)</f>
        <v/>
      </c>
      <c r="W1583" s="81">
        <f>IF(ISBLANK(P1583),"",IF(S1583=0,(365/0.5)*V1583,(365/S1583)*V1583))</f>
        <v/>
      </c>
      <c r="X1583" s="75" t="n"/>
      <c r="Y1583" s="77" t="n"/>
      <c r="Z1583" s="77" t="n"/>
      <c r="AA1583" s="75" t="n"/>
      <c r="AB1583" s="75" t="n"/>
      <c r="AC1583" s="6" t="n"/>
      <c r="AD1583" s="75" t="n"/>
      <c r="AE1583" s="75" t="n"/>
      <c r="AF1583" s="75" t="n"/>
    </row>
    <row r="1584" ht="15.75" customHeight="1" s="133">
      <c r="A1584" s="75" t="n"/>
      <c r="B1584" s="75" t="n"/>
      <c r="C1584" s="75" t="n"/>
      <c r="D1584" s="75" t="n"/>
      <c r="E1584" s="76" t="n"/>
      <c r="F1584" s="77" t="n"/>
      <c r="G1584" s="75" t="n"/>
      <c r="H1584" s="75">
        <f>IF(ISBLANK(E1584),"",IF(OR(D1584="Butterfly",D1584="Butterfly ",D1584="Iron Fly", D1584="Iron Fly "),LEN(E1584)-LEN(SUBSTITUTE(E1584,"/",""))+2,LEN(E1584)-LEN(SUBSTITUTE(E1584,"/",""))+1))</f>
        <v/>
      </c>
      <c r="I1584" s="78">
        <f>IF(ISBLANK(G1584),"",IF(D1584="Stock","0",Key!$A$3*H1584*G1584))</f>
        <v/>
      </c>
      <c r="J1584" s="78">
        <f>IF(ISBLANK(E1584),"",IF(ISNUMBER(SEARCH("/",E1584)), IF(LEN(E1584)-LEN(SUBSTITUTE(E1584,"/",""))=1,(RIGHT(E1584,LEN(E1584)-FIND("/",E1584)))-(LEFT(E1584,FIND("/",E1584)-1)),(MID(E1584, SEARCH("/",E1584) + 1, SEARCH("/",E1584, SEARCH("/",E1584)+1) - SEARCH("/",E1584) - 1))-(LEFT(E1584,FIND("/",E1584)-1))), "NA"))</f>
        <v/>
      </c>
      <c r="K1584" s="79">
        <f>IF(A1584&lt;&gt;"", IF(ISBLANK(L1584), TODAY(), K1584), "")</f>
        <v/>
      </c>
      <c r="L1584" s="78" t="n"/>
      <c r="M1584" s="78">
        <f>IF(ISBLANK(L1584),"",IF(D1584="Stock",IF(C1584="Buy",L1584*G1584,IF(C1584="Sell",(L1584*G1584)-I1584, X)),IF(C1584="Buy",(L1584*G1584*100)+I1584,IF(C1584="Sell",(L1584*G1584*100)-I1584, X))))</f>
        <v/>
      </c>
      <c r="N1584" s="78">
        <f>IF(ISBLANK(L1584),"",IF(AND(C1584="Sell",D1584="Stock"),M1584,IF(ISBLANK(L1584),"",IF(C1584="Buy",M1584, IF(AND(C1584="Sell",J1584="NA"),(E1584*G1584*100*0.1)+I1584, IF(C1584="Sell",(J1584-L1584)*(100*G1584)+I1584))))))</f>
        <v/>
      </c>
      <c r="O1584" s="75" t="n"/>
      <c r="P1584" s="75" t="n"/>
      <c r="Q1584" s="75">
        <f>IF(ISBLANK(P1584),"",IF(D1584="Stock",P1584*G1584,IF(P1584=0,"0",G1584*P1584*100-(G1584*$AF$14))))</f>
        <v/>
      </c>
      <c r="R1584" s="79">
        <f>IF(P1584&lt;&gt;"", TODAY(), "")</f>
        <v/>
      </c>
      <c r="S1584" s="78">
        <f>IF(AND(K1584&lt;&gt;"", R1584&lt;&gt;""), R1584-K1584, "")</f>
        <v/>
      </c>
      <c r="T1584" s="78" t="n"/>
      <c r="U1584" s="92">
        <f>IF(ISBLANK(P1584),"",IF(C1584="Buy",Q1584-M1584+T1584, IF(C1584="Sell",M1584-Q1584-T1584, X)))</f>
        <v/>
      </c>
      <c r="V1584" s="81">
        <f>IF(ISBLANK(P1584),"",U1584/N1584)</f>
        <v/>
      </c>
      <c r="W1584" s="81">
        <f>IF(ISBLANK(P1584),"",IF(S1584=0,(365/0.5)*V1584,(365/S1584)*V1584))</f>
        <v/>
      </c>
      <c r="X1584" s="75" t="n"/>
      <c r="Y1584" s="77" t="n"/>
      <c r="Z1584" s="77" t="n"/>
      <c r="AA1584" s="75" t="n"/>
      <c r="AB1584" s="75" t="n"/>
      <c r="AC1584" s="6" t="n"/>
      <c r="AD1584" s="75" t="n"/>
      <c r="AE1584" s="75" t="n"/>
      <c r="AF1584" s="75" t="n"/>
    </row>
    <row r="1585" ht="15.75" customHeight="1" s="133">
      <c r="A1585" s="75" t="n"/>
      <c r="B1585" s="75" t="n"/>
      <c r="C1585" s="75" t="n"/>
      <c r="D1585" s="75" t="n"/>
      <c r="E1585" s="76" t="n"/>
      <c r="F1585" s="77" t="n"/>
      <c r="G1585" s="75" t="n"/>
      <c r="H1585" s="75">
        <f>IF(ISBLANK(E1585),"",IF(OR(D1585="Butterfly",D1585="Butterfly ",D1585="Iron Fly", D1585="Iron Fly "),LEN(E1585)-LEN(SUBSTITUTE(E1585,"/",""))+2,LEN(E1585)-LEN(SUBSTITUTE(E1585,"/",""))+1))</f>
        <v/>
      </c>
      <c r="I1585" s="78">
        <f>IF(ISBLANK(G1585),"",IF(D1585="Stock","0",Key!$A$3*H1585*G1585))</f>
        <v/>
      </c>
      <c r="J1585" s="78">
        <f>IF(ISBLANK(E1585),"",IF(ISNUMBER(SEARCH("/",E1585)), IF(LEN(E1585)-LEN(SUBSTITUTE(E1585,"/",""))=1,(RIGHT(E1585,LEN(E1585)-FIND("/",E1585)))-(LEFT(E1585,FIND("/",E1585)-1)),(MID(E1585, SEARCH("/",E1585) + 1, SEARCH("/",E1585, SEARCH("/",E1585)+1) - SEARCH("/",E1585) - 1))-(LEFT(E1585,FIND("/",E1585)-1))), "NA"))</f>
        <v/>
      </c>
      <c r="K1585" s="79">
        <f>IF(A1585&lt;&gt;"", IF(ISBLANK(L1585), TODAY(), K1585), "")</f>
        <v/>
      </c>
      <c r="L1585" s="78" t="n"/>
      <c r="M1585" s="78">
        <f>IF(ISBLANK(L1585),"",IF(D1585="Stock",IF(C1585="Buy",L1585*G1585,IF(C1585="Sell",(L1585*G1585)-I1585, X)),IF(C1585="Buy",(L1585*G1585*100)+I1585,IF(C1585="Sell",(L1585*G1585*100)-I1585, X))))</f>
        <v/>
      </c>
      <c r="N1585" s="78">
        <f>IF(ISBLANK(L1585),"",IF(AND(C1585="Sell",D1585="Stock"),M1585,IF(ISBLANK(L1585),"",IF(C1585="Buy",M1585, IF(AND(C1585="Sell",J1585="NA"),(E1585*G1585*100*0.1)+I1585, IF(C1585="Sell",(J1585-L1585)*(100*G1585)+I1585))))))</f>
        <v/>
      </c>
      <c r="O1585" s="75" t="n"/>
      <c r="P1585" s="75" t="n"/>
      <c r="Q1585" s="75">
        <f>IF(ISBLANK(P1585),"",IF(D1585="Stock",P1585*G1585,IF(P1585=0,"0",G1585*P1585*100-(G1585*$AF$14))))</f>
        <v/>
      </c>
      <c r="R1585" s="79">
        <f>IF(P1585&lt;&gt;"", TODAY(), "")</f>
        <v/>
      </c>
      <c r="S1585" s="78">
        <f>IF(AND(K1585&lt;&gt;"", R1585&lt;&gt;""), R1585-K1585, "")</f>
        <v/>
      </c>
      <c r="T1585" s="78" t="n"/>
      <c r="U1585" s="92">
        <f>IF(ISBLANK(P1585),"",IF(C1585="Buy",Q1585-M1585+T1585, IF(C1585="Sell",M1585-Q1585-T1585, X)))</f>
        <v/>
      </c>
      <c r="V1585" s="81">
        <f>IF(ISBLANK(P1585),"",U1585/N1585)</f>
        <v/>
      </c>
      <c r="W1585" s="81">
        <f>IF(ISBLANK(P1585),"",IF(S1585=0,(365/0.5)*V1585,(365/S1585)*V1585))</f>
        <v/>
      </c>
      <c r="X1585" s="75" t="n"/>
      <c r="Y1585" s="77" t="n"/>
      <c r="Z1585" s="77" t="n"/>
      <c r="AA1585" s="75" t="n"/>
      <c r="AB1585" s="75" t="n"/>
      <c r="AC1585" s="6" t="n"/>
      <c r="AD1585" s="75" t="n"/>
      <c r="AE1585" s="75" t="n"/>
      <c r="AF1585" s="75" t="n"/>
    </row>
    <row r="1586" ht="15.75" customHeight="1" s="133">
      <c r="A1586" s="75" t="n"/>
      <c r="B1586" s="75" t="n"/>
      <c r="C1586" s="75" t="n"/>
      <c r="D1586" s="75" t="n"/>
      <c r="E1586" s="76" t="n"/>
      <c r="F1586" s="77" t="n"/>
      <c r="G1586" s="75" t="n"/>
      <c r="H1586" s="75">
        <f>IF(ISBLANK(E1586),"",IF(OR(D1586="Butterfly",D1586="Butterfly ",D1586="Iron Fly", D1586="Iron Fly "),LEN(E1586)-LEN(SUBSTITUTE(E1586,"/",""))+2,LEN(E1586)-LEN(SUBSTITUTE(E1586,"/",""))+1))</f>
        <v/>
      </c>
      <c r="I1586" s="78">
        <f>IF(ISBLANK(G1586),"",IF(D1586="Stock","0",Key!$A$3*H1586*G1586))</f>
        <v/>
      </c>
      <c r="J1586" s="78">
        <f>IF(ISBLANK(E1586),"",IF(ISNUMBER(SEARCH("/",E1586)), IF(LEN(E1586)-LEN(SUBSTITUTE(E1586,"/",""))=1,(RIGHT(E1586,LEN(E1586)-FIND("/",E1586)))-(LEFT(E1586,FIND("/",E1586)-1)),(MID(E1586, SEARCH("/",E1586) + 1, SEARCH("/",E1586, SEARCH("/",E1586)+1) - SEARCH("/",E1586) - 1))-(LEFT(E1586,FIND("/",E1586)-1))), "NA"))</f>
        <v/>
      </c>
      <c r="K1586" s="79">
        <f>IF(A1586&lt;&gt;"", IF(ISBLANK(L1586), TODAY(), K1586), "")</f>
        <v/>
      </c>
      <c r="L1586" s="78" t="n"/>
      <c r="M1586" s="78">
        <f>IF(ISBLANK(L1586),"",IF(D1586="Stock",IF(C1586="Buy",L1586*G1586,IF(C1586="Sell",(L1586*G1586)-I1586, X)),IF(C1586="Buy",(L1586*G1586*100)+I1586,IF(C1586="Sell",(L1586*G1586*100)-I1586, X))))</f>
        <v/>
      </c>
      <c r="N1586" s="78">
        <f>IF(ISBLANK(L1586),"",IF(AND(C1586="Sell",D1586="Stock"),M1586,IF(ISBLANK(L1586),"",IF(C1586="Buy",M1586, IF(AND(C1586="Sell",J1586="NA"),(E1586*G1586*100*0.1)+I1586, IF(C1586="Sell",(J1586-L1586)*(100*G1586)+I1586))))))</f>
        <v/>
      </c>
      <c r="O1586" s="75" t="n"/>
      <c r="P1586" s="75" t="n"/>
      <c r="Q1586" s="75">
        <f>IF(ISBLANK(P1586),"",IF(D1586="Stock",P1586*G1586,IF(P1586=0,"0",G1586*P1586*100-(G1586*$AF$14))))</f>
        <v/>
      </c>
      <c r="R1586" s="79">
        <f>IF(P1586&lt;&gt;"", TODAY(), "")</f>
        <v/>
      </c>
      <c r="S1586" s="78">
        <f>IF(AND(K1586&lt;&gt;"", R1586&lt;&gt;""), R1586-K1586, "")</f>
        <v/>
      </c>
      <c r="T1586" s="78" t="n"/>
      <c r="U1586" s="92">
        <f>IF(ISBLANK(P1586),"",IF(C1586="Buy",Q1586-M1586+T1586, IF(C1586="Sell",M1586-Q1586-T1586, X)))</f>
        <v/>
      </c>
      <c r="V1586" s="81">
        <f>IF(ISBLANK(P1586),"",U1586/N1586)</f>
        <v/>
      </c>
      <c r="W1586" s="81">
        <f>IF(ISBLANK(P1586),"",IF(S1586=0,(365/0.5)*V1586,(365/S1586)*V1586))</f>
        <v/>
      </c>
      <c r="X1586" s="75" t="n"/>
      <c r="Y1586" s="77" t="n"/>
      <c r="Z1586" s="77" t="n"/>
      <c r="AA1586" s="75" t="n"/>
      <c r="AB1586" s="75" t="n"/>
      <c r="AC1586" s="6" t="n"/>
      <c r="AD1586" s="75" t="n"/>
      <c r="AE1586" s="75" t="n"/>
      <c r="AF1586" s="75" t="n"/>
    </row>
    <row r="1587" ht="15.75" customHeight="1" s="133">
      <c r="A1587" s="75" t="n"/>
      <c r="B1587" s="75" t="n"/>
      <c r="C1587" s="75" t="n"/>
      <c r="D1587" s="75" t="n"/>
      <c r="E1587" s="76" t="n"/>
      <c r="F1587" s="77" t="n"/>
      <c r="G1587" s="75" t="n"/>
      <c r="H1587" s="75">
        <f>IF(ISBLANK(E1587),"",IF(OR(D1587="Butterfly",D1587="Butterfly ",D1587="Iron Fly", D1587="Iron Fly "),LEN(E1587)-LEN(SUBSTITUTE(E1587,"/",""))+2,LEN(E1587)-LEN(SUBSTITUTE(E1587,"/",""))+1))</f>
        <v/>
      </c>
      <c r="I1587" s="78">
        <f>IF(ISBLANK(G1587),"",IF(D1587="Stock","0",Key!$A$3*H1587*G1587))</f>
        <v/>
      </c>
      <c r="J1587" s="78">
        <f>IF(ISBLANK(E1587),"",IF(ISNUMBER(SEARCH("/",E1587)), IF(LEN(E1587)-LEN(SUBSTITUTE(E1587,"/",""))=1,(RIGHT(E1587,LEN(E1587)-FIND("/",E1587)))-(LEFT(E1587,FIND("/",E1587)-1)),(MID(E1587, SEARCH("/",E1587) + 1, SEARCH("/",E1587, SEARCH("/",E1587)+1) - SEARCH("/",E1587) - 1))-(LEFT(E1587,FIND("/",E1587)-1))), "NA"))</f>
        <v/>
      </c>
      <c r="K1587" s="79">
        <f>IF(A1587&lt;&gt;"", IF(ISBLANK(L1587), TODAY(), K1587), "")</f>
        <v/>
      </c>
      <c r="L1587" s="78" t="n"/>
      <c r="M1587" s="78">
        <f>IF(ISBLANK(L1587),"",IF(D1587="Stock",IF(C1587="Buy",L1587*G1587,IF(C1587="Sell",(L1587*G1587)-I1587, X)),IF(C1587="Buy",(L1587*G1587*100)+I1587,IF(C1587="Sell",(L1587*G1587*100)-I1587, X))))</f>
        <v/>
      </c>
      <c r="N1587" s="78">
        <f>IF(ISBLANK(L1587),"",IF(AND(C1587="Sell",D1587="Stock"),M1587,IF(ISBLANK(L1587),"",IF(C1587="Buy",M1587, IF(AND(C1587="Sell",J1587="NA"),(E1587*G1587*100*0.1)+I1587, IF(C1587="Sell",(J1587-L1587)*(100*G1587)+I1587))))))</f>
        <v/>
      </c>
      <c r="O1587" s="75" t="n"/>
      <c r="P1587" s="75" t="n"/>
      <c r="Q1587" s="75">
        <f>IF(ISBLANK(P1587),"",IF(D1587="Stock",P1587*G1587,IF(P1587=0,"0",G1587*P1587*100-(G1587*$AF$14))))</f>
        <v/>
      </c>
      <c r="R1587" s="79">
        <f>IF(P1587&lt;&gt;"", TODAY(), "")</f>
        <v/>
      </c>
      <c r="S1587" s="78">
        <f>IF(AND(K1587&lt;&gt;"", R1587&lt;&gt;""), R1587-K1587, "")</f>
        <v/>
      </c>
      <c r="T1587" s="78" t="n"/>
      <c r="U1587" s="92">
        <f>IF(ISBLANK(P1587),"",IF(C1587="Buy",Q1587-M1587+T1587, IF(C1587="Sell",M1587-Q1587-T1587, X)))</f>
        <v/>
      </c>
      <c r="V1587" s="81">
        <f>IF(ISBLANK(P1587),"",U1587/N1587)</f>
        <v/>
      </c>
      <c r="W1587" s="81">
        <f>IF(ISBLANK(P1587),"",IF(S1587=0,(365/0.5)*V1587,(365/S1587)*V1587))</f>
        <v/>
      </c>
      <c r="X1587" s="75" t="n"/>
      <c r="Y1587" s="77" t="n"/>
      <c r="Z1587" s="77" t="n"/>
      <c r="AA1587" s="75" t="n"/>
      <c r="AB1587" s="75" t="n"/>
      <c r="AC1587" s="6" t="n"/>
      <c r="AD1587" s="75" t="n"/>
      <c r="AE1587" s="75" t="n"/>
      <c r="AF1587" s="75" t="n"/>
    </row>
    <row r="1588" ht="15.75" customHeight="1" s="133">
      <c r="A1588" s="75" t="n"/>
      <c r="B1588" s="75" t="n"/>
      <c r="C1588" s="75" t="n"/>
      <c r="D1588" s="75" t="n"/>
      <c r="E1588" s="76" t="n"/>
      <c r="F1588" s="77" t="n"/>
      <c r="G1588" s="75" t="n"/>
      <c r="H1588" s="75">
        <f>IF(ISBLANK(E1588),"",IF(OR(D1588="Butterfly",D1588="Butterfly ",D1588="Iron Fly", D1588="Iron Fly "),LEN(E1588)-LEN(SUBSTITUTE(E1588,"/",""))+2,LEN(E1588)-LEN(SUBSTITUTE(E1588,"/",""))+1))</f>
        <v/>
      </c>
      <c r="I1588" s="78">
        <f>IF(ISBLANK(G1588),"",IF(D1588="Stock","0",Key!$A$3*H1588*G1588))</f>
        <v/>
      </c>
      <c r="J1588" s="78">
        <f>IF(ISBLANK(E1588),"",IF(ISNUMBER(SEARCH("/",E1588)), IF(LEN(E1588)-LEN(SUBSTITUTE(E1588,"/",""))=1,(RIGHT(E1588,LEN(E1588)-FIND("/",E1588)))-(LEFT(E1588,FIND("/",E1588)-1)),(MID(E1588, SEARCH("/",E1588) + 1, SEARCH("/",E1588, SEARCH("/",E1588)+1) - SEARCH("/",E1588) - 1))-(LEFT(E1588,FIND("/",E1588)-1))), "NA"))</f>
        <v/>
      </c>
      <c r="K1588" s="79">
        <f>IF(A1588&lt;&gt;"", IF(ISBLANK(L1588), TODAY(), K1588), "")</f>
        <v/>
      </c>
      <c r="L1588" s="78" t="n"/>
      <c r="M1588" s="78">
        <f>IF(ISBLANK(L1588),"",IF(D1588="Stock",IF(C1588="Buy",L1588*G1588,IF(C1588="Sell",(L1588*G1588)-I1588, X)),IF(C1588="Buy",(L1588*G1588*100)+I1588,IF(C1588="Sell",(L1588*G1588*100)-I1588, X))))</f>
        <v/>
      </c>
      <c r="N1588" s="78">
        <f>IF(ISBLANK(L1588),"",IF(AND(C1588="Sell",D1588="Stock"),M1588,IF(ISBLANK(L1588),"",IF(C1588="Buy",M1588, IF(AND(C1588="Sell",J1588="NA"),(E1588*G1588*100*0.1)+I1588, IF(C1588="Sell",(J1588-L1588)*(100*G1588)+I1588))))))</f>
        <v/>
      </c>
      <c r="O1588" s="75" t="n"/>
      <c r="P1588" s="75" t="n"/>
      <c r="Q1588" s="75">
        <f>IF(ISBLANK(P1588),"",IF(D1588="Stock",P1588*G1588,IF(P1588=0,"0",G1588*P1588*100-(G1588*$AF$14))))</f>
        <v/>
      </c>
      <c r="R1588" s="79">
        <f>IF(P1588&lt;&gt;"", TODAY(), "")</f>
        <v/>
      </c>
      <c r="S1588" s="78">
        <f>IF(AND(K1588&lt;&gt;"", R1588&lt;&gt;""), R1588-K1588, "")</f>
        <v/>
      </c>
      <c r="T1588" s="78" t="n"/>
      <c r="U1588" s="92">
        <f>IF(ISBLANK(P1588),"",IF(C1588="Buy",Q1588-M1588+T1588, IF(C1588="Sell",M1588-Q1588-T1588, X)))</f>
        <v/>
      </c>
      <c r="V1588" s="81">
        <f>IF(ISBLANK(P1588),"",U1588/N1588)</f>
        <v/>
      </c>
      <c r="W1588" s="81">
        <f>IF(ISBLANK(P1588),"",IF(S1588=0,(365/0.5)*V1588,(365/S1588)*V1588))</f>
        <v/>
      </c>
      <c r="X1588" s="75" t="n"/>
      <c r="Y1588" s="77" t="n"/>
      <c r="Z1588" s="77" t="n"/>
      <c r="AA1588" s="75" t="n"/>
      <c r="AB1588" s="75" t="n"/>
      <c r="AC1588" s="6" t="n"/>
      <c r="AD1588" s="75" t="n"/>
      <c r="AE1588" s="75" t="n"/>
      <c r="AF1588" s="75" t="n"/>
    </row>
    <row r="1589" ht="15.75" customHeight="1" s="133">
      <c r="A1589" s="75" t="n"/>
      <c r="B1589" s="75" t="n"/>
      <c r="C1589" s="75" t="n"/>
      <c r="D1589" s="75" t="n"/>
      <c r="E1589" s="76" t="n"/>
      <c r="F1589" s="77" t="n"/>
      <c r="G1589" s="75" t="n"/>
      <c r="H1589" s="75">
        <f>IF(ISBLANK(E1589),"",IF(OR(D1589="Butterfly",D1589="Butterfly ",D1589="Iron Fly", D1589="Iron Fly "),LEN(E1589)-LEN(SUBSTITUTE(E1589,"/",""))+2,LEN(E1589)-LEN(SUBSTITUTE(E1589,"/",""))+1))</f>
        <v/>
      </c>
      <c r="I1589" s="78">
        <f>IF(ISBLANK(G1589),"",IF(D1589="Stock","0",Key!$A$3*H1589*G1589))</f>
        <v/>
      </c>
      <c r="J1589" s="78">
        <f>IF(ISBLANK(E1589),"",IF(ISNUMBER(SEARCH("/",E1589)), IF(LEN(E1589)-LEN(SUBSTITUTE(E1589,"/",""))=1,(RIGHT(E1589,LEN(E1589)-FIND("/",E1589)))-(LEFT(E1589,FIND("/",E1589)-1)),(MID(E1589, SEARCH("/",E1589) + 1, SEARCH("/",E1589, SEARCH("/",E1589)+1) - SEARCH("/",E1589) - 1))-(LEFT(E1589,FIND("/",E1589)-1))), "NA"))</f>
        <v/>
      </c>
      <c r="K1589" s="79">
        <f>IF(A1589&lt;&gt;"", IF(ISBLANK(L1589), TODAY(), K1589), "")</f>
        <v/>
      </c>
      <c r="L1589" s="78" t="n"/>
      <c r="M1589" s="78">
        <f>IF(ISBLANK(L1589),"",IF(D1589="Stock",IF(C1589="Buy",L1589*G1589,IF(C1589="Sell",(L1589*G1589)-I1589, X)),IF(C1589="Buy",(L1589*G1589*100)+I1589,IF(C1589="Sell",(L1589*G1589*100)-I1589, X))))</f>
        <v/>
      </c>
      <c r="N1589" s="78">
        <f>IF(ISBLANK(L1589),"",IF(AND(C1589="Sell",D1589="Stock"),M1589,IF(ISBLANK(L1589),"",IF(C1589="Buy",M1589, IF(AND(C1589="Sell",J1589="NA"),(E1589*G1589*100*0.1)+I1589, IF(C1589="Sell",(J1589-L1589)*(100*G1589)+I1589))))))</f>
        <v/>
      </c>
      <c r="O1589" s="75" t="n"/>
      <c r="P1589" s="75" t="n"/>
      <c r="Q1589" s="75">
        <f>IF(ISBLANK(P1589),"",IF(D1589="Stock",P1589*G1589,IF(P1589=0,"0",G1589*P1589*100-(G1589*$AF$14))))</f>
        <v/>
      </c>
      <c r="R1589" s="79">
        <f>IF(P1589&lt;&gt;"", TODAY(), "")</f>
        <v/>
      </c>
      <c r="S1589" s="78">
        <f>IF(AND(K1589&lt;&gt;"", R1589&lt;&gt;""), R1589-K1589, "")</f>
        <v/>
      </c>
      <c r="T1589" s="78" t="n"/>
      <c r="U1589" s="92">
        <f>IF(ISBLANK(P1589),"",IF(C1589="Buy",Q1589-M1589+T1589, IF(C1589="Sell",M1589-Q1589-T1589, X)))</f>
        <v/>
      </c>
      <c r="V1589" s="81">
        <f>IF(ISBLANK(P1589),"",U1589/N1589)</f>
        <v/>
      </c>
      <c r="W1589" s="81">
        <f>IF(ISBLANK(P1589),"",IF(S1589=0,(365/0.5)*V1589,(365/S1589)*V1589))</f>
        <v/>
      </c>
      <c r="X1589" s="75" t="n"/>
      <c r="Y1589" s="77" t="n"/>
      <c r="Z1589" s="77" t="n"/>
      <c r="AA1589" s="75" t="n"/>
      <c r="AB1589" s="75" t="n"/>
      <c r="AC1589" s="6" t="n"/>
      <c r="AD1589" s="75" t="n"/>
      <c r="AE1589" s="75" t="n"/>
      <c r="AF1589" s="75" t="n"/>
    </row>
    <row r="1590" ht="15.75" customHeight="1" s="133">
      <c r="A1590" s="75" t="n"/>
      <c r="B1590" s="75" t="n"/>
      <c r="C1590" s="75" t="n"/>
      <c r="D1590" s="75" t="n"/>
      <c r="E1590" s="76" t="n"/>
      <c r="F1590" s="77" t="n"/>
      <c r="G1590" s="75" t="n"/>
      <c r="H1590" s="75">
        <f>IF(ISBLANK(E1590),"",IF(OR(D1590="Butterfly",D1590="Butterfly ",D1590="Iron Fly", D1590="Iron Fly "),LEN(E1590)-LEN(SUBSTITUTE(E1590,"/",""))+2,LEN(E1590)-LEN(SUBSTITUTE(E1590,"/",""))+1))</f>
        <v/>
      </c>
      <c r="I1590" s="78">
        <f>IF(ISBLANK(G1590),"",IF(D1590="Stock","0",Key!$A$3*H1590*G1590))</f>
        <v/>
      </c>
      <c r="J1590" s="78">
        <f>IF(ISBLANK(E1590),"",IF(ISNUMBER(SEARCH("/",E1590)), IF(LEN(E1590)-LEN(SUBSTITUTE(E1590,"/",""))=1,(RIGHT(E1590,LEN(E1590)-FIND("/",E1590)))-(LEFT(E1590,FIND("/",E1590)-1)),(MID(E1590, SEARCH("/",E1590) + 1, SEARCH("/",E1590, SEARCH("/",E1590)+1) - SEARCH("/",E1590) - 1))-(LEFT(E1590,FIND("/",E1590)-1))), "NA"))</f>
        <v/>
      </c>
      <c r="K1590" s="79">
        <f>IF(A1590&lt;&gt;"", IF(ISBLANK(L1590), TODAY(), K1590), "")</f>
        <v/>
      </c>
      <c r="L1590" s="78" t="n"/>
      <c r="M1590" s="78">
        <f>IF(ISBLANK(L1590),"",IF(D1590="Stock",IF(C1590="Buy",L1590*G1590,IF(C1590="Sell",(L1590*G1590)-I1590, X)),IF(C1590="Buy",(L1590*G1590*100)+I1590,IF(C1590="Sell",(L1590*G1590*100)-I1590, X))))</f>
        <v/>
      </c>
      <c r="N1590" s="78">
        <f>IF(ISBLANK(L1590),"",IF(AND(C1590="Sell",D1590="Stock"),M1590,IF(ISBLANK(L1590),"",IF(C1590="Buy",M1590, IF(AND(C1590="Sell",J1590="NA"),(E1590*G1590*100*0.1)+I1590, IF(C1590="Sell",(J1590-L1590)*(100*G1590)+I1590))))))</f>
        <v/>
      </c>
      <c r="O1590" s="75" t="n"/>
      <c r="P1590" s="75" t="n"/>
      <c r="Q1590" s="75">
        <f>IF(ISBLANK(P1590),"",IF(D1590="Stock",P1590*G1590,IF(P1590=0,"0",G1590*P1590*100-(G1590*$AF$14))))</f>
        <v/>
      </c>
      <c r="R1590" s="79">
        <f>IF(P1590&lt;&gt;"", TODAY(), "")</f>
        <v/>
      </c>
      <c r="S1590" s="78">
        <f>IF(AND(K1590&lt;&gt;"", R1590&lt;&gt;""), R1590-K1590, "")</f>
        <v/>
      </c>
      <c r="T1590" s="78" t="n"/>
      <c r="U1590" s="92">
        <f>IF(ISBLANK(P1590),"",IF(C1590="Buy",Q1590-M1590+T1590, IF(C1590="Sell",M1590-Q1590-T1590, X)))</f>
        <v/>
      </c>
      <c r="V1590" s="81">
        <f>IF(ISBLANK(P1590),"",U1590/N1590)</f>
        <v/>
      </c>
      <c r="W1590" s="81">
        <f>IF(ISBLANK(P1590),"",IF(S1590=0,(365/0.5)*V1590,(365/S1590)*V1590))</f>
        <v/>
      </c>
      <c r="X1590" s="75" t="n"/>
      <c r="Y1590" s="77" t="n"/>
      <c r="Z1590" s="77" t="n"/>
      <c r="AA1590" s="75" t="n"/>
      <c r="AB1590" s="75" t="n"/>
      <c r="AC1590" s="6" t="n"/>
      <c r="AD1590" s="75" t="n"/>
      <c r="AE1590" s="75" t="n"/>
      <c r="AF1590" s="75" t="n"/>
    </row>
    <row r="1591" ht="15.75" customHeight="1" s="133">
      <c r="A1591" s="75" t="n"/>
      <c r="B1591" s="75" t="n"/>
      <c r="C1591" s="75" t="n"/>
      <c r="D1591" s="75" t="n"/>
      <c r="E1591" s="76" t="n"/>
      <c r="F1591" s="77" t="n"/>
      <c r="G1591" s="75" t="n"/>
      <c r="H1591" s="75">
        <f>IF(ISBLANK(E1591),"",IF(OR(D1591="Butterfly",D1591="Butterfly ",D1591="Iron Fly", D1591="Iron Fly "),LEN(E1591)-LEN(SUBSTITUTE(E1591,"/",""))+2,LEN(E1591)-LEN(SUBSTITUTE(E1591,"/",""))+1))</f>
        <v/>
      </c>
      <c r="I1591" s="78">
        <f>IF(ISBLANK(G1591),"",IF(D1591="Stock","0",Key!$A$3*H1591*G1591))</f>
        <v/>
      </c>
      <c r="J1591" s="78">
        <f>IF(ISBLANK(E1591),"",IF(ISNUMBER(SEARCH("/",E1591)), IF(LEN(E1591)-LEN(SUBSTITUTE(E1591,"/",""))=1,(RIGHT(E1591,LEN(E1591)-FIND("/",E1591)))-(LEFT(E1591,FIND("/",E1591)-1)),(MID(E1591, SEARCH("/",E1591) + 1, SEARCH("/",E1591, SEARCH("/",E1591)+1) - SEARCH("/",E1591) - 1))-(LEFT(E1591,FIND("/",E1591)-1))), "NA"))</f>
        <v/>
      </c>
      <c r="K1591" s="79">
        <f>IF(A1591&lt;&gt;"", IF(ISBLANK(L1591), TODAY(), K1591), "")</f>
        <v/>
      </c>
      <c r="L1591" s="78" t="n"/>
      <c r="M1591" s="78">
        <f>IF(ISBLANK(L1591),"",IF(D1591="Stock",IF(C1591="Buy",L1591*G1591,IF(C1591="Sell",(L1591*G1591)-I1591, X)),IF(C1591="Buy",(L1591*G1591*100)+I1591,IF(C1591="Sell",(L1591*G1591*100)-I1591, X))))</f>
        <v/>
      </c>
      <c r="N1591" s="78">
        <f>IF(ISBLANK(L1591),"",IF(AND(C1591="Sell",D1591="Stock"),M1591,IF(ISBLANK(L1591),"",IF(C1591="Buy",M1591, IF(AND(C1591="Sell",J1591="NA"),(E1591*G1591*100*0.1)+I1591, IF(C1591="Sell",(J1591-L1591)*(100*G1591)+I1591))))))</f>
        <v/>
      </c>
      <c r="O1591" s="75" t="n"/>
      <c r="P1591" s="75" t="n"/>
      <c r="Q1591" s="75">
        <f>IF(ISBLANK(P1591),"",IF(D1591="Stock",P1591*G1591,IF(P1591=0,"0",G1591*P1591*100-(G1591*$AF$14))))</f>
        <v/>
      </c>
      <c r="R1591" s="79">
        <f>IF(P1591&lt;&gt;"", TODAY(), "")</f>
        <v/>
      </c>
      <c r="S1591" s="78">
        <f>IF(AND(K1591&lt;&gt;"", R1591&lt;&gt;""), R1591-K1591, "")</f>
        <v/>
      </c>
      <c r="T1591" s="78" t="n"/>
      <c r="U1591" s="92">
        <f>IF(ISBLANK(P1591),"",IF(C1591="Buy",Q1591-M1591+T1591, IF(C1591="Sell",M1591-Q1591-T1591, X)))</f>
        <v/>
      </c>
      <c r="V1591" s="81">
        <f>IF(ISBLANK(P1591),"",U1591/N1591)</f>
        <v/>
      </c>
      <c r="W1591" s="81">
        <f>IF(ISBLANK(P1591),"",IF(S1591=0,(365/0.5)*V1591,(365/S1591)*V1591))</f>
        <v/>
      </c>
      <c r="X1591" s="75" t="n"/>
      <c r="Y1591" s="77" t="n"/>
      <c r="Z1591" s="77" t="n"/>
      <c r="AA1591" s="75" t="n"/>
      <c r="AB1591" s="75" t="n"/>
      <c r="AC1591" s="6" t="n"/>
      <c r="AD1591" s="75" t="n"/>
      <c r="AE1591" s="75" t="n"/>
      <c r="AF1591" s="75" t="n"/>
    </row>
    <row r="1592" ht="15.75" customHeight="1" s="133">
      <c r="A1592" s="75" t="n"/>
      <c r="B1592" s="75" t="n"/>
      <c r="C1592" s="75" t="n"/>
      <c r="D1592" s="75" t="n"/>
      <c r="E1592" s="76" t="n"/>
      <c r="F1592" s="77" t="n"/>
      <c r="G1592" s="75" t="n"/>
      <c r="H1592" s="75">
        <f>IF(ISBLANK(E1592),"",IF(OR(D1592="Butterfly",D1592="Butterfly ",D1592="Iron Fly", D1592="Iron Fly "),LEN(E1592)-LEN(SUBSTITUTE(E1592,"/",""))+2,LEN(E1592)-LEN(SUBSTITUTE(E1592,"/",""))+1))</f>
        <v/>
      </c>
      <c r="I1592" s="78">
        <f>IF(ISBLANK(G1592),"",IF(D1592="Stock","0",Key!$A$3*H1592*G1592))</f>
        <v/>
      </c>
      <c r="J1592" s="78">
        <f>IF(ISBLANK(E1592),"",IF(ISNUMBER(SEARCH("/",E1592)), IF(LEN(E1592)-LEN(SUBSTITUTE(E1592,"/",""))=1,(RIGHT(E1592,LEN(E1592)-FIND("/",E1592)))-(LEFT(E1592,FIND("/",E1592)-1)),(MID(E1592, SEARCH("/",E1592) + 1, SEARCH("/",E1592, SEARCH("/",E1592)+1) - SEARCH("/",E1592) - 1))-(LEFT(E1592,FIND("/",E1592)-1))), "NA"))</f>
        <v/>
      </c>
      <c r="K1592" s="79">
        <f>IF(A1592&lt;&gt;"", IF(ISBLANK(L1592), TODAY(), K1592), "")</f>
        <v/>
      </c>
      <c r="L1592" s="78" t="n"/>
      <c r="M1592" s="78">
        <f>IF(ISBLANK(L1592),"",IF(D1592="Stock",IF(C1592="Buy",L1592*G1592,IF(C1592="Sell",(L1592*G1592)-I1592, X)),IF(C1592="Buy",(L1592*G1592*100)+I1592,IF(C1592="Sell",(L1592*G1592*100)-I1592, X))))</f>
        <v/>
      </c>
      <c r="N1592" s="78">
        <f>IF(ISBLANK(L1592),"",IF(AND(C1592="Sell",D1592="Stock"),M1592,IF(ISBLANK(L1592),"",IF(C1592="Buy",M1592, IF(AND(C1592="Sell",J1592="NA"),(E1592*G1592*100*0.1)+I1592, IF(C1592="Sell",(J1592-L1592)*(100*G1592)+I1592))))))</f>
        <v/>
      </c>
      <c r="O1592" s="75" t="n"/>
      <c r="P1592" s="75" t="n"/>
      <c r="Q1592" s="75">
        <f>IF(ISBLANK(P1592),"",IF(D1592="Stock",P1592*G1592,IF(P1592=0,"0",G1592*P1592*100-(G1592*$AF$14))))</f>
        <v/>
      </c>
      <c r="R1592" s="79">
        <f>IF(P1592&lt;&gt;"", TODAY(), "")</f>
        <v/>
      </c>
      <c r="S1592" s="78">
        <f>IF(AND(K1592&lt;&gt;"", R1592&lt;&gt;""), R1592-K1592, "")</f>
        <v/>
      </c>
      <c r="T1592" s="78" t="n"/>
      <c r="U1592" s="92">
        <f>IF(ISBLANK(P1592),"",IF(C1592="Buy",Q1592-M1592+T1592, IF(C1592="Sell",M1592-Q1592-T1592, X)))</f>
        <v/>
      </c>
      <c r="V1592" s="81">
        <f>IF(ISBLANK(P1592),"",U1592/N1592)</f>
        <v/>
      </c>
      <c r="W1592" s="81">
        <f>IF(ISBLANK(P1592),"",IF(S1592=0,(365/0.5)*V1592,(365/S1592)*V1592))</f>
        <v/>
      </c>
      <c r="X1592" s="75" t="n"/>
      <c r="Y1592" s="77" t="n"/>
      <c r="Z1592" s="77" t="n"/>
      <c r="AA1592" s="75" t="n"/>
      <c r="AB1592" s="75" t="n"/>
      <c r="AC1592" s="6" t="n"/>
      <c r="AD1592" s="75" t="n"/>
      <c r="AE1592" s="75" t="n"/>
      <c r="AF1592" s="75" t="n"/>
    </row>
    <row r="1593" ht="15.75" customHeight="1" s="133">
      <c r="A1593" s="75" t="n"/>
      <c r="B1593" s="75" t="n"/>
      <c r="C1593" s="75" t="n"/>
      <c r="D1593" s="75" t="n"/>
      <c r="E1593" s="76" t="n"/>
      <c r="F1593" s="77" t="n"/>
      <c r="G1593" s="75" t="n"/>
      <c r="H1593" s="75">
        <f>IF(ISBLANK(E1593),"",IF(OR(D1593="Butterfly",D1593="Butterfly ",D1593="Iron Fly", D1593="Iron Fly "),LEN(E1593)-LEN(SUBSTITUTE(E1593,"/",""))+2,LEN(E1593)-LEN(SUBSTITUTE(E1593,"/",""))+1))</f>
        <v/>
      </c>
      <c r="I1593" s="78">
        <f>IF(ISBLANK(G1593),"",IF(D1593="Stock","0",Key!$A$3*H1593*G1593))</f>
        <v/>
      </c>
      <c r="J1593" s="78">
        <f>IF(ISBLANK(E1593),"",IF(ISNUMBER(SEARCH("/",E1593)), IF(LEN(E1593)-LEN(SUBSTITUTE(E1593,"/",""))=1,(RIGHT(E1593,LEN(E1593)-FIND("/",E1593)))-(LEFT(E1593,FIND("/",E1593)-1)),(MID(E1593, SEARCH("/",E1593) + 1, SEARCH("/",E1593, SEARCH("/",E1593)+1) - SEARCH("/",E1593) - 1))-(LEFT(E1593,FIND("/",E1593)-1))), "NA"))</f>
        <v/>
      </c>
      <c r="K1593" s="79">
        <f>IF(A1593&lt;&gt;"", IF(ISBLANK(L1593), TODAY(), K1593), "")</f>
        <v/>
      </c>
      <c r="L1593" s="78" t="n"/>
      <c r="M1593" s="78">
        <f>IF(ISBLANK(L1593),"",IF(D1593="Stock",IF(C1593="Buy",L1593*G1593,IF(C1593="Sell",(L1593*G1593)-I1593, X)),IF(C1593="Buy",(L1593*G1593*100)+I1593,IF(C1593="Sell",(L1593*G1593*100)-I1593, X))))</f>
        <v/>
      </c>
      <c r="N1593" s="78">
        <f>IF(ISBLANK(L1593),"",IF(AND(C1593="Sell",D1593="Stock"),M1593,IF(ISBLANK(L1593),"",IF(C1593="Buy",M1593, IF(AND(C1593="Sell",J1593="NA"),(E1593*G1593*100*0.1)+I1593, IF(C1593="Sell",(J1593-L1593)*(100*G1593)+I1593))))))</f>
        <v/>
      </c>
      <c r="O1593" s="75" t="n"/>
      <c r="P1593" s="75" t="n"/>
      <c r="Q1593" s="75">
        <f>IF(ISBLANK(P1593),"",IF(D1593="Stock",P1593*G1593,IF(P1593=0,"0",G1593*P1593*100-(G1593*$AF$14))))</f>
        <v/>
      </c>
      <c r="R1593" s="79">
        <f>IF(P1593&lt;&gt;"", TODAY(), "")</f>
        <v/>
      </c>
      <c r="S1593" s="78">
        <f>IF(AND(K1593&lt;&gt;"", R1593&lt;&gt;""), R1593-K1593, "")</f>
        <v/>
      </c>
      <c r="T1593" s="78" t="n"/>
      <c r="U1593" s="92">
        <f>IF(ISBLANK(P1593),"",IF(C1593="Buy",Q1593-M1593+T1593, IF(C1593="Sell",M1593-Q1593-T1593, X)))</f>
        <v/>
      </c>
      <c r="V1593" s="81">
        <f>IF(ISBLANK(P1593),"",U1593/N1593)</f>
        <v/>
      </c>
      <c r="W1593" s="81">
        <f>IF(ISBLANK(P1593),"",IF(S1593=0,(365/0.5)*V1593,(365/S1593)*V1593))</f>
        <v/>
      </c>
      <c r="X1593" s="75" t="n"/>
      <c r="Y1593" s="77" t="n"/>
      <c r="Z1593" s="77" t="n"/>
      <c r="AA1593" s="75" t="n"/>
      <c r="AB1593" s="75" t="n"/>
      <c r="AC1593" s="6" t="n"/>
      <c r="AD1593" s="75" t="n"/>
      <c r="AE1593" s="75" t="n"/>
      <c r="AF1593" s="75" t="n"/>
    </row>
    <row r="1594" ht="15.75" customHeight="1" s="133">
      <c r="A1594" s="75" t="n"/>
      <c r="B1594" s="75" t="n"/>
      <c r="C1594" s="75" t="n"/>
      <c r="D1594" s="75" t="n"/>
      <c r="E1594" s="76" t="n"/>
      <c r="F1594" s="77" t="n"/>
      <c r="G1594" s="75" t="n"/>
      <c r="H1594" s="75">
        <f>IF(ISBLANK(E1594),"",IF(OR(D1594="Butterfly",D1594="Butterfly ",D1594="Iron Fly", D1594="Iron Fly "),LEN(E1594)-LEN(SUBSTITUTE(E1594,"/",""))+2,LEN(E1594)-LEN(SUBSTITUTE(E1594,"/",""))+1))</f>
        <v/>
      </c>
      <c r="I1594" s="78">
        <f>IF(ISBLANK(G1594),"",IF(D1594="Stock","0",Key!$A$3*H1594*G1594))</f>
        <v/>
      </c>
      <c r="J1594" s="78">
        <f>IF(ISBLANK(E1594),"",IF(ISNUMBER(SEARCH("/",E1594)), IF(LEN(E1594)-LEN(SUBSTITUTE(E1594,"/",""))=1,(RIGHT(E1594,LEN(E1594)-FIND("/",E1594)))-(LEFT(E1594,FIND("/",E1594)-1)),(MID(E1594, SEARCH("/",E1594) + 1, SEARCH("/",E1594, SEARCH("/",E1594)+1) - SEARCH("/",E1594) - 1))-(LEFT(E1594,FIND("/",E1594)-1))), "NA"))</f>
        <v/>
      </c>
      <c r="K1594" s="79">
        <f>IF(A1594&lt;&gt;"", IF(ISBLANK(L1594), TODAY(), K1594), "")</f>
        <v/>
      </c>
      <c r="L1594" s="78" t="n"/>
      <c r="M1594" s="78">
        <f>IF(ISBLANK(L1594),"",IF(D1594="Stock",IF(C1594="Buy",L1594*G1594,IF(C1594="Sell",(L1594*G1594)-I1594, X)),IF(C1594="Buy",(L1594*G1594*100)+I1594,IF(C1594="Sell",(L1594*G1594*100)-I1594, X))))</f>
        <v/>
      </c>
      <c r="N1594" s="78">
        <f>IF(ISBLANK(L1594),"",IF(AND(C1594="Sell",D1594="Stock"),M1594,IF(ISBLANK(L1594),"",IF(C1594="Buy",M1594, IF(AND(C1594="Sell",J1594="NA"),(E1594*G1594*100*0.1)+I1594, IF(C1594="Sell",(J1594-L1594)*(100*G1594)+I1594))))))</f>
        <v/>
      </c>
      <c r="O1594" s="75" t="n"/>
      <c r="P1594" s="75" t="n"/>
      <c r="Q1594" s="75">
        <f>IF(ISBLANK(P1594),"",IF(D1594="Stock",P1594*G1594,IF(P1594=0,"0",G1594*P1594*100-(G1594*$AF$14))))</f>
        <v/>
      </c>
      <c r="R1594" s="79">
        <f>IF(P1594&lt;&gt;"", TODAY(), "")</f>
        <v/>
      </c>
      <c r="S1594" s="78">
        <f>IF(AND(K1594&lt;&gt;"", R1594&lt;&gt;""), R1594-K1594, "")</f>
        <v/>
      </c>
      <c r="T1594" s="78" t="n"/>
      <c r="U1594" s="92">
        <f>IF(ISBLANK(P1594),"",IF(C1594="Buy",Q1594-M1594+T1594, IF(C1594="Sell",M1594-Q1594-T1594, X)))</f>
        <v/>
      </c>
      <c r="V1594" s="81">
        <f>IF(ISBLANK(P1594),"",U1594/N1594)</f>
        <v/>
      </c>
      <c r="W1594" s="81">
        <f>IF(ISBLANK(P1594),"",IF(S1594=0,(365/0.5)*V1594,(365/S1594)*V1594))</f>
        <v/>
      </c>
      <c r="X1594" s="75" t="n"/>
      <c r="Y1594" s="77" t="n"/>
      <c r="Z1594" s="77" t="n"/>
      <c r="AA1594" s="75" t="n"/>
      <c r="AB1594" s="75" t="n"/>
      <c r="AC1594" s="6" t="n"/>
      <c r="AD1594" s="75" t="n"/>
      <c r="AE1594" s="75" t="n"/>
      <c r="AF1594" s="75" t="n"/>
    </row>
    <row r="1595" ht="15.75" customHeight="1" s="133">
      <c r="A1595" s="75" t="n"/>
      <c r="B1595" s="75" t="n"/>
      <c r="C1595" s="75" t="n"/>
      <c r="D1595" s="75" t="n"/>
      <c r="E1595" s="76" t="n"/>
      <c r="F1595" s="77" t="n"/>
      <c r="G1595" s="75" t="n"/>
      <c r="H1595" s="75">
        <f>IF(ISBLANK(E1595),"",IF(OR(D1595="Butterfly",D1595="Butterfly ",D1595="Iron Fly", D1595="Iron Fly "),LEN(E1595)-LEN(SUBSTITUTE(E1595,"/",""))+2,LEN(E1595)-LEN(SUBSTITUTE(E1595,"/",""))+1))</f>
        <v/>
      </c>
      <c r="I1595" s="78">
        <f>IF(ISBLANK(G1595),"",IF(D1595="Stock","0",Key!$A$3*H1595*G1595))</f>
        <v/>
      </c>
      <c r="J1595" s="78">
        <f>IF(ISBLANK(E1595),"",IF(ISNUMBER(SEARCH("/",E1595)), IF(LEN(E1595)-LEN(SUBSTITUTE(E1595,"/",""))=1,(RIGHT(E1595,LEN(E1595)-FIND("/",E1595)))-(LEFT(E1595,FIND("/",E1595)-1)),(MID(E1595, SEARCH("/",E1595) + 1, SEARCH("/",E1595, SEARCH("/",E1595)+1) - SEARCH("/",E1595) - 1))-(LEFT(E1595,FIND("/",E1595)-1))), "NA"))</f>
        <v/>
      </c>
      <c r="K1595" s="79">
        <f>IF(A1595&lt;&gt;"", IF(ISBLANK(L1595), TODAY(), K1595), "")</f>
        <v/>
      </c>
      <c r="L1595" s="78" t="n"/>
      <c r="M1595" s="78">
        <f>IF(ISBLANK(L1595),"",IF(D1595="Stock",IF(C1595="Buy",L1595*G1595,IF(C1595="Sell",(L1595*G1595)-I1595, X)),IF(C1595="Buy",(L1595*G1595*100)+I1595,IF(C1595="Sell",(L1595*G1595*100)-I1595, X))))</f>
        <v/>
      </c>
      <c r="N1595" s="78">
        <f>IF(ISBLANK(L1595),"",IF(AND(C1595="Sell",D1595="Stock"),M1595,IF(ISBLANK(L1595),"",IF(C1595="Buy",M1595, IF(AND(C1595="Sell",J1595="NA"),(E1595*G1595*100*0.1)+I1595, IF(C1595="Sell",(J1595-L1595)*(100*G1595)+I1595))))))</f>
        <v/>
      </c>
      <c r="O1595" s="75" t="n"/>
      <c r="P1595" s="75" t="n"/>
      <c r="Q1595" s="75">
        <f>IF(ISBLANK(P1595),"",IF(D1595="Stock",P1595*G1595,IF(P1595=0,"0",G1595*P1595*100-(G1595*$AF$14))))</f>
        <v/>
      </c>
      <c r="R1595" s="79">
        <f>IF(P1595&lt;&gt;"", TODAY(), "")</f>
        <v/>
      </c>
      <c r="S1595" s="78">
        <f>IF(AND(K1595&lt;&gt;"", R1595&lt;&gt;""), R1595-K1595, "")</f>
        <v/>
      </c>
      <c r="T1595" s="78" t="n"/>
      <c r="U1595" s="92">
        <f>IF(ISBLANK(P1595),"",IF(C1595="Buy",Q1595-M1595+T1595, IF(C1595="Sell",M1595-Q1595-T1595, X)))</f>
        <v/>
      </c>
      <c r="V1595" s="81">
        <f>IF(ISBLANK(P1595),"",U1595/N1595)</f>
        <v/>
      </c>
      <c r="W1595" s="81">
        <f>IF(ISBLANK(P1595),"",IF(S1595=0,(365/0.5)*V1595,(365/S1595)*V1595))</f>
        <v/>
      </c>
      <c r="X1595" s="75" t="n"/>
      <c r="Y1595" s="77" t="n"/>
      <c r="Z1595" s="77" t="n"/>
      <c r="AA1595" s="75" t="n"/>
      <c r="AB1595" s="75" t="n"/>
      <c r="AC1595" s="6" t="n"/>
      <c r="AD1595" s="75" t="n"/>
      <c r="AE1595" s="75" t="n"/>
      <c r="AF1595" s="75" t="n"/>
    </row>
    <row r="1596" ht="15.75" customHeight="1" s="133">
      <c r="A1596" s="75" t="n"/>
      <c r="B1596" s="75" t="n"/>
      <c r="C1596" s="75" t="n"/>
      <c r="D1596" s="75" t="n"/>
      <c r="E1596" s="76" t="n"/>
      <c r="F1596" s="77" t="n"/>
      <c r="G1596" s="75" t="n"/>
      <c r="H1596" s="75">
        <f>IF(ISBLANK(E1596),"",IF(OR(D1596="Butterfly",D1596="Butterfly ",D1596="Iron Fly", D1596="Iron Fly "),LEN(E1596)-LEN(SUBSTITUTE(E1596,"/",""))+2,LEN(E1596)-LEN(SUBSTITUTE(E1596,"/",""))+1))</f>
        <v/>
      </c>
      <c r="I1596" s="78">
        <f>IF(ISBLANK(G1596),"",IF(D1596="Stock","0",Key!$A$3*H1596*G1596))</f>
        <v/>
      </c>
      <c r="J1596" s="78">
        <f>IF(ISBLANK(E1596),"",IF(ISNUMBER(SEARCH("/",E1596)), IF(LEN(E1596)-LEN(SUBSTITUTE(E1596,"/",""))=1,(RIGHT(E1596,LEN(E1596)-FIND("/",E1596)))-(LEFT(E1596,FIND("/",E1596)-1)),(MID(E1596, SEARCH("/",E1596) + 1, SEARCH("/",E1596, SEARCH("/",E1596)+1) - SEARCH("/",E1596) - 1))-(LEFT(E1596,FIND("/",E1596)-1))), "NA"))</f>
        <v/>
      </c>
      <c r="K1596" s="79">
        <f>IF(A1596&lt;&gt;"", IF(ISBLANK(L1596), TODAY(), K1596), "")</f>
        <v/>
      </c>
      <c r="L1596" s="78" t="n"/>
      <c r="M1596" s="78">
        <f>IF(ISBLANK(L1596),"",IF(D1596="Stock",IF(C1596="Buy",L1596*G1596,IF(C1596="Sell",(L1596*G1596)-I1596, X)),IF(C1596="Buy",(L1596*G1596*100)+I1596,IF(C1596="Sell",(L1596*G1596*100)-I1596, X))))</f>
        <v/>
      </c>
      <c r="N1596" s="78">
        <f>IF(ISBLANK(L1596),"",IF(AND(C1596="Sell",D1596="Stock"),M1596,IF(ISBLANK(L1596),"",IF(C1596="Buy",M1596, IF(AND(C1596="Sell",J1596="NA"),(E1596*G1596*100*0.1)+I1596, IF(C1596="Sell",(J1596-L1596)*(100*G1596)+I1596))))))</f>
        <v/>
      </c>
      <c r="O1596" s="75" t="n"/>
      <c r="P1596" s="75" t="n"/>
      <c r="Q1596" s="75">
        <f>IF(ISBLANK(P1596),"",IF(D1596="Stock",P1596*G1596,IF(P1596=0,"0",G1596*P1596*100-(G1596*$AF$14))))</f>
        <v/>
      </c>
      <c r="R1596" s="79">
        <f>IF(P1596&lt;&gt;"", TODAY(), "")</f>
        <v/>
      </c>
      <c r="S1596" s="78">
        <f>IF(AND(K1596&lt;&gt;"", R1596&lt;&gt;""), R1596-K1596, "")</f>
        <v/>
      </c>
      <c r="T1596" s="78" t="n"/>
      <c r="U1596" s="92">
        <f>IF(ISBLANK(P1596),"",IF(C1596="Buy",Q1596-M1596+T1596, IF(C1596="Sell",M1596-Q1596-T1596, X)))</f>
        <v/>
      </c>
      <c r="V1596" s="81">
        <f>IF(ISBLANK(P1596),"",U1596/N1596)</f>
        <v/>
      </c>
      <c r="W1596" s="81">
        <f>IF(ISBLANK(P1596),"",IF(S1596=0,(365/0.5)*V1596,(365/S1596)*V1596))</f>
        <v/>
      </c>
      <c r="X1596" s="75" t="n"/>
      <c r="Y1596" s="77" t="n"/>
      <c r="Z1596" s="77" t="n"/>
      <c r="AA1596" s="75" t="n"/>
      <c r="AB1596" s="75" t="n"/>
      <c r="AC1596" s="6" t="n"/>
      <c r="AD1596" s="75" t="n"/>
      <c r="AE1596" s="75" t="n"/>
      <c r="AF1596" s="75" t="n"/>
    </row>
    <row r="1597" ht="15.75" customHeight="1" s="133">
      <c r="A1597" s="75" t="n"/>
      <c r="B1597" s="75" t="n"/>
      <c r="C1597" s="75" t="n"/>
      <c r="D1597" s="75" t="n"/>
      <c r="E1597" s="76" t="n"/>
      <c r="F1597" s="77" t="n"/>
      <c r="G1597" s="75" t="n"/>
      <c r="H1597" s="75">
        <f>IF(ISBLANK(E1597),"",IF(OR(D1597="Butterfly",D1597="Butterfly ",D1597="Iron Fly", D1597="Iron Fly "),LEN(E1597)-LEN(SUBSTITUTE(E1597,"/",""))+2,LEN(E1597)-LEN(SUBSTITUTE(E1597,"/",""))+1))</f>
        <v/>
      </c>
      <c r="I1597" s="78">
        <f>IF(ISBLANK(G1597),"",IF(D1597="Stock","0",Key!$A$3*H1597*G1597))</f>
        <v/>
      </c>
      <c r="J1597" s="78">
        <f>IF(ISBLANK(E1597),"",IF(ISNUMBER(SEARCH("/",E1597)), IF(LEN(E1597)-LEN(SUBSTITUTE(E1597,"/",""))=1,(RIGHT(E1597,LEN(E1597)-FIND("/",E1597)))-(LEFT(E1597,FIND("/",E1597)-1)),(MID(E1597, SEARCH("/",E1597) + 1, SEARCH("/",E1597, SEARCH("/",E1597)+1) - SEARCH("/",E1597) - 1))-(LEFT(E1597,FIND("/",E1597)-1))), "NA"))</f>
        <v/>
      </c>
      <c r="K1597" s="79">
        <f>IF(A1597&lt;&gt;"", IF(ISBLANK(L1597), TODAY(), K1597), "")</f>
        <v/>
      </c>
      <c r="L1597" s="78" t="n"/>
      <c r="M1597" s="78">
        <f>IF(ISBLANK(L1597),"",IF(D1597="Stock",IF(C1597="Buy",L1597*G1597,IF(C1597="Sell",(L1597*G1597)-I1597, X)),IF(C1597="Buy",(L1597*G1597*100)+I1597,IF(C1597="Sell",(L1597*G1597*100)-I1597, X))))</f>
        <v/>
      </c>
      <c r="N1597" s="78">
        <f>IF(ISBLANK(L1597),"",IF(AND(C1597="Sell",D1597="Stock"),M1597,IF(ISBLANK(L1597),"",IF(C1597="Buy",M1597, IF(AND(C1597="Sell",J1597="NA"),(E1597*G1597*100*0.1)+I1597, IF(C1597="Sell",(J1597-L1597)*(100*G1597)+I1597))))))</f>
        <v/>
      </c>
      <c r="O1597" s="75" t="n"/>
      <c r="P1597" s="75" t="n"/>
      <c r="Q1597" s="75">
        <f>IF(ISBLANK(P1597),"",IF(D1597="Stock",P1597*G1597,IF(P1597=0,"0",G1597*P1597*100-(G1597*$AF$14))))</f>
        <v/>
      </c>
      <c r="R1597" s="79">
        <f>IF(P1597&lt;&gt;"", TODAY(), "")</f>
        <v/>
      </c>
      <c r="S1597" s="78">
        <f>IF(AND(K1597&lt;&gt;"", R1597&lt;&gt;""), R1597-K1597, "")</f>
        <v/>
      </c>
      <c r="T1597" s="78" t="n"/>
      <c r="U1597" s="92">
        <f>IF(ISBLANK(P1597),"",IF(C1597="Buy",Q1597-M1597+T1597, IF(C1597="Sell",M1597-Q1597-T1597, X)))</f>
        <v/>
      </c>
      <c r="V1597" s="81">
        <f>IF(ISBLANK(P1597),"",U1597/N1597)</f>
        <v/>
      </c>
      <c r="W1597" s="81">
        <f>IF(ISBLANK(P1597),"",IF(S1597=0,(365/0.5)*V1597,(365/S1597)*V1597))</f>
        <v/>
      </c>
      <c r="X1597" s="75" t="n"/>
      <c r="Y1597" s="77" t="n"/>
      <c r="Z1597" s="77" t="n"/>
      <c r="AA1597" s="75" t="n"/>
      <c r="AB1597" s="75" t="n"/>
      <c r="AC1597" s="6" t="n"/>
      <c r="AD1597" s="75" t="n"/>
      <c r="AE1597" s="75" t="n"/>
      <c r="AF1597" s="75" t="n"/>
    </row>
    <row r="1598" ht="15.75" customHeight="1" s="133">
      <c r="A1598" s="75" t="n"/>
      <c r="B1598" s="75" t="n"/>
      <c r="C1598" s="75" t="n"/>
      <c r="D1598" s="75" t="n"/>
      <c r="E1598" s="76" t="n"/>
      <c r="F1598" s="77" t="n"/>
      <c r="G1598" s="75" t="n"/>
      <c r="H1598" s="75">
        <f>IF(ISBLANK(E1598),"",IF(OR(D1598="Butterfly",D1598="Butterfly ",D1598="Iron Fly", D1598="Iron Fly "),LEN(E1598)-LEN(SUBSTITUTE(E1598,"/",""))+2,LEN(E1598)-LEN(SUBSTITUTE(E1598,"/",""))+1))</f>
        <v/>
      </c>
      <c r="I1598" s="78">
        <f>IF(ISBLANK(G1598),"",IF(D1598="Stock","0",Key!$A$3*H1598*G1598))</f>
        <v/>
      </c>
      <c r="J1598" s="78">
        <f>IF(ISBLANK(E1598),"",IF(ISNUMBER(SEARCH("/",E1598)), IF(LEN(E1598)-LEN(SUBSTITUTE(E1598,"/",""))=1,(RIGHT(E1598,LEN(E1598)-FIND("/",E1598)))-(LEFT(E1598,FIND("/",E1598)-1)),(MID(E1598, SEARCH("/",E1598) + 1, SEARCH("/",E1598, SEARCH("/",E1598)+1) - SEARCH("/",E1598) - 1))-(LEFT(E1598,FIND("/",E1598)-1))), "NA"))</f>
        <v/>
      </c>
      <c r="K1598" s="79">
        <f>IF(A1598&lt;&gt;"", IF(ISBLANK(L1598), TODAY(), K1598), "")</f>
        <v/>
      </c>
      <c r="L1598" s="78" t="n"/>
      <c r="M1598" s="78">
        <f>IF(ISBLANK(L1598),"",IF(D1598="Stock",IF(C1598="Buy",L1598*G1598,IF(C1598="Sell",(L1598*G1598)-I1598, X)),IF(C1598="Buy",(L1598*G1598*100)+I1598,IF(C1598="Sell",(L1598*G1598*100)-I1598, X))))</f>
        <v/>
      </c>
      <c r="N1598" s="78">
        <f>IF(ISBLANK(L1598),"",IF(AND(C1598="Sell",D1598="Stock"),M1598,IF(ISBLANK(L1598),"",IF(C1598="Buy",M1598, IF(AND(C1598="Sell",J1598="NA"),(E1598*G1598*100*0.1)+I1598, IF(C1598="Sell",(J1598-L1598)*(100*G1598)+I1598))))))</f>
        <v/>
      </c>
      <c r="O1598" s="75" t="n"/>
      <c r="P1598" s="75" t="n"/>
      <c r="Q1598" s="75">
        <f>IF(ISBLANK(P1598),"",IF(D1598="Stock",P1598*G1598,IF(P1598=0,"0",G1598*P1598*100-(G1598*$AF$14))))</f>
        <v/>
      </c>
      <c r="R1598" s="79">
        <f>IF(P1598&lt;&gt;"", TODAY(), "")</f>
        <v/>
      </c>
      <c r="S1598" s="78">
        <f>IF(AND(K1598&lt;&gt;"", R1598&lt;&gt;""), R1598-K1598, "")</f>
        <v/>
      </c>
      <c r="T1598" s="78" t="n"/>
      <c r="U1598" s="92">
        <f>IF(ISBLANK(P1598),"",IF(C1598="Buy",Q1598-M1598+T1598, IF(C1598="Sell",M1598-Q1598-T1598, X)))</f>
        <v/>
      </c>
      <c r="V1598" s="81">
        <f>IF(ISBLANK(P1598),"",U1598/N1598)</f>
        <v/>
      </c>
      <c r="W1598" s="81">
        <f>IF(ISBLANK(P1598),"",IF(S1598=0,(365/0.5)*V1598,(365/S1598)*V1598))</f>
        <v/>
      </c>
      <c r="X1598" s="75" t="n"/>
      <c r="Y1598" s="77" t="n"/>
      <c r="Z1598" s="77" t="n"/>
      <c r="AA1598" s="75" t="n"/>
      <c r="AB1598" s="75" t="n"/>
      <c r="AC1598" s="6" t="n"/>
      <c r="AD1598" s="75" t="n"/>
      <c r="AE1598" s="75" t="n"/>
      <c r="AF1598" s="75" t="n"/>
    </row>
    <row r="1599" ht="15.75" customHeight="1" s="133">
      <c r="A1599" s="75" t="n"/>
      <c r="B1599" s="75" t="n"/>
      <c r="C1599" s="75" t="n"/>
      <c r="D1599" s="75" t="n"/>
      <c r="E1599" s="76" t="n"/>
      <c r="F1599" s="77" t="n"/>
      <c r="G1599" s="75" t="n"/>
      <c r="H1599" s="75">
        <f>IF(ISBLANK(E1599),"",IF(OR(D1599="Butterfly",D1599="Butterfly ",D1599="Iron Fly", D1599="Iron Fly "),LEN(E1599)-LEN(SUBSTITUTE(E1599,"/",""))+2,LEN(E1599)-LEN(SUBSTITUTE(E1599,"/",""))+1))</f>
        <v/>
      </c>
      <c r="I1599" s="78">
        <f>IF(ISBLANK(G1599),"",IF(D1599="Stock","0",Key!$A$3*H1599*G1599))</f>
        <v/>
      </c>
      <c r="J1599" s="78">
        <f>IF(ISBLANK(E1599),"",IF(ISNUMBER(SEARCH("/",E1599)), IF(LEN(E1599)-LEN(SUBSTITUTE(E1599,"/",""))=1,(RIGHT(E1599,LEN(E1599)-FIND("/",E1599)))-(LEFT(E1599,FIND("/",E1599)-1)),(MID(E1599, SEARCH("/",E1599) + 1, SEARCH("/",E1599, SEARCH("/",E1599)+1) - SEARCH("/",E1599) - 1))-(LEFT(E1599,FIND("/",E1599)-1))), "NA"))</f>
        <v/>
      </c>
      <c r="K1599" s="79">
        <f>IF(A1599&lt;&gt;"", IF(ISBLANK(L1599), TODAY(), K1599), "")</f>
        <v/>
      </c>
      <c r="L1599" s="78" t="n"/>
      <c r="M1599" s="78">
        <f>IF(ISBLANK(L1599),"",IF(D1599="Stock",IF(C1599="Buy",L1599*G1599,IF(C1599="Sell",(L1599*G1599)-I1599, X)),IF(C1599="Buy",(L1599*G1599*100)+I1599,IF(C1599="Sell",(L1599*G1599*100)-I1599, X))))</f>
        <v/>
      </c>
      <c r="N1599" s="78">
        <f>IF(ISBLANK(L1599),"",IF(AND(C1599="Sell",D1599="Stock"),M1599,IF(ISBLANK(L1599),"",IF(C1599="Buy",M1599, IF(AND(C1599="Sell",J1599="NA"),(E1599*G1599*100*0.1)+I1599, IF(C1599="Sell",(J1599-L1599)*(100*G1599)+I1599))))))</f>
        <v/>
      </c>
      <c r="O1599" s="75" t="n"/>
      <c r="P1599" s="75" t="n"/>
      <c r="Q1599" s="75">
        <f>IF(ISBLANK(P1599),"",IF(D1599="Stock",P1599*G1599,IF(P1599=0,"0",G1599*P1599*100-(G1599*$AF$14))))</f>
        <v/>
      </c>
      <c r="R1599" s="79">
        <f>IF(P1599&lt;&gt;"", TODAY(), "")</f>
        <v/>
      </c>
      <c r="S1599" s="78">
        <f>IF(AND(K1599&lt;&gt;"", R1599&lt;&gt;""), R1599-K1599, "")</f>
        <v/>
      </c>
      <c r="T1599" s="78" t="n"/>
      <c r="U1599" s="92">
        <f>IF(ISBLANK(P1599),"",IF(C1599="Buy",Q1599-M1599+T1599, IF(C1599="Sell",M1599-Q1599-T1599, X)))</f>
        <v/>
      </c>
      <c r="V1599" s="81">
        <f>IF(ISBLANK(P1599),"",U1599/N1599)</f>
        <v/>
      </c>
      <c r="W1599" s="81">
        <f>IF(ISBLANK(P1599),"",IF(S1599=0,(365/0.5)*V1599,(365/S1599)*V1599))</f>
        <v/>
      </c>
      <c r="X1599" s="75" t="n"/>
      <c r="Y1599" s="77" t="n"/>
      <c r="Z1599" s="77" t="n"/>
      <c r="AA1599" s="75" t="n"/>
      <c r="AB1599" s="75" t="n"/>
      <c r="AC1599" s="6" t="n"/>
      <c r="AD1599" s="75" t="n"/>
      <c r="AE1599" s="75" t="n"/>
      <c r="AF1599" s="75" t="n"/>
    </row>
    <row r="1600" ht="15.75" customHeight="1" s="133">
      <c r="A1600" s="75" t="n"/>
      <c r="B1600" s="75" t="n"/>
      <c r="C1600" s="75" t="n"/>
      <c r="D1600" s="75" t="n"/>
      <c r="E1600" s="76" t="n"/>
      <c r="F1600" s="77" t="n"/>
      <c r="G1600" s="75" t="n"/>
      <c r="H1600" s="75">
        <f>IF(ISBLANK(E1600),"",IF(OR(D1600="Butterfly",D1600="Butterfly ",D1600="Iron Fly", D1600="Iron Fly "),LEN(E1600)-LEN(SUBSTITUTE(E1600,"/",""))+2,LEN(E1600)-LEN(SUBSTITUTE(E1600,"/",""))+1))</f>
        <v/>
      </c>
      <c r="I1600" s="78">
        <f>IF(ISBLANK(G1600),"",IF(D1600="Stock","0",Key!$A$3*H1600*G1600))</f>
        <v/>
      </c>
      <c r="J1600" s="78">
        <f>IF(ISBLANK(E1600),"",IF(ISNUMBER(SEARCH("/",E1600)), IF(LEN(E1600)-LEN(SUBSTITUTE(E1600,"/",""))=1,(RIGHT(E1600,LEN(E1600)-FIND("/",E1600)))-(LEFT(E1600,FIND("/",E1600)-1)),(MID(E1600, SEARCH("/",E1600) + 1, SEARCH("/",E1600, SEARCH("/",E1600)+1) - SEARCH("/",E1600) - 1))-(LEFT(E1600,FIND("/",E1600)-1))), "NA"))</f>
        <v/>
      </c>
      <c r="K1600" s="79">
        <f>IF(A1600&lt;&gt;"", IF(ISBLANK(L1600), TODAY(), K1600), "")</f>
        <v/>
      </c>
      <c r="L1600" s="78" t="n"/>
      <c r="M1600" s="78">
        <f>IF(ISBLANK(L1600),"",IF(D1600="Stock",IF(C1600="Buy",L1600*G1600,IF(C1600="Sell",(L1600*G1600)-I1600, X)),IF(C1600="Buy",(L1600*G1600*100)+I1600,IF(C1600="Sell",(L1600*G1600*100)-I1600, X))))</f>
        <v/>
      </c>
      <c r="N1600" s="78">
        <f>IF(ISBLANK(L1600),"",IF(AND(C1600="Sell",D1600="Stock"),M1600,IF(ISBLANK(L1600),"",IF(C1600="Buy",M1600, IF(AND(C1600="Sell",J1600="NA"),(E1600*G1600*100*0.1)+I1600, IF(C1600="Sell",(J1600-L1600)*(100*G1600)+I1600))))))</f>
        <v/>
      </c>
      <c r="O1600" s="75" t="n"/>
      <c r="P1600" s="75" t="n"/>
      <c r="Q1600" s="75">
        <f>IF(ISBLANK(P1600),"",IF(D1600="Stock",P1600*G1600,IF(P1600=0,"0",G1600*P1600*100-(G1600*$AF$14))))</f>
        <v/>
      </c>
      <c r="R1600" s="79">
        <f>IF(P1600&lt;&gt;"", TODAY(), "")</f>
        <v/>
      </c>
      <c r="S1600" s="78">
        <f>IF(AND(K1600&lt;&gt;"", R1600&lt;&gt;""), R1600-K1600, "")</f>
        <v/>
      </c>
      <c r="T1600" s="78" t="n"/>
      <c r="U1600" s="92">
        <f>IF(ISBLANK(P1600),"",IF(C1600="Buy",Q1600-M1600+T1600, IF(C1600="Sell",M1600-Q1600-T1600, X)))</f>
        <v/>
      </c>
      <c r="V1600" s="81">
        <f>IF(ISBLANK(P1600),"",U1600/N1600)</f>
        <v/>
      </c>
      <c r="W1600" s="81">
        <f>IF(ISBLANK(P1600),"",IF(S1600=0,(365/0.5)*V1600,(365/S1600)*V1600))</f>
        <v/>
      </c>
      <c r="X1600" s="75" t="n"/>
      <c r="Y1600" s="77" t="n"/>
      <c r="Z1600" s="77" t="n"/>
      <c r="AA1600" s="75" t="n"/>
      <c r="AB1600" s="75" t="n"/>
      <c r="AC1600" s="6" t="n"/>
      <c r="AD1600" s="75" t="n"/>
      <c r="AE1600" s="75" t="n"/>
      <c r="AF1600" s="75" t="n"/>
    </row>
    <row r="1601" ht="15.75" customHeight="1" s="133">
      <c r="A1601" s="75" t="n"/>
      <c r="B1601" s="75" t="n"/>
      <c r="C1601" s="75" t="n"/>
      <c r="D1601" s="75" t="n"/>
      <c r="E1601" s="76" t="n"/>
      <c r="F1601" s="77" t="n"/>
      <c r="G1601" s="75" t="n"/>
      <c r="H1601" s="75">
        <f>IF(ISBLANK(E1601),"",IF(OR(D1601="Butterfly",D1601="Butterfly ",D1601="Iron Fly", D1601="Iron Fly "),LEN(E1601)-LEN(SUBSTITUTE(E1601,"/",""))+2,LEN(E1601)-LEN(SUBSTITUTE(E1601,"/",""))+1))</f>
        <v/>
      </c>
      <c r="I1601" s="78">
        <f>IF(ISBLANK(G1601),"",IF(D1601="Stock","0",Key!$A$3*H1601*G1601))</f>
        <v/>
      </c>
      <c r="J1601" s="78">
        <f>IF(ISBLANK(E1601),"",IF(ISNUMBER(SEARCH("/",E1601)), IF(LEN(E1601)-LEN(SUBSTITUTE(E1601,"/",""))=1,(RIGHT(E1601,LEN(E1601)-FIND("/",E1601)))-(LEFT(E1601,FIND("/",E1601)-1)),(MID(E1601, SEARCH("/",E1601) + 1, SEARCH("/",E1601, SEARCH("/",E1601)+1) - SEARCH("/",E1601) - 1))-(LEFT(E1601,FIND("/",E1601)-1))), "NA"))</f>
        <v/>
      </c>
      <c r="K1601" s="79">
        <f>IF(A1601&lt;&gt;"", IF(ISBLANK(L1601), TODAY(), K1601), "")</f>
        <v/>
      </c>
      <c r="L1601" s="78" t="n"/>
      <c r="M1601" s="78">
        <f>IF(ISBLANK(L1601),"",IF(D1601="Stock",IF(C1601="Buy",L1601*G1601,IF(C1601="Sell",(L1601*G1601)-I1601, X)),IF(C1601="Buy",(L1601*G1601*100)+I1601,IF(C1601="Sell",(L1601*G1601*100)-I1601, X))))</f>
        <v/>
      </c>
      <c r="N1601" s="78">
        <f>IF(ISBLANK(L1601),"",IF(AND(C1601="Sell",D1601="Stock"),M1601,IF(ISBLANK(L1601),"",IF(C1601="Buy",M1601, IF(AND(C1601="Sell",J1601="NA"),(E1601*G1601*100*0.1)+I1601, IF(C1601="Sell",(J1601-L1601)*(100*G1601)+I1601))))))</f>
        <v/>
      </c>
      <c r="O1601" s="75" t="n"/>
      <c r="P1601" s="75" t="n"/>
      <c r="Q1601" s="75">
        <f>IF(ISBLANK(P1601),"",IF(D1601="Stock",P1601*G1601,IF(P1601=0,"0",G1601*P1601*100-(G1601*$AF$14))))</f>
        <v/>
      </c>
      <c r="R1601" s="79">
        <f>IF(P1601&lt;&gt;"", TODAY(), "")</f>
        <v/>
      </c>
      <c r="S1601" s="78">
        <f>IF(AND(K1601&lt;&gt;"", R1601&lt;&gt;""), R1601-K1601, "")</f>
        <v/>
      </c>
      <c r="T1601" s="78" t="n"/>
      <c r="U1601" s="92">
        <f>IF(ISBLANK(P1601),"",IF(C1601="Buy",Q1601-M1601+T1601, IF(C1601="Sell",M1601-Q1601-T1601, X)))</f>
        <v/>
      </c>
      <c r="V1601" s="81">
        <f>IF(ISBLANK(P1601),"",U1601/N1601)</f>
        <v/>
      </c>
      <c r="W1601" s="81">
        <f>IF(ISBLANK(P1601),"",IF(S1601=0,(365/0.5)*V1601,(365/S1601)*V1601))</f>
        <v/>
      </c>
      <c r="X1601" s="75" t="n"/>
      <c r="Y1601" s="77" t="n"/>
      <c r="Z1601" s="77" t="n"/>
      <c r="AA1601" s="75" t="n"/>
      <c r="AB1601" s="75" t="n"/>
      <c r="AC1601" s="6" t="n"/>
      <c r="AD1601" s="75" t="n"/>
      <c r="AE1601" s="75" t="n"/>
      <c r="AF1601" s="75" t="n"/>
    </row>
    <row r="1602" ht="15.75" customHeight="1" s="133">
      <c r="A1602" s="75" t="n"/>
      <c r="B1602" s="75" t="n"/>
      <c r="C1602" s="75" t="n"/>
      <c r="D1602" s="75" t="n"/>
      <c r="E1602" s="76" t="n"/>
      <c r="F1602" s="77" t="n"/>
      <c r="G1602" s="75" t="n"/>
      <c r="H1602" s="75">
        <f>IF(ISBLANK(E1602),"",IF(OR(D1602="Butterfly",D1602="Butterfly ",D1602="Iron Fly", D1602="Iron Fly "),LEN(E1602)-LEN(SUBSTITUTE(E1602,"/",""))+2,LEN(E1602)-LEN(SUBSTITUTE(E1602,"/",""))+1))</f>
        <v/>
      </c>
      <c r="I1602" s="78">
        <f>IF(ISBLANK(G1602),"",IF(D1602="Stock","0",Key!$A$3*H1602*G1602))</f>
        <v/>
      </c>
      <c r="J1602" s="78">
        <f>IF(ISBLANK(E1602),"",IF(ISNUMBER(SEARCH("/",E1602)), IF(LEN(E1602)-LEN(SUBSTITUTE(E1602,"/",""))=1,(RIGHT(E1602,LEN(E1602)-FIND("/",E1602)))-(LEFT(E1602,FIND("/",E1602)-1)),(MID(E1602, SEARCH("/",E1602) + 1, SEARCH("/",E1602, SEARCH("/",E1602)+1) - SEARCH("/",E1602) - 1))-(LEFT(E1602,FIND("/",E1602)-1))), "NA"))</f>
        <v/>
      </c>
      <c r="K1602" s="79">
        <f>IF(A1602&lt;&gt;"", IF(ISBLANK(L1602), TODAY(), K1602), "")</f>
        <v/>
      </c>
      <c r="L1602" s="78" t="n"/>
      <c r="M1602" s="78">
        <f>IF(ISBLANK(L1602),"",IF(D1602="Stock",IF(C1602="Buy",L1602*G1602,IF(C1602="Sell",(L1602*G1602)-I1602, X)),IF(C1602="Buy",(L1602*G1602*100)+I1602,IF(C1602="Sell",(L1602*G1602*100)-I1602, X))))</f>
        <v/>
      </c>
      <c r="N1602" s="78">
        <f>IF(ISBLANK(L1602),"",IF(AND(C1602="Sell",D1602="Stock"),M1602,IF(ISBLANK(L1602),"",IF(C1602="Buy",M1602, IF(AND(C1602="Sell",J1602="NA"),(E1602*G1602*100*0.1)+I1602, IF(C1602="Sell",(J1602-L1602)*(100*G1602)+I1602))))))</f>
        <v/>
      </c>
      <c r="O1602" s="75" t="n"/>
      <c r="P1602" s="75" t="n"/>
      <c r="Q1602" s="75">
        <f>IF(ISBLANK(P1602),"",IF(D1602="Stock",P1602*G1602,IF(P1602=0,"0",G1602*P1602*100-(G1602*$AF$14))))</f>
        <v/>
      </c>
      <c r="R1602" s="79">
        <f>IF(P1602&lt;&gt;"", TODAY(), "")</f>
        <v/>
      </c>
      <c r="S1602" s="78">
        <f>IF(AND(K1602&lt;&gt;"", R1602&lt;&gt;""), R1602-K1602, "")</f>
        <v/>
      </c>
      <c r="T1602" s="78" t="n"/>
      <c r="U1602" s="92">
        <f>IF(ISBLANK(P1602),"",IF(C1602="Buy",Q1602-M1602+T1602, IF(C1602="Sell",M1602-Q1602-T1602, X)))</f>
        <v/>
      </c>
      <c r="V1602" s="81">
        <f>IF(ISBLANK(P1602),"",U1602/N1602)</f>
        <v/>
      </c>
      <c r="W1602" s="81">
        <f>IF(ISBLANK(P1602),"",IF(S1602=0,(365/0.5)*V1602,(365/S1602)*V1602))</f>
        <v/>
      </c>
      <c r="X1602" s="75" t="n"/>
      <c r="Y1602" s="77" t="n"/>
      <c r="Z1602" s="77" t="n"/>
      <c r="AA1602" s="75" t="n"/>
      <c r="AB1602" s="75" t="n"/>
      <c r="AC1602" s="6" t="n"/>
      <c r="AD1602" s="75" t="n"/>
      <c r="AE1602" s="75" t="n"/>
      <c r="AF1602" s="75" t="n"/>
    </row>
    <row r="1603" ht="15.75" customHeight="1" s="133">
      <c r="A1603" s="75" t="n"/>
      <c r="B1603" s="75" t="n"/>
      <c r="C1603" s="75" t="n"/>
      <c r="D1603" s="75" t="n"/>
      <c r="E1603" s="76" t="n"/>
      <c r="F1603" s="77" t="n"/>
      <c r="G1603" s="75" t="n"/>
      <c r="H1603" s="75">
        <f>IF(ISBLANK(E1603),"",IF(OR(D1603="Butterfly",D1603="Butterfly ",D1603="Iron Fly", D1603="Iron Fly "),LEN(E1603)-LEN(SUBSTITUTE(E1603,"/",""))+2,LEN(E1603)-LEN(SUBSTITUTE(E1603,"/",""))+1))</f>
        <v/>
      </c>
      <c r="I1603" s="78">
        <f>IF(ISBLANK(G1603),"",IF(D1603="Stock","0",Key!$A$3*H1603*G1603))</f>
        <v/>
      </c>
      <c r="J1603" s="78">
        <f>IF(ISBLANK(E1603),"",IF(ISNUMBER(SEARCH("/",E1603)), IF(LEN(E1603)-LEN(SUBSTITUTE(E1603,"/",""))=1,(RIGHT(E1603,LEN(E1603)-FIND("/",E1603)))-(LEFT(E1603,FIND("/",E1603)-1)),(MID(E1603, SEARCH("/",E1603) + 1, SEARCH("/",E1603, SEARCH("/",E1603)+1) - SEARCH("/",E1603) - 1))-(LEFT(E1603,FIND("/",E1603)-1))), "NA"))</f>
        <v/>
      </c>
      <c r="K1603" s="79">
        <f>IF(A1603&lt;&gt;"", IF(ISBLANK(L1603), TODAY(), K1603), "")</f>
        <v/>
      </c>
      <c r="L1603" s="78" t="n"/>
      <c r="M1603" s="78">
        <f>IF(ISBLANK(L1603),"",IF(D1603="Stock",IF(C1603="Buy",L1603*G1603,IF(C1603="Sell",(L1603*G1603)-I1603, X)),IF(C1603="Buy",(L1603*G1603*100)+I1603,IF(C1603="Sell",(L1603*G1603*100)-I1603, X))))</f>
        <v/>
      </c>
      <c r="N1603" s="78">
        <f>IF(ISBLANK(L1603),"",IF(AND(C1603="Sell",D1603="Stock"),M1603,IF(ISBLANK(L1603),"",IF(C1603="Buy",M1603, IF(AND(C1603="Sell",J1603="NA"),(E1603*G1603*100*0.1)+I1603, IF(C1603="Sell",(J1603-L1603)*(100*G1603)+I1603))))))</f>
        <v/>
      </c>
      <c r="O1603" s="75" t="n"/>
      <c r="P1603" s="75" t="n"/>
      <c r="Q1603" s="75">
        <f>IF(ISBLANK(P1603),"",IF(D1603="Stock",P1603*G1603,IF(P1603=0,"0",G1603*P1603*100-(G1603*$AF$14))))</f>
        <v/>
      </c>
      <c r="R1603" s="79">
        <f>IF(P1603&lt;&gt;"", TODAY(), "")</f>
        <v/>
      </c>
      <c r="S1603" s="78">
        <f>IF(AND(K1603&lt;&gt;"", R1603&lt;&gt;""), R1603-K1603, "")</f>
        <v/>
      </c>
      <c r="T1603" s="78" t="n"/>
      <c r="U1603" s="92">
        <f>IF(ISBLANK(P1603),"",IF(C1603="Buy",Q1603-M1603+T1603, IF(C1603="Sell",M1603-Q1603-T1603, X)))</f>
        <v/>
      </c>
      <c r="V1603" s="81">
        <f>IF(ISBLANK(P1603),"",U1603/N1603)</f>
        <v/>
      </c>
      <c r="W1603" s="81">
        <f>IF(ISBLANK(P1603),"",IF(S1603=0,(365/0.5)*V1603,(365/S1603)*V1603))</f>
        <v/>
      </c>
      <c r="X1603" s="75" t="n"/>
      <c r="Y1603" s="77" t="n"/>
      <c r="Z1603" s="77" t="n"/>
      <c r="AA1603" s="75" t="n"/>
      <c r="AB1603" s="75" t="n"/>
      <c r="AC1603" s="6" t="n"/>
      <c r="AD1603" s="75" t="n"/>
      <c r="AE1603" s="75" t="n"/>
      <c r="AF1603" s="75" t="n"/>
    </row>
    <row r="1604" ht="15.75" customHeight="1" s="133">
      <c r="A1604" s="75" t="n"/>
      <c r="B1604" s="75" t="n"/>
      <c r="C1604" s="75" t="n"/>
      <c r="D1604" s="75" t="n"/>
      <c r="E1604" s="76" t="n"/>
      <c r="F1604" s="77" t="n"/>
      <c r="G1604" s="75" t="n"/>
      <c r="H1604" s="75">
        <f>IF(ISBLANK(E1604),"",IF(OR(D1604="Butterfly",D1604="Butterfly ",D1604="Iron Fly", D1604="Iron Fly "),LEN(E1604)-LEN(SUBSTITUTE(E1604,"/",""))+2,LEN(E1604)-LEN(SUBSTITUTE(E1604,"/",""))+1))</f>
        <v/>
      </c>
      <c r="I1604" s="78">
        <f>IF(ISBLANK(G1604),"",IF(D1604="Stock","0",Key!$A$3*H1604*G1604))</f>
        <v/>
      </c>
      <c r="J1604" s="78">
        <f>IF(ISBLANK(E1604),"",IF(ISNUMBER(SEARCH("/",E1604)), IF(LEN(E1604)-LEN(SUBSTITUTE(E1604,"/",""))=1,(RIGHT(E1604,LEN(E1604)-FIND("/",E1604)))-(LEFT(E1604,FIND("/",E1604)-1)),(MID(E1604, SEARCH("/",E1604) + 1, SEARCH("/",E1604, SEARCH("/",E1604)+1) - SEARCH("/",E1604) - 1))-(LEFT(E1604,FIND("/",E1604)-1))), "NA"))</f>
        <v/>
      </c>
      <c r="K1604" s="79">
        <f>IF(A1604&lt;&gt;"", IF(ISBLANK(L1604), TODAY(), K1604), "")</f>
        <v/>
      </c>
      <c r="L1604" s="78" t="n"/>
      <c r="M1604" s="78">
        <f>IF(ISBLANK(L1604),"",IF(D1604="Stock",IF(C1604="Buy",L1604*G1604,IF(C1604="Sell",(L1604*G1604)-I1604, X)),IF(C1604="Buy",(L1604*G1604*100)+I1604,IF(C1604="Sell",(L1604*G1604*100)-I1604, X))))</f>
        <v/>
      </c>
      <c r="N1604" s="78">
        <f>IF(ISBLANK(L1604),"",IF(AND(C1604="Sell",D1604="Stock"),M1604,IF(ISBLANK(L1604),"",IF(C1604="Buy",M1604, IF(AND(C1604="Sell",J1604="NA"),(E1604*G1604*100*0.1)+I1604, IF(C1604="Sell",(J1604-L1604)*(100*G1604)+I1604))))))</f>
        <v/>
      </c>
      <c r="O1604" s="75" t="n"/>
      <c r="P1604" s="75" t="n"/>
      <c r="Q1604" s="75">
        <f>IF(ISBLANK(P1604),"",IF(D1604="Stock",P1604*G1604,IF(P1604=0,"0",G1604*P1604*100-(G1604*$AF$14))))</f>
        <v/>
      </c>
      <c r="R1604" s="79">
        <f>IF(P1604&lt;&gt;"", TODAY(), "")</f>
        <v/>
      </c>
      <c r="S1604" s="78">
        <f>IF(AND(K1604&lt;&gt;"", R1604&lt;&gt;""), R1604-K1604, "")</f>
        <v/>
      </c>
      <c r="T1604" s="78" t="n"/>
      <c r="U1604" s="92">
        <f>IF(ISBLANK(P1604),"",IF(C1604="Buy",Q1604-M1604+T1604, IF(C1604="Sell",M1604-Q1604-T1604, X)))</f>
        <v/>
      </c>
      <c r="V1604" s="81">
        <f>IF(ISBLANK(P1604),"",U1604/N1604)</f>
        <v/>
      </c>
      <c r="W1604" s="81">
        <f>IF(ISBLANK(P1604),"",IF(S1604=0,(365/0.5)*V1604,(365/S1604)*V1604))</f>
        <v/>
      </c>
      <c r="X1604" s="75" t="n"/>
      <c r="Y1604" s="77" t="n"/>
      <c r="Z1604" s="77" t="n"/>
      <c r="AA1604" s="75" t="n"/>
      <c r="AB1604" s="75" t="n"/>
      <c r="AC1604" s="6" t="n"/>
      <c r="AD1604" s="75" t="n"/>
      <c r="AE1604" s="75" t="n"/>
      <c r="AF1604" s="75" t="n"/>
    </row>
    <row r="1605" ht="15.75" customHeight="1" s="133">
      <c r="A1605" s="75" t="n"/>
      <c r="B1605" s="75" t="n"/>
      <c r="C1605" s="75" t="n"/>
      <c r="D1605" s="75" t="n"/>
      <c r="E1605" s="76" t="n"/>
      <c r="F1605" s="77" t="n"/>
      <c r="G1605" s="75" t="n"/>
      <c r="H1605" s="75">
        <f>IF(ISBLANK(E1605),"",IF(OR(D1605="Butterfly",D1605="Butterfly ",D1605="Iron Fly", D1605="Iron Fly "),LEN(E1605)-LEN(SUBSTITUTE(E1605,"/",""))+2,LEN(E1605)-LEN(SUBSTITUTE(E1605,"/",""))+1))</f>
        <v/>
      </c>
      <c r="I1605" s="78">
        <f>IF(ISBLANK(G1605),"",IF(D1605="Stock","0",Key!$A$3*H1605*G1605))</f>
        <v/>
      </c>
      <c r="J1605" s="78">
        <f>IF(ISBLANK(E1605),"",IF(ISNUMBER(SEARCH("/",E1605)), IF(LEN(E1605)-LEN(SUBSTITUTE(E1605,"/",""))=1,(RIGHT(E1605,LEN(E1605)-FIND("/",E1605)))-(LEFT(E1605,FIND("/",E1605)-1)),(MID(E1605, SEARCH("/",E1605) + 1, SEARCH("/",E1605, SEARCH("/",E1605)+1) - SEARCH("/",E1605) - 1))-(LEFT(E1605,FIND("/",E1605)-1))), "NA"))</f>
        <v/>
      </c>
      <c r="K1605" s="79">
        <f>IF(A1605&lt;&gt;"", IF(ISBLANK(L1605), TODAY(), K1605), "")</f>
        <v/>
      </c>
      <c r="L1605" s="78" t="n"/>
      <c r="M1605" s="78">
        <f>IF(ISBLANK(L1605),"",IF(D1605="Stock",IF(C1605="Buy",L1605*G1605,IF(C1605="Sell",(L1605*G1605)-I1605, X)),IF(C1605="Buy",(L1605*G1605*100)+I1605,IF(C1605="Sell",(L1605*G1605*100)-I1605, X))))</f>
        <v/>
      </c>
      <c r="N1605" s="78">
        <f>IF(ISBLANK(L1605),"",IF(AND(C1605="Sell",D1605="Stock"),M1605,IF(ISBLANK(L1605),"",IF(C1605="Buy",M1605, IF(AND(C1605="Sell",J1605="NA"),(E1605*G1605*100*0.1)+I1605, IF(C1605="Sell",(J1605-L1605)*(100*G1605)+I1605))))))</f>
        <v/>
      </c>
      <c r="O1605" s="75" t="n"/>
      <c r="P1605" s="75" t="n"/>
      <c r="Q1605" s="75">
        <f>IF(ISBLANK(P1605),"",IF(D1605="Stock",P1605*G1605,IF(P1605=0,"0",G1605*P1605*100-(G1605*$AF$14))))</f>
        <v/>
      </c>
      <c r="R1605" s="79">
        <f>IF(P1605&lt;&gt;"", TODAY(), "")</f>
        <v/>
      </c>
      <c r="S1605" s="78">
        <f>IF(AND(K1605&lt;&gt;"", R1605&lt;&gt;""), R1605-K1605, "")</f>
        <v/>
      </c>
      <c r="T1605" s="78" t="n"/>
      <c r="U1605" s="92">
        <f>IF(ISBLANK(P1605),"",IF(C1605="Buy",Q1605-M1605+T1605, IF(C1605="Sell",M1605-Q1605-T1605, X)))</f>
        <v/>
      </c>
      <c r="V1605" s="81">
        <f>IF(ISBLANK(P1605),"",U1605/N1605)</f>
        <v/>
      </c>
      <c r="W1605" s="81">
        <f>IF(ISBLANK(P1605),"",IF(S1605=0,(365/0.5)*V1605,(365/S1605)*V1605))</f>
        <v/>
      </c>
      <c r="X1605" s="75" t="n"/>
      <c r="Y1605" s="77" t="n"/>
      <c r="Z1605" s="77" t="n"/>
      <c r="AA1605" s="75" t="n"/>
      <c r="AB1605" s="75" t="n"/>
      <c r="AC1605" s="6" t="n"/>
      <c r="AD1605" s="75" t="n"/>
      <c r="AE1605" s="75" t="n"/>
      <c r="AF1605" s="75" t="n"/>
    </row>
    <row r="1606" ht="15.75" customHeight="1" s="133">
      <c r="A1606" s="75" t="n"/>
      <c r="B1606" s="75" t="n"/>
      <c r="C1606" s="75" t="n"/>
      <c r="D1606" s="75" t="n"/>
      <c r="E1606" s="76" t="n"/>
      <c r="F1606" s="77" t="n"/>
      <c r="G1606" s="75" t="n"/>
      <c r="H1606" s="75">
        <f>IF(ISBLANK(E1606),"",IF(OR(D1606="Butterfly",D1606="Butterfly ",D1606="Iron Fly", D1606="Iron Fly "),LEN(E1606)-LEN(SUBSTITUTE(E1606,"/",""))+2,LEN(E1606)-LEN(SUBSTITUTE(E1606,"/",""))+1))</f>
        <v/>
      </c>
      <c r="I1606" s="78">
        <f>IF(ISBLANK(G1606),"",IF(D1606="Stock","0",Key!$A$3*H1606*G1606))</f>
        <v/>
      </c>
      <c r="J1606" s="78">
        <f>IF(ISBLANK(E1606),"",IF(ISNUMBER(SEARCH("/",E1606)), IF(LEN(E1606)-LEN(SUBSTITUTE(E1606,"/",""))=1,(RIGHT(E1606,LEN(E1606)-FIND("/",E1606)))-(LEFT(E1606,FIND("/",E1606)-1)),(MID(E1606, SEARCH("/",E1606) + 1, SEARCH("/",E1606, SEARCH("/",E1606)+1) - SEARCH("/",E1606) - 1))-(LEFT(E1606,FIND("/",E1606)-1))), "NA"))</f>
        <v/>
      </c>
      <c r="K1606" s="79">
        <f>IF(A1606&lt;&gt;"", IF(ISBLANK(L1606), TODAY(), K1606), "")</f>
        <v/>
      </c>
      <c r="L1606" s="78" t="n"/>
      <c r="M1606" s="78">
        <f>IF(ISBLANK(L1606),"",IF(D1606="Stock",IF(C1606="Buy",L1606*G1606,IF(C1606="Sell",(L1606*G1606)-I1606, X)),IF(C1606="Buy",(L1606*G1606*100)+I1606,IF(C1606="Sell",(L1606*G1606*100)-I1606, X))))</f>
        <v/>
      </c>
      <c r="N1606" s="78">
        <f>IF(ISBLANK(L1606),"",IF(AND(C1606="Sell",D1606="Stock"),M1606,IF(ISBLANK(L1606),"",IF(C1606="Buy",M1606, IF(AND(C1606="Sell",J1606="NA"),(E1606*G1606*100*0.1)+I1606, IF(C1606="Sell",(J1606-L1606)*(100*G1606)+I1606))))))</f>
        <v/>
      </c>
      <c r="O1606" s="75" t="n"/>
      <c r="P1606" s="75" t="n"/>
      <c r="Q1606" s="75">
        <f>IF(ISBLANK(P1606),"",IF(D1606="Stock",P1606*G1606,IF(P1606=0,"0",G1606*P1606*100-(G1606*$AF$14))))</f>
        <v/>
      </c>
      <c r="R1606" s="79">
        <f>IF(P1606&lt;&gt;"", TODAY(), "")</f>
        <v/>
      </c>
      <c r="S1606" s="78">
        <f>IF(AND(K1606&lt;&gt;"", R1606&lt;&gt;""), R1606-K1606, "")</f>
        <v/>
      </c>
      <c r="T1606" s="78" t="n"/>
      <c r="U1606" s="92">
        <f>IF(ISBLANK(P1606),"",IF(C1606="Buy",Q1606-M1606+T1606, IF(C1606="Sell",M1606-Q1606-T1606, X)))</f>
        <v/>
      </c>
      <c r="V1606" s="81">
        <f>IF(ISBLANK(P1606),"",U1606/N1606)</f>
        <v/>
      </c>
      <c r="W1606" s="81">
        <f>IF(ISBLANK(P1606),"",IF(S1606=0,(365/0.5)*V1606,(365/S1606)*V1606))</f>
        <v/>
      </c>
      <c r="X1606" s="75" t="n"/>
      <c r="Y1606" s="77" t="n"/>
      <c r="Z1606" s="77" t="n"/>
      <c r="AA1606" s="75" t="n"/>
      <c r="AB1606" s="75" t="n"/>
      <c r="AC1606" s="6" t="n"/>
      <c r="AD1606" s="75" t="n"/>
      <c r="AE1606" s="75" t="n"/>
      <c r="AF1606" s="75" t="n"/>
    </row>
    <row r="1607" ht="15.75" customHeight="1" s="133">
      <c r="A1607" s="75" t="n"/>
      <c r="B1607" s="75" t="n"/>
      <c r="C1607" s="75" t="n"/>
      <c r="D1607" s="75" t="n"/>
      <c r="E1607" s="76" t="n"/>
      <c r="F1607" s="77" t="n"/>
      <c r="G1607" s="75" t="n"/>
      <c r="H1607" s="75">
        <f>IF(ISBLANK(E1607),"",IF(OR(D1607="Butterfly",D1607="Butterfly ",D1607="Iron Fly", D1607="Iron Fly "),LEN(E1607)-LEN(SUBSTITUTE(E1607,"/",""))+2,LEN(E1607)-LEN(SUBSTITUTE(E1607,"/",""))+1))</f>
        <v/>
      </c>
      <c r="I1607" s="78">
        <f>IF(ISBLANK(G1607),"",IF(D1607="Stock","0",Key!$A$3*H1607*G1607))</f>
        <v/>
      </c>
      <c r="J1607" s="78">
        <f>IF(ISBLANK(E1607),"",IF(ISNUMBER(SEARCH("/",E1607)), IF(LEN(E1607)-LEN(SUBSTITUTE(E1607,"/",""))=1,(RIGHT(E1607,LEN(E1607)-FIND("/",E1607)))-(LEFT(E1607,FIND("/",E1607)-1)),(MID(E1607, SEARCH("/",E1607) + 1, SEARCH("/",E1607, SEARCH("/",E1607)+1) - SEARCH("/",E1607) - 1))-(LEFT(E1607,FIND("/",E1607)-1))), "NA"))</f>
        <v/>
      </c>
      <c r="K1607" s="79">
        <f>IF(A1607&lt;&gt;"", IF(ISBLANK(L1607), TODAY(), K1607), "")</f>
        <v/>
      </c>
      <c r="L1607" s="78" t="n"/>
      <c r="M1607" s="78">
        <f>IF(ISBLANK(L1607),"",IF(D1607="Stock",IF(C1607="Buy",L1607*G1607,IF(C1607="Sell",(L1607*G1607)-I1607, X)),IF(C1607="Buy",(L1607*G1607*100)+I1607,IF(C1607="Sell",(L1607*G1607*100)-I1607, X))))</f>
        <v/>
      </c>
      <c r="N1607" s="78">
        <f>IF(ISBLANK(L1607),"",IF(AND(C1607="Sell",D1607="Stock"),M1607,IF(ISBLANK(L1607),"",IF(C1607="Buy",M1607, IF(AND(C1607="Sell",J1607="NA"),(E1607*G1607*100*0.1)+I1607, IF(C1607="Sell",(J1607-L1607)*(100*G1607)+I1607))))))</f>
        <v/>
      </c>
      <c r="O1607" s="75" t="n"/>
      <c r="P1607" s="75" t="n"/>
      <c r="Q1607" s="75">
        <f>IF(ISBLANK(P1607),"",IF(D1607="Stock",P1607*G1607,IF(P1607=0,"0",G1607*P1607*100-(G1607*$AF$14))))</f>
        <v/>
      </c>
      <c r="R1607" s="79">
        <f>IF(P1607&lt;&gt;"", TODAY(), "")</f>
        <v/>
      </c>
      <c r="S1607" s="78">
        <f>IF(AND(K1607&lt;&gt;"", R1607&lt;&gt;""), R1607-K1607, "")</f>
        <v/>
      </c>
      <c r="T1607" s="78" t="n"/>
      <c r="U1607" s="92">
        <f>IF(ISBLANK(P1607),"",IF(C1607="Buy",Q1607-M1607+T1607, IF(C1607="Sell",M1607-Q1607-T1607, X)))</f>
        <v/>
      </c>
      <c r="V1607" s="81">
        <f>IF(ISBLANK(P1607),"",U1607/N1607)</f>
        <v/>
      </c>
      <c r="W1607" s="81">
        <f>IF(ISBLANK(P1607),"",IF(S1607=0,(365/0.5)*V1607,(365/S1607)*V1607))</f>
        <v/>
      </c>
      <c r="X1607" s="75" t="n"/>
      <c r="Y1607" s="77" t="n"/>
      <c r="Z1607" s="77" t="n"/>
      <c r="AA1607" s="75" t="n"/>
      <c r="AB1607" s="75" t="n"/>
      <c r="AC1607" s="6" t="n"/>
      <c r="AD1607" s="75" t="n"/>
      <c r="AE1607" s="75" t="n"/>
      <c r="AF1607" s="75" t="n"/>
    </row>
    <row r="1608" ht="15.75" customHeight="1" s="133">
      <c r="A1608" s="75" t="n"/>
      <c r="B1608" s="75" t="n"/>
      <c r="C1608" s="75" t="n"/>
      <c r="D1608" s="75" t="n"/>
      <c r="E1608" s="76" t="n"/>
      <c r="F1608" s="77" t="n"/>
      <c r="G1608" s="75" t="n"/>
      <c r="H1608" s="75">
        <f>IF(ISBLANK(E1608),"",IF(OR(D1608="Butterfly",D1608="Butterfly ",D1608="Iron Fly", D1608="Iron Fly "),LEN(E1608)-LEN(SUBSTITUTE(E1608,"/",""))+2,LEN(E1608)-LEN(SUBSTITUTE(E1608,"/",""))+1))</f>
        <v/>
      </c>
      <c r="I1608" s="78">
        <f>IF(ISBLANK(G1608),"",IF(D1608="Stock","0",Key!$A$3*H1608*G1608))</f>
        <v/>
      </c>
      <c r="J1608" s="78">
        <f>IF(ISBLANK(E1608),"",IF(ISNUMBER(SEARCH("/",E1608)), IF(LEN(E1608)-LEN(SUBSTITUTE(E1608,"/",""))=1,(RIGHT(E1608,LEN(E1608)-FIND("/",E1608)))-(LEFT(E1608,FIND("/",E1608)-1)),(MID(E1608, SEARCH("/",E1608) + 1, SEARCH("/",E1608, SEARCH("/",E1608)+1) - SEARCH("/",E1608) - 1))-(LEFT(E1608,FIND("/",E1608)-1))), "NA"))</f>
        <v/>
      </c>
      <c r="K1608" s="79">
        <f>IF(A1608&lt;&gt;"", IF(ISBLANK(L1608), TODAY(), K1608), "")</f>
        <v/>
      </c>
      <c r="L1608" s="78" t="n"/>
      <c r="M1608" s="78">
        <f>IF(ISBLANK(L1608),"",IF(D1608="Stock",IF(C1608="Buy",L1608*G1608,IF(C1608="Sell",(L1608*G1608)-I1608, X)),IF(C1608="Buy",(L1608*G1608*100)+I1608,IF(C1608="Sell",(L1608*G1608*100)-I1608, X))))</f>
        <v/>
      </c>
      <c r="N1608" s="78">
        <f>IF(ISBLANK(L1608),"",IF(AND(C1608="Sell",D1608="Stock"),M1608,IF(ISBLANK(L1608),"",IF(C1608="Buy",M1608, IF(AND(C1608="Sell",J1608="NA"),(E1608*G1608*100*0.1)+I1608, IF(C1608="Sell",(J1608-L1608)*(100*G1608)+I1608))))))</f>
        <v/>
      </c>
      <c r="O1608" s="75" t="n"/>
      <c r="P1608" s="75" t="n"/>
      <c r="Q1608" s="75">
        <f>IF(ISBLANK(P1608),"",IF(D1608="Stock",P1608*G1608,IF(P1608=0,"0",G1608*P1608*100-(G1608*$AF$14))))</f>
        <v/>
      </c>
      <c r="R1608" s="79">
        <f>IF(P1608&lt;&gt;"", TODAY(), "")</f>
        <v/>
      </c>
      <c r="S1608" s="78">
        <f>IF(AND(K1608&lt;&gt;"", R1608&lt;&gt;""), R1608-K1608, "")</f>
        <v/>
      </c>
      <c r="T1608" s="78" t="n"/>
      <c r="U1608" s="92">
        <f>IF(ISBLANK(P1608),"",IF(C1608="Buy",Q1608-M1608+T1608, IF(C1608="Sell",M1608-Q1608-T1608, X)))</f>
        <v/>
      </c>
      <c r="V1608" s="81">
        <f>IF(ISBLANK(P1608),"",U1608/N1608)</f>
        <v/>
      </c>
      <c r="W1608" s="81">
        <f>IF(ISBLANK(P1608),"",IF(S1608=0,(365/0.5)*V1608,(365/S1608)*V1608))</f>
        <v/>
      </c>
      <c r="X1608" s="75" t="n"/>
      <c r="Y1608" s="77" t="n"/>
      <c r="Z1608" s="77" t="n"/>
      <c r="AA1608" s="75" t="n"/>
      <c r="AB1608" s="75" t="n"/>
      <c r="AC1608" s="6" t="n"/>
      <c r="AD1608" s="75" t="n"/>
      <c r="AE1608" s="75" t="n"/>
      <c r="AF1608" s="75" t="n"/>
    </row>
    <row r="1609" ht="15.75" customHeight="1" s="133">
      <c r="A1609" s="75" t="n"/>
      <c r="B1609" s="75" t="n"/>
      <c r="C1609" s="75" t="n"/>
      <c r="D1609" s="75" t="n"/>
      <c r="E1609" s="76" t="n"/>
      <c r="F1609" s="77" t="n"/>
      <c r="G1609" s="75" t="n"/>
      <c r="H1609" s="75">
        <f>IF(ISBLANK(E1609),"",IF(OR(D1609="Butterfly",D1609="Butterfly ",D1609="Iron Fly", D1609="Iron Fly "),LEN(E1609)-LEN(SUBSTITUTE(E1609,"/",""))+2,LEN(E1609)-LEN(SUBSTITUTE(E1609,"/",""))+1))</f>
        <v/>
      </c>
      <c r="I1609" s="78">
        <f>IF(ISBLANK(G1609),"",IF(D1609="Stock","0",Key!$A$3*H1609*G1609))</f>
        <v/>
      </c>
      <c r="J1609" s="78">
        <f>IF(ISBLANK(E1609),"",IF(ISNUMBER(SEARCH("/",E1609)), IF(LEN(E1609)-LEN(SUBSTITUTE(E1609,"/",""))=1,(RIGHT(E1609,LEN(E1609)-FIND("/",E1609)))-(LEFT(E1609,FIND("/",E1609)-1)),(MID(E1609, SEARCH("/",E1609) + 1, SEARCH("/",E1609, SEARCH("/",E1609)+1) - SEARCH("/",E1609) - 1))-(LEFT(E1609,FIND("/",E1609)-1))), "NA"))</f>
        <v/>
      </c>
      <c r="K1609" s="79">
        <f>IF(A1609&lt;&gt;"", IF(ISBLANK(L1609), TODAY(), K1609), "")</f>
        <v/>
      </c>
      <c r="L1609" s="78" t="n"/>
      <c r="M1609" s="78">
        <f>IF(ISBLANK(L1609),"",IF(D1609="Stock",IF(C1609="Buy",L1609*G1609,IF(C1609="Sell",(L1609*G1609)-I1609, X)),IF(C1609="Buy",(L1609*G1609*100)+I1609,IF(C1609="Sell",(L1609*G1609*100)-I1609, X))))</f>
        <v/>
      </c>
      <c r="N1609" s="78">
        <f>IF(ISBLANK(L1609),"",IF(AND(C1609="Sell",D1609="Stock"),M1609,IF(ISBLANK(L1609),"",IF(C1609="Buy",M1609, IF(AND(C1609="Sell",J1609="NA"),(E1609*G1609*100*0.1)+I1609, IF(C1609="Sell",(J1609-L1609)*(100*G1609)+I1609))))))</f>
        <v/>
      </c>
      <c r="O1609" s="75" t="n"/>
      <c r="P1609" s="75" t="n"/>
      <c r="Q1609" s="75">
        <f>IF(ISBLANK(P1609),"",IF(D1609="Stock",P1609*G1609,IF(P1609=0,"0",G1609*P1609*100-(G1609*$AF$14))))</f>
        <v/>
      </c>
      <c r="R1609" s="79">
        <f>IF(P1609&lt;&gt;"", TODAY(), "")</f>
        <v/>
      </c>
      <c r="S1609" s="78">
        <f>IF(AND(K1609&lt;&gt;"", R1609&lt;&gt;""), R1609-K1609, "")</f>
        <v/>
      </c>
      <c r="T1609" s="78" t="n"/>
      <c r="U1609" s="92">
        <f>IF(ISBLANK(P1609),"",IF(C1609="Buy",Q1609-M1609+T1609, IF(C1609="Sell",M1609-Q1609-T1609, X)))</f>
        <v/>
      </c>
      <c r="V1609" s="81">
        <f>IF(ISBLANK(P1609),"",U1609/N1609)</f>
        <v/>
      </c>
      <c r="W1609" s="81">
        <f>IF(ISBLANK(P1609),"",IF(S1609=0,(365/0.5)*V1609,(365/S1609)*V1609))</f>
        <v/>
      </c>
      <c r="X1609" s="75" t="n"/>
      <c r="Y1609" s="77" t="n"/>
      <c r="Z1609" s="77" t="n"/>
      <c r="AA1609" s="75" t="n"/>
      <c r="AB1609" s="75" t="n"/>
      <c r="AC1609" s="6" t="n"/>
      <c r="AD1609" s="75" t="n"/>
      <c r="AE1609" s="75" t="n"/>
      <c r="AF1609" s="75" t="n"/>
    </row>
    <row r="1610" ht="15.75" customHeight="1" s="133">
      <c r="A1610" s="75" t="n"/>
      <c r="B1610" s="75" t="n"/>
      <c r="C1610" s="75" t="n"/>
      <c r="D1610" s="75" t="n"/>
      <c r="E1610" s="76" t="n"/>
      <c r="F1610" s="77" t="n"/>
      <c r="G1610" s="75" t="n"/>
      <c r="H1610" s="75">
        <f>IF(ISBLANK(E1610),"",IF(OR(D1610="Butterfly",D1610="Butterfly ",D1610="Iron Fly", D1610="Iron Fly "),LEN(E1610)-LEN(SUBSTITUTE(E1610,"/",""))+2,LEN(E1610)-LEN(SUBSTITUTE(E1610,"/",""))+1))</f>
        <v/>
      </c>
      <c r="I1610" s="78">
        <f>IF(ISBLANK(G1610),"",IF(D1610="Stock","0",Key!$A$3*H1610*G1610))</f>
        <v/>
      </c>
      <c r="J1610" s="78">
        <f>IF(ISBLANK(E1610),"",IF(ISNUMBER(SEARCH("/",E1610)), IF(LEN(E1610)-LEN(SUBSTITUTE(E1610,"/",""))=1,(RIGHT(E1610,LEN(E1610)-FIND("/",E1610)))-(LEFT(E1610,FIND("/",E1610)-1)),(MID(E1610, SEARCH("/",E1610) + 1, SEARCH("/",E1610, SEARCH("/",E1610)+1) - SEARCH("/",E1610) - 1))-(LEFT(E1610,FIND("/",E1610)-1))), "NA"))</f>
        <v/>
      </c>
      <c r="K1610" s="79">
        <f>IF(A1610&lt;&gt;"", IF(ISBLANK(L1610), TODAY(), K1610), "")</f>
        <v/>
      </c>
      <c r="L1610" s="78" t="n"/>
      <c r="M1610" s="78">
        <f>IF(ISBLANK(L1610),"",IF(D1610="Stock",IF(C1610="Buy",L1610*G1610,IF(C1610="Sell",(L1610*G1610)-I1610, X)),IF(C1610="Buy",(L1610*G1610*100)+I1610,IF(C1610="Sell",(L1610*G1610*100)-I1610, X))))</f>
        <v/>
      </c>
      <c r="N1610" s="78">
        <f>IF(ISBLANK(L1610),"",IF(AND(C1610="Sell",D1610="Stock"),M1610,IF(ISBLANK(L1610),"",IF(C1610="Buy",M1610, IF(AND(C1610="Sell",J1610="NA"),(E1610*G1610*100*0.1)+I1610, IF(C1610="Sell",(J1610-L1610)*(100*G1610)+I1610))))))</f>
        <v/>
      </c>
      <c r="O1610" s="75" t="n"/>
      <c r="P1610" s="75" t="n"/>
      <c r="Q1610" s="75">
        <f>IF(ISBLANK(P1610),"",IF(D1610="Stock",P1610*G1610,IF(P1610=0,"0",G1610*P1610*100-(G1610*$AF$14))))</f>
        <v/>
      </c>
      <c r="R1610" s="79">
        <f>IF(P1610&lt;&gt;"", TODAY(), "")</f>
        <v/>
      </c>
      <c r="S1610" s="78">
        <f>IF(AND(K1610&lt;&gt;"", R1610&lt;&gt;""), R1610-K1610, "")</f>
        <v/>
      </c>
      <c r="T1610" s="78" t="n"/>
      <c r="U1610" s="92">
        <f>IF(ISBLANK(P1610),"",IF(C1610="Buy",Q1610-M1610+T1610, IF(C1610="Sell",M1610-Q1610-T1610, X)))</f>
        <v/>
      </c>
      <c r="V1610" s="81">
        <f>IF(ISBLANK(P1610),"",U1610/N1610)</f>
        <v/>
      </c>
      <c r="W1610" s="81">
        <f>IF(ISBLANK(P1610),"",IF(S1610=0,(365/0.5)*V1610,(365/S1610)*V1610))</f>
        <v/>
      </c>
      <c r="X1610" s="75" t="n"/>
      <c r="Y1610" s="77" t="n"/>
      <c r="Z1610" s="77" t="n"/>
      <c r="AA1610" s="75" t="n"/>
      <c r="AB1610" s="75" t="n"/>
      <c r="AC1610" s="6" t="n"/>
      <c r="AD1610" s="75" t="n"/>
      <c r="AE1610" s="75" t="n"/>
      <c r="AF1610" s="75" t="n"/>
    </row>
    <row r="1611" ht="15.75" customHeight="1" s="133">
      <c r="A1611" s="75" t="n"/>
      <c r="B1611" s="75" t="n"/>
      <c r="C1611" s="75" t="n"/>
      <c r="D1611" s="75" t="n"/>
      <c r="E1611" s="76" t="n"/>
      <c r="F1611" s="77" t="n"/>
      <c r="G1611" s="75" t="n"/>
      <c r="H1611" s="75">
        <f>IF(ISBLANK(E1611),"",IF(OR(D1611="Butterfly",D1611="Butterfly ",D1611="Iron Fly", D1611="Iron Fly "),LEN(E1611)-LEN(SUBSTITUTE(E1611,"/",""))+2,LEN(E1611)-LEN(SUBSTITUTE(E1611,"/",""))+1))</f>
        <v/>
      </c>
      <c r="I1611" s="78">
        <f>IF(ISBLANK(G1611),"",IF(D1611="Stock","0",Key!$A$3*H1611*G1611))</f>
        <v/>
      </c>
      <c r="J1611" s="78">
        <f>IF(ISBLANK(E1611),"",IF(ISNUMBER(SEARCH("/",E1611)), IF(LEN(E1611)-LEN(SUBSTITUTE(E1611,"/",""))=1,(RIGHT(E1611,LEN(E1611)-FIND("/",E1611)))-(LEFT(E1611,FIND("/",E1611)-1)),(MID(E1611, SEARCH("/",E1611) + 1, SEARCH("/",E1611, SEARCH("/",E1611)+1) - SEARCH("/",E1611) - 1))-(LEFT(E1611,FIND("/",E1611)-1))), "NA"))</f>
        <v/>
      </c>
      <c r="K1611" s="79">
        <f>IF(A1611&lt;&gt;"", IF(ISBLANK(L1611), TODAY(), K1611), "")</f>
        <v/>
      </c>
      <c r="L1611" s="78" t="n"/>
      <c r="M1611" s="78">
        <f>IF(ISBLANK(L1611),"",IF(D1611="Stock",IF(C1611="Buy",L1611*G1611,IF(C1611="Sell",(L1611*G1611)-I1611, X)),IF(C1611="Buy",(L1611*G1611*100)+I1611,IF(C1611="Sell",(L1611*G1611*100)-I1611, X))))</f>
        <v/>
      </c>
      <c r="N1611" s="78">
        <f>IF(ISBLANK(L1611),"",IF(AND(C1611="Sell",D1611="Stock"),M1611,IF(ISBLANK(L1611),"",IF(C1611="Buy",M1611, IF(AND(C1611="Sell",J1611="NA"),(E1611*G1611*100*0.1)+I1611, IF(C1611="Sell",(J1611-L1611)*(100*G1611)+I1611))))))</f>
        <v/>
      </c>
      <c r="O1611" s="75" t="n"/>
      <c r="P1611" s="75" t="n"/>
      <c r="Q1611" s="75">
        <f>IF(ISBLANK(P1611),"",IF(D1611="Stock",P1611*G1611,IF(P1611=0,"0",G1611*P1611*100-(G1611*$AF$14))))</f>
        <v/>
      </c>
      <c r="R1611" s="79">
        <f>IF(P1611&lt;&gt;"", TODAY(), "")</f>
        <v/>
      </c>
      <c r="S1611" s="78">
        <f>IF(AND(K1611&lt;&gt;"", R1611&lt;&gt;""), R1611-K1611, "")</f>
        <v/>
      </c>
      <c r="T1611" s="78" t="n"/>
      <c r="U1611" s="92">
        <f>IF(ISBLANK(P1611),"",IF(C1611="Buy",Q1611-M1611+T1611, IF(C1611="Sell",M1611-Q1611-T1611, X)))</f>
        <v/>
      </c>
      <c r="V1611" s="81">
        <f>IF(ISBLANK(P1611),"",U1611/N1611)</f>
        <v/>
      </c>
      <c r="W1611" s="81">
        <f>IF(ISBLANK(P1611),"",IF(S1611=0,(365/0.5)*V1611,(365/S1611)*V1611))</f>
        <v/>
      </c>
      <c r="X1611" s="75" t="n"/>
      <c r="Y1611" s="77" t="n"/>
      <c r="Z1611" s="77" t="n"/>
      <c r="AA1611" s="75" t="n"/>
      <c r="AB1611" s="75" t="n"/>
      <c r="AC1611" s="6" t="n"/>
      <c r="AD1611" s="75" t="n"/>
      <c r="AE1611" s="75" t="n"/>
      <c r="AF1611" s="75" t="n"/>
    </row>
    <row r="1612" ht="15.75" customHeight="1" s="133">
      <c r="A1612" s="75" t="n"/>
      <c r="B1612" s="75" t="n"/>
      <c r="C1612" s="75" t="n"/>
      <c r="D1612" s="75" t="n"/>
      <c r="E1612" s="76" t="n"/>
      <c r="F1612" s="77" t="n"/>
      <c r="G1612" s="75" t="n"/>
      <c r="H1612" s="75">
        <f>IF(ISBLANK(E1612),"",IF(OR(D1612="Butterfly",D1612="Butterfly ",D1612="Iron Fly", D1612="Iron Fly "),LEN(E1612)-LEN(SUBSTITUTE(E1612,"/",""))+2,LEN(E1612)-LEN(SUBSTITUTE(E1612,"/",""))+1))</f>
        <v/>
      </c>
      <c r="I1612" s="78">
        <f>IF(ISBLANK(G1612),"",IF(D1612="Stock","0",Key!$A$3*H1612*G1612))</f>
        <v/>
      </c>
      <c r="J1612" s="78">
        <f>IF(ISBLANK(E1612),"",IF(ISNUMBER(SEARCH("/",E1612)), IF(LEN(E1612)-LEN(SUBSTITUTE(E1612,"/",""))=1,(RIGHT(E1612,LEN(E1612)-FIND("/",E1612)))-(LEFT(E1612,FIND("/",E1612)-1)),(MID(E1612, SEARCH("/",E1612) + 1, SEARCH("/",E1612, SEARCH("/",E1612)+1) - SEARCH("/",E1612) - 1))-(LEFT(E1612,FIND("/",E1612)-1))), "NA"))</f>
        <v/>
      </c>
      <c r="K1612" s="79">
        <f>IF(A1612&lt;&gt;"", IF(ISBLANK(L1612), TODAY(), K1612), "")</f>
        <v/>
      </c>
      <c r="L1612" s="78" t="n"/>
      <c r="M1612" s="78">
        <f>IF(ISBLANK(L1612),"",IF(D1612="Stock",IF(C1612="Buy",L1612*G1612,IF(C1612="Sell",(L1612*G1612)-I1612, X)),IF(C1612="Buy",(L1612*G1612*100)+I1612,IF(C1612="Sell",(L1612*G1612*100)-I1612, X))))</f>
        <v/>
      </c>
      <c r="N1612" s="78">
        <f>IF(ISBLANK(L1612),"",IF(AND(C1612="Sell",D1612="Stock"),M1612,IF(ISBLANK(L1612),"",IF(C1612="Buy",M1612, IF(AND(C1612="Sell",J1612="NA"),(E1612*G1612*100*0.1)+I1612, IF(C1612="Sell",(J1612-L1612)*(100*G1612)+I1612))))))</f>
        <v/>
      </c>
      <c r="O1612" s="75" t="n"/>
      <c r="P1612" s="75" t="n"/>
      <c r="Q1612" s="75">
        <f>IF(ISBLANK(P1612),"",IF(D1612="Stock",P1612*G1612,IF(P1612=0,"0",G1612*P1612*100-(G1612*$AF$14))))</f>
        <v/>
      </c>
      <c r="R1612" s="79">
        <f>IF(P1612&lt;&gt;"", TODAY(), "")</f>
        <v/>
      </c>
      <c r="S1612" s="78">
        <f>IF(AND(K1612&lt;&gt;"", R1612&lt;&gt;""), R1612-K1612, "")</f>
        <v/>
      </c>
      <c r="T1612" s="78" t="n"/>
      <c r="U1612" s="92">
        <f>IF(ISBLANK(P1612),"",IF(C1612="Buy",Q1612-M1612+T1612, IF(C1612="Sell",M1612-Q1612-T1612, X)))</f>
        <v/>
      </c>
      <c r="V1612" s="81">
        <f>IF(ISBLANK(P1612),"",U1612/N1612)</f>
        <v/>
      </c>
      <c r="W1612" s="81">
        <f>IF(ISBLANK(P1612),"",IF(S1612=0,(365/0.5)*V1612,(365/S1612)*V1612))</f>
        <v/>
      </c>
      <c r="X1612" s="75" t="n"/>
      <c r="Y1612" s="77" t="n"/>
      <c r="Z1612" s="77" t="n"/>
      <c r="AA1612" s="75" t="n"/>
      <c r="AB1612" s="75" t="n"/>
      <c r="AC1612" s="6" t="n"/>
      <c r="AD1612" s="75" t="n"/>
      <c r="AE1612" s="75" t="n"/>
      <c r="AF1612" s="75" t="n"/>
    </row>
    <row r="1613" ht="15.75" customHeight="1" s="133">
      <c r="A1613" s="75" t="n"/>
      <c r="B1613" s="75" t="n"/>
      <c r="C1613" s="75" t="n"/>
      <c r="D1613" s="75" t="n"/>
      <c r="E1613" s="76" t="n"/>
      <c r="F1613" s="77" t="n"/>
      <c r="G1613" s="75" t="n"/>
      <c r="H1613" s="75">
        <f>IF(ISBLANK(E1613),"",IF(OR(D1613="Butterfly",D1613="Butterfly ",D1613="Iron Fly", D1613="Iron Fly "),LEN(E1613)-LEN(SUBSTITUTE(E1613,"/",""))+2,LEN(E1613)-LEN(SUBSTITUTE(E1613,"/",""))+1))</f>
        <v/>
      </c>
      <c r="I1613" s="78">
        <f>IF(ISBLANK(G1613),"",IF(D1613="Stock","0",Key!$A$3*H1613*G1613))</f>
        <v/>
      </c>
      <c r="J1613" s="78">
        <f>IF(ISBLANK(E1613),"",IF(ISNUMBER(SEARCH("/",E1613)), IF(LEN(E1613)-LEN(SUBSTITUTE(E1613,"/",""))=1,(RIGHT(E1613,LEN(E1613)-FIND("/",E1613)))-(LEFT(E1613,FIND("/",E1613)-1)),(MID(E1613, SEARCH("/",E1613) + 1, SEARCH("/",E1613, SEARCH("/",E1613)+1) - SEARCH("/",E1613) - 1))-(LEFT(E1613,FIND("/",E1613)-1))), "NA"))</f>
        <v/>
      </c>
      <c r="K1613" s="79">
        <f>IF(A1613&lt;&gt;"", IF(ISBLANK(L1613), TODAY(), K1613), "")</f>
        <v/>
      </c>
      <c r="L1613" s="78" t="n"/>
      <c r="M1613" s="78">
        <f>IF(ISBLANK(L1613),"",IF(D1613="Stock",IF(C1613="Buy",L1613*G1613,IF(C1613="Sell",(L1613*G1613)-I1613, X)),IF(C1613="Buy",(L1613*G1613*100)+I1613,IF(C1613="Sell",(L1613*G1613*100)-I1613, X))))</f>
        <v/>
      </c>
      <c r="N1613" s="78">
        <f>IF(ISBLANK(L1613),"",IF(AND(C1613="Sell",D1613="Stock"),M1613,IF(ISBLANK(L1613),"",IF(C1613="Buy",M1613, IF(AND(C1613="Sell",J1613="NA"),(E1613*G1613*100*0.1)+I1613, IF(C1613="Sell",(J1613-L1613)*(100*G1613)+I1613))))))</f>
        <v/>
      </c>
      <c r="O1613" s="75" t="n"/>
      <c r="P1613" s="75" t="n"/>
      <c r="Q1613" s="75">
        <f>IF(ISBLANK(P1613),"",IF(D1613="Stock",P1613*G1613,IF(P1613=0,"0",G1613*P1613*100-(G1613*$AF$14))))</f>
        <v/>
      </c>
      <c r="R1613" s="79">
        <f>IF(P1613&lt;&gt;"", TODAY(), "")</f>
        <v/>
      </c>
      <c r="S1613" s="78">
        <f>IF(AND(K1613&lt;&gt;"", R1613&lt;&gt;""), R1613-K1613, "")</f>
        <v/>
      </c>
      <c r="T1613" s="78" t="n"/>
      <c r="U1613" s="92">
        <f>IF(ISBLANK(P1613),"",IF(C1613="Buy",Q1613-M1613+T1613, IF(C1613="Sell",M1613-Q1613-T1613, X)))</f>
        <v/>
      </c>
      <c r="V1613" s="81">
        <f>IF(ISBLANK(P1613),"",U1613/N1613)</f>
        <v/>
      </c>
      <c r="W1613" s="81">
        <f>IF(ISBLANK(P1613),"",IF(S1613=0,(365/0.5)*V1613,(365/S1613)*V1613))</f>
        <v/>
      </c>
      <c r="X1613" s="75" t="n"/>
      <c r="Y1613" s="77" t="n"/>
      <c r="Z1613" s="77" t="n"/>
      <c r="AA1613" s="75" t="n"/>
      <c r="AB1613" s="75" t="n"/>
      <c r="AC1613" s="6" t="n"/>
      <c r="AD1613" s="75" t="n"/>
      <c r="AE1613" s="75" t="n"/>
      <c r="AF1613" s="75" t="n"/>
    </row>
    <row r="1614" ht="15.75" customHeight="1" s="133">
      <c r="A1614" s="75" t="n"/>
      <c r="B1614" s="75" t="n"/>
      <c r="C1614" s="75" t="n"/>
      <c r="D1614" s="75" t="n"/>
      <c r="E1614" s="76" t="n"/>
      <c r="F1614" s="77" t="n"/>
      <c r="G1614" s="75" t="n"/>
      <c r="H1614" s="75">
        <f>IF(ISBLANK(E1614),"",IF(OR(D1614="Butterfly",D1614="Butterfly ",D1614="Iron Fly", D1614="Iron Fly "),LEN(E1614)-LEN(SUBSTITUTE(E1614,"/",""))+2,LEN(E1614)-LEN(SUBSTITUTE(E1614,"/",""))+1))</f>
        <v/>
      </c>
      <c r="I1614" s="78">
        <f>IF(ISBLANK(G1614),"",IF(D1614="Stock","0",Key!$A$3*H1614*G1614))</f>
        <v/>
      </c>
      <c r="J1614" s="78">
        <f>IF(ISBLANK(E1614),"",IF(ISNUMBER(SEARCH("/",E1614)), IF(LEN(E1614)-LEN(SUBSTITUTE(E1614,"/",""))=1,(RIGHT(E1614,LEN(E1614)-FIND("/",E1614)))-(LEFT(E1614,FIND("/",E1614)-1)),(MID(E1614, SEARCH("/",E1614) + 1, SEARCH("/",E1614, SEARCH("/",E1614)+1) - SEARCH("/",E1614) - 1))-(LEFT(E1614,FIND("/",E1614)-1))), "NA"))</f>
        <v/>
      </c>
      <c r="K1614" s="79">
        <f>IF(A1614&lt;&gt;"", IF(ISBLANK(L1614), TODAY(), K1614), "")</f>
        <v/>
      </c>
      <c r="L1614" s="78" t="n"/>
      <c r="M1614" s="78">
        <f>IF(ISBLANK(L1614),"",IF(D1614="Stock",IF(C1614="Buy",L1614*G1614,IF(C1614="Sell",(L1614*G1614)-I1614, X)),IF(C1614="Buy",(L1614*G1614*100)+I1614,IF(C1614="Sell",(L1614*G1614*100)-I1614, X))))</f>
        <v/>
      </c>
      <c r="N1614" s="78">
        <f>IF(ISBLANK(L1614),"",IF(AND(C1614="Sell",D1614="Stock"),M1614,IF(ISBLANK(L1614),"",IF(C1614="Buy",M1614, IF(AND(C1614="Sell",J1614="NA"),(E1614*G1614*100*0.1)+I1614, IF(C1614="Sell",(J1614-L1614)*(100*G1614)+I1614))))))</f>
        <v/>
      </c>
      <c r="O1614" s="75" t="n"/>
      <c r="P1614" s="75" t="n"/>
      <c r="Q1614" s="75">
        <f>IF(ISBLANK(P1614),"",IF(D1614="Stock",P1614*G1614,IF(P1614=0,"0",G1614*P1614*100-(G1614*$AF$14))))</f>
        <v/>
      </c>
      <c r="R1614" s="79">
        <f>IF(P1614&lt;&gt;"", TODAY(), "")</f>
        <v/>
      </c>
      <c r="S1614" s="78">
        <f>IF(AND(K1614&lt;&gt;"", R1614&lt;&gt;""), R1614-K1614, "")</f>
        <v/>
      </c>
      <c r="T1614" s="78" t="n"/>
      <c r="U1614" s="92">
        <f>IF(ISBLANK(P1614),"",IF(C1614="Buy",Q1614-M1614+T1614, IF(C1614="Sell",M1614-Q1614-T1614, X)))</f>
        <v/>
      </c>
      <c r="V1614" s="81">
        <f>IF(ISBLANK(P1614),"",U1614/N1614)</f>
        <v/>
      </c>
      <c r="W1614" s="81">
        <f>IF(ISBLANK(P1614),"",IF(S1614=0,(365/0.5)*V1614,(365/S1614)*V1614))</f>
        <v/>
      </c>
      <c r="X1614" s="75" t="n"/>
      <c r="Y1614" s="77" t="n"/>
      <c r="Z1614" s="77" t="n"/>
      <c r="AA1614" s="75" t="n"/>
      <c r="AB1614" s="75" t="n"/>
      <c r="AC1614" s="6" t="n"/>
      <c r="AD1614" s="75" t="n"/>
      <c r="AE1614" s="75" t="n"/>
      <c r="AF1614" s="75" t="n"/>
    </row>
    <row r="1615" ht="15.75" customHeight="1" s="133">
      <c r="A1615" s="75" t="n"/>
      <c r="B1615" s="75" t="n"/>
      <c r="C1615" s="75" t="n"/>
      <c r="D1615" s="75" t="n"/>
      <c r="E1615" s="76" t="n"/>
      <c r="F1615" s="77" t="n"/>
      <c r="G1615" s="75" t="n"/>
      <c r="H1615" s="75">
        <f>IF(ISBLANK(E1615),"",IF(OR(D1615="Butterfly",D1615="Butterfly ",D1615="Iron Fly", D1615="Iron Fly "),LEN(E1615)-LEN(SUBSTITUTE(E1615,"/",""))+2,LEN(E1615)-LEN(SUBSTITUTE(E1615,"/",""))+1))</f>
        <v/>
      </c>
      <c r="I1615" s="78">
        <f>IF(ISBLANK(G1615),"",IF(D1615="Stock","0",Key!$A$3*H1615*G1615))</f>
        <v/>
      </c>
      <c r="J1615" s="78">
        <f>IF(ISBLANK(E1615),"",IF(ISNUMBER(SEARCH("/",E1615)), IF(LEN(E1615)-LEN(SUBSTITUTE(E1615,"/",""))=1,(RIGHT(E1615,LEN(E1615)-FIND("/",E1615)))-(LEFT(E1615,FIND("/",E1615)-1)),(MID(E1615, SEARCH("/",E1615) + 1, SEARCH("/",E1615, SEARCH("/",E1615)+1) - SEARCH("/",E1615) - 1))-(LEFT(E1615,FIND("/",E1615)-1))), "NA"))</f>
        <v/>
      </c>
      <c r="K1615" s="79">
        <f>IF(A1615&lt;&gt;"", IF(ISBLANK(L1615), TODAY(), K1615), "")</f>
        <v/>
      </c>
      <c r="L1615" s="78" t="n"/>
      <c r="M1615" s="78">
        <f>IF(ISBLANK(L1615),"",IF(D1615="Stock",IF(C1615="Buy",L1615*G1615,IF(C1615="Sell",(L1615*G1615)-I1615, X)),IF(C1615="Buy",(L1615*G1615*100)+I1615,IF(C1615="Sell",(L1615*G1615*100)-I1615, X))))</f>
        <v/>
      </c>
      <c r="N1615" s="78">
        <f>IF(ISBLANK(L1615),"",IF(AND(C1615="Sell",D1615="Stock"),M1615,IF(ISBLANK(L1615),"",IF(C1615="Buy",M1615, IF(AND(C1615="Sell",J1615="NA"),(E1615*G1615*100*0.1)+I1615, IF(C1615="Sell",(J1615-L1615)*(100*G1615)+I1615))))))</f>
        <v/>
      </c>
      <c r="O1615" s="75" t="n"/>
      <c r="P1615" s="75" t="n"/>
      <c r="Q1615" s="75">
        <f>IF(ISBLANK(P1615),"",IF(D1615="Stock",P1615*G1615,IF(P1615=0,"0",G1615*P1615*100-(G1615*$AF$14))))</f>
        <v/>
      </c>
      <c r="R1615" s="79">
        <f>IF(P1615&lt;&gt;"", TODAY(), "")</f>
        <v/>
      </c>
      <c r="S1615" s="78">
        <f>IF(AND(K1615&lt;&gt;"", R1615&lt;&gt;""), R1615-K1615, "")</f>
        <v/>
      </c>
      <c r="T1615" s="78" t="n"/>
      <c r="U1615" s="92">
        <f>IF(ISBLANK(P1615),"",IF(C1615="Buy",Q1615-M1615+T1615, IF(C1615="Sell",M1615-Q1615-T1615, X)))</f>
        <v/>
      </c>
      <c r="V1615" s="81">
        <f>IF(ISBLANK(P1615),"",U1615/N1615)</f>
        <v/>
      </c>
      <c r="W1615" s="81">
        <f>IF(ISBLANK(P1615),"",IF(S1615=0,(365/0.5)*V1615,(365/S1615)*V1615))</f>
        <v/>
      </c>
      <c r="X1615" s="75" t="n"/>
      <c r="Y1615" s="77" t="n"/>
      <c r="Z1615" s="77" t="n"/>
      <c r="AA1615" s="75" t="n"/>
      <c r="AB1615" s="75" t="n"/>
      <c r="AC1615" s="6" t="n"/>
      <c r="AD1615" s="75" t="n"/>
      <c r="AE1615" s="75" t="n"/>
      <c r="AF1615" s="75" t="n"/>
    </row>
    <row r="1616" ht="15.75" customHeight="1" s="133">
      <c r="A1616" s="75" t="n"/>
      <c r="B1616" s="75" t="n"/>
      <c r="C1616" s="75" t="n"/>
      <c r="D1616" s="75" t="n"/>
      <c r="E1616" s="76" t="n"/>
      <c r="F1616" s="77" t="n"/>
      <c r="G1616" s="75" t="n"/>
      <c r="H1616" s="75">
        <f>IF(ISBLANK(E1616),"",IF(OR(D1616="Butterfly",D1616="Butterfly ",D1616="Iron Fly", D1616="Iron Fly "),LEN(E1616)-LEN(SUBSTITUTE(E1616,"/",""))+2,LEN(E1616)-LEN(SUBSTITUTE(E1616,"/",""))+1))</f>
        <v/>
      </c>
      <c r="I1616" s="78">
        <f>IF(ISBLANK(G1616),"",IF(D1616="Stock","0",Key!$A$3*H1616*G1616))</f>
        <v/>
      </c>
      <c r="J1616" s="78">
        <f>IF(ISBLANK(E1616),"",IF(ISNUMBER(SEARCH("/",E1616)), IF(LEN(E1616)-LEN(SUBSTITUTE(E1616,"/",""))=1,(RIGHT(E1616,LEN(E1616)-FIND("/",E1616)))-(LEFT(E1616,FIND("/",E1616)-1)),(MID(E1616, SEARCH("/",E1616) + 1, SEARCH("/",E1616, SEARCH("/",E1616)+1) - SEARCH("/",E1616) - 1))-(LEFT(E1616,FIND("/",E1616)-1))), "NA"))</f>
        <v/>
      </c>
      <c r="K1616" s="79">
        <f>IF(A1616&lt;&gt;"", IF(ISBLANK(L1616), TODAY(), K1616), "")</f>
        <v/>
      </c>
      <c r="L1616" s="78" t="n"/>
      <c r="M1616" s="78">
        <f>IF(ISBLANK(L1616),"",IF(D1616="Stock",IF(C1616="Buy",L1616*G1616,IF(C1616="Sell",(L1616*G1616)-I1616, X)),IF(C1616="Buy",(L1616*G1616*100)+I1616,IF(C1616="Sell",(L1616*G1616*100)-I1616, X))))</f>
        <v/>
      </c>
      <c r="N1616" s="78">
        <f>IF(ISBLANK(L1616),"",IF(AND(C1616="Sell",D1616="Stock"),M1616,IF(ISBLANK(L1616),"",IF(C1616="Buy",M1616, IF(AND(C1616="Sell",J1616="NA"),(E1616*G1616*100*0.1)+I1616, IF(C1616="Sell",(J1616-L1616)*(100*G1616)+I1616))))))</f>
        <v/>
      </c>
      <c r="O1616" s="75" t="n"/>
      <c r="P1616" s="75" t="n"/>
      <c r="Q1616" s="75">
        <f>IF(ISBLANK(P1616),"",IF(D1616="Stock",P1616*G1616,IF(P1616=0,"0",G1616*P1616*100-(G1616*$AF$14))))</f>
        <v/>
      </c>
      <c r="R1616" s="79">
        <f>IF(P1616&lt;&gt;"", TODAY(), "")</f>
        <v/>
      </c>
      <c r="S1616" s="78">
        <f>IF(AND(K1616&lt;&gt;"", R1616&lt;&gt;""), R1616-K1616, "")</f>
        <v/>
      </c>
      <c r="T1616" s="78" t="n"/>
      <c r="U1616" s="92">
        <f>IF(ISBLANK(P1616),"",IF(C1616="Buy",Q1616-M1616+T1616, IF(C1616="Sell",M1616-Q1616-T1616, X)))</f>
        <v/>
      </c>
      <c r="V1616" s="81">
        <f>IF(ISBLANK(P1616),"",U1616/N1616)</f>
        <v/>
      </c>
      <c r="W1616" s="81">
        <f>IF(ISBLANK(P1616),"",IF(S1616=0,(365/0.5)*V1616,(365/S1616)*V1616))</f>
        <v/>
      </c>
      <c r="X1616" s="75" t="n"/>
      <c r="Y1616" s="77" t="n"/>
      <c r="Z1616" s="77" t="n"/>
      <c r="AA1616" s="75" t="n"/>
      <c r="AB1616" s="75" t="n"/>
      <c r="AC1616" s="6" t="n"/>
      <c r="AD1616" s="75" t="n"/>
      <c r="AE1616" s="75" t="n"/>
      <c r="AF1616" s="75" t="n"/>
    </row>
    <row r="1617" ht="15.75" customHeight="1" s="133">
      <c r="A1617" s="75" t="n"/>
      <c r="B1617" s="75" t="n"/>
      <c r="C1617" s="75" t="n"/>
      <c r="D1617" s="75" t="n"/>
      <c r="E1617" s="76" t="n"/>
      <c r="F1617" s="77" t="n"/>
      <c r="G1617" s="75" t="n"/>
      <c r="H1617" s="75">
        <f>IF(ISBLANK(E1617),"",IF(OR(D1617="Butterfly",D1617="Butterfly ",D1617="Iron Fly", D1617="Iron Fly "),LEN(E1617)-LEN(SUBSTITUTE(E1617,"/",""))+2,LEN(E1617)-LEN(SUBSTITUTE(E1617,"/",""))+1))</f>
        <v/>
      </c>
      <c r="I1617" s="78">
        <f>IF(ISBLANK(G1617),"",IF(D1617="Stock","0",Key!$A$3*H1617*G1617))</f>
        <v/>
      </c>
      <c r="J1617" s="78">
        <f>IF(ISBLANK(E1617),"",IF(ISNUMBER(SEARCH("/",E1617)), IF(LEN(E1617)-LEN(SUBSTITUTE(E1617,"/",""))=1,(RIGHT(E1617,LEN(E1617)-FIND("/",E1617)))-(LEFT(E1617,FIND("/",E1617)-1)),(MID(E1617, SEARCH("/",E1617) + 1, SEARCH("/",E1617, SEARCH("/",E1617)+1) - SEARCH("/",E1617) - 1))-(LEFT(E1617,FIND("/",E1617)-1))), "NA"))</f>
        <v/>
      </c>
      <c r="K1617" s="79">
        <f>IF(A1617&lt;&gt;"", IF(ISBLANK(L1617), TODAY(), K1617), "")</f>
        <v/>
      </c>
      <c r="L1617" s="78" t="n"/>
      <c r="M1617" s="78">
        <f>IF(ISBLANK(L1617),"",IF(D1617="Stock",IF(C1617="Buy",L1617*G1617,IF(C1617="Sell",(L1617*G1617)-I1617, X)),IF(C1617="Buy",(L1617*G1617*100)+I1617,IF(C1617="Sell",(L1617*G1617*100)-I1617, X))))</f>
        <v/>
      </c>
      <c r="N1617" s="78">
        <f>IF(ISBLANK(L1617),"",IF(AND(C1617="Sell",D1617="Stock"),M1617,IF(ISBLANK(L1617),"",IF(C1617="Buy",M1617, IF(AND(C1617="Sell",J1617="NA"),(E1617*G1617*100*0.1)+I1617, IF(C1617="Sell",(J1617-L1617)*(100*G1617)+I1617))))))</f>
        <v/>
      </c>
      <c r="O1617" s="75" t="n"/>
      <c r="P1617" s="75" t="n"/>
      <c r="Q1617" s="75">
        <f>IF(ISBLANK(P1617),"",IF(D1617="Stock",P1617*G1617,IF(P1617=0,"0",G1617*P1617*100-(G1617*$AF$14))))</f>
        <v/>
      </c>
      <c r="R1617" s="79">
        <f>IF(P1617&lt;&gt;"", TODAY(), "")</f>
        <v/>
      </c>
      <c r="S1617" s="78">
        <f>IF(AND(K1617&lt;&gt;"", R1617&lt;&gt;""), R1617-K1617, "")</f>
        <v/>
      </c>
      <c r="T1617" s="78" t="n"/>
      <c r="U1617" s="92">
        <f>IF(ISBLANK(P1617),"",IF(C1617="Buy",Q1617-M1617+T1617, IF(C1617="Sell",M1617-Q1617-T1617, X)))</f>
        <v/>
      </c>
      <c r="V1617" s="81">
        <f>IF(ISBLANK(P1617),"",U1617/N1617)</f>
        <v/>
      </c>
      <c r="W1617" s="81">
        <f>IF(ISBLANK(P1617),"",IF(S1617=0,(365/0.5)*V1617,(365/S1617)*V1617))</f>
        <v/>
      </c>
      <c r="X1617" s="75" t="n"/>
      <c r="Y1617" s="77" t="n"/>
      <c r="Z1617" s="77" t="n"/>
      <c r="AA1617" s="75" t="n"/>
      <c r="AB1617" s="75" t="n"/>
      <c r="AC1617" s="6" t="n"/>
      <c r="AD1617" s="75" t="n"/>
      <c r="AE1617" s="75" t="n"/>
      <c r="AF1617" s="75" t="n"/>
    </row>
    <row r="1618" ht="15.75" customHeight="1" s="133">
      <c r="A1618" s="75" t="n"/>
      <c r="B1618" s="75" t="n"/>
      <c r="C1618" s="75" t="n"/>
      <c r="D1618" s="75" t="n"/>
      <c r="E1618" s="76" t="n"/>
      <c r="F1618" s="77" t="n"/>
      <c r="G1618" s="75" t="n"/>
      <c r="H1618" s="75">
        <f>IF(ISBLANK(E1618),"",IF(OR(D1618="Butterfly",D1618="Butterfly ",D1618="Iron Fly", D1618="Iron Fly "),LEN(E1618)-LEN(SUBSTITUTE(E1618,"/",""))+2,LEN(E1618)-LEN(SUBSTITUTE(E1618,"/",""))+1))</f>
        <v/>
      </c>
      <c r="I1618" s="78">
        <f>IF(ISBLANK(G1618),"",IF(D1618="Stock","0",Key!$A$3*H1618*G1618))</f>
        <v/>
      </c>
      <c r="J1618" s="78">
        <f>IF(ISBLANK(E1618),"",IF(ISNUMBER(SEARCH("/",E1618)), IF(LEN(E1618)-LEN(SUBSTITUTE(E1618,"/",""))=1,(RIGHT(E1618,LEN(E1618)-FIND("/",E1618)))-(LEFT(E1618,FIND("/",E1618)-1)),(MID(E1618, SEARCH("/",E1618) + 1, SEARCH("/",E1618, SEARCH("/",E1618)+1) - SEARCH("/",E1618) - 1))-(LEFT(E1618,FIND("/",E1618)-1))), "NA"))</f>
        <v/>
      </c>
      <c r="K1618" s="79">
        <f>IF(A1618&lt;&gt;"", IF(ISBLANK(L1618), TODAY(), K1618), "")</f>
        <v/>
      </c>
      <c r="L1618" s="78" t="n"/>
      <c r="M1618" s="78">
        <f>IF(ISBLANK(L1618),"",IF(D1618="Stock",IF(C1618="Buy",L1618*G1618,IF(C1618="Sell",(L1618*G1618)-I1618, X)),IF(C1618="Buy",(L1618*G1618*100)+I1618,IF(C1618="Sell",(L1618*G1618*100)-I1618, X))))</f>
        <v/>
      </c>
      <c r="N1618" s="78">
        <f>IF(ISBLANK(L1618),"",IF(AND(C1618="Sell",D1618="Stock"),M1618,IF(ISBLANK(L1618),"",IF(C1618="Buy",M1618, IF(AND(C1618="Sell",J1618="NA"),(E1618*G1618*100*0.1)+I1618, IF(C1618="Sell",(J1618-L1618)*(100*G1618)+I1618))))))</f>
        <v/>
      </c>
      <c r="O1618" s="75" t="n"/>
      <c r="P1618" s="75" t="n"/>
      <c r="Q1618" s="75">
        <f>IF(ISBLANK(P1618),"",IF(D1618="Stock",P1618*G1618,IF(P1618=0,"0",G1618*P1618*100-(G1618*$AF$14))))</f>
        <v/>
      </c>
      <c r="R1618" s="79">
        <f>IF(P1618&lt;&gt;"", TODAY(), "")</f>
        <v/>
      </c>
      <c r="S1618" s="78">
        <f>IF(AND(K1618&lt;&gt;"", R1618&lt;&gt;""), R1618-K1618, "")</f>
        <v/>
      </c>
      <c r="T1618" s="78" t="n"/>
      <c r="U1618" s="92">
        <f>IF(ISBLANK(P1618),"",IF(C1618="Buy",Q1618-M1618+T1618, IF(C1618="Sell",M1618-Q1618-T1618, X)))</f>
        <v/>
      </c>
      <c r="V1618" s="81">
        <f>IF(ISBLANK(P1618),"",U1618/N1618)</f>
        <v/>
      </c>
      <c r="W1618" s="81">
        <f>IF(ISBLANK(P1618),"",IF(S1618=0,(365/0.5)*V1618,(365/S1618)*V1618))</f>
        <v/>
      </c>
      <c r="X1618" s="75" t="n"/>
      <c r="Y1618" s="77" t="n"/>
      <c r="Z1618" s="77" t="n"/>
      <c r="AA1618" s="75" t="n"/>
      <c r="AB1618" s="75" t="n"/>
      <c r="AC1618" s="6" t="n"/>
      <c r="AD1618" s="75" t="n"/>
      <c r="AE1618" s="75" t="n"/>
      <c r="AF1618" s="75" t="n"/>
    </row>
    <row r="1619" ht="15.75" customHeight="1" s="133">
      <c r="A1619" s="75" t="n"/>
      <c r="B1619" s="75" t="n"/>
      <c r="C1619" s="75" t="n"/>
      <c r="D1619" s="75" t="n"/>
      <c r="E1619" s="76" t="n"/>
      <c r="F1619" s="77" t="n"/>
      <c r="G1619" s="75" t="n"/>
      <c r="H1619" s="75">
        <f>IF(ISBLANK(E1619),"",IF(OR(D1619="Butterfly",D1619="Butterfly ",D1619="Iron Fly", D1619="Iron Fly "),LEN(E1619)-LEN(SUBSTITUTE(E1619,"/",""))+2,LEN(E1619)-LEN(SUBSTITUTE(E1619,"/",""))+1))</f>
        <v/>
      </c>
      <c r="I1619" s="78">
        <f>IF(ISBLANK(G1619),"",IF(D1619="Stock","0",Key!$A$3*H1619*G1619))</f>
        <v/>
      </c>
      <c r="J1619" s="78">
        <f>IF(ISBLANK(E1619),"",IF(ISNUMBER(SEARCH("/",E1619)), IF(LEN(E1619)-LEN(SUBSTITUTE(E1619,"/",""))=1,(RIGHT(E1619,LEN(E1619)-FIND("/",E1619)))-(LEFT(E1619,FIND("/",E1619)-1)),(MID(E1619, SEARCH("/",E1619) + 1, SEARCH("/",E1619, SEARCH("/",E1619)+1) - SEARCH("/",E1619) - 1))-(LEFT(E1619,FIND("/",E1619)-1))), "NA"))</f>
        <v/>
      </c>
      <c r="K1619" s="79">
        <f>IF(A1619&lt;&gt;"", IF(ISBLANK(L1619), TODAY(), K1619), "")</f>
        <v/>
      </c>
      <c r="L1619" s="78" t="n"/>
      <c r="M1619" s="78">
        <f>IF(ISBLANK(L1619),"",IF(D1619="Stock",IF(C1619="Buy",L1619*G1619,IF(C1619="Sell",(L1619*G1619)-I1619, X)),IF(C1619="Buy",(L1619*G1619*100)+I1619,IF(C1619="Sell",(L1619*G1619*100)-I1619, X))))</f>
        <v/>
      </c>
      <c r="N1619" s="78">
        <f>IF(ISBLANK(L1619),"",IF(AND(C1619="Sell",D1619="Stock"),M1619,IF(ISBLANK(L1619),"",IF(C1619="Buy",M1619, IF(AND(C1619="Sell",J1619="NA"),(E1619*G1619*100*0.1)+I1619, IF(C1619="Sell",(J1619-L1619)*(100*G1619)+I1619))))))</f>
        <v/>
      </c>
      <c r="O1619" s="75" t="n"/>
      <c r="P1619" s="75" t="n"/>
      <c r="Q1619" s="75">
        <f>IF(ISBLANK(P1619),"",IF(D1619="Stock",P1619*G1619,IF(P1619=0,"0",G1619*P1619*100-(G1619*$AF$14))))</f>
        <v/>
      </c>
      <c r="R1619" s="79">
        <f>IF(P1619&lt;&gt;"", TODAY(), "")</f>
        <v/>
      </c>
      <c r="S1619" s="78">
        <f>IF(AND(K1619&lt;&gt;"", R1619&lt;&gt;""), R1619-K1619, "")</f>
        <v/>
      </c>
      <c r="T1619" s="78" t="n"/>
      <c r="U1619" s="92">
        <f>IF(ISBLANK(P1619),"",IF(C1619="Buy",Q1619-M1619+T1619, IF(C1619="Sell",M1619-Q1619-T1619, X)))</f>
        <v/>
      </c>
      <c r="V1619" s="81">
        <f>IF(ISBLANK(P1619),"",U1619/N1619)</f>
        <v/>
      </c>
      <c r="W1619" s="81">
        <f>IF(ISBLANK(P1619),"",IF(S1619=0,(365/0.5)*V1619,(365/S1619)*V1619))</f>
        <v/>
      </c>
      <c r="X1619" s="75" t="n"/>
      <c r="Y1619" s="77" t="n"/>
      <c r="Z1619" s="77" t="n"/>
      <c r="AA1619" s="75" t="n"/>
      <c r="AB1619" s="75" t="n"/>
      <c r="AC1619" s="6" t="n"/>
      <c r="AD1619" s="75" t="n"/>
      <c r="AE1619" s="75" t="n"/>
      <c r="AF1619" s="75" t="n"/>
    </row>
    <row r="1620" ht="15.75" customHeight="1" s="133">
      <c r="A1620" s="75" t="n"/>
      <c r="B1620" s="75" t="n"/>
      <c r="C1620" s="75" t="n"/>
      <c r="D1620" s="75" t="n"/>
      <c r="E1620" s="76" t="n"/>
      <c r="F1620" s="77" t="n"/>
      <c r="G1620" s="75" t="n"/>
      <c r="H1620" s="75">
        <f>IF(ISBLANK(E1620),"",IF(OR(D1620="Butterfly",D1620="Butterfly ",D1620="Iron Fly", D1620="Iron Fly "),LEN(E1620)-LEN(SUBSTITUTE(E1620,"/",""))+2,LEN(E1620)-LEN(SUBSTITUTE(E1620,"/",""))+1))</f>
        <v/>
      </c>
      <c r="I1620" s="78">
        <f>IF(ISBLANK(G1620),"",IF(D1620="Stock","0",Key!$A$3*H1620*G1620))</f>
        <v/>
      </c>
      <c r="J1620" s="78">
        <f>IF(ISBLANK(E1620),"",IF(ISNUMBER(SEARCH("/",E1620)), IF(LEN(E1620)-LEN(SUBSTITUTE(E1620,"/",""))=1,(RIGHT(E1620,LEN(E1620)-FIND("/",E1620)))-(LEFT(E1620,FIND("/",E1620)-1)),(MID(E1620, SEARCH("/",E1620) + 1, SEARCH("/",E1620, SEARCH("/",E1620)+1) - SEARCH("/",E1620) - 1))-(LEFT(E1620,FIND("/",E1620)-1))), "NA"))</f>
        <v/>
      </c>
      <c r="K1620" s="79">
        <f>IF(A1620&lt;&gt;"", IF(ISBLANK(L1620), TODAY(), K1620), "")</f>
        <v/>
      </c>
      <c r="L1620" s="78" t="n"/>
      <c r="M1620" s="78">
        <f>IF(ISBLANK(L1620),"",IF(D1620="Stock",IF(C1620="Buy",L1620*G1620,IF(C1620="Sell",(L1620*G1620)-I1620, X)),IF(C1620="Buy",(L1620*G1620*100)+I1620,IF(C1620="Sell",(L1620*G1620*100)-I1620, X))))</f>
        <v/>
      </c>
      <c r="N1620" s="78">
        <f>IF(ISBLANK(L1620),"",IF(AND(C1620="Sell",D1620="Stock"),M1620,IF(ISBLANK(L1620),"",IF(C1620="Buy",M1620, IF(AND(C1620="Sell",J1620="NA"),(E1620*G1620*100*0.1)+I1620, IF(C1620="Sell",(J1620-L1620)*(100*G1620)+I1620))))))</f>
        <v/>
      </c>
      <c r="O1620" s="75" t="n"/>
      <c r="P1620" s="75" t="n"/>
      <c r="Q1620" s="75">
        <f>IF(ISBLANK(P1620),"",IF(D1620="Stock",P1620*G1620,IF(P1620=0,"0",G1620*P1620*100-(G1620*$AF$14))))</f>
        <v/>
      </c>
      <c r="R1620" s="79">
        <f>IF(P1620&lt;&gt;"", TODAY(), "")</f>
        <v/>
      </c>
      <c r="S1620" s="78">
        <f>IF(AND(K1620&lt;&gt;"", R1620&lt;&gt;""), R1620-K1620, "")</f>
        <v/>
      </c>
      <c r="T1620" s="78" t="n"/>
      <c r="U1620" s="92">
        <f>IF(ISBLANK(P1620),"",IF(C1620="Buy",Q1620-M1620+T1620, IF(C1620="Sell",M1620-Q1620-T1620, X)))</f>
        <v/>
      </c>
      <c r="V1620" s="81">
        <f>IF(ISBLANK(P1620),"",U1620/N1620)</f>
        <v/>
      </c>
      <c r="W1620" s="81">
        <f>IF(ISBLANK(P1620),"",IF(S1620=0,(365/0.5)*V1620,(365/S1620)*V1620))</f>
        <v/>
      </c>
      <c r="X1620" s="75" t="n"/>
      <c r="Y1620" s="77" t="n"/>
      <c r="Z1620" s="77" t="n"/>
      <c r="AA1620" s="75" t="n"/>
      <c r="AB1620" s="75" t="n"/>
      <c r="AC1620" s="6" t="n"/>
      <c r="AD1620" s="75" t="n"/>
      <c r="AE1620" s="75" t="n"/>
      <c r="AF1620" s="75" t="n"/>
    </row>
    <row r="1621" ht="15.75" customHeight="1" s="133">
      <c r="A1621" s="75" t="n"/>
      <c r="B1621" s="75" t="n"/>
      <c r="C1621" s="75" t="n"/>
      <c r="D1621" s="75" t="n"/>
      <c r="E1621" s="76" t="n"/>
      <c r="F1621" s="77" t="n"/>
      <c r="G1621" s="75" t="n"/>
      <c r="H1621" s="75">
        <f>IF(ISBLANK(E1621),"",IF(OR(D1621="Butterfly",D1621="Butterfly ",D1621="Iron Fly", D1621="Iron Fly "),LEN(E1621)-LEN(SUBSTITUTE(E1621,"/",""))+2,LEN(E1621)-LEN(SUBSTITUTE(E1621,"/",""))+1))</f>
        <v/>
      </c>
      <c r="I1621" s="78">
        <f>IF(ISBLANK(G1621),"",IF(D1621="Stock","0",Key!$A$3*H1621*G1621))</f>
        <v/>
      </c>
      <c r="J1621" s="78">
        <f>IF(ISBLANK(E1621),"",IF(ISNUMBER(SEARCH("/",E1621)), IF(LEN(E1621)-LEN(SUBSTITUTE(E1621,"/",""))=1,(RIGHT(E1621,LEN(E1621)-FIND("/",E1621)))-(LEFT(E1621,FIND("/",E1621)-1)),(MID(E1621, SEARCH("/",E1621) + 1, SEARCH("/",E1621, SEARCH("/",E1621)+1) - SEARCH("/",E1621) - 1))-(LEFT(E1621,FIND("/",E1621)-1))), "NA"))</f>
        <v/>
      </c>
      <c r="K1621" s="79">
        <f>IF(A1621&lt;&gt;"", IF(ISBLANK(L1621), TODAY(), K1621), "")</f>
        <v/>
      </c>
      <c r="L1621" s="78" t="n"/>
      <c r="M1621" s="78">
        <f>IF(ISBLANK(L1621),"",IF(D1621="Stock",IF(C1621="Buy",L1621*G1621,IF(C1621="Sell",(L1621*G1621)-I1621, X)),IF(C1621="Buy",(L1621*G1621*100)+I1621,IF(C1621="Sell",(L1621*G1621*100)-I1621, X))))</f>
        <v/>
      </c>
      <c r="N1621" s="78">
        <f>IF(ISBLANK(L1621),"",IF(AND(C1621="Sell",D1621="Stock"),M1621,IF(ISBLANK(L1621),"",IF(C1621="Buy",M1621, IF(AND(C1621="Sell",J1621="NA"),(E1621*G1621*100*0.1)+I1621, IF(C1621="Sell",(J1621-L1621)*(100*G1621)+I1621))))))</f>
        <v/>
      </c>
      <c r="O1621" s="75" t="n"/>
      <c r="P1621" s="75" t="n"/>
      <c r="Q1621" s="75">
        <f>IF(ISBLANK(P1621),"",IF(D1621="Stock",P1621*G1621,IF(P1621=0,"0",G1621*P1621*100-(G1621*$AF$14))))</f>
        <v/>
      </c>
      <c r="R1621" s="79">
        <f>IF(P1621&lt;&gt;"", TODAY(), "")</f>
        <v/>
      </c>
      <c r="S1621" s="78">
        <f>IF(AND(K1621&lt;&gt;"", R1621&lt;&gt;""), R1621-K1621, "")</f>
        <v/>
      </c>
      <c r="T1621" s="78" t="n"/>
      <c r="U1621" s="92">
        <f>IF(ISBLANK(P1621),"",IF(C1621="Buy",Q1621-M1621+T1621, IF(C1621="Sell",M1621-Q1621-T1621, X)))</f>
        <v/>
      </c>
      <c r="V1621" s="81">
        <f>IF(ISBLANK(P1621),"",U1621/N1621)</f>
        <v/>
      </c>
      <c r="W1621" s="81">
        <f>IF(ISBLANK(P1621),"",IF(S1621=0,(365/0.5)*V1621,(365/S1621)*V1621))</f>
        <v/>
      </c>
      <c r="X1621" s="75" t="n"/>
      <c r="Y1621" s="77" t="n"/>
      <c r="Z1621" s="77" t="n"/>
      <c r="AA1621" s="75" t="n"/>
      <c r="AB1621" s="75" t="n"/>
      <c r="AC1621" s="6" t="n"/>
      <c r="AD1621" s="75" t="n"/>
      <c r="AE1621" s="75" t="n"/>
      <c r="AF1621" s="75" t="n"/>
    </row>
    <row r="1622" ht="15.75" customHeight="1" s="133">
      <c r="A1622" s="75" t="n"/>
      <c r="B1622" s="75" t="n"/>
      <c r="C1622" s="75" t="n"/>
      <c r="D1622" s="75" t="n"/>
      <c r="E1622" s="76" t="n"/>
      <c r="F1622" s="77" t="n"/>
      <c r="G1622" s="75" t="n"/>
      <c r="H1622" s="75">
        <f>IF(ISBLANK(E1622),"",IF(OR(D1622="Butterfly",D1622="Butterfly ",D1622="Iron Fly", D1622="Iron Fly "),LEN(E1622)-LEN(SUBSTITUTE(E1622,"/",""))+2,LEN(E1622)-LEN(SUBSTITUTE(E1622,"/",""))+1))</f>
        <v/>
      </c>
      <c r="I1622" s="78">
        <f>IF(ISBLANK(G1622),"",IF(D1622="Stock","0",Key!$A$3*H1622*G1622))</f>
        <v/>
      </c>
      <c r="J1622" s="78">
        <f>IF(ISBLANK(E1622),"",IF(ISNUMBER(SEARCH("/",E1622)), IF(LEN(E1622)-LEN(SUBSTITUTE(E1622,"/",""))=1,(RIGHT(E1622,LEN(E1622)-FIND("/",E1622)))-(LEFT(E1622,FIND("/",E1622)-1)),(MID(E1622, SEARCH("/",E1622) + 1, SEARCH("/",E1622, SEARCH("/",E1622)+1) - SEARCH("/",E1622) - 1))-(LEFT(E1622,FIND("/",E1622)-1))), "NA"))</f>
        <v/>
      </c>
      <c r="K1622" s="79">
        <f>IF(A1622&lt;&gt;"", IF(ISBLANK(L1622), TODAY(), K1622), "")</f>
        <v/>
      </c>
      <c r="L1622" s="78" t="n"/>
      <c r="M1622" s="78">
        <f>IF(ISBLANK(L1622),"",IF(D1622="Stock",IF(C1622="Buy",L1622*G1622,IF(C1622="Sell",(L1622*G1622)-I1622, X)),IF(C1622="Buy",(L1622*G1622*100)+I1622,IF(C1622="Sell",(L1622*G1622*100)-I1622, X))))</f>
        <v/>
      </c>
      <c r="N1622" s="78">
        <f>IF(ISBLANK(L1622),"",IF(AND(C1622="Sell",D1622="Stock"),M1622,IF(ISBLANK(L1622),"",IF(C1622="Buy",M1622, IF(AND(C1622="Sell",J1622="NA"),(E1622*G1622*100*0.1)+I1622, IF(C1622="Sell",(J1622-L1622)*(100*G1622)+I1622))))))</f>
        <v/>
      </c>
      <c r="O1622" s="75" t="n"/>
      <c r="P1622" s="75" t="n"/>
      <c r="Q1622" s="75">
        <f>IF(ISBLANK(P1622),"",IF(D1622="Stock",P1622*G1622,IF(P1622=0,"0",G1622*P1622*100-(G1622*$AF$14))))</f>
        <v/>
      </c>
      <c r="R1622" s="79">
        <f>IF(P1622&lt;&gt;"", TODAY(), "")</f>
        <v/>
      </c>
      <c r="S1622" s="78">
        <f>IF(AND(K1622&lt;&gt;"", R1622&lt;&gt;""), R1622-K1622, "")</f>
        <v/>
      </c>
      <c r="T1622" s="78" t="n"/>
      <c r="U1622" s="92">
        <f>IF(ISBLANK(P1622),"",IF(C1622="Buy",Q1622-M1622+T1622, IF(C1622="Sell",M1622-Q1622-T1622, X)))</f>
        <v/>
      </c>
      <c r="V1622" s="81">
        <f>IF(ISBLANK(P1622),"",U1622/N1622)</f>
        <v/>
      </c>
      <c r="W1622" s="81">
        <f>IF(ISBLANK(P1622),"",IF(S1622=0,(365/0.5)*V1622,(365/S1622)*V1622))</f>
        <v/>
      </c>
      <c r="X1622" s="75" t="n"/>
      <c r="Y1622" s="77" t="n"/>
      <c r="Z1622" s="77" t="n"/>
      <c r="AA1622" s="75" t="n"/>
      <c r="AB1622" s="75" t="n"/>
      <c r="AC1622" s="6" t="n"/>
      <c r="AD1622" s="75" t="n"/>
      <c r="AE1622" s="75" t="n"/>
      <c r="AF1622" s="75" t="n"/>
    </row>
    <row r="1623" ht="15.75" customHeight="1" s="133">
      <c r="A1623" s="75" t="n"/>
      <c r="B1623" s="75" t="n"/>
      <c r="C1623" s="75" t="n"/>
      <c r="D1623" s="75" t="n"/>
      <c r="E1623" s="76" t="n"/>
      <c r="F1623" s="77" t="n"/>
      <c r="G1623" s="75" t="n"/>
      <c r="H1623" s="75">
        <f>IF(ISBLANK(E1623),"",IF(OR(D1623="Butterfly",D1623="Butterfly ",D1623="Iron Fly", D1623="Iron Fly "),LEN(E1623)-LEN(SUBSTITUTE(E1623,"/",""))+2,LEN(E1623)-LEN(SUBSTITUTE(E1623,"/",""))+1))</f>
        <v/>
      </c>
      <c r="I1623" s="78">
        <f>IF(ISBLANK(G1623),"",IF(D1623="Stock","0",Key!$A$3*H1623*G1623))</f>
        <v/>
      </c>
      <c r="J1623" s="78">
        <f>IF(ISBLANK(E1623),"",IF(ISNUMBER(SEARCH("/",E1623)), IF(LEN(E1623)-LEN(SUBSTITUTE(E1623,"/",""))=1,(RIGHT(E1623,LEN(E1623)-FIND("/",E1623)))-(LEFT(E1623,FIND("/",E1623)-1)),(MID(E1623, SEARCH("/",E1623) + 1, SEARCH("/",E1623, SEARCH("/",E1623)+1) - SEARCH("/",E1623) - 1))-(LEFT(E1623,FIND("/",E1623)-1))), "NA"))</f>
        <v/>
      </c>
      <c r="K1623" s="79">
        <f>IF(A1623&lt;&gt;"", IF(ISBLANK(L1623), TODAY(), K1623), "")</f>
        <v/>
      </c>
      <c r="L1623" s="78" t="n"/>
      <c r="M1623" s="78">
        <f>IF(ISBLANK(L1623),"",IF(D1623="Stock",IF(C1623="Buy",L1623*G1623,IF(C1623="Sell",(L1623*G1623)-I1623, X)),IF(C1623="Buy",(L1623*G1623*100)+I1623,IF(C1623="Sell",(L1623*G1623*100)-I1623, X))))</f>
        <v/>
      </c>
      <c r="N1623" s="78">
        <f>IF(ISBLANK(L1623),"",IF(AND(C1623="Sell",D1623="Stock"),M1623,IF(ISBLANK(L1623),"",IF(C1623="Buy",M1623, IF(AND(C1623="Sell",J1623="NA"),(E1623*G1623*100*0.1)+I1623, IF(C1623="Sell",(J1623-L1623)*(100*G1623)+I1623))))))</f>
        <v/>
      </c>
      <c r="O1623" s="75" t="n"/>
      <c r="P1623" s="75" t="n"/>
      <c r="Q1623" s="75">
        <f>IF(ISBLANK(P1623),"",IF(D1623="Stock",P1623*G1623,IF(P1623=0,"0",G1623*P1623*100-(G1623*$AF$14))))</f>
        <v/>
      </c>
      <c r="R1623" s="79">
        <f>IF(P1623&lt;&gt;"", TODAY(), "")</f>
        <v/>
      </c>
      <c r="S1623" s="78">
        <f>IF(AND(K1623&lt;&gt;"", R1623&lt;&gt;""), R1623-K1623, "")</f>
        <v/>
      </c>
      <c r="T1623" s="78" t="n"/>
      <c r="U1623" s="92">
        <f>IF(ISBLANK(P1623),"",IF(C1623="Buy",Q1623-M1623+T1623, IF(C1623="Sell",M1623-Q1623-T1623, X)))</f>
        <v/>
      </c>
      <c r="V1623" s="81">
        <f>IF(ISBLANK(P1623),"",U1623/N1623)</f>
        <v/>
      </c>
      <c r="W1623" s="81">
        <f>IF(ISBLANK(P1623),"",IF(S1623=0,(365/0.5)*V1623,(365/S1623)*V1623))</f>
        <v/>
      </c>
      <c r="X1623" s="75" t="n"/>
      <c r="Y1623" s="77" t="n"/>
      <c r="Z1623" s="77" t="n"/>
      <c r="AA1623" s="75" t="n"/>
      <c r="AB1623" s="75" t="n"/>
      <c r="AC1623" s="6" t="n"/>
      <c r="AD1623" s="75" t="n"/>
      <c r="AE1623" s="75" t="n"/>
      <c r="AF1623" s="75" t="n"/>
    </row>
    <row r="1624" ht="15.75" customHeight="1" s="133">
      <c r="A1624" s="75" t="n"/>
      <c r="B1624" s="75" t="n"/>
      <c r="C1624" s="75" t="n"/>
      <c r="D1624" s="75" t="n"/>
      <c r="E1624" s="76" t="n"/>
      <c r="F1624" s="77" t="n"/>
      <c r="G1624" s="75" t="n"/>
      <c r="H1624" s="75">
        <f>IF(ISBLANK(E1624),"",IF(OR(D1624="Butterfly",D1624="Butterfly ",D1624="Iron Fly", D1624="Iron Fly "),LEN(E1624)-LEN(SUBSTITUTE(E1624,"/",""))+2,LEN(E1624)-LEN(SUBSTITUTE(E1624,"/",""))+1))</f>
        <v/>
      </c>
      <c r="I1624" s="78">
        <f>IF(ISBLANK(G1624),"",IF(D1624="Stock","0",Key!$A$3*H1624*G1624))</f>
        <v/>
      </c>
      <c r="J1624" s="78">
        <f>IF(ISBLANK(E1624),"",IF(ISNUMBER(SEARCH("/",E1624)), IF(LEN(E1624)-LEN(SUBSTITUTE(E1624,"/",""))=1,(RIGHT(E1624,LEN(E1624)-FIND("/",E1624)))-(LEFT(E1624,FIND("/",E1624)-1)),(MID(E1624, SEARCH("/",E1624) + 1, SEARCH("/",E1624, SEARCH("/",E1624)+1) - SEARCH("/",E1624) - 1))-(LEFT(E1624,FIND("/",E1624)-1))), "NA"))</f>
        <v/>
      </c>
      <c r="K1624" s="79">
        <f>IF(A1624&lt;&gt;"", IF(ISBLANK(L1624), TODAY(), K1624), "")</f>
        <v/>
      </c>
      <c r="L1624" s="78" t="n"/>
      <c r="M1624" s="78">
        <f>IF(ISBLANK(L1624),"",IF(D1624="Stock",IF(C1624="Buy",L1624*G1624,IF(C1624="Sell",(L1624*G1624)-I1624, X)),IF(C1624="Buy",(L1624*G1624*100)+I1624,IF(C1624="Sell",(L1624*G1624*100)-I1624, X))))</f>
        <v/>
      </c>
      <c r="N1624" s="78">
        <f>IF(ISBLANK(L1624),"",IF(AND(C1624="Sell",D1624="Stock"),M1624,IF(ISBLANK(L1624),"",IF(C1624="Buy",M1624, IF(AND(C1624="Sell",J1624="NA"),(E1624*G1624*100*0.1)+I1624, IF(C1624="Sell",(J1624-L1624)*(100*G1624)+I1624))))))</f>
        <v/>
      </c>
      <c r="O1624" s="75" t="n"/>
      <c r="P1624" s="75" t="n"/>
      <c r="Q1624" s="75">
        <f>IF(ISBLANK(P1624),"",IF(D1624="Stock",P1624*G1624,IF(P1624=0,"0",G1624*P1624*100-(G1624*$AF$14))))</f>
        <v/>
      </c>
      <c r="R1624" s="79">
        <f>IF(P1624&lt;&gt;"", TODAY(), "")</f>
        <v/>
      </c>
      <c r="S1624" s="78">
        <f>IF(AND(K1624&lt;&gt;"", R1624&lt;&gt;""), R1624-K1624, "")</f>
        <v/>
      </c>
      <c r="T1624" s="78" t="n"/>
      <c r="U1624" s="92">
        <f>IF(ISBLANK(P1624),"",IF(C1624="Buy",Q1624-M1624+T1624, IF(C1624="Sell",M1624-Q1624-T1624, X)))</f>
        <v/>
      </c>
      <c r="V1624" s="81">
        <f>IF(ISBLANK(P1624),"",U1624/N1624)</f>
        <v/>
      </c>
      <c r="W1624" s="81">
        <f>IF(ISBLANK(P1624),"",IF(S1624=0,(365/0.5)*V1624,(365/S1624)*V1624))</f>
        <v/>
      </c>
      <c r="X1624" s="75" t="n"/>
      <c r="Y1624" s="77" t="n"/>
      <c r="Z1624" s="77" t="n"/>
      <c r="AA1624" s="75" t="n"/>
      <c r="AB1624" s="75" t="n"/>
      <c r="AC1624" s="6" t="n"/>
      <c r="AD1624" s="75" t="n"/>
      <c r="AE1624" s="75" t="n"/>
      <c r="AF1624" s="75" t="n"/>
    </row>
    <row r="1625" ht="15.75" customHeight="1" s="133">
      <c r="A1625" s="75" t="n"/>
      <c r="B1625" s="75" t="n"/>
      <c r="C1625" s="75" t="n"/>
      <c r="D1625" s="75" t="n"/>
      <c r="E1625" s="76" t="n"/>
      <c r="F1625" s="77" t="n"/>
      <c r="G1625" s="75" t="n"/>
      <c r="H1625" s="75">
        <f>IF(ISBLANK(E1625),"",IF(OR(D1625="Butterfly",D1625="Butterfly ",D1625="Iron Fly", D1625="Iron Fly "),LEN(E1625)-LEN(SUBSTITUTE(E1625,"/",""))+2,LEN(E1625)-LEN(SUBSTITUTE(E1625,"/",""))+1))</f>
        <v/>
      </c>
      <c r="I1625" s="78">
        <f>IF(ISBLANK(G1625),"",IF(D1625="Stock","0",Key!$A$3*H1625*G1625))</f>
        <v/>
      </c>
      <c r="J1625" s="78">
        <f>IF(ISBLANK(E1625),"",IF(ISNUMBER(SEARCH("/",E1625)), IF(LEN(E1625)-LEN(SUBSTITUTE(E1625,"/",""))=1,(RIGHT(E1625,LEN(E1625)-FIND("/",E1625)))-(LEFT(E1625,FIND("/",E1625)-1)),(MID(E1625, SEARCH("/",E1625) + 1, SEARCH("/",E1625, SEARCH("/",E1625)+1) - SEARCH("/",E1625) - 1))-(LEFT(E1625,FIND("/",E1625)-1))), "NA"))</f>
        <v/>
      </c>
      <c r="K1625" s="79">
        <f>IF(A1625&lt;&gt;"", IF(ISBLANK(L1625), TODAY(), K1625), "")</f>
        <v/>
      </c>
      <c r="L1625" s="78" t="n"/>
      <c r="M1625" s="78">
        <f>IF(ISBLANK(L1625),"",IF(D1625="Stock",IF(C1625="Buy",L1625*G1625,IF(C1625="Sell",(L1625*G1625)-I1625, X)),IF(C1625="Buy",(L1625*G1625*100)+I1625,IF(C1625="Sell",(L1625*G1625*100)-I1625, X))))</f>
        <v/>
      </c>
      <c r="N1625" s="78">
        <f>IF(ISBLANK(L1625),"",IF(AND(C1625="Sell",D1625="Stock"),M1625,IF(ISBLANK(L1625),"",IF(C1625="Buy",M1625, IF(AND(C1625="Sell",J1625="NA"),(E1625*G1625*100*0.1)+I1625, IF(C1625="Sell",(J1625-L1625)*(100*G1625)+I1625))))))</f>
        <v/>
      </c>
      <c r="O1625" s="75" t="n"/>
      <c r="P1625" s="75" t="n"/>
      <c r="Q1625" s="75">
        <f>IF(ISBLANK(P1625),"",IF(D1625="Stock",P1625*G1625,IF(P1625=0,"0",G1625*P1625*100-(G1625*$AF$14))))</f>
        <v/>
      </c>
      <c r="R1625" s="79">
        <f>IF(P1625&lt;&gt;"", TODAY(), "")</f>
        <v/>
      </c>
      <c r="S1625" s="78">
        <f>IF(AND(K1625&lt;&gt;"", R1625&lt;&gt;""), R1625-K1625, "")</f>
        <v/>
      </c>
      <c r="T1625" s="78" t="n"/>
      <c r="U1625" s="92">
        <f>IF(ISBLANK(P1625),"",IF(C1625="Buy",Q1625-M1625+T1625, IF(C1625="Sell",M1625-Q1625-T1625, X)))</f>
        <v/>
      </c>
      <c r="V1625" s="81">
        <f>IF(ISBLANK(P1625),"",U1625/N1625)</f>
        <v/>
      </c>
      <c r="W1625" s="81">
        <f>IF(ISBLANK(P1625),"",IF(S1625=0,(365/0.5)*V1625,(365/S1625)*V1625))</f>
        <v/>
      </c>
      <c r="X1625" s="75" t="n"/>
      <c r="Y1625" s="77" t="n"/>
      <c r="Z1625" s="77" t="n"/>
      <c r="AA1625" s="75" t="n"/>
      <c r="AB1625" s="75" t="n"/>
      <c r="AC1625" s="6" t="n"/>
      <c r="AD1625" s="75" t="n"/>
      <c r="AE1625" s="75" t="n"/>
      <c r="AF1625" s="75" t="n"/>
    </row>
    <row r="1626" ht="15.75" customHeight="1" s="133">
      <c r="A1626" s="75" t="n"/>
      <c r="B1626" s="75" t="n"/>
      <c r="C1626" s="75" t="n"/>
      <c r="D1626" s="75" t="n"/>
      <c r="E1626" s="76" t="n"/>
      <c r="F1626" s="77" t="n"/>
      <c r="G1626" s="75" t="n"/>
      <c r="H1626" s="75">
        <f>IF(ISBLANK(E1626),"",IF(OR(D1626="Butterfly",D1626="Butterfly ",D1626="Iron Fly", D1626="Iron Fly "),LEN(E1626)-LEN(SUBSTITUTE(E1626,"/",""))+2,LEN(E1626)-LEN(SUBSTITUTE(E1626,"/",""))+1))</f>
        <v/>
      </c>
      <c r="I1626" s="78">
        <f>IF(ISBLANK(G1626),"",IF(D1626="Stock","0",Key!$A$3*H1626*G1626))</f>
        <v/>
      </c>
      <c r="J1626" s="78">
        <f>IF(ISBLANK(E1626),"",IF(ISNUMBER(SEARCH("/",E1626)), IF(LEN(E1626)-LEN(SUBSTITUTE(E1626,"/",""))=1,(RIGHT(E1626,LEN(E1626)-FIND("/",E1626)))-(LEFT(E1626,FIND("/",E1626)-1)),(MID(E1626, SEARCH("/",E1626) + 1, SEARCH("/",E1626, SEARCH("/",E1626)+1) - SEARCH("/",E1626) - 1))-(LEFT(E1626,FIND("/",E1626)-1))), "NA"))</f>
        <v/>
      </c>
      <c r="K1626" s="79">
        <f>IF(A1626&lt;&gt;"", IF(ISBLANK(L1626), TODAY(), K1626), "")</f>
        <v/>
      </c>
      <c r="L1626" s="78" t="n"/>
      <c r="M1626" s="78">
        <f>IF(ISBLANK(L1626),"",IF(D1626="Stock",IF(C1626="Buy",L1626*G1626,IF(C1626="Sell",(L1626*G1626)-I1626, X)),IF(C1626="Buy",(L1626*G1626*100)+I1626,IF(C1626="Sell",(L1626*G1626*100)-I1626, X))))</f>
        <v/>
      </c>
      <c r="N1626" s="78">
        <f>IF(ISBLANK(L1626),"",IF(AND(C1626="Sell",D1626="Stock"),M1626,IF(ISBLANK(L1626),"",IF(C1626="Buy",M1626, IF(AND(C1626="Sell",J1626="NA"),(E1626*G1626*100*0.1)+I1626, IF(C1626="Sell",(J1626-L1626)*(100*G1626)+I1626))))))</f>
        <v/>
      </c>
      <c r="O1626" s="75" t="n"/>
      <c r="P1626" s="75" t="n"/>
      <c r="Q1626" s="75">
        <f>IF(ISBLANK(P1626),"",IF(D1626="Stock",P1626*G1626,IF(P1626=0,"0",G1626*P1626*100-(G1626*$AF$14))))</f>
        <v/>
      </c>
      <c r="R1626" s="79">
        <f>IF(P1626&lt;&gt;"", TODAY(), "")</f>
        <v/>
      </c>
      <c r="S1626" s="78">
        <f>IF(AND(K1626&lt;&gt;"", R1626&lt;&gt;""), R1626-K1626, "")</f>
        <v/>
      </c>
      <c r="T1626" s="78" t="n"/>
      <c r="U1626" s="92">
        <f>IF(ISBLANK(P1626),"",IF(C1626="Buy",Q1626-M1626+T1626, IF(C1626="Sell",M1626-Q1626-T1626, X)))</f>
        <v/>
      </c>
      <c r="V1626" s="81">
        <f>IF(ISBLANK(P1626),"",U1626/N1626)</f>
        <v/>
      </c>
      <c r="W1626" s="81">
        <f>IF(ISBLANK(P1626),"",IF(S1626=0,(365/0.5)*V1626,(365/S1626)*V1626))</f>
        <v/>
      </c>
      <c r="X1626" s="75" t="n"/>
      <c r="Y1626" s="77" t="n"/>
      <c r="Z1626" s="77" t="n"/>
      <c r="AA1626" s="75" t="n"/>
      <c r="AB1626" s="75" t="n"/>
      <c r="AC1626" s="6" t="n"/>
      <c r="AD1626" s="75" t="n"/>
      <c r="AE1626" s="75" t="n"/>
      <c r="AF1626" s="75" t="n"/>
    </row>
    <row r="1627" ht="15.75" customHeight="1" s="133">
      <c r="A1627" s="75" t="n"/>
      <c r="B1627" s="75" t="n"/>
      <c r="C1627" s="75" t="n"/>
      <c r="D1627" s="75" t="n"/>
      <c r="E1627" s="76" t="n"/>
      <c r="F1627" s="77" t="n"/>
      <c r="G1627" s="75" t="n"/>
      <c r="H1627" s="75">
        <f>IF(ISBLANK(E1627),"",IF(OR(D1627="Butterfly",D1627="Butterfly ",D1627="Iron Fly", D1627="Iron Fly "),LEN(E1627)-LEN(SUBSTITUTE(E1627,"/",""))+2,LEN(E1627)-LEN(SUBSTITUTE(E1627,"/",""))+1))</f>
        <v/>
      </c>
      <c r="I1627" s="78">
        <f>IF(ISBLANK(G1627),"",IF(D1627="Stock","0",Key!$A$3*H1627*G1627))</f>
        <v/>
      </c>
      <c r="J1627" s="78">
        <f>IF(ISBLANK(E1627),"",IF(ISNUMBER(SEARCH("/",E1627)), IF(LEN(E1627)-LEN(SUBSTITUTE(E1627,"/",""))=1,(RIGHT(E1627,LEN(E1627)-FIND("/",E1627)))-(LEFT(E1627,FIND("/",E1627)-1)),(MID(E1627, SEARCH("/",E1627) + 1, SEARCH("/",E1627, SEARCH("/",E1627)+1) - SEARCH("/",E1627) - 1))-(LEFT(E1627,FIND("/",E1627)-1))), "NA"))</f>
        <v/>
      </c>
      <c r="K1627" s="79">
        <f>IF(A1627&lt;&gt;"", IF(ISBLANK(L1627), TODAY(), K1627), "")</f>
        <v/>
      </c>
      <c r="L1627" s="78" t="n"/>
      <c r="M1627" s="78">
        <f>IF(ISBLANK(L1627),"",IF(D1627="Stock",IF(C1627="Buy",L1627*G1627,IF(C1627="Sell",(L1627*G1627)-I1627, X)),IF(C1627="Buy",(L1627*G1627*100)+I1627,IF(C1627="Sell",(L1627*G1627*100)-I1627, X))))</f>
        <v/>
      </c>
      <c r="N1627" s="78">
        <f>IF(ISBLANK(L1627),"",IF(AND(C1627="Sell",D1627="Stock"),M1627,IF(ISBLANK(L1627),"",IF(C1627="Buy",M1627, IF(AND(C1627="Sell",J1627="NA"),(E1627*G1627*100*0.1)+I1627, IF(C1627="Sell",(J1627-L1627)*(100*G1627)+I1627))))))</f>
        <v/>
      </c>
      <c r="O1627" s="75" t="n"/>
      <c r="P1627" s="75" t="n"/>
      <c r="Q1627" s="75">
        <f>IF(ISBLANK(P1627),"",IF(D1627="Stock",P1627*G1627,IF(P1627=0,"0",G1627*P1627*100-(G1627*$AF$14))))</f>
        <v/>
      </c>
      <c r="R1627" s="79">
        <f>IF(P1627&lt;&gt;"", TODAY(), "")</f>
        <v/>
      </c>
      <c r="S1627" s="78">
        <f>IF(AND(K1627&lt;&gt;"", R1627&lt;&gt;""), R1627-K1627, "")</f>
        <v/>
      </c>
      <c r="T1627" s="78" t="n"/>
      <c r="U1627" s="92">
        <f>IF(ISBLANK(P1627),"",IF(C1627="Buy",Q1627-M1627+T1627, IF(C1627="Sell",M1627-Q1627-T1627, X)))</f>
        <v/>
      </c>
      <c r="V1627" s="81">
        <f>IF(ISBLANK(P1627),"",U1627/N1627)</f>
        <v/>
      </c>
      <c r="W1627" s="81">
        <f>IF(ISBLANK(P1627),"",IF(S1627=0,(365/0.5)*V1627,(365/S1627)*V1627))</f>
        <v/>
      </c>
      <c r="X1627" s="75" t="n"/>
      <c r="Y1627" s="77" t="n"/>
      <c r="Z1627" s="77" t="n"/>
      <c r="AA1627" s="75" t="n"/>
      <c r="AB1627" s="75" t="n"/>
      <c r="AC1627" s="6" t="n"/>
      <c r="AD1627" s="75" t="n"/>
      <c r="AE1627" s="75" t="n"/>
      <c r="AF1627" s="75" t="n"/>
    </row>
    <row r="1628" ht="15.75" customHeight="1" s="133">
      <c r="A1628" s="75" t="n"/>
      <c r="B1628" s="75" t="n"/>
      <c r="C1628" s="75" t="n"/>
      <c r="D1628" s="75" t="n"/>
      <c r="E1628" s="76" t="n"/>
      <c r="F1628" s="77" t="n"/>
      <c r="G1628" s="75" t="n"/>
      <c r="H1628" s="75">
        <f>IF(ISBLANK(E1628),"",IF(OR(D1628="Butterfly",D1628="Butterfly ",D1628="Iron Fly", D1628="Iron Fly "),LEN(E1628)-LEN(SUBSTITUTE(E1628,"/",""))+2,LEN(E1628)-LEN(SUBSTITUTE(E1628,"/",""))+1))</f>
        <v/>
      </c>
      <c r="I1628" s="78">
        <f>IF(ISBLANK(G1628),"",IF(D1628="Stock","0",Key!$A$3*H1628*G1628))</f>
        <v/>
      </c>
      <c r="J1628" s="78">
        <f>IF(ISBLANK(E1628),"",IF(ISNUMBER(SEARCH("/",E1628)), IF(LEN(E1628)-LEN(SUBSTITUTE(E1628,"/",""))=1,(RIGHT(E1628,LEN(E1628)-FIND("/",E1628)))-(LEFT(E1628,FIND("/",E1628)-1)),(MID(E1628, SEARCH("/",E1628) + 1, SEARCH("/",E1628, SEARCH("/",E1628)+1) - SEARCH("/",E1628) - 1))-(LEFT(E1628,FIND("/",E1628)-1))), "NA"))</f>
        <v/>
      </c>
      <c r="K1628" s="79">
        <f>IF(A1628&lt;&gt;"", IF(ISBLANK(L1628), TODAY(), K1628), "")</f>
        <v/>
      </c>
      <c r="L1628" s="78" t="n"/>
      <c r="M1628" s="78">
        <f>IF(ISBLANK(L1628),"",IF(D1628="Stock",IF(C1628="Buy",L1628*G1628,IF(C1628="Sell",(L1628*G1628)-I1628, X)),IF(C1628="Buy",(L1628*G1628*100)+I1628,IF(C1628="Sell",(L1628*G1628*100)-I1628, X))))</f>
        <v/>
      </c>
      <c r="N1628" s="78">
        <f>IF(ISBLANK(L1628),"",IF(AND(C1628="Sell",D1628="Stock"),M1628,IF(ISBLANK(L1628),"",IF(C1628="Buy",M1628, IF(AND(C1628="Sell",J1628="NA"),(E1628*G1628*100*0.1)+I1628, IF(C1628="Sell",(J1628-L1628)*(100*G1628)+I1628))))))</f>
        <v/>
      </c>
      <c r="O1628" s="75" t="n"/>
      <c r="P1628" s="75" t="n"/>
      <c r="Q1628" s="75">
        <f>IF(ISBLANK(P1628),"",IF(D1628="Stock",P1628*G1628,IF(P1628=0,"0",G1628*P1628*100-(G1628*$AF$14))))</f>
        <v/>
      </c>
      <c r="R1628" s="79">
        <f>IF(P1628&lt;&gt;"", TODAY(), "")</f>
        <v/>
      </c>
      <c r="S1628" s="78">
        <f>IF(AND(K1628&lt;&gt;"", R1628&lt;&gt;""), R1628-K1628, "")</f>
        <v/>
      </c>
      <c r="T1628" s="78" t="n"/>
      <c r="U1628" s="92">
        <f>IF(ISBLANK(P1628),"",IF(C1628="Buy",Q1628-M1628+T1628, IF(C1628="Sell",M1628-Q1628-T1628, X)))</f>
        <v/>
      </c>
      <c r="V1628" s="81">
        <f>IF(ISBLANK(P1628),"",U1628/N1628)</f>
        <v/>
      </c>
      <c r="W1628" s="81">
        <f>IF(ISBLANK(P1628),"",IF(S1628=0,(365/0.5)*V1628,(365/S1628)*V1628))</f>
        <v/>
      </c>
      <c r="X1628" s="75" t="n"/>
      <c r="Y1628" s="77" t="n"/>
      <c r="Z1628" s="77" t="n"/>
      <c r="AA1628" s="75" t="n"/>
      <c r="AB1628" s="75" t="n"/>
      <c r="AC1628" s="6" t="n"/>
      <c r="AD1628" s="75" t="n"/>
      <c r="AE1628" s="75" t="n"/>
      <c r="AF1628" s="75" t="n"/>
    </row>
    <row r="1629" ht="15.75" customHeight="1" s="133">
      <c r="A1629" s="75" t="n"/>
      <c r="B1629" s="75" t="n"/>
      <c r="C1629" s="75" t="n"/>
      <c r="D1629" s="75" t="n"/>
      <c r="E1629" s="76" t="n"/>
      <c r="F1629" s="77" t="n"/>
      <c r="G1629" s="75" t="n"/>
      <c r="H1629" s="75">
        <f>IF(ISBLANK(E1629),"",IF(OR(D1629="Butterfly",D1629="Butterfly ",D1629="Iron Fly", D1629="Iron Fly "),LEN(E1629)-LEN(SUBSTITUTE(E1629,"/",""))+2,LEN(E1629)-LEN(SUBSTITUTE(E1629,"/",""))+1))</f>
        <v/>
      </c>
      <c r="I1629" s="78">
        <f>IF(ISBLANK(G1629),"",IF(D1629="Stock","0",Key!$A$3*H1629*G1629))</f>
        <v/>
      </c>
      <c r="J1629" s="78">
        <f>IF(ISBLANK(E1629),"",IF(ISNUMBER(SEARCH("/",E1629)), IF(LEN(E1629)-LEN(SUBSTITUTE(E1629,"/",""))=1,(RIGHT(E1629,LEN(E1629)-FIND("/",E1629)))-(LEFT(E1629,FIND("/",E1629)-1)),(MID(E1629, SEARCH("/",E1629) + 1, SEARCH("/",E1629, SEARCH("/",E1629)+1) - SEARCH("/",E1629) - 1))-(LEFT(E1629,FIND("/",E1629)-1))), "NA"))</f>
        <v/>
      </c>
      <c r="K1629" s="79">
        <f>IF(A1629&lt;&gt;"", IF(ISBLANK(L1629), TODAY(), K1629), "")</f>
        <v/>
      </c>
      <c r="L1629" s="78" t="n"/>
      <c r="M1629" s="78">
        <f>IF(ISBLANK(L1629),"",IF(D1629="Stock",IF(C1629="Buy",L1629*G1629,IF(C1629="Sell",(L1629*G1629)-I1629, X)),IF(C1629="Buy",(L1629*G1629*100)+I1629,IF(C1629="Sell",(L1629*G1629*100)-I1629, X))))</f>
        <v/>
      </c>
      <c r="N1629" s="78">
        <f>IF(ISBLANK(L1629),"",IF(AND(C1629="Sell",D1629="Stock"),M1629,IF(ISBLANK(L1629),"",IF(C1629="Buy",M1629, IF(AND(C1629="Sell",J1629="NA"),(E1629*G1629*100*0.1)+I1629, IF(C1629="Sell",(J1629-L1629)*(100*G1629)+I1629))))))</f>
        <v/>
      </c>
      <c r="O1629" s="75" t="n"/>
      <c r="P1629" s="75" t="n"/>
      <c r="Q1629" s="75">
        <f>IF(ISBLANK(P1629),"",IF(D1629="Stock",P1629*G1629,IF(P1629=0,"0",G1629*P1629*100-(G1629*$AF$14))))</f>
        <v/>
      </c>
      <c r="R1629" s="79">
        <f>IF(P1629&lt;&gt;"", TODAY(), "")</f>
        <v/>
      </c>
      <c r="S1629" s="78">
        <f>IF(AND(K1629&lt;&gt;"", R1629&lt;&gt;""), R1629-K1629, "")</f>
        <v/>
      </c>
      <c r="T1629" s="78" t="n"/>
      <c r="U1629" s="92">
        <f>IF(ISBLANK(P1629),"",IF(C1629="Buy",Q1629-M1629+T1629, IF(C1629="Sell",M1629-Q1629-T1629, X)))</f>
        <v/>
      </c>
      <c r="V1629" s="81">
        <f>IF(ISBLANK(P1629),"",U1629/N1629)</f>
        <v/>
      </c>
      <c r="W1629" s="81">
        <f>IF(ISBLANK(P1629),"",IF(S1629=0,(365/0.5)*V1629,(365/S1629)*V1629))</f>
        <v/>
      </c>
      <c r="X1629" s="75" t="n"/>
      <c r="Y1629" s="77" t="n"/>
      <c r="Z1629" s="77" t="n"/>
      <c r="AA1629" s="75" t="n"/>
      <c r="AB1629" s="75" t="n"/>
      <c r="AC1629" s="6" t="n"/>
      <c r="AD1629" s="75" t="n"/>
      <c r="AE1629" s="75" t="n"/>
      <c r="AF1629" s="75" t="n"/>
    </row>
    <row r="1630" ht="15.75" customHeight="1" s="133">
      <c r="A1630" s="75" t="n"/>
      <c r="B1630" s="75" t="n"/>
      <c r="C1630" s="75" t="n"/>
      <c r="D1630" s="75" t="n"/>
      <c r="E1630" s="76" t="n"/>
      <c r="F1630" s="77" t="n"/>
      <c r="G1630" s="75" t="n"/>
      <c r="H1630" s="75">
        <f>IF(ISBLANK(E1630),"",IF(OR(D1630="Butterfly",D1630="Butterfly ",D1630="Iron Fly", D1630="Iron Fly "),LEN(E1630)-LEN(SUBSTITUTE(E1630,"/",""))+2,LEN(E1630)-LEN(SUBSTITUTE(E1630,"/",""))+1))</f>
        <v/>
      </c>
      <c r="I1630" s="78">
        <f>IF(ISBLANK(G1630),"",IF(D1630="Stock","0",Key!$A$3*H1630*G1630))</f>
        <v/>
      </c>
      <c r="J1630" s="78">
        <f>IF(ISBLANK(E1630),"",IF(ISNUMBER(SEARCH("/",E1630)), IF(LEN(E1630)-LEN(SUBSTITUTE(E1630,"/",""))=1,(RIGHT(E1630,LEN(E1630)-FIND("/",E1630)))-(LEFT(E1630,FIND("/",E1630)-1)),(MID(E1630, SEARCH("/",E1630) + 1, SEARCH("/",E1630, SEARCH("/",E1630)+1) - SEARCH("/",E1630) - 1))-(LEFT(E1630,FIND("/",E1630)-1))), "NA"))</f>
        <v/>
      </c>
      <c r="K1630" s="79">
        <f>IF(A1630&lt;&gt;"", IF(ISBLANK(L1630), TODAY(), K1630), "")</f>
        <v/>
      </c>
      <c r="L1630" s="78" t="n"/>
      <c r="M1630" s="78">
        <f>IF(ISBLANK(L1630),"",IF(D1630="Stock",IF(C1630="Buy",L1630*G1630,IF(C1630="Sell",(L1630*G1630)-I1630, X)),IF(C1630="Buy",(L1630*G1630*100)+I1630,IF(C1630="Sell",(L1630*G1630*100)-I1630, X))))</f>
        <v/>
      </c>
      <c r="N1630" s="78">
        <f>IF(ISBLANK(L1630),"",IF(AND(C1630="Sell",D1630="Stock"),M1630,IF(ISBLANK(L1630),"",IF(C1630="Buy",M1630, IF(AND(C1630="Sell",J1630="NA"),(E1630*G1630*100*0.1)+I1630, IF(C1630="Sell",(J1630-L1630)*(100*G1630)+I1630))))))</f>
        <v/>
      </c>
      <c r="O1630" s="75" t="n"/>
      <c r="P1630" s="75" t="n"/>
      <c r="Q1630" s="75">
        <f>IF(ISBLANK(P1630),"",IF(D1630="Stock",P1630*G1630,IF(P1630=0,"0",G1630*P1630*100-(G1630*$AF$14))))</f>
        <v/>
      </c>
      <c r="R1630" s="79">
        <f>IF(P1630&lt;&gt;"", TODAY(), "")</f>
        <v/>
      </c>
      <c r="S1630" s="78">
        <f>IF(AND(K1630&lt;&gt;"", R1630&lt;&gt;""), R1630-K1630, "")</f>
        <v/>
      </c>
      <c r="T1630" s="78" t="n"/>
      <c r="U1630" s="92">
        <f>IF(ISBLANK(P1630),"",IF(C1630="Buy",Q1630-M1630+T1630, IF(C1630="Sell",M1630-Q1630-T1630, X)))</f>
        <v/>
      </c>
      <c r="V1630" s="81">
        <f>IF(ISBLANK(P1630),"",U1630/N1630)</f>
        <v/>
      </c>
      <c r="W1630" s="81">
        <f>IF(ISBLANK(P1630),"",IF(S1630=0,(365/0.5)*V1630,(365/S1630)*V1630))</f>
        <v/>
      </c>
      <c r="X1630" s="75" t="n"/>
      <c r="Y1630" s="77" t="n"/>
      <c r="Z1630" s="77" t="n"/>
      <c r="AA1630" s="75" t="n"/>
      <c r="AB1630" s="75" t="n"/>
      <c r="AC1630" s="6" t="n"/>
      <c r="AD1630" s="75" t="n"/>
      <c r="AE1630" s="75" t="n"/>
      <c r="AF1630" s="75" t="n"/>
    </row>
    <row r="1631" ht="15.75" customHeight="1" s="133">
      <c r="A1631" s="75" t="n"/>
      <c r="B1631" s="75" t="n"/>
      <c r="C1631" s="75" t="n"/>
      <c r="D1631" s="75" t="n"/>
      <c r="E1631" s="76" t="n"/>
      <c r="F1631" s="77" t="n"/>
      <c r="G1631" s="75" t="n"/>
      <c r="H1631" s="75">
        <f>IF(ISBLANK(E1631),"",IF(OR(D1631="Butterfly",D1631="Butterfly ",D1631="Iron Fly", D1631="Iron Fly "),LEN(E1631)-LEN(SUBSTITUTE(E1631,"/",""))+2,LEN(E1631)-LEN(SUBSTITUTE(E1631,"/",""))+1))</f>
        <v/>
      </c>
      <c r="I1631" s="78">
        <f>IF(ISBLANK(G1631),"",IF(D1631="Stock","0",Key!$A$3*H1631*G1631))</f>
        <v/>
      </c>
      <c r="J1631" s="78">
        <f>IF(ISBLANK(E1631),"",IF(ISNUMBER(SEARCH("/",E1631)), IF(LEN(E1631)-LEN(SUBSTITUTE(E1631,"/",""))=1,(RIGHT(E1631,LEN(E1631)-FIND("/",E1631)))-(LEFT(E1631,FIND("/",E1631)-1)),(MID(E1631, SEARCH("/",E1631) + 1, SEARCH("/",E1631, SEARCH("/",E1631)+1) - SEARCH("/",E1631) - 1))-(LEFT(E1631,FIND("/",E1631)-1))), "NA"))</f>
        <v/>
      </c>
      <c r="K1631" s="79">
        <f>IF(A1631&lt;&gt;"", IF(ISBLANK(L1631), TODAY(), K1631), "")</f>
        <v/>
      </c>
      <c r="L1631" s="78" t="n"/>
      <c r="M1631" s="78">
        <f>IF(ISBLANK(L1631),"",IF(D1631="Stock",IF(C1631="Buy",L1631*G1631,IF(C1631="Sell",(L1631*G1631)-I1631, X)),IF(C1631="Buy",(L1631*G1631*100)+I1631,IF(C1631="Sell",(L1631*G1631*100)-I1631, X))))</f>
        <v/>
      </c>
      <c r="N1631" s="78">
        <f>IF(ISBLANK(L1631),"",IF(AND(C1631="Sell",D1631="Stock"),M1631,IF(ISBLANK(L1631),"",IF(C1631="Buy",M1631, IF(AND(C1631="Sell",J1631="NA"),(E1631*G1631*100*0.1)+I1631, IF(C1631="Sell",(J1631-L1631)*(100*G1631)+I1631))))))</f>
        <v/>
      </c>
      <c r="O1631" s="75" t="n"/>
      <c r="P1631" s="75" t="n"/>
      <c r="Q1631" s="75">
        <f>IF(ISBLANK(P1631),"",IF(D1631="Stock",P1631*G1631,IF(P1631=0,"0",G1631*P1631*100-(G1631*$AF$14))))</f>
        <v/>
      </c>
      <c r="R1631" s="79">
        <f>IF(P1631&lt;&gt;"", TODAY(), "")</f>
        <v/>
      </c>
      <c r="S1631" s="78">
        <f>IF(AND(K1631&lt;&gt;"", R1631&lt;&gt;""), R1631-K1631, "")</f>
        <v/>
      </c>
      <c r="T1631" s="78" t="n"/>
      <c r="U1631" s="92">
        <f>IF(ISBLANK(P1631),"",IF(C1631="Buy",Q1631-M1631+T1631, IF(C1631="Sell",M1631-Q1631-T1631, X)))</f>
        <v/>
      </c>
      <c r="V1631" s="81">
        <f>IF(ISBLANK(P1631),"",U1631/N1631)</f>
        <v/>
      </c>
      <c r="W1631" s="81">
        <f>IF(ISBLANK(P1631),"",IF(S1631=0,(365/0.5)*V1631,(365/S1631)*V1631))</f>
        <v/>
      </c>
      <c r="X1631" s="75" t="n"/>
      <c r="Y1631" s="77" t="n"/>
      <c r="Z1631" s="77" t="n"/>
      <c r="AA1631" s="75" t="n"/>
      <c r="AB1631" s="75" t="n"/>
      <c r="AC1631" s="6" t="n"/>
      <c r="AD1631" s="75" t="n"/>
      <c r="AE1631" s="75" t="n"/>
      <c r="AF1631" s="75" t="n"/>
    </row>
    <row r="1632" ht="15.75" customHeight="1" s="133">
      <c r="A1632" s="75" t="n"/>
      <c r="B1632" s="75" t="n"/>
      <c r="C1632" s="75" t="n"/>
      <c r="D1632" s="75" t="n"/>
      <c r="E1632" s="76" t="n"/>
      <c r="F1632" s="77" t="n"/>
      <c r="G1632" s="75" t="n"/>
      <c r="H1632" s="75">
        <f>IF(ISBLANK(E1632),"",IF(OR(D1632="Butterfly",D1632="Butterfly ",D1632="Iron Fly", D1632="Iron Fly "),LEN(E1632)-LEN(SUBSTITUTE(E1632,"/",""))+2,LEN(E1632)-LEN(SUBSTITUTE(E1632,"/",""))+1))</f>
        <v/>
      </c>
      <c r="I1632" s="78">
        <f>IF(ISBLANK(G1632),"",IF(D1632="Stock","0",Key!$A$3*H1632*G1632))</f>
        <v/>
      </c>
      <c r="J1632" s="78">
        <f>IF(ISBLANK(E1632),"",IF(ISNUMBER(SEARCH("/",E1632)), IF(LEN(E1632)-LEN(SUBSTITUTE(E1632,"/",""))=1,(RIGHT(E1632,LEN(E1632)-FIND("/",E1632)))-(LEFT(E1632,FIND("/",E1632)-1)),(MID(E1632, SEARCH("/",E1632) + 1, SEARCH("/",E1632, SEARCH("/",E1632)+1) - SEARCH("/",E1632) - 1))-(LEFT(E1632,FIND("/",E1632)-1))), "NA"))</f>
        <v/>
      </c>
      <c r="K1632" s="79">
        <f>IF(A1632&lt;&gt;"", IF(ISBLANK(L1632), TODAY(), K1632), "")</f>
        <v/>
      </c>
      <c r="L1632" s="78" t="n"/>
      <c r="M1632" s="78">
        <f>IF(ISBLANK(L1632),"",IF(D1632="Stock",IF(C1632="Buy",L1632*G1632,IF(C1632="Sell",(L1632*G1632)-I1632, X)),IF(C1632="Buy",(L1632*G1632*100)+I1632,IF(C1632="Sell",(L1632*G1632*100)-I1632, X))))</f>
        <v/>
      </c>
      <c r="N1632" s="78">
        <f>IF(ISBLANK(L1632),"",IF(AND(C1632="Sell",D1632="Stock"),M1632,IF(ISBLANK(L1632),"",IF(C1632="Buy",M1632, IF(AND(C1632="Sell",J1632="NA"),(E1632*G1632*100*0.1)+I1632, IF(C1632="Sell",(J1632-L1632)*(100*G1632)+I1632))))))</f>
        <v/>
      </c>
      <c r="O1632" s="75" t="n"/>
      <c r="P1632" s="75" t="n"/>
      <c r="Q1632" s="75">
        <f>IF(ISBLANK(P1632),"",IF(D1632="Stock",P1632*G1632,IF(P1632=0,"0",G1632*P1632*100-(G1632*$AF$14))))</f>
        <v/>
      </c>
      <c r="R1632" s="79">
        <f>IF(P1632&lt;&gt;"", TODAY(), "")</f>
        <v/>
      </c>
      <c r="S1632" s="78">
        <f>IF(AND(K1632&lt;&gt;"", R1632&lt;&gt;""), R1632-K1632, "")</f>
        <v/>
      </c>
      <c r="T1632" s="78" t="n"/>
      <c r="U1632" s="92">
        <f>IF(ISBLANK(P1632),"",IF(C1632="Buy",Q1632-M1632+T1632, IF(C1632="Sell",M1632-Q1632-T1632, X)))</f>
        <v/>
      </c>
      <c r="V1632" s="81">
        <f>IF(ISBLANK(P1632),"",U1632/N1632)</f>
        <v/>
      </c>
      <c r="W1632" s="81">
        <f>IF(ISBLANK(P1632),"",IF(S1632=0,(365/0.5)*V1632,(365/S1632)*V1632))</f>
        <v/>
      </c>
      <c r="X1632" s="75" t="n"/>
      <c r="Y1632" s="77" t="n"/>
      <c r="Z1632" s="77" t="n"/>
      <c r="AA1632" s="75" t="n"/>
      <c r="AB1632" s="75" t="n"/>
      <c r="AC1632" s="6" t="n"/>
      <c r="AD1632" s="75" t="n"/>
      <c r="AE1632" s="75" t="n"/>
      <c r="AF1632" s="75" t="n"/>
    </row>
    <row r="1633" ht="15.75" customHeight="1" s="133">
      <c r="A1633" s="75" t="n"/>
      <c r="B1633" s="75" t="n"/>
      <c r="C1633" s="75" t="n"/>
      <c r="D1633" s="75" t="n"/>
      <c r="E1633" s="76" t="n"/>
      <c r="F1633" s="77" t="n"/>
      <c r="G1633" s="75" t="n"/>
      <c r="H1633" s="75">
        <f>IF(ISBLANK(E1633),"",IF(OR(D1633="Butterfly",D1633="Butterfly ",D1633="Iron Fly", D1633="Iron Fly "),LEN(E1633)-LEN(SUBSTITUTE(E1633,"/",""))+2,LEN(E1633)-LEN(SUBSTITUTE(E1633,"/",""))+1))</f>
        <v/>
      </c>
      <c r="I1633" s="78">
        <f>IF(ISBLANK(G1633),"",IF(D1633="Stock","0",Key!$A$3*H1633*G1633))</f>
        <v/>
      </c>
      <c r="J1633" s="78">
        <f>IF(ISBLANK(E1633),"",IF(ISNUMBER(SEARCH("/",E1633)), IF(LEN(E1633)-LEN(SUBSTITUTE(E1633,"/",""))=1,(RIGHT(E1633,LEN(E1633)-FIND("/",E1633)))-(LEFT(E1633,FIND("/",E1633)-1)),(MID(E1633, SEARCH("/",E1633) + 1, SEARCH("/",E1633, SEARCH("/",E1633)+1) - SEARCH("/",E1633) - 1))-(LEFT(E1633,FIND("/",E1633)-1))), "NA"))</f>
        <v/>
      </c>
      <c r="K1633" s="79">
        <f>IF(A1633&lt;&gt;"", IF(ISBLANK(L1633), TODAY(), K1633), "")</f>
        <v/>
      </c>
      <c r="L1633" s="78" t="n"/>
      <c r="M1633" s="78">
        <f>IF(ISBLANK(L1633),"",IF(D1633="Stock",IF(C1633="Buy",L1633*G1633,IF(C1633="Sell",(L1633*G1633)-I1633, X)),IF(C1633="Buy",(L1633*G1633*100)+I1633,IF(C1633="Sell",(L1633*G1633*100)-I1633, X))))</f>
        <v/>
      </c>
      <c r="N1633" s="78">
        <f>IF(ISBLANK(L1633),"",IF(AND(C1633="Sell",D1633="Stock"),M1633,IF(ISBLANK(L1633),"",IF(C1633="Buy",M1633, IF(AND(C1633="Sell",J1633="NA"),(E1633*G1633*100*0.1)+I1633, IF(C1633="Sell",(J1633-L1633)*(100*G1633)+I1633))))))</f>
        <v/>
      </c>
      <c r="O1633" s="75" t="n"/>
      <c r="P1633" s="75" t="n"/>
      <c r="Q1633" s="75">
        <f>IF(ISBLANK(P1633),"",IF(D1633="Stock",P1633*G1633,IF(P1633=0,"0",G1633*P1633*100-(G1633*$AF$14))))</f>
        <v/>
      </c>
      <c r="R1633" s="79">
        <f>IF(P1633&lt;&gt;"", TODAY(), "")</f>
        <v/>
      </c>
      <c r="S1633" s="78">
        <f>IF(AND(K1633&lt;&gt;"", R1633&lt;&gt;""), R1633-K1633, "")</f>
        <v/>
      </c>
      <c r="T1633" s="78" t="n"/>
      <c r="U1633" s="92">
        <f>IF(ISBLANK(P1633),"",IF(C1633="Buy",Q1633-M1633+T1633, IF(C1633="Sell",M1633-Q1633-T1633, X)))</f>
        <v/>
      </c>
      <c r="V1633" s="81">
        <f>IF(ISBLANK(P1633),"",U1633/N1633)</f>
        <v/>
      </c>
      <c r="W1633" s="81">
        <f>IF(ISBLANK(P1633),"",IF(S1633=0,(365/0.5)*V1633,(365/S1633)*V1633))</f>
        <v/>
      </c>
      <c r="X1633" s="75" t="n"/>
      <c r="Y1633" s="77" t="n"/>
      <c r="Z1633" s="77" t="n"/>
      <c r="AA1633" s="75" t="n"/>
      <c r="AB1633" s="75" t="n"/>
      <c r="AC1633" s="6" t="n"/>
      <c r="AD1633" s="75" t="n"/>
      <c r="AE1633" s="75" t="n"/>
      <c r="AF1633" s="75" t="n"/>
    </row>
    <row r="1634" ht="15.75" customHeight="1" s="133">
      <c r="A1634" s="75" t="n"/>
      <c r="B1634" s="75" t="n"/>
      <c r="C1634" s="75" t="n"/>
      <c r="D1634" s="75" t="n"/>
      <c r="E1634" s="76" t="n"/>
      <c r="F1634" s="77" t="n"/>
      <c r="G1634" s="75" t="n"/>
      <c r="H1634" s="75">
        <f>IF(ISBLANK(E1634),"",IF(OR(D1634="Butterfly",D1634="Butterfly ",D1634="Iron Fly", D1634="Iron Fly "),LEN(E1634)-LEN(SUBSTITUTE(E1634,"/",""))+2,LEN(E1634)-LEN(SUBSTITUTE(E1634,"/",""))+1))</f>
        <v/>
      </c>
      <c r="I1634" s="78">
        <f>IF(ISBLANK(G1634),"",IF(D1634="Stock","0",Key!$A$3*H1634*G1634))</f>
        <v/>
      </c>
      <c r="J1634" s="78">
        <f>IF(ISBLANK(E1634),"",IF(ISNUMBER(SEARCH("/",E1634)), IF(LEN(E1634)-LEN(SUBSTITUTE(E1634,"/",""))=1,(RIGHT(E1634,LEN(E1634)-FIND("/",E1634)))-(LEFT(E1634,FIND("/",E1634)-1)),(MID(E1634, SEARCH("/",E1634) + 1, SEARCH("/",E1634, SEARCH("/",E1634)+1) - SEARCH("/",E1634) - 1))-(LEFT(E1634,FIND("/",E1634)-1))), "NA"))</f>
        <v/>
      </c>
      <c r="K1634" s="79">
        <f>IF(A1634&lt;&gt;"", IF(ISBLANK(L1634), TODAY(), K1634), "")</f>
        <v/>
      </c>
      <c r="L1634" s="78" t="n"/>
      <c r="M1634" s="78">
        <f>IF(ISBLANK(L1634),"",IF(D1634="Stock",IF(C1634="Buy",L1634*G1634,IF(C1634="Sell",(L1634*G1634)-I1634, X)),IF(C1634="Buy",(L1634*G1634*100)+I1634,IF(C1634="Sell",(L1634*G1634*100)-I1634, X))))</f>
        <v/>
      </c>
      <c r="N1634" s="78">
        <f>IF(ISBLANK(L1634),"",IF(AND(C1634="Sell",D1634="Stock"),M1634,IF(ISBLANK(L1634),"",IF(C1634="Buy",M1634, IF(AND(C1634="Sell",J1634="NA"),(E1634*G1634*100*0.1)+I1634, IF(C1634="Sell",(J1634-L1634)*(100*G1634)+I1634))))))</f>
        <v/>
      </c>
      <c r="O1634" s="75" t="n"/>
      <c r="P1634" s="75" t="n"/>
      <c r="Q1634" s="75">
        <f>IF(ISBLANK(P1634),"",IF(D1634="Stock",P1634*G1634,IF(P1634=0,"0",G1634*P1634*100-(G1634*$AF$14))))</f>
        <v/>
      </c>
      <c r="R1634" s="79">
        <f>IF(P1634&lt;&gt;"", TODAY(), "")</f>
        <v/>
      </c>
      <c r="S1634" s="78">
        <f>IF(AND(K1634&lt;&gt;"", R1634&lt;&gt;""), R1634-K1634, "")</f>
        <v/>
      </c>
      <c r="T1634" s="78" t="n"/>
      <c r="U1634" s="92">
        <f>IF(ISBLANK(P1634),"",IF(C1634="Buy",Q1634-M1634+T1634, IF(C1634="Sell",M1634-Q1634-T1634, X)))</f>
        <v/>
      </c>
      <c r="V1634" s="81">
        <f>IF(ISBLANK(P1634),"",U1634/N1634)</f>
        <v/>
      </c>
      <c r="W1634" s="81">
        <f>IF(ISBLANK(P1634),"",IF(S1634=0,(365/0.5)*V1634,(365/S1634)*V1634))</f>
        <v/>
      </c>
      <c r="X1634" s="75" t="n"/>
      <c r="Y1634" s="77" t="n"/>
      <c r="Z1634" s="77" t="n"/>
      <c r="AA1634" s="75" t="n"/>
      <c r="AB1634" s="75" t="n"/>
      <c r="AC1634" s="6" t="n"/>
      <c r="AD1634" s="75" t="n"/>
      <c r="AE1634" s="75" t="n"/>
      <c r="AF1634" s="75" t="n"/>
    </row>
    <row r="1635" ht="15.75" customHeight="1" s="133">
      <c r="A1635" s="75" t="n"/>
      <c r="B1635" s="75" t="n"/>
      <c r="C1635" s="75" t="n"/>
      <c r="D1635" s="75" t="n"/>
      <c r="E1635" s="76" t="n"/>
      <c r="F1635" s="77" t="n"/>
      <c r="G1635" s="75" t="n"/>
      <c r="H1635" s="75">
        <f>IF(ISBLANK(E1635),"",IF(OR(D1635="Butterfly",D1635="Butterfly ",D1635="Iron Fly", D1635="Iron Fly "),LEN(E1635)-LEN(SUBSTITUTE(E1635,"/",""))+2,LEN(E1635)-LEN(SUBSTITUTE(E1635,"/",""))+1))</f>
        <v/>
      </c>
      <c r="I1635" s="78">
        <f>IF(ISBLANK(G1635),"",IF(D1635="Stock","0",Key!$A$3*H1635*G1635))</f>
        <v/>
      </c>
      <c r="J1635" s="78">
        <f>IF(ISBLANK(E1635),"",IF(ISNUMBER(SEARCH("/",E1635)), IF(LEN(E1635)-LEN(SUBSTITUTE(E1635,"/",""))=1,(RIGHT(E1635,LEN(E1635)-FIND("/",E1635)))-(LEFT(E1635,FIND("/",E1635)-1)),(MID(E1635, SEARCH("/",E1635) + 1, SEARCH("/",E1635, SEARCH("/",E1635)+1) - SEARCH("/",E1635) - 1))-(LEFT(E1635,FIND("/",E1635)-1))), "NA"))</f>
        <v/>
      </c>
      <c r="K1635" s="79">
        <f>IF(A1635&lt;&gt;"", IF(ISBLANK(L1635), TODAY(), K1635), "")</f>
        <v/>
      </c>
      <c r="L1635" s="78" t="n"/>
      <c r="M1635" s="78">
        <f>IF(ISBLANK(L1635),"",IF(D1635="Stock",IF(C1635="Buy",L1635*G1635,IF(C1635="Sell",(L1635*G1635)-I1635, X)),IF(C1635="Buy",(L1635*G1635*100)+I1635,IF(C1635="Sell",(L1635*G1635*100)-I1635, X))))</f>
        <v/>
      </c>
      <c r="N1635" s="78">
        <f>IF(ISBLANK(L1635),"",IF(AND(C1635="Sell",D1635="Stock"),M1635,IF(ISBLANK(L1635),"",IF(C1635="Buy",M1635, IF(AND(C1635="Sell",J1635="NA"),(E1635*G1635*100*0.1)+I1635, IF(C1635="Sell",(J1635-L1635)*(100*G1635)+I1635))))))</f>
        <v/>
      </c>
      <c r="O1635" s="75" t="n"/>
      <c r="P1635" s="75" t="n"/>
      <c r="Q1635" s="75">
        <f>IF(ISBLANK(P1635),"",IF(D1635="Stock",P1635*G1635,IF(P1635=0,"0",G1635*P1635*100-(G1635*$AF$14))))</f>
        <v/>
      </c>
      <c r="R1635" s="79">
        <f>IF(P1635&lt;&gt;"", TODAY(), "")</f>
        <v/>
      </c>
      <c r="S1635" s="78">
        <f>IF(AND(K1635&lt;&gt;"", R1635&lt;&gt;""), R1635-K1635, "")</f>
        <v/>
      </c>
      <c r="T1635" s="78" t="n"/>
      <c r="U1635" s="92">
        <f>IF(ISBLANK(P1635),"",IF(C1635="Buy",Q1635-M1635+T1635, IF(C1635="Sell",M1635-Q1635-T1635, X)))</f>
        <v/>
      </c>
      <c r="V1635" s="81">
        <f>IF(ISBLANK(P1635),"",U1635/N1635)</f>
        <v/>
      </c>
      <c r="W1635" s="81">
        <f>IF(ISBLANK(P1635),"",IF(S1635=0,(365/0.5)*V1635,(365/S1635)*V1635))</f>
        <v/>
      </c>
      <c r="X1635" s="75" t="n"/>
      <c r="Y1635" s="77" t="n"/>
      <c r="Z1635" s="77" t="n"/>
      <c r="AA1635" s="75" t="n"/>
      <c r="AB1635" s="75" t="n"/>
      <c r="AC1635" s="6" t="n"/>
      <c r="AD1635" s="75" t="n"/>
      <c r="AE1635" s="75" t="n"/>
      <c r="AF1635" s="75" t="n"/>
    </row>
    <row r="1636" ht="15.75" customHeight="1" s="133">
      <c r="A1636" s="75" t="n"/>
      <c r="B1636" s="75" t="n"/>
      <c r="C1636" s="75" t="n"/>
      <c r="D1636" s="75" t="n"/>
      <c r="E1636" s="76" t="n"/>
      <c r="F1636" s="77" t="n"/>
      <c r="G1636" s="75" t="n"/>
      <c r="H1636" s="75">
        <f>IF(ISBLANK(E1636),"",IF(OR(D1636="Butterfly",D1636="Butterfly ",D1636="Iron Fly", D1636="Iron Fly "),LEN(E1636)-LEN(SUBSTITUTE(E1636,"/",""))+2,LEN(E1636)-LEN(SUBSTITUTE(E1636,"/",""))+1))</f>
        <v/>
      </c>
      <c r="I1636" s="78">
        <f>IF(ISBLANK(G1636),"",IF(D1636="Stock","0",Key!$A$3*H1636*G1636))</f>
        <v/>
      </c>
      <c r="J1636" s="78">
        <f>IF(ISBLANK(E1636),"",IF(ISNUMBER(SEARCH("/",E1636)), IF(LEN(E1636)-LEN(SUBSTITUTE(E1636,"/",""))=1,(RIGHT(E1636,LEN(E1636)-FIND("/",E1636)))-(LEFT(E1636,FIND("/",E1636)-1)),(MID(E1636, SEARCH("/",E1636) + 1, SEARCH("/",E1636, SEARCH("/",E1636)+1) - SEARCH("/",E1636) - 1))-(LEFT(E1636,FIND("/",E1636)-1))), "NA"))</f>
        <v/>
      </c>
      <c r="K1636" s="79">
        <f>IF(A1636&lt;&gt;"", IF(ISBLANK(L1636), TODAY(), K1636), "")</f>
        <v/>
      </c>
      <c r="L1636" s="78" t="n"/>
      <c r="M1636" s="78">
        <f>IF(ISBLANK(L1636),"",IF(D1636="Stock",IF(C1636="Buy",L1636*G1636,IF(C1636="Sell",(L1636*G1636)-I1636, X)),IF(C1636="Buy",(L1636*G1636*100)+I1636,IF(C1636="Sell",(L1636*G1636*100)-I1636, X))))</f>
        <v/>
      </c>
      <c r="N1636" s="78">
        <f>IF(ISBLANK(L1636),"",IF(AND(C1636="Sell",D1636="Stock"),M1636,IF(ISBLANK(L1636),"",IF(C1636="Buy",M1636, IF(AND(C1636="Sell",J1636="NA"),(E1636*G1636*100*0.1)+I1636, IF(C1636="Sell",(J1636-L1636)*(100*G1636)+I1636))))))</f>
        <v/>
      </c>
      <c r="O1636" s="75" t="n"/>
      <c r="P1636" s="75" t="n"/>
      <c r="Q1636" s="75">
        <f>IF(ISBLANK(P1636),"",IF(D1636="Stock",P1636*G1636,IF(P1636=0,"0",G1636*P1636*100-(G1636*$AF$14))))</f>
        <v/>
      </c>
      <c r="R1636" s="79">
        <f>IF(P1636&lt;&gt;"", TODAY(), "")</f>
        <v/>
      </c>
      <c r="S1636" s="78">
        <f>IF(AND(K1636&lt;&gt;"", R1636&lt;&gt;""), R1636-K1636, "")</f>
        <v/>
      </c>
      <c r="T1636" s="78" t="n"/>
      <c r="U1636" s="92">
        <f>IF(ISBLANK(P1636),"",IF(C1636="Buy",Q1636-M1636+T1636, IF(C1636="Sell",M1636-Q1636-T1636, X)))</f>
        <v/>
      </c>
      <c r="V1636" s="81">
        <f>IF(ISBLANK(P1636),"",U1636/N1636)</f>
        <v/>
      </c>
      <c r="W1636" s="81">
        <f>IF(ISBLANK(P1636),"",IF(S1636=0,(365/0.5)*V1636,(365/S1636)*V1636))</f>
        <v/>
      </c>
      <c r="X1636" s="75" t="n"/>
      <c r="Y1636" s="77" t="n"/>
      <c r="Z1636" s="77" t="n"/>
      <c r="AA1636" s="75" t="n"/>
      <c r="AB1636" s="75" t="n"/>
      <c r="AC1636" s="6" t="n"/>
      <c r="AD1636" s="75" t="n"/>
      <c r="AE1636" s="75" t="n"/>
      <c r="AF1636" s="75" t="n"/>
    </row>
    <row r="1637" ht="15.75" customHeight="1" s="133">
      <c r="A1637" s="75" t="n"/>
      <c r="B1637" s="75" t="n"/>
      <c r="C1637" s="75" t="n"/>
      <c r="D1637" s="75" t="n"/>
      <c r="E1637" s="76" t="n"/>
      <c r="F1637" s="77" t="n"/>
      <c r="G1637" s="75" t="n"/>
      <c r="H1637" s="75">
        <f>IF(ISBLANK(E1637),"",IF(OR(D1637="Butterfly",D1637="Butterfly ",D1637="Iron Fly", D1637="Iron Fly "),LEN(E1637)-LEN(SUBSTITUTE(E1637,"/",""))+2,LEN(E1637)-LEN(SUBSTITUTE(E1637,"/",""))+1))</f>
        <v/>
      </c>
      <c r="I1637" s="78">
        <f>IF(ISBLANK(G1637),"",IF(D1637="Stock","0",Key!$A$3*H1637*G1637))</f>
        <v/>
      </c>
      <c r="J1637" s="78">
        <f>IF(ISBLANK(E1637),"",IF(ISNUMBER(SEARCH("/",E1637)), IF(LEN(E1637)-LEN(SUBSTITUTE(E1637,"/",""))=1,(RIGHT(E1637,LEN(E1637)-FIND("/",E1637)))-(LEFT(E1637,FIND("/",E1637)-1)),(MID(E1637, SEARCH("/",E1637) + 1, SEARCH("/",E1637, SEARCH("/",E1637)+1) - SEARCH("/",E1637) - 1))-(LEFT(E1637,FIND("/",E1637)-1))), "NA"))</f>
        <v/>
      </c>
      <c r="K1637" s="79">
        <f>IF(A1637&lt;&gt;"", IF(ISBLANK(L1637), TODAY(), K1637), "")</f>
        <v/>
      </c>
      <c r="L1637" s="78" t="n"/>
      <c r="M1637" s="78">
        <f>IF(ISBLANK(L1637),"",IF(D1637="Stock",IF(C1637="Buy",L1637*G1637,IF(C1637="Sell",(L1637*G1637)-I1637, X)),IF(C1637="Buy",(L1637*G1637*100)+I1637,IF(C1637="Sell",(L1637*G1637*100)-I1637, X))))</f>
        <v/>
      </c>
      <c r="N1637" s="78">
        <f>IF(ISBLANK(L1637),"",IF(AND(C1637="Sell",D1637="Stock"),M1637,IF(ISBLANK(L1637),"",IF(C1637="Buy",M1637, IF(AND(C1637="Sell",J1637="NA"),(E1637*G1637*100*0.1)+I1637, IF(C1637="Sell",(J1637-L1637)*(100*G1637)+I1637))))))</f>
        <v/>
      </c>
      <c r="O1637" s="75" t="n"/>
      <c r="P1637" s="75" t="n"/>
      <c r="Q1637" s="75">
        <f>IF(ISBLANK(P1637),"",IF(D1637="Stock",P1637*G1637,IF(P1637=0,"0",G1637*P1637*100-(G1637*$AF$14))))</f>
        <v/>
      </c>
      <c r="R1637" s="79">
        <f>IF(P1637&lt;&gt;"", TODAY(), "")</f>
        <v/>
      </c>
      <c r="S1637" s="78">
        <f>IF(AND(K1637&lt;&gt;"", R1637&lt;&gt;""), R1637-K1637, "")</f>
        <v/>
      </c>
      <c r="T1637" s="78" t="n"/>
      <c r="U1637" s="92">
        <f>IF(ISBLANK(P1637),"",IF(C1637="Buy",Q1637-M1637+T1637, IF(C1637="Sell",M1637-Q1637-T1637, X)))</f>
        <v/>
      </c>
      <c r="V1637" s="81">
        <f>IF(ISBLANK(P1637),"",U1637/N1637)</f>
        <v/>
      </c>
      <c r="W1637" s="81">
        <f>IF(ISBLANK(P1637),"",IF(S1637=0,(365/0.5)*V1637,(365/S1637)*V1637))</f>
        <v/>
      </c>
      <c r="X1637" s="75" t="n"/>
      <c r="Y1637" s="77" t="n"/>
      <c r="Z1637" s="77" t="n"/>
      <c r="AA1637" s="75" t="n"/>
      <c r="AB1637" s="75" t="n"/>
      <c r="AC1637" s="6" t="n"/>
      <c r="AD1637" s="75" t="n"/>
      <c r="AE1637" s="75" t="n"/>
      <c r="AF1637" s="75" t="n"/>
    </row>
    <row r="1638" ht="15.75" customHeight="1" s="133">
      <c r="A1638" s="75" t="n"/>
      <c r="B1638" s="75" t="n"/>
      <c r="C1638" s="75" t="n"/>
      <c r="D1638" s="75" t="n"/>
      <c r="E1638" s="76" t="n"/>
      <c r="F1638" s="77" t="n"/>
      <c r="G1638" s="75" t="n"/>
      <c r="H1638" s="75">
        <f>IF(ISBLANK(E1638),"",IF(OR(D1638="Butterfly",D1638="Butterfly ",D1638="Iron Fly", D1638="Iron Fly "),LEN(E1638)-LEN(SUBSTITUTE(E1638,"/",""))+2,LEN(E1638)-LEN(SUBSTITUTE(E1638,"/",""))+1))</f>
        <v/>
      </c>
      <c r="I1638" s="78">
        <f>IF(ISBLANK(G1638),"",IF(D1638="Stock","0",Key!$A$3*H1638*G1638))</f>
        <v/>
      </c>
      <c r="J1638" s="78">
        <f>IF(ISBLANK(E1638),"",IF(ISNUMBER(SEARCH("/",E1638)), IF(LEN(E1638)-LEN(SUBSTITUTE(E1638,"/",""))=1,(RIGHT(E1638,LEN(E1638)-FIND("/",E1638)))-(LEFT(E1638,FIND("/",E1638)-1)),(MID(E1638, SEARCH("/",E1638) + 1, SEARCH("/",E1638, SEARCH("/",E1638)+1) - SEARCH("/",E1638) - 1))-(LEFT(E1638,FIND("/",E1638)-1))), "NA"))</f>
        <v/>
      </c>
      <c r="K1638" s="79">
        <f>IF(A1638&lt;&gt;"", IF(ISBLANK(L1638), TODAY(), K1638), "")</f>
        <v/>
      </c>
      <c r="L1638" s="78" t="n"/>
      <c r="M1638" s="78">
        <f>IF(ISBLANK(L1638),"",IF(D1638="Stock",IF(C1638="Buy",L1638*G1638,IF(C1638="Sell",(L1638*G1638)-I1638, X)),IF(C1638="Buy",(L1638*G1638*100)+I1638,IF(C1638="Sell",(L1638*G1638*100)-I1638, X))))</f>
        <v/>
      </c>
      <c r="N1638" s="78">
        <f>IF(ISBLANK(L1638),"",IF(AND(C1638="Sell",D1638="Stock"),M1638,IF(ISBLANK(L1638),"",IF(C1638="Buy",M1638, IF(AND(C1638="Sell",J1638="NA"),(E1638*G1638*100*0.1)+I1638, IF(C1638="Sell",(J1638-L1638)*(100*G1638)+I1638))))))</f>
        <v/>
      </c>
      <c r="O1638" s="75" t="n"/>
      <c r="P1638" s="75" t="n"/>
      <c r="Q1638" s="75">
        <f>IF(ISBLANK(P1638),"",IF(D1638="Stock",P1638*G1638,IF(P1638=0,"0",G1638*P1638*100-(G1638*$AF$14))))</f>
        <v/>
      </c>
      <c r="R1638" s="79">
        <f>IF(P1638&lt;&gt;"", TODAY(), "")</f>
        <v/>
      </c>
      <c r="S1638" s="78">
        <f>IF(AND(K1638&lt;&gt;"", R1638&lt;&gt;""), R1638-K1638, "")</f>
        <v/>
      </c>
      <c r="T1638" s="78" t="n"/>
      <c r="U1638" s="92">
        <f>IF(ISBLANK(P1638),"",IF(C1638="Buy",Q1638-M1638+T1638, IF(C1638="Sell",M1638-Q1638-T1638, X)))</f>
        <v/>
      </c>
      <c r="V1638" s="81">
        <f>IF(ISBLANK(P1638),"",U1638/N1638)</f>
        <v/>
      </c>
      <c r="W1638" s="81">
        <f>IF(ISBLANK(P1638),"",IF(S1638=0,(365/0.5)*V1638,(365/S1638)*V1638))</f>
        <v/>
      </c>
      <c r="X1638" s="75" t="n"/>
      <c r="Y1638" s="77" t="n"/>
      <c r="Z1638" s="77" t="n"/>
      <c r="AA1638" s="75" t="n"/>
      <c r="AB1638" s="75" t="n"/>
      <c r="AC1638" s="6" t="n"/>
      <c r="AD1638" s="75" t="n"/>
      <c r="AE1638" s="75" t="n"/>
      <c r="AF1638" s="75" t="n"/>
    </row>
    <row r="1639" ht="15.75" customHeight="1" s="133">
      <c r="A1639" s="75" t="n"/>
      <c r="B1639" s="75" t="n"/>
      <c r="C1639" s="75" t="n"/>
      <c r="D1639" s="75" t="n"/>
      <c r="E1639" s="76" t="n"/>
      <c r="F1639" s="77" t="n"/>
      <c r="G1639" s="75" t="n"/>
      <c r="H1639" s="75">
        <f>IF(ISBLANK(E1639),"",IF(OR(D1639="Butterfly",D1639="Butterfly ",D1639="Iron Fly", D1639="Iron Fly "),LEN(E1639)-LEN(SUBSTITUTE(E1639,"/",""))+2,LEN(E1639)-LEN(SUBSTITUTE(E1639,"/",""))+1))</f>
        <v/>
      </c>
      <c r="I1639" s="78">
        <f>IF(ISBLANK(G1639),"",IF(D1639="Stock","0",Key!$A$3*H1639*G1639))</f>
        <v/>
      </c>
      <c r="J1639" s="78">
        <f>IF(ISBLANK(E1639),"",IF(ISNUMBER(SEARCH("/",E1639)), IF(LEN(E1639)-LEN(SUBSTITUTE(E1639,"/",""))=1,(RIGHT(E1639,LEN(E1639)-FIND("/",E1639)))-(LEFT(E1639,FIND("/",E1639)-1)),(MID(E1639, SEARCH("/",E1639) + 1, SEARCH("/",E1639, SEARCH("/",E1639)+1) - SEARCH("/",E1639) - 1))-(LEFT(E1639,FIND("/",E1639)-1))), "NA"))</f>
        <v/>
      </c>
      <c r="K1639" s="79">
        <f>IF(A1639&lt;&gt;"", IF(ISBLANK(L1639), TODAY(), K1639), "")</f>
        <v/>
      </c>
      <c r="L1639" s="78" t="n"/>
      <c r="M1639" s="78">
        <f>IF(ISBLANK(L1639),"",IF(D1639="Stock",IF(C1639="Buy",L1639*G1639,IF(C1639="Sell",(L1639*G1639)-I1639, X)),IF(C1639="Buy",(L1639*G1639*100)+I1639,IF(C1639="Sell",(L1639*G1639*100)-I1639, X))))</f>
        <v/>
      </c>
      <c r="N1639" s="78">
        <f>IF(ISBLANK(L1639),"",IF(AND(C1639="Sell",D1639="Stock"),M1639,IF(ISBLANK(L1639),"",IF(C1639="Buy",M1639, IF(AND(C1639="Sell",J1639="NA"),(E1639*G1639*100*0.1)+I1639, IF(C1639="Sell",(J1639-L1639)*(100*G1639)+I1639))))))</f>
        <v/>
      </c>
      <c r="O1639" s="75" t="n"/>
      <c r="P1639" s="75" t="n"/>
      <c r="Q1639" s="75">
        <f>IF(ISBLANK(P1639),"",IF(D1639="Stock",P1639*G1639,IF(P1639=0,"0",G1639*P1639*100-(G1639*$AF$14))))</f>
        <v/>
      </c>
      <c r="R1639" s="79">
        <f>IF(P1639&lt;&gt;"", TODAY(), "")</f>
        <v/>
      </c>
      <c r="S1639" s="78">
        <f>IF(AND(K1639&lt;&gt;"", R1639&lt;&gt;""), R1639-K1639, "")</f>
        <v/>
      </c>
      <c r="T1639" s="78" t="n"/>
      <c r="U1639" s="92">
        <f>IF(ISBLANK(P1639),"",IF(C1639="Buy",Q1639-M1639+T1639, IF(C1639="Sell",M1639-Q1639-T1639, X)))</f>
        <v/>
      </c>
      <c r="V1639" s="81">
        <f>IF(ISBLANK(P1639),"",U1639/N1639)</f>
        <v/>
      </c>
      <c r="W1639" s="81">
        <f>IF(ISBLANK(P1639),"",IF(S1639=0,(365/0.5)*V1639,(365/S1639)*V1639))</f>
        <v/>
      </c>
      <c r="X1639" s="75" t="n"/>
      <c r="Y1639" s="77" t="n"/>
      <c r="Z1639" s="77" t="n"/>
      <c r="AA1639" s="75" t="n"/>
      <c r="AB1639" s="75" t="n"/>
      <c r="AC1639" s="6" t="n"/>
      <c r="AD1639" s="75" t="n"/>
      <c r="AE1639" s="75" t="n"/>
      <c r="AF1639" s="75" t="n"/>
    </row>
    <row r="1640" ht="15.75" customHeight="1" s="133">
      <c r="A1640" s="75" t="n"/>
      <c r="B1640" s="75" t="n"/>
      <c r="C1640" s="75" t="n"/>
      <c r="D1640" s="75" t="n"/>
      <c r="E1640" s="76" t="n"/>
      <c r="F1640" s="77" t="n"/>
      <c r="G1640" s="75" t="n"/>
      <c r="H1640" s="75">
        <f>IF(ISBLANK(E1640),"",IF(OR(D1640="Butterfly",D1640="Butterfly ",D1640="Iron Fly", D1640="Iron Fly "),LEN(E1640)-LEN(SUBSTITUTE(E1640,"/",""))+2,LEN(E1640)-LEN(SUBSTITUTE(E1640,"/",""))+1))</f>
        <v/>
      </c>
      <c r="I1640" s="78">
        <f>IF(ISBLANK(G1640),"",IF(D1640="Stock","0",Key!$A$3*H1640*G1640))</f>
        <v/>
      </c>
      <c r="J1640" s="78">
        <f>IF(ISBLANK(E1640),"",IF(ISNUMBER(SEARCH("/",E1640)), IF(LEN(E1640)-LEN(SUBSTITUTE(E1640,"/",""))=1,(RIGHT(E1640,LEN(E1640)-FIND("/",E1640)))-(LEFT(E1640,FIND("/",E1640)-1)),(MID(E1640, SEARCH("/",E1640) + 1, SEARCH("/",E1640, SEARCH("/",E1640)+1) - SEARCH("/",E1640) - 1))-(LEFT(E1640,FIND("/",E1640)-1))), "NA"))</f>
        <v/>
      </c>
      <c r="K1640" s="79">
        <f>IF(A1640&lt;&gt;"", IF(ISBLANK(L1640), TODAY(), K1640), "")</f>
        <v/>
      </c>
      <c r="L1640" s="78" t="n"/>
      <c r="M1640" s="78">
        <f>IF(ISBLANK(L1640),"",IF(D1640="Stock",IF(C1640="Buy",L1640*G1640,IF(C1640="Sell",(L1640*G1640)-I1640, X)),IF(C1640="Buy",(L1640*G1640*100)+I1640,IF(C1640="Sell",(L1640*G1640*100)-I1640, X))))</f>
        <v/>
      </c>
      <c r="N1640" s="78">
        <f>IF(ISBLANK(L1640),"",IF(AND(C1640="Sell",D1640="Stock"),M1640,IF(ISBLANK(L1640),"",IF(C1640="Buy",M1640, IF(AND(C1640="Sell",J1640="NA"),(E1640*G1640*100*0.1)+I1640, IF(C1640="Sell",(J1640-L1640)*(100*G1640)+I1640))))))</f>
        <v/>
      </c>
      <c r="O1640" s="75" t="n"/>
      <c r="P1640" s="75" t="n"/>
      <c r="Q1640" s="75">
        <f>IF(ISBLANK(P1640),"",IF(D1640="Stock",P1640*G1640,IF(P1640=0,"0",G1640*P1640*100-(G1640*$AF$14))))</f>
        <v/>
      </c>
      <c r="R1640" s="79">
        <f>IF(P1640&lt;&gt;"", TODAY(), "")</f>
        <v/>
      </c>
      <c r="S1640" s="78">
        <f>IF(AND(K1640&lt;&gt;"", R1640&lt;&gt;""), R1640-K1640, "")</f>
        <v/>
      </c>
      <c r="T1640" s="78" t="n"/>
      <c r="U1640" s="92">
        <f>IF(ISBLANK(P1640),"",IF(C1640="Buy",Q1640-M1640+T1640, IF(C1640="Sell",M1640-Q1640-T1640, X)))</f>
        <v/>
      </c>
      <c r="V1640" s="81">
        <f>IF(ISBLANK(P1640),"",U1640/N1640)</f>
        <v/>
      </c>
      <c r="W1640" s="81">
        <f>IF(ISBLANK(P1640),"",IF(S1640=0,(365/0.5)*V1640,(365/S1640)*V1640))</f>
        <v/>
      </c>
      <c r="X1640" s="75" t="n"/>
      <c r="Y1640" s="77" t="n"/>
      <c r="Z1640" s="77" t="n"/>
      <c r="AA1640" s="75" t="n"/>
      <c r="AB1640" s="75" t="n"/>
      <c r="AC1640" s="6" t="n"/>
      <c r="AD1640" s="75" t="n"/>
      <c r="AE1640" s="75" t="n"/>
      <c r="AF1640" s="75" t="n"/>
    </row>
    <row r="1641" ht="15.75" customHeight="1" s="133">
      <c r="A1641" s="75" t="n"/>
      <c r="B1641" s="75" t="n"/>
      <c r="C1641" s="75" t="n"/>
      <c r="D1641" s="75" t="n"/>
      <c r="E1641" s="76" t="n"/>
      <c r="F1641" s="77" t="n"/>
      <c r="G1641" s="75" t="n"/>
      <c r="H1641" s="75">
        <f>IF(ISBLANK(E1641),"",IF(OR(D1641="Butterfly",D1641="Butterfly ",D1641="Iron Fly", D1641="Iron Fly "),LEN(E1641)-LEN(SUBSTITUTE(E1641,"/",""))+2,LEN(E1641)-LEN(SUBSTITUTE(E1641,"/",""))+1))</f>
        <v/>
      </c>
      <c r="I1641" s="78">
        <f>IF(ISBLANK(G1641),"",IF(D1641="Stock","0",Key!$A$3*H1641*G1641))</f>
        <v/>
      </c>
      <c r="J1641" s="78">
        <f>IF(ISBLANK(E1641),"",IF(ISNUMBER(SEARCH("/",E1641)), IF(LEN(E1641)-LEN(SUBSTITUTE(E1641,"/",""))=1,(RIGHT(E1641,LEN(E1641)-FIND("/",E1641)))-(LEFT(E1641,FIND("/",E1641)-1)),(MID(E1641, SEARCH("/",E1641) + 1, SEARCH("/",E1641, SEARCH("/",E1641)+1) - SEARCH("/",E1641) - 1))-(LEFT(E1641,FIND("/",E1641)-1))), "NA"))</f>
        <v/>
      </c>
      <c r="K1641" s="79">
        <f>IF(A1641&lt;&gt;"", IF(ISBLANK(L1641), TODAY(), K1641), "")</f>
        <v/>
      </c>
      <c r="L1641" s="78" t="n"/>
      <c r="M1641" s="78">
        <f>IF(ISBLANK(L1641),"",IF(D1641="Stock",IF(C1641="Buy",L1641*G1641,IF(C1641="Sell",(L1641*G1641)-I1641, X)),IF(C1641="Buy",(L1641*G1641*100)+I1641,IF(C1641="Sell",(L1641*G1641*100)-I1641, X))))</f>
        <v/>
      </c>
      <c r="N1641" s="78">
        <f>IF(ISBLANK(L1641),"",IF(AND(C1641="Sell",D1641="Stock"),M1641,IF(ISBLANK(L1641),"",IF(C1641="Buy",M1641, IF(AND(C1641="Sell",J1641="NA"),(E1641*G1641*100*0.1)+I1641, IF(C1641="Sell",(J1641-L1641)*(100*G1641)+I1641))))))</f>
        <v/>
      </c>
      <c r="O1641" s="75" t="n"/>
      <c r="P1641" s="75" t="n"/>
      <c r="Q1641" s="75">
        <f>IF(ISBLANK(P1641),"",IF(D1641="Stock",P1641*G1641,IF(P1641=0,"0",G1641*P1641*100-(G1641*$AF$14))))</f>
        <v/>
      </c>
      <c r="R1641" s="79">
        <f>IF(P1641&lt;&gt;"", TODAY(), "")</f>
        <v/>
      </c>
      <c r="S1641" s="78">
        <f>IF(AND(K1641&lt;&gt;"", R1641&lt;&gt;""), R1641-K1641, "")</f>
        <v/>
      </c>
      <c r="T1641" s="78" t="n"/>
      <c r="U1641" s="92">
        <f>IF(ISBLANK(P1641),"",IF(C1641="Buy",Q1641-M1641+T1641, IF(C1641="Sell",M1641-Q1641-T1641, X)))</f>
        <v/>
      </c>
      <c r="V1641" s="81">
        <f>IF(ISBLANK(P1641),"",U1641/N1641)</f>
        <v/>
      </c>
      <c r="W1641" s="81">
        <f>IF(ISBLANK(P1641),"",IF(S1641=0,(365/0.5)*V1641,(365/S1641)*V1641))</f>
        <v/>
      </c>
      <c r="X1641" s="75" t="n"/>
      <c r="Y1641" s="77" t="n"/>
      <c r="Z1641" s="77" t="n"/>
      <c r="AA1641" s="75" t="n"/>
      <c r="AB1641" s="75" t="n"/>
      <c r="AC1641" s="6" t="n"/>
      <c r="AD1641" s="75" t="n"/>
      <c r="AE1641" s="75" t="n"/>
      <c r="AF1641" s="75" t="n"/>
    </row>
    <row r="1642" ht="15.75" customHeight="1" s="133">
      <c r="A1642" s="75" t="n"/>
      <c r="B1642" s="75" t="n"/>
      <c r="C1642" s="75" t="n"/>
      <c r="D1642" s="75" t="n"/>
      <c r="E1642" s="76" t="n"/>
      <c r="F1642" s="77" t="n"/>
      <c r="G1642" s="75" t="n"/>
      <c r="H1642" s="75">
        <f>IF(ISBLANK(E1642),"",IF(OR(D1642="Butterfly",D1642="Butterfly ",D1642="Iron Fly", D1642="Iron Fly "),LEN(E1642)-LEN(SUBSTITUTE(E1642,"/",""))+2,LEN(E1642)-LEN(SUBSTITUTE(E1642,"/",""))+1))</f>
        <v/>
      </c>
      <c r="I1642" s="78">
        <f>IF(ISBLANK(G1642),"",IF(D1642="Stock","0",Key!$A$3*H1642*G1642))</f>
        <v/>
      </c>
      <c r="J1642" s="78">
        <f>IF(ISBLANK(E1642),"",IF(ISNUMBER(SEARCH("/",E1642)), IF(LEN(E1642)-LEN(SUBSTITUTE(E1642,"/",""))=1,(RIGHT(E1642,LEN(E1642)-FIND("/",E1642)))-(LEFT(E1642,FIND("/",E1642)-1)),(MID(E1642, SEARCH("/",E1642) + 1, SEARCH("/",E1642, SEARCH("/",E1642)+1) - SEARCH("/",E1642) - 1))-(LEFT(E1642,FIND("/",E1642)-1))), "NA"))</f>
        <v/>
      </c>
      <c r="K1642" s="79">
        <f>IF(A1642&lt;&gt;"", IF(ISBLANK(L1642), TODAY(), K1642), "")</f>
        <v/>
      </c>
      <c r="L1642" s="78" t="n"/>
      <c r="M1642" s="78">
        <f>IF(ISBLANK(L1642),"",IF(D1642="Stock",IF(C1642="Buy",L1642*G1642,IF(C1642="Sell",(L1642*G1642)-I1642, X)),IF(C1642="Buy",(L1642*G1642*100)+I1642,IF(C1642="Sell",(L1642*G1642*100)-I1642, X))))</f>
        <v/>
      </c>
      <c r="N1642" s="78">
        <f>IF(ISBLANK(L1642),"",IF(AND(C1642="Sell",D1642="Stock"),M1642,IF(ISBLANK(L1642),"",IF(C1642="Buy",M1642, IF(AND(C1642="Sell",J1642="NA"),(E1642*G1642*100*0.1)+I1642, IF(C1642="Sell",(J1642-L1642)*(100*G1642)+I1642))))))</f>
        <v/>
      </c>
      <c r="O1642" s="75" t="n"/>
      <c r="P1642" s="75" t="n"/>
      <c r="Q1642" s="75">
        <f>IF(ISBLANK(P1642),"",IF(D1642="Stock",P1642*G1642,IF(P1642=0,"0",G1642*P1642*100-(G1642*$AF$14))))</f>
        <v/>
      </c>
      <c r="R1642" s="79">
        <f>IF(P1642&lt;&gt;"", TODAY(), "")</f>
        <v/>
      </c>
      <c r="S1642" s="78">
        <f>IF(AND(K1642&lt;&gt;"", R1642&lt;&gt;""), R1642-K1642, "")</f>
        <v/>
      </c>
      <c r="T1642" s="78" t="n"/>
      <c r="U1642" s="92">
        <f>IF(ISBLANK(P1642),"",IF(C1642="Buy",Q1642-M1642+T1642, IF(C1642="Sell",M1642-Q1642-T1642, X)))</f>
        <v/>
      </c>
      <c r="V1642" s="81">
        <f>IF(ISBLANK(P1642),"",U1642/N1642)</f>
        <v/>
      </c>
      <c r="W1642" s="81">
        <f>IF(ISBLANK(P1642),"",IF(S1642=0,(365/0.5)*V1642,(365/S1642)*V1642))</f>
        <v/>
      </c>
      <c r="X1642" s="75" t="n"/>
      <c r="Y1642" s="77" t="n"/>
      <c r="Z1642" s="77" t="n"/>
      <c r="AA1642" s="75" t="n"/>
      <c r="AB1642" s="75" t="n"/>
      <c r="AC1642" s="6" t="n"/>
      <c r="AD1642" s="75" t="n"/>
      <c r="AE1642" s="75" t="n"/>
      <c r="AF1642" s="75" t="n"/>
    </row>
    <row r="1643" ht="15.75" customHeight="1" s="133">
      <c r="A1643" s="75" t="n"/>
      <c r="B1643" s="75" t="n"/>
      <c r="C1643" s="75" t="n"/>
      <c r="D1643" s="75" t="n"/>
      <c r="E1643" s="76" t="n"/>
      <c r="F1643" s="77" t="n"/>
      <c r="G1643" s="75" t="n"/>
      <c r="H1643" s="75">
        <f>IF(ISBLANK(E1643),"",IF(OR(D1643="Butterfly",D1643="Butterfly ",D1643="Iron Fly", D1643="Iron Fly "),LEN(E1643)-LEN(SUBSTITUTE(E1643,"/",""))+2,LEN(E1643)-LEN(SUBSTITUTE(E1643,"/",""))+1))</f>
        <v/>
      </c>
      <c r="I1643" s="78">
        <f>IF(ISBLANK(G1643),"",IF(D1643="Stock","0",Key!$A$3*H1643*G1643))</f>
        <v/>
      </c>
      <c r="J1643" s="78">
        <f>IF(ISBLANK(E1643),"",IF(ISNUMBER(SEARCH("/",E1643)), IF(LEN(E1643)-LEN(SUBSTITUTE(E1643,"/",""))=1,(RIGHT(E1643,LEN(E1643)-FIND("/",E1643)))-(LEFT(E1643,FIND("/",E1643)-1)),(MID(E1643, SEARCH("/",E1643) + 1, SEARCH("/",E1643, SEARCH("/",E1643)+1) - SEARCH("/",E1643) - 1))-(LEFT(E1643,FIND("/",E1643)-1))), "NA"))</f>
        <v/>
      </c>
      <c r="K1643" s="79">
        <f>IF(A1643&lt;&gt;"", IF(ISBLANK(L1643), TODAY(), K1643), "")</f>
        <v/>
      </c>
      <c r="L1643" s="78" t="n"/>
      <c r="M1643" s="78">
        <f>IF(ISBLANK(L1643),"",IF(D1643="Stock",IF(C1643="Buy",L1643*G1643,IF(C1643="Sell",(L1643*G1643)-I1643, X)),IF(C1643="Buy",(L1643*G1643*100)+I1643,IF(C1643="Sell",(L1643*G1643*100)-I1643, X))))</f>
        <v/>
      </c>
      <c r="N1643" s="78">
        <f>IF(ISBLANK(L1643),"",IF(AND(C1643="Sell",D1643="Stock"),M1643,IF(ISBLANK(L1643),"",IF(C1643="Buy",M1643, IF(AND(C1643="Sell",J1643="NA"),(E1643*G1643*100*0.1)+I1643, IF(C1643="Sell",(J1643-L1643)*(100*G1643)+I1643))))))</f>
        <v/>
      </c>
      <c r="O1643" s="75" t="n"/>
      <c r="P1643" s="75" t="n"/>
      <c r="Q1643" s="75">
        <f>IF(ISBLANK(P1643),"",IF(D1643="Stock",P1643*G1643,IF(P1643=0,"0",G1643*P1643*100-(G1643*$AF$14))))</f>
        <v/>
      </c>
      <c r="R1643" s="79">
        <f>IF(P1643&lt;&gt;"", TODAY(), "")</f>
        <v/>
      </c>
      <c r="S1643" s="78">
        <f>IF(AND(K1643&lt;&gt;"", R1643&lt;&gt;""), R1643-K1643, "")</f>
        <v/>
      </c>
      <c r="T1643" s="78" t="n"/>
      <c r="U1643" s="92">
        <f>IF(ISBLANK(P1643),"",IF(C1643="Buy",Q1643-M1643+T1643, IF(C1643="Sell",M1643-Q1643-T1643, X)))</f>
        <v/>
      </c>
      <c r="V1643" s="81">
        <f>IF(ISBLANK(P1643),"",U1643/N1643)</f>
        <v/>
      </c>
      <c r="W1643" s="81">
        <f>IF(ISBLANK(P1643),"",IF(S1643=0,(365/0.5)*V1643,(365/S1643)*V1643))</f>
        <v/>
      </c>
      <c r="X1643" s="75" t="n"/>
      <c r="Y1643" s="77" t="n"/>
      <c r="Z1643" s="77" t="n"/>
      <c r="AA1643" s="75" t="n"/>
      <c r="AB1643" s="75" t="n"/>
      <c r="AC1643" s="6" t="n"/>
      <c r="AD1643" s="75" t="n"/>
      <c r="AE1643" s="75" t="n"/>
      <c r="AF1643" s="75" t="n"/>
    </row>
    <row r="1644" ht="15.75" customHeight="1" s="133">
      <c r="A1644" s="75" t="n"/>
      <c r="B1644" s="75" t="n"/>
      <c r="C1644" s="75" t="n"/>
      <c r="D1644" s="75" t="n"/>
      <c r="E1644" s="76" t="n"/>
      <c r="F1644" s="77" t="n"/>
      <c r="G1644" s="75" t="n"/>
      <c r="H1644" s="75">
        <f>IF(ISBLANK(E1644),"",IF(OR(D1644="Butterfly",D1644="Butterfly ",D1644="Iron Fly", D1644="Iron Fly "),LEN(E1644)-LEN(SUBSTITUTE(E1644,"/",""))+2,LEN(E1644)-LEN(SUBSTITUTE(E1644,"/",""))+1))</f>
        <v/>
      </c>
      <c r="I1644" s="78">
        <f>IF(ISBLANK(G1644),"",IF(D1644="Stock","0",Key!$A$3*H1644*G1644))</f>
        <v/>
      </c>
      <c r="J1644" s="78">
        <f>IF(ISBLANK(E1644),"",IF(ISNUMBER(SEARCH("/",E1644)), IF(LEN(E1644)-LEN(SUBSTITUTE(E1644,"/",""))=1,(RIGHT(E1644,LEN(E1644)-FIND("/",E1644)))-(LEFT(E1644,FIND("/",E1644)-1)),(MID(E1644, SEARCH("/",E1644) + 1, SEARCH("/",E1644, SEARCH("/",E1644)+1) - SEARCH("/",E1644) - 1))-(LEFT(E1644,FIND("/",E1644)-1))), "NA"))</f>
        <v/>
      </c>
      <c r="K1644" s="79">
        <f>IF(A1644&lt;&gt;"", IF(ISBLANK(L1644), TODAY(), K1644), "")</f>
        <v/>
      </c>
      <c r="L1644" s="78" t="n"/>
      <c r="M1644" s="78">
        <f>IF(ISBLANK(L1644),"",IF(D1644="Stock",IF(C1644="Buy",L1644*G1644,IF(C1644="Sell",(L1644*G1644)-I1644, X)),IF(C1644="Buy",(L1644*G1644*100)+I1644,IF(C1644="Sell",(L1644*G1644*100)-I1644, X))))</f>
        <v/>
      </c>
      <c r="N1644" s="78">
        <f>IF(ISBLANK(L1644),"",IF(AND(C1644="Sell",D1644="Stock"),M1644,IF(ISBLANK(L1644),"",IF(C1644="Buy",M1644, IF(AND(C1644="Sell",J1644="NA"),(E1644*G1644*100*0.1)+I1644, IF(C1644="Sell",(J1644-L1644)*(100*G1644)+I1644))))))</f>
        <v/>
      </c>
      <c r="O1644" s="75" t="n"/>
      <c r="P1644" s="75" t="n"/>
      <c r="Q1644" s="75">
        <f>IF(ISBLANK(P1644),"",IF(D1644="Stock",P1644*G1644,IF(P1644=0,"0",G1644*P1644*100-(G1644*$AF$14))))</f>
        <v/>
      </c>
      <c r="R1644" s="79">
        <f>IF(P1644&lt;&gt;"", TODAY(), "")</f>
        <v/>
      </c>
      <c r="S1644" s="78">
        <f>IF(AND(K1644&lt;&gt;"", R1644&lt;&gt;""), R1644-K1644, "")</f>
        <v/>
      </c>
      <c r="T1644" s="78" t="n"/>
      <c r="U1644" s="92">
        <f>IF(ISBLANK(P1644),"",IF(C1644="Buy",Q1644-M1644+T1644, IF(C1644="Sell",M1644-Q1644-T1644, X)))</f>
        <v/>
      </c>
      <c r="V1644" s="81">
        <f>IF(ISBLANK(P1644),"",U1644/N1644)</f>
        <v/>
      </c>
      <c r="W1644" s="81">
        <f>IF(ISBLANK(P1644),"",IF(S1644=0,(365/0.5)*V1644,(365/S1644)*V1644))</f>
        <v/>
      </c>
      <c r="X1644" s="75" t="n"/>
      <c r="Y1644" s="77" t="n"/>
      <c r="Z1644" s="77" t="n"/>
      <c r="AA1644" s="75" t="n"/>
      <c r="AB1644" s="75" t="n"/>
      <c r="AC1644" s="6" t="n"/>
      <c r="AD1644" s="75" t="n"/>
      <c r="AE1644" s="75" t="n"/>
      <c r="AF1644" s="75" t="n"/>
    </row>
    <row r="1645" ht="15.75" customHeight="1" s="133">
      <c r="A1645" s="75" t="n"/>
      <c r="B1645" s="75" t="n"/>
      <c r="C1645" s="75" t="n"/>
      <c r="D1645" s="75" t="n"/>
      <c r="E1645" s="76" t="n"/>
      <c r="F1645" s="77" t="n"/>
      <c r="G1645" s="75" t="n"/>
      <c r="H1645" s="75">
        <f>IF(ISBLANK(E1645),"",IF(OR(D1645="Butterfly",D1645="Butterfly ",D1645="Iron Fly", D1645="Iron Fly "),LEN(E1645)-LEN(SUBSTITUTE(E1645,"/",""))+2,LEN(E1645)-LEN(SUBSTITUTE(E1645,"/",""))+1))</f>
        <v/>
      </c>
      <c r="I1645" s="78">
        <f>IF(ISBLANK(G1645),"",IF(D1645="Stock","0",Key!$A$3*H1645*G1645))</f>
        <v/>
      </c>
      <c r="J1645" s="78">
        <f>IF(ISBLANK(E1645),"",IF(ISNUMBER(SEARCH("/",E1645)), IF(LEN(E1645)-LEN(SUBSTITUTE(E1645,"/",""))=1,(RIGHT(E1645,LEN(E1645)-FIND("/",E1645)))-(LEFT(E1645,FIND("/",E1645)-1)),(MID(E1645, SEARCH("/",E1645) + 1, SEARCH("/",E1645, SEARCH("/",E1645)+1) - SEARCH("/",E1645) - 1))-(LEFT(E1645,FIND("/",E1645)-1))), "NA"))</f>
        <v/>
      </c>
      <c r="K1645" s="79">
        <f>IF(A1645&lt;&gt;"", IF(ISBLANK(L1645), TODAY(), K1645), "")</f>
        <v/>
      </c>
      <c r="L1645" s="78" t="n"/>
      <c r="M1645" s="78">
        <f>IF(ISBLANK(L1645),"",IF(D1645="Stock",IF(C1645="Buy",L1645*G1645,IF(C1645="Sell",(L1645*G1645)-I1645, X)),IF(C1645="Buy",(L1645*G1645*100)+I1645,IF(C1645="Sell",(L1645*G1645*100)-I1645, X))))</f>
        <v/>
      </c>
      <c r="N1645" s="78">
        <f>IF(ISBLANK(L1645),"",IF(AND(C1645="Sell",D1645="Stock"),M1645,IF(ISBLANK(L1645),"",IF(C1645="Buy",M1645, IF(AND(C1645="Sell",J1645="NA"),(E1645*G1645*100*0.1)+I1645, IF(C1645="Sell",(J1645-L1645)*(100*G1645)+I1645))))))</f>
        <v/>
      </c>
      <c r="O1645" s="75" t="n"/>
      <c r="P1645" s="75" t="n"/>
      <c r="Q1645" s="75">
        <f>IF(ISBLANK(P1645),"",IF(D1645="Stock",P1645*G1645,IF(P1645=0,"0",G1645*P1645*100-(G1645*$AF$14))))</f>
        <v/>
      </c>
      <c r="R1645" s="79">
        <f>IF(P1645&lt;&gt;"", TODAY(), "")</f>
        <v/>
      </c>
      <c r="S1645" s="78">
        <f>IF(AND(K1645&lt;&gt;"", R1645&lt;&gt;""), R1645-K1645, "")</f>
        <v/>
      </c>
      <c r="T1645" s="78" t="n"/>
      <c r="U1645" s="92">
        <f>IF(ISBLANK(P1645),"",IF(C1645="Buy",Q1645-M1645+T1645, IF(C1645="Sell",M1645-Q1645-T1645, X)))</f>
        <v/>
      </c>
      <c r="V1645" s="81">
        <f>IF(ISBLANK(P1645),"",U1645/N1645)</f>
        <v/>
      </c>
      <c r="W1645" s="81">
        <f>IF(ISBLANK(P1645),"",IF(S1645=0,(365/0.5)*V1645,(365/S1645)*V1645))</f>
        <v/>
      </c>
      <c r="X1645" s="75" t="n"/>
      <c r="Y1645" s="77" t="n"/>
      <c r="Z1645" s="77" t="n"/>
      <c r="AA1645" s="75" t="n"/>
      <c r="AB1645" s="75" t="n"/>
      <c r="AC1645" s="6" t="n"/>
      <c r="AD1645" s="75" t="n"/>
      <c r="AE1645" s="75" t="n"/>
      <c r="AF1645" s="75" t="n"/>
    </row>
    <row r="1646" ht="15.75" customHeight="1" s="133">
      <c r="A1646" s="75" t="n"/>
      <c r="B1646" s="75" t="n"/>
      <c r="C1646" s="75" t="n"/>
      <c r="D1646" s="75" t="n"/>
      <c r="E1646" s="76" t="n"/>
      <c r="F1646" s="77" t="n"/>
      <c r="G1646" s="75" t="n"/>
      <c r="H1646" s="75">
        <f>IF(ISBLANK(E1646),"",IF(OR(D1646="Butterfly",D1646="Butterfly ",D1646="Iron Fly", D1646="Iron Fly "),LEN(E1646)-LEN(SUBSTITUTE(E1646,"/",""))+2,LEN(E1646)-LEN(SUBSTITUTE(E1646,"/",""))+1))</f>
        <v/>
      </c>
      <c r="I1646" s="78">
        <f>IF(ISBLANK(G1646),"",IF(D1646="Stock","0",Key!$A$3*H1646*G1646))</f>
        <v/>
      </c>
      <c r="J1646" s="78">
        <f>IF(ISBLANK(E1646),"",IF(ISNUMBER(SEARCH("/",E1646)), IF(LEN(E1646)-LEN(SUBSTITUTE(E1646,"/",""))=1,(RIGHT(E1646,LEN(E1646)-FIND("/",E1646)))-(LEFT(E1646,FIND("/",E1646)-1)),(MID(E1646, SEARCH("/",E1646) + 1, SEARCH("/",E1646, SEARCH("/",E1646)+1) - SEARCH("/",E1646) - 1))-(LEFT(E1646,FIND("/",E1646)-1))), "NA"))</f>
        <v/>
      </c>
      <c r="K1646" s="79">
        <f>IF(A1646&lt;&gt;"", IF(ISBLANK(L1646), TODAY(), K1646), "")</f>
        <v/>
      </c>
      <c r="L1646" s="78" t="n"/>
      <c r="M1646" s="78">
        <f>IF(ISBLANK(L1646),"",IF(D1646="Stock",IF(C1646="Buy",L1646*G1646,IF(C1646="Sell",(L1646*G1646)-I1646, X)),IF(C1646="Buy",(L1646*G1646*100)+I1646,IF(C1646="Sell",(L1646*G1646*100)-I1646, X))))</f>
        <v/>
      </c>
      <c r="N1646" s="78">
        <f>IF(ISBLANK(L1646),"",IF(AND(C1646="Sell",D1646="Stock"),M1646,IF(ISBLANK(L1646),"",IF(C1646="Buy",M1646, IF(AND(C1646="Sell",J1646="NA"),(E1646*G1646*100*0.1)+I1646, IF(C1646="Sell",(J1646-L1646)*(100*G1646)+I1646))))))</f>
        <v/>
      </c>
      <c r="O1646" s="75" t="n"/>
      <c r="P1646" s="75" t="n"/>
      <c r="Q1646" s="75">
        <f>IF(ISBLANK(P1646),"",IF(D1646="Stock",P1646*G1646,IF(P1646=0,"0",G1646*P1646*100-(G1646*$AF$14))))</f>
        <v/>
      </c>
      <c r="R1646" s="79">
        <f>IF(P1646&lt;&gt;"", TODAY(), "")</f>
        <v/>
      </c>
      <c r="S1646" s="78">
        <f>IF(AND(K1646&lt;&gt;"", R1646&lt;&gt;""), R1646-K1646, "")</f>
        <v/>
      </c>
      <c r="T1646" s="78" t="n"/>
      <c r="U1646" s="92">
        <f>IF(ISBLANK(P1646),"",IF(C1646="Buy",Q1646-M1646+T1646, IF(C1646="Sell",M1646-Q1646-T1646, X)))</f>
        <v/>
      </c>
      <c r="V1646" s="81">
        <f>IF(ISBLANK(P1646),"",U1646/N1646)</f>
        <v/>
      </c>
      <c r="W1646" s="81">
        <f>IF(ISBLANK(P1646),"",IF(S1646=0,(365/0.5)*V1646,(365/S1646)*V1646))</f>
        <v/>
      </c>
      <c r="X1646" s="75" t="n"/>
      <c r="Y1646" s="77" t="n"/>
      <c r="Z1646" s="77" t="n"/>
      <c r="AA1646" s="75" t="n"/>
      <c r="AB1646" s="75" t="n"/>
      <c r="AC1646" s="6" t="n"/>
      <c r="AD1646" s="75" t="n"/>
      <c r="AE1646" s="75" t="n"/>
      <c r="AF1646" s="75" t="n"/>
    </row>
    <row r="1647" ht="15.75" customHeight="1" s="133">
      <c r="A1647" s="75" t="n"/>
      <c r="B1647" s="75" t="n"/>
      <c r="C1647" s="75" t="n"/>
      <c r="D1647" s="75" t="n"/>
      <c r="E1647" s="76" t="n"/>
      <c r="F1647" s="77" t="n"/>
      <c r="G1647" s="75" t="n"/>
      <c r="H1647" s="75">
        <f>IF(ISBLANK(E1647),"",IF(OR(D1647="Butterfly",D1647="Butterfly ",D1647="Iron Fly", D1647="Iron Fly "),LEN(E1647)-LEN(SUBSTITUTE(E1647,"/",""))+2,LEN(E1647)-LEN(SUBSTITUTE(E1647,"/",""))+1))</f>
        <v/>
      </c>
      <c r="I1647" s="78">
        <f>IF(ISBLANK(G1647),"",IF(D1647="Stock","0",Key!$A$3*H1647*G1647))</f>
        <v/>
      </c>
      <c r="J1647" s="78">
        <f>IF(ISBLANK(E1647),"",IF(ISNUMBER(SEARCH("/",E1647)), IF(LEN(E1647)-LEN(SUBSTITUTE(E1647,"/",""))=1,(RIGHT(E1647,LEN(E1647)-FIND("/",E1647)))-(LEFT(E1647,FIND("/",E1647)-1)),(MID(E1647, SEARCH("/",E1647) + 1, SEARCH("/",E1647, SEARCH("/",E1647)+1) - SEARCH("/",E1647) - 1))-(LEFT(E1647,FIND("/",E1647)-1))), "NA"))</f>
        <v/>
      </c>
      <c r="K1647" s="79">
        <f>IF(A1647&lt;&gt;"", IF(ISBLANK(L1647), TODAY(), K1647), "")</f>
        <v/>
      </c>
      <c r="L1647" s="78" t="n"/>
      <c r="M1647" s="78">
        <f>IF(ISBLANK(L1647),"",IF(D1647="Stock",IF(C1647="Buy",L1647*G1647,IF(C1647="Sell",(L1647*G1647)-I1647, X)),IF(C1647="Buy",(L1647*G1647*100)+I1647,IF(C1647="Sell",(L1647*G1647*100)-I1647, X))))</f>
        <v/>
      </c>
      <c r="N1647" s="78">
        <f>IF(ISBLANK(L1647),"",IF(AND(C1647="Sell",D1647="Stock"),M1647,IF(ISBLANK(L1647),"",IF(C1647="Buy",M1647, IF(AND(C1647="Sell",J1647="NA"),(E1647*G1647*100*0.1)+I1647, IF(C1647="Sell",(J1647-L1647)*(100*G1647)+I1647))))))</f>
        <v/>
      </c>
      <c r="O1647" s="75" t="n"/>
      <c r="P1647" s="75" t="n"/>
      <c r="Q1647" s="75">
        <f>IF(ISBLANK(P1647),"",IF(D1647="Stock",P1647*G1647,IF(P1647=0,"0",G1647*P1647*100-(G1647*$AF$14))))</f>
        <v/>
      </c>
      <c r="R1647" s="79">
        <f>IF(P1647&lt;&gt;"", TODAY(), "")</f>
        <v/>
      </c>
      <c r="S1647" s="78">
        <f>IF(AND(K1647&lt;&gt;"", R1647&lt;&gt;""), R1647-K1647, "")</f>
        <v/>
      </c>
      <c r="T1647" s="78" t="n"/>
      <c r="U1647" s="92">
        <f>IF(ISBLANK(P1647),"",IF(C1647="Buy",Q1647-M1647+T1647, IF(C1647="Sell",M1647-Q1647-T1647, X)))</f>
        <v/>
      </c>
      <c r="V1647" s="81">
        <f>IF(ISBLANK(P1647),"",U1647/N1647)</f>
        <v/>
      </c>
      <c r="W1647" s="81">
        <f>IF(ISBLANK(P1647),"",IF(S1647=0,(365/0.5)*V1647,(365/S1647)*V1647))</f>
        <v/>
      </c>
      <c r="X1647" s="75" t="n"/>
      <c r="Y1647" s="77" t="n"/>
      <c r="Z1647" s="77" t="n"/>
      <c r="AA1647" s="75" t="n"/>
      <c r="AB1647" s="75" t="n"/>
      <c r="AC1647" s="6" t="n"/>
      <c r="AD1647" s="75" t="n"/>
      <c r="AE1647" s="75" t="n"/>
      <c r="AF1647" s="75" t="n"/>
    </row>
    <row r="1648" ht="15.75" customHeight="1" s="133">
      <c r="A1648" s="75" t="n"/>
      <c r="B1648" s="75" t="n"/>
      <c r="C1648" s="75" t="n"/>
      <c r="D1648" s="75" t="n"/>
      <c r="E1648" s="76" t="n"/>
      <c r="F1648" s="77" t="n"/>
      <c r="G1648" s="75" t="n"/>
      <c r="H1648" s="75">
        <f>IF(ISBLANK(E1648),"",IF(OR(D1648="Butterfly",D1648="Butterfly ",D1648="Iron Fly", D1648="Iron Fly "),LEN(E1648)-LEN(SUBSTITUTE(E1648,"/",""))+2,LEN(E1648)-LEN(SUBSTITUTE(E1648,"/",""))+1))</f>
        <v/>
      </c>
      <c r="I1648" s="78">
        <f>IF(ISBLANK(G1648),"",IF(D1648="Stock","0",Key!$A$3*H1648*G1648))</f>
        <v/>
      </c>
      <c r="J1648" s="78">
        <f>IF(ISBLANK(E1648),"",IF(ISNUMBER(SEARCH("/",E1648)), IF(LEN(E1648)-LEN(SUBSTITUTE(E1648,"/",""))=1,(RIGHT(E1648,LEN(E1648)-FIND("/",E1648)))-(LEFT(E1648,FIND("/",E1648)-1)),(MID(E1648, SEARCH("/",E1648) + 1, SEARCH("/",E1648, SEARCH("/",E1648)+1) - SEARCH("/",E1648) - 1))-(LEFT(E1648,FIND("/",E1648)-1))), "NA"))</f>
        <v/>
      </c>
      <c r="K1648" s="79">
        <f>IF(A1648&lt;&gt;"", IF(ISBLANK(L1648), TODAY(), K1648), "")</f>
        <v/>
      </c>
      <c r="L1648" s="78" t="n"/>
      <c r="M1648" s="78">
        <f>IF(ISBLANK(L1648),"",IF(D1648="Stock",IF(C1648="Buy",L1648*G1648,IF(C1648="Sell",(L1648*G1648)-I1648, X)),IF(C1648="Buy",(L1648*G1648*100)+I1648,IF(C1648="Sell",(L1648*G1648*100)-I1648, X))))</f>
        <v/>
      </c>
      <c r="N1648" s="78">
        <f>IF(ISBLANK(L1648),"",IF(AND(C1648="Sell",D1648="Stock"),M1648,IF(ISBLANK(L1648),"",IF(C1648="Buy",M1648, IF(AND(C1648="Sell",J1648="NA"),(E1648*G1648*100*0.1)+I1648, IF(C1648="Sell",(J1648-L1648)*(100*G1648)+I1648))))))</f>
        <v/>
      </c>
      <c r="O1648" s="75" t="n"/>
      <c r="P1648" s="75" t="n"/>
      <c r="Q1648" s="75">
        <f>IF(ISBLANK(P1648),"",IF(D1648="Stock",P1648*G1648,IF(P1648=0,"0",G1648*P1648*100-(G1648*$AF$14))))</f>
        <v/>
      </c>
      <c r="R1648" s="79">
        <f>IF(P1648&lt;&gt;"", TODAY(), "")</f>
        <v/>
      </c>
      <c r="S1648" s="78">
        <f>IF(AND(K1648&lt;&gt;"", R1648&lt;&gt;""), R1648-K1648, "")</f>
        <v/>
      </c>
      <c r="T1648" s="78" t="n"/>
      <c r="U1648" s="92">
        <f>IF(ISBLANK(P1648),"",IF(C1648="Buy",Q1648-M1648+T1648, IF(C1648="Sell",M1648-Q1648-T1648, X)))</f>
        <v/>
      </c>
      <c r="V1648" s="81">
        <f>IF(ISBLANK(P1648),"",U1648/N1648)</f>
        <v/>
      </c>
      <c r="W1648" s="81">
        <f>IF(ISBLANK(P1648),"",IF(S1648=0,(365/0.5)*V1648,(365/S1648)*V1648))</f>
        <v/>
      </c>
      <c r="X1648" s="75" t="n"/>
      <c r="Y1648" s="77" t="n"/>
      <c r="Z1648" s="77" t="n"/>
      <c r="AA1648" s="75" t="n"/>
      <c r="AB1648" s="75" t="n"/>
      <c r="AC1648" s="6" t="n"/>
      <c r="AD1648" s="75" t="n"/>
      <c r="AE1648" s="75" t="n"/>
      <c r="AF1648" s="75" t="n"/>
    </row>
    <row r="1649" ht="15.75" customHeight="1" s="133">
      <c r="A1649" s="75" t="n"/>
      <c r="B1649" s="75" t="n"/>
      <c r="C1649" s="75" t="n"/>
      <c r="D1649" s="75" t="n"/>
      <c r="E1649" s="76" t="n"/>
      <c r="F1649" s="77" t="n"/>
      <c r="G1649" s="75" t="n"/>
      <c r="H1649" s="75">
        <f>IF(ISBLANK(E1649),"",IF(OR(D1649="Butterfly",D1649="Butterfly ",D1649="Iron Fly", D1649="Iron Fly "),LEN(E1649)-LEN(SUBSTITUTE(E1649,"/",""))+2,LEN(E1649)-LEN(SUBSTITUTE(E1649,"/",""))+1))</f>
        <v/>
      </c>
      <c r="I1649" s="78">
        <f>IF(ISBLANK(G1649),"",IF(D1649="Stock","0",Key!$A$3*H1649*G1649))</f>
        <v/>
      </c>
      <c r="J1649" s="78">
        <f>IF(ISBLANK(E1649),"",IF(ISNUMBER(SEARCH("/",E1649)), IF(LEN(E1649)-LEN(SUBSTITUTE(E1649,"/",""))=1,(RIGHT(E1649,LEN(E1649)-FIND("/",E1649)))-(LEFT(E1649,FIND("/",E1649)-1)),(MID(E1649, SEARCH("/",E1649) + 1, SEARCH("/",E1649, SEARCH("/",E1649)+1) - SEARCH("/",E1649) - 1))-(LEFT(E1649,FIND("/",E1649)-1))), "NA"))</f>
        <v/>
      </c>
      <c r="K1649" s="79">
        <f>IF(A1649&lt;&gt;"", IF(ISBLANK(L1649), TODAY(), K1649), "")</f>
        <v/>
      </c>
      <c r="L1649" s="78" t="n"/>
      <c r="M1649" s="78">
        <f>IF(ISBLANK(L1649),"",IF(D1649="Stock",IF(C1649="Buy",L1649*G1649,IF(C1649="Sell",(L1649*G1649)-I1649, X)),IF(C1649="Buy",(L1649*G1649*100)+I1649,IF(C1649="Sell",(L1649*G1649*100)-I1649, X))))</f>
        <v/>
      </c>
      <c r="N1649" s="78">
        <f>IF(ISBLANK(L1649),"",IF(AND(C1649="Sell",D1649="Stock"),M1649,IF(ISBLANK(L1649),"",IF(C1649="Buy",M1649, IF(AND(C1649="Sell",J1649="NA"),(E1649*G1649*100*0.1)+I1649, IF(C1649="Sell",(J1649-L1649)*(100*G1649)+I1649))))))</f>
        <v/>
      </c>
      <c r="O1649" s="75" t="n"/>
      <c r="P1649" s="75" t="n"/>
      <c r="Q1649" s="75">
        <f>IF(ISBLANK(P1649),"",IF(D1649="Stock",P1649*G1649,IF(P1649=0,"0",G1649*P1649*100-(G1649*$AF$14))))</f>
        <v/>
      </c>
      <c r="R1649" s="79">
        <f>IF(P1649&lt;&gt;"", TODAY(), "")</f>
        <v/>
      </c>
      <c r="S1649" s="78">
        <f>IF(AND(K1649&lt;&gt;"", R1649&lt;&gt;""), R1649-K1649, "")</f>
        <v/>
      </c>
      <c r="T1649" s="78" t="n"/>
      <c r="U1649" s="92">
        <f>IF(ISBLANK(P1649),"",IF(C1649="Buy",Q1649-M1649+T1649, IF(C1649="Sell",M1649-Q1649-T1649, X)))</f>
        <v/>
      </c>
      <c r="V1649" s="81">
        <f>IF(ISBLANK(P1649),"",U1649/N1649)</f>
        <v/>
      </c>
      <c r="W1649" s="81">
        <f>IF(ISBLANK(P1649),"",IF(S1649=0,(365/0.5)*V1649,(365/S1649)*V1649))</f>
        <v/>
      </c>
      <c r="X1649" s="75" t="n"/>
      <c r="Y1649" s="77" t="n"/>
      <c r="Z1649" s="77" t="n"/>
      <c r="AA1649" s="75" t="n"/>
      <c r="AB1649" s="75" t="n"/>
      <c r="AC1649" s="6" t="n"/>
      <c r="AD1649" s="75" t="n"/>
      <c r="AE1649" s="75" t="n"/>
      <c r="AF1649" s="75" t="n"/>
    </row>
    <row r="1650" ht="15.75" customHeight="1" s="133">
      <c r="A1650" s="75" t="n"/>
      <c r="B1650" s="75" t="n"/>
      <c r="C1650" s="75" t="n"/>
      <c r="D1650" s="75" t="n"/>
      <c r="E1650" s="76" t="n"/>
      <c r="F1650" s="77" t="n"/>
      <c r="G1650" s="75" t="n"/>
      <c r="H1650" s="75">
        <f>IF(ISBLANK(E1650),"",IF(OR(D1650="Butterfly",D1650="Butterfly ",D1650="Iron Fly", D1650="Iron Fly "),LEN(E1650)-LEN(SUBSTITUTE(E1650,"/",""))+2,LEN(E1650)-LEN(SUBSTITUTE(E1650,"/",""))+1))</f>
        <v/>
      </c>
      <c r="I1650" s="78">
        <f>IF(ISBLANK(G1650),"",IF(D1650="Stock","0",Key!$A$3*H1650*G1650))</f>
        <v/>
      </c>
      <c r="J1650" s="78">
        <f>IF(ISBLANK(E1650),"",IF(ISNUMBER(SEARCH("/",E1650)), IF(LEN(E1650)-LEN(SUBSTITUTE(E1650,"/",""))=1,(RIGHT(E1650,LEN(E1650)-FIND("/",E1650)))-(LEFT(E1650,FIND("/",E1650)-1)),(MID(E1650, SEARCH("/",E1650) + 1, SEARCH("/",E1650, SEARCH("/",E1650)+1) - SEARCH("/",E1650) - 1))-(LEFT(E1650,FIND("/",E1650)-1))), "NA"))</f>
        <v/>
      </c>
      <c r="K1650" s="79">
        <f>IF(A1650&lt;&gt;"", IF(ISBLANK(L1650), TODAY(), K1650), "")</f>
        <v/>
      </c>
      <c r="L1650" s="78" t="n"/>
      <c r="M1650" s="78">
        <f>IF(ISBLANK(L1650),"",IF(D1650="Stock",IF(C1650="Buy",L1650*G1650,IF(C1650="Sell",(L1650*G1650)-I1650, X)),IF(C1650="Buy",(L1650*G1650*100)+I1650,IF(C1650="Sell",(L1650*G1650*100)-I1650, X))))</f>
        <v/>
      </c>
      <c r="N1650" s="78">
        <f>IF(ISBLANK(L1650),"",IF(AND(C1650="Sell",D1650="Stock"),M1650,IF(ISBLANK(L1650),"",IF(C1650="Buy",M1650, IF(AND(C1650="Sell",J1650="NA"),(E1650*G1650*100*0.1)+I1650, IF(C1650="Sell",(J1650-L1650)*(100*G1650)+I1650))))))</f>
        <v/>
      </c>
      <c r="O1650" s="75" t="n"/>
      <c r="P1650" s="75" t="n"/>
      <c r="Q1650" s="75">
        <f>IF(ISBLANK(P1650),"",IF(D1650="Stock",P1650*G1650,IF(P1650=0,"0",G1650*P1650*100-(G1650*$AF$14))))</f>
        <v/>
      </c>
      <c r="R1650" s="79">
        <f>IF(P1650&lt;&gt;"", TODAY(), "")</f>
        <v/>
      </c>
      <c r="S1650" s="78">
        <f>IF(AND(K1650&lt;&gt;"", R1650&lt;&gt;""), R1650-K1650, "")</f>
        <v/>
      </c>
      <c r="T1650" s="78" t="n"/>
      <c r="U1650" s="92">
        <f>IF(ISBLANK(P1650),"",IF(C1650="Buy",Q1650-M1650+T1650, IF(C1650="Sell",M1650-Q1650-T1650, X)))</f>
        <v/>
      </c>
      <c r="V1650" s="81">
        <f>IF(ISBLANK(P1650),"",U1650/N1650)</f>
        <v/>
      </c>
      <c r="W1650" s="81">
        <f>IF(ISBLANK(P1650),"",IF(S1650=0,(365/0.5)*V1650,(365/S1650)*V1650))</f>
        <v/>
      </c>
      <c r="X1650" s="75" t="n"/>
      <c r="Y1650" s="77" t="n"/>
      <c r="Z1650" s="77" t="n"/>
      <c r="AA1650" s="75" t="n"/>
      <c r="AB1650" s="75" t="n"/>
      <c r="AC1650" s="6" t="n"/>
      <c r="AD1650" s="75" t="n"/>
      <c r="AE1650" s="75" t="n"/>
      <c r="AF1650" s="75" t="n"/>
    </row>
    <row r="1651" ht="15.75" customHeight="1" s="133">
      <c r="A1651" s="75" t="n"/>
      <c r="B1651" s="75" t="n"/>
      <c r="C1651" s="75" t="n"/>
      <c r="D1651" s="75" t="n"/>
      <c r="E1651" s="76" t="n"/>
      <c r="F1651" s="77" t="n"/>
      <c r="G1651" s="75" t="n"/>
      <c r="H1651" s="75">
        <f>IF(ISBLANK(E1651),"",IF(OR(D1651="Butterfly",D1651="Butterfly ",D1651="Iron Fly", D1651="Iron Fly "),LEN(E1651)-LEN(SUBSTITUTE(E1651,"/",""))+2,LEN(E1651)-LEN(SUBSTITUTE(E1651,"/",""))+1))</f>
        <v/>
      </c>
      <c r="I1651" s="78">
        <f>IF(ISBLANK(G1651),"",IF(D1651="Stock","0",Key!$A$3*H1651*G1651))</f>
        <v/>
      </c>
      <c r="J1651" s="78">
        <f>IF(ISBLANK(E1651),"",IF(ISNUMBER(SEARCH("/",E1651)), IF(LEN(E1651)-LEN(SUBSTITUTE(E1651,"/",""))=1,(RIGHT(E1651,LEN(E1651)-FIND("/",E1651)))-(LEFT(E1651,FIND("/",E1651)-1)),(MID(E1651, SEARCH("/",E1651) + 1, SEARCH("/",E1651, SEARCH("/",E1651)+1) - SEARCH("/",E1651) - 1))-(LEFT(E1651,FIND("/",E1651)-1))), "NA"))</f>
        <v/>
      </c>
      <c r="K1651" s="79">
        <f>IF(A1651&lt;&gt;"", IF(ISBLANK(L1651), TODAY(), K1651), "")</f>
        <v/>
      </c>
      <c r="L1651" s="78" t="n"/>
      <c r="M1651" s="78">
        <f>IF(ISBLANK(L1651),"",IF(D1651="Stock",IF(C1651="Buy",L1651*G1651,IF(C1651="Sell",(L1651*G1651)-I1651, X)),IF(C1651="Buy",(L1651*G1651*100)+I1651,IF(C1651="Sell",(L1651*G1651*100)-I1651, X))))</f>
        <v/>
      </c>
      <c r="N1651" s="78">
        <f>IF(ISBLANK(L1651),"",IF(AND(C1651="Sell",D1651="Stock"),M1651,IF(ISBLANK(L1651),"",IF(C1651="Buy",M1651, IF(AND(C1651="Sell",J1651="NA"),(E1651*G1651*100*0.1)+I1651, IF(C1651="Sell",(J1651-L1651)*(100*G1651)+I1651))))))</f>
        <v/>
      </c>
      <c r="O1651" s="75" t="n"/>
      <c r="P1651" s="75" t="n"/>
      <c r="Q1651" s="75">
        <f>IF(ISBLANK(P1651),"",IF(D1651="Stock",P1651*G1651,IF(P1651=0,"0",G1651*P1651*100-(G1651*$AF$14))))</f>
        <v/>
      </c>
      <c r="R1651" s="79">
        <f>IF(P1651&lt;&gt;"", TODAY(), "")</f>
        <v/>
      </c>
      <c r="S1651" s="78">
        <f>IF(AND(K1651&lt;&gt;"", R1651&lt;&gt;""), R1651-K1651, "")</f>
        <v/>
      </c>
      <c r="T1651" s="78" t="n"/>
      <c r="U1651" s="92">
        <f>IF(ISBLANK(P1651),"",IF(C1651="Buy",Q1651-M1651+T1651, IF(C1651="Sell",M1651-Q1651-T1651, X)))</f>
        <v/>
      </c>
      <c r="V1651" s="81">
        <f>IF(ISBLANK(P1651),"",U1651/N1651)</f>
        <v/>
      </c>
      <c r="W1651" s="81">
        <f>IF(ISBLANK(P1651),"",IF(S1651=0,(365/0.5)*V1651,(365/S1651)*V1651))</f>
        <v/>
      </c>
      <c r="X1651" s="75" t="n"/>
      <c r="Y1651" s="77" t="n"/>
      <c r="Z1651" s="77" t="n"/>
      <c r="AA1651" s="75" t="n"/>
      <c r="AB1651" s="75" t="n"/>
      <c r="AC1651" s="6" t="n"/>
      <c r="AD1651" s="75" t="n"/>
      <c r="AE1651" s="75" t="n"/>
      <c r="AF1651" s="75" t="n"/>
    </row>
    <row r="1652" ht="15.75" customHeight="1" s="133">
      <c r="A1652" s="75" t="n"/>
      <c r="B1652" s="75" t="n"/>
      <c r="C1652" s="75" t="n"/>
      <c r="D1652" s="75" t="n"/>
      <c r="E1652" s="76" t="n"/>
      <c r="F1652" s="77" t="n"/>
      <c r="G1652" s="75" t="n"/>
      <c r="H1652" s="75">
        <f>IF(ISBLANK(E1652),"",IF(OR(D1652="Butterfly",D1652="Butterfly ",D1652="Iron Fly", D1652="Iron Fly "),LEN(E1652)-LEN(SUBSTITUTE(E1652,"/",""))+2,LEN(E1652)-LEN(SUBSTITUTE(E1652,"/",""))+1))</f>
        <v/>
      </c>
      <c r="I1652" s="78">
        <f>IF(ISBLANK(G1652),"",IF(D1652="Stock","0",Key!$A$3*H1652*G1652))</f>
        <v/>
      </c>
      <c r="J1652" s="78">
        <f>IF(ISBLANK(E1652),"",IF(ISNUMBER(SEARCH("/",E1652)), IF(LEN(E1652)-LEN(SUBSTITUTE(E1652,"/",""))=1,(RIGHT(E1652,LEN(E1652)-FIND("/",E1652)))-(LEFT(E1652,FIND("/",E1652)-1)),(MID(E1652, SEARCH("/",E1652) + 1, SEARCH("/",E1652, SEARCH("/",E1652)+1) - SEARCH("/",E1652) - 1))-(LEFT(E1652,FIND("/",E1652)-1))), "NA"))</f>
        <v/>
      </c>
      <c r="K1652" s="79">
        <f>IF(A1652&lt;&gt;"", IF(ISBLANK(L1652), TODAY(), K1652), "")</f>
        <v/>
      </c>
      <c r="L1652" s="78" t="n"/>
      <c r="M1652" s="78">
        <f>IF(ISBLANK(L1652),"",IF(D1652="Stock",IF(C1652="Buy",L1652*G1652,IF(C1652="Sell",(L1652*G1652)-I1652, X)),IF(C1652="Buy",(L1652*G1652*100)+I1652,IF(C1652="Sell",(L1652*G1652*100)-I1652, X))))</f>
        <v/>
      </c>
      <c r="N1652" s="78">
        <f>IF(ISBLANK(L1652),"",IF(AND(C1652="Sell",D1652="Stock"),M1652,IF(ISBLANK(L1652),"",IF(C1652="Buy",M1652, IF(AND(C1652="Sell",J1652="NA"),(E1652*G1652*100*0.1)+I1652, IF(C1652="Sell",(J1652-L1652)*(100*G1652)+I1652))))))</f>
        <v/>
      </c>
      <c r="O1652" s="75" t="n"/>
      <c r="P1652" s="75" t="n"/>
      <c r="Q1652" s="75">
        <f>IF(ISBLANK(P1652),"",IF(D1652="Stock",P1652*G1652,IF(P1652=0,"0",G1652*P1652*100-(G1652*$AF$14))))</f>
        <v/>
      </c>
      <c r="R1652" s="79">
        <f>IF(P1652&lt;&gt;"", TODAY(), "")</f>
        <v/>
      </c>
      <c r="S1652" s="78">
        <f>IF(AND(K1652&lt;&gt;"", R1652&lt;&gt;""), R1652-K1652, "")</f>
        <v/>
      </c>
      <c r="T1652" s="78" t="n"/>
      <c r="U1652" s="92">
        <f>IF(ISBLANK(P1652),"",IF(C1652="Buy",Q1652-M1652+T1652, IF(C1652="Sell",M1652-Q1652-T1652, X)))</f>
        <v/>
      </c>
      <c r="V1652" s="81">
        <f>IF(ISBLANK(P1652),"",U1652/N1652)</f>
        <v/>
      </c>
      <c r="W1652" s="81">
        <f>IF(ISBLANK(P1652),"",IF(S1652=0,(365/0.5)*V1652,(365/S1652)*V1652))</f>
        <v/>
      </c>
      <c r="X1652" s="75" t="n"/>
      <c r="Y1652" s="77" t="n"/>
      <c r="Z1652" s="77" t="n"/>
      <c r="AA1652" s="75" t="n"/>
      <c r="AB1652" s="75" t="n"/>
      <c r="AC1652" s="6" t="n"/>
      <c r="AD1652" s="75" t="n"/>
      <c r="AE1652" s="75" t="n"/>
      <c r="AF1652" s="75" t="n"/>
    </row>
    <row r="1653" ht="15.75" customHeight="1" s="133">
      <c r="A1653" s="75" t="n"/>
      <c r="B1653" s="75" t="n"/>
      <c r="C1653" s="75" t="n"/>
      <c r="D1653" s="75" t="n"/>
      <c r="E1653" s="76" t="n"/>
      <c r="F1653" s="77" t="n"/>
      <c r="G1653" s="75" t="n"/>
      <c r="H1653" s="75">
        <f>IF(ISBLANK(E1653),"",IF(OR(D1653="Butterfly",D1653="Butterfly ",D1653="Iron Fly", D1653="Iron Fly "),LEN(E1653)-LEN(SUBSTITUTE(E1653,"/",""))+2,LEN(E1653)-LEN(SUBSTITUTE(E1653,"/",""))+1))</f>
        <v/>
      </c>
      <c r="I1653" s="78">
        <f>IF(ISBLANK(G1653),"",IF(D1653="Stock","0",Key!$A$3*H1653*G1653))</f>
        <v/>
      </c>
      <c r="J1653" s="78">
        <f>IF(ISBLANK(E1653),"",IF(ISNUMBER(SEARCH("/",E1653)), IF(LEN(E1653)-LEN(SUBSTITUTE(E1653,"/",""))=1,(RIGHT(E1653,LEN(E1653)-FIND("/",E1653)))-(LEFT(E1653,FIND("/",E1653)-1)),(MID(E1653, SEARCH("/",E1653) + 1, SEARCH("/",E1653, SEARCH("/",E1653)+1) - SEARCH("/",E1653) - 1))-(LEFT(E1653,FIND("/",E1653)-1))), "NA"))</f>
        <v/>
      </c>
      <c r="K1653" s="79">
        <f>IF(A1653&lt;&gt;"", IF(ISBLANK(L1653), TODAY(), K1653), "")</f>
        <v/>
      </c>
      <c r="L1653" s="78" t="n"/>
      <c r="M1653" s="78">
        <f>IF(ISBLANK(L1653),"",IF(D1653="Stock",IF(C1653="Buy",L1653*G1653,IF(C1653="Sell",(L1653*G1653)-I1653, X)),IF(C1653="Buy",(L1653*G1653*100)+I1653,IF(C1653="Sell",(L1653*G1653*100)-I1653, X))))</f>
        <v/>
      </c>
      <c r="N1653" s="78">
        <f>IF(ISBLANK(L1653),"",IF(AND(C1653="Sell",D1653="Stock"),M1653,IF(ISBLANK(L1653),"",IF(C1653="Buy",M1653, IF(AND(C1653="Sell",J1653="NA"),(E1653*G1653*100*0.1)+I1653, IF(C1653="Sell",(J1653-L1653)*(100*G1653)+I1653))))))</f>
        <v/>
      </c>
      <c r="O1653" s="75" t="n"/>
      <c r="P1653" s="75" t="n"/>
      <c r="Q1653" s="75">
        <f>IF(ISBLANK(P1653),"",IF(D1653="Stock",P1653*G1653,IF(P1653=0,"0",G1653*P1653*100-(G1653*$AF$14))))</f>
        <v/>
      </c>
      <c r="R1653" s="79">
        <f>IF(P1653&lt;&gt;"", TODAY(), "")</f>
        <v/>
      </c>
      <c r="S1653" s="78">
        <f>IF(AND(K1653&lt;&gt;"", R1653&lt;&gt;""), R1653-K1653, "")</f>
        <v/>
      </c>
      <c r="T1653" s="78" t="n"/>
      <c r="U1653" s="92">
        <f>IF(ISBLANK(P1653),"",IF(C1653="Buy",Q1653-M1653+T1653, IF(C1653="Sell",M1653-Q1653-T1653, X)))</f>
        <v/>
      </c>
      <c r="V1653" s="81">
        <f>IF(ISBLANK(P1653),"",U1653/N1653)</f>
        <v/>
      </c>
      <c r="W1653" s="81">
        <f>IF(ISBLANK(P1653),"",IF(S1653=0,(365/0.5)*V1653,(365/S1653)*V1653))</f>
        <v/>
      </c>
      <c r="X1653" s="75" t="n"/>
      <c r="Y1653" s="77" t="n"/>
      <c r="Z1653" s="77" t="n"/>
      <c r="AA1653" s="75" t="n"/>
      <c r="AB1653" s="75" t="n"/>
      <c r="AC1653" s="6" t="n"/>
      <c r="AD1653" s="75" t="n"/>
      <c r="AE1653" s="75" t="n"/>
      <c r="AF1653" s="75" t="n"/>
    </row>
    <row r="1654" ht="15.75" customHeight="1" s="133">
      <c r="A1654" s="75" t="n"/>
      <c r="B1654" s="75" t="n"/>
      <c r="C1654" s="75" t="n"/>
      <c r="D1654" s="75" t="n"/>
      <c r="E1654" s="76" t="n"/>
      <c r="F1654" s="77" t="n"/>
      <c r="G1654" s="75" t="n"/>
      <c r="H1654" s="75">
        <f>IF(ISBLANK(E1654),"",IF(OR(D1654="Butterfly",D1654="Butterfly ",D1654="Iron Fly", D1654="Iron Fly "),LEN(E1654)-LEN(SUBSTITUTE(E1654,"/",""))+2,LEN(E1654)-LEN(SUBSTITUTE(E1654,"/",""))+1))</f>
        <v/>
      </c>
      <c r="I1654" s="78">
        <f>IF(ISBLANK(G1654),"",IF(D1654="Stock","0",Key!$A$3*H1654*G1654))</f>
        <v/>
      </c>
      <c r="J1654" s="78">
        <f>IF(ISBLANK(E1654),"",IF(ISNUMBER(SEARCH("/",E1654)), IF(LEN(E1654)-LEN(SUBSTITUTE(E1654,"/",""))=1,(RIGHT(E1654,LEN(E1654)-FIND("/",E1654)))-(LEFT(E1654,FIND("/",E1654)-1)),(MID(E1654, SEARCH("/",E1654) + 1, SEARCH("/",E1654, SEARCH("/",E1654)+1) - SEARCH("/",E1654) - 1))-(LEFT(E1654,FIND("/",E1654)-1))), "NA"))</f>
        <v/>
      </c>
      <c r="K1654" s="79">
        <f>IF(A1654&lt;&gt;"", IF(ISBLANK(L1654), TODAY(), K1654), "")</f>
        <v/>
      </c>
      <c r="L1654" s="78" t="n"/>
      <c r="M1654" s="78">
        <f>IF(ISBLANK(L1654),"",IF(D1654="Stock",IF(C1654="Buy",L1654*G1654,IF(C1654="Sell",(L1654*G1654)-I1654, X)),IF(C1654="Buy",(L1654*G1654*100)+I1654,IF(C1654="Sell",(L1654*G1654*100)-I1654, X))))</f>
        <v/>
      </c>
      <c r="N1654" s="78">
        <f>IF(ISBLANK(L1654),"",IF(AND(C1654="Sell",D1654="Stock"),M1654,IF(ISBLANK(L1654),"",IF(C1654="Buy",M1654, IF(AND(C1654="Sell",J1654="NA"),(E1654*G1654*100*0.1)+I1654, IF(C1654="Sell",(J1654-L1654)*(100*G1654)+I1654))))))</f>
        <v/>
      </c>
      <c r="O1654" s="75" t="n"/>
      <c r="P1654" s="75" t="n"/>
      <c r="Q1654" s="75">
        <f>IF(ISBLANK(P1654),"",IF(D1654="Stock",P1654*G1654,IF(P1654=0,"0",G1654*P1654*100-(G1654*$AF$14))))</f>
        <v/>
      </c>
      <c r="R1654" s="79">
        <f>IF(P1654&lt;&gt;"", TODAY(), "")</f>
        <v/>
      </c>
      <c r="S1654" s="78">
        <f>IF(AND(K1654&lt;&gt;"", R1654&lt;&gt;""), R1654-K1654, "")</f>
        <v/>
      </c>
      <c r="T1654" s="78" t="n"/>
      <c r="U1654" s="92">
        <f>IF(ISBLANK(P1654),"",IF(C1654="Buy",Q1654-M1654+T1654, IF(C1654="Sell",M1654-Q1654-T1654, X)))</f>
        <v/>
      </c>
      <c r="V1654" s="81">
        <f>IF(ISBLANK(P1654),"",U1654/N1654)</f>
        <v/>
      </c>
      <c r="W1654" s="81">
        <f>IF(ISBLANK(P1654),"",IF(S1654=0,(365/0.5)*V1654,(365/S1654)*V1654))</f>
        <v/>
      </c>
      <c r="X1654" s="75" t="n"/>
      <c r="Y1654" s="77" t="n"/>
      <c r="Z1654" s="77" t="n"/>
      <c r="AA1654" s="75" t="n"/>
      <c r="AB1654" s="75" t="n"/>
      <c r="AC1654" s="6" t="n"/>
      <c r="AD1654" s="75" t="n"/>
      <c r="AE1654" s="75" t="n"/>
      <c r="AF1654" s="75" t="n"/>
    </row>
    <row r="1655" ht="15.75" customHeight="1" s="133">
      <c r="A1655" s="75" t="n"/>
      <c r="B1655" s="75" t="n"/>
      <c r="C1655" s="75" t="n"/>
      <c r="D1655" s="75" t="n"/>
      <c r="E1655" s="76" t="n"/>
      <c r="F1655" s="77" t="n"/>
      <c r="G1655" s="75" t="n"/>
      <c r="H1655" s="75">
        <f>IF(ISBLANK(E1655),"",IF(OR(D1655="Butterfly",D1655="Butterfly ",D1655="Iron Fly", D1655="Iron Fly "),LEN(E1655)-LEN(SUBSTITUTE(E1655,"/",""))+2,LEN(E1655)-LEN(SUBSTITUTE(E1655,"/",""))+1))</f>
        <v/>
      </c>
      <c r="I1655" s="78">
        <f>IF(ISBLANK(G1655),"",IF(D1655="Stock","0",Key!$A$3*H1655*G1655))</f>
        <v/>
      </c>
      <c r="J1655" s="78">
        <f>IF(ISBLANK(E1655),"",IF(ISNUMBER(SEARCH("/",E1655)), IF(LEN(E1655)-LEN(SUBSTITUTE(E1655,"/",""))=1,(RIGHT(E1655,LEN(E1655)-FIND("/",E1655)))-(LEFT(E1655,FIND("/",E1655)-1)),(MID(E1655, SEARCH("/",E1655) + 1, SEARCH("/",E1655, SEARCH("/",E1655)+1) - SEARCH("/",E1655) - 1))-(LEFT(E1655,FIND("/",E1655)-1))), "NA"))</f>
        <v/>
      </c>
      <c r="K1655" s="79">
        <f>IF(A1655&lt;&gt;"", IF(ISBLANK(L1655), TODAY(), K1655), "")</f>
        <v/>
      </c>
      <c r="L1655" s="78" t="n"/>
      <c r="M1655" s="78">
        <f>IF(ISBLANK(L1655),"",IF(D1655="Stock",IF(C1655="Buy",L1655*G1655,IF(C1655="Sell",(L1655*G1655)-I1655, X)),IF(C1655="Buy",(L1655*G1655*100)+I1655,IF(C1655="Sell",(L1655*G1655*100)-I1655, X))))</f>
        <v/>
      </c>
      <c r="N1655" s="78">
        <f>IF(ISBLANK(L1655),"",IF(AND(C1655="Sell",D1655="Stock"),M1655,IF(ISBLANK(L1655),"",IF(C1655="Buy",M1655, IF(AND(C1655="Sell",J1655="NA"),(E1655*G1655*100*0.1)+I1655, IF(C1655="Sell",(J1655-L1655)*(100*G1655)+I1655))))))</f>
        <v/>
      </c>
      <c r="O1655" s="75" t="n"/>
      <c r="P1655" s="75" t="n"/>
      <c r="Q1655" s="75">
        <f>IF(ISBLANK(P1655),"",IF(D1655="Stock",P1655*G1655,IF(P1655=0,"0",G1655*P1655*100-(G1655*$AF$14))))</f>
        <v/>
      </c>
      <c r="R1655" s="79">
        <f>IF(P1655&lt;&gt;"", TODAY(), "")</f>
        <v/>
      </c>
      <c r="S1655" s="78">
        <f>IF(AND(K1655&lt;&gt;"", R1655&lt;&gt;""), R1655-K1655, "")</f>
        <v/>
      </c>
      <c r="T1655" s="78" t="n"/>
      <c r="U1655" s="92">
        <f>IF(ISBLANK(P1655),"",IF(C1655="Buy",Q1655-M1655+T1655, IF(C1655="Sell",M1655-Q1655-T1655, X)))</f>
        <v/>
      </c>
      <c r="V1655" s="81">
        <f>IF(ISBLANK(P1655),"",U1655/N1655)</f>
        <v/>
      </c>
      <c r="W1655" s="81">
        <f>IF(ISBLANK(P1655),"",IF(S1655=0,(365/0.5)*V1655,(365/S1655)*V1655))</f>
        <v/>
      </c>
      <c r="X1655" s="75" t="n"/>
      <c r="Y1655" s="77" t="n"/>
      <c r="Z1655" s="77" t="n"/>
      <c r="AA1655" s="75" t="n"/>
      <c r="AB1655" s="75" t="n"/>
      <c r="AC1655" s="6" t="n"/>
      <c r="AD1655" s="75" t="n"/>
      <c r="AE1655" s="75" t="n"/>
      <c r="AF1655" s="75" t="n"/>
    </row>
    <row r="1656" ht="15.75" customHeight="1" s="133">
      <c r="A1656" s="75" t="n"/>
      <c r="B1656" s="75" t="n"/>
      <c r="C1656" s="75" t="n"/>
      <c r="D1656" s="75" t="n"/>
      <c r="E1656" s="76" t="n"/>
      <c r="F1656" s="77" t="n"/>
      <c r="G1656" s="75" t="n"/>
      <c r="H1656" s="75">
        <f>IF(ISBLANK(E1656),"",IF(OR(D1656="Butterfly",D1656="Butterfly ",D1656="Iron Fly", D1656="Iron Fly "),LEN(E1656)-LEN(SUBSTITUTE(E1656,"/",""))+2,LEN(E1656)-LEN(SUBSTITUTE(E1656,"/",""))+1))</f>
        <v/>
      </c>
      <c r="I1656" s="78">
        <f>IF(ISBLANK(G1656),"",IF(D1656="Stock","0",Key!$A$3*H1656*G1656))</f>
        <v/>
      </c>
      <c r="J1656" s="78">
        <f>IF(ISBLANK(E1656),"",IF(ISNUMBER(SEARCH("/",E1656)), IF(LEN(E1656)-LEN(SUBSTITUTE(E1656,"/",""))=1,(RIGHT(E1656,LEN(E1656)-FIND("/",E1656)))-(LEFT(E1656,FIND("/",E1656)-1)),(MID(E1656, SEARCH("/",E1656) + 1, SEARCH("/",E1656, SEARCH("/",E1656)+1) - SEARCH("/",E1656) - 1))-(LEFT(E1656,FIND("/",E1656)-1))), "NA"))</f>
        <v/>
      </c>
      <c r="K1656" s="79">
        <f>IF(A1656&lt;&gt;"", IF(ISBLANK(L1656), TODAY(), K1656), "")</f>
        <v/>
      </c>
      <c r="L1656" s="78" t="n"/>
      <c r="M1656" s="78">
        <f>IF(ISBLANK(L1656),"",IF(D1656="Stock",IF(C1656="Buy",L1656*G1656,IF(C1656="Sell",(L1656*G1656)-I1656, X)),IF(C1656="Buy",(L1656*G1656*100)+I1656,IF(C1656="Sell",(L1656*G1656*100)-I1656, X))))</f>
        <v/>
      </c>
      <c r="N1656" s="78">
        <f>IF(ISBLANK(L1656),"",IF(AND(C1656="Sell",D1656="Stock"),M1656,IF(ISBLANK(L1656),"",IF(C1656="Buy",M1656, IF(AND(C1656="Sell",J1656="NA"),(E1656*G1656*100*0.1)+I1656, IF(C1656="Sell",(J1656-L1656)*(100*G1656)+I1656))))))</f>
        <v/>
      </c>
      <c r="O1656" s="75" t="n"/>
      <c r="P1656" s="75" t="n"/>
      <c r="Q1656" s="75">
        <f>IF(ISBLANK(P1656),"",IF(D1656="Stock",P1656*G1656,IF(P1656=0,"0",G1656*P1656*100-(G1656*$AF$14))))</f>
        <v/>
      </c>
      <c r="R1656" s="79">
        <f>IF(P1656&lt;&gt;"", TODAY(), "")</f>
        <v/>
      </c>
      <c r="S1656" s="78">
        <f>IF(AND(K1656&lt;&gt;"", R1656&lt;&gt;""), R1656-K1656, "")</f>
        <v/>
      </c>
      <c r="T1656" s="78" t="n"/>
      <c r="U1656" s="92">
        <f>IF(ISBLANK(P1656),"",IF(C1656="Buy",Q1656-M1656+T1656, IF(C1656="Sell",M1656-Q1656-T1656, X)))</f>
        <v/>
      </c>
      <c r="V1656" s="81">
        <f>IF(ISBLANK(P1656),"",U1656/N1656)</f>
        <v/>
      </c>
      <c r="W1656" s="81">
        <f>IF(ISBLANK(P1656),"",IF(S1656=0,(365/0.5)*V1656,(365/S1656)*V1656))</f>
        <v/>
      </c>
      <c r="X1656" s="75" t="n"/>
      <c r="Y1656" s="77" t="n"/>
      <c r="Z1656" s="77" t="n"/>
      <c r="AA1656" s="75" t="n"/>
      <c r="AB1656" s="75" t="n"/>
      <c r="AC1656" s="6" t="n"/>
      <c r="AD1656" s="75" t="n"/>
      <c r="AE1656" s="75" t="n"/>
      <c r="AF1656" s="75" t="n"/>
    </row>
    <row r="1657" ht="15.75" customHeight="1" s="133">
      <c r="A1657" s="75" t="n"/>
      <c r="B1657" s="75" t="n"/>
      <c r="C1657" s="75" t="n"/>
      <c r="D1657" s="75" t="n"/>
      <c r="E1657" s="76" t="n"/>
      <c r="F1657" s="77" t="n"/>
      <c r="G1657" s="75" t="n"/>
      <c r="H1657" s="75">
        <f>IF(ISBLANK(E1657),"",IF(OR(D1657="Butterfly",D1657="Butterfly ",D1657="Iron Fly", D1657="Iron Fly "),LEN(E1657)-LEN(SUBSTITUTE(E1657,"/",""))+2,LEN(E1657)-LEN(SUBSTITUTE(E1657,"/",""))+1))</f>
        <v/>
      </c>
      <c r="I1657" s="78">
        <f>IF(ISBLANK(G1657),"",IF(D1657="Stock","0",Key!$A$3*H1657*G1657))</f>
        <v/>
      </c>
      <c r="J1657" s="78">
        <f>IF(ISBLANK(E1657),"",IF(ISNUMBER(SEARCH("/",E1657)), IF(LEN(E1657)-LEN(SUBSTITUTE(E1657,"/",""))=1,(RIGHT(E1657,LEN(E1657)-FIND("/",E1657)))-(LEFT(E1657,FIND("/",E1657)-1)),(MID(E1657, SEARCH("/",E1657) + 1, SEARCH("/",E1657, SEARCH("/",E1657)+1) - SEARCH("/",E1657) - 1))-(LEFT(E1657,FIND("/",E1657)-1))), "NA"))</f>
        <v/>
      </c>
      <c r="K1657" s="79">
        <f>IF(A1657&lt;&gt;"", IF(ISBLANK(L1657), TODAY(), K1657), "")</f>
        <v/>
      </c>
      <c r="L1657" s="78" t="n"/>
      <c r="M1657" s="78">
        <f>IF(ISBLANK(L1657),"",IF(D1657="Stock",IF(C1657="Buy",L1657*G1657,IF(C1657="Sell",(L1657*G1657)-I1657, X)),IF(C1657="Buy",(L1657*G1657*100)+I1657,IF(C1657="Sell",(L1657*G1657*100)-I1657, X))))</f>
        <v/>
      </c>
      <c r="N1657" s="78">
        <f>IF(ISBLANK(L1657),"",IF(AND(C1657="Sell",D1657="Stock"),M1657,IF(ISBLANK(L1657),"",IF(C1657="Buy",M1657, IF(AND(C1657="Sell",J1657="NA"),(E1657*G1657*100*0.1)+I1657, IF(C1657="Sell",(J1657-L1657)*(100*G1657)+I1657))))))</f>
        <v/>
      </c>
      <c r="O1657" s="75" t="n"/>
      <c r="P1657" s="75" t="n"/>
      <c r="Q1657" s="75">
        <f>IF(ISBLANK(P1657),"",IF(D1657="Stock",P1657*G1657,IF(P1657=0,"0",G1657*P1657*100-(G1657*$AF$14))))</f>
        <v/>
      </c>
      <c r="R1657" s="79">
        <f>IF(P1657&lt;&gt;"", TODAY(), "")</f>
        <v/>
      </c>
      <c r="S1657" s="78">
        <f>IF(AND(K1657&lt;&gt;"", R1657&lt;&gt;""), R1657-K1657, "")</f>
        <v/>
      </c>
      <c r="T1657" s="78" t="n"/>
      <c r="U1657" s="92">
        <f>IF(ISBLANK(P1657),"",IF(C1657="Buy",Q1657-M1657+T1657, IF(C1657="Sell",M1657-Q1657-T1657, X)))</f>
        <v/>
      </c>
      <c r="V1657" s="81">
        <f>IF(ISBLANK(P1657),"",U1657/N1657)</f>
        <v/>
      </c>
      <c r="W1657" s="81">
        <f>IF(ISBLANK(P1657),"",IF(S1657=0,(365/0.5)*V1657,(365/S1657)*V1657))</f>
        <v/>
      </c>
      <c r="X1657" s="75" t="n"/>
      <c r="Y1657" s="77" t="n"/>
      <c r="Z1657" s="77" t="n"/>
      <c r="AA1657" s="75" t="n"/>
      <c r="AB1657" s="75" t="n"/>
      <c r="AC1657" s="6" t="n"/>
      <c r="AD1657" s="75" t="n"/>
      <c r="AE1657" s="75" t="n"/>
      <c r="AF1657" s="75" t="n"/>
    </row>
    <row r="1658" ht="15.75" customHeight="1" s="133">
      <c r="A1658" s="75" t="n"/>
      <c r="B1658" s="75" t="n"/>
      <c r="C1658" s="75" t="n"/>
      <c r="D1658" s="75" t="n"/>
      <c r="E1658" s="76" t="n"/>
      <c r="F1658" s="77" t="n"/>
      <c r="G1658" s="75" t="n"/>
      <c r="H1658" s="75">
        <f>IF(ISBLANK(E1658),"",IF(OR(D1658="Butterfly",D1658="Butterfly ",D1658="Iron Fly", D1658="Iron Fly "),LEN(E1658)-LEN(SUBSTITUTE(E1658,"/",""))+2,LEN(E1658)-LEN(SUBSTITUTE(E1658,"/",""))+1))</f>
        <v/>
      </c>
      <c r="I1658" s="78">
        <f>IF(ISBLANK(G1658),"",IF(D1658="Stock","0",Key!$A$3*H1658*G1658))</f>
        <v/>
      </c>
      <c r="J1658" s="78">
        <f>IF(ISBLANK(E1658),"",IF(ISNUMBER(SEARCH("/",E1658)), IF(LEN(E1658)-LEN(SUBSTITUTE(E1658,"/",""))=1,(RIGHT(E1658,LEN(E1658)-FIND("/",E1658)))-(LEFT(E1658,FIND("/",E1658)-1)),(MID(E1658, SEARCH("/",E1658) + 1, SEARCH("/",E1658, SEARCH("/",E1658)+1) - SEARCH("/",E1658) - 1))-(LEFT(E1658,FIND("/",E1658)-1))), "NA"))</f>
        <v/>
      </c>
      <c r="K1658" s="79">
        <f>IF(A1658&lt;&gt;"", IF(ISBLANK(L1658), TODAY(), K1658), "")</f>
        <v/>
      </c>
      <c r="L1658" s="78" t="n"/>
      <c r="M1658" s="78">
        <f>IF(ISBLANK(L1658),"",IF(D1658="Stock",IF(C1658="Buy",L1658*G1658,IF(C1658="Sell",(L1658*G1658)-I1658, X)),IF(C1658="Buy",(L1658*G1658*100)+I1658,IF(C1658="Sell",(L1658*G1658*100)-I1658, X))))</f>
        <v/>
      </c>
      <c r="N1658" s="78">
        <f>IF(ISBLANK(L1658),"",IF(AND(C1658="Sell",D1658="Stock"),M1658,IF(ISBLANK(L1658),"",IF(C1658="Buy",M1658, IF(AND(C1658="Sell",J1658="NA"),(E1658*G1658*100*0.1)+I1658, IF(C1658="Sell",(J1658-L1658)*(100*G1658)+I1658))))))</f>
        <v/>
      </c>
      <c r="O1658" s="75" t="n"/>
      <c r="P1658" s="75" t="n"/>
      <c r="Q1658" s="75">
        <f>IF(ISBLANK(P1658),"",IF(D1658="Stock",P1658*G1658,IF(P1658=0,"0",G1658*P1658*100-(G1658*$AF$14))))</f>
        <v/>
      </c>
      <c r="R1658" s="79">
        <f>IF(P1658&lt;&gt;"", TODAY(), "")</f>
        <v/>
      </c>
      <c r="S1658" s="78">
        <f>IF(AND(K1658&lt;&gt;"", R1658&lt;&gt;""), R1658-K1658, "")</f>
        <v/>
      </c>
      <c r="T1658" s="78" t="n"/>
      <c r="U1658" s="92">
        <f>IF(ISBLANK(P1658),"",IF(C1658="Buy",Q1658-M1658+T1658, IF(C1658="Sell",M1658-Q1658-T1658, X)))</f>
        <v/>
      </c>
      <c r="V1658" s="81">
        <f>IF(ISBLANK(P1658),"",U1658/N1658)</f>
        <v/>
      </c>
      <c r="W1658" s="81">
        <f>IF(ISBLANK(P1658),"",IF(S1658=0,(365/0.5)*V1658,(365/S1658)*V1658))</f>
        <v/>
      </c>
      <c r="X1658" s="75" t="n"/>
      <c r="Y1658" s="77" t="n"/>
      <c r="Z1658" s="77" t="n"/>
      <c r="AA1658" s="75" t="n"/>
      <c r="AB1658" s="75" t="n"/>
      <c r="AC1658" s="6" t="n"/>
      <c r="AD1658" s="75" t="n"/>
      <c r="AE1658" s="75" t="n"/>
      <c r="AF1658" s="75" t="n"/>
    </row>
    <row r="1659" ht="15.75" customHeight="1" s="133">
      <c r="A1659" s="75" t="n"/>
      <c r="B1659" s="75" t="n"/>
      <c r="C1659" s="75" t="n"/>
      <c r="D1659" s="75" t="n"/>
      <c r="E1659" s="76" t="n"/>
      <c r="F1659" s="77" t="n"/>
      <c r="G1659" s="75" t="n"/>
      <c r="H1659" s="75">
        <f>IF(ISBLANK(E1659),"",IF(OR(D1659="Butterfly",D1659="Butterfly ",D1659="Iron Fly", D1659="Iron Fly "),LEN(E1659)-LEN(SUBSTITUTE(E1659,"/",""))+2,LEN(E1659)-LEN(SUBSTITUTE(E1659,"/",""))+1))</f>
        <v/>
      </c>
      <c r="I1659" s="78">
        <f>IF(ISBLANK(G1659),"",IF(D1659="Stock","0",Key!$A$3*H1659*G1659))</f>
        <v/>
      </c>
      <c r="J1659" s="78">
        <f>IF(ISBLANK(E1659),"",IF(ISNUMBER(SEARCH("/",E1659)), IF(LEN(E1659)-LEN(SUBSTITUTE(E1659,"/",""))=1,(RIGHT(E1659,LEN(E1659)-FIND("/",E1659)))-(LEFT(E1659,FIND("/",E1659)-1)),(MID(E1659, SEARCH("/",E1659) + 1, SEARCH("/",E1659, SEARCH("/",E1659)+1) - SEARCH("/",E1659) - 1))-(LEFT(E1659,FIND("/",E1659)-1))), "NA"))</f>
        <v/>
      </c>
      <c r="K1659" s="79">
        <f>IF(A1659&lt;&gt;"", IF(ISBLANK(L1659), TODAY(), K1659), "")</f>
        <v/>
      </c>
      <c r="L1659" s="78" t="n"/>
      <c r="M1659" s="78">
        <f>IF(ISBLANK(L1659),"",IF(D1659="Stock",IF(C1659="Buy",L1659*G1659,IF(C1659="Sell",(L1659*G1659)-I1659, X)),IF(C1659="Buy",(L1659*G1659*100)+I1659,IF(C1659="Sell",(L1659*G1659*100)-I1659, X))))</f>
        <v/>
      </c>
      <c r="N1659" s="78">
        <f>IF(ISBLANK(L1659),"",IF(AND(C1659="Sell",D1659="Stock"),M1659,IF(ISBLANK(L1659),"",IF(C1659="Buy",M1659, IF(AND(C1659="Sell",J1659="NA"),(E1659*G1659*100*0.1)+I1659, IF(C1659="Sell",(J1659-L1659)*(100*G1659)+I1659))))))</f>
        <v/>
      </c>
      <c r="O1659" s="75" t="n"/>
      <c r="P1659" s="75" t="n"/>
      <c r="Q1659" s="75">
        <f>IF(ISBLANK(P1659),"",IF(D1659="Stock",P1659*G1659,IF(P1659=0,"0",G1659*P1659*100-(G1659*$AF$14))))</f>
        <v/>
      </c>
      <c r="R1659" s="79">
        <f>IF(P1659&lt;&gt;"", TODAY(), "")</f>
        <v/>
      </c>
      <c r="S1659" s="78">
        <f>IF(AND(K1659&lt;&gt;"", R1659&lt;&gt;""), R1659-K1659, "")</f>
        <v/>
      </c>
      <c r="T1659" s="78" t="n"/>
      <c r="U1659" s="92">
        <f>IF(ISBLANK(P1659),"",IF(C1659="Buy",Q1659-M1659+T1659, IF(C1659="Sell",M1659-Q1659-T1659, X)))</f>
        <v/>
      </c>
      <c r="V1659" s="81">
        <f>IF(ISBLANK(P1659),"",U1659/N1659)</f>
        <v/>
      </c>
      <c r="W1659" s="81">
        <f>IF(ISBLANK(P1659),"",IF(S1659=0,(365/0.5)*V1659,(365/S1659)*V1659))</f>
        <v/>
      </c>
      <c r="X1659" s="75" t="n"/>
      <c r="Y1659" s="77" t="n"/>
      <c r="Z1659" s="77" t="n"/>
      <c r="AA1659" s="75" t="n"/>
      <c r="AB1659" s="75" t="n"/>
      <c r="AC1659" s="6" t="n"/>
      <c r="AD1659" s="75" t="n"/>
      <c r="AE1659" s="75" t="n"/>
      <c r="AF1659" s="75" t="n"/>
    </row>
    <row r="1660" ht="15.75" customHeight="1" s="133">
      <c r="A1660" s="75" t="n"/>
      <c r="B1660" s="75" t="n"/>
      <c r="C1660" s="75" t="n"/>
      <c r="D1660" s="75" t="n"/>
      <c r="E1660" s="76" t="n"/>
      <c r="F1660" s="77" t="n"/>
      <c r="G1660" s="75" t="n"/>
      <c r="H1660" s="75">
        <f>IF(ISBLANK(E1660),"",IF(OR(D1660="Butterfly",D1660="Butterfly ",D1660="Iron Fly", D1660="Iron Fly "),LEN(E1660)-LEN(SUBSTITUTE(E1660,"/",""))+2,LEN(E1660)-LEN(SUBSTITUTE(E1660,"/",""))+1))</f>
        <v/>
      </c>
      <c r="I1660" s="78">
        <f>IF(ISBLANK(G1660),"",IF(D1660="Stock","0",Key!$A$3*H1660*G1660))</f>
        <v/>
      </c>
      <c r="J1660" s="78">
        <f>IF(ISBLANK(E1660),"",IF(ISNUMBER(SEARCH("/",E1660)), IF(LEN(E1660)-LEN(SUBSTITUTE(E1660,"/",""))=1,(RIGHT(E1660,LEN(E1660)-FIND("/",E1660)))-(LEFT(E1660,FIND("/",E1660)-1)),(MID(E1660, SEARCH("/",E1660) + 1, SEARCH("/",E1660, SEARCH("/",E1660)+1) - SEARCH("/",E1660) - 1))-(LEFT(E1660,FIND("/",E1660)-1))), "NA"))</f>
        <v/>
      </c>
      <c r="K1660" s="79">
        <f>IF(A1660&lt;&gt;"", IF(ISBLANK(L1660), TODAY(), K1660), "")</f>
        <v/>
      </c>
      <c r="L1660" s="78" t="n"/>
      <c r="M1660" s="78">
        <f>IF(ISBLANK(L1660),"",IF(D1660="Stock",IF(C1660="Buy",L1660*G1660,IF(C1660="Sell",(L1660*G1660)-I1660, X)),IF(C1660="Buy",(L1660*G1660*100)+I1660,IF(C1660="Sell",(L1660*G1660*100)-I1660, X))))</f>
        <v/>
      </c>
      <c r="N1660" s="78">
        <f>IF(ISBLANK(L1660),"",IF(AND(C1660="Sell",D1660="Stock"),M1660,IF(ISBLANK(L1660),"",IF(C1660="Buy",M1660, IF(AND(C1660="Sell",J1660="NA"),(E1660*G1660*100*0.1)+I1660, IF(C1660="Sell",(J1660-L1660)*(100*G1660)+I1660))))))</f>
        <v/>
      </c>
      <c r="O1660" s="75" t="n"/>
      <c r="P1660" s="75" t="n"/>
      <c r="Q1660" s="75">
        <f>IF(ISBLANK(P1660),"",IF(D1660="Stock",P1660*G1660,IF(P1660=0,"0",G1660*P1660*100-(G1660*$AF$14))))</f>
        <v/>
      </c>
      <c r="R1660" s="79">
        <f>IF(P1660&lt;&gt;"", TODAY(), "")</f>
        <v/>
      </c>
      <c r="S1660" s="78">
        <f>IF(AND(K1660&lt;&gt;"", R1660&lt;&gt;""), R1660-K1660, "")</f>
        <v/>
      </c>
      <c r="T1660" s="78" t="n"/>
      <c r="U1660" s="92">
        <f>IF(ISBLANK(P1660),"",IF(C1660="Buy",Q1660-M1660+T1660, IF(C1660="Sell",M1660-Q1660-T1660, X)))</f>
        <v/>
      </c>
      <c r="V1660" s="81">
        <f>IF(ISBLANK(P1660),"",U1660/N1660)</f>
        <v/>
      </c>
      <c r="W1660" s="81">
        <f>IF(ISBLANK(P1660),"",IF(S1660=0,(365/0.5)*V1660,(365/S1660)*V1660))</f>
        <v/>
      </c>
      <c r="X1660" s="75" t="n"/>
      <c r="Y1660" s="77" t="n"/>
      <c r="Z1660" s="77" t="n"/>
      <c r="AA1660" s="75" t="n"/>
      <c r="AB1660" s="75" t="n"/>
      <c r="AC1660" s="6" t="n"/>
      <c r="AD1660" s="75" t="n"/>
      <c r="AE1660" s="75" t="n"/>
      <c r="AF1660" s="75" t="n"/>
    </row>
    <row r="1661" ht="15.75" customHeight="1" s="133">
      <c r="A1661" s="75" t="n"/>
      <c r="B1661" s="75" t="n"/>
      <c r="C1661" s="75" t="n"/>
      <c r="D1661" s="75" t="n"/>
      <c r="E1661" s="76" t="n"/>
      <c r="F1661" s="77" t="n"/>
      <c r="G1661" s="75" t="n"/>
      <c r="H1661" s="75">
        <f>IF(ISBLANK(E1661),"",IF(OR(D1661="Butterfly",D1661="Butterfly ",D1661="Iron Fly", D1661="Iron Fly "),LEN(E1661)-LEN(SUBSTITUTE(E1661,"/",""))+2,LEN(E1661)-LEN(SUBSTITUTE(E1661,"/",""))+1))</f>
        <v/>
      </c>
      <c r="I1661" s="78">
        <f>IF(ISBLANK(G1661),"",IF(D1661="Stock","0",Key!$A$3*H1661*G1661))</f>
        <v/>
      </c>
      <c r="J1661" s="78">
        <f>IF(ISBLANK(E1661),"",IF(ISNUMBER(SEARCH("/",E1661)), IF(LEN(E1661)-LEN(SUBSTITUTE(E1661,"/",""))=1,(RIGHT(E1661,LEN(E1661)-FIND("/",E1661)))-(LEFT(E1661,FIND("/",E1661)-1)),(MID(E1661, SEARCH("/",E1661) + 1, SEARCH("/",E1661, SEARCH("/",E1661)+1) - SEARCH("/",E1661) - 1))-(LEFT(E1661,FIND("/",E1661)-1))), "NA"))</f>
        <v/>
      </c>
      <c r="K1661" s="79">
        <f>IF(A1661&lt;&gt;"", IF(ISBLANK(L1661), TODAY(), K1661), "")</f>
        <v/>
      </c>
      <c r="L1661" s="78" t="n"/>
      <c r="M1661" s="78">
        <f>IF(ISBLANK(L1661),"",IF(D1661="Stock",IF(C1661="Buy",L1661*G1661,IF(C1661="Sell",(L1661*G1661)-I1661, X)),IF(C1661="Buy",(L1661*G1661*100)+I1661,IF(C1661="Sell",(L1661*G1661*100)-I1661, X))))</f>
        <v/>
      </c>
      <c r="N1661" s="78">
        <f>IF(ISBLANK(L1661),"",IF(AND(C1661="Sell",D1661="Stock"),M1661,IF(ISBLANK(L1661),"",IF(C1661="Buy",M1661, IF(AND(C1661="Sell",J1661="NA"),(E1661*G1661*100*0.1)+I1661, IF(C1661="Sell",(J1661-L1661)*(100*G1661)+I1661))))))</f>
        <v/>
      </c>
      <c r="O1661" s="75" t="n"/>
      <c r="P1661" s="75" t="n"/>
      <c r="Q1661" s="75">
        <f>IF(ISBLANK(P1661),"",IF(D1661="Stock",P1661*G1661,IF(P1661=0,"0",G1661*P1661*100-(G1661*$AF$14))))</f>
        <v/>
      </c>
      <c r="R1661" s="79">
        <f>IF(P1661&lt;&gt;"", TODAY(), "")</f>
        <v/>
      </c>
      <c r="S1661" s="78">
        <f>IF(AND(K1661&lt;&gt;"", R1661&lt;&gt;""), R1661-K1661, "")</f>
        <v/>
      </c>
      <c r="T1661" s="78" t="n"/>
      <c r="U1661" s="92">
        <f>IF(ISBLANK(P1661),"",IF(C1661="Buy",Q1661-M1661+T1661, IF(C1661="Sell",M1661-Q1661-T1661, X)))</f>
        <v/>
      </c>
      <c r="V1661" s="81">
        <f>IF(ISBLANK(P1661),"",U1661/N1661)</f>
        <v/>
      </c>
      <c r="W1661" s="81">
        <f>IF(ISBLANK(P1661),"",IF(S1661=0,(365/0.5)*V1661,(365/S1661)*V1661))</f>
        <v/>
      </c>
      <c r="X1661" s="75" t="n"/>
      <c r="Y1661" s="77" t="n"/>
      <c r="Z1661" s="77" t="n"/>
      <c r="AA1661" s="75" t="n"/>
      <c r="AB1661" s="75" t="n"/>
      <c r="AC1661" s="6" t="n"/>
      <c r="AD1661" s="75" t="n"/>
      <c r="AE1661" s="75" t="n"/>
      <c r="AF1661" s="75" t="n"/>
    </row>
    <row r="1662" ht="15.75" customHeight="1" s="133">
      <c r="A1662" s="75" t="n"/>
      <c r="B1662" s="75" t="n"/>
      <c r="C1662" s="75" t="n"/>
      <c r="D1662" s="75" t="n"/>
      <c r="E1662" s="76" t="n"/>
      <c r="F1662" s="77" t="n"/>
      <c r="G1662" s="75" t="n"/>
      <c r="H1662" s="75">
        <f>IF(ISBLANK(E1662),"",IF(OR(D1662="Butterfly",D1662="Butterfly ",D1662="Iron Fly", D1662="Iron Fly "),LEN(E1662)-LEN(SUBSTITUTE(E1662,"/",""))+2,LEN(E1662)-LEN(SUBSTITUTE(E1662,"/",""))+1))</f>
        <v/>
      </c>
      <c r="I1662" s="78">
        <f>IF(ISBLANK(G1662),"",IF(D1662="Stock","0",Key!$A$3*H1662*G1662))</f>
        <v/>
      </c>
      <c r="J1662" s="78">
        <f>IF(ISBLANK(E1662),"",IF(ISNUMBER(SEARCH("/",E1662)), IF(LEN(E1662)-LEN(SUBSTITUTE(E1662,"/",""))=1,(RIGHT(E1662,LEN(E1662)-FIND("/",E1662)))-(LEFT(E1662,FIND("/",E1662)-1)),(MID(E1662, SEARCH("/",E1662) + 1, SEARCH("/",E1662, SEARCH("/",E1662)+1) - SEARCH("/",E1662) - 1))-(LEFT(E1662,FIND("/",E1662)-1))), "NA"))</f>
        <v/>
      </c>
      <c r="K1662" s="79">
        <f>IF(A1662&lt;&gt;"", IF(ISBLANK(L1662), TODAY(), K1662), "")</f>
        <v/>
      </c>
      <c r="L1662" s="78" t="n"/>
      <c r="M1662" s="78">
        <f>IF(ISBLANK(L1662),"",IF(D1662="Stock",IF(C1662="Buy",L1662*G1662,IF(C1662="Sell",(L1662*G1662)-I1662, X)),IF(C1662="Buy",(L1662*G1662*100)+I1662,IF(C1662="Sell",(L1662*G1662*100)-I1662, X))))</f>
        <v/>
      </c>
      <c r="N1662" s="78">
        <f>IF(ISBLANK(L1662),"",IF(AND(C1662="Sell",D1662="Stock"),M1662,IF(ISBLANK(L1662),"",IF(C1662="Buy",M1662, IF(AND(C1662="Sell",J1662="NA"),(E1662*G1662*100*0.1)+I1662, IF(C1662="Sell",(J1662-L1662)*(100*G1662)+I1662))))))</f>
        <v/>
      </c>
      <c r="O1662" s="75" t="n"/>
      <c r="P1662" s="75" t="n"/>
      <c r="Q1662" s="75">
        <f>IF(ISBLANK(P1662),"",IF(D1662="Stock",P1662*G1662,IF(P1662=0,"0",G1662*P1662*100-(G1662*$AF$14))))</f>
        <v/>
      </c>
      <c r="R1662" s="79">
        <f>IF(P1662&lt;&gt;"", TODAY(), "")</f>
        <v/>
      </c>
      <c r="S1662" s="78">
        <f>IF(AND(K1662&lt;&gt;"", R1662&lt;&gt;""), R1662-K1662, "")</f>
        <v/>
      </c>
      <c r="T1662" s="78" t="n"/>
      <c r="U1662" s="92">
        <f>IF(ISBLANK(P1662),"",IF(C1662="Buy",Q1662-M1662+T1662, IF(C1662="Sell",M1662-Q1662-T1662, X)))</f>
        <v/>
      </c>
      <c r="V1662" s="81">
        <f>IF(ISBLANK(P1662),"",U1662/N1662)</f>
        <v/>
      </c>
      <c r="W1662" s="81">
        <f>IF(ISBLANK(P1662),"",IF(S1662=0,(365/0.5)*V1662,(365/S1662)*V1662))</f>
        <v/>
      </c>
      <c r="X1662" s="75" t="n"/>
      <c r="Y1662" s="77" t="n"/>
      <c r="Z1662" s="77" t="n"/>
      <c r="AA1662" s="75" t="n"/>
      <c r="AB1662" s="75" t="n"/>
      <c r="AC1662" s="6" t="n"/>
      <c r="AD1662" s="75" t="n"/>
      <c r="AE1662" s="75" t="n"/>
      <c r="AF1662" s="75" t="n"/>
    </row>
    <row r="1663" ht="15.75" customHeight="1" s="133">
      <c r="A1663" s="75" t="n"/>
      <c r="B1663" s="75" t="n"/>
      <c r="C1663" s="75" t="n"/>
      <c r="D1663" s="75" t="n"/>
      <c r="E1663" s="76" t="n"/>
      <c r="F1663" s="77" t="n"/>
      <c r="G1663" s="75" t="n"/>
      <c r="H1663" s="75">
        <f>IF(ISBLANK(E1663),"",IF(OR(D1663="Butterfly",D1663="Butterfly ",D1663="Iron Fly", D1663="Iron Fly "),LEN(E1663)-LEN(SUBSTITUTE(E1663,"/",""))+2,LEN(E1663)-LEN(SUBSTITUTE(E1663,"/",""))+1))</f>
        <v/>
      </c>
      <c r="I1663" s="78">
        <f>IF(ISBLANK(G1663),"",IF(D1663="Stock","0",Key!$A$3*H1663*G1663))</f>
        <v/>
      </c>
      <c r="J1663" s="78">
        <f>IF(ISBLANK(E1663),"",IF(ISNUMBER(SEARCH("/",E1663)), IF(LEN(E1663)-LEN(SUBSTITUTE(E1663,"/",""))=1,(RIGHT(E1663,LEN(E1663)-FIND("/",E1663)))-(LEFT(E1663,FIND("/",E1663)-1)),(MID(E1663, SEARCH("/",E1663) + 1, SEARCH("/",E1663, SEARCH("/",E1663)+1) - SEARCH("/",E1663) - 1))-(LEFT(E1663,FIND("/",E1663)-1))), "NA"))</f>
        <v/>
      </c>
      <c r="K1663" s="79">
        <f>IF(A1663&lt;&gt;"", IF(ISBLANK(L1663), TODAY(), K1663), "")</f>
        <v/>
      </c>
      <c r="L1663" s="78" t="n"/>
      <c r="M1663" s="78">
        <f>IF(ISBLANK(L1663),"",IF(D1663="Stock",IF(C1663="Buy",L1663*G1663,IF(C1663="Sell",(L1663*G1663)-I1663, X)),IF(C1663="Buy",(L1663*G1663*100)+I1663,IF(C1663="Sell",(L1663*G1663*100)-I1663, X))))</f>
        <v/>
      </c>
      <c r="N1663" s="78">
        <f>IF(ISBLANK(L1663),"",IF(AND(C1663="Sell",D1663="Stock"),M1663,IF(ISBLANK(L1663),"",IF(C1663="Buy",M1663, IF(AND(C1663="Sell",J1663="NA"),(E1663*G1663*100*0.1)+I1663, IF(C1663="Sell",(J1663-L1663)*(100*G1663)+I1663))))))</f>
        <v/>
      </c>
      <c r="O1663" s="75" t="n"/>
      <c r="P1663" s="75" t="n"/>
      <c r="Q1663" s="75">
        <f>IF(ISBLANK(P1663),"",IF(D1663="Stock",P1663*G1663,IF(P1663=0,"0",G1663*P1663*100-(G1663*$AF$14))))</f>
        <v/>
      </c>
      <c r="R1663" s="79">
        <f>IF(P1663&lt;&gt;"", TODAY(), "")</f>
        <v/>
      </c>
      <c r="S1663" s="78">
        <f>IF(AND(K1663&lt;&gt;"", R1663&lt;&gt;""), R1663-K1663, "")</f>
        <v/>
      </c>
      <c r="T1663" s="78" t="n"/>
      <c r="U1663" s="92">
        <f>IF(ISBLANK(P1663),"",IF(C1663="Buy",Q1663-M1663+T1663, IF(C1663="Sell",M1663-Q1663-T1663, X)))</f>
        <v/>
      </c>
      <c r="V1663" s="81">
        <f>IF(ISBLANK(P1663),"",U1663/N1663)</f>
        <v/>
      </c>
      <c r="W1663" s="81">
        <f>IF(ISBLANK(P1663),"",IF(S1663=0,(365/0.5)*V1663,(365/S1663)*V1663))</f>
        <v/>
      </c>
      <c r="X1663" s="75" t="n"/>
      <c r="Y1663" s="77" t="n"/>
      <c r="Z1663" s="77" t="n"/>
      <c r="AA1663" s="75" t="n"/>
      <c r="AB1663" s="75" t="n"/>
      <c r="AC1663" s="6" t="n"/>
      <c r="AD1663" s="75" t="n"/>
      <c r="AE1663" s="75" t="n"/>
      <c r="AF1663" s="75" t="n"/>
    </row>
    <row r="1664" ht="15.75" customHeight="1" s="133">
      <c r="A1664" s="75" t="n"/>
      <c r="B1664" s="75" t="n"/>
      <c r="C1664" s="75" t="n"/>
      <c r="D1664" s="75" t="n"/>
      <c r="E1664" s="76" t="n"/>
      <c r="F1664" s="77" t="n"/>
      <c r="G1664" s="75" t="n"/>
      <c r="H1664" s="75">
        <f>IF(ISBLANK(E1664),"",IF(OR(D1664="Butterfly",D1664="Butterfly ",D1664="Iron Fly", D1664="Iron Fly "),LEN(E1664)-LEN(SUBSTITUTE(E1664,"/",""))+2,LEN(E1664)-LEN(SUBSTITUTE(E1664,"/",""))+1))</f>
        <v/>
      </c>
      <c r="I1664" s="78">
        <f>IF(ISBLANK(G1664),"",IF(D1664="Stock","0",Key!$A$3*H1664*G1664))</f>
        <v/>
      </c>
      <c r="J1664" s="78">
        <f>IF(ISBLANK(E1664),"",IF(ISNUMBER(SEARCH("/",E1664)), IF(LEN(E1664)-LEN(SUBSTITUTE(E1664,"/",""))=1,(RIGHT(E1664,LEN(E1664)-FIND("/",E1664)))-(LEFT(E1664,FIND("/",E1664)-1)),(MID(E1664, SEARCH("/",E1664) + 1, SEARCH("/",E1664, SEARCH("/",E1664)+1) - SEARCH("/",E1664) - 1))-(LEFT(E1664,FIND("/",E1664)-1))), "NA"))</f>
        <v/>
      </c>
      <c r="K1664" s="79">
        <f>IF(A1664&lt;&gt;"", IF(ISBLANK(L1664), TODAY(), K1664), "")</f>
        <v/>
      </c>
      <c r="L1664" s="78" t="n"/>
      <c r="M1664" s="78">
        <f>IF(ISBLANK(L1664),"",IF(D1664="Stock",IF(C1664="Buy",L1664*G1664,IF(C1664="Sell",(L1664*G1664)-I1664, X)),IF(C1664="Buy",(L1664*G1664*100)+I1664,IF(C1664="Sell",(L1664*G1664*100)-I1664, X))))</f>
        <v/>
      </c>
      <c r="N1664" s="78">
        <f>IF(ISBLANK(L1664),"",IF(AND(C1664="Sell",D1664="Stock"),M1664,IF(ISBLANK(L1664),"",IF(C1664="Buy",M1664, IF(AND(C1664="Sell",J1664="NA"),(E1664*G1664*100*0.1)+I1664, IF(C1664="Sell",(J1664-L1664)*(100*G1664)+I1664))))))</f>
        <v/>
      </c>
      <c r="O1664" s="75" t="n"/>
      <c r="P1664" s="75" t="n"/>
      <c r="Q1664" s="75">
        <f>IF(ISBLANK(P1664),"",IF(D1664="Stock",P1664*G1664,IF(P1664=0,"0",G1664*P1664*100-(G1664*$AF$14))))</f>
        <v/>
      </c>
      <c r="R1664" s="79">
        <f>IF(P1664&lt;&gt;"", TODAY(), "")</f>
        <v/>
      </c>
      <c r="S1664" s="78">
        <f>IF(AND(K1664&lt;&gt;"", R1664&lt;&gt;""), R1664-K1664, "")</f>
        <v/>
      </c>
      <c r="T1664" s="78" t="n"/>
      <c r="U1664" s="92">
        <f>IF(ISBLANK(P1664),"",IF(C1664="Buy",Q1664-M1664+T1664, IF(C1664="Sell",M1664-Q1664-T1664, X)))</f>
        <v/>
      </c>
      <c r="V1664" s="81">
        <f>IF(ISBLANK(P1664),"",U1664/N1664)</f>
        <v/>
      </c>
      <c r="W1664" s="81">
        <f>IF(ISBLANK(P1664),"",IF(S1664=0,(365/0.5)*V1664,(365/S1664)*V1664))</f>
        <v/>
      </c>
      <c r="X1664" s="75" t="n"/>
      <c r="Y1664" s="77" t="n"/>
      <c r="Z1664" s="77" t="n"/>
      <c r="AA1664" s="75" t="n"/>
      <c r="AB1664" s="75" t="n"/>
      <c r="AC1664" s="6" t="n"/>
      <c r="AD1664" s="75" t="n"/>
      <c r="AE1664" s="75" t="n"/>
      <c r="AF1664" s="75" t="n"/>
    </row>
    <row r="1665" ht="15.75" customHeight="1" s="133">
      <c r="A1665" s="75" t="n"/>
      <c r="B1665" s="75" t="n"/>
      <c r="C1665" s="75" t="n"/>
      <c r="D1665" s="75" t="n"/>
      <c r="E1665" s="76" t="n"/>
      <c r="F1665" s="77" t="n"/>
      <c r="G1665" s="75" t="n"/>
      <c r="H1665" s="75">
        <f>IF(ISBLANK(E1665),"",IF(OR(D1665="Butterfly",D1665="Butterfly ",D1665="Iron Fly", D1665="Iron Fly "),LEN(E1665)-LEN(SUBSTITUTE(E1665,"/",""))+2,LEN(E1665)-LEN(SUBSTITUTE(E1665,"/",""))+1))</f>
        <v/>
      </c>
      <c r="I1665" s="78">
        <f>IF(ISBLANK(G1665),"",IF(D1665="Stock","0",Key!$A$3*H1665*G1665))</f>
        <v/>
      </c>
      <c r="J1665" s="78">
        <f>IF(ISBLANK(E1665),"",IF(ISNUMBER(SEARCH("/",E1665)), IF(LEN(E1665)-LEN(SUBSTITUTE(E1665,"/",""))=1,(RIGHT(E1665,LEN(E1665)-FIND("/",E1665)))-(LEFT(E1665,FIND("/",E1665)-1)),(MID(E1665, SEARCH("/",E1665) + 1, SEARCH("/",E1665, SEARCH("/",E1665)+1) - SEARCH("/",E1665) - 1))-(LEFT(E1665,FIND("/",E1665)-1))), "NA"))</f>
        <v/>
      </c>
      <c r="K1665" s="79">
        <f>IF(A1665&lt;&gt;"", IF(ISBLANK(L1665), TODAY(), K1665), "")</f>
        <v/>
      </c>
      <c r="L1665" s="78" t="n"/>
      <c r="M1665" s="78">
        <f>IF(ISBLANK(L1665),"",IF(D1665="Stock",IF(C1665="Buy",L1665*G1665,IF(C1665="Sell",(L1665*G1665)-I1665, X)),IF(C1665="Buy",(L1665*G1665*100)+I1665,IF(C1665="Sell",(L1665*G1665*100)-I1665, X))))</f>
        <v/>
      </c>
      <c r="N1665" s="78">
        <f>IF(ISBLANK(L1665),"",IF(AND(C1665="Sell",D1665="Stock"),M1665,IF(ISBLANK(L1665),"",IF(C1665="Buy",M1665, IF(AND(C1665="Sell",J1665="NA"),(E1665*G1665*100*0.1)+I1665, IF(C1665="Sell",(J1665-L1665)*(100*G1665)+I1665))))))</f>
        <v/>
      </c>
      <c r="O1665" s="75" t="n"/>
      <c r="P1665" s="75" t="n"/>
      <c r="Q1665" s="75">
        <f>IF(ISBLANK(P1665),"",IF(D1665="Stock",P1665*G1665,IF(P1665=0,"0",G1665*P1665*100-(G1665*$AF$14))))</f>
        <v/>
      </c>
      <c r="R1665" s="79">
        <f>IF(P1665&lt;&gt;"", TODAY(), "")</f>
        <v/>
      </c>
      <c r="S1665" s="78">
        <f>IF(AND(K1665&lt;&gt;"", R1665&lt;&gt;""), R1665-K1665, "")</f>
        <v/>
      </c>
      <c r="T1665" s="78" t="n"/>
      <c r="U1665" s="92">
        <f>IF(ISBLANK(P1665),"",IF(C1665="Buy",Q1665-M1665+T1665, IF(C1665="Sell",M1665-Q1665-T1665, X)))</f>
        <v/>
      </c>
      <c r="V1665" s="81">
        <f>IF(ISBLANK(P1665),"",U1665/N1665)</f>
        <v/>
      </c>
      <c r="W1665" s="81">
        <f>IF(ISBLANK(P1665),"",IF(S1665=0,(365/0.5)*V1665,(365/S1665)*V1665))</f>
        <v/>
      </c>
      <c r="X1665" s="75" t="n"/>
      <c r="Y1665" s="77" t="n"/>
      <c r="Z1665" s="77" t="n"/>
      <c r="AA1665" s="75" t="n"/>
      <c r="AB1665" s="75" t="n"/>
      <c r="AC1665" s="6" t="n"/>
      <c r="AD1665" s="75" t="n"/>
      <c r="AE1665" s="75" t="n"/>
      <c r="AF1665" s="75" t="n"/>
    </row>
    <row r="1666" ht="15.75" customHeight="1" s="133">
      <c r="A1666" s="75" t="n"/>
      <c r="B1666" s="75" t="n"/>
      <c r="C1666" s="75" t="n"/>
      <c r="D1666" s="75" t="n"/>
      <c r="E1666" s="76" t="n"/>
      <c r="F1666" s="77" t="n"/>
      <c r="G1666" s="75" t="n"/>
      <c r="H1666" s="75">
        <f>IF(ISBLANK(E1666),"",IF(OR(D1666="Butterfly",D1666="Butterfly ",D1666="Iron Fly", D1666="Iron Fly "),LEN(E1666)-LEN(SUBSTITUTE(E1666,"/",""))+2,LEN(E1666)-LEN(SUBSTITUTE(E1666,"/",""))+1))</f>
        <v/>
      </c>
      <c r="I1666" s="78">
        <f>IF(ISBLANK(G1666),"",IF(D1666="Stock","0",Key!$A$3*H1666*G1666))</f>
        <v/>
      </c>
      <c r="J1666" s="78">
        <f>IF(ISBLANK(E1666),"",IF(ISNUMBER(SEARCH("/",E1666)), IF(LEN(E1666)-LEN(SUBSTITUTE(E1666,"/",""))=1,(RIGHT(E1666,LEN(E1666)-FIND("/",E1666)))-(LEFT(E1666,FIND("/",E1666)-1)),(MID(E1666, SEARCH("/",E1666) + 1, SEARCH("/",E1666, SEARCH("/",E1666)+1) - SEARCH("/",E1666) - 1))-(LEFT(E1666,FIND("/",E1666)-1))), "NA"))</f>
        <v/>
      </c>
      <c r="K1666" s="79">
        <f>IF(A1666&lt;&gt;"", IF(ISBLANK(L1666), TODAY(), K1666), "")</f>
        <v/>
      </c>
      <c r="L1666" s="78" t="n"/>
      <c r="M1666" s="78">
        <f>IF(ISBLANK(L1666),"",IF(D1666="Stock",IF(C1666="Buy",L1666*G1666,IF(C1666="Sell",(L1666*G1666)-I1666, X)),IF(C1666="Buy",(L1666*G1666*100)+I1666,IF(C1666="Sell",(L1666*G1666*100)-I1666, X))))</f>
        <v/>
      </c>
      <c r="N1666" s="78">
        <f>IF(ISBLANK(L1666),"",IF(AND(C1666="Sell",D1666="Stock"),M1666,IF(ISBLANK(L1666),"",IF(C1666="Buy",M1666, IF(AND(C1666="Sell",J1666="NA"),(E1666*G1666*100*0.1)+I1666, IF(C1666="Sell",(J1666-L1666)*(100*G1666)+I1666))))))</f>
        <v/>
      </c>
      <c r="O1666" s="75" t="n"/>
      <c r="P1666" s="75" t="n"/>
      <c r="Q1666" s="75">
        <f>IF(ISBLANK(P1666),"",IF(D1666="Stock",P1666*G1666,IF(P1666=0,"0",G1666*P1666*100-(G1666*$AF$14))))</f>
        <v/>
      </c>
      <c r="R1666" s="79">
        <f>IF(P1666&lt;&gt;"", TODAY(), "")</f>
        <v/>
      </c>
      <c r="S1666" s="78">
        <f>IF(AND(K1666&lt;&gt;"", R1666&lt;&gt;""), R1666-K1666, "")</f>
        <v/>
      </c>
      <c r="T1666" s="78" t="n"/>
      <c r="U1666" s="92">
        <f>IF(ISBLANK(P1666),"",IF(C1666="Buy",Q1666-M1666+T1666, IF(C1666="Sell",M1666-Q1666-T1666, X)))</f>
        <v/>
      </c>
      <c r="V1666" s="81">
        <f>IF(ISBLANK(P1666),"",U1666/N1666)</f>
        <v/>
      </c>
      <c r="W1666" s="81">
        <f>IF(ISBLANK(P1666),"",IF(S1666=0,(365/0.5)*V1666,(365/S1666)*V1666))</f>
        <v/>
      </c>
      <c r="X1666" s="75" t="n"/>
      <c r="Y1666" s="77" t="n"/>
      <c r="Z1666" s="77" t="n"/>
      <c r="AA1666" s="75" t="n"/>
      <c r="AB1666" s="75" t="n"/>
      <c r="AC1666" s="6" t="n"/>
      <c r="AD1666" s="75" t="n"/>
      <c r="AE1666" s="75" t="n"/>
      <c r="AF1666" s="75" t="n"/>
    </row>
    <row r="1667" ht="15.75" customHeight="1" s="133">
      <c r="A1667" s="75" t="n"/>
      <c r="B1667" s="75" t="n"/>
      <c r="C1667" s="75" t="n"/>
      <c r="D1667" s="75" t="n"/>
      <c r="E1667" s="76" t="n"/>
      <c r="F1667" s="77" t="n"/>
      <c r="G1667" s="75" t="n"/>
      <c r="H1667" s="75">
        <f>IF(ISBLANK(E1667),"",IF(OR(D1667="Butterfly",D1667="Butterfly ",D1667="Iron Fly", D1667="Iron Fly "),LEN(E1667)-LEN(SUBSTITUTE(E1667,"/",""))+2,LEN(E1667)-LEN(SUBSTITUTE(E1667,"/",""))+1))</f>
        <v/>
      </c>
      <c r="I1667" s="78">
        <f>IF(ISBLANK(G1667),"",IF(D1667="Stock","0",Key!$A$3*H1667*G1667))</f>
        <v/>
      </c>
      <c r="J1667" s="78">
        <f>IF(ISBLANK(E1667),"",IF(ISNUMBER(SEARCH("/",E1667)), IF(LEN(E1667)-LEN(SUBSTITUTE(E1667,"/",""))=1,(RIGHT(E1667,LEN(E1667)-FIND("/",E1667)))-(LEFT(E1667,FIND("/",E1667)-1)),(MID(E1667, SEARCH("/",E1667) + 1, SEARCH("/",E1667, SEARCH("/",E1667)+1) - SEARCH("/",E1667) - 1))-(LEFT(E1667,FIND("/",E1667)-1))), "NA"))</f>
        <v/>
      </c>
      <c r="K1667" s="79">
        <f>IF(A1667&lt;&gt;"", IF(ISBLANK(L1667), TODAY(), K1667), "")</f>
        <v/>
      </c>
      <c r="L1667" s="78" t="n"/>
      <c r="M1667" s="78">
        <f>IF(ISBLANK(L1667),"",IF(D1667="Stock",IF(C1667="Buy",L1667*G1667,IF(C1667="Sell",(L1667*G1667)-I1667, X)),IF(C1667="Buy",(L1667*G1667*100)+I1667,IF(C1667="Sell",(L1667*G1667*100)-I1667, X))))</f>
        <v/>
      </c>
      <c r="N1667" s="78">
        <f>IF(ISBLANK(L1667),"",IF(AND(C1667="Sell",D1667="Stock"),M1667,IF(ISBLANK(L1667),"",IF(C1667="Buy",M1667, IF(AND(C1667="Sell",J1667="NA"),(E1667*G1667*100*0.1)+I1667, IF(C1667="Sell",(J1667-L1667)*(100*G1667)+I1667))))))</f>
        <v/>
      </c>
      <c r="O1667" s="75" t="n"/>
      <c r="P1667" s="75" t="n"/>
      <c r="Q1667" s="75">
        <f>IF(ISBLANK(P1667),"",IF(D1667="Stock",P1667*G1667,IF(P1667=0,"0",G1667*P1667*100-(G1667*$AF$14))))</f>
        <v/>
      </c>
      <c r="R1667" s="79">
        <f>IF(P1667&lt;&gt;"", TODAY(), "")</f>
        <v/>
      </c>
      <c r="S1667" s="78">
        <f>IF(AND(K1667&lt;&gt;"", R1667&lt;&gt;""), R1667-K1667, "")</f>
        <v/>
      </c>
      <c r="T1667" s="78" t="n"/>
      <c r="U1667" s="92">
        <f>IF(ISBLANK(P1667),"",IF(C1667="Buy",Q1667-M1667+T1667, IF(C1667="Sell",M1667-Q1667-T1667, X)))</f>
        <v/>
      </c>
      <c r="V1667" s="81">
        <f>IF(ISBLANK(P1667),"",U1667/N1667)</f>
        <v/>
      </c>
      <c r="W1667" s="81">
        <f>IF(ISBLANK(P1667),"",IF(S1667=0,(365/0.5)*V1667,(365/S1667)*V1667))</f>
        <v/>
      </c>
      <c r="X1667" s="75" t="n"/>
      <c r="Y1667" s="77" t="n"/>
      <c r="Z1667" s="77" t="n"/>
      <c r="AA1667" s="75" t="n"/>
      <c r="AB1667" s="75" t="n"/>
      <c r="AC1667" s="6" t="n"/>
      <c r="AD1667" s="75" t="n"/>
      <c r="AE1667" s="75" t="n"/>
      <c r="AF1667" s="75" t="n"/>
    </row>
    <row r="1668" ht="15.75" customHeight="1" s="133">
      <c r="A1668" s="75" t="n"/>
      <c r="B1668" s="75" t="n"/>
      <c r="C1668" s="75" t="n"/>
      <c r="D1668" s="75" t="n"/>
      <c r="E1668" s="76" t="n"/>
      <c r="F1668" s="77" t="n"/>
      <c r="G1668" s="75" t="n"/>
      <c r="H1668" s="75">
        <f>IF(ISBLANK(E1668),"",IF(OR(D1668="Butterfly",D1668="Butterfly ",D1668="Iron Fly", D1668="Iron Fly "),LEN(E1668)-LEN(SUBSTITUTE(E1668,"/",""))+2,LEN(E1668)-LEN(SUBSTITUTE(E1668,"/",""))+1))</f>
        <v/>
      </c>
      <c r="I1668" s="78">
        <f>IF(ISBLANK(G1668),"",IF(D1668="Stock","0",Key!$A$3*H1668*G1668))</f>
        <v/>
      </c>
      <c r="J1668" s="78">
        <f>IF(ISBLANK(E1668),"",IF(ISNUMBER(SEARCH("/",E1668)), IF(LEN(E1668)-LEN(SUBSTITUTE(E1668,"/",""))=1,(RIGHT(E1668,LEN(E1668)-FIND("/",E1668)))-(LEFT(E1668,FIND("/",E1668)-1)),(MID(E1668, SEARCH("/",E1668) + 1, SEARCH("/",E1668, SEARCH("/",E1668)+1) - SEARCH("/",E1668) - 1))-(LEFT(E1668,FIND("/",E1668)-1))), "NA"))</f>
        <v/>
      </c>
      <c r="K1668" s="79">
        <f>IF(A1668&lt;&gt;"", IF(ISBLANK(L1668), TODAY(), K1668), "")</f>
        <v/>
      </c>
      <c r="L1668" s="78" t="n"/>
      <c r="M1668" s="78">
        <f>IF(ISBLANK(L1668),"",IF(D1668="Stock",IF(C1668="Buy",L1668*G1668,IF(C1668="Sell",(L1668*G1668)-I1668, X)),IF(C1668="Buy",(L1668*G1668*100)+I1668,IF(C1668="Sell",(L1668*G1668*100)-I1668, X))))</f>
        <v/>
      </c>
      <c r="N1668" s="78">
        <f>IF(ISBLANK(L1668),"",IF(AND(C1668="Sell",D1668="Stock"),M1668,IF(ISBLANK(L1668),"",IF(C1668="Buy",M1668, IF(AND(C1668="Sell",J1668="NA"),(E1668*G1668*100*0.1)+I1668, IF(C1668="Sell",(J1668-L1668)*(100*G1668)+I1668))))))</f>
        <v/>
      </c>
      <c r="O1668" s="75" t="n"/>
      <c r="P1668" s="75" t="n"/>
      <c r="Q1668" s="75">
        <f>IF(ISBLANK(P1668),"",IF(D1668="Stock",P1668*G1668,IF(P1668=0,"0",G1668*P1668*100-(G1668*$AF$14))))</f>
        <v/>
      </c>
      <c r="R1668" s="79">
        <f>IF(P1668&lt;&gt;"", TODAY(), "")</f>
        <v/>
      </c>
      <c r="S1668" s="78">
        <f>IF(AND(K1668&lt;&gt;"", R1668&lt;&gt;""), R1668-K1668, "")</f>
        <v/>
      </c>
      <c r="T1668" s="78" t="n"/>
      <c r="U1668" s="92">
        <f>IF(ISBLANK(P1668),"",IF(C1668="Buy",Q1668-M1668+T1668, IF(C1668="Sell",M1668-Q1668-T1668, X)))</f>
        <v/>
      </c>
      <c r="V1668" s="81">
        <f>IF(ISBLANK(P1668),"",U1668/N1668)</f>
        <v/>
      </c>
      <c r="W1668" s="81">
        <f>IF(ISBLANK(P1668),"",IF(S1668=0,(365/0.5)*V1668,(365/S1668)*V1668))</f>
        <v/>
      </c>
      <c r="X1668" s="75" t="n"/>
      <c r="Y1668" s="77" t="n"/>
      <c r="Z1668" s="77" t="n"/>
      <c r="AA1668" s="75" t="n"/>
      <c r="AB1668" s="75" t="n"/>
      <c r="AC1668" s="6" t="n"/>
      <c r="AD1668" s="75" t="n"/>
      <c r="AE1668" s="75" t="n"/>
      <c r="AF1668" s="75" t="n"/>
    </row>
    <row r="1669" ht="15.75" customHeight="1" s="133">
      <c r="A1669" s="75" t="n"/>
      <c r="B1669" s="75" t="n"/>
      <c r="C1669" s="75" t="n"/>
      <c r="D1669" s="75" t="n"/>
      <c r="E1669" s="76" t="n"/>
      <c r="F1669" s="77" t="n"/>
      <c r="G1669" s="75" t="n"/>
      <c r="H1669" s="75">
        <f>IF(ISBLANK(E1669),"",IF(OR(D1669="Butterfly",D1669="Butterfly ",D1669="Iron Fly", D1669="Iron Fly "),LEN(E1669)-LEN(SUBSTITUTE(E1669,"/",""))+2,LEN(E1669)-LEN(SUBSTITUTE(E1669,"/",""))+1))</f>
        <v/>
      </c>
      <c r="I1669" s="78">
        <f>IF(ISBLANK(G1669),"",IF(D1669="Stock","0",Key!$A$3*H1669*G1669))</f>
        <v/>
      </c>
      <c r="J1669" s="78">
        <f>IF(ISBLANK(E1669),"",IF(ISNUMBER(SEARCH("/",E1669)), IF(LEN(E1669)-LEN(SUBSTITUTE(E1669,"/",""))=1,(RIGHT(E1669,LEN(E1669)-FIND("/",E1669)))-(LEFT(E1669,FIND("/",E1669)-1)),(MID(E1669, SEARCH("/",E1669) + 1, SEARCH("/",E1669, SEARCH("/",E1669)+1) - SEARCH("/",E1669) - 1))-(LEFT(E1669,FIND("/",E1669)-1))), "NA"))</f>
        <v/>
      </c>
      <c r="K1669" s="79">
        <f>IF(A1669&lt;&gt;"", IF(ISBLANK(L1669), TODAY(), K1669), "")</f>
        <v/>
      </c>
      <c r="L1669" s="78" t="n"/>
      <c r="M1669" s="78">
        <f>IF(ISBLANK(L1669),"",IF(D1669="Stock",IF(C1669="Buy",L1669*G1669,IF(C1669="Sell",(L1669*G1669)-I1669, X)),IF(C1669="Buy",(L1669*G1669*100)+I1669,IF(C1669="Sell",(L1669*G1669*100)-I1669, X))))</f>
        <v/>
      </c>
      <c r="N1669" s="78">
        <f>IF(ISBLANK(L1669),"",IF(AND(C1669="Sell",D1669="Stock"),M1669,IF(ISBLANK(L1669),"",IF(C1669="Buy",M1669, IF(AND(C1669="Sell",J1669="NA"),(E1669*G1669*100*0.1)+I1669, IF(C1669="Sell",(J1669-L1669)*(100*G1669)+I1669))))))</f>
        <v/>
      </c>
      <c r="O1669" s="75" t="n"/>
      <c r="P1669" s="75" t="n"/>
      <c r="Q1669" s="75">
        <f>IF(ISBLANK(P1669),"",IF(D1669="Stock",P1669*G1669,IF(P1669=0,"0",G1669*P1669*100-(G1669*$AF$14))))</f>
        <v/>
      </c>
      <c r="R1669" s="79">
        <f>IF(P1669&lt;&gt;"", TODAY(), "")</f>
        <v/>
      </c>
      <c r="S1669" s="78">
        <f>IF(AND(K1669&lt;&gt;"", R1669&lt;&gt;""), R1669-K1669, "")</f>
        <v/>
      </c>
      <c r="T1669" s="78" t="n"/>
      <c r="U1669" s="92">
        <f>IF(ISBLANK(P1669),"",IF(C1669="Buy",Q1669-M1669+T1669, IF(C1669="Sell",M1669-Q1669-T1669, X)))</f>
        <v/>
      </c>
      <c r="V1669" s="81">
        <f>IF(ISBLANK(P1669),"",U1669/N1669)</f>
        <v/>
      </c>
      <c r="W1669" s="81">
        <f>IF(ISBLANK(P1669),"",IF(S1669=0,(365/0.5)*V1669,(365/S1669)*V1669))</f>
        <v/>
      </c>
      <c r="X1669" s="75" t="n"/>
      <c r="Y1669" s="77" t="n"/>
      <c r="Z1669" s="77" t="n"/>
      <c r="AA1669" s="75" t="n"/>
      <c r="AB1669" s="75" t="n"/>
      <c r="AC1669" s="6" t="n"/>
      <c r="AD1669" s="75" t="n"/>
      <c r="AE1669" s="75" t="n"/>
      <c r="AF1669" s="75" t="n"/>
    </row>
    <row r="1670" ht="15.75" customHeight="1" s="133">
      <c r="A1670" s="75" t="n"/>
      <c r="B1670" s="75" t="n"/>
      <c r="C1670" s="75" t="n"/>
      <c r="D1670" s="75" t="n"/>
      <c r="E1670" s="76" t="n"/>
      <c r="F1670" s="77" t="n"/>
      <c r="G1670" s="75" t="n"/>
      <c r="H1670" s="75">
        <f>IF(ISBLANK(E1670),"",IF(OR(D1670="Butterfly",D1670="Butterfly ",D1670="Iron Fly", D1670="Iron Fly "),LEN(E1670)-LEN(SUBSTITUTE(E1670,"/",""))+2,LEN(E1670)-LEN(SUBSTITUTE(E1670,"/",""))+1))</f>
        <v/>
      </c>
      <c r="I1670" s="78">
        <f>IF(ISBLANK(G1670),"",IF(D1670="Stock","0",Key!$A$3*H1670*G1670))</f>
        <v/>
      </c>
      <c r="J1670" s="78">
        <f>IF(ISBLANK(E1670),"",IF(ISNUMBER(SEARCH("/",E1670)), IF(LEN(E1670)-LEN(SUBSTITUTE(E1670,"/",""))=1,(RIGHT(E1670,LEN(E1670)-FIND("/",E1670)))-(LEFT(E1670,FIND("/",E1670)-1)),(MID(E1670, SEARCH("/",E1670) + 1, SEARCH("/",E1670, SEARCH("/",E1670)+1) - SEARCH("/",E1670) - 1))-(LEFT(E1670,FIND("/",E1670)-1))), "NA"))</f>
        <v/>
      </c>
      <c r="K1670" s="79">
        <f>IF(A1670&lt;&gt;"", IF(ISBLANK(L1670), TODAY(), K1670), "")</f>
        <v/>
      </c>
      <c r="L1670" s="78" t="n"/>
      <c r="M1670" s="78">
        <f>IF(ISBLANK(L1670),"",IF(D1670="Stock",IF(C1670="Buy",L1670*G1670,IF(C1670="Sell",(L1670*G1670)-I1670, X)),IF(C1670="Buy",(L1670*G1670*100)+I1670,IF(C1670="Sell",(L1670*G1670*100)-I1670, X))))</f>
        <v/>
      </c>
      <c r="N1670" s="78">
        <f>IF(ISBLANK(L1670),"",IF(AND(C1670="Sell",D1670="Stock"),M1670,IF(ISBLANK(L1670),"",IF(C1670="Buy",M1670, IF(AND(C1670="Sell",J1670="NA"),(E1670*G1670*100*0.1)+I1670, IF(C1670="Sell",(J1670-L1670)*(100*G1670)+I1670))))))</f>
        <v/>
      </c>
      <c r="O1670" s="75" t="n"/>
      <c r="P1670" s="75" t="n"/>
      <c r="Q1670" s="75">
        <f>IF(ISBLANK(P1670),"",IF(D1670="Stock",P1670*G1670,IF(P1670=0,"0",G1670*P1670*100-(G1670*$AF$14))))</f>
        <v/>
      </c>
      <c r="R1670" s="79">
        <f>IF(P1670&lt;&gt;"", TODAY(), "")</f>
        <v/>
      </c>
      <c r="S1670" s="78">
        <f>IF(AND(K1670&lt;&gt;"", R1670&lt;&gt;""), R1670-K1670, "")</f>
        <v/>
      </c>
      <c r="T1670" s="78" t="n"/>
      <c r="U1670" s="92">
        <f>IF(ISBLANK(P1670),"",IF(C1670="Buy",Q1670-M1670+T1670, IF(C1670="Sell",M1670-Q1670-T1670, X)))</f>
        <v/>
      </c>
      <c r="V1670" s="81">
        <f>IF(ISBLANK(P1670),"",U1670/N1670)</f>
        <v/>
      </c>
      <c r="W1670" s="81">
        <f>IF(ISBLANK(P1670),"",IF(S1670=0,(365/0.5)*V1670,(365/S1670)*V1670))</f>
        <v/>
      </c>
      <c r="X1670" s="75" t="n"/>
      <c r="Y1670" s="77" t="n"/>
      <c r="Z1670" s="77" t="n"/>
      <c r="AA1670" s="75" t="n"/>
      <c r="AB1670" s="75" t="n"/>
      <c r="AC1670" s="6" t="n"/>
      <c r="AD1670" s="75" t="n"/>
      <c r="AE1670" s="75" t="n"/>
      <c r="AF1670" s="75" t="n"/>
    </row>
    <row r="1671" ht="15.75" customHeight="1" s="133">
      <c r="A1671" s="75" t="n"/>
      <c r="B1671" s="75" t="n"/>
      <c r="C1671" s="75" t="n"/>
      <c r="D1671" s="75" t="n"/>
      <c r="E1671" s="76" t="n"/>
      <c r="F1671" s="77" t="n"/>
      <c r="G1671" s="75" t="n"/>
      <c r="H1671" s="75">
        <f>IF(ISBLANK(E1671),"",IF(OR(D1671="Butterfly",D1671="Butterfly ",D1671="Iron Fly", D1671="Iron Fly "),LEN(E1671)-LEN(SUBSTITUTE(E1671,"/",""))+2,LEN(E1671)-LEN(SUBSTITUTE(E1671,"/",""))+1))</f>
        <v/>
      </c>
      <c r="I1671" s="78">
        <f>IF(ISBLANK(G1671),"",IF(D1671="Stock","0",Key!$A$3*H1671*G1671))</f>
        <v/>
      </c>
      <c r="J1671" s="78">
        <f>IF(ISBLANK(E1671),"",IF(ISNUMBER(SEARCH("/",E1671)), IF(LEN(E1671)-LEN(SUBSTITUTE(E1671,"/",""))=1,(RIGHT(E1671,LEN(E1671)-FIND("/",E1671)))-(LEFT(E1671,FIND("/",E1671)-1)),(MID(E1671, SEARCH("/",E1671) + 1, SEARCH("/",E1671, SEARCH("/",E1671)+1) - SEARCH("/",E1671) - 1))-(LEFT(E1671,FIND("/",E1671)-1))), "NA"))</f>
        <v/>
      </c>
      <c r="K1671" s="79">
        <f>IF(A1671&lt;&gt;"", IF(ISBLANK(L1671), TODAY(), K1671), "")</f>
        <v/>
      </c>
      <c r="L1671" s="78" t="n"/>
      <c r="M1671" s="78">
        <f>IF(ISBLANK(L1671),"",IF(D1671="Stock",IF(C1671="Buy",L1671*G1671,IF(C1671="Sell",(L1671*G1671)-I1671, X)),IF(C1671="Buy",(L1671*G1671*100)+I1671,IF(C1671="Sell",(L1671*G1671*100)-I1671, X))))</f>
        <v/>
      </c>
      <c r="N1671" s="78">
        <f>IF(ISBLANK(L1671),"",IF(AND(C1671="Sell",D1671="Stock"),M1671,IF(ISBLANK(L1671),"",IF(C1671="Buy",M1671, IF(AND(C1671="Sell",J1671="NA"),(E1671*G1671*100*0.1)+I1671, IF(C1671="Sell",(J1671-L1671)*(100*G1671)+I1671))))))</f>
        <v/>
      </c>
      <c r="O1671" s="75" t="n"/>
      <c r="P1671" s="75" t="n"/>
      <c r="Q1671" s="75">
        <f>IF(ISBLANK(P1671),"",IF(D1671="Stock",P1671*G1671,IF(P1671=0,"0",G1671*P1671*100-(G1671*$AF$14))))</f>
        <v/>
      </c>
      <c r="R1671" s="79">
        <f>IF(P1671&lt;&gt;"", TODAY(), "")</f>
        <v/>
      </c>
      <c r="S1671" s="78">
        <f>IF(AND(K1671&lt;&gt;"", R1671&lt;&gt;""), R1671-K1671, "")</f>
        <v/>
      </c>
      <c r="T1671" s="78" t="n"/>
      <c r="U1671" s="92">
        <f>IF(ISBLANK(P1671),"",IF(C1671="Buy",Q1671-M1671+T1671, IF(C1671="Sell",M1671-Q1671-T1671, X)))</f>
        <v/>
      </c>
      <c r="V1671" s="81">
        <f>IF(ISBLANK(P1671),"",U1671/N1671)</f>
        <v/>
      </c>
      <c r="W1671" s="81">
        <f>IF(ISBLANK(P1671),"",IF(S1671=0,(365/0.5)*V1671,(365/S1671)*V1671))</f>
        <v/>
      </c>
      <c r="X1671" s="75" t="n"/>
      <c r="Y1671" s="77" t="n"/>
      <c r="Z1671" s="77" t="n"/>
      <c r="AA1671" s="75" t="n"/>
      <c r="AB1671" s="75" t="n"/>
      <c r="AC1671" s="6" t="n"/>
      <c r="AD1671" s="75" t="n"/>
      <c r="AE1671" s="75" t="n"/>
      <c r="AF1671" s="75" t="n"/>
    </row>
    <row r="1672" ht="15.75" customHeight="1" s="133">
      <c r="A1672" s="75" t="n"/>
      <c r="B1672" s="75" t="n"/>
      <c r="C1672" s="75" t="n"/>
      <c r="D1672" s="75" t="n"/>
      <c r="E1672" s="76" t="n"/>
      <c r="F1672" s="77" t="n"/>
      <c r="G1672" s="75" t="n"/>
      <c r="H1672" s="75">
        <f>IF(ISBLANK(E1672),"",IF(OR(D1672="Butterfly",D1672="Butterfly ",D1672="Iron Fly", D1672="Iron Fly "),LEN(E1672)-LEN(SUBSTITUTE(E1672,"/",""))+2,LEN(E1672)-LEN(SUBSTITUTE(E1672,"/",""))+1))</f>
        <v/>
      </c>
      <c r="I1672" s="78">
        <f>IF(ISBLANK(G1672),"",IF(D1672="Stock","0",Key!$A$3*H1672*G1672))</f>
        <v/>
      </c>
      <c r="J1672" s="78">
        <f>IF(ISBLANK(E1672),"",IF(ISNUMBER(SEARCH("/",E1672)), IF(LEN(E1672)-LEN(SUBSTITUTE(E1672,"/",""))=1,(RIGHT(E1672,LEN(E1672)-FIND("/",E1672)))-(LEFT(E1672,FIND("/",E1672)-1)),(MID(E1672, SEARCH("/",E1672) + 1, SEARCH("/",E1672, SEARCH("/",E1672)+1) - SEARCH("/",E1672) - 1))-(LEFT(E1672,FIND("/",E1672)-1))), "NA"))</f>
        <v/>
      </c>
      <c r="K1672" s="79">
        <f>IF(A1672&lt;&gt;"", IF(ISBLANK(L1672), TODAY(), K1672), "")</f>
        <v/>
      </c>
      <c r="L1672" s="78" t="n"/>
      <c r="M1672" s="78">
        <f>IF(ISBLANK(L1672),"",IF(D1672="Stock",IF(C1672="Buy",L1672*G1672,IF(C1672="Sell",(L1672*G1672)-I1672, X)),IF(C1672="Buy",(L1672*G1672*100)+I1672,IF(C1672="Sell",(L1672*G1672*100)-I1672, X))))</f>
        <v/>
      </c>
      <c r="N1672" s="78">
        <f>IF(ISBLANK(L1672),"",IF(AND(C1672="Sell",D1672="Stock"),M1672,IF(ISBLANK(L1672),"",IF(C1672="Buy",M1672, IF(AND(C1672="Sell",J1672="NA"),(E1672*G1672*100*0.1)+I1672, IF(C1672="Sell",(J1672-L1672)*(100*G1672)+I1672))))))</f>
        <v/>
      </c>
      <c r="O1672" s="75" t="n"/>
      <c r="P1672" s="75" t="n"/>
      <c r="Q1672" s="75">
        <f>IF(ISBLANK(P1672),"",IF(D1672="Stock",P1672*G1672,IF(P1672=0,"0",G1672*P1672*100-(G1672*$AF$14))))</f>
        <v/>
      </c>
      <c r="R1672" s="79">
        <f>IF(P1672&lt;&gt;"", TODAY(), "")</f>
        <v/>
      </c>
      <c r="S1672" s="78">
        <f>IF(AND(K1672&lt;&gt;"", R1672&lt;&gt;""), R1672-K1672, "")</f>
        <v/>
      </c>
      <c r="T1672" s="78" t="n"/>
      <c r="U1672" s="92">
        <f>IF(ISBLANK(P1672),"",IF(C1672="Buy",Q1672-M1672+T1672, IF(C1672="Sell",M1672-Q1672-T1672, X)))</f>
        <v/>
      </c>
      <c r="V1672" s="81">
        <f>IF(ISBLANK(P1672),"",U1672/N1672)</f>
        <v/>
      </c>
      <c r="W1672" s="81">
        <f>IF(ISBLANK(P1672),"",IF(S1672=0,(365/0.5)*V1672,(365/S1672)*V1672))</f>
        <v/>
      </c>
      <c r="X1672" s="75" t="n"/>
      <c r="Y1672" s="77" t="n"/>
      <c r="Z1672" s="77" t="n"/>
      <c r="AA1672" s="75" t="n"/>
      <c r="AB1672" s="75" t="n"/>
      <c r="AC1672" s="6" t="n"/>
      <c r="AD1672" s="75" t="n"/>
      <c r="AE1672" s="75" t="n"/>
      <c r="AF1672" s="75" t="n"/>
    </row>
    <row r="1673" ht="15.75" customHeight="1" s="133">
      <c r="A1673" s="75" t="n"/>
      <c r="B1673" s="75" t="n"/>
      <c r="C1673" s="75" t="n"/>
      <c r="D1673" s="75" t="n"/>
      <c r="E1673" s="76" t="n"/>
      <c r="F1673" s="77" t="n"/>
      <c r="G1673" s="75" t="n"/>
      <c r="H1673" s="75">
        <f>IF(ISBLANK(E1673),"",IF(OR(D1673="Butterfly",D1673="Butterfly ",D1673="Iron Fly", D1673="Iron Fly "),LEN(E1673)-LEN(SUBSTITUTE(E1673,"/",""))+2,LEN(E1673)-LEN(SUBSTITUTE(E1673,"/",""))+1))</f>
        <v/>
      </c>
      <c r="I1673" s="78">
        <f>IF(ISBLANK(G1673),"",IF(D1673="Stock","0",Key!$A$3*H1673*G1673))</f>
        <v/>
      </c>
      <c r="J1673" s="78">
        <f>IF(ISBLANK(E1673),"",IF(ISNUMBER(SEARCH("/",E1673)), IF(LEN(E1673)-LEN(SUBSTITUTE(E1673,"/",""))=1,(RIGHT(E1673,LEN(E1673)-FIND("/",E1673)))-(LEFT(E1673,FIND("/",E1673)-1)),(MID(E1673, SEARCH("/",E1673) + 1, SEARCH("/",E1673, SEARCH("/",E1673)+1) - SEARCH("/",E1673) - 1))-(LEFT(E1673,FIND("/",E1673)-1))), "NA"))</f>
        <v/>
      </c>
      <c r="K1673" s="79">
        <f>IF(A1673&lt;&gt;"", IF(ISBLANK(L1673), TODAY(), K1673), "")</f>
        <v/>
      </c>
      <c r="L1673" s="78" t="n"/>
      <c r="M1673" s="78">
        <f>IF(ISBLANK(L1673),"",IF(D1673="Stock",IF(C1673="Buy",L1673*G1673,IF(C1673="Sell",(L1673*G1673)-I1673, X)),IF(C1673="Buy",(L1673*G1673*100)+I1673,IF(C1673="Sell",(L1673*G1673*100)-I1673, X))))</f>
        <v/>
      </c>
      <c r="N1673" s="78">
        <f>IF(ISBLANK(L1673),"",IF(AND(C1673="Sell",D1673="Stock"),M1673,IF(ISBLANK(L1673),"",IF(C1673="Buy",M1673, IF(AND(C1673="Sell",J1673="NA"),(E1673*G1673*100*0.1)+I1673, IF(C1673="Sell",(J1673-L1673)*(100*G1673)+I1673))))))</f>
        <v/>
      </c>
      <c r="O1673" s="75" t="n"/>
      <c r="P1673" s="75" t="n"/>
      <c r="Q1673" s="75">
        <f>IF(ISBLANK(P1673),"",IF(D1673="Stock",P1673*G1673,IF(P1673=0,"0",G1673*P1673*100-(G1673*$AF$14))))</f>
        <v/>
      </c>
      <c r="R1673" s="79">
        <f>IF(P1673&lt;&gt;"", TODAY(), "")</f>
        <v/>
      </c>
      <c r="S1673" s="78">
        <f>IF(AND(K1673&lt;&gt;"", R1673&lt;&gt;""), R1673-K1673, "")</f>
        <v/>
      </c>
      <c r="T1673" s="78" t="n"/>
      <c r="U1673" s="92">
        <f>IF(ISBLANK(P1673),"",IF(C1673="Buy",Q1673-M1673+T1673, IF(C1673="Sell",M1673-Q1673-T1673, X)))</f>
        <v/>
      </c>
      <c r="V1673" s="81">
        <f>IF(ISBLANK(P1673),"",U1673/N1673)</f>
        <v/>
      </c>
      <c r="W1673" s="81">
        <f>IF(ISBLANK(P1673),"",IF(S1673=0,(365/0.5)*V1673,(365/S1673)*V1673))</f>
        <v/>
      </c>
      <c r="X1673" s="75" t="n"/>
      <c r="Y1673" s="77" t="n"/>
      <c r="Z1673" s="77" t="n"/>
      <c r="AA1673" s="75" t="n"/>
      <c r="AB1673" s="75" t="n"/>
      <c r="AC1673" s="6" t="n"/>
      <c r="AD1673" s="75" t="n"/>
      <c r="AE1673" s="75" t="n"/>
      <c r="AF1673" s="75" t="n"/>
    </row>
    <row r="1674" ht="15.75" customHeight="1" s="133">
      <c r="A1674" s="75" t="n"/>
      <c r="B1674" s="75" t="n"/>
      <c r="C1674" s="75" t="n"/>
      <c r="D1674" s="75" t="n"/>
      <c r="E1674" s="76" t="n"/>
      <c r="F1674" s="77" t="n"/>
      <c r="G1674" s="75" t="n"/>
      <c r="H1674" s="75">
        <f>IF(ISBLANK(E1674),"",IF(OR(D1674="Butterfly",D1674="Butterfly ",D1674="Iron Fly", D1674="Iron Fly "),LEN(E1674)-LEN(SUBSTITUTE(E1674,"/",""))+2,LEN(E1674)-LEN(SUBSTITUTE(E1674,"/",""))+1))</f>
        <v/>
      </c>
      <c r="I1674" s="78">
        <f>IF(ISBLANK(G1674),"",IF(D1674="Stock","0",Key!$A$3*H1674*G1674))</f>
        <v/>
      </c>
      <c r="J1674" s="78">
        <f>IF(ISBLANK(E1674),"",IF(ISNUMBER(SEARCH("/",E1674)), IF(LEN(E1674)-LEN(SUBSTITUTE(E1674,"/",""))=1,(RIGHT(E1674,LEN(E1674)-FIND("/",E1674)))-(LEFT(E1674,FIND("/",E1674)-1)),(MID(E1674, SEARCH("/",E1674) + 1, SEARCH("/",E1674, SEARCH("/",E1674)+1) - SEARCH("/",E1674) - 1))-(LEFT(E1674,FIND("/",E1674)-1))), "NA"))</f>
        <v/>
      </c>
      <c r="K1674" s="79">
        <f>IF(A1674&lt;&gt;"", IF(ISBLANK(L1674), TODAY(), K1674), "")</f>
        <v/>
      </c>
      <c r="L1674" s="78" t="n"/>
      <c r="M1674" s="78">
        <f>IF(ISBLANK(L1674),"",IF(D1674="Stock",IF(C1674="Buy",L1674*G1674,IF(C1674="Sell",(L1674*G1674)-I1674, X)),IF(C1674="Buy",(L1674*G1674*100)+I1674,IF(C1674="Sell",(L1674*G1674*100)-I1674, X))))</f>
        <v/>
      </c>
      <c r="N1674" s="78">
        <f>IF(ISBLANK(L1674),"",IF(AND(C1674="Sell",D1674="Stock"),M1674,IF(ISBLANK(L1674),"",IF(C1674="Buy",M1674, IF(AND(C1674="Sell",J1674="NA"),(E1674*G1674*100*0.1)+I1674, IF(C1674="Sell",(J1674-L1674)*(100*G1674)+I1674))))))</f>
        <v/>
      </c>
      <c r="O1674" s="75" t="n"/>
      <c r="P1674" s="75" t="n"/>
      <c r="Q1674" s="75">
        <f>IF(ISBLANK(P1674),"",IF(D1674="Stock",P1674*G1674,IF(P1674=0,"0",G1674*P1674*100-(G1674*$AF$14))))</f>
        <v/>
      </c>
      <c r="R1674" s="79">
        <f>IF(P1674&lt;&gt;"", TODAY(), "")</f>
        <v/>
      </c>
      <c r="S1674" s="78">
        <f>IF(AND(K1674&lt;&gt;"", R1674&lt;&gt;""), R1674-K1674, "")</f>
        <v/>
      </c>
      <c r="T1674" s="78" t="n"/>
      <c r="U1674" s="92">
        <f>IF(ISBLANK(P1674),"",IF(C1674="Buy",Q1674-M1674+T1674, IF(C1674="Sell",M1674-Q1674-T1674, X)))</f>
        <v/>
      </c>
      <c r="V1674" s="81">
        <f>IF(ISBLANK(P1674),"",U1674/N1674)</f>
        <v/>
      </c>
      <c r="W1674" s="81">
        <f>IF(ISBLANK(P1674),"",IF(S1674=0,(365/0.5)*V1674,(365/S1674)*V1674))</f>
        <v/>
      </c>
      <c r="X1674" s="75" t="n"/>
      <c r="Y1674" s="77" t="n"/>
      <c r="Z1674" s="77" t="n"/>
      <c r="AA1674" s="75" t="n"/>
      <c r="AB1674" s="75" t="n"/>
      <c r="AC1674" s="6" t="n"/>
      <c r="AD1674" s="75" t="n"/>
      <c r="AE1674" s="75" t="n"/>
      <c r="AF1674" s="75" t="n"/>
    </row>
    <row r="1675" ht="15.75" customHeight="1" s="133">
      <c r="A1675" s="75" t="n"/>
      <c r="B1675" s="75" t="n"/>
      <c r="C1675" s="75" t="n"/>
      <c r="D1675" s="75" t="n"/>
      <c r="E1675" s="76" t="n"/>
      <c r="F1675" s="77" t="n"/>
      <c r="G1675" s="75" t="n"/>
      <c r="H1675" s="75">
        <f>IF(ISBLANK(E1675),"",IF(OR(D1675="Butterfly",D1675="Butterfly ",D1675="Iron Fly", D1675="Iron Fly "),LEN(E1675)-LEN(SUBSTITUTE(E1675,"/",""))+2,LEN(E1675)-LEN(SUBSTITUTE(E1675,"/",""))+1))</f>
        <v/>
      </c>
      <c r="I1675" s="78">
        <f>IF(ISBLANK(G1675),"",IF(D1675="Stock","0",Key!$A$3*H1675*G1675))</f>
        <v/>
      </c>
      <c r="J1675" s="78">
        <f>IF(ISBLANK(E1675),"",IF(ISNUMBER(SEARCH("/",E1675)), IF(LEN(E1675)-LEN(SUBSTITUTE(E1675,"/",""))=1,(RIGHT(E1675,LEN(E1675)-FIND("/",E1675)))-(LEFT(E1675,FIND("/",E1675)-1)),(MID(E1675, SEARCH("/",E1675) + 1, SEARCH("/",E1675, SEARCH("/",E1675)+1) - SEARCH("/",E1675) - 1))-(LEFT(E1675,FIND("/",E1675)-1))), "NA"))</f>
        <v/>
      </c>
      <c r="K1675" s="79">
        <f>IF(A1675&lt;&gt;"", IF(ISBLANK(L1675), TODAY(), K1675), "")</f>
        <v/>
      </c>
      <c r="L1675" s="78" t="n"/>
      <c r="M1675" s="78">
        <f>IF(ISBLANK(L1675),"",IF(D1675="Stock",IF(C1675="Buy",L1675*G1675,IF(C1675="Sell",(L1675*G1675)-I1675, X)),IF(C1675="Buy",(L1675*G1675*100)+I1675,IF(C1675="Sell",(L1675*G1675*100)-I1675, X))))</f>
        <v/>
      </c>
      <c r="N1675" s="78">
        <f>IF(ISBLANK(L1675),"",IF(AND(C1675="Sell",D1675="Stock"),M1675,IF(ISBLANK(L1675),"",IF(C1675="Buy",M1675, IF(AND(C1675="Sell",J1675="NA"),(E1675*G1675*100*0.1)+I1675, IF(C1675="Sell",(J1675-L1675)*(100*G1675)+I1675))))))</f>
        <v/>
      </c>
      <c r="O1675" s="75" t="n"/>
      <c r="P1675" s="75" t="n"/>
      <c r="Q1675" s="75">
        <f>IF(ISBLANK(P1675),"",IF(D1675="Stock",P1675*G1675,IF(P1675=0,"0",G1675*P1675*100-(G1675*$AF$14))))</f>
        <v/>
      </c>
      <c r="R1675" s="79">
        <f>IF(P1675&lt;&gt;"", TODAY(), "")</f>
        <v/>
      </c>
      <c r="S1675" s="78">
        <f>IF(AND(K1675&lt;&gt;"", R1675&lt;&gt;""), R1675-K1675, "")</f>
        <v/>
      </c>
      <c r="T1675" s="78" t="n"/>
      <c r="U1675" s="92">
        <f>IF(ISBLANK(P1675),"",IF(C1675="Buy",Q1675-M1675+T1675, IF(C1675="Sell",M1675-Q1675-T1675, X)))</f>
        <v/>
      </c>
      <c r="V1675" s="81">
        <f>IF(ISBLANK(P1675),"",U1675/N1675)</f>
        <v/>
      </c>
      <c r="W1675" s="81">
        <f>IF(ISBLANK(P1675),"",IF(S1675=0,(365/0.5)*V1675,(365/S1675)*V1675))</f>
        <v/>
      </c>
      <c r="X1675" s="75" t="n"/>
      <c r="Y1675" s="77" t="n"/>
      <c r="Z1675" s="77" t="n"/>
      <c r="AA1675" s="75" t="n"/>
      <c r="AB1675" s="75" t="n"/>
      <c r="AC1675" s="6" t="n"/>
      <c r="AD1675" s="75" t="n"/>
      <c r="AE1675" s="75" t="n"/>
      <c r="AF1675" s="75" t="n"/>
    </row>
    <row r="1676" ht="15.75" customHeight="1" s="133">
      <c r="A1676" s="75" t="n"/>
      <c r="B1676" s="75" t="n"/>
      <c r="C1676" s="75" t="n"/>
      <c r="D1676" s="75" t="n"/>
      <c r="E1676" s="76" t="n"/>
      <c r="F1676" s="77" t="n"/>
      <c r="G1676" s="75" t="n"/>
      <c r="H1676" s="75">
        <f>IF(ISBLANK(E1676),"",IF(OR(D1676="Butterfly",D1676="Butterfly ",D1676="Iron Fly", D1676="Iron Fly "),LEN(E1676)-LEN(SUBSTITUTE(E1676,"/",""))+2,LEN(E1676)-LEN(SUBSTITUTE(E1676,"/",""))+1))</f>
        <v/>
      </c>
      <c r="I1676" s="78">
        <f>IF(ISBLANK(G1676),"",IF(D1676="Stock","0",Key!$A$3*H1676*G1676))</f>
        <v/>
      </c>
      <c r="J1676" s="78">
        <f>IF(ISBLANK(E1676),"",IF(ISNUMBER(SEARCH("/",E1676)), IF(LEN(E1676)-LEN(SUBSTITUTE(E1676,"/",""))=1,(RIGHT(E1676,LEN(E1676)-FIND("/",E1676)))-(LEFT(E1676,FIND("/",E1676)-1)),(MID(E1676, SEARCH("/",E1676) + 1, SEARCH("/",E1676, SEARCH("/",E1676)+1) - SEARCH("/",E1676) - 1))-(LEFT(E1676,FIND("/",E1676)-1))), "NA"))</f>
        <v/>
      </c>
      <c r="K1676" s="79">
        <f>IF(A1676&lt;&gt;"", IF(ISBLANK(L1676), TODAY(), K1676), "")</f>
        <v/>
      </c>
      <c r="L1676" s="78" t="n"/>
      <c r="M1676" s="78">
        <f>IF(ISBLANK(L1676),"",IF(D1676="Stock",IF(C1676="Buy",L1676*G1676,IF(C1676="Sell",(L1676*G1676)-I1676, X)),IF(C1676="Buy",(L1676*G1676*100)+I1676,IF(C1676="Sell",(L1676*G1676*100)-I1676, X))))</f>
        <v/>
      </c>
      <c r="N1676" s="78">
        <f>IF(ISBLANK(L1676),"",IF(AND(C1676="Sell",D1676="Stock"),M1676,IF(ISBLANK(L1676),"",IF(C1676="Buy",M1676, IF(AND(C1676="Sell",J1676="NA"),(E1676*G1676*100*0.1)+I1676, IF(C1676="Sell",(J1676-L1676)*(100*G1676)+I1676))))))</f>
        <v/>
      </c>
      <c r="O1676" s="75" t="n"/>
      <c r="P1676" s="75" t="n"/>
      <c r="Q1676" s="75">
        <f>IF(ISBLANK(P1676),"",IF(D1676="Stock",P1676*G1676,IF(P1676=0,"0",G1676*P1676*100-(G1676*$AF$14))))</f>
        <v/>
      </c>
      <c r="R1676" s="79">
        <f>IF(P1676&lt;&gt;"", TODAY(), "")</f>
        <v/>
      </c>
      <c r="S1676" s="78">
        <f>IF(AND(K1676&lt;&gt;"", R1676&lt;&gt;""), R1676-K1676, "")</f>
        <v/>
      </c>
      <c r="T1676" s="78" t="n"/>
      <c r="U1676" s="92">
        <f>IF(ISBLANK(P1676),"",IF(C1676="Buy",Q1676-M1676+T1676, IF(C1676="Sell",M1676-Q1676-T1676, X)))</f>
        <v/>
      </c>
      <c r="V1676" s="81">
        <f>IF(ISBLANK(P1676),"",U1676/N1676)</f>
        <v/>
      </c>
      <c r="W1676" s="81">
        <f>IF(ISBLANK(P1676),"",IF(S1676=0,(365/0.5)*V1676,(365/S1676)*V1676))</f>
        <v/>
      </c>
      <c r="X1676" s="75" t="n"/>
      <c r="Y1676" s="77" t="n"/>
      <c r="Z1676" s="77" t="n"/>
      <c r="AA1676" s="75" t="n"/>
      <c r="AB1676" s="75" t="n"/>
      <c r="AC1676" s="6" t="n"/>
      <c r="AD1676" s="75" t="n"/>
      <c r="AE1676" s="75" t="n"/>
      <c r="AF1676" s="75" t="n"/>
    </row>
    <row r="1677" ht="15.75" customHeight="1" s="133">
      <c r="A1677" s="75" t="n"/>
      <c r="B1677" s="75" t="n"/>
      <c r="C1677" s="75" t="n"/>
      <c r="D1677" s="75" t="n"/>
      <c r="E1677" s="76" t="n"/>
      <c r="F1677" s="77" t="n"/>
      <c r="G1677" s="75" t="n"/>
      <c r="H1677" s="75">
        <f>IF(ISBLANK(E1677),"",IF(OR(D1677="Butterfly",D1677="Butterfly ",D1677="Iron Fly", D1677="Iron Fly "),LEN(E1677)-LEN(SUBSTITUTE(E1677,"/",""))+2,LEN(E1677)-LEN(SUBSTITUTE(E1677,"/",""))+1))</f>
        <v/>
      </c>
      <c r="I1677" s="78">
        <f>IF(ISBLANK(G1677),"",IF(D1677="Stock","0",Key!$A$3*H1677*G1677))</f>
        <v/>
      </c>
      <c r="J1677" s="78">
        <f>IF(ISBLANK(E1677),"",IF(ISNUMBER(SEARCH("/",E1677)), IF(LEN(E1677)-LEN(SUBSTITUTE(E1677,"/",""))=1,(RIGHT(E1677,LEN(E1677)-FIND("/",E1677)))-(LEFT(E1677,FIND("/",E1677)-1)),(MID(E1677, SEARCH("/",E1677) + 1, SEARCH("/",E1677, SEARCH("/",E1677)+1) - SEARCH("/",E1677) - 1))-(LEFT(E1677,FIND("/",E1677)-1))), "NA"))</f>
        <v/>
      </c>
      <c r="K1677" s="79">
        <f>IF(A1677&lt;&gt;"", IF(ISBLANK(L1677), TODAY(), K1677), "")</f>
        <v/>
      </c>
      <c r="L1677" s="78" t="n"/>
      <c r="M1677" s="78">
        <f>IF(ISBLANK(L1677),"",IF(D1677="Stock",IF(C1677="Buy",L1677*G1677,IF(C1677="Sell",(L1677*G1677)-I1677, X)),IF(C1677="Buy",(L1677*G1677*100)+I1677,IF(C1677="Sell",(L1677*G1677*100)-I1677, X))))</f>
        <v/>
      </c>
      <c r="N1677" s="78">
        <f>IF(ISBLANK(L1677),"",IF(AND(C1677="Sell",D1677="Stock"),M1677,IF(ISBLANK(L1677),"",IF(C1677="Buy",M1677, IF(AND(C1677="Sell",J1677="NA"),(E1677*G1677*100*0.1)+I1677, IF(C1677="Sell",(J1677-L1677)*(100*G1677)+I1677))))))</f>
        <v/>
      </c>
      <c r="O1677" s="75" t="n"/>
      <c r="P1677" s="75" t="n"/>
      <c r="Q1677" s="75">
        <f>IF(ISBLANK(P1677),"",IF(D1677="Stock",P1677*G1677,IF(P1677=0,"0",G1677*P1677*100-(G1677*$AF$14))))</f>
        <v/>
      </c>
      <c r="R1677" s="79">
        <f>IF(P1677&lt;&gt;"", TODAY(), "")</f>
        <v/>
      </c>
      <c r="S1677" s="78">
        <f>IF(AND(K1677&lt;&gt;"", R1677&lt;&gt;""), R1677-K1677, "")</f>
        <v/>
      </c>
      <c r="T1677" s="78" t="n"/>
      <c r="U1677" s="92">
        <f>IF(ISBLANK(P1677),"",IF(C1677="Buy",Q1677-M1677+T1677, IF(C1677="Sell",M1677-Q1677-T1677, X)))</f>
        <v/>
      </c>
      <c r="V1677" s="81">
        <f>IF(ISBLANK(P1677),"",U1677/N1677)</f>
        <v/>
      </c>
      <c r="W1677" s="81">
        <f>IF(ISBLANK(P1677),"",IF(S1677=0,(365/0.5)*V1677,(365/S1677)*V1677))</f>
        <v/>
      </c>
      <c r="X1677" s="75" t="n"/>
      <c r="Y1677" s="77" t="n"/>
      <c r="Z1677" s="77" t="n"/>
      <c r="AA1677" s="75" t="n"/>
      <c r="AB1677" s="75" t="n"/>
      <c r="AC1677" s="6" t="n"/>
      <c r="AD1677" s="75" t="n"/>
      <c r="AE1677" s="75" t="n"/>
      <c r="AF1677" s="75" t="n"/>
    </row>
    <row r="1678" ht="15.75" customHeight="1" s="133">
      <c r="A1678" s="75" t="n"/>
      <c r="B1678" s="75" t="n"/>
      <c r="C1678" s="75" t="n"/>
      <c r="D1678" s="75" t="n"/>
      <c r="E1678" s="76" t="n"/>
      <c r="F1678" s="77" t="n"/>
      <c r="G1678" s="75" t="n"/>
      <c r="H1678" s="75">
        <f>IF(ISBLANK(E1678),"",IF(OR(D1678="Butterfly",D1678="Butterfly ",D1678="Iron Fly", D1678="Iron Fly "),LEN(E1678)-LEN(SUBSTITUTE(E1678,"/",""))+2,LEN(E1678)-LEN(SUBSTITUTE(E1678,"/",""))+1))</f>
        <v/>
      </c>
      <c r="I1678" s="78">
        <f>IF(ISBLANK(G1678),"",IF(D1678="Stock","0",Key!$A$3*H1678*G1678))</f>
        <v/>
      </c>
      <c r="J1678" s="78">
        <f>IF(ISBLANK(E1678),"",IF(ISNUMBER(SEARCH("/",E1678)), IF(LEN(E1678)-LEN(SUBSTITUTE(E1678,"/",""))=1,(RIGHT(E1678,LEN(E1678)-FIND("/",E1678)))-(LEFT(E1678,FIND("/",E1678)-1)),(MID(E1678, SEARCH("/",E1678) + 1, SEARCH("/",E1678, SEARCH("/",E1678)+1) - SEARCH("/",E1678) - 1))-(LEFT(E1678,FIND("/",E1678)-1))), "NA"))</f>
        <v/>
      </c>
      <c r="K1678" s="79">
        <f>IF(A1678&lt;&gt;"", IF(ISBLANK(L1678), TODAY(), K1678), "")</f>
        <v/>
      </c>
      <c r="L1678" s="78" t="n"/>
      <c r="M1678" s="78">
        <f>IF(ISBLANK(L1678),"",IF(D1678="Stock",IF(C1678="Buy",L1678*G1678,IF(C1678="Sell",(L1678*G1678)-I1678, X)),IF(C1678="Buy",(L1678*G1678*100)+I1678,IF(C1678="Sell",(L1678*G1678*100)-I1678, X))))</f>
        <v/>
      </c>
      <c r="N1678" s="78">
        <f>IF(ISBLANK(L1678),"",IF(AND(C1678="Sell",D1678="Stock"),M1678,IF(ISBLANK(L1678),"",IF(C1678="Buy",M1678, IF(AND(C1678="Sell",J1678="NA"),(E1678*G1678*100*0.1)+I1678, IF(C1678="Sell",(J1678-L1678)*(100*G1678)+I1678))))))</f>
        <v/>
      </c>
      <c r="O1678" s="75" t="n"/>
      <c r="P1678" s="75" t="n"/>
      <c r="Q1678" s="75">
        <f>IF(ISBLANK(P1678),"",IF(D1678="Stock",P1678*G1678,IF(P1678=0,"0",G1678*P1678*100-(G1678*$AF$14))))</f>
        <v/>
      </c>
      <c r="R1678" s="79">
        <f>IF(P1678&lt;&gt;"", TODAY(), "")</f>
        <v/>
      </c>
      <c r="S1678" s="78">
        <f>IF(AND(K1678&lt;&gt;"", R1678&lt;&gt;""), R1678-K1678, "")</f>
        <v/>
      </c>
      <c r="T1678" s="78" t="n"/>
      <c r="U1678" s="92">
        <f>IF(ISBLANK(P1678),"",IF(C1678="Buy",Q1678-M1678+T1678, IF(C1678="Sell",M1678-Q1678-T1678, X)))</f>
        <v/>
      </c>
      <c r="V1678" s="81">
        <f>IF(ISBLANK(P1678),"",U1678/N1678)</f>
        <v/>
      </c>
      <c r="W1678" s="81">
        <f>IF(ISBLANK(P1678),"",IF(S1678=0,(365/0.5)*V1678,(365/S1678)*V1678))</f>
        <v/>
      </c>
      <c r="X1678" s="75" t="n"/>
      <c r="Y1678" s="77" t="n"/>
      <c r="Z1678" s="77" t="n"/>
      <c r="AA1678" s="75" t="n"/>
      <c r="AB1678" s="75" t="n"/>
      <c r="AC1678" s="6" t="n"/>
      <c r="AD1678" s="75" t="n"/>
      <c r="AE1678" s="75" t="n"/>
      <c r="AF1678" s="75" t="n"/>
    </row>
    <row r="1679" ht="15.75" customHeight="1" s="133">
      <c r="A1679" s="75" t="n"/>
      <c r="B1679" s="75" t="n"/>
      <c r="C1679" s="75" t="n"/>
      <c r="D1679" s="75" t="n"/>
      <c r="E1679" s="76" t="n"/>
      <c r="F1679" s="77" t="n"/>
      <c r="G1679" s="75" t="n"/>
      <c r="H1679" s="75">
        <f>IF(ISBLANK(E1679),"",IF(OR(D1679="Butterfly",D1679="Butterfly ",D1679="Iron Fly", D1679="Iron Fly "),LEN(E1679)-LEN(SUBSTITUTE(E1679,"/",""))+2,LEN(E1679)-LEN(SUBSTITUTE(E1679,"/",""))+1))</f>
        <v/>
      </c>
      <c r="I1679" s="78">
        <f>IF(ISBLANK(G1679),"",IF(D1679="Stock","0",Key!$A$3*H1679*G1679))</f>
        <v/>
      </c>
      <c r="J1679" s="78">
        <f>IF(ISBLANK(E1679),"",IF(ISNUMBER(SEARCH("/",E1679)), IF(LEN(E1679)-LEN(SUBSTITUTE(E1679,"/",""))=1,(RIGHT(E1679,LEN(E1679)-FIND("/",E1679)))-(LEFT(E1679,FIND("/",E1679)-1)),(MID(E1679, SEARCH("/",E1679) + 1, SEARCH("/",E1679, SEARCH("/",E1679)+1) - SEARCH("/",E1679) - 1))-(LEFT(E1679,FIND("/",E1679)-1))), "NA"))</f>
        <v/>
      </c>
      <c r="K1679" s="79">
        <f>IF(A1679&lt;&gt;"", IF(ISBLANK(L1679), TODAY(), K1679), "")</f>
        <v/>
      </c>
      <c r="L1679" s="78" t="n"/>
      <c r="M1679" s="78">
        <f>IF(ISBLANK(L1679),"",IF(D1679="Stock",IF(C1679="Buy",L1679*G1679,IF(C1679="Sell",(L1679*G1679)-I1679, X)),IF(C1679="Buy",(L1679*G1679*100)+I1679,IF(C1679="Sell",(L1679*G1679*100)-I1679, X))))</f>
        <v/>
      </c>
      <c r="N1679" s="78">
        <f>IF(ISBLANK(L1679),"",IF(AND(C1679="Sell",D1679="Stock"),M1679,IF(ISBLANK(L1679),"",IF(C1679="Buy",M1679, IF(AND(C1679="Sell",J1679="NA"),(E1679*G1679*100*0.1)+I1679, IF(C1679="Sell",(J1679-L1679)*(100*G1679)+I1679))))))</f>
        <v/>
      </c>
      <c r="O1679" s="75" t="n"/>
      <c r="P1679" s="75" t="n"/>
      <c r="Q1679" s="75">
        <f>IF(ISBLANK(P1679),"",IF(D1679="Stock",P1679*G1679,IF(P1679=0,"0",G1679*P1679*100-(G1679*$AF$14))))</f>
        <v/>
      </c>
      <c r="R1679" s="79">
        <f>IF(P1679&lt;&gt;"", TODAY(), "")</f>
        <v/>
      </c>
      <c r="S1679" s="78">
        <f>IF(AND(K1679&lt;&gt;"", R1679&lt;&gt;""), R1679-K1679, "")</f>
        <v/>
      </c>
      <c r="T1679" s="78" t="n"/>
      <c r="U1679" s="92">
        <f>IF(ISBLANK(P1679),"",IF(C1679="Buy",Q1679-M1679+T1679, IF(C1679="Sell",M1679-Q1679-T1679, X)))</f>
        <v/>
      </c>
      <c r="V1679" s="81">
        <f>IF(ISBLANK(P1679),"",U1679/N1679)</f>
        <v/>
      </c>
      <c r="W1679" s="81">
        <f>IF(ISBLANK(P1679),"",IF(S1679=0,(365/0.5)*V1679,(365/S1679)*V1679))</f>
        <v/>
      </c>
      <c r="X1679" s="75" t="n"/>
      <c r="Y1679" s="77" t="n"/>
      <c r="Z1679" s="77" t="n"/>
      <c r="AA1679" s="75" t="n"/>
      <c r="AB1679" s="75" t="n"/>
      <c r="AC1679" s="6" t="n"/>
      <c r="AD1679" s="75" t="n"/>
      <c r="AE1679" s="75" t="n"/>
      <c r="AF1679" s="75" t="n"/>
    </row>
    <row r="1680" ht="15.75" customHeight="1" s="133">
      <c r="A1680" s="75" t="n"/>
      <c r="B1680" s="75" t="n"/>
      <c r="C1680" s="75" t="n"/>
      <c r="D1680" s="75" t="n"/>
      <c r="E1680" s="76" t="n"/>
      <c r="F1680" s="77" t="n"/>
      <c r="G1680" s="75" t="n"/>
      <c r="H1680" s="75">
        <f>IF(ISBLANK(E1680),"",IF(OR(D1680="Butterfly",D1680="Butterfly ",D1680="Iron Fly", D1680="Iron Fly "),LEN(E1680)-LEN(SUBSTITUTE(E1680,"/",""))+2,LEN(E1680)-LEN(SUBSTITUTE(E1680,"/",""))+1))</f>
        <v/>
      </c>
      <c r="I1680" s="78">
        <f>IF(ISBLANK(G1680),"",IF(D1680="Stock","0",Key!$A$3*H1680*G1680))</f>
        <v/>
      </c>
      <c r="J1680" s="78">
        <f>IF(ISBLANK(E1680),"",IF(ISNUMBER(SEARCH("/",E1680)), IF(LEN(E1680)-LEN(SUBSTITUTE(E1680,"/",""))=1,(RIGHT(E1680,LEN(E1680)-FIND("/",E1680)))-(LEFT(E1680,FIND("/",E1680)-1)),(MID(E1680, SEARCH("/",E1680) + 1, SEARCH("/",E1680, SEARCH("/",E1680)+1) - SEARCH("/",E1680) - 1))-(LEFT(E1680,FIND("/",E1680)-1))), "NA"))</f>
        <v/>
      </c>
      <c r="K1680" s="79">
        <f>IF(A1680&lt;&gt;"", IF(ISBLANK(L1680), TODAY(), K1680), "")</f>
        <v/>
      </c>
      <c r="L1680" s="78" t="n"/>
      <c r="M1680" s="78">
        <f>IF(ISBLANK(L1680),"",IF(D1680="Stock",IF(C1680="Buy",L1680*G1680,IF(C1680="Sell",(L1680*G1680)-I1680, X)),IF(C1680="Buy",(L1680*G1680*100)+I1680,IF(C1680="Sell",(L1680*G1680*100)-I1680, X))))</f>
        <v/>
      </c>
      <c r="N1680" s="78">
        <f>IF(ISBLANK(L1680),"",IF(AND(C1680="Sell",D1680="Stock"),M1680,IF(ISBLANK(L1680),"",IF(C1680="Buy",M1680, IF(AND(C1680="Sell",J1680="NA"),(E1680*G1680*100*0.1)+I1680, IF(C1680="Sell",(J1680-L1680)*(100*G1680)+I1680))))))</f>
        <v/>
      </c>
      <c r="O1680" s="75" t="n"/>
      <c r="P1680" s="75" t="n"/>
      <c r="Q1680" s="75">
        <f>IF(ISBLANK(P1680),"",IF(D1680="Stock",P1680*G1680,IF(P1680=0,"0",G1680*P1680*100-(G1680*$AF$14))))</f>
        <v/>
      </c>
      <c r="R1680" s="79">
        <f>IF(P1680&lt;&gt;"", TODAY(), "")</f>
        <v/>
      </c>
      <c r="S1680" s="78">
        <f>IF(AND(K1680&lt;&gt;"", R1680&lt;&gt;""), R1680-K1680, "")</f>
        <v/>
      </c>
      <c r="T1680" s="78" t="n"/>
      <c r="U1680" s="92">
        <f>IF(ISBLANK(P1680),"",IF(C1680="Buy",Q1680-M1680+T1680, IF(C1680="Sell",M1680-Q1680-T1680, X)))</f>
        <v/>
      </c>
      <c r="V1680" s="81">
        <f>IF(ISBLANK(P1680),"",U1680/N1680)</f>
        <v/>
      </c>
      <c r="W1680" s="81">
        <f>IF(ISBLANK(P1680),"",IF(S1680=0,(365/0.5)*V1680,(365/S1680)*V1680))</f>
        <v/>
      </c>
      <c r="X1680" s="75" t="n"/>
      <c r="Y1680" s="77" t="n"/>
      <c r="Z1680" s="77" t="n"/>
      <c r="AA1680" s="75" t="n"/>
      <c r="AB1680" s="75" t="n"/>
      <c r="AC1680" s="6" t="n"/>
      <c r="AD1680" s="75" t="n"/>
      <c r="AE1680" s="75" t="n"/>
      <c r="AF1680" s="75" t="n"/>
    </row>
    <row r="1681" ht="15.75" customHeight="1" s="133">
      <c r="A1681" s="75" t="n"/>
      <c r="B1681" s="75" t="n"/>
      <c r="C1681" s="75" t="n"/>
      <c r="D1681" s="75" t="n"/>
      <c r="E1681" s="76" t="n"/>
      <c r="F1681" s="77" t="n"/>
      <c r="G1681" s="75" t="n"/>
      <c r="H1681" s="75">
        <f>IF(ISBLANK(E1681),"",IF(OR(D1681="Butterfly",D1681="Butterfly ",D1681="Iron Fly", D1681="Iron Fly "),LEN(E1681)-LEN(SUBSTITUTE(E1681,"/",""))+2,LEN(E1681)-LEN(SUBSTITUTE(E1681,"/",""))+1))</f>
        <v/>
      </c>
      <c r="I1681" s="78">
        <f>IF(ISBLANK(G1681),"",IF(D1681="Stock","0",Key!$A$3*H1681*G1681))</f>
        <v/>
      </c>
      <c r="J1681" s="78">
        <f>IF(ISBLANK(E1681),"",IF(ISNUMBER(SEARCH("/",E1681)), IF(LEN(E1681)-LEN(SUBSTITUTE(E1681,"/",""))=1,(RIGHT(E1681,LEN(E1681)-FIND("/",E1681)))-(LEFT(E1681,FIND("/",E1681)-1)),(MID(E1681, SEARCH("/",E1681) + 1, SEARCH("/",E1681, SEARCH("/",E1681)+1) - SEARCH("/",E1681) - 1))-(LEFT(E1681,FIND("/",E1681)-1))), "NA"))</f>
        <v/>
      </c>
      <c r="K1681" s="79">
        <f>IF(A1681&lt;&gt;"", IF(ISBLANK(L1681), TODAY(), K1681), "")</f>
        <v/>
      </c>
      <c r="L1681" s="78" t="n"/>
      <c r="M1681" s="78">
        <f>IF(ISBLANK(L1681),"",IF(D1681="Stock",IF(C1681="Buy",L1681*G1681,IF(C1681="Sell",(L1681*G1681)-I1681, X)),IF(C1681="Buy",(L1681*G1681*100)+I1681,IF(C1681="Sell",(L1681*G1681*100)-I1681, X))))</f>
        <v/>
      </c>
      <c r="N1681" s="78">
        <f>IF(ISBLANK(L1681),"",IF(AND(C1681="Sell",D1681="Stock"),M1681,IF(ISBLANK(L1681),"",IF(C1681="Buy",M1681, IF(AND(C1681="Sell",J1681="NA"),(E1681*G1681*100*0.1)+I1681, IF(C1681="Sell",(J1681-L1681)*(100*G1681)+I1681))))))</f>
        <v/>
      </c>
      <c r="O1681" s="75" t="n"/>
      <c r="P1681" s="75" t="n"/>
      <c r="Q1681" s="75">
        <f>IF(ISBLANK(P1681),"",IF(D1681="Stock",P1681*G1681,IF(P1681=0,"0",G1681*P1681*100-(G1681*$AF$14))))</f>
        <v/>
      </c>
      <c r="R1681" s="79">
        <f>IF(P1681&lt;&gt;"", TODAY(), "")</f>
        <v/>
      </c>
      <c r="S1681" s="78">
        <f>IF(AND(K1681&lt;&gt;"", R1681&lt;&gt;""), R1681-K1681, "")</f>
        <v/>
      </c>
      <c r="T1681" s="78" t="n"/>
      <c r="U1681" s="92">
        <f>IF(ISBLANK(P1681),"",IF(C1681="Buy",Q1681-M1681+T1681, IF(C1681="Sell",M1681-Q1681-T1681, X)))</f>
        <v/>
      </c>
      <c r="V1681" s="81">
        <f>IF(ISBLANK(P1681),"",U1681/N1681)</f>
        <v/>
      </c>
      <c r="W1681" s="81">
        <f>IF(ISBLANK(P1681),"",IF(S1681=0,(365/0.5)*V1681,(365/S1681)*V1681))</f>
        <v/>
      </c>
      <c r="X1681" s="75" t="n"/>
      <c r="Y1681" s="77" t="n"/>
      <c r="Z1681" s="77" t="n"/>
      <c r="AA1681" s="75" t="n"/>
      <c r="AB1681" s="75" t="n"/>
      <c r="AC1681" s="6" t="n"/>
      <c r="AD1681" s="75" t="n"/>
      <c r="AE1681" s="75" t="n"/>
      <c r="AF1681" s="75" t="n"/>
    </row>
    <row r="1682" ht="15.75" customHeight="1" s="133">
      <c r="A1682" s="75" t="n"/>
      <c r="B1682" s="75" t="n"/>
      <c r="C1682" s="75" t="n"/>
      <c r="D1682" s="75" t="n"/>
      <c r="E1682" s="76" t="n"/>
      <c r="F1682" s="77" t="n"/>
      <c r="G1682" s="75" t="n"/>
      <c r="H1682" s="75">
        <f>IF(ISBLANK(E1682),"",IF(OR(D1682="Butterfly",D1682="Butterfly ",D1682="Iron Fly", D1682="Iron Fly "),LEN(E1682)-LEN(SUBSTITUTE(E1682,"/",""))+2,LEN(E1682)-LEN(SUBSTITUTE(E1682,"/",""))+1))</f>
        <v/>
      </c>
      <c r="I1682" s="78">
        <f>IF(ISBLANK(G1682),"",IF(D1682="Stock","0",Key!$A$3*H1682*G1682))</f>
        <v/>
      </c>
      <c r="J1682" s="78">
        <f>IF(ISBLANK(E1682),"",IF(ISNUMBER(SEARCH("/",E1682)), IF(LEN(E1682)-LEN(SUBSTITUTE(E1682,"/",""))=1,(RIGHT(E1682,LEN(E1682)-FIND("/",E1682)))-(LEFT(E1682,FIND("/",E1682)-1)),(MID(E1682, SEARCH("/",E1682) + 1, SEARCH("/",E1682, SEARCH("/",E1682)+1) - SEARCH("/",E1682) - 1))-(LEFT(E1682,FIND("/",E1682)-1))), "NA"))</f>
        <v/>
      </c>
      <c r="K1682" s="79">
        <f>IF(A1682&lt;&gt;"", IF(ISBLANK(L1682), TODAY(), K1682), "")</f>
        <v/>
      </c>
      <c r="L1682" s="78" t="n"/>
      <c r="M1682" s="78">
        <f>IF(ISBLANK(L1682),"",IF(D1682="Stock",IF(C1682="Buy",L1682*G1682,IF(C1682="Sell",(L1682*G1682)-I1682, X)),IF(C1682="Buy",(L1682*G1682*100)+I1682,IF(C1682="Sell",(L1682*G1682*100)-I1682, X))))</f>
        <v/>
      </c>
      <c r="N1682" s="78">
        <f>IF(ISBLANK(L1682),"",IF(AND(C1682="Sell",D1682="Stock"),M1682,IF(ISBLANK(L1682),"",IF(C1682="Buy",M1682, IF(AND(C1682="Sell",J1682="NA"),(E1682*G1682*100*0.1)+I1682, IF(C1682="Sell",(J1682-L1682)*(100*G1682)+I1682))))))</f>
        <v/>
      </c>
      <c r="O1682" s="75" t="n"/>
      <c r="P1682" s="75" t="n"/>
      <c r="Q1682" s="75">
        <f>IF(ISBLANK(P1682),"",IF(D1682="Stock",P1682*G1682,IF(P1682=0,"0",G1682*P1682*100-(G1682*$AF$14))))</f>
        <v/>
      </c>
      <c r="R1682" s="79">
        <f>IF(P1682&lt;&gt;"", TODAY(), "")</f>
        <v/>
      </c>
      <c r="S1682" s="78">
        <f>IF(AND(K1682&lt;&gt;"", R1682&lt;&gt;""), R1682-K1682, "")</f>
        <v/>
      </c>
      <c r="T1682" s="78" t="n"/>
      <c r="U1682" s="92">
        <f>IF(ISBLANK(P1682),"",IF(C1682="Buy",Q1682-M1682+T1682, IF(C1682="Sell",M1682-Q1682-T1682, X)))</f>
        <v/>
      </c>
      <c r="V1682" s="81">
        <f>IF(ISBLANK(P1682),"",U1682/N1682)</f>
        <v/>
      </c>
      <c r="W1682" s="81">
        <f>IF(ISBLANK(P1682),"",IF(S1682=0,(365/0.5)*V1682,(365/S1682)*V1682))</f>
        <v/>
      </c>
      <c r="X1682" s="75" t="n"/>
      <c r="Y1682" s="77" t="n"/>
      <c r="Z1682" s="77" t="n"/>
      <c r="AA1682" s="75" t="n"/>
      <c r="AB1682" s="75" t="n"/>
      <c r="AC1682" s="6" t="n"/>
      <c r="AD1682" s="75" t="n"/>
      <c r="AE1682" s="75" t="n"/>
      <c r="AF1682" s="75" t="n"/>
    </row>
    <row r="1683" ht="15.75" customHeight="1" s="133">
      <c r="A1683" s="75" t="n"/>
      <c r="B1683" s="75" t="n"/>
      <c r="C1683" s="75" t="n"/>
      <c r="D1683" s="75" t="n"/>
      <c r="E1683" s="76" t="n"/>
      <c r="F1683" s="77" t="n"/>
      <c r="G1683" s="75" t="n"/>
      <c r="H1683" s="75">
        <f>IF(ISBLANK(E1683),"",IF(OR(D1683="Butterfly",D1683="Butterfly ",D1683="Iron Fly", D1683="Iron Fly "),LEN(E1683)-LEN(SUBSTITUTE(E1683,"/",""))+2,LEN(E1683)-LEN(SUBSTITUTE(E1683,"/",""))+1))</f>
        <v/>
      </c>
      <c r="I1683" s="78">
        <f>IF(ISBLANK(G1683),"",IF(D1683="Stock","0",Key!$A$3*H1683*G1683))</f>
        <v/>
      </c>
      <c r="J1683" s="78">
        <f>IF(ISBLANK(E1683),"",IF(ISNUMBER(SEARCH("/",E1683)), IF(LEN(E1683)-LEN(SUBSTITUTE(E1683,"/",""))=1,(RIGHT(E1683,LEN(E1683)-FIND("/",E1683)))-(LEFT(E1683,FIND("/",E1683)-1)),(MID(E1683, SEARCH("/",E1683) + 1, SEARCH("/",E1683, SEARCH("/",E1683)+1) - SEARCH("/",E1683) - 1))-(LEFT(E1683,FIND("/",E1683)-1))), "NA"))</f>
        <v/>
      </c>
      <c r="K1683" s="79">
        <f>IF(A1683&lt;&gt;"", IF(ISBLANK(L1683), TODAY(), K1683), "")</f>
        <v/>
      </c>
      <c r="L1683" s="78" t="n"/>
      <c r="M1683" s="78">
        <f>IF(ISBLANK(L1683),"",IF(D1683="Stock",IF(C1683="Buy",L1683*G1683,IF(C1683="Sell",(L1683*G1683)-I1683, X)),IF(C1683="Buy",(L1683*G1683*100)+I1683,IF(C1683="Sell",(L1683*G1683*100)-I1683, X))))</f>
        <v/>
      </c>
      <c r="N1683" s="78">
        <f>IF(ISBLANK(L1683),"",IF(AND(C1683="Sell",D1683="Stock"),M1683,IF(ISBLANK(L1683),"",IF(C1683="Buy",M1683, IF(AND(C1683="Sell",J1683="NA"),(E1683*G1683*100*0.1)+I1683, IF(C1683="Sell",(J1683-L1683)*(100*G1683)+I1683))))))</f>
        <v/>
      </c>
      <c r="O1683" s="75" t="n"/>
      <c r="P1683" s="75" t="n"/>
      <c r="Q1683" s="75">
        <f>IF(ISBLANK(P1683),"",IF(D1683="Stock",P1683*G1683,IF(P1683=0,"0",G1683*P1683*100-(G1683*$AF$14))))</f>
        <v/>
      </c>
      <c r="R1683" s="79">
        <f>IF(P1683&lt;&gt;"", TODAY(), "")</f>
        <v/>
      </c>
      <c r="S1683" s="78">
        <f>IF(AND(K1683&lt;&gt;"", R1683&lt;&gt;""), R1683-K1683, "")</f>
        <v/>
      </c>
      <c r="T1683" s="78" t="n"/>
      <c r="U1683" s="92">
        <f>IF(ISBLANK(P1683),"",IF(C1683="Buy",Q1683-M1683+T1683, IF(C1683="Sell",M1683-Q1683-T1683, X)))</f>
        <v/>
      </c>
      <c r="V1683" s="81">
        <f>IF(ISBLANK(P1683),"",U1683/N1683)</f>
        <v/>
      </c>
      <c r="W1683" s="81">
        <f>IF(ISBLANK(P1683),"",IF(S1683=0,(365/0.5)*V1683,(365/S1683)*V1683))</f>
        <v/>
      </c>
      <c r="X1683" s="75" t="n"/>
      <c r="Y1683" s="77" t="n"/>
      <c r="Z1683" s="77" t="n"/>
      <c r="AA1683" s="75" t="n"/>
      <c r="AB1683" s="75" t="n"/>
      <c r="AC1683" s="6" t="n"/>
      <c r="AD1683" s="75" t="n"/>
      <c r="AE1683" s="75" t="n"/>
      <c r="AF1683" s="75" t="n"/>
    </row>
    <row r="1684" ht="15.75" customHeight="1" s="133">
      <c r="A1684" s="75" t="n"/>
      <c r="B1684" s="75" t="n"/>
      <c r="C1684" s="75" t="n"/>
      <c r="D1684" s="75" t="n"/>
      <c r="E1684" s="76" t="n"/>
      <c r="F1684" s="77" t="n"/>
      <c r="G1684" s="75" t="n"/>
      <c r="H1684" s="75">
        <f>IF(ISBLANK(E1684),"",IF(OR(D1684="Butterfly",D1684="Butterfly ",D1684="Iron Fly", D1684="Iron Fly "),LEN(E1684)-LEN(SUBSTITUTE(E1684,"/",""))+2,LEN(E1684)-LEN(SUBSTITUTE(E1684,"/",""))+1))</f>
        <v/>
      </c>
      <c r="I1684" s="78">
        <f>IF(ISBLANK(G1684),"",IF(D1684="Stock","0",Key!$A$3*H1684*G1684))</f>
        <v/>
      </c>
      <c r="J1684" s="78">
        <f>IF(ISBLANK(E1684),"",IF(ISNUMBER(SEARCH("/",E1684)), IF(LEN(E1684)-LEN(SUBSTITUTE(E1684,"/",""))=1,(RIGHT(E1684,LEN(E1684)-FIND("/",E1684)))-(LEFT(E1684,FIND("/",E1684)-1)),(MID(E1684, SEARCH("/",E1684) + 1, SEARCH("/",E1684, SEARCH("/",E1684)+1) - SEARCH("/",E1684) - 1))-(LEFT(E1684,FIND("/",E1684)-1))), "NA"))</f>
        <v/>
      </c>
      <c r="K1684" s="79">
        <f>IF(A1684&lt;&gt;"", IF(ISBLANK(L1684), TODAY(), K1684), "")</f>
        <v/>
      </c>
      <c r="L1684" s="78" t="n"/>
      <c r="M1684" s="78">
        <f>IF(ISBLANK(L1684),"",IF(D1684="Stock",IF(C1684="Buy",L1684*G1684,IF(C1684="Sell",(L1684*G1684)-I1684, X)),IF(C1684="Buy",(L1684*G1684*100)+I1684,IF(C1684="Sell",(L1684*G1684*100)-I1684, X))))</f>
        <v/>
      </c>
      <c r="N1684" s="78">
        <f>IF(ISBLANK(L1684),"",IF(AND(C1684="Sell",D1684="Stock"),M1684,IF(ISBLANK(L1684),"",IF(C1684="Buy",M1684, IF(AND(C1684="Sell",J1684="NA"),(E1684*G1684*100*0.1)+I1684, IF(C1684="Sell",(J1684-L1684)*(100*G1684)+I1684))))))</f>
        <v/>
      </c>
      <c r="O1684" s="75" t="n"/>
      <c r="P1684" s="75" t="n"/>
      <c r="Q1684" s="75">
        <f>IF(ISBLANK(P1684),"",IF(D1684="Stock",P1684*G1684,IF(P1684=0,"0",G1684*P1684*100-(G1684*$AF$14))))</f>
        <v/>
      </c>
      <c r="R1684" s="79">
        <f>IF(P1684&lt;&gt;"", TODAY(), "")</f>
        <v/>
      </c>
      <c r="S1684" s="78">
        <f>IF(AND(K1684&lt;&gt;"", R1684&lt;&gt;""), R1684-K1684, "")</f>
        <v/>
      </c>
      <c r="T1684" s="78" t="n"/>
      <c r="U1684" s="92">
        <f>IF(ISBLANK(P1684),"",IF(C1684="Buy",Q1684-M1684+T1684, IF(C1684="Sell",M1684-Q1684-T1684, X)))</f>
        <v/>
      </c>
      <c r="V1684" s="81">
        <f>IF(ISBLANK(P1684),"",U1684/N1684)</f>
        <v/>
      </c>
      <c r="W1684" s="81">
        <f>IF(ISBLANK(P1684),"",IF(S1684=0,(365/0.5)*V1684,(365/S1684)*V1684))</f>
        <v/>
      </c>
      <c r="X1684" s="75" t="n"/>
      <c r="Y1684" s="77" t="n"/>
      <c r="Z1684" s="77" t="n"/>
      <c r="AA1684" s="75" t="n"/>
      <c r="AB1684" s="75" t="n"/>
      <c r="AC1684" s="6" t="n"/>
      <c r="AD1684" s="75" t="n"/>
      <c r="AE1684" s="75" t="n"/>
      <c r="AF1684" s="75" t="n"/>
    </row>
    <row r="1685" ht="15.75" customHeight="1" s="133">
      <c r="A1685" s="75" t="n"/>
      <c r="B1685" s="75" t="n"/>
      <c r="C1685" s="75" t="n"/>
      <c r="D1685" s="75" t="n"/>
      <c r="E1685" s="76" t="n"/>
      <c r="F1685" s="77" t="n"/>
      <c r="G1685" s="75" t="n"/>
      <c r="H1685" s="75">
        <f>IF(ISBLANK(E1685),"",IF(OR(D1685="Butterfly",D1685="Butterfly ",D1685="Iron Fly", D1685="Iron Fly "),LEN(E1685)-LEN(SUBSTITUTE(E1685,"/",""))+2,LEN(E1685)-LEN(SUBSTITUTE(E1685,"/",""))+1))</f>
        <v/>
      </c>
      <c r="I1685" s="78">
        <f>IF(ISBLANK(G1685),"",IF(D1685="Stock","0",Key!$A$3*H1685*G1685))</f>
        <v/>
      </c>
      <c r="J1685" s="78">
        <f>IF(ISBLANK(E1685),"",IF(ISNUMBER(SEARCH("/",E1685)), IF(LEN(E1685)-LEN(SUBSTITUTE(E1685,"/",""))=1,(RIGHT(E1685,LEN(E1685)-FIND("/",E1685)))-(LEFT(E1685,FIND("/",E1685)-1)),(MID(E1685, SEARCH("/",E1685) + 1, SEARCH("/",E1685, SEARCH("/",E1685)+1) - SEARCH("/",E1685) - 1))-(LEFT(E1685,FIND("/",E1685)-1))), "NA"))</f>
        <v/>
      </c>
      <c r="K1685" s="79">
        <f>IF(A1685&lt;&gt;"", IF(ISBLANK(L1685), TODAY(), K1685), "")</f>
        <v/>
      </c>
      <c r="L1685" s="78" t="n"/>
      <c r="M1685" s="78">
        <f>IF(ISBLANK(L1685),"",IF(D1685="Stock",IF(C1685="Buy",L1685*G1685,IF(C1685="Sell",(L1685*G1685)-I1685, X)),IF(C1685="Buy",(L1685*G1685*100)+I1685,IF(C1685="Sell",(L1685*G1685*100)-I1685, X))))</f>
        <v/>
      </c>
      <c r="N1685" s="78">
        <f>IF(ISBLANK(L1685),"",IF(AND(C1685="Sell",D1685="Stock"),M1685,IF(ISBLANK(L1685),"",IF(C1685="Buy",M1685, IF(AND(C1685="Sell",J1685="NA"),(E1685*G1685*100*0.1)+I1685, IF(C1685="Sell",(J1685-L1685)*(100*G1685)+I1685))))))</f>
        <v/>
      </c>
      <c r="O1685" s="75" t="n"/>
      <c r="P1685" s="75" t="n"/>
      <c r="Q1685" s="75">
        <f>IF(ISBLANK(P1685),"",IF(D1685="Stock",P1685*G1685,IF(P1685=0,"0",G1685*P1685*100-(G1685*$AF$14))))</f>
        <v/>
      </c>
      <c r="R1685" s="79">
        <f>IF(P1685&lt;&gt;"", TODAY(), "")</f>
        <v/>
      </c>
      <c r="S1685" s="78">
        <f>IF(AND(K1685&lt;&gt;"", R1685&lt;&gt;""), R1685-K1685, "")</f>
        <v/>
      </c>
      <c r="T1685" s="78" t="n"/>
      <c r="U1685" s="92">
        <f>IF(ISBLANK(P1685),"",IF(C1685="Buy",Q1685-M1685+T1685, IF(C1685="Sell",M1685-Q1685-T1685, X)))</f>
        <v/>
      </c>
      <c r="V1685" s="81">
        <f>IF(ISBLANK(P1685),"",U1685/N1685)</f>
        <v/>
      </c>
      <c r="W1685" s="81">
        <f>IF(ISBLANK(P1685),"",IF(S1685=0,(365/0.5)*V1685,(365/S1685)*V1685))</f>
        <v/>
      </c>
      <c r="X1685" s="75" t="n"/>
      <c r="Y1685" s="77" t="n"/>
      <c r="Z1685" s="77" t="n"/>
      <c r="AA1685" s="75" t="n"/>
      <c r="AB1685" s="75" t="n"/>
      <c r="AC1685" s="6" t="n"/>
      <c r="AD1685" s="75" t="n"/>
      <c r="AE1685" s="75" t="n"/>
      <c r="AF1685" s="75" t="n"/>
    </row>
    <row r="1686" ht="15.75" customHeight="1" s="133">
      <c r="A1686" s="75" t="n"/>
      <c r="B1686" s="75" t="n"/>
      <c r="C1686" s="75" t="n"/>
      <c r="D1686" s="75" t="n"/>
      <c r="E1686" s="76" t="n"/>
      <c r="F1686" s="77" t="n"/>
      <c r="G1686" s="75" t="n"/>
      <c r="H1686" s="75">
        <f>IF(ISBLANK(E1686),"",IF(OR(D1686="Butterfly",D1686="Butterfly ",D1686="Iron Fly", D1686="Iron Fly "),LEN(E1686)-LEN(SUBSTITUTE(E1686,"/",""))+2,LEN(E1686)-LEN(SUBSTITUTE(E1686,"/",""))+1))</f>
        <v/>
      </c>
      <c r="I1686" s="78">
        <f>IF(ISBLANK(G1686),"",IF(D1686="Stock","0",Key!$A$3*H1686*G1686))</f>
        <v/>
      </c>
      <c r="J1686" s="78">
        <f>IF(ISBLANK(E1686),"",IF(ISNUMBER(SEARCH("/",E1686)), IF(LEN(E1686)-LEN(SUBSTITUTE(E1686,"/",""))=1,(RIGHT(E1686,LEN(E1686)-FIND("/",E1686)))-(LEFT(E1686,FIND("/",E1686)-1)),(MID(E1686, SEARCH("/",E1686) + 1, SEARCH("/",E1686, SEARCH("/",E1686)+1) - SEARCH("/",E1686) - 1))-(LEFT(E1686,FIND("/",E1686)-1))), "NA"))</f>
        <v/>
      </c>
      <c r="K1686" s="79">
        <f>IF(A1686&lt;&gt;"", IF(ISBLANK(L1686), TODAY(), K1686), "")</f>
        <v/>
      </c>
      <c r="L1686" s="78" t="n"/>
      <c r="M1686" s="78">
        <f>IF(ISBLANK(L1686),"",IF(D1686="Stock",IF(C1686="Buy",L1686*G1686,IF(C1686="Sell",(L1686*G1686)-I1686, X)),IF(C1686="Buy",(L1686*G1686*100)+I1686,IF(C1686="Sell",(L1686*G1686*100)-I1686, X))))</f>
        <v/>
      </c>
      <c r="N1686" s="78">
        <f>IF(ISBLANK(L1686),"",IF(AND(C1686="Sell",D1686="Stock"),M1686,IF(ISBLANK(L1686),"",IF(C1686="Buy",M1686, IF(AND(C1686="Sell",J1686="NA"),(E1686*G1686*100*0.1)+I1686, IF(C1686="Sell",(J1686-L1686)*(100*G1686)+I1686))))))</f>
        <v/>
      </c>
      <c r="O1686" s="75" t="n"/>
      <c r="P1686" s="75" t="n"/>
      <c r="Q1686" s="75">
        <f>IF(ISBLANK(P1686),"",IF(D1686="Stock",P1686*G1686,IF(P1686=0,"0",G1686*P1686*100-(G1686*$AF$14))))</f>
        <v/>
      </c>
      <c r="R1686" s="79">
        <f>IF(P1686&lt;&gt;"", TODAY(), "")</f>
        <v/>
      </c>
      <c r="S1686" s="78">
        <f>IF(AND(K1686&lt;&gt;"", R1686&lt;&gt;""), R1686-K1686, "")</f>
        <v/>
      </c>
      <c r="T1686" s="78" t="n"/>
      <c r="U1686" s="92">
        <f>IF(ISBLANK(P1686),"",IF(C1686="Buy",Q1686-M1686+T1686, IF(C1686="Sell",M1686-Q1686-T1686, X)))</f>
        <v/>
      </c>
      <c r="V1686" s="81">
        <f>IF(ISBLANK(P1686),"",U1686/N1686)</f>
        <v/>
      </c>
      <c r="W1686" s="81">
        <f>IF(ISBLANK(P1686),"",IF(S1686=0,(365/0.5)*V1686,(365/S1686)*V1686))</f>
        <v/>
      </c>
      <c r="X1686" s="75" t="n"/>
      <c r="Y1686" s="77" t="n"/>
      <c r="Z1686" s="77" t="n"/>
      <c r="AA1686" s="75" t="n"/>
      <c r="AB1686" s="75" t="n"/>
      <c r="AC1686" s="6" t="n"/>
      <c r="AD1686" s="75" t="n"/>
      <c r="AE1686" s="75" t="n"/>
      <c r="AF1686" s="75" t="n"/>
    </row>
    <row r="1687" ht="15.75" customHeight="1" s="133">
      <c r="A1687" s="75" t="n"/>
      <c r="B1687" s="75" t="n"/>
      <c r="C1687" s="75" t="n"/>
      <c r="D1687" s="75" t="n"/>
      <c r="E1687" s="76" t="n"/>
      <c r="F1687" s="77" t="n"/>
      <c r="G1687" s="75" t="n"/>
      <c r="H1687" s="75">
        <f>IF(ISBLANK(E1687),"",IF(OR(D1687="Butterfly",D1687="Butterfly ",D1687="Iron Fly", D1687="Iron Fly "),LEN(E1687)-LEN(SUBSTITUTE(E1687,"/",""))+2,LEN(E1687)-LEN(SUBSTITUTE(E1687,"/",""))+1))</f>
        <v/>
      </c>
      <c r="I1687" s="78">
        <f>IF(ISBLANK(G1687),"",IF(D1687="Stock","0",Key!$A$3*H1687*G1687))</f>
        <v/>
      </c>
      <c r="J1687" s="78">
        <f>IF(ISBLANK(E1687),"",IF(ISNUMBER(SEARCH("/",E1687)), IF(LEN(E1687)-LEN(SUBSTITUTE(E1687,"/",""))=1,(RIGHT(E1687,LEN(E1687)-FIND("/",E1687)))-(LEFT(E1687,FIND("/",E1687)-1)),(MID(E1687, SEARCH("/",E1687) + 1, SEARCH("/",E1687, SEARCH("/",E1687)+1) - SEARCH("/",E1687) - 1))-(LEFT(E1687,FIND("/",E1687)-1))), "NA"))</f>
        <v/>
      </c>
      <c r="K1687" s="79">
        <f>IF(A1687&lt;&gt;"", IF(ISBLANK(L1687), TODAY(), K1687), "")</f>
        <v/>
      </c>
      <c r="L1687" s="78" t="n"/>
      <c r="M1687" s="78">
        <f>IF(ISBLANK(L1687),"",IF(D1687="Stock",IF(C1687="Buy",L1687*G1687,IF(C1687="Sell",(L1687*G1687)-I1687, X)),IF(C1687="Buy",(L1687*G1687*100)+I1687,IF(C1687="Sell",(L1687*G1687*100)-I1687, X))))</f>
        <v/>
      </c>
      <c r="N1687" s="78">
        <f>IF(ISBLANK(L1687),"",IF(AND(C1687="Sell",D1687="Stock"),M1687,IF(ISBLANK(L1687),"",IF(C1687="Buy",M1687, IF(AND(C1687="Sell",J1687="NA"),(E1687*G1687*100*0.1)+I1687, IF(C1687="Sell",(J1687-L1687)*(100*G1687)+I1687))))))</f>
        <v/>
      </c>
      <c r="O1687" s="75" t="n"/>
      <c r="P1687" s="75" t="n"/>
      <c r="Q1687" s="75">
        <f>IF(ISBLANK(P1687),"",IF(D1687="Stock",P1687*G1687,IF(P1687=0,"0",G1687*P1687*100-(G1687*$AF$14))))</f>
        <v/>
      </c>
      <c r="R1687" s="79">
        <f>IF(P1687&lt;&gt;"", TODAY(), "")</f>
        <v/>
      </c>
      <c r="S1687" s="78">
        <f>IF(AND(K1687&lt;&gt;"", R1687&lt;&gt;""), R1687-K1687, "")</f>
        <v/>
      </c>
      <c r="T1687" s="78" t="n"/>
      <c r="U1687" s="92">
        <f>IF(ISBLANK(P1687),"",IF(C1687="Buy",Q1687-M1687+T1687, IF(C1687="Sell",M1687-Q1687-T1687, X)))</f>
        <v/>
      </c>
      <c r="V1687" s="81">
        <f>IF(ISBLANK(P1687),"",U1687/N1687)</f>
        <v/>
      </c>
      <c r="W1687" s="81">
        <f>IF(ISBLANK(P1687),"",IF(S1687=0,(365/0.5)*V1687,(365/S1687)*V1687))</f>
        <v/>
      </c>
      <c r="X1687" s="75" t="n"/>
      <c r="Y1687" s="77" t="n"/>
      <c r="Z1687" s="77" t="n"/>
      <c r="AA1687" s="75" t="n"/>
      <c r="AB1687" s="75" t="n"/>
      <c r="AC1687" s="6" t="n"/>
      <c r="AD1687" s="75" t="n"/>
      <c r="AE1687" s="75" t="n"/>
      <c r="AF1687" s="75" t="n"/>
    </row>
    <row r="1688" ht="15.75" customHeight="1" s="133">
      <c r="A1688" s="75" t="n"/>
      <c r="B1688" s="75" t="n"/>
      <c r="C1688" s="75" t="n"/>
      <c r="D1688" s="75" t="n"/>
      <c r="E1688" s="76" t="n"/>
      <c r="F1688" s="77" t="n"/>
      <c r="G1688" s="75" t="n"/>
      <c r="H1688" s="75">
        <f>IF(ISBLANK(E1688),"",IF(OR(D1688="Butterfly",D1688="Butterfly ",D1688="Iron Fly", D1688="Iron Fly "),LEN(E1688)-LEN(SUBSTITUTE(E1688,"/",""))+2,LEN(E1688)-LEN(SUBSTITUTE(E1688,"/",""))+1))</f>
        <v/>
      </c>
      <c r="I1688" s="78">
        <f>IF(ISBLANK(G1688),"",IF(D1688="Stock","0",Key!$A$3*H1688*G1688))</f>
        <v/>
      </c>
      <c r="J1688" s="78">
        <f>IF(ISBLANK(E1688),"",IF(ISNUMBER(SEARCH("/",E1688)), IF(LEN(E1688)-LEN(SUBSTITUTE(E1688,"/",""))=1,(RIGHT(E1688,LEN(E1688)-FIND("/",E1688)))-(LEFT(E1688,FIND("/",E1688)-1)),(MID(E1688, SEARCH("/",E1688) + 1, SEARCH("/",E1688, SEARCH("/",E1688)+1) - SEARCH("/",E1688) - 1))-(LEFT(E1688,FIND("/",E1688)-1))), "NA"))</f>
        <v/>
      </c>
      <c r="K1688" s="79">
        <f>IF(A1688&lt;&gt;"", IF(ISBLANK(L1688), TODAY(), K1688), "")</f>
        <v/>
      </c>
      <c r="L1688" s="78" t="n"/>
      <c r="M1688" s="78">
        <f>IF(ISBLANK(L1688),"",IF(D1688="Stock",IF(C1688="Buy",L1688*G1688,IF(C1688="Sell",(L1688*G1688)-I1688, X)),IF(C1688="Buy",(L1688*G1688*100)+I1688,IF(C1688="Sell",(L1688*G1688*100)-I1688, X))))</f>
        <v/>
      </c>
      <c r="N1688" s="78">
        <f>IF(ISBLANK(L1688),"",IF(AND(C1688="Sell",D1688="Stock"),M1688,IF(ISBLANK(L1688),"",IF(C1688="Buy",M1688, IF(AND(C1688="Sell",J1688="NA"),(E1688*G1688*100*0.1)+I1688, IF(C1688="Sell",(J1688-L1688)*(100*G1688)+I1688))))))</f>
        <v/>
      </c>
      <c r="O1688" s="75" t="n"/>
      <c r="P1688" s="75" t="n"/>
      <c r="Q1688" s="75">
        <f>IF(ISBLANK(P1688),"",IF(D1688="Stock",P1688*G1688,IF(P1688=0,"0",G1688*P1688*100-(G1688*$AF$14))))</f>
        <v/>
      </c>
      <c r="R1688" s="79">
        <f>IF(P1688&lt;&gt;"", TODAY(), "")</f>
        <v/>
      </c>
      <c r="S1688" s="78">
        <f>IF(AND(K1688&lt;&gt;"", R1688&lt;&gt;""), R1688-K1688, "")</f>
        <v/>
      </c>
      <c r="T1688" s="78" t="n"/>
      <c r="U1688" s="92">
        <f>IF(ISBLANK(P1688),"",IF(C1688="Buy",Q1688-M1688+T1688, IF(C1688="Sell",M1688-Q1688-T1688, X)))</f>
        <v/>
      </c>
      <c r="V1688" s="81">
        <f>IF(ISBLANK(P1688),"",U1688/N1688)</f>
        <v/>
      </c>
      <c r="W1688" s="81">
        <f>IF(ISBLANK(P1688),"",IF(S1688=0,(365/0.5)*V1688,(365/S1688)*V1688))</f>
        <v/>
      </c>
      <c r="X1688" s="75" t="n"/>
      <c r="Y1688" s="77" t="n"/>
      <c r="Z1688" s="77" t="n"/>
      <c r="AA1688" s="75" t="n"/>
      <c r="AB1688" s="75" t="n"/>
      <c r="AC1688" s="6" t="n"/>
      <c r="AD1688" s="75" t="n"/>
      <c r="AE1688" s="75" t="n"/>
      <c r="AF1688" s="75" t="n"/>
    </row>
    <row r="1689" ht="15.75" customHeight="1" s="133">
      <c r="A1689" s="75" t="n"/>
      <c r="B1689" s="75" t="n"/>
      <c r="C1689" s="75" t="n"/>
      <c r="D1689" s="75" t="n"/>
      <c r="E1689" s="76" t="n"/>
      <c r="F1689" s="77" t="n"/>
      <c r="G1689" s="75" t="n"/>
      <c r="H1689" s="75">
        <f>IF(ISBLANK(E1689),"",IF(OR(D1689="Butterfly",D1689="Butterfly ",D1689="Iron Fly", D1689="Iron Fly "),LEN(E1689)-LEN(SUBSTITUTE(E1689,"/",""))+2,LEN(E1689)-LEN(SUBSTITUTE(E1689,"/",""))+1))</f>
        <v/>
      </c>
      <c r="I1689" s="78">
        <f>IF(ISBLANK(G1689),"",IF(D1689="Stock","0",Key!$A$3*H1689*G1689))</f>
        <v/>
      </c>
      <c r="J1689" s="78">
        <f>IF(ISBLANK(E1689),"",IF(ISNUMBER(SEARCH("/",E1689)), IF(LEN(E1689)-LEN(SUBSTITUTE(E1689,"/",""))=1,(RIGHT(E1689,LEN(E1689)-FIND("/",E1689)))-(LEFT(E1689,FIND("/",E1689)-1)),(MID(E1689, SEARCH("/",E1689) + 1, SEARCH("/",E1689, SEARCH("/",E1689)+1) - SEARCH("/",E1689) - 1))-(LEFT(E1689,FIND("/",E1689)-1))), "NA"))</f>
        <v/>
      </c>
      <c r="K1689" s="79">
        <f>IF(A1689&lt;&gt;"", IF(ISBLANK(L1689), TODAY(), K1689), "")</f>
        <v/>
      </c>
      <c r="L1689" s="78" t="n"/>
      <c r="M1689" s="78">
        <f>IF(ISBLANK(L1689),"",IF(D1689="Stock",IF(C1689="Buy",L1689*G1689,IF(C1689="Sell",(L1689*G1689)-I1689, X)),IF(C1689="Buy",(L1689*G1689*100)+I1689,IF(C1689="Sell",(L1689*G1689*100)-I1689, X))))</f>
        <v/>
      </c>
      <c r="N1689" s="78">
        <f>IF(ISBLANK(L1689),"",IF(AND(C1689="Sell",D1689="Stock"),M1689,IF(ISBLANK(L1689),"",IF(C1689="Buy",M1689, IF(AND(C1689="Sell",J1689="NA"),(E1689*G1689*100*0.1)+I1689, IF(C1689="Sell",(J1689-L1689)*(100*G1689)+I1689))))))</f>
        <v/>
      </c>
      <c r="O1689" s="75" t="n"/>
      <c r="P1689" s="75" t="n"/>
      <c r="Q1689" s="75">
        <f>IF(ISBLANK(P1689),"",IF(D1689="Stock",P1689*G1689,IF(P1689=0,"0",G1689*P1689*100-(G1689*$AF$14))))</f>
        <v/>
      </c>
      <c r="R1689" s="79">
        <f>IF(P1689&lt;&gt;"", TODAY(), "")</f>
        <v/>
      </c>
      <c r="S1689" s="78">
        <f>IF(AND(K1689&lt;&gt;"", R1689&lt;&gt;""), R1689-K1689, "")</f>
        <v/>
      </c>
      <c r="T1689" s="78" t="n"/>
      <c r="U1689" s="92">
        <f>IF(ISBLANK(P1689),"",IF(C1689="Buy",Q1689-M1689+T1689, IF(C1689="Sell",M1689-Q1689-T1689, X)))</f>
        <v/>
      </c>
      <c r="V1689" s="81">
        <f>IF(ISBLANK(P1689),"",U1689/N1689)</f>
        <v/>
      </c>
      <c r="W1689" s="81">
        <f>IF(ISBLANK(P1689),"",IF(S1689=0,(365/0.5)*V1689,(365/S1689)*V1689))</f>
        <v/>
      </c>
      <c r="X1689" s="75" t="n"/>
      <c r="Y1689" s="77" t="n"/>
      <c r="Z1689" s="77" t="n"/>
      <c r="AA1689" s="75" t="n"/>
      <c r="AB1689" s="75" t="n"/>
      <c r="AC1689" s="6" t="n"/>
      <c r="AD1689" s="75" t="n"/>
      <c r="AE1689" s="75" t="n"/>
      <c r="AF1689" s="75" t="n"/>
    </row>
    <row r="1690" ht="15.75" customHeight="1" s="133">
      <c r="A1690" s="75" t="n"/>
      <c r="B1690" s="75" t="n"/>
      <c r="C1690" s="75" t="n"/>
      <c r="D1690" s="75" t="n"/>
      <c r="E1690" s="76" t="n"/>
      <c r="F1690" s="77" t="n"/>
      <c r="G1690" s="75" t="n"/>
      <c r="H1690" s="75">
        <f>IF(ISBLANK(E1690),"",IF(OR(D1690="Butterfly",D1690="Butterfly ",D1690="Iron Fly", D1690="Iron Fly "),LEN(E1690)-LEN(SUBSTITUTE(E1690,"/",""))+2,LEN(E1690)-LEN(SUBSTITUTE(E1690,"/",""))+1))</f>
        <v/>
      </c>
      <c r="I1690" s="78">
        <f>IF(ISBLANK(G1690),"",IF(D1690="Stock","0",Key!$A$3*H1690*G1690))</f>
        <v/>
      </c>
      <c r="J1690" s="78">
        <f>IF(ISBLANK(E1690),"",IF(ISNUMBER(SEARCH("/",E1690)), IF(LEN(E1690)-LEN(SUBSTITUTE(E1690,"/",""))=1,(RIGHT(E1690,LEN(E1690)-FIND("/",E1690)))-(LEFT(E1690,FIND("/",E1690)-1)),(MID(E1690, SEARCH("/",E1690) + 1, SEARCH("/",E1690, SEARCH("/",E1690)+1) - SEARCH("/",E1690) - 1))-(LEFT(E1690,FIND("/",E1690)-1))), "NA"))</f>
        <v/>
      </c>
      <c r="K1690" s="79">
        <f>IF(A1690&lt;&gt;"", IF(ISBLANK(L1690), TODAY(), K1690), "")</f>
        <v/>
      </c>
      <c r="L1690" s="78" t="n"/>
      <c r="M1690" s="78">
        <f>IF(ISBLANK(L1690),"",IF(D1690="Stock",IF(C1690="Buy",L1690*G1690,IF(C1690="Sell",(L1690*G1690)-I1690, X)),IF(C1690="Buy",(L1690*G1690*100)+I1690,IF(C1690="Sell",(L1690*G1690*100)-I1690, X))))</f>
        <v/>
      </c>
      <c r="N1690" s="78">
        <f>IF(ISBLANK(L1690),"",IF(AND(C1690="Sell",D1690="Stock"),M1690,IF(ISBLANK(L1690),"",IF(C1690="Buy",M1690, IF(AND(C1690="Sell",J1690="NA"),(E1690*G1690*100*0.1)+I1690, IF(C1690="Sell",(J1690-L1690)*(100*G1690)+I1690))))))</f>
        <v/>
      </c>
      <c r="O1690" s="75" t="n"/>
      <c r="P1690" s="75" t="n"/>
      <c r="Q1690" s="75">
        <f>IF(ISBLANK(P1690),"",IF(D1690="Stock",P1690*G1690,IF(P1690=0,"0",G1690*P1690*100-(G1690*$AF$14))))</f>
        <v/>
      </c>
      <c r="R1690" s="79">
        <f>IF(P1690&lt;&gt;"", TODAY(), "")</f>
        <v/>
      </c>
      <c r="S1690" s="78">
        <f>IF(AND(K1690&lt;&gt;"", R1690&lt;&gt;""), R1690-K1690, "")</f>
        <v/>
      </c>
      <c r="T1690" s="78" t="n"/>
      <c r="U1690" s="92">
        <f>IF(ISBLANK(P1690),"",IF(C1690="Buy",Q1690-M1690+T1690, IF(C1690="Sell",M1690-Q1690-T1690, X)))</f>
        <v/>
      </c>
      <c r="V1690" s="81">
        <f>IF(ISBLANK(P1690),"",U1690/N1690)</f>
        <v/>
      </c>
      <c r="W1690" s="81">
        <f>IF(ISBLANK(P1690),"",IF(S1690=0,(365/0.5)*V1690,(365/S1690)*V1690))</f>
        <v/>
      </c>
      <c r="X1690" s="75" t="n"/>
      <c r="Y1690" s="77" t="n"/>
      <c r="Z1690" s="77" t="n"/>
      <c r="AA1690" s="75" t="n"/>
      <c r="AB1690" s="75" t="n"/>
      <c r="AC1690" s="6" t="n"/>
      <c r="AD1690" s="75" t="n"/>
      <c r="AE1690" s="75" t="n"/>
      <c r="AF1690" s="75" t="n"/>
    </row>
    <row r="1691" ht="15.75" customHeight="1" s="133">
      <c r="A1691" s="75" t="n"/>
      <c r="B1691" s="75" t="n"/>
      <c r="C1691" s="75" t="n"/>
      <c r="D1691" s="75" t="n"/>
      <c r="E1691" s="76" t="n"/>
      <c r="F1691" s="77" t="n"/>
      <c r="G1691" s="75" t="n"/>
      <c r="H1691" s="75">
        <f>IF(ISBLANK(E1691),"",IF(OR(D1691="Butterfly",D1691="Butterfly ",D1691="Iron Fly", D1691="Iron Fly "),LEN(E1691)-LEN(SUBSTITUTE(E1691,"/",""))+2,LEN(E1691)-LEN(SUBSTITUTE(E1691,"/",""))+1))</f>
        <v/>
      </c>
      <c r="I1691" s="78">
        <f>IF(ISBLANK(G1691),"",IF(D1691="Stock","0",Key!$A$3*H1691*G1691))</f>
        <v/>
      </c>
      <c r="J1691" s="78">
        <f>IF(ISBLANK(E1691),"",IF(ISNUMBER(SEARCH("/",E1691)), IF(LEN(E1691)-LEN(SUBSTITUTE(E1691,"/",""))=1,(RIGHT(E1691,LEN(E1691)-FIND("/",E1691)))-(LEFT(E1691,FIND("/",E1691)-1)),(MID(E1691, SEARCH("/",E1691) + 1, SEARCH("/",E1691, SEARCH("/",E1691)+1) - SEARCH("/",E1691) - 1))-(LEFT(E1691,FIND("/",E1691)-1))), "NA"))</f>
        <v/>
      </c>
      <c r="K1691" s="79">
        <f>IF(A1691&lt;&gt;"", IF(ISBLANK(L1691), TODAY(), K1691), "")</f>
        <v/>
      </c>
      <c r="L1691" s="78" t="n"/>
      <c r="M1691" s="78">
        <f>IF(ISBLANK(L1691),"",IF(D1691="Stock",IF(C1691="Buy",L1691*G1691,IF(C1691="Sell",(L1691*G1691)-I1691, X)),IF(C1691="Buy",(L1691*G1691*100)+I1691,IF(C1691="Sell",(L1691*G1691*100)-I1691, X))))</f>
        <v/>
      </c>
      <c r="N1691" s="78">
        <f>IF(ISBLANK(L1691),"",IF(AND(C1691="Sell",D1691="Stock"),M1691,IF(ISBLANK(L1691),"",IF(C1691="Buy",M1691, IF(AND(C1691="Sell",J1691="NA"),(E1691*G1691*100*0.1)+I1691, IF(C1691="Sell",(J1691-L1691)*(100*G1691)+I1691))))))</f>
        <v/>
      </c>
      <c r="O1691" s="75" t="n"/>
      <c r="P1691" s="75" t="n"/>
      <c r="Q1691" s="75">
        <f>IF(ISBLANK(P1691),"",IF(D1691="Stock",P1691*G1691,IF(P1691=0,"0",G1691*P1691*100-(G1691*$AF$14))))</f>
        <v/>
      </c>
      <c r="R1691" s="79">
        <f>IF(P1691&lt;&gt;"", TODAY(), "")</f>
        <v/>
      </c>
      <c r="S1691" s="78">
        <f>IF(AND(K1691&lt;&gt;"", R1691&lt;&gt;""), R1691-K1691, "")</f>
        <v/>
      </c>
      <c r="T1691" s="78" t="n"/>
      <c r="U1691" s="92">
        <f>IF(ISBLANK(P1691),"",IF(C1691="Buy",Q1691-M1691+T1691, IF(C1691="Sell",M1691-Q1691-T1691, X)))</f>
        <v/>
      </c>
      <c r="V1691" s="81">
        <f>IF(ISBLANK(P1691),"",U1691/N1691)</f>
        <v/>
      </c>
      <c r="W1691" s="81">
        <f>IF(ISBLANK(P1691),"",IF(S1691=0,(365/0.5)*V1691,(365/S1691)*V1691))</f>
        <v/>
      </c>
      <c r="X1691" s="75" t="n"/>
      <c r="Y1691" s="77" t="n"/>
      <c r="Z1691" s="77" t="n"/>
      <c r="AA1691" s="75" t="n"/>
      <c r="AB1691" s="75" t="n"/>
      <c r="AC1691" s="6" t="n"/>
      <c r="AD1691" s="75" t="n"/>
      <c r="AE1691" s="75" t="n"/>
      <c r="AF1691" s="75" t="n"/>
    </row>
    <row r="1692" ht="15.75" customHeight="1" s="133">
      <c r="A1692" s="75" t="n"/>
      <c r="B1692" s="75" t="n"/>
      <c r="C1692" s="75" t="n"/>
      <c r="D1692" s="75" t="n"/>
      <c r="E1692" s="76" t="n"/>
      <c r="F1692" s="77" t="n"/>
      <c r="G1692" s="75" t="n"/>
      <c r="H1692" s="75">
        <f>IF(ISBLANK(E1692),"",IF(OR(D1692="Butterfly",D1692="Butterfly ",D1692="Iron Fly", D1692="Iron Fly "),LEN(E1692)-LEN(SUBSTITUTE(E1692,"/",""))+2,LEN(E1692)-LEN(SUBSTITUTE(E1692,"/",""))+1))</f>
        <v/>
      </c>
      <c r="I1692" s="78">
        <f>IF(ISBLANK(G1692),"",IF(D1692="Stock","0",Key!$A$3*H1692*G1692))</f>
        <v/>
      </c>
      <c r="J1692" s="78">
        <f>IF(ISBLANK(E1692),"",IF(ISNUMBER(SEARCH("/",E1692)), IF(LEN(E1692)-LEN(SUBSTITUTE(E1692,"/",""))=1,(RIGHT(E1692,LEN(E1692)-FIND("/",E1692)))-(LEFT(E1692,FIND("/",E1692)-1)),(MID(E1692, SEARCH("/",E1692) + 1, SEARCH("/",E1692, SEARCH("/",E1692)+1) - SEARCH("/",E1692) - 1))-(LEFT(E1692,FIND("/",E1692)-1))), "NA"))</f>
        <v/>
      </c>
      <c r="K1692" s="79">
        <f>IF(A1692&lt;&gt;"", IF(ISBLANK(L1692), TODAY(), K1692), "")</f>
        <v/>
      </c>
      <c r="L1692" s="78" t="n"/>
      <c r="M1692" s="78">
        <f>IF(ISBLANK(L1692),"",IF(D1692="Stock",IF(C1692="Buy",L1692*G1692,IF(C1692="Sell",(L1692*G1692)-I1692, X)),IF(C1692="Buy",(L1692*G1692*100)+I1692,IF(C1692="Sell",(L1692*G1692*100)-I1692, X))))</f>
        <v/>
      </c>
      <c r="N1692" s="78">
        <f>IF(ISBLANK(L1692),"",IF(AND(C1692="Sell",D1692="Stock"),M1692,IF(ISBLANK(L1692),"",IF(C1692="Buy",M1692, IF(AND(C1692="Sell",J1692="NA"),(E1692*G1692*100*0.1)+I1692, IF(C1692="Sell",(J1692-L1692)*(100*G1692)+I1692))))))</f>
        <v/>
      </c>
      <c r="O1692" s="75" t="n"/>
      <c r="P1692" s="75" t="n"/>
      <c r="Q1692" s="75">
        <f>IF(ISBLANK(P1692),"",IF(D1692="Stock",P1692*G1692,IF(P1692=0,"0",G1692*P1692*100-(G1692*$AF$14))))</f>
        <v/>
      </c>
      <c r="R1692" s="79">
        <f>IF(P1692&lt;&gt;"", TODAY(), "")</f>
        <v/>
      </c>
      <c r="S1692" s="78">
        <f>IF(AND(K1692&lt;&gt;"", R1692&lt;&gt;""), R1692-K1692, "")</f>
        <v/>
      </c>
      <c r="T1692" s="78" t="n"/>
      <c r="U1692" s="92">
        <f>IF(ISBLANK(P1692),"",IF(C1692="Buy",Q1692-M1692+T1692, IF(C1692="Sell",M1692-Q1692-T1692, X)))</f>
        <v/>
      </c>
      <c r="V1692" s="81">
        <f>IF(ISBLANK(P1692),"",U1692/N1692)</f>
        <v/>
      </c>
      <c r="W1692" s="81">
        <f>IF(ISBLANK(P1692),"",IF(S1692=0,(365/0.5)*V1692,(365/S1692)*V1692))</f>
        <v/>
      </c>
      <c r="X1692" s="75" t="n"/>
      <c r="Y1692" s="77" t="n"/>
      <c r="Z1692" s="77" t="n"/>
      <c r="AA1692" s="75" t="n"/>
      <c r="AB1692" s="75" t="n"/>
      <c r="AC1692" s="6" t="n"/>
      <c r="AD1692" s="75" t="n"/>
      <c r="AE1692" s="75" t="n"/>
      <c r="AF1692" s="75" t="n"/>
    </row>
    <row r="1693" ht="15.75" customHeight="1" s="133">
      <c r="A1693" s="75" t="n"/>
      <c r="B1693" s="75" t="n"/>
      <c r="C1693" s="75" t="n"/>
      <c r="D1693" s="75" t="n"/>
      <c r="E1693" s="76" t="n"/>
      <c r="F1693" s="77" t="n"/>
      <c r="G1693" s="75" t="n"/>
      <c r="H1693" s="75">
        <f>IF(ISBLANK(E1693),"",IF(OR(D1693="Butterfly",D1693="Butterfly ",D1693="Iron Fly", D1693="Iron Fly "),LEN(E1693)-LEN(SUBSTITUTE(E1693,"/",""))+2,LEN(E1693)-LEN(SUBSTITUTE(E1693,"/",""))+1))</f>
        <v/>
      </c>
      <c r="I1693" s="78">
        <f>IF(ISBLANK(G1693),"",IF(D1693="Stock","0",Key!$A$3*H1693*G1693))</f>
        <v/>
      </c>
      <c r="J1693" s="78">
        <f>IF(ISBLANK(E1693),"",IF(ISNUMBER(SEARCH("/",E1693)), IF(LEN(E1693)-LEN(SUBSTITUTE(E1693,"/",""))=1,(RIGHT(E1693,LEN(E1693)-FIND("/",E1693)))-(LEFT(E1693,FIND("/",E1693)-1)),(MID(E1693, SEARCH("/",E1693) + 1, SEARCH("/",E1693, SEARCH("/",E1693)+1) - SEARCH("/",E1693) - 1))-(LEFT(E1693,FIND("/",E1693)-1))), "NA"))</f>
        <v/>
      </c>
      <c r="K1693" s="79">
        <f>IF(A1693&lt;&gt;"", IF(ISBLANK(L1693), TODAY(), K1693), "")</f>
        <v/>
      </c>
      <c r="L1693" s="78" t="n"/>
      <c r="M1693" s="78">
        <f>IF(ISBLANK(L1693),"",IF(D1693="Stock",IF(C1693="Buy",L1693*G1693,IF(C1693="Sell",(L1693*G1693)-I1693, X)),IF(C1693="Buy",(L1693*G1693*100)+I1693,IF(C1693="Sell",(L1693*G1693*100)-I1693, X))))</f>
        <v/>
      </c>
      <c r="N1693" s="78">
        <f>IF(ISBLANK(L1693),"",IF(AND(C1693="Sell",D1693="Stock"),M1693,IF(ISBLANK(L1693),"",IF(C1693="Buy",M1693, IF(AND(C1693="Sell",J1693="NA"),(E1693*G1693*100*0.1)+I1693, IF(C1693="Sell",(J1693-L1693)*(100*G1693)+I1693))))))</f>
        <v/>
      </c>
      <c r="O1693" s="75" t="n"/>
      <c r="P1693" s="75" t="n"/>
      <c r="Q1693" s="75">
        <f>IF(ISBLANK(P1693),"",IF(D1693="Stock",P1693*G1693,IF(P1693=0,"0",G1693*P1693*100-(G1693*$AF$14))))</f>
        <v/>
      </c>
      <c r="R1693" s="79">
        <f>IF(P1693&lt;&gt;"", TODAY(), "")</f>
        <v/>
      </c>
      <c r="S1693" s="78">
        <f>IF(AND(K1693&lt;&gt;"", R1693&lt;&gt;""), R1693-K1693, "")</f>
        <v/>
      </c>
      <c r="T1693" s="78" t="n"/>
      <c r="U1693" s="92">
        <f>IF(ISBLANK(P1693),"",IF(C1693="Buy",Q1693-M1693+T1693, IF(C1693="Sell",M1693-Q1693-T1693, X)))</f>
        <v/>
      </c>
      <c r="V1693" s="81">
        <f>IF(ISBLANK(P1693),"",U1693/N1693)</f>
        <v/>
      </c>
      <c r="W1693" s="81">
        <f>IF(ISBLANK(P1693),"",IF(S1693=0,(365/0.5)*V1693,(365/S1693)*V1693))</f>
        <v/>
      </c>
      <c r="X1693" s="75" t="n"/>
      <c r="Y1693" s="77" t="n"/>
      <c r="Z1693" s="77" t="n"/>
      <c r="AA1693" s="75" t="n"/>
      <c r="AB1693" s="75" t="n"/>
      <c r="AC1693" s="6" t="n"/>
      <c r="AD1693" s="75" t="n"/>
      <c r="AE1693" s="75" t="n"/>
      <c r="AF1693" s="75" t="n"/>
    </row>
    <row r="1694" ht="15.75" customHeight="1" s="133">
      <c r="A1694" s="75" t="n"/>
      <c r="B1694" s="75" t="n"/>
      <c r="C1694" s="75" t="n"/>
      <c r="D1694" s="75" t="n"/>
      <c r="E1694" s="76" t="n"/>
      <c r="F1694" s="77" t="n"/>
      <c r="G1694" s="75" t="n"/>
      <c r="H1694" s="75">
        <f>IF(ISBLANK(E1694),"",IF(OR(D1694="Butterfly",D1694="Butterfly ",D1694="Iron Fly", D1694="Iron Fly "),LEN(E1694)-LEN(SUBSTITUTE(E1694,"/",""))+2,LEN(E1694)-LEN(SUBSTITUTE(E1694,"/",""))+1))</f>
        <v/>
      </c>
      <c r="I1694" s="78">
        <f>IF(ISBLANK(G1694),"",IF(D1694="Stock","0",Key!$A$3*H1694*G1694))</f>
        <v/>
      </c>
      <c r="J1694" s="78">
        <f>IF(ISBLANK(E1694),"",IF(ISNUMBER(SEARCH("/",E1694)), IF(LEN(E1694)-LEN(SUBSTITUTE(E1694,"/",""))=1,(RIGHT(E1694,LEN(E1694)-FIND("/",E1694)))-(LEFT(E1694,FIND("/",E1694)-1)),(MID(E1694, SEARCH("/",E1694) + 1, SEARCH("/",E1694, SEARCH("/",E1694)+1) - SEARCH("/",E1694) - 1))-(LEFT(E1694,FIND("/",E1694)-1))), "NA"))</f>
        <v/>
      </c>
      <c r="K1694" s="79">
        <f>IF(A1694&lt;&gt;"", IF(ISBLANK(L1694), TODAY(), K1694), "")</f>
        <v/>
      </c>
      <c r="L1694" s="78" t="n"/>
      <c r="M1694" s="78">
        <f>IF(ISBLANK(L1694),"",IF(D1694="Stock",IF(C1694="Buy",L1694*G1694,IF(C1694="Sell",(L1694*G1694)-I1694, X)),IF(C1694="Buy",(L1694*G1694*100)+I1694,IF(C1694="Sell",(L1694*G1694*100)-I1694, X))))</f>
        <v/>
      </c>
      <c r="N1694" s="78">
        <f>IF(ISBLANK(L1694),"",IF(AND(C1694="Sell",D1694="Stock"),M1694,IF(ISBLANK(L1694),"",IF(C1694="Buy",M1694, IF(AND(C1694="Sell",J1694="NA"),(E1694*G1694*100*0.1)+I1694, IF(C1694="Sell",(J1694-L1694)*(100*G1694)+I1694))))))</f>
        <v/>
      </c>
      <c r="O1694" s="75" t="n"/>
      <c r="P1694" s="75" t="n"/>
      <c r="Q1694" s="75">
        <f>IF(ISBLANK(P1694),"",IF(D1694="Stock",P1694*G1694,IF(P1694=0,"0",G1694*P1694*100-(G1694*$AF$14))))</f>
        <v/>
      </c>
      <c r="R1694" s="79">
        <f>IF(P1694&lt;&gt;"", TODAY(), "")</f>
        <v/>
      </c>
      <c r="S1694" s="78">
        <f>IF(AND(K1694&lt;&gt;"", R1694&lt;&gt;""), R1694-K1694, "")</f>
        <v/>
      </c>
      <c r="T1694" s="78" t="n"/>
      <c r="U1694" s="92">
        <f>IF(ISBLANK(P1694),"",IF(C1694="Buy",Q1694-M1694+T1694, IF(C1694="Sell",M1694-Q1694-T1694, X)))</f>
        <v/>
      </c>
      <c r="V1694" s="81">
        <f>IF(ISBLANK(P1694),"",U1694/N1694)</f>
        <v/>
      </c>
      <c r="W1694" s="81">
        <f>IF(ISBLANK(P1694),"",IF(S1694=0,(365/0.5)*V1694,(365/S1694)*V1694))</f>
        <v/>
      </c>
      <c r="X1694" s="75" t="n"/>
      <c r="Y1694" s="77" t="n"/>
      <c r="Z1694" s="77" t="n"/>
      <c r="AA1694" s="75" t="n"/>
      <c r="AB1694" s="75" t="n"/>
      <c r="AC1694" s="6" t="n"/>
      <c r="AD1694" s="75" t="n"/>
      <c r="AE1694" s="75" t="n"/>
      <c r="AF1694" s="75" t="n"/>
    </row>
    <row r="1695" ht="15.75" customHeight="1" s="133">
      <c r="A1695" s="75" t="n"/>
      <c r="B1695" s="75" t="n"/>
      <c r="C1695" s="75" t="n"/>
      <c r="D1695" s="75" t="n"/>
      <c r="E1695" s="76" t="n"/>
      <c r="F1695" s="77" t="n"/>
      <c r="G1695" s="75" t="n"/>
      <c r="H1695" s="75">
        <f>IF(ISBLANK(E1695),"",IF(OR(D1695="Butterfly",D1695="Butterfly ",D1695="Iron Fly", D1695="Iron Fly "),LEN(E1695)-LEN(SUBSTITUTE(E1695,"/",""))+2,LEN(E1695)-LEN(SUBSTITUTE(E1695,"/",""))+1))</f>
        <v/>
      </c>
      <c r="I1695" s="78">
        <f>IF(ISBLANK(G1695),"",IF(D1695="Stock","0",Key!$A$3*H1695*G1695))</f>
        <v/>
      </c>
      <c r="J1695" s="78">
        <f>IF(ISBLANK(E1695),"",IF(ISNUMBER(SEARCH("/",E1695)), IF(LEN(E1695)-LEN(SUBSTITUTE(E1695,"/",""))=1,(RIGHT(E1695,LEN(E1695)-FIND("/",E1695)))-(LEFT(E1695,FIND("/",E1695)-1)),(MID(E1695, SEARCH("/",E1695) + 1, SEARCH("/",E1695, SEARCH("/",E1695)+1) - SEARCH("/",E1695) - 1))-(LEFT(E1695,FIND("/",E1695)-1))), "NA"))</f>
        <v/>
      </c>
      <c r="K1695" s="79">
        <f>IF(A1695&lt;&gt;"", IF(ISBLANK(L1695), TODAY(), K1695), "")</f>
        <v/>
      </c>
      <c r="L1695" s="78" t="n"/>
      <c r="M1695" s="78">
        <f>IF(ISBLANK(L1695),"",IF(D1695="Stock",IF(C1695="Buy",L1695*G1695,IF(C1695="Sell",(L1695*G1695)-I1695, X)),IF(C1695="Buy",(L1695*G1695*100)+I1695,IF(C1695="Sell",(L1695*G1695*100)-I1695, X))))</f>
        <v/>
      </c>
      <c r="N1695" s="78">
        <f>IF(ISBLANK(L1695),"",IF(AND(C1695="Sell",D1695="Stock"),M1695,IF(ISBLANK(L1695),"",IF(C1695="Buy",M1695, IF(AND(C1695="Sell",J1695="NA"),(E1695*G1695*100*0.1)+I1695, IF(C1695="Sell",(J1695-L1695)*(100*G1695)+I1695))))))</f>
        <v/>
      </c>
      <c r="O1695" s="75" t="n"/>
      <c r="P1695" s="75" t="n"/>
      <c r="Q1695" s="75">
        <f>IF(ISBLANK(P1695),"",IF(D1695="Stock",P1695*G1695,IF(P1695=0,"0",G1695*P1695*100-(G1695*$AF$14))))</f>
        <v/>
      </c>
      <c r="R1695" s="79">
        <f>IF(P1695&lt;&gt;"", TODAY(), "")</f>
        <v/>
      </c>
      <c r="S1695" s="78">
        <f>IF(AND(K1695&lt;&gt;"", R1695&lt;&gt;""), R1695-K1695, "")</f>
        <v/>
      </c>
      <c r="T1695" s="78" t="n"/>
      <c r="U1695" s="92">
        <f>IF(ISBLANK(P1695),"",IF(C1695="Buy",Q1695-M1695+T1695, IF(C1695="Sell",M1695-Q1695-T1695, X)))</f>
        <v/>
      </c>
      <c r="V1695" s="81">
        <f>IF(ISBLANK(P1695),"",U1695/N1695)</f>
        <v/>
      </c>
      <c r="W1695" s="81">
        <f>IF(ISBLANK(P1695),"",IF(S1695=0,(365/0.5)*V1695,(365/S1695)*V1695))</f>
        <v/>
      </c>
      <c r="X1695" s="75" t="n"/>
      <c r="Y1695" s="77" t="n"/>
      <c r="Z1695" s="77" t="n"/>
      <c r="AA1695" s="75" t="n"/>
      <c r="AB1695" s="75" t="n"/>
      <c r="AC1695" s="6" t="n"/>
      <c r="AD1695" s="75" t="n"/>
      <c r="AE1695" s="75" t="n"/>
      <c r="AF1695" s="75" t="n"/>
    </row>
    <row r="1696" ht="15.75" customHeight="1" s="133">
      <c r="A1696" s="75" t="n"/>
      <c r="B1696" s="75" t="n"/>
      <c r="C1696" s="75" t="n"/>
      <c r="D1696" s="75" t="n"/>
      <c r="E1696" s="76" t="n"/>
      <c r="F1696" s="77" t="n"/>
      <c r="G1696" s="75" t="n"/>
      <c r="H1696" s="75">
        <f>IF(ISBLANK(E1696),"",IF(OR(D1696="Butterfly",D1696="Butterfly ",D1696="Iron Fly", D1696="Iron Fly "),LEN(E1696)-LEN(SUBSTITUTE(E1696,"/",""))+2,LEN(E1696)-LEN(SUBSTITUTE(E1696,"/",""))+1))</f>
        <v/>
      </c>
      <c r="I1696" s="78">
        <f>IF(ISBLANK(G1696),"",IF(D1696="Stock","0",Key!$A$3*H1696*G1696))</f>
        <v/>
      </c>
      <c r="J1696" s="78">
        <f>IF(ISBLANK(E1696),"",IF(ISNUMBER(SEARCH("/",E1696)), IF(LEN(E1696)-LEN(SUBSTITUTE(E1696,"/",""))=1,(RIGHT(E1696,LEN(E1696)-FIND("/",E1696)))-(LEFT(E1696,FIND("/",E1696)-1)),(MID(E1696, SEARCH("/",E1696) + 1, SEARCH("/",E1696, SEARCH("/",E1696)+1) - SEARCH("/",E1696) - 1))-(LEFT(E1696,FIND("/",E1696)-1))), "NA"))</f>
        <v/>
      </c>
      <c r="K1696" s="79">
        <f>IF(A1696&lt;&gt;"", IF(ISBLANK(L1696), TODAY(), K1696), "")</f>
        <v/>
      </c>
      <c r="L1696" s="78" t="n"/>
      <c r="M1696" s="78">
        <f>IF(ISBLANK(L1696),"",IF(D1696="Stock",IF(C1696="Buy",L1696*G1696,IF(C1696="Sell",(L1696*G1696)-I1696, X)),IF(C1696="Buy",(L1696*G1696*100)+I1696,IF(C1696="Sell",(L1696*G1696*100)-I1696, X))))</f>
        <v/>
      </c>
      <c r="N1696" s="78">
        <f>IF(ISBLANK(L1696),"",IF(AND(C1696="Sell",D1696="Stock"),M1696,IF(ISBLANK(L1696),"",IF(C1696="Buy",M1696, IF(AND(C1696="Sell",J1696="NA"),(E1696*G1696*100*0.1)+I1696, IF(C1696="Sell",(J1696-L1696)*(100*G1696)+I1696))))))</f>
        <v/>
      </c>
      <c r="O1696" s="75" t="n"/>
      <c r="P1696" s="75" t="n"/>
      <c r="Q1696" s="75">
        <f>IF(ISBLANK(P1696),"",IF(D1696="Stock",P1696*G1696,IF(P1696=0,"0",G1696*P1696*100-(G1696*$AF$14))))</f>
        <v/>
      </c>
      <c r="R1696" s="79">
        <f>IF(P1696&lt;&gt;"", TODAY(), "")</f>
        <v/>
      </c>
      <c r="S1696" s="78">
        <f>IF(AND(K1696&lt;&gt;"", R1696&lt;&gt;""), R1696-K1696, "")</f>
        <v/>
      </c>
      <c r="T1696" s="78" t="n"/>
      <c r="U1696" s="92">
        <f>IF(ISBLANK(P1696),"",IF(C1696="Buy",Q1696-M1696+T1696, IF(C1696="Sell",M1696-Q1696-T1696, X)))</f>
        <v/>
      </c>
      <c r="V1696" s="81">
        <f>IF(ISBLANK(P1696),"",U1696/N1696)</f>
        <v/>
      </c>
      <c r="W1696" s="81">
        <f>IF(ISBLANK(P1696),"",IF(S1696=0,(365/0.5)*V1696,(365/S1696)*V1696))</f>
        <v/>
      </c>
      <c r="X1696" s="75" t="n"/>
      <c r="Y1696" s="77" t="n"/>
      <c r="Z1696" s="77" t="n"/>
      <c r="AA1696" s="75" t="n"/>
      <c r="AB1696" s="75" t="n"/>
      <c r="AC1696" s="6" t="n"/>
      <c r="AD1696" s="75" t="n"/>
      <c r="AE1696" s="75" t="n"/>
      <c r="AF1696" s="75" t="n"/>
    </row>
    <row r="1697" ht="15.75" customHeight="1" s="133">
      <c r="A1697" s="75" t="n"/>
      <c r="B1697" s="75" t="n"/>
      <c r="C1697" s="75" t="n"/>
      <c r="D1697" s="75" t="n"/>
      <c r="E1697" s="76" t="n"/>
      <c r="F1697" s="77" t="n"/>
      <c r="G1697" s="75" t="n"/>
      <c r="H1697" s="75">
        <f>IF(ISBLANK(E1697),"",IF(OR(D1697="Butterfly",D1697="Butterfly ",D1697="Iron Fly", D1697="Iron Fly "),LEN(E1697)-LEN(SUBSTITUTE(E1697,"/",""))+2,LEN(E1697)-LEN(SUBSTITUTE(E1697,"/",""))+1))</f>
        <v/>
      </c>
      <c r="I1697" s="78">
        <f>IF(ISBLANK(G1697),"",IF(D1697="Stock","0",Key!$A$3*H1697*G1697))</f>
        <v/>
      </c>
      <c r="J1697" s="78">
        <f>IF(ISBLANK(E1697),"",IF(ISNUMBER(SEARCH("/",E1697)), IF(LEN(E1697)-LEN(SUBSTITUTE(E1697,"/",""))=1,(RIGHT(E1697,LEN(E1697)-FIND("/",E1697)))-(LEFT(E1697,FIND("/",E1697)-1)),(MID(E1697, SEARCH("/",E1697) + 1, SEARCH("/",E1697, SEARCH("/",E1697)+1) - SEARCH("/",E1697) - 1))-(LEFT(E1697,FIND("/",E1697)-1))), "NA"))</f>
        <v/>
      </c>
      <c r="K1697" s="79">
        <f>IF(A1697&lt;&gt;"", IF(ISBLANK(L1697), TODAY(), K1697), "")</f>
        <v/>
      </c>
      <c r="L1697" s="78" t="n"/>
      <c r="M1697" s="78">
        <f>IF(ISBLANK(L1697),"",IF(D1697="Stock",IF(C1697="Buy",L1697*G1697,IF(C1697="Sell",(L1697*G1697)-I1697, X)),IF(C1697="Buy",(L1697*G1697*100)+I1697,IF(C1697="Sell",(L1697*G1697*100)-I1697, X))))</f>
        <v/>
      </c>
      <c r="N1697" s="78">
        <f>IF(ISBLANK(L1697),"",IF(AND(C1697="Sell",D1697="Stock"),M1697,IF(ISBLANK(L1697),"",IF(C1697="Buy",M1697, IF(AND(C1697="Sell",J1697="NA"),(E1697*G1697*100*0.1)+I1697, IF(C1697="Sell",(J1697-L1697)*(100*G1697)+I1697))))))</f>
        <v/>
      </c>
      <c r="O1697" s="75" t="n"/>
      <c r="P1697" s="75" t="n"/>
      <c r="Q1697" s="75">
        <f>IF(ISBLANK(P1697),"",IF(D1697="Stock",P1697*G1697,IF(P1697=0,"0",G1697*P1697*100-(G1697*$AF$14))))</f>
        <v/>
      </c>
      <c r="R1697" s="79">
        <f>IF(P1697&lt;&gt;"", TODAY(), "")</f>
        <v/>
      </c>
      <c r="S1697" s="78">
        <f>IF(AND(K1697&lt;&gt;"", R1697&lt;&gt;""), R1697-K1697, "")</f>
        <v/>
      </c>
      <c r="T1697" s="78" t="n"/>
      <c r="U1697" s="92">
        <f>IF(ISBLANK(P1697),"",IF(C1697="Buy",Q1697-M1697+T1697, IF(C1697="Sell",M1697-Q1697-T1697, X)))</f>
        <v/>
      </c>
      <c r="V1697" s="81">
        <f>IF(ISBLANK(P1697),"",U1697/N1697)</f>
        <v/>
      </c>
      <c r="W1697" s="81">
        <f>IF(ISBLANK(P1697),"",IF(S1697=0,(365/0.5)*V1697,(365/S1697)*V1697))</f>
        <v/>
      </c>
      <c r="X1697" s="75" t="n"/>
      <c r="Y1697" s="77" t="n"/>
      <c r="Z1697" s="77" t="n"/>
      <c r="AA1697" s="75" t="n"/>
      <c r="AB1697" s="75" t="n"/>
      <c r="AC1697" s="6" t="n"/>
      <c r="AD1697" s="75" t="n"/>
      <c r="AE1697" s="75" t="n"/>
      <c r="AF1697" s="75" t="n"/>
    </row>
    <row r="1698" ht="15.75" customHeight="1" s="133">
      <c r="A1698" s="75" t="n"/>
      <c r="B1698" s="75" t="n"/>
      <c r="C1698" s="75" t="n"/>
      <c r="D1698" s="75" t="n"/>
      <c r="E1698" s="76" t="n"/>
      <c r="F1698" s="77" t="n"/>
      <c r="G1698" s="75" t="n"/>
      <c r="H1698" s="75">
        <f>IF(ISBLANK(E1698),"",IF(OR(D1698="Butterfly",D1698="Butterfly ",D1698="Iron Fly", D1698="Iron Fly "),LEN(E1698)-LEN(SUBSTITUTE(E1698,"/",""))+2,LEN(E1698)-LEN(SUBSTITUTE(E1698,"/",""))+1))</f>
        <v/>
      </c>
      <c r="I1698" s="78">
        <f>IF(ISBLANK(G1698),"",IF(D1698="Stock","0",Key!$A$3*H1698*G1698))</f>
        <v/>
      </c>
      <c r="J1698" s="78">
        <f>IF(ISBLANK(E1698),"",IF(ISNUMBER(SEARCH("/",E1698)), IF(LEN(E1698)-LEN(SUBSTITUTE(E1698,"/",""))=1,(RIGHT(E1698,LEN(E1698)-FIND("/",E1698)))-(LEFT(E1698,FIND("/",E1698)-1)),(MID(E1698, SEARCH("/",E1698) + 1, SEARCH("/",E1698, SEARCH("/",E1698)+1) - SEARCH("/",E1698) - 1))-(LEFT(E1698,FIND("/",E1698)-1))), "NA"))</f>
        <v/>
      </c>
      <c r="K1698" s="79">
        <f>IF(A1698&lt;&gt;"", IF(ISBLANK(L1698), TODAY(), K1698), "")</f>
        <v/>
      </c>
      <c r="L1698" s="78" t="n"/>
      <c r="M1698" s="78">
        <f>IF(ISBLANK(L1698),"",IF(D1698="Stock",IF(C1698="Buy",L1698*G1698,IF(C1698="Sell",(L1698*G1698)-I1698, X)),IF(C1698="Buy",(L1698*G1698*100)+I1698,IF(C1698="Sell",(L1698*G1698*100)-I1698, X))))</f>
        <v/>
      </c>
      <c r="N1698" s="78">
        <f>IF(ISBLANK(L1698),"",IF(AND(C1698="Sell",D1698="Stock"),M1698,IF(ISBLANK(L1698),"",IF(C1698="Buy",M1698, IF(AND(C1698="Sell",J1698="NA"),(E1698*G1698*100*0.1)+I1698, IF(C1698="Sell",(J1698-L1698)*(100*G1698)+I1698))))))</f>
        <v/>
      </c>
      <c r="O1698" s="75" t="n"/>
      <c r="P1698" s="75" t="n"/>
      <c r="Q1698" s="75">
        <f>IF(ISBLANK(P1698),"",IF(D1698="Stock",P1698*G1698,IF(P1698=0,"0",G1698*P1698*100-(G1698*$AF$14))))</f>
        <v/>
      </c>
      <c r="R1698" s="79">
        <f>IF(P1698&lt;&gt;"", TODAY(), "")</f>
        <v/>
      </c>
      <c r="S1698" s="78">
        <f>IF(AND(K1698&lt;&gt;"", R1698&lt;&gt;""), R1698-K1698, "")</f>
        <v/>
      </c>
      <c r="T1698" s="78" t="n"/>
      <c r="U1698" s="92">
        <f>IF(ISBLANK(P1698),"",IF(C1698="Buy",Q1698-M1698+T1698, IF(C1698="Sell",M1698-Q1698-T1698, X)))</f>
        <v/>
      </c>
      <c r="V1698" s="81">
        <f>IF(ISBLANK(P1698),"",U1698/N1698)</f>
        <v/>
      </c>
      <c r="W1698" s="81">
        <f>IF(ISBLANK(P1698),"",IF(S1698=0,(365/0.5)*V1698,(365/S1698)*V1698))</f>
        <v/>
      </c>
      <c r="X1698" s="75" t="n"/>
      <c r="Y1698" s="77" t="n"/>
      <c r="Z1698" s="77" t="n"/>
      <c r="AA1698" s="75" t="n"/>
      <c r="AB1698" s="75" t="n"/>
      <c r="AC1698" s="6" t="n"/>
      <c r="AD1698" s="75" t="n"/>
      <c r="AE1698" s="75" t="n"/>
      <c r="AF1698" s="75" t="n"/>
    </row>
    <row r="1699" ht="15.75" customHeight="1" s="133">
      <c r="A1699" s="75" t="n"/>
      <c r="B1699" s="75" t="n"/>
      <c r="C1699" s="75" t="n"/>
      <c r="D1699" s="75" t="n"/>
      <c r="E1699" s="76" t="n"/>
      <c r="F1699" s="77" t="n"/>
      <c r="G1699" s="75" t="n"/>
      <c r="H1699" s="75">
        <f>IF(ISBLANK(E1699),"",IF(OR(D1699="Butterfly",D1699="Butterfly ",D1699="Iron Fly", D1699="Iron Fly "),LEN(E1699)-LEN(SUBSTITUTE(E1699,"/",""))+2,LEN(E1699)-LEN(SUBSTITUTE(E1699,"/",""))+1))</f>
        <v/>
      </c>
      <c r="I1699" s="78">
        <f>IF(ISBLANK(G1699),"",IF(D1699="Stock","0",Key!$A$3*H1699*G1699))</f>
        <v/>
      </c>
      <c r="J1699" s="78">
        <f>IF(ISBLANK(E1699),"",IF(ISNUMBER(SEARCH("/",E1699)), IF(LEN(E1699)-LEN(SUBSTITUTE(E1699,"/",""))=1,(RIGHT(E1699,LEN(E1699)-FIND("/",E1699)))-(LEFT(E1699,FIND("/",E1699)-1)),(MID(E1699, SEARCH("/",E1699) + 1, SEARCH("/",E1699, SEARCH("/",E1699)+1) - SEARCH("/",E1699) - 1))-(LEFT(E1699,FIND("/",E1699)-1))), "NA"))</f>
        <v/>
      </c>
      <c r="K1699" s="79">
        <f>IF(A1699&lt;&gt;"", IF(ISBLANK(L1699), TODAY(), K1699), "")</f>
        <v/>
      </c>
      <c r="L1699" s="78" t="n"/>
      <c r="M1699" s="78">
        <f>IF(ISBLANK(L1699),"",IF(D1699="Stock",IF(C1699="Buy",L1699*G1699,IF(C1699="Sell",(L1699*G1699)-I1699, X)),IF(C1699="Buy",(L1699*G1699*100)+I1699,IF(C1699="Sell",(L1699*G1699*100)-I1699, X))))</f>
        <v/>
      </c>
      <c r="N1699" s="78">
        <f>IF(ISBLANK(L1699),"",IF(AND(C1699="Sell",D1699="Stock"),M1699,IF(ISBLANK(L1699),"",IF(C1699="Buy",M1699, IF(AND(C1699="Sell",J1699="NA"),(E1699*G1699*100*0.1)+I1699, IF(C1699="Sell",(J1699-L1699)*(100*G1699)+I1699))))))</f>
        <v/>
      </c>
      <c r="O1699" s="75" t="n"/>
      <c r="P1699" s="75" t="n"/>
      <c r="Q1699" s="75">
        <f>IF(ISBLANK(P1699),"",IF(D1699="Stock",P1699*G1699,IF(P1699=0,"0",G1699*P1699*100-(G1699*$AF$14))))</f>
        <v/>
      </c>
      <c r="R1699" s="79">
        <f>IF(P1699&lt;&gt;"", TODAY(), "")</f>
        <v/>
      </c>
      <c r="S1699" s="78">
        <f>IF(AND(K1699&lt;&gt;"", R1699&lt;&gt;""), R1699-K1699, "")</f>
        <v/>
      </c>
      <c r="T1699" s="78" t="n"/>
      <c r="U1699" s="92">
        <f>IF(ISBLANK(P1699),"",IF(C1699="Buy",Q1699-M1699+T1699, IF(C1699="Sell",M1699-Q1699-T1699, X)))</f>
        <v/>
      </c>
      <c r="V1699" s="81">
        <f>IF(ISBLANK(P1699),"",U1699/N1699)</f>
        <v/>
      </c>
      <c r="W1699" s="81">
        <f>IF(ISBLANK(P1699),"",IF(S1699=0,(365/0.5)*V1699,(365/S1699)*V1699))</f>
        <v/>
      </c>
      <c r="X1699" s="75" t="n"/>
      <c r="Y1699" s="77" t="n"/>
      <c r="Z1699" s="77" t="n"/>
      <c r="AA1699" s="75" t="n"/>
      <c r="AB1699" s="75" t="n"/>
      <c r="AC1699" s="6" t="n"/>
      <c r="AD1699" s="75" t="n"/>
      <c r="AE1699" s="75" t="n"/>
      <c r="AF1699" s="75" t="n"/>
    </row>
    <row r="1700" ht="15.75" customHeight="1" s="133">
      <c r="A1700" s="75" t="n"/>
      <c r="B1700" s="75" t="n"/>
      <c r="C1700" s="75" t="n"/>
      <c r="D1700" s="75" t="n"/>
      <c r="E1700" s="76" t="n"/>
      <c r="F1700" s="77" t="n"/>
      <c r="G1700" s="75" t="n"/>
      <c r="H1700" s="75">
        <f>IF(ISBLANK(E1700),"",IF(OR(D1700="Butterfly",D1700="Butterfly ",D1700="Iron Fly", D1700="Iron Fly "),LEN(E1700)-LEN(SUBSTITUTE(E1700,"/",""))+2,LEN(E1700)-LEN(SUBSTITUTE(E1700,"/",""))+1))</f>
        <v/>
      </c>
      <c r="I1700" s="78">
        <f>IF(ISBLANK(G1700),"",IF(D1700="Stock","0",Key!$A$3*H1700*G1700))</f>
        <v/>
      </c>
      <c r="J1700" s="78">
        <f>IF(ISBLANK(E1700),"",IF(ISNUMBER(SEARCH("/",E1700)), IF(LEN(E1700)-LEN(SUBSTITUTE(E1700,"/",""))=1,(RIGHT(E1700,LEN(E1700)-FIND("/",E1700)))-(LEFT(E1700,FIND("/",E1700)-1)),(MID(E1700, SEARCH("/",E1700) + 1, SEARCH("/",E1700, SEARCH("/",E1700)+1) - SEARCH("/",E1700) - 1))-(LEFT(E1700,FIND("/",E1700)-1))), "NA"))</f>
        <v/>
      </c>
      <c r="K1700" s="79">
        <f>IF(A1700&lt;&gt;"", IF(ISBLANK(L1700), TODAY(), K1700), "")</f>
        <v/>
      </c>
      <c r="L1700" s="78" t="n"/>
      <c r="M1700" s="78">
        <f>IF(ISBLANK(L1700),"",IF(D1700="Stock",IF(C1700="Buy",L1700*G1700,IF(C1700="Sell",(L1700*G1700)-I1700, X)),IF(C1700="Buy",(L1700*G1700*100)+I1700,IF(C1700="Sell",(L1700*G1700*100)-I1700, X))))</f>
        <v/>
      </c>
      <c r="N1700" s="78">
        <f>IF(ISBLANK(L1700),"",IF(AND(C1700="Sell",D1700="Stock"),M1700,IF(ISBLANK(L1700),"",IF(C1700="Buy",M1700, IF(AND(C1700="Sell",J1700="NA"),(E1700*G1700*100*0.1)+I1700, IF(C1700="Sell",(J1700-L1700)*(100*G1700)+I1700))))))</f>
        <v/>
      </c>
      <c r="O1700" s="75" t="n"/>
      <c r="P1700" s="75" t="n"/>
      <c r="Q1700" s="75">
        <f>IF(ISBLANK(P1700),"",IF(D1700="Stock",P1700*G1700,IF(P1700=0,"0",G1700*P1700*100-(G1700*$AF$14))))</f>
        <v/>
      </c>
      <c r="R1700" s="79">
        <f>IF(P1700&lt;&gt;"", TODAY(), "")</f>
        <v/>
      </c>
      <c r="S1700" s="78">
        <f>IF(AND(K1700&lt;&gt;"", R1700&lt;&gt;""), R1700-K1700, "")</f>
        <v/>
      </c>
      <c r="T1700" s="78" t="n"/>
      <c r="U1700" s="92">
        <f>IF(ISBLANK(P1700),"",IF(C1700="Buy",Q1700-M1700+T1700, IF(C1700="Sell",M1700-Q1700-T1700, X)))</f>
        <v/>
      </c>
      <c r="V1700" s="81">
        <f>IF(ISBLANK(P1700),"",U1700/N1700)</f>
        <v/>
      </c>
      <c r="W1700" s="81">
        <f>IF(ISBLANK(P1700),"",IF(S1700=0,(365/0.5)*V1700,(365/S1700)*V1700))</f>
        <v/>
      </c>
      <c r="X1700" s="75" t="n"/>
      <c r="Y1700" s="77" t="n"/>
      <c r="Z1700" s="77" t="n"/>
      <c r="AA1700" s="75" t="n"/>
      <c r="AB1700" s="75" t="n"/>
      <c r="AC1700" s="6" t="n"/>
      <c r="AD1700" s="75" t="n"/>
      <c r="AE1700" s="75" t="n"/>
      <c r="AF1700" s="75" t="n"/>
    </row>
    <row r="1701" ht="15.75" customHeight="1" s="133">
      <c r="A1701" s="75" t="n"/>
      <c r="B1701" s="75" t="n"/>
      <c r="C1701" s="75" t="n"/>
      <c r="D1701" s="75" t="n"/>
      <c r="E1701" s="76" t="n"/>
      <c r="F1701" s="77" t="n"/>
      <c r="G1701" s="75" t="n"/>
      <c r="H1701" s="75">
        <f>IF(ISBLANK(E1701),"",IF(OR(D1701="Butterfly",D1701="Butterfly ",D1701="Iron Fly", D1701="Iron Fly "),LEN(E1701)-LEN(SUBSTITUTE(E1701,"/",""))+2,LEN(E1701)-LEN(SUBSTITUTE(E1701,"/",""))+1))</f>
        <v/>
      </c>
      <c r="I1701" s="78">
        <f>IF(ISBLANK(G1701),"",IF(D1701="Stock","0",Key!$A$3*H1701*G1701))</f>
        <v/>
      </c>
      <c r="J1701" s="78">
        <f>IF(ISBLANK(E1701),"",IF(ISNUMBER(SEARCH("/",E1701)), IF(LEN(E1701)-LEN(SUBSTITUTE(E1701,"/",""))=1,(RIGHT(E1701,LEN(E1701)-FIND("/",E1701)))-(LEFT(E1701,FIND("/",E1701)-1)),(MID(E1701, SEARCH("/",E1701) + 1, SEARCH("/",E1701, SEARCH("/",E1701)+1) - SEARCH("/",E1701) - 1))-(LEFT(E1701,FIND("/",E1701)-1))), "NA"))</f>
        <v/>
      </c>
      <c r="K1701" s="79">
        <f>IF(A1701&lt;&gt;"", IF(ISBLANK(L1701), TODAY(), K1701), "")</f>
        <v/>
      </c>
      <c r="L1701" s="78" t="n"/>
      <c r="M1701" s="78">
        <f>IF(ISBLANK(L1701),"",IF(D1701="Stock",IF(C1701="Buy",L1701*G1701,IF(C1701="Sell",(L1701*G1701)-I1701, X)),IF(C1701="Buy",(L1701*G1701*100)+I1701,IF(C1701="Sell",(L1701*G1701*100)-I1701, X))))</f>
        <v/>
      </c>
      <c r="N1701" s="78">
        <f>IF(ISBLANK(L1701),"",IF(AND(C1701="Sell",D1701="Stock"),M1701,IF(ISBLANK(L1701),"",IF(C1701="Buy",M1701, IF(AND(C1701="Sell",J1701="NA"),(E1701*G1701*100*0.1)+I1701, IF(C1701="Sell",(J1701-L1701)*(100*G1701)+I1701))))))</f>
        <v/>
      </c>
      <c r="O1701" s="75" t="n"/>
      <c r="P1701" s="75" t="n"/>
      <c r="Q1701" s="75">
        <f>IF(ISBLANK(P1701),"",IF(D1701="Stock",P1701*G1701,IF(P1701=0,"0",G1701*P1701*100-(G1701*$AF$14))))</f>
        <v/>
      </c>
      <c r="R1701" s="79">
        <f>IF(P1701&lt;&gt;"", TODAY(), "")</f>
        <v/>
      </c>
      <c r="S1701" s="78">
        <f>IF(AND(K1701&lt;&gt;"", R1701&lt;&gt;""), R1701-K1701, "")</f>
        <v/>
      </c>
      <c r="T1701" s="78" t="n"/>
      <c r="U1701" s="92">
        <f>IF(ISBLANK(P1701),"",IF(C1701="Buy",Q1701-M1701+T1701, IF(C1701="Sell",M1701-Q1701-T1701, X)))</f>
        <v/>
      </c>
      <c r="V1701" s="81">
        <f>IF(ISBLANK(P1701),"",U1701/N1701)</f>
        <v/>
      </c>
      <c r="W1701" s="81">
        <f>IF(ISBLANK(P1701),"",IF(S1701=0,(365/0.5)*V1701,(365/S1701)*V1701))</f>
        <v/>
      </c>
      <c r="X1701" s="75" t="n"/>
      <c r="Y1701" s="77" t="n"/>
      <c r="Z1701" s="77" t="n"/>
      <c r="AA1701" s="75" t="n"/>
      <c r="AB1701" s="75" t="n"/>
      <c r="AC1701" s="6" t="n"/>
      <c r="AD1701" s="75" t="n"/>
      <c r="AE1701" s="75" t="n"/>
      <c r="AF1701" s="75" t="n"/>
    </row>
    <row r="1702" ht="15.75" customHeight="1" s="133">
      <c r="A1702" s="75" t="n"/>
      <c r="B1702" s="75" t="n"/>
      <c r="C1702" s="75" t="n"/>
      <c r="D1702" s="75" t="n"/>
      <c r="E1702" s="76" t="n"/>
      <c r="F1702" s="77" t="n"/>
      <c r="G1702" s="75" t="n"/>
      <c r="H1702" s="75">
        <f>IF(ISBLANK(E1702),"",IF(OR(D1702="Butterfly",D1702="Butterfly ",D1702="Iron Fly", D1702="Iron Fly "),LEN(E1702)-LEN(SUBSTITUTE(E1702,"/",""))+2,LEN(E1702)-LEN(SUBSTITUTE(E1702,"/",""))+1))</f>
        <v/>
      </c>
      <c r="I1702" s="78">
        <f>IF(ISBLANK(G1702),"",IF(D1702="Stock","0",Key!$A$3*H1702*G1702))</f>
        <v/>
      </c>
      <c r="J1702" s="78">
        <f>IF(ISBLANK(E1702),"",IF(ISNUMBER(SEARCH("/",E1702)), IF(LEN(E1702)-LEN(SUBSTITUTE(E1702,"/",""))=1,(RIGHT(E1702,LEN(E1702)-FIND("/",E1702)))-(LEFT(E1702,FIND("/",E1702)-1)),(MID(E1702, SEARCH("/",E1702) + 1, SEARCH("/",E1702, SEARCH("/",E1702)+1) - SEARCH("/",E1702) - 1))-(LEFT(E1702,FIND("/",E1702)-1))), "NA"))</f>
        <v/>
      </c>
      <c r="K1702" s="79">
        <f>IF(A1702&lt;&gt;"", IF(ISBLANK(L1702), TODAY(), K1702), "")</f>
        <v/>
      </c>
      <c r="L1702" s="78" t="n"/>
      <c r="M1702" s="78">
        <f>IF(ISBLANK(L1702),"",IF(D1702="Stock",IF(C1702="Buy",L1702*G1702,IF(C1702="Sell",(L1702*G1702)-I1702, X)),IF(C1702="Buy",(L1702*G1702*100)+I1702,IF(C1702="Sell",(L1702*G1702*100)-I1702, X))))</f>
        <v/>
      </c>
      <c r="N1702" s="78">
        <f>IF(ISBLANK(L1702),"",IF(AND(C1702="Sell",D1702="Stock"),M1702,IF(ISBLANK(L1702),"",IF(C1702="Buy",M1702, IF(AND(C1702="Sell",J1702="NA"),(E1702*G1702*100*0.1)+I1702, IF(C1702="Sell",(J1702-L1702)*(100*G1702)+I1702))))))</f>
        <v/>
      </c>
      <c r="O1702" s="75" t="n"/>
      <c r="P1702" s="75" t="n"/>
      <c r="Q1702" s="75">
        <f>IF(ISBLANK(P1702),"",IF(D1702="Stock",P1702*G1702,IF(P1702=0,"0",G1702*P1702*100-(G1702*$AF$14))))</f>
        <v/>
      </c>
      <c r="R1702" s="79">
        <f>IF(P1702&lt;&gt;"", TODAY(), "")</f>
        <v/>
      </c>
      <c r="S1702" s="78">
        <f>IF(AND(K1702&lt;&gt;"", R1702&lt;&gt;""), R1702-K1702, "")</f>
        <v/>
      </c>
      <c r="T1702" s="78" t="n"/>
      <c r="U1702" s="92">
        <f>IF(ISBLANK(P1702),"",IF(C1702="Buy",Q1702-M1702+T1702, IF(C1702="Sell",M1702-Q1702-T1702, X)))</f>
        <v/>
      </c>
      <c r="V1702" s="81">
        <f>IF(ISBLANK(P1702),"",U1702/N1702)</f>
        <v/>
      </c>
      <c r="W1702" s="81">
        <f>IF(ISBLANK(P1702),"",IF(S1702=0,(365/0.5)*V1702,(365/S1702)*V1702))</f>
        <v/>
      </c>
      <c r="X1702" s="75" t="n"/>
      <c r="Y1702" s="77" t="n"/>
      <c r="Z1702" s="77" t="n"/>
      <c r="AA1702" s="75" t="n"/>
      <c r="AB1702" s="75" t="n"/>
      <c r="AC1702" s="6" t="n"/>
      <c r="AD1702" s="75" t="n"/>
      <c r="AE1702" s="75" t="n"/>
      <c r="AF1702" s="75" t="n"/>
    </row>
    <row r="1703" ht="15.75" customHeight="1" s="133">
      <c r="A1703" s="75" t="n"/>
      <c r="B1703" s="75" t="n"/>
      <c r="C1703" s="75" t="n"/>
      <c r="D1703" s="75" t="n"/>
      <c r="E1703" s="76" t="n"/>
      <c r="F1703" s="77" t="n"/>
      <c r="G1703" s="75" t="n"/>
      <c r="H1703" s="75">
        <f>IF(ISBLANK(E1703),"",IF(OR(D1703="Butterfly",D1703="Butterfly ",D1703="Iron Fly", D1703="Iron Fly "),LEN(E1703)-LEN(SUBSTITUTE(E1703,"/",""))+2,LEN(E1703)-LEN(SUBSTITUTE(E1703,"/",""))+1))</f>
        <v/>
      </c>
      <c r="I1703" s="78">
        <f>IF(ISBLANK(G1703),"",IF(D1703="Stock","0",Key!$A$3*H1703*G1703))</f>
        <v/>
      </c>
      <c r="J1703" s="78">
        <f>IF(ISBLANK(E1703),"",IF(ISNUMBER(SEARCH("/",E1703)), IF(LEN(E1703)-LEN(SUBSTITUTE(E1703,"/",""))=1,(RIGHT(E1703,LEN(E1703)-FIND("/",E1703)))-(LEFT(E1703,FIND("/",E1703)-1)),(MID(E1703, SEARCH("/",E1703) + 1, SEARCH("/",E1703, SEARCH("/",E1703)+1) - SEARCH("/",E1703) - 1))-(LEFT(E1703,FIND("/",E1703)-1))), "NA"))</f>
        <v/>
      </c>
      <c r="K1703" s="79">
        <f>IF(A1703&lt;&gt;"", IF(ISBLANK(L1703), TODAY(), K1703), "")</f>
        <v/>
      </c>
      <c r="L1703" s="78" t="n"/>
      <c r="M1703" s="78">
        <f>IF(ISBLANK(L1703),"",IF(D1703="Stock",IF(C1703="Buy",L1703*G1703,IF(C1703="Sell",(L1703*G1703)-I1703, X)),IF(C1703="Buy",(L1703*G1703*100)+I1703,IF(C1703="Sell",(L1703*G1703*100)-I1703, X))))</f>
        <v/>
      </c>
      <c r="N1703" s="78">
        <f>IF(ISBLANK(L1703),"",IF(AND(C1703="Sell",D1703="Stock"),M1703,IF(ISBLANK(L1703),"",IF(C1703="Buy",M1703, IF(AND(C1703="Sell",J1703="NA"),(E1703*G1703*100*0.1)+I1703, IF(C1703="Sell",(J1703-L1703)*(100*G1703)+I1703))))))</f>
        <v/>
      </c>
      <c r="O1703" s="75" t="n"/>
      <c r="P1703" s="75" t="n"/>
      <c r="Q1703" s="75">
        <f>IF(ISBLANK(P1703),"",IF(D1703="Stock",P1703*G1703,IF(P1703=0,"0",G1703*P1703*100-(G1703*$AF$14))))</f>
        <v/>
      </c>
      <c r="R1703" s="79">
        <f>IF(P1703&lt;&gt;"", TODAY(), "")</f>
        <v/>
      </c>
      <c r="S1703" s="78">
        <f>IF(AND(K1703&lt;&gt;"", R1703&lt;&gt;""), R1703-K1703, "")</f>
        <v/>
      </c>
      <c r="T1703" s="78" t="n"/>
      <c r="U1703" s="92">
        <f>IF(ISBLANK(P1703),"",IF(C1703="Buy",Q1703-M1703+T1703, IF(C1703="Sell",M1703-Q1703-T1703, X)))</f>
        <v/>
      </c>
      <c r="V1703" s="81">
        <f>IF(ISBLANK(P1703),"",U1703/N1703)</f>
        <v/>
      </c>
      <c r="W1703" s="81">
        <f>IF(ISBLANK(P1703),"",IF(S1703=0,(365/0.5)*V1703,(365/S1703)*V1703))</f>
        <v/>
      </c>
      <c r="X1703" s="75" t="n"/>
      <c r="Y1703" s="77" t="n"/>
      <c r="Z1703" s="77" t="n"/>
      <c r="AA1703" s="75" t="n"/>
      <c r="AB1703" s="75" t="n"/>
      <c r="AC1703" s="6" t="n"/>
      <c r="AD1703" s="75" t="n"/>
      <c r="AE1703" s="75" t="n"/>
      <c r="AF1703" s="75" t="n"/>
    </row>
    <row r="1704" ht="15.75" customHeight="1" s="133">
      <c r="A1704" s="75" t="n"/>
      <c r="B1704" s="75" t="n"/>
      <c r="C1704" s="75" t="n"/>
      <c r="D1704" s="75" t="n"/>
      <c r="E1704" s="76" t="n"/>
      <c r="F1704" s="77" t="n"/>
      <c r="G1704" s="75" t="n"/>
      <c r="H1704" s="75">
        <f>IF(ISBLANK(E1704),"",IF(OR(D1704="Butterfly",D1704="Butterfly ",D1704="Iron Fly", D1704="Iron Fly "),LEN(E1704)-LEN(SUBSTITUTE(E1704,"/",""))+2,LEN(E1704)-LEN(SUBSTITUTE(E1704,"/",""))+1))</f>
        <v/>
      </c>
      <c r="I1704" s="78">
        <f>IF(ISBLANK(G1704),"",IF(D1704="Stock","0",Key!$A$3*H1704*G1704))</f>
        <v/>
      </c>
      <c r="J1704" s="78">
        <f>IF(ISBLANK(E1704),"",IF(ISNUMBER(SEARCH("/",E1704)), IF(LEN(E1704)-LEN(SUBSTITUTE(E1704,"/",""))=1,(RIGHT(E1704,LEN(E1704)-FIND("/",E1704)))-(LEFT(E1704,FIND("/",E1704)-1)),(MID(E1704, SEARCH("/",E1704) + 1, SEARCH("/",E1704, SEARCH("/",E1704)+1) - SEARCH("/",E1704) - 1))-(LEFT(E1704,FIND("/",E1704)-1))), "NA"))</f>
        <v/>
      </c>
      <c r="K1704" s="79">
        <f>IF(A1704&lt;&gt;"", IF(ISBLANK(L1704), TODAY(), K1704), "")</f>
        <v/>
      </c>
      <c r="L1704" s="78" t="n"/>
      <c r="M1704" s="78">
        <f>IF(ISBLANK(L1704),"",IF(D1704="Stock",IF(C1704="Buy",L1704*G1704,IF(C1704="Sell",(L1704*G1704)-I1704, X)),IF(C1704="Buy",(L1704*G1704*100)+I1704,IF(C1704="Sell",(L1704*G1704*100)-I1704, X))))</f>
        <v/>
      </c>
      <c r="N1704" s="78">
        <f>IF(ISBLANK(L1704),"",IF(AND(C1704="Sell",D1704="Stock"),M1704,IF(ISBLANK(L1704),"",IF(C1704="Buy",M1704, IF(AND(C1704="Sell",J1704="NA"),(E1704*G1704*100*0.1)+I1704, IF(C1704="Sell",(J1704-L1704)*(100*G1704)+I1704))))))</f>
        <v/>
      </c>
      <c r="O1704" s="75" t="n"/>
      <c r="P1704" s="75" t="n"/>
      <c r="Q1704" s="75">
        <f>IF(ISBLANK(P1704),"",IF(D1704="Stock",P1704*G1704,IF(P1704=0,"0",G1704*P1704*100-(G1704*$AF$14))))</f>
        <v/>
      </c>
      <c r="R1704" s="79">
        <f>IF(P1704&lt;&gt;"", TODAY(), "")</f>
        <v/>
      </c>
      <c r="S1704" s="78">
        <f>IF(AND(K1704&lt;&gt;"", R1704&lt;&gt;""), R1704-K1704, "")</f>
        <v/>
      </c>
      <c r="T1704" s="78" t="n"/>
      <c r="U1704" s="92">
        <f>IF(ISBLANK(P1704),"",IF(C1704="Buy",Q1704-M1704+T1704, IF(C1704="Sell",M1704-Q1704-T1704, X)))</f>
        <v/>
      </c>
      <c r="V1704" s="81">
        <f>IF(ISBLANK(P1704),"",U1704/N1704)</f>
        <v/>
      </c>
      <c r="W1704" s="81">
        <f>IF(ISBLANK(P1704),"",IF(S1704=0,(365/0.5)*V1704,(365/S1704)*V1704))</f>
        <v/>
      </c>
      <c r="X1704" s="75" t="n"/>
      <c r="Y1704" s="77" t="n"/>
      <c r="Z1704" s="77" t="n"/>
      <c r="AA1704" s="75" t="n"/>
      <c r="AB1704" s="75" t="n"/>
      <c r="AC1704" s="6" t="n"/>
      <c r="AD1704" s="75" t="n"/>
      <c r="AE1704" s="75" t="n"/>
      <c r="AF1704" s="75" t="n"/>
    </row>
    <row r="1705" ht="15.75" customHeight="1" s="133">
      <c r="A1705" s="75" t="n"/>
      <c r="B1705" s="75" t="n"/>
      <c r="C1705" s="75" t="n"/>
      <c r="D1705" s="75" t="n"/>
      <c r="E1705" s="76" t="n"/>
      <c r="F1705" s="77" t="n"/>
      <c r="G1705" s="75" t="n"/>
      <c r="H1705" s="75">
        <f>IF(ISBLANK(E1705),"",IF(OR(D1705="Butterfly",D1705="Butterfly ",D1705="Iron Fly", D1705="Iron Fly "),LEN(E1705)-LEN(SUBSTITUTE(E1705,"/",""))+2,LEN(E1705)-LEN(SUBSTITUTE(E1705,"/",""))+1))</f>
        <v/>
      </c>
      <c r="I1705" s="78">
        <f>IF(ISBLANK(G1705),"",IF(D1705="Stock","0",Key!$A$3*H1705*G1705))</f>
        <v/>
      </c>
      <c r="J1705" s="78">
        <f>IF(ISBLANK(E1705),"",IF(ISNUMBER(SEARCH("/",E1705)), IF(LEN(E1705)-LEN(SUBSTITUTE(E1705,"/",""))=1,(RIGHT(E1705,LEN(E1705)-FIND("/",E1705)))-(LEFT(E1705,FIND("/",E1705)-1)),(MID(E1705, SEARCH("/",E1705) + 1, SEARCH("/",E1705, SEARCH("/",E1705)+1) - SEARCH("/",E1705) - 1))-(LEFT(E1705,FIND("/",E1705)-1))), "NA"))</f>
        <v/>
      </c>
      <c r="K1705" s="79">
        <f>IF(A1705&lt;&gt;"", IF(ISBLANK(L1705), TODAY(), K1705), "")</f>
        <v/>
      </c>
      <c r="L1705" s="78" t="n"/>
      <c r="M1705" s="78">
        <f>IF(ISBLANK(L1705),"",IF(D1705="Stock",IF(C1705="Buy",L1705*G1705,IF(C1705="Sell",(L1705*G1705)-I1705, X)),IF(C1705="Buy",(L1705*G1705*100)+I1705,IF(C1705="Sell",(L1705*G1705*100)-I1705, X))))</f>
        <v/>
      </c>
      <c r="N1705" s="78">
        <f>IF(ISBLANK(L1705),"",IF(AND(C1705="Sell",D1705="Stock"),M1705,IF(ISBLANK(L1705),"",IF(C1705="Buy",M1705, IF(AND(C1705="Sell",J1705="NA"),(E1705*G1705*100*0.1)+I1705, IF(C1705="Sell",(J1705-L1705)*(100*G1705)+I1705))))))</f>
        <v/>
      </c>
      <c r="O1705" s="75" t="n"/>
      <c r="P1705" s="75" t="n"/>
      <c r="Q1705" s="75">
        <f>IF(ISBLANK(P1705),"",IF(D1705="Stock",P1705*G1705,IF(P1705=0,"0",G1705*P1705*100-(G1705*$AF$14))))</f>
        <v/>
      </c>
      <c r="R1705" s="79">
        <f>IF(P1705&lt;&gt;"", TODAY(), "")</f>
        <v/>
      </c>
      <c r="S1705" s="78">
        <f>IF(AND(K1705&lt;&gt;"", R1705&lt;&gt;""), R1705-K1705, "")</f>
        <v/>
      </c>
      <c r="T1705" s="78" t="n"/>
      <c r="U1705" s="92">
        <f>IF(ISBLANK(P1705),"",IF(C1705="Buy",Q1705-M1705+T1705, IF(C1705="Sell",M1705-Q1705-T1705, X)))</f>
        <v/>
      </c>
      <c r="V1705" s="81">
        <f>IF(ISBLANK(P1705),"",U1705/N1705)</f>
        <v/>
      </c>
      <c r="W1705" s="81">
        <f>IF(ISBLANK(P1705),"",IF(S1705=0,(365/0.5)*V1705,(365/S1705)*V1705))</f>
        <v/>
      </c>
      <c r="X1705" s="75" t="n"/>
      <c r="Y1705" s="77" t="n"/>
      <c r="Z1705" s="77" t="n"/>
      <c r="AA1705" s="75" t="n"/>
      <c r="AB1705" s="75" t="n"/>
      <c r="AC1705" s="6" t="n"/>
      <c r="AD1705" s="75" t="n"/>
      <c r="AE1705" s="75" t="n"/>
      <c r="AF1705" s="75" t="n"/>
    </row>
    <row r="1706" ht="15.75" customHeight="1" s="133">
      <c r="A1706" s="75" t="n"/>
      <c r="B1706" s="75" t="n"/>
      <c r="C1706" s="75" t="n"/>
      <c r="D1706" s="75" t="n"/>
      <c r="E1706" s="76" t="n"/>
      <c r="F1706" s="77" t="n"/>
      <c r="G1706" s="75" t="n"/>
      <c r="H1706" s="75">
        <f>IF(ISBLANK(E1706),"",IF(OR(D1706="Butterfly",D1706="Butterfly ",D1706="Iron Fly", D1706="Iron Fly "),LEN(E1706)-LEN(SUBSTITUTE(E1706,"/",""))+2,LEN(E1706)-LEN(SUBSTITUTE(E1706,"/",""))+1))</f>
        <v/>
      </c>
      <c r="I1706" s="78">
        <f>IF(ISBLANK(G1706),"",IF(D1706="Stock","0",Key!$A$3*H1706*G1706))</f>
        <v/>
      </c>
      <c r="J1706" s="78">
        <f>IF(ISBLANK(E1706),"",IF(ISNUMBER(SEARCH("/",E1706)), IF(LEN(E1706)-LEN(SUBSTITUTE(E1706,"/",""))=1,(RIGHT(E1706,LEN(E1706)-FIND("/",E1706)))-(LEFT(E1706,FIND("/",E1706)-1)),(MID(E1706, SEARCH("/",E1706) + 1, SEARCH("/",E1706, SEARCH("/",E1706)+1) - SEARCH("/",E1706) - 1))-(LEFT(E1706,FIND("/",E1706)-1))), "NA"))</f>
        <v/>
      </c>
      <c r="K1706" s="79">
        <f>IF(A1706&lt;&gt;"", IF(ISBLANK(L1706), TODAY(), K1706), "")</f>
        <v/>
      </c>
      <c r="L1706" s="78" t="n"/>
      <c r="M1706" s="78">
        <f>IF(ISBLANK(L1706),"",IF(D1706="Stock",IF(C1706="Buy",L1706*G1706,IF(C1706="Sell",(L1706*G1706)-I1706, X)),IF(C1706="Buy",(L1706*G1706*100)+I1706,IF(C1706="Sell",(L1706*G1706*100)-I1706, X))))</f>
        <v/>
      </c>
      <c r="N1706" s="78">
        <f>IF(ISBLANK(L1706),"",IF(AND(C1706="Sell",D1706="Stock"),M1706,IF(ISBLANK(L1706),"",IF(C1706="Buy",M1706, IF(AND(C1706="Sell",J1706="NA"),(E1706*G1706*100*0.1)+I1706, IF(C1706="Sell",(J1706-L1706)*(100*G1706)+I1706))))))</f>
        <v/>
      </c>
      <c r="O1706" s="75" t="n"/>
      <c r="P1706" s="75" t="n"/>
      <c r="Q1706" s="75">
        <f>IF(ISBLANK(P1706),"",IF(D1706="Stock",P1706*G1706,IF(P1706=0,"0",G1706*P1706*100-(G1706*$AF$14))))</f>
        <v/>
      </c>
      <c r="R1706" s="79">
        <f>IF(P1706&lt;&gt;"", TODAY(), "")</f>
        <v/>
      </c>
      <c r="S1706" s="78">
        <f>IF(AND(K1706&lt;&gt;"", R1706&lt;&gt;""), R1706-K1706, "")</f>
        <v/>
      </c>
      <c r="T1706" s="78" t="n"/>
      <c r="U1706" s="92">
        <f>IF(ISBLANK(P1706),"",IF(C1706="Buy",Q1706-M1706+T1706, IF(C1706="Sell",M1706-Q1706-T1706, X)))</f>
        <v/>
      </c>
      <c r="V1706" s="81">
        <f>IF(ISBLANK(P1706),"",U1706/N1706)</f>
        <v/>
      </c>
      <c r="W1706" s="81">
        <f>IF(ISBLANK(P1706),"",IF(S1706=0,(365/0.5)*V1706,(365/S1706)*V1706))</f>
        <v/>
      </c>
      <c r="X1706" s="75" t="n"/>
      <c r="Y1706" s="77" t="n"/>
      <c r="Z1706" s="77" t="n"/>
      <c r="AA1706" s="75" t="n"/>
      <c r="AB1706" s="75" t="n"/>
      <c r="AC1706" s="6" t="n"/>
      <c r="AD1706" s="75" t="n"/>
      <c r="AE1706" s="75" t="n"/>
      <c r="AF1706" s="75" t="n"/>
    </row>
    <row r="1707" ht="15.75" customHeight="1" s="133">
      <c r="A1707" s="75" t="n"/>
      <c r="B1707" s="75" t="n"/>
      <c r="C1707" s="75" t="n"/>
      <c r="D1707" s="75" t="n"/>
      <c r="E1707" s="76" t="n"/>
      <c r="F1707" s="77" t="n"/>
      <c r="G1707" s="75" t="n"/>
      <c r="H1707" s="75">
        <f>IF(ISBLANK(E1707),"",IF(OR(D1707="Butterfly",D1707="Butterfly ",D1707="Iron Fly", D1707="Iron Fly "),LEN(E1707)-LEN(SUBSTITUTE(E1707,"/",""))+2,LEN(E1707)-LEN(SUBSTITUTE(E1707,"/",""))+1))</f>
        <v/>
      </c>
      <c r="I1707" s="78">
        <f>IF(ISBLANK(G1707),"",IF(D1707="Stock","0",Key!$A$3*H1707*G1707))</f>
        <v/>
      </c>
      <c r="J1707" s="78">
        <f>IF(ISBLANK(E1707),"",IF(ISNUMBER(SEARCH("/",E1707)), IF(LEN(E1707)-LEN(SUBSTITUTE(E1707,"/",""))=1,(RIGHT(E1707,LEN(E1707)-FIND("/",E1707)))-(LEFT(E1707,FIND("/",E1707)-1)),(MID(E1707, SEARCH("/",E1707) + 1, SEARCH("/",E1707, SEARCH("/",E1707)+1) - SEARCH("/",E1707) - 1))-(LEFT(E1707,FIND("/",E1707)-1))), "NA"))</f>
        <v/>
      </c>
      <c r="K1707" s="79">
        <f>IF(A1707&lt;&gt;"", IF(ISBLANK(L1707), TODAY(), K1707), "")</f>
        <v/>
      </c>
      <c r="L1707" s="78" t="n"/>
      <c r="M1707" s="78">
        <f>IF(ISBLANK(L1707),"",IF(D1707="Stock",IF(C1707="Buy",L1707*G1707,IF(C1707="Sell",(L1707*G1707)-I1707, X)),IF(C1707="Buy",(L1707*G1707*100)+I1707,IF(C1707="Sell",(L1707*G1707*100)-I1707, X))))</f>
        <v/>
      </c>
      <c r="N1707" s="78">
        <f>IF(ISBLANK(L1707),"",IF(AND(C1707="Sell",D1707="Stock"),M1707,IF(ISBLANK(L1707),"",IF(C1707="Buy",M1707, IF(AND(C1707="Sell",J1707="NA"),(E1707*G1707*100*0.1)+I1707, IF(C1707="Sell",(J1707-L1707)*(100*G1707)+I1707))))))</f>
        <v/>
      </c>
      <c r="O1707" s="75" t="n"/>
      <c r="P1707" s="75" t="n"/>
      <c r="Q1707" s="75">
        <f>IF(ISBLANK(P1707),"",IF(D1707="Stock",P1707*G1707,IF(P1707=0,"0",G1707*P1707*100-(G1707*$AF$14))))</f>
        <v/>
      </c>
      <c r="R1707" s="79">
        <f>IF(P1707&lt;&gt;"", TODAY(), "")</f>
        <v/>
      </c>
      <c r="S1707" s="78">
        <f>IF(AND(K1707&lt;&gt;"", R1707&lt;&gt;""), R1707-K1707, "")</f>
        <v/>
      </c>
      <c r="T1707" s="78" t="n"/>
      <c r="U1707" s="92">
        <f>IF(ISBLANK(P1707),"",IF(C1707="Buy",Q1707-M1707+T1707, IF(C1707="Sell",M1707-Q1707-T1707, X)))</f>
        <v/>
      </c>
      <c r="V1707" s="81">
        <f>IF(ISBLANK(P1707),"",U1707/N1707)</f>
        <v/>
      </c>
      <c r="W1707" s="81">
        <f>IF(ISBLANK(P1707),"",IF(S1707=0,(365/0.5)*V1707,(365/S1707)*V1707))</f>
        <v/>
      </c>
      <c r="X1707" s="75" t="n"/>
      <c r="Y1707" s="77" t="n"/>
      <c r="Z1707" s="77" t="n"/>
      <c r="AA1707" s="75" t="n"/>
      <c r="AB1707" s="75" t="n"/>
      <c r="AC1707" s="6" t="n"/>
      <c r="AD1707" s="75" t="n"/>
      <c r="AE1707" s="75" t="n"/>
      <c r="AF1707" s="75" t="n"/>
    </row>
    <row r="1708" ht="15.75" customHeight="1" s="133">
      <c r="A1708" s="75" t="n"/>
      <c r="B1708" s="75" t="n"/>
      <c r="C1708" s="75" t="n"/>
      <c r="D1708" s="75" t="n"/>
      <c r="E1708" s="76" t="n"/>
      <c r="F1708" s="77" t="n"/>
      <c r="G1708" s="75" t="n"/>
      <c r="H1708" s="75">
        <f>IF(ISBLANK(E1708),"",IF(OR(D1708="Butterfly",D1708="Butterfly ",D1708="Iron Fly", D1708="Iron Fly "),LEN(E1708)-LEN(SUBSTITUTE(E1708,"/",""))+2,LEN(E1708)-LEN(SUBSTITUTE(E1708,"/",""))+1))</f>
        <v/>
      </c>
      <c r="I1708" s="78">
        <f>IF(ISBLANK(G1708),"",IF(D1708="Stock","0",Key!$A$3*H1708*G1708))</f>
        <v/>
      </c>
      <c r="J1708" s="78">
        <f>IF(ISBLANK(E1708),"",IF(ISNUMBER(SEARCH("/",E1708)), IF(LEN(E1708)-LEN(SUBSTITUTE(E1708,"/",""))=1,(RIGHT(E1708,LEN(E1708)-FIND("/",E1708)))-(LEFT(E1708,FIND("/",E1708)-1)),(MID(E1708, SEARCH("/",E1708) + 1, SEARCH("/",E1708, SEARCH("/",E1708)+1) - SEARCH("/",E1708) - 1))-(LEFT(E1708,FIND("/",E1708)-1))), "NA"))</f>
        <v/>
      </c>
      <c r="K1708" s="79">
        <f>IF(A1708&lt;&gt;"", IF(ISBLANK(L1708), TODAY(), K1708), "")</f>
        <v/>
      </c>
      <c r="L1708" s="78" t="n"/>
      <c r="M1708" s="78">
        <f>IF(ISBLANK(L1708),"",IF(D1708="Stock",IF(C1708="Buy",L1708*G1708,IF(C1708="Sell",(L1708*G1708)-I1708, X)),IF(C1708="Buy",(L1708*G1708*100)+I1708,IF(C1708="Sell",(L1708*G1708*100)-I1708, X))))</f>
        <v/>
      </c>
      <c r="N1708" s="78">
        <f>IF(ISBLANK(L1708),"",IF(AND(C1708="Sell",D1708="Stock"),M1708,IF(ISBLANK(L1708),"",IF(C1708="Buy",M1708, IF(AND(C1708="Sell",J1708="NA"),(E1708*G1708*100*0.1)+I1708, IF(C1708="Sell",(J1708-L1708)*(100*G1708)+I1708))))))</f>
        <v/>
      </c>
      <c r="O1708" s="75" t="n"/>
      <c r="P1708" s="75" t="n"/>
      <c r="Q1708" s="75">
        <f>IF(ISBLANK(P1708),"",IF(D1708="Stock",P1708*G1708,IF(P1708=0,"0",G1708*P1708*100-(G1708*$AF$14))))</f>
        <v/>
      </c>
      <c r="R1708" s="79">
        <f>IF(P1708&lt;&gt;"", TODAY(), "")</f>
        <v/>
      </c>
      <c r="S1708" s="78">
        <f>IF(AND(K1708&lt;&gt;"", R1708&lt;&gt;""), R1708-K1708, "")</f>
        <v/>
      </c>
      <c r="T1708" s="78" t="n"/>
      <c r="U1708" s="92">
        <f>IF(ISBLANK(P1708),"",IF(C1708="Buy",Q1708-M1708+T1708, IF(C1708="Sell",M1708-Q1708-T1708, X)))</f>
        <v/>
      </c>
      <c r="V1708" s="81">
        <f>IF(ISBLANK(P1708),"",U1708/N1708)</f>
        <v/>
      </c>
      <c r="W1708" s="81">
        <f>IF(ISBLANK(P1708),"",IF(S1708=0,(365/0.5)*V1708,(365/S1708)*V1708))</f>
        <v/>
      </c>
      <c r="X1708" s="75" t="n"/>
      <c r="Y1708" s="77" t="n"/>
      <c r="Z1708" s="77" t="n"/>
      <c r="AA1708" s="75" t="n"/>
      <c r="AB1708" s="75" t="n"/>
      <c r="AC1708" s="6" t="n"/>
      <c r="AD1708" s="75" t="n"/>
      <c r="AE1708" s="75" t="n"/>
      <c r="AF1708" s="75" t="n"/>
    </row>
    <row r="1709" ht="15.75" customHeight="1" s="133">
      <c r="A1709" s="75" t="n"/>
      <c r="B1709" s="75" t="n"/>
      <c r="C1709" s="75" t="n"/>
      <c r="D1709" s="75" t="n"/>
      <c r="E1709" s="76" t="n"/>
      <c r="F1709" s="77" t="n"/>
      <c r="G1709" s="75" t="n"/>
      <c r="H1709" s="75">
        <f>IF(ISBLANK(E1709),"",IF(OR(D1709="Butterfly",D1709="Butterfly ",D1709="Iron Fly", D1709="Iron Fly "),LEN(E1709)-LEN(SUBSTITUTE(E1709,"/",""))+2,LEN(E1709)-LEN(SUBSTITUTE(E1709,"/",""))+1))</f>
        <v/>
      </c>
      <c r="I1709" s="78">
        <f>IF(ISBLANK(G1709),"",IF(D1709="Stock","0",Key!$A$3*H1709*G1709))</f>
        <v/>
      </c>
      <c r="J1709" s="78">
        <f>IF(ISBLANK(E1709),"",IF(ISNUMBER(SEARCH("/",E1709)), IF(LEN(E1709)-LEN(SUBSTITUTE(E1709,"/",""))=1,(RIGHT(E1709,LEN(E1709)-FIND("/",E1709)))-(LEFT(E1709,FIND("/",E1709)-1)),(MID(E1709, SEARCH("/",E1709) + 1, SEARCH("/",E1709, SEARCH("/",E1709)+1) - SEARCH("/",E1709) - 1))-(LEFT(E1709,FIND("/",E1709)-1))), "NA"))</f>
        <v/>
      </c>
      <c r="K1709" s="79">
        <f>IF(A1709&lt;&gt;"", IF(ISBLANK(L1709), TODAY(), K1709), "")</f>
        <v/>
      </c>
      <c r="L1709" s="78" t="n"/>
      <c r="M1709" s="78">
        <f>IF(ISBLANK(L1709),"",IF(D1709="Stock",IF(C1709="Buy",L1709*G1709,IF(C1709="Sell",(L1709*G1709)-I1709, X)),IF(C1709="Buy",(L1709*G1709*100)+I1709,IF(C1709="Sell",(L1709*G1709*100)-I1709, X))))</f>
        <v/>
      </c>
      <c r="N1709" s="78">
        <f>IF(ISBLANK(L1709),"",IF(AND(C1709="Sell",D1709="Stock"),M1709,IF(ISBLANK(L1709),"",IF(C1709="Buy",M1709, IF(AND(C1709="Sell",J1709="NA"),(E1709*G1709*100*0.1)+I1709, IF(C1709="Sell",(J1709-L1709)*(100*G1709)+I1709))))))</f>
        <v/>
      </c>
      <c r="O1709" s="75" t="n"/>
      <c r="P1709" s="75" t="n"/>
      <c r="Q1709" s="75">
        <f>IF(ISBLANK(P1709),"",IF(D1709="Stock",P1709*G1709,IF(P1709=0,"0",G1709*P1709*100-(G1709*$AF$14))))</f>
        <v/>
      </c>
      <c r="R1709" s="79">
        <f>IF(P1709&lt;&gt;"", TODAY(), "")</f>
        <v/>
      </c>
      <c r="S1709" s="78">
        <f>IF(AND(K1709&lt;&gt;"", R1709&lt;&gt;""), R1709-K1709, "")</f>
        <v/>
      </c>
      <c r="T1709" s="78" t="n"/>
      <c r="U1709" s="92">
        <f>IF(ISBLANK(P1709),"",IF(C1709="Buy",Q1709-M1709+T1709, IF(C1709="Sell",M1709-Q1709-T1709, X)))</f>
        <v/>
      </c>
      <c r="V1709" s="81">
        <f>IF(ISBLANK(P1709),"",U1709/N1709)</f>
        <v/>
      </c>
      <c r="W1709" s="81">
        <f>IF(ISBLANK(P1709),"",IF(S1709=0,(365/0.5)*V1709,(365/S1709)*V1709))</f>
        <v/>
      </c>
      <c r="X1709" s="75" t="n"/>
      <c r="Y1709" s="77" t="n"/>
      <c r="Z1709" s="77" t="n"/>
      <c r="AA1709" s="75" t="n"/>
      <c r="AB1709" s="75" t="n"/>
      <c r="AC1709" s="6" t="n"/>
      <c r="AD1709" s="75" t="n"/>
      <c r="AE1709" s="75" t="n"/>
      <c r="AF1709" s="75" t="n"/>
    </row>
    <row r="1710" ht="15.75" customHeight="1" s="133">
      <c r="A1710" s="75" t="n"/>
      <c r="B1710" s="75" t="n"/>
      <c r="C1710" s="75" t="n"/>
      <c r="D1710" s="75" t="n"/>
      <c r="E1710" s="76" t="n"/>
      <c r="F1710" s="77" t="n"/>
      <c r="G1710" s="75" t="n"/>
      <c r="H1710" s="75">
        <f>IF(ISBLANK(E1710),"",IF(OR(D1710="Butterfly",D1710="Butterfly ",D1710="Iron Fly", D1710="Iron Fly "),LEN(E1710)-LEN(SUBSTITUTE(E1710,"/",""))+2,LEN(E1710)-LEN(SUBSTITUTE(E1710,"/",""))+1))</f>
        <v/>
      </c>
      <c r="I1710" s="78">
        <f>IF(ISBLANK(G1710),"",IF(D1710="Stock","0",Key!$A$3*H1710*G1710))</f>
        <v/>
      </c>
      <c r="J1710" s="78">
        <f>IF(ISBLANK(E1710),"",IF(ISNUMBER(SEARCH("/",E1710)), IF(LEN(E1710)-LEN(SUBSTITUTE(E1710,"/",""))=1,(RIGHT(E1710,LEN(E1710)-FIND("/",E1710)))-(LEFT(E1710,FIND("/",E1710)-1)),(MID(E1710, SEARCH("/",E1710) + 1, SEARCH("/",E1710, SEARCH("/",E1710)+1) - SEARCH("/",E1710) - 1))-(LEFT(E1710,FIND("/",E1710)-1))), "NA"))</f>
        <v/>
      </c>
      <c r="K1710" s="79">
        <f>IF(A1710&lt;&gt;"", IF(ISBLANK(L1710), TODAY(), K1710), "")</f>
        <v/>
      </c>
      <c r="L1710" s="78" t="n"/>
      <c r="M1710" s="78">
        <f>IF(ISBLANK(L1710),"",IF(D1710="Stock",IF(C1710="Buy",L1710*G1710,IF(C1710="Sell",(L1710*G1710)-I1710, X)),IF(C1710="Buy",(L1710*G1710*100)+I1710,IF(C1710="Sell",(L1710*G1710*100)-I1710, X))))</f>
        <v/>
      </c>
      <c r="N1710" s="78">
        <f>IF(ISBLANK(L1710),"",IF(AND(C1710="Sell",D1710="Stock"),M1710,IF(ISBLANK(L1710),"",IF(C1710="Buy",M1710, IF(AND(C1710="Sell",J1710="NA"),(E1710*G1710*100*0.1)+I1710, IF(C1710="Sell",(J1710-L1710)*(100*G1710)+I1710))))))</f>
        <v/>
      </c>
      <c r="O1710" s="75" t="n"/>
      <c r="P1710" s="75" t="n"/>
      <c r="Q1710" s="75">
        <f>IF(ISBLANK(P1710),"",IF(D1710="Stock",P1710*G1710,IF(P1710=0,"0",G1710*P1710*100-(G1710*$AF$14))))</f>
        <v/>
      </c>
      <c r="R1710" s="79">
        <f>IF(P1710&lt;&gt;"", TODAY(), "")</f>
        <v/>
      </c>
      <c r="S1710" s="78">
        <f>IF(AND(K1710&lt;&gt;"", R1710&lt;&gt;""), R1710-K1710, "")</f>
        <v/>
      </c>
      <c r="T1710" s="78" t="n"/>
      <c r="U1710" s="92">
        <f>IF(ISBLANK(P1710),"",IF(C1710="Buy",Q1710-M1710+T1710, IF(C1710="Sell",M1710-Q1710-T1710, X)))</f>
        <v/>
      </c>
      <c r="V1710" s="81">
        <f>IF(ISBLANK(P1710),"",U1710/N1710)</f>
        <v/>
      </c>
      <c r="W1710" s="81">
        <f>IF(ISBLANK(P1710),"",IF(S1710=0,(365/0.5)*V1710,(365/S1710)*V1710))</f>
        <v/>
      </c>
      <c r="X1710" s="75" t="n"/>
      <c r="Y1710" s="77" t="n"/>
      <c r="Z1710" s="77" t="n"/>
      <c r="AA1710" s="75" t="n"/>
      <c r="AB1710" s="75" t="n"/>
      <c r="AC1710" s="6" t="n"/>
      <c r="AD1710" s="75" t="n"/>
      <c r="AE1710" s="75" t="n"/>
      <c r="AF1710" s="75" t="n"/>
    </row>
    <row r="1711" ht="15.75" customHeight="1" s="133">
      <c r="A1711" s="75" t="n"/>
      <c r="B1711" s="75" t="n"/>
      <c r="C1711" s="75" t="n"/>
      <c r="D1711" s="75" t="n"/>
      <c r="E1711" s="76" t="n"/>
      <c r="F1711" s="77" t="n"/>
      <c r="G1711" s="75" t="n"/>
      <c r="H1711" s="75">
        <f>IF(ISBLANK(E1711),"",IF(OR(D1711="Butterfly",D1711="Butterfly ",D1711="Iron Fly", D1711="Iron Fly "),LEN(E1711)-LEN(SUBSTITUTE(E1711,"/",""))+2,LEN(E1711)-LEN(SUBSTITUTE(E1711,"/",""))+1))</f>
        <v/>
      </c>
      <c r="I1711" s="78">
        <f>IF(ISBLANK(G1711),"",IF(D1711="Stock","0",Key!$A$3*H1711*G1711))</f>
        <v/>
      </c>
      <c r="J1711" s="78">
        <f>IF(ISBLANK(E1711),"",IF(ISNUMBER(SEARCH("/",E1711)), IF(LEN(E1711)-LEN(SUBSTITUTE(E1711,"/",""))=1,(RIGHT(E1711,LEN(E1711)-FIND("/",E1711)))-(LEFT(E1711,FIND("/",E1711)-1)),(MID(E1711, SEARCH("/",E1711) + 1, SEARCH("/",E1711, SEARCH("/",E1711)+1) - SEARCH("/",E1711) - 1))-(LEFT(E1711,FIND("/",E1711)-1))), "NA"))</f>
        <v/>
      </c>
      <c r="K1711" s="79">
        <f>IF(A1711&lt;&gt;"", IF(ISBLANK(L1711), TODAY(), K1711), "")</f>
        <v/>
      </c>
      <c r="L1711" s="78" t="n"/>
      <c r="M1711" s="78">
        <f>IF(ISBLANK(L1711),"",IF(D1711="Stock",IF(C1711="Buy",L1711*G1711,IF(C1711="Sell",(L1711*G1711)-I1711, X)),IF(C1711="Buy",(L1711*G1711*100)+I1711,IF(C1711="Sell",(L1711*G1711*100)-I1711, X))))</f>
        <v/>
      </c>
      <c r="N1711" s="78">
        <f>IF(ISBLANK(L1711),"",IF(AND(C1711="Sell",D1711="Stock"),M1711,IF(ISBLANK(L1711),"",IF(C1711="Buy",M1711, IF(AND(C1711="Sell",J1711="NA"),(E1711*G1711*100*0.1)+I1711, IF(C1711="Sell",(J1711-L1711)*(100*G1711)+I1711))))))</f>
        <v/>
      </c>
      <c r="O1711" s="75" t="n"/>
      <c r="P1711" s="75" t="n"/>
      <c r="Q1711" s="75">
        <f>IF(ISBLANK(P1711),"",IF(D1711="Stock",P1711*G1711,IF(P1711=0,"0",G1711*P1711*100-(G1711*$AF$14))))</f>
        <v/>
      </c>
      <c r="R1711" s="79">
        <f>IF(P1711&lt;&gt;"", TODAY(), "")</f>
        <v/>
      </c>
      <c r="S1711" s="78">
        <f>IF(AND(K1711&lt;&gt;"", R1711&lt;&gt;""), R1711-K1711, "")</f>
        <v/>
      </c>
      <c r="T1711" s="78" t="n"/>
      <c r="U1711" s="92">
        <f>IF(ISBLANK(P1711),"",IF(C1711="Buy",Q1711-M1711+T1711, IF(C1711="Sell",M1711-Q1711-T1711, X)))</f>
        <v/>
      </c>
      <c r="V1711" s="81">
        <f>IF(ISBLANK(P1711),"",U1711/N1711)</f>
        <v/>
      </c>
      <c r="W1711" s="81">
        <f>IF(ISBLANK(P1711),"",IF(S1711=0,(365/0.5)*V1711,(365/S1711)*V1711))</f>
        <v/>
      </c>
      <c r="X1711" s="75" t="n"/>
      <c r="Y1711" s="77" t="n"/>
      <c r="Z1711" s="77" t="n"/>
      <c r="AA1711" s="75" t="n"/>
      <c r="AB1711" s="75" t="n"/>
      <c r="AC1711" s="6" t="n"/>
      <c r="AD1711" s="75" t="n"/>
      <c r="AE1711" s="75" t="n"/>
      <c r="AF1711" s="75" t="n"/>
    </row>
    <row r="1712" ht="15.75" customHeight="1" s="133">
      <c r="A1712" s="75" t="n"/>
      <c r="B1712" s="75" t="n"/>
      <c r="C1712" s="75" t="n"/>
      <c r="D1712" s="75" t="n"/>
      <c r="E1712" s="76" t="n"/>
      <c r="F1712" s="77" t="n"/>
      <c r="G1712" s="75" t="n"/>
      <c r="H1712" s="75">
        <f>IF(ISBLANK(E1712),"",IF(OR(D1712="Butterfly",D1712="Butterfly ",D1712="Iron Fly", D1712="Iron Fly "),LEN(E1712)-LEN(SUBSTITUTE(E1712,"/",""))+2,LEN(E1712)-LEN(SUBSTITUTE(E1712,"/",""))+1))</f>
        <v/>
      </c>
      <c r="I1712" s="78">
        <f>IF(ISBLANK(G1712),"",IF(D1712="Stock","0",Key!$A$3*H1712*G1712))</f>
        <v/>
      </c>
      <c r="J1712" s="78">
        <f>IF(ISBLANK(E1712),"",IF(ISNUMBER(SEARCH("/",E1712)), IF(LEN(E1712)-LEN(SUBSTITUTE(E1712,"/",""))=1,(RIGHT(E1712,LEN(E1712)-FIND("/",E1712)))-(LEFT(E1712,FIND("/",E1712)-1)),(MID(E1712, SEARCH("/",E1712) + 1, SEARCH("/",E1712, SEARCH("/",E1712)+1) - SEARCH("/",E1712) - 1))-(LEFT(E1712,FIND("/",E1712)-1))), "NA"))</f>
        <v/>
      </c>
      <c r="K1712" s="79">
        <f>IF(A1712&lt;&gt;"", IF(ISBLANK(L1712), TODAY(), K1712), "")</f>
        <v/>
      </c>
      <c r="L1712" s="78" t="n"/>
      <c r="M1712" s="78">
        <f>IF(ISBLANK(L1712),"",IF(D1712="Stock",IF(C1712="Buy",L1712*G1712,IF(C1712="Sell",(L1712*G1712)-I1712, X)),IF(C1712="Buy",(L1712*G1712*100)+I1712,IF(C1712="Sell",(L1712*G1712*100)-I1712, X))))</f>
        <v/>
      </c>
      <c r="N1712" s="78">
        <f>IF(ISBLANK(L1712),"",IF(AND(C1712="Sell",D1712="Stock"),M1712,IF(ISBLANK(L1712),"",IF(C1712="Buy",M1712, IF(AND(C1712="Sell",J1712="NA"),(E1712*G1712*100*0.1)+I1712, IF(C1712="Sell",(J1712-L1712)*(100*G1712)+I1712))))))</f>
        <v/>
      </c>
      <c r="O1712" s="75" t="n"/>
      <c r="P1712" s="75" t="n"/>
      <c r="Q1712" s="75">
        <f>IF(ISBLANK(P1712),"",IF(D1712="Stock",P1712*G1712,IF(P1712=0,"0",G1712*P1712*100-(G1712*$AF$14))))</f>
        <v/>
      </c>
      <c r="R1712" s="79">
        <f>IF(P1712&lt;&gt;"", TODAY(), "")</f>
        <v/>
      </c>
      <c r="S1712" s="78">
        <f>IF(AND(K1712&lt;&gt;"", R1712&lt;&gt;""), R1712-K1712, "")</f>
        <v/>
      </c>
      <c r="T1712" s="78" t="n"/>
      <c r="U1712" s="92">
        <f>IF(ISBLANK(P1712),"",IF(C1712="Buy",Q1712-M1712+T1712, IF(C1712="Sell",M1712-Q1712-T1712, X)))</f>
        <v/>
      </c>
      <c r="V1712" s="81">
        <f>IF(ISBLANK(P1712),"",U1712/N1712)</f>
        <v/>
      </c>
      <c r="W1712" s="81">
        <f>IF(ISBLANK(P1712),"",IF(S1712=0,(365/0.5)*V1712,(365/S1712)*V1712))</f>
        <v/>
      </c>
      <c r="X1712" s="75" t="n"/>
      <c r="Y1712" s="77" t="n"/>
      <c r="Z1712" s="77" t="n"/>
      <c r="AA1712" s="75" t="n"/>
      <c r="AB1712" s="75" t="n"/>
      <c r="AC1712" s="6" t="n"/>
      <c r="AD1712" s="75" t="n"/>
      <c r="AE1712" s="75" t="n"/>
      <c r="AF1712" s="75" t="n"/>
    </row>
    <row r="1713" ht="15.75" customHeight="1" s="133">
      <c r="A1713" s="75" t="n"/>
      <c r="B1713" s="75" t="n"/>
      <c r="C1713" s="75" t="n"/>
      <c r="D1713" s="75" t="n"/>
      <c r="E1713" s="76" t="n"/>
      <c r="F1713" s="77" t="n"/>
      <c r="G1713" s="75" t="n"/>
      <c r="H1713" s="75">
        <f>IF(ISBLANK(E1713),"",IF(OR(D1713="Butterfly",D1713="Butterfly ",D1713="Iron Fly", D1713="Iron Fly "),LEN(E1713)-LEN(SUBSTITUTE(E1713,"/",""))+2,LEN(E1713)-LEN(SUBSTITUTE(E1713,"/",""))+1))</f>
        <v/>
      </c>
      <c r="I1713" s="78">
        <f>IF(ISBLANK(G1713),"",IF(D1713="Stock","0",Key!$A$3*H1713*G1713))</f>
        <v/>
      </c>
      <c r="J1713" s="78">
        <f>IF(ISBLANK(E1713),"",IF(ISNUMBER(SEARCH("/",E1713)), IF(LEN(E1713)-LEN(SUBSTITUTE(E1713,"/",""))=1,(RIGHT(E1713,LEN(E1713)-FIND("/",E1713)))-(LEFT(E1713,FIND("/",E1713)-1)),(MID(E1713, SEARCH("/",E1713) + 1, SEARCH("/",E1713, SEARCH("/",E1713)+1) - SEARCH("/",E1713) - 1))-(LEFT(E1713,FIND("/",E1713)-1))), "NA"))</f>
        <v/>
      </c>
      <c r="K1713" s="79">
        <f>IF(A1713&lt;&gt;"", IF(ISBLANK(L1713), TODAY(), K1713), "")</f>
        <v/>
      </c>
      <c r="L1713" s="78" t="n"/>
      <c r="M1713" s="78">
        <f>IF(ISBLANK(L1713),"",IF(D1713="Stock",IF(C1713="Buy",L1713*G1713,IF(C1713="Sell",(L1713*G1713)-I1713, X)),IF(C1713="Buy",(L1713*G1713*100)+I1713,IF(C1713="Sell",(L1713*G1713*100)-I1713, X))))</f>
        <v/>
      </c>
      <c r="N1713" s="78">
        <f>IF(ISBLANK(L1713),"",IF(AND(C1713="Sell",D1713="Stock"),M1713,IF(ISBLANK(L1713),"",IF(C1713="Buy",M1713, IF(AND(C1713="Sell",J1713="NA"),(E1713*G1713*100*0.1)+I1713, IF(C1713="Sell",(J1713-L1713)*(100*G1713)+I1713))))))</f>
        <v/>
      </c>
      <c r="O1713" s="75" t="n"/>
      <c r="P1713" s="75" t="n"/>
      <c r="Q1713" s="75">
        <f>IF(ISBLANK(P1713),"",IF(D1713="Stock",P1713*G1713,IF(P1713=0,"0",G1713*P1713*100-(G1713*$AF$14))))</f>
        <v/>
      </c>
      <c r="R1713" s="79">
        <f>IF(P1713&lt;&gt;"", TODAY(), "")</f>
        <v/>
      </c>
      <c r="S1713" s="78">
        <f>IF(AND(K1713&lt;&gt;"", R1713&lt;&gt;""), R1713-K1713, "")</f>
        <v/>
      </c>
      <c r="T1713" s="78" t="n"/>
      <c r="U1713" s="92">
        <f>IF(ISBLANK(P1713),"",IF(C1713="Buy",Q1713-M1713+T1713, IF(C1713="Sell",M1713-Q1713-T1713, X)))</f>
        <v/>
      </c>
      <c r="V1713" s="81">
        <f>IF(ISBLANK(P1713),"",U1713/N1713)</f>
        <v/>
      </c>
      <c r="W1713" s="81">
        <f>IF(ISBLANK(P1713),"",IF(S1713=0,(365/0.5)*V1713,(365/S1713)*V1713))</f>
        <v/>
      </c>
      <c r="X1713" s="75" t="n"/>
      <c r="Y1713" s="77" t="n"/>
      <c r="Z1713" s="77" t="n"/>
      <c r="AA1713" s="75" t="n"/>
      <c r="AB1713" s="75" t="n"/>
      <c r="AC1713" s="6" t="n"/>
      <c r="AD1713" s="75" t="n"/>
      <c r="AE1713" s="75" t="n"/>
      <c r="AF1713" s="75" t="n"/>
    </row>
    <row r="1714" ht="15.75" customHeight="1" s="133">
      <c r="A1714" s="75" t="n"/>
      <c r="B1714" s="75" t="n"/>
      <c r="C1714" s="75" t="n"/>
      <c r="D1714" s="75" t="n"/>
      <c r="E1714" s="76" t="n"/>
      <c r="F1714" s="77" t="n"/>
      <c r="G1714" s="75" t="n"/>
      <c r="H1714" s="75">
        <f>IF(ISBLANK(E1714),"",IF(OR(D1714="Butterfly",D1714="Butterfly ",D1714="Iron Fly", D1714="Iron Fly "),LEN(E1714)-LEN(SUBSTITUTE(E1714,"/",""))+2,LEN(E1714)-LEN(SUBSTITUTE(E1714,"/",""))+1))</f>
        <v/>
      </c>
      <c r="I1714" s="78">
        <f>IF(ISBLANK(G1714),"",IF(D1714="Stock","0",Key!$A$3*H1714*G1714))</f>
        <v/>
      </c>
      <c r="J1714" s="78">
        <f>IF(ISBLANK(E1714),"",IF(ISNUMBER(SEARCH("/",E1714)), IF(LEN(E1714)-LEN(SUBSTITUTE(E1714,"/",""))=1,(RIGHT(E1714,LEN(E1714)-FIND("/",E1714)))-(LEFT(E1714,FIND("/",E1714)-1)),(MID(E1714, SEARCH("/",E1714) + 1, SEARCH("/",E1714, SEARCH("/",E1714)+1) - SEARCH("/",E1714) - 1))-(LEFT(E1714,FIND("/",E1714)-1))), "NA"))</f>
        <v/>
      </c>
      <c r="K1714" s="79">
        <f>IF(A1714&lt;&gt;"", IF(ISBLANK(L1714), TODAY(), K1714), "")</f>
        <v/>
      </c>
      <c r="L1714" s="78" t="n"/>
      <c r="M1714" s="78">
        <f>IF(ISBLANK(L1714),"",IF(D1714="Stock",IF(C1714="Buy",L1714*G1714,IF(C1714="Sell",(L1714*G1714)-I1714, X)),IF(C1714="Buy",(L1714*G1714*100)+I1714,IF(C1714="Sell",(L1714*G1714*100)-I1714, X))))</f>
        <v/>
      </c>
      <c r="N1714" s="78">
        <f>IF(ISBLANK(L1714),"",IF(AND(C1714="Sell",D1714="Stock"),M1714,IF(ISBLANK(L1714),"",IF(C1714="Buy",M1714, IF(AND(C1714="Sell",J1714="NA"),(E1714*G1714*100*0.1)+I1714, IF(C1714="Sell",(J1714-L1714)*(100*G1714)+I1714))))))</f>
        <v/>
      </c>
      <c r="O1714" s="75" t="n"/>
      <c r="P1714" s="75" t="n"/>
      <c r="Q1714" s="75">
        <f>IF(ISBLANK(P1714),"",IF(D1714="Stock",P1714*G1714,IF(P1714=0,"0",G1714*P1714*100-(G1714*$AF$14))))</f>
        <v/>
      </c>
      <c r="R1714" s="79">
        <f>IF(P1714&lt;&gt;"", TODAY(), "")</f>
        <v/>
      </c>
      <c r="S1714" s="78">
        <f>IF(AND(K1714&lt;&gt;"", R1714&lt;&gt;""), R1714-K1714, "")</f>
        <v/>
      </c>
      <c r="T1714" s="78" t="n"/>
      <c r="U1714" s="92">
        <f>IF(ISBLANK(P1714),"",IF(C1714="Buy",Q1714-M1714+T1714, IF(C1714="Sell",M1714-Q1714-T1714, X)))</f>
        <v/>
      </c>
      <c r="V1714" s="81">
        <f>IF(ISBLANK(P1714),"",U1714/N1714)</f>
        <v/>
      </c>
      <c r="W1714" s="81">
        <f>IF(ISBLANK(P1714),"",IF(S1714=0,(365/0.5)*V1714,(365/S1714)*V1714))</f>
        <v/>
      </c>
      <c r="X1714" s="75" t="n"/>
      <c r="Y1714" s="77" t="n"/>
      <c r="Z1714" s="77" t="n"/>
      <c r="AA1714" s="75" t="n"/>
      <c r="AB1714" s="75" t="n"/>
      <c r="AC1714" s="6" t="n"/>
      <c r="AD1714" s="75" t="n"/>
      <c r="AE1714" s="75" t="n"/>
      <c r="AF1714" s="75" t="n"/>
    </row>
    <row r="1715" ht="15.75" customHeight="1" s="133">
      <c r="A1715" s="75" t="n"/>
      <c r="B1715" s="75" t="n"/>
      <c r="C1715" s="75" t="n"/>
      <c r="D1715" s="75" t="n"/>
      <c r="E1715" s="76" t="n"/>
      <c r="F1715" s="77" t="n"/>
      <c r="G1715" s="75" t="n"/>
      <c r="H1715" s="75">
        <f>IF(ISBLANK(E1715),"",IF(OR(D1715="Butterfly",D1715="Butterfly ",D1715="Iron Fly", D1715="Iron Fly "),LEN(E1715)-LEN(SUBSTITUTE(E1715,"/",""))+2,LEN(E1715)-LEN(SUBSTITUTE(E1715,"/",""))+1))</f>
        <v/>
      </c>
      <c r="I1715" s="78">
        <f>IF(ISBLANK(G1715),"",IF(D1715="Stock","0",Key!$A$3*H1715*G1715))</f>
        <v/>
      </c>
      <c r="J1715" s="78">
        <f>IF(ISBLANK(E1715),"",IF(ISNUMBER(SEARCH("/",E1715)), IF(LEN(E1715)-LEN(SUBSTITUTE(E1715,"/",""))=1,(RIGHT(E1715,LEN(E1715)-FIND("/",E1715)))-(LEFT(E1715,FIND("/",E1715)-1)),(MID(E1715, SEARCH("/",E1715) + 1, SEARCH("/",E1715, SEARCH("/",E1715)+1) - SEARCH("/",E1715) - 1))-(LEFT(E1715,FIND("/",E1715)-1))), "NA"))</f>
        <v/>
      </c>
      <c r="K1715" s="79">
        <f>IF(A1715&lt;&gt;"", IF(ISBLANK(L1715), TODAY(), K1715), "")</f>
        <v/>
      </c>
      <c r="L1715" s="78" t="n"/>
      <c r="M1715" s="78">
        <f>IF(ISBLANK(L1715),"",IF(D1715="Stock",IF(C1715="Buy",L1715*G1715,IF(C1715="Sell",(L1715*G1715)-I1715, X)),IF(C1715="Buy",(L1715*G1715*100)+I1715,IF(C1715="Sell",(L1715*G1715*100)-I1715, X))))</f>
        <v/>
      </c>
      <c r="N1715" s="78">
        <f>IF(ISBLANK(L1715),"",IF(AND(C1715="Sell",D1715="Stock"),M1715,IF(ISBLANK(L1715),"",IF(C1715="Buy",M1715, IF(AND(C1715="Sell",J1715="NA"),(E1715*G1715*100*0.1)+I1715, IF(C1715="Sell",(J1715-L1715)*(100*G1715)+I1715))))))</f>
        <v/>
      </c>
      <c r="O1715" s="75" t="n"/>
      <c r="P1715" s="75" t="n"/>
      <c r="Q1715" s="75">
        <f>IF(ISBLANK(P1715),"",IF(D1715="Stock",P1715*G1715,IF(P1715=0,"0",G1715*P1715*100-(G1715*$AF$14))))</f>
        <v/>
      </c>
      <c r="R1715" s="79">
        <f>IF(P1715&lt;&gt;"", TODAY(), "")</f>
        <v/>
      </c>
      <c r="S1715" s="78">
        <f>IF(AND(K1715&lt;&gt;"", R1715&lt;&gt;""), R1715-K1715, "")</f>
        <v/>
      </c>
      <c r="T1715" s="78" t="n"/>
      <c r="U1715" s="92">
        <f>IF(ISBLANK(P1715),"",IF(C1715="Buy",Q1715-M1715+T1715, IF(C1715="Sell",M1715-Q1715-T1715, X)))</f>
        <v/>
      </c>
      <c r="V1715" s="81">
        <f>IF(ISBLANK(P1715),"",U1715/N1715)</f>
        <v/>
      </c>
      <c r="W1715" s="81">
        <f>IF(ISBLANK(P1715),"",IF(S1715=0,(365/0.5)*V1715,(365/S1715)*V1715))</f>
        <v/>
      </c>
      <c r="X1715" s="75" t="n"/>
      <c r="Y1715" s="77" t="n"/>
      <c r="Z1715" s="77" t="n"/>
      <c r="AA1715" s="75" t="n"/>
      <c r="AB1715" s="75" t="n"/>
      <c r="AC1715" s="6" t="n"/>
      <c r="AD1715" s="75" t="n"/>
      <c r="AE1715" s="75" t="n"/>
      <c r="AF1715" s="75" t="n"/>
    </row>
    <row r="1716" ht="15.75" customHeight="1" s="133">
      <c r="A1716" s="75" t="n"/>
      <c r="B1716" s="75" t="n"/>
      <c r="C1716" s="75" t="n"/>
      <c r="D1716" s="75" t="n"/>
      <c r="E1716" s="76" t="n"/>
      <c r="F1716" s="77" t="n"/>
      <c r="G1716" s="75" t="n"/>
      <c r="H1716" s="75">
        <f>IF(ISBLANK(E1716),"",IF(OR(D1716="Butterfly",D1716="Butterfly ",D1716="Iron Fly", D1716="Iron Fly "),LEN(E1716)-LEN(SUBSTITUTE(E1716,"/",""))+2,LEN(E1716)-LEN(SUBSTITUTE(E1716,"/",""))+1))</f>
        <v/>
      </c>
      <c r="I1716" s="78">
        <f>IF(ISBLANK(G1716),"",IF(D1716="Stock","0",Key!$A$3*H1716*G1716))</f>
        <v/>
      </c>
      <c r="J1716" s="78">
        <f>IF(ISBLANK(E1716),"",IF(ISNUMBER(SEARCH("/",E1716)), IF(LEN(E1716)-LEN(SUBSTITUTE(E1716,"/",""))=1,(RIGHT(E1716,LEN(E1716)-FIND("/",E1716)))-(LEFT(E1716,FIND("/",E1716)-1)),(MID(E1716, SEARCH("/",E1716) + 1, SEARCH("/",E1716, SEARCH("/",E1716)+1) - SEARCH("/",E1716) - 1))-(LEFT(E1716,FIND("/",E1716)-1))), "NA"))</f>
        <v/>
      </c>
      <c r="K1716" s="79">
        <f>IF(A1716&lt;&gt;"", IF(ISBLANK(L1716), TODAY(), K1716), "")</f>
        <v/>
      </c>
      <c r="L1716" s="78" t="n"/>
      <c r="M1716" s="78">
        <f>IF(ISBLANK(L1716),"",IF(D1716="Stock",IF(C1716="Buy",L1716*G1716,IF(C1716="Sell",(L1716*G1716)-I1716, X)),IF(C1716="Buy",(L1716*G1716*100)+I1716,IF(C1716="Sell",(L1716*G1716*100)-I1716, X))))</f>
        <v/>
      </c>
      <c r="N1716" s="78">
        <f>IF(ISBLANK(L1716),"",IF(AND(C1716="Sell",D1716="Stock"),M1716,IF(ISBLANK(L1716),"",IF(C1716="Buy",M1716, IF(AND(C1716="Sell",J1716="NA"),(E1716*G1716*100*0.1)+I1716, IF(C1716="Sell",(J1716-L1716)*(100*G1716)+I1716))))))</f>
        <v/>
      </c>
      <c r="O1716" s="75" t="n"/>
      <c r="P1716" s="75" t="n"/>
      <c r="Q1716" s="75">
        <f>IF(ISBLANK(P1716),"",IF(D1716="Stock",P1716*G1716,IF(P1716=0,"0",G1716*P1716*100-(G1716*$AF$14))))</f>
        <v/>
      </c>
      <c r="R1716" s="79">
        <f>IF(P1716&lt;&gt;"", TODAY(), "")</f>
        <v/>
      </c>
      <c r="S1716" s="78">
        <f>IF(AND(K1716&lt;&gt;"", R1716&lt;&gt;""), R1716-K1716, "")</f>
        <v/>
      </c>
      <c r="T1716" s="78" t="n"/>
      <c r="U1716" s="92">
        <f>IF(ISBLANK(P1716),"",IF(C1716="Buy",Q1716-M1716+T1716, IF(C1716="Sell",M1716-Q1716-T1716, X)))</f>
        <v/>
      </c>
      <c r="V1716" s="81">
        <f>IF(ISBLANK(P1716),"",U1716/N1716)</f>
        <v/>
      </c>
      <c r="W1716" s="81">
        <f>IF(ISBLANK(P1716),"",IF(S1716=0,(365/0.5)*V1716,(365/S1716)*V1716))</f>
        <v/>
      </c>
      <c r="X1716" s="75" t="n"/>
      <c r="Y1716" s="77" t="n"/>
      <c r="Z1716" s="77" t="n"/>
      <c r="AA1716" s="75" t="n"/>
      <c r="AB1716" s="75" t="n"/>
      <c r="AC1716" s="6" t="n"/>
      <c r="AD1716" s="75" t="n"/>
      <c r="AE1716" s="75" t="n"/>
      <c r="AF1716" s="75" t="n"/>
    </row>
    <row r="1717" ht="15.75" customHeight="1" s="133">
      <c r="A1717" s="75" t="n"/>
      <c r="B1717" s="75" t="n"/>
      <c r="C1717" s="75" t="n"/>
      <c r="D1717" s="75" t="n"/>
      <c r="E1717" s="76" t="n"/>
      <c r="F1717" s="77" t="n"/>
      <c r="G1717" s="75" t="n"/>
      <c r="H1717" s="75">
        <f>IF(ISBLANK(E1717),"",IF(OR(D1717="Butterfly",D1717="Butterfly ",D1717="Iron Fly", D1717="Iron Fly "),LEN(E1717)-LEN(SUBSTITUTE(E1717,"/",""))+2,LEN(E1717)-LEN(SUBSTITUTE(E1717,"/",""))+1))</f>
        <v/>
      </c>
      <c r="I1717" s="78">
        <f>IF(ISBLANK(G1717),"",IF(D1717="Stock","0",Key!$A$3*H1717*G1717))</f>
        <v/>
      </c>
      <c r="J1717" s="78">
        <f>IF(ISBLANK(E1717),"",IF(ISNUMBER(SEARCH("/",E1717)), IF(LEN(E1717)-LEN(SUBSTITUTE(E1717,"/",""))=1,(RIGHT(E1717,LEN(E1717)-FIND("/",E1717)))-(LEFT(E1717,FIND("/",E1717)-1)),(MID(E1717, SEARCH("/",E1717) + 1, SEARCH("/",E1717, SEARCH("/",E1717)+1) - SEARCH("/",E1717) - 1))-(LEFT(E1717,FIND("/",E1717)-1))), "NA"))</f>
        <v/>
      </c>
      <c r="K1717" s="79">
        <f>IF(A1717&lt;&gt;"", IF(ISBLANK(L1717), TODAY(), K1717), "")</f>
        <v/>
      </c>
      <c r="L1717" s="78" t="n"/>
      <c r="M1717" s="78">
        <f>IF(ISBLANK(L1717),"",IF(D1717="Stock",IF(C1717="Buy",L1717*G1717,IF(C1717="Sell",(L1717*G1717)-I1717, X)),IF(C1717="Buy",(L1717*G1717*100)+I1717,IF(C1717="Sell",(L1717*G1717*100)-I1717, X))))</f>
        <v/>
      </c>
      <c r="N1717" s="78">
        <f>IF(ISBLANK(L1717),"",IF(AND(C1717="Sell",D1717="Stock"),M1717,IF(ISBLANK(L1717),"",IF(C1717="Buy",M1717, IF(AND(C1717="Sell",J1717="NA"),(E1717*G1717*100*0.1)+I1717, IF(C1717="Sell",(J1717-L1717)*(100*G1717)+I1717))))))</f>
        <v/>
      </c>
      <c r="O1717" s="75" t="n"/>
      <c r="P1717" s="75" t="n"/>
      <c r="Q1717" s="75">
        <f>IF(ISBLANK(P1717),"",IF(D1717="Stock",P1717*G1717,IF(P1717=0,"0",G1717*P1717*100-(G1717*$AF$14))))</f>
        <v/>
      </c>
      <c r="R1717" s="79">
        <f>IF(P1717&lt;&gt;"", TODAY(), "")</f>
        <v/>
      </c>
      <c r="S1717" s="78">
        <f>IF(AND(K1717&lt;&gt;"", R1717&lt;&gt;""), R1717-K1717, "")</f>
        <v/>
      </c>
      <c r="T1717" s="78" t="n"/>
      <c r="U1717" s="92">
        <f>IF(ISBLANK(P1717),"",IF(C1717="Buy",Q1717-M1717+T1717, IF(C1717="Sell",M1717-Q1717-T1717, X)))</f>
        <v/>
      </c>
      <c r="V1717" s="81">
        <f>IF(ISBLANK(P1717),"",U1717/N1717)</f>
        <v/>
      </c>
      <c r="W1717" s="81">
        <f>IF(ISBLANK(P1717),"",IF(S1717=0,(365/0.5)*V1717,(365/S1717)*V1717))</f>
        <v/>
      </c>
      <c r="X1717" s="75" t="n"/>
      <c r="Y1717" s="77" t="n"/>
      <c r="Z1717" s="77" t="n"/>
      <c r="AA1717" s="75" t="n"/>
      <c r="AB1717" s="75" t="n"/>
      <c r="AC1717" s="6" t="n"/>
      <c r="AD1717" s="75" t="n"/>
      <c r="AE1717" s="75" t="n"/>
      <c r="AF1717" s="75" t="n"/>
    </row>
    <row r="1718" ht="15.75" customHeight="1" s="133">
      <c r="A1718" s="75" t="n"/>
      <c r="B1718" s="75" t="n"/>
      <c r="C1718" s="75" t="n"/>
      <c r="D1718" s="75" t="n"/>
      <c r="E1718" s="76" t="n"/>
      <c r="F1718" s="77" t="n"/>
      <c r="G1718" s="75" t="n"/>
      <c r="H1718" s="75">
        <f>IF(ISBLANK(E1718),"",IF(OR(D1718="Butterfly",D1718="Butterfly ",D1718="Iron Fly", D1718="Iron Fly "),LEN(E1718)-LEN(SUBSTITUTE(E1718,"/",""))+2,LEN(E1718)-LEN(SUBSTITUTE(E1718,"/",""))+1))</f>
        <v/>
      </c>
      <c r="I1718" s="78">
        <f>IF(ISBLANK(G1718),"",IF(D1718="Stock","0",Key!$A$3*H1718*G1718))</f>
        <v/>
      </c>
      <c r="J1718" s="78">
        <f>IF(ISBLANK(E1718),"",IF(ISNUMBER(SEARCH("/",E1718)), IF(LEN(E1718)-LEN(SUBSTITUTE(E1718,"/",""))=1,(RIGHT(E1718,LEN(E1718)-FIND("/",E1718)))-(LEFT(E1718,FIND("/",E1718)-1)),(MID(E1718, SEARCH("/",E1718) + 1, SEARCH("/",E1718, SEARCH("/",E1718)+1) - SEARCH("/",E1718) - 1))-(LEFT(E1718,FIND("/",E1718)-1))), "NA"))</f>
        <v/>
      </c>
      <c r="K1718" s="79">
        <f>IF(A1718&lt;&gt;"", IF(ISBLANK(L1718), TODAY(), K1718), "")</f>
        <v/>
      </c>
      <c r="L1718" s="78" t="n"/>
      <c r="M1718" s="78">
        <f>IF(ISBLANK(L1718),"",IF(D1718="Stock",IF(C1718="Buy",L1718*G1718,IF(C1718="Sell",(L1718*G1718)-I1718, X)),IF(C1718="Buy",(L1718*G1718*100)+I1718,IF(C1718="Sell",(L1718*G1718*100)-I1718, X))))</f>
        <v/>
      </c>
      <c r="N1718" s="78">
        <f>IF(ISBLANK(L1718),"",IF(AND(C1718="Sell",D1718="Stock"),M1718,IF(ISBLANK(L1718),"",IF(C1718="Buy",M1718, IF(AND(C1718="Sell",J1718="NA"),(E1718*G1718*100*0.1)+I1718, IF(C1718="Sell",(J1718-L1718)*(100*G1718)+I1718))))))</f>
        <v/>
      </c>
      <c r="O1718" s="75" t="n"/>
      <c r="P1718" s="75" t="n"/>
      <c r="Q1718" s="75">
        <f>IF(ISBLANK(P1718),"",IF(D1718="Stock",P1718*G1718,IF(P1718=0,"0",G1718*P1718*100-(G1718*$AF$14))))</f>
        <v/>
      </c>
      <c r="R1718" s="79">
        <f>IF(P1718&lt;&gt;"", TODAY(), "")</f>
        <v/>
      </c>
      <c r="S1718" s="78">
        <f>IF(AND(K1718&lt;&gt;"", R1718&lt;&gt;""), R1718-K1718, "")</f>
        <v/>
      </c>
      <c r="T1718" s="78" t="n"/>
      <c r="U1718" s="92">
        <f>IF(ISBLANK(P1718),"",IF(C1718="Buy",Q1718-M1718+T1718, IF(C1718="Sell",M1718-Q1718-T1718, X)))</f>
        <v/>
      </c>
      <c r="V1718" s="81">
        <f>IF(ISBLANK(P1718),"",U1718/N1718)</f>
        <v/>
      </c>
      <c r="W1718" s="81">
        <f>IF(ISBLANK(P1718),"",IF(S1718=0,(365/0.5)*V1718,(365/S1718)*V1718))</f>
        <v/>
      </c>
      <c r="X1718" s="75" t="n"/>
      <c r="Y1718" s="77" t="n"/>
      <c r="Z1718" s="77" t="n"/>
      <c r="AA1718" s="75" t="n"/>
      <c r="AB1718" s="75" t="n"/>
      <c r="AC1718" s="6" t="n"/>
      <c r="AD1718" s="75" t="n"/>
      <c r="AE1718" s="75" t="n"/>
      <c r="AF1718" s="75" t="n"/>
    </row>
    <row r="1719" ht="15.75" customHeight="1" s="133">
      <c r="A1719" s="75" t="n"/>
      <c r="B1719" s="75" t="n"/>
      <c r="C1719" s="75" t="n"/>
      <c r="D1719" s="75" t="n"/>
      <c r="E1719" s="76" t="n"/>
      <c r="F1719" s="77" t="n"/>
      <c r="G1719" s="75" t="n"/>
      <c r="H1719" s="75">
        <f>IF(ISBLANK(E1719),"",IF(OR(D1719="Butterfly",D1719="Butterfly ",D1719="Iron Fly", D1719="Iron Fly "),LEN(E1719)-LEN(SUBSTITUTE(E1719,"/",""))+2,LEN(E1719)-LEN(SUBSTITUTE(E1719,"/",""))+1))</f>
        <v/>
      </c>
      <c r="I1719" s="78">
        <f>IF(ISBLANK(G1719),"",IF(D1719="Stock","0",Key!$A$3*H1719*G1719))</f>
        <v/>
      </c>
      <c r="J1719" s="78">
        <f>IF(ISBLANK(E1719),"",IF(ISNUMBER(SEARCH("/",E1719)), IF(LEN(E1719)-LEN(SUBSTITUTE(E1719,"/",""))=1,(RIGHT(E1719,LEN(E1719)-FIND("/",E1719)))-(LEFT(E1719,FIND("/",E1719)-1)),(MID(E1719, SEARCH("/",E1719) + 1, SEARCH("/",E1719, SEARCH("/",E1719)+1) - SEARCH("/",E1719) - 1))-(LEFT(E1719,FIND("/",E1719)-1))), "NA"))</f>
        <v/>
      </c>
      <c r="K1719" s="79">
        <f>IF(A1719&lt;&gt;"", IF(ISBLANK(L1719), TODAY(), K1719), "")</f>
        <v/>
      </c>
      <c r="L1719" s="78" t="n"/>
      <c r="M1719" s="78">
        <f>IF(ISBLANK(L1719),"",IF(D1719="Stock",IF(C1719="Buy",L1719*G1719,IF(C1719="Sell",(L1719*G1719)-I1719, X)),IF(C1719="Buy",(L1719*G1719*100)+I1719,IF(C1719="Sell",(L1719*G1719*100)-I1719, X))))</f>
        <v/>
      </c>
      <c r="N1719" s="78">
        <f>IF(ISBLANK(L1719),"",IF(AND(C1719="Sell",D1719="Stock"),M1719,IF(ISBLANK(L1719),"",IF(C1719="Buy",M1719, IF(AND(C1719="Sell",J1719="NA"),(E1719*G1719*100*0.1)+I1719, IF(C1719="Sell",(J1719-L1719)*(100*G1719)+I1719))))))</f>
        <v/>
      </c>
      <c r="O1719" s="75" t="n"/>
      <c r="P1719" s="75" t="n"/>
      <c r="Q1719" s="75">
        <f>IF(ISBLANK(P1719),"",IF(D1719="Stock",P1719*G1719,IF(P1719=0,"0",G1719*P1719*100-(G1719*$AF$14))))</f>
        <v/>
      </c>
      <c r="R1719" s="79">
        <f>IF(P1719&lt;&gt;"", TODAY(), "")</f>
        <v/>
      </c>
      <c r="S1719" s="78">
        <f>IF(AND(K1719&lt;&gt;"", R1719&lt;&gt;""), R1719-K1719, "")</f>
        <v/>
      </c>
      <c r="T1719" s="78" t="n"/>
      <c r="U1719" s="92">
        <f>IF(ISBLANK(P1719),"",IF(C1719="Buy",Q1719-M1719+T1719, IF(C1719="Sell",M1719-Q1719-T1719, X)))</f>
        <v/>
      </c>
      <c r="V1719" s="81">
        <f>IF(ISBLANK(P1719),"",U1719/N1719)</f>
        <v/>
      </c>
      <c r="W1719" s="81">
        <f>IF(ISBLANK(P1719),"",IF(S1719=0,(365/0.5)*V1719,(365/S1719)*V1719))</f>
        <v/>
      </c>
      <c r="X1719" s="75" t="n"/>
      <c r="Y1719" s="77" t="n"/>
      <c r="Z1719" s="77" t="n"/>
      <c r="AA1719" s="75" t="n"/>
      <c r="AB1719" s="75" t="n"/>
      <c r="AC1719" s="6" t="n"/>
      <c r="AD1719" s="75" t="n"/>
      <c r="AE1719" s="75" t="n"/>
      <c r="AF1719" s="75" t="n"/>
    </row>
    <row r="1720" ht="15.75" customHeight="1" s="133">
      <c r="A1720" s="75" t="n"/>
      <c r="B1720" s="75" t="n"/>
      <c r="C1720" s="75" t="n"/>
      <c r="D1720" s="75" t="n"/>
      <c r="E1720" s="76" t="n"/>
      <c r="F1720" s="77" t="n"/>
      <c r="G1720" s="75" t="n"/>
      <c r="H1720" s="75">
        <f>IF(ISBLANK(E1720),"",IF(OR(D1720="Butterfly",D1720="Butterfly ",D1720="Iron Fly", D1720="Iron Fly "),LEN(E1720)-LEN(SUBSTITUTE(E1720,"/",""))+2,LEN(E1720)-LEN(SUBSTITUTE(E1720,"/",""))+1))</f>
        <v/>
      </c>
      <c r="I1720" s="78">
        <f>IF(ISBLANK(G1720),"",IF(D1720="Stock","0",Key!$A$3*H1720*G1720))</f>
        <v/>
      </c>
      <c r="J1720" s="78">
        <f>IF(ISBLANK(E1720),"",IF(ISNUMBER(SEARCH("/",E1720)), IF(LEN(E1720)-LEN(SUBSTITUTE(E1720,"/",""))=1,(RIGHT(E1720,LEN(E1720)-FIND("/",E1720)))-(LEFT(E1720,FIND("/",E1720)-1)),(MID(E1720, SEARCH("/",E1720) + 1, SEARCH("/",E1720, SEARCH("/",E1720)+1) - SEARCH("/",E1720) - 1))-(LEFT(E1720,FIND("/",E1720)-1))), "NA"))</f>
        <v/>
      </c>
      <c r="K1720" s="79">
        <f>IF(A1720&lt;&gt;"", IF(ISBLANK(L1720), TODAY(), K1720), "")</f>
        <v/>
      </c>
      <c r="L1720" s="78" t="n"/>
      <c r="M1720" s="78">
        <f>IF(ISBLANK(L1720),"",IF(D1720="Stock",IF(C1720="Buy",L1720*G1720,IF(C1720="Sell",(L1720*G1720)-I1720, X)),IF(C1720="Buy",(L1720*G1720*100)+I1720,IF(C1720="Sell",(L1720*G1720*100)-I1720, X))))</f>
        <v/>
      </c>
      <c r="N1720" s="78">
        <f>IF(ISBLANK(L1720),"",IF(AND(C1720="Sell",D1720="Stock"),M1720,IF(ISBLANK(L1720),"",IF(C1720="Buy",M1720, IF(AND(C1720="Sell",J1720="NA"),(E1720*G1720*100*0.1)+I1720, IF(C1720="Sell",(J1720-L1720)*(100*G1720)+I1720))))))</f>
        <v/>
      </c>
      <c r="O1720" s="75" t="n"/>
      <c r="P1720" s="75" t="n"/>
      <c r="Q1720" s="75">
        <f>IF(ISBLANK(P1720),"",IF(D1720="Stock",P1720*G1720,IF(P1720=0,"0",G1720*P1720*100-(G1720*$AF$14))))</f>
        <v/>
      </c>
      <c r="R1720" s="79">
        <f>IF(P1720&lt;&gt;"", TODAY(), "")</f>
        <v/>
      </c>
      <c r="S1720" s="78">
        <f>IF(AND(K1720&lt;&gt;"", R1720&lt;&gt;""), R1720-K1720, "")</f>
        <v/>
      </c>
      <c r="T1720" s="78" t="n"/>
      <c r="U1720" s="92">
        <f>IF(ISBLANK(P1720),"",IF(C1720="Buy",Q1720-M1720+T1720, IF(C1720="Sell",M1720-Q1720-T1720, X)))</f>
        <v/>
      </c>
      <c r="V1720" s="81">
        <f>IF(ISBLANK(P1720),"",U1720/N1720)</f>
        <v/>
      </c>
      <c r="W1720" s="81">
        <f>IF(ISBLANK(P1720),"",IF(S1720=0,(365/0.5)*V1720,(365/S1720)*V1720))</f>
        <v/>
      </c>
      <c r="X1720" s="75" t="n"/>
      <c r="Y1720" s="77" t="n"/>
      <c r="Z1720" s="77" t="n"/>
      <c r="AA1720" s="75" t="n"/>
      <c r="AB1720" s="75" t="n"/>
      <c r="AC1720" s="6" t="n"/>
      <c r="AD1720" s="75" t="n"/>
      <c r="AE1720" s="75" t="n"/>
      <c r="AF1720" s="75" t="n"/>
    </row>
    <row r="1721" ht="15.75" customHeight="1" s="133">
      <c r="A1721" s="75" t="n"/>
      <c r="B1721" s="75" t="n"/>
      <c r="C1721" s="75" t="n"/>
      <c r="D1721" s="75" t="n"/>
      <c r="E1721" s="76" t="n"/>
      <c r="F1721" s="77" t="n"/>
      <c r="G1721" s="75" t="n"/>
      <c r="H1721" s="75">
        <f>IF(ISBLANK(E1721),"",IF(OR(D1721="Butterfly",D1721="Butterfly ",D1721="Iron Fly", D1721="Iron Fly "),LEN(E1721)-LEN(SUBSTITUTE(E1721,"/",""))+2,LEN(E1721)-LEN(SUBSTITUTE(E1721,"/",""))+1))</f>
        <v/>
      </c>
      <c r="I1721" s="78">
        <f>IF(ISBLANK(G1721),"",IF(D1721="Stock","0",Key!$A$3*H1721*G1721))</f>
        <v/>
      </c>
      <c r="J1721" s="78">
        <f>IF(ISBLANK(E1721),"",IF(ISNUMBER(SEARCH("/",E1721)), IF(LEN(E1721)-LEN(SUBSTITUTE(E1721,"/",""))=1,(RIGHT(E1721,LEN(E1721)-FIND("/",E1721)))-(LEFT(E1721,FIND("/",E1721)-1)),(MID(E1721, SEARCH("/",E1721) + 1, SEARCH("/",E1721, SEARCH("/",E1721)+1) - SEARCH("/",E1721) - 1))-(LEFT(E1721,FIND("/",E1721)-1))), "NA"))</f>
        <v/>
      </c>
      <c r="K1721" s="79">
        <f>IF(A1721&lt;&gt;"", IF(ISBLANK(L1721), TODAY(), K1721), "")</f>
        <v/>
      </c>
      <c r="L1721" s="78" t="n"/>
      <c r="M1721" s="78">
        <f>IF(ISBLANK(L1721),"",IF(D1721="Stock",IF(C1721="Buy",L1721*G1721,IF(C1721="Sell",(L1721*G1721)-I1721, X)),IF(C1721="Buy",(L1721*G1721*100)+I1721,IF(C1721="Sell",(L1721*G1721*100)-I1721, X))))</f>
        <v/>
      </c>
      <c r="N1721" s="78">
        <f>IF(ISBLANK(L1721),"",IF(AND(C1721="Sell",D1721="Stock"),M1721,IF(ISBLANK(L1721),"",IF(C1721="Buy",M1721, IF(AND(C1721="Sell",J1721="NA"),(E1721*G1721*100*0.1)+I1721, IF(C1721="Sell",(J1721-L1721)*(100*G1721)+I1721))))))</f>
        <v/>
      </c>
      <c r="O1721" s="75" t="n"/>
      <c r="P1721" s="75" t="n"/>
      <c r="Q1721" s="75">
        <f>IF(ISBLANK(P1721),"",IF(D1721="Stock",P1721*G1721,IF(P1721=0,"0",G1721*P1721*100-(G1721*$AF$14))))</f>
        <v/>
      </c>
      <c r="R1721" s="79">
        <f>IF(P1721&lt;&gt;"", TODAY(), "")</f>
        <v/>
      </c>
      <c r="S1721" s="78">
        <f>IF(AND(K1721&lt;&gt;"", R1721&lt;&gt;""), R1721-K1721, "")</f>
        <v/>
      </c>
      <c r="T1721" s="78" t="n"/>
      <c r="U1721" s="92">
        <f>IF(ISBLANK(P1721),"",IF(C1721="Buy",Q1721-M1721+T1721, IF(C1721="Sell",M1721-Q1721-T1721, X)))</f>
        <v/>
      </c>
      <c r="V1721" s="81">
        <f>IF(ISBLANK(P1721),"",U1721/N1721)</f>
        <v/>
      </c>
      <c r="W1721" s="81">
        <f>IF(ISBLANK(P1721),"",IF(S1721=0,(365/0.5)*V1721,(365/S1721)*V1721))</f>
        <v/>
      </c>
      <c r="X1721" s="75" t="n"/>
      <c r="Y1721" s="77" t="n"/>
      <c r="Z1721" s="77" t="n"/>
      <c r="AA1721" s="75" t="n"/>
      <c r="AB1721" s="75" t="n"/>
      <c r="AC1721" s="6" t="n"/>
      <c r="AD1721" s="75" t="n"/>
      <c r="AE1721" s="75" t="n"/>
      <c r="AF1721" s="75" t="n"/>
    </row>
    <row r="1722" ht="15.75" customHeight="1" s="133">
      <c r="A1722" s="75" t="n"/>
      <c r="B1722" s="75" t="n"/>
      <c r="C1722" s="75" t="n"/>
      <c r="D1722" s="75" t="n"/>
      <c r="E1722" s="76" t="n"/>
      <c r="F1722" s="77" t="n"/>
      <c r="G1722" s="75" t="n"/>
      <c r="H1722" s="75">
        <f>IF(ISBLANK(E1722),"",IF(OR(D1722="Butterfly",D1722="Butterfly ",D1722="Iron Fly", D1722="Iron Fly "),LEN(E1722)-LEN(SUBSTITUTE(E1722,"/",""))+2,LEN(E1722)-LEN(SUBSTITUTE(E1722,"/",""))+1))</f>
        <v/>
      </c>
      <c r="I1722" s="78">
        <f>IF(ISBLANK(G1722),"",IF(D1722="Stock","0",Key!$A$3*H1722*G1722))</f>
        <v/>
      </c>
      <c r="J1722" s="78">
        <f>IF(ISBLANK(E1722),"",IF(ISNUMBER(SEARCH("/",E1722)), IF(LEN(E1722)-LEN(SUBSTITUTE(E1722,"/",""))=1,(RIGHT(E1722,LEN(E1722)-FIND("/",E1722)))-(LEFT(E1722,FIND("/",E1722)-1)),(MID(E1722, SEARCH("/",E1722) + 1, SEARCH("/",E1722, SEARCH("/",E1722)+1) - SEARCH("/",E1722) - 1))-(LEFT(E1722,FIND("/",E1722)-1))), "NA"))</f>
        <v/>
      </c>
      <c r="K1722" s="79">
        <f>IF(A1722&lt;&gt;"", IF(ISBLANK(L1722), TODAY(), K1722), "")</f>
        <v/>
      </c>
      <c r="L1722" s="78" t="n"/>
      <c r="M1722" s="78">
        <f>IF(ISBLANK(L1722),"",IF(D1722="Stock",IF(C1722="Buy",L1722*G1722,IF(C1722="Sell",(L1722*G1722)-I1722, X)),IF(C1722="Buy",(L1722*G1722*100)+I1722,IF(C1722="Sell",(L1722*G1722*100)-I1722, X))))</f>
        <v/>
      </c>
      <c r="N1722" s="78">
        <f>IF(ISBLANK(L1722),"",IF(AND(C1722="Sell",D1722="Stock"),M1722,IF(ISBLANK(L1722),"",IF(C1722="Buy",M1722, IF(AND(C1722="Sell",J1722="NA"),(E1722*G1722*100*0.1)+I1722, IF(C1722="Sell",(J1722-L1722)*(100*G1722)+I1722))))))</f>
        <v/>
      </c>
      <c r="O1722" s="75" t="n"/>
      <c r="P1722" s="75" t="n"/>
      <c r="Q1722" s="75">
        <f>IF(ISBLANK(P1722),"",IF(D1722="Stock",P1722*G1722,IF(P1722=0,"0",G1722*P1722*100-(G1722*$AF$14))))</f>
        <v/>
      </c>
      <c r="R1722" s="79">
        <f>IF(P1722&lt;&gt;"", TODAY(), "")</f>
        <v/>
      </c>
      <c r="S1722" s="78">
        <f>IF(AND(K1722&lt;&gt;"", R1722&lt;&gt;""), R1722-K1722, "")</f>
        <v/>
      </c>
      <c r="T1722" s="78" t="n"/>
      <c r="U1722" s="92">
        <f>IF(ISBLANK(P1722),"",IF(C1722="Buy",Q1722-M1722+T1722, IF(C1722="Sell",M1722-Q1722-T1722, X)))</f>
        <v/>
      </c>
      <c r="V1722" s="81">
        <f>IF(ISBLANK(P1722),"",U1722/N1722)</f>
        <v/>
      </c>
      <c r="W1722" s="81">
        <f>IF(ISBLANK(P1722),"",IF(S1722=0,(365/0.5)*V1722,(365/S1722)*V1722))</f>
        <v/>
      </c>
      <c r="X1722" s="75" t="n"/>
      <c r="Y1722" s="77" t="n"/>
      <c r="Z1722" s="77" t="n"/>
      <c r="AA1722" s="75" t="n"/>
      <c r="AB1722" s="75" t="n"/>
      <c r="AC1722" s="6" t="n"/>
      <c r="AD1722" s="75" t="n"/>
      <c r="AE1722" s="75" t="n"/>
      <c r="AF1722" s="75" t="n"/>
    </row>
    <row r="1723" ht="15.75" customHeight="1" s="133">
      <c r="A1723" s="75" t="n"/>
      <c r="B1723" s="75" t="n"/>
      <c r="C1723" s="75" t="n"/>
      <c r="D1723" s="75" t="n"/>
      <c r="E1723" s="76" t="n"/>
      <c r="F1723" s="77" t="n"/>
      <c r="G1723" s="75" t="n"/>
      <c r="H1723" s="75">
        <f>IF(ISBLANK(E1723),"",IF(OR(D1723="Butterfly",D1723="Butterfly ",D1723="Iron Fly", D1723="Iron Fly "),LEN(E1723)-LEN(SUBSTITUTE(E1723,"/",""))+2,LEN(E1723)-LEN(SUBSTITUTE(E1723,"/",""))+1))</f>
        <v/>
      </c>
      <c r="I1723" s="78">
        <f>IF(ISBLANK(G1723),"",IF(D1723="Stock","0",Key!$A$3*H1723*G1723))</f>
        <v/>
      </c>
      <c r="J1723" s="78">
        <f>IF(ISBLANK(E1723),"",IF(ISNUMBER(SEARCH("/",E1723)), IF(LEN(E1723)-LEN(SUBSTITUTE(E1723,"/",""))=1,(RIGHT(E1723,LEN(E1723)-FIND("/",E1723)))-(LEFT(E1723,FIND("/",E1723)-1)),(MID(E1723, SEARCH("/",E1723) + 1, SEARCH("/",E1723, SEARCH("/",E1723)+1) - SEARCH("/",E1723) - 1))-(LEFT(E1723,FIND("/",E1723)-1))), "NA"))</f>
        <v/>
      </c>
      <c r="K1723" s="79">
        <f>IF(A1723&lt;&gt;"", IF(ISBLANK(L1723), TODAY(), K1723), "")</f>
        <v/>
      </c>
      <c r="L1723" s="78" t="n"/>
      <c r="M1723" s="78">
        <f>IF(ISBLANK(L1723),"",IF(D1723="Stock",IF(C1723="Buy",L1723*G1723,IF(C1723="Sell",(L1723*G1723)-I1723, X)),IF(C1723="Buy",(L1723*G1723*100)+I1723,IF(C1723="Sell",(L1723*G1723*100)-I1723, X))))</f>
        <v/>
      </c>
      <c r="N1723" s="78">
        <f>IF(ISBLANK(L1723),"",IF(AND(C1723="Sell",D1723="Stock"),M1723,IF(ISBLANK(L1723),"",IF(C1723="Buy",M1723, IF(AND(C1723="Sell",J1723="NA"),(E1723*G1723*100*0.1)+I1723, IF(C1723="Sell",(J1723-L1723)*(100*G1723)+I1723))))))</f>
        <v/>
      </c>
      <c r="O1723" s="75" t="n"/>
      <c r="P1723" s="75" t="n"/>
      <c r="Q1723" s="75">
        <f>IF(ISBLANK(P1723),"",IF(D1723="Stock",P1723*G1723,IF(P1723=0,"0",G1723*P1723*100-(G1723*$AF$14))))</f>
        <v/>
      </c>
      <c r="R1723" s="79">
        <f>IF(P1723&lt;&gt;"", TODAY(), "")</f>
        <v/>
      </c>
      <c r="S1723" s="78">
        <f>IF(AND(K1723&lt;&gt;"", R1723&lt;&gt;""), R1723-K1723, "")</f>
        <v/>
      </c>
      <c r="T1723" s="78" t="n"/>
      <c r="U1723" s="92">
        <f>IF(ISBLANK(P1723),"",IF(C1723="Buy",Q1723-M1723+T1723, IF(C1723="Sell",M1723-Q1723-T1723, X)))</f>
        <v/>
      </c>
      <c r="V1723" s="81">
        <f>IF(ISBLANK(P1723),"",U1723/N1723)</f>
        <v/>
      </c>
      <c r="W1723" s="81">
        <f>IF(ISBLANK(P1723),"",IF(S1723=0,(365/0.5)*V1723,(365/S1723)*V1723))</f>
        <v/>
      </c>
      <c r="X1723" s="75" t="n"/>
      <c r="Y1723" s="77" t="n"/>
      <c r="Z1723" s="77" t="n"/>
      <c r="AA1723" s="75" t="n"/>
      <c r="AB1723" s="75" t="n"/>
      <c r="AC1723" s="6" t="n"/>
      <c r="AD1723" s="75" t="n"/>
      <c r="AE1723" s="75" t="n"/>
      <c r="AF1723" s="75" t="n"/>
    </row>
    <row r="1724" ht="15.75" customHeight="1" s="133">
      <c r="A1724" s="75" t="n"/>
      <c r="B1724" s="75" t="n"/>
      <c r="C1724" s="75" t="n"/>
      <c r="D1724" s="75" t="n"/>
      <c r="E1724" s="76" t="n"/>
      <c r="F1724" s="77" t="n"/>
      <c r="G1724" s="75" t="n"/>
      <c r="H1724" s="75">
        <f>IF(ISBLANK(E1724),"",IF(OR(D1724="Butterfly",D1724="Butterfly ",D1724="Iron Fly", D1724="Iron Fly "),LEN(E1724)-LEN(SUBSTITUTE(E1724,"/",""))+2,LEN(E1724)-LEN(SUBSTITUTE(E1724,"/",""))+1))</f>
        <v/>
      </c>
      <c r="I1724" s="78">
        <f>IF(ISBLANK(G1724),"",IF(D1724="Stock","0",Key!$A$3*H1724*G1724))</f>
        <v/>
      </c>
      <c r="J1724" s="78">
        <f>IF(ISBLANK(E1724),"",IF(ISNUMBER(SEARCH("/",E1724)), IF(LEN(E1724)-LEN(SUBSTITUTE(E1724,"/",""))=1,(RIGHT(E1724,LEN(E1724)-FIND("/",E1724)))-(LEFT(E1724,FIND("/",E1724)-1)),(MID(E1724, SEARCH("/",E1724) + 1, SEARCH("/",E1724, SEARCH("/",E1724)+1) - SEARCH("/",E1724) - 1))-(LEFT(E1724,FIND("/",E1724)-1))), "NA"))</f>
        <v/>
      </c>
      <c r="K1724" s="79">
        <f>IF(A1724&lt;&gt;"", IF(ISBLANK(L1724), TODAY(), K1724), "")</f>
        <v/>
      </c>
      <c r="L1724" s="78" t="n"/>
      <c r="M1724" s="78">
        <f>IF(ISBLANK(L1724),"",IF(D1724="Stock",IF(C1724="Buy",L1724*G1724,IF(C1724="Sell",(L1724*G1724)-I1724, X)),IF(C1724="Buy",(L1724*G1724*100)+I1724,IF(C1724="Sell",(L1724*G1724*100)-I1724, X))))</f>
        <v/>
      </c>
      <c r="N1724" s="78">
        <f>IF(ISBLANK(L1724),"",IF(AND(C1724="Sell",D1724="Stock"),M1724,IF(ISBLANK(L1724),"",IF(C1724="Buy",M1724, IF(AND(C1724="Sell",J1724="NA"),(E1724*G1724*100*0.1)+I1724, IF(C1724="Sell",(J1724-L1724)*(100*G1724)+I1724))))))</f>
        <v/>
      </c>
      <c r="O1724" s="75" t="n"/>
      <c r="P1724" s="75" t="n"/>
      <c r="Q1724" s="75">
        <f>IF(ISBLANK(P1724),"",IF(D1724="Stock",P1724*G1724,IF(P1724=0,"0",G1724*P1724*100-(G1724*$AF$14))))</f>
        <v/>
      </c>
      <c r="R1724" s="79">
        <f>IF(P1724&lt;&gt;"", TODAY(), "")</f>
        <v/>
      </c>
      <c r="S1724" s="78">
        <f>IF(AND(K1724&lt;&gt;"", R1724&lt;&gt;""), R1724-K1724, "")</f>
        <v/>
      </c>
      <c r="T1724" s="78" t="n"/>
      <c r="U1724" s="92">
        <f>IF(ISBLANK(P1724),"",IF(C1724="Buy",Q1724-M1724+T1724, IF(C1724="Sell",M1724-Q1724-T1724, X)))</f>
        <v/>
      </c>
      <c r="V1724" s="81">
        <f>IF(ISBLANK(P1724),"",U1724/N1724)</f>
        <v/>
      </c>
      <c r="W1724" s="81">
        <f>IF(ISBLANK(P1724),"",IF(S1724=0,(365/0.5)*V1724,(365/S1724)*V1724))</f>
        <v/>
      </c>
      <c r="X1724" s="75" t="n"/>
      <c r="Y1724" s="77" t="n"/>
      <c r="Z1724" s="77" t="n"/>
      <c r="AA1724" s="75" t="n"/>
      <c r="AB1724" s="75" t="n"/>
      <c r="AC1724" s="6" t="n"/>
      <c r="AD1724" s="75" t="n"/>
      <c r="AE1724" s="75" t="n"/>
      <c r="AF1724" s="75" t="n"/>
    </row>
    <row r="1725" ht="15.75" customHeight="1" s="133">
      <c r="A1725" s="75" t="n"/>
      <c r="B1725" s="75" t="n"/>
      <c r="C1725" s="75" t="n"/>
      <c r="D1725" s="75" t="n"/>
      <c r="E1725" s="76" t="n"/>
      <c r="F1725" s="77" t="n"/>
      <c r="G1725" s="75" t="n"/>
      <c r="H1725" s="75">
        <f>IF(ISBLANK(E1725),"",IF(OR(D1725="Butterfly",D1725="Butterfly ",D1725="Iron Fly", D1725="Iron Fly "),LEN(E1725)-LEN(SUBSTITUTE(E1725,"/",""))+2,LEN(E1725)-LEN(SUBSTITUTE(E1725,"/",""))+1))</f>
        <v/>
      </c>
      <c r="I1725" s="78">
        <f>IF(ISBLANK(G1725),"",IF(D1725="Stock","0",Key!$A$3*H1725*G1725))</f>
        <v/>
      </c>
      <c r="J1725" s="78">
        <f>IF(ISBLANK(E1725),"",IF(ISNUMBER(SEARCH("/",E1725)), IF(LEN(E1725)-LEN(SUBSTITUTE(E1725,"/",""))=1,(RIGHT(E1725,LEN(E1725)-FIND("/",E1725)))-(LEFT(E1725,FIND("/",E1725)-1)),(MID(E1725, SEARCH("/",E1725) + 1, SEARCH("/",E1725, SEARCH("/",E1725)+1) - SEARCH("/",E1725) - 1))-(LEFT(E1725,FIND("/",E1725)-1))), "NA"))</f>
        <v/>
      </c>
      <c r="K1725" s="79">
        <f>IF(A1725&lt;&gt;"", IF(ISBLANK(L1725), TODAY(), K1725), "")</f>
        <v/>
      </c>
      <c r="L1725" s="78" t="n"/>
      <c r="M1725" s="78">
        <f>IF(ISBLANK(L1725),"",IF(D1725="Stock",IF(C1725="Buy",L1725*G1725,IF(C1725="Sell",(L1725*G1725)-I1725, X)),IF(C1725="Buy",(L1725*G1725*100)+I1725,IF(C1725="Sell",(L1725*G1725*100)-I1725, X))))</f>
        <v/>
      </c>
      <c r="N1725" s="78">
        <f>IF(ISBLANK(L1725),"",IF(AND(C1725="Sell",D1725="Stock"),M1725,IF(ISBLANK(L1725),"",IF(C1725="Buy",M1725, IF(AND(C1725="Sell",J1725="NA"),(E1725*G1725*100*0.1)+I1725, IF(C1725="Sell",(J1725-L1725)*(100*G1725)+I1725))))))</f>
        <v/>
      </c>
      <c r="O1725" s="75" t="n"/>
      <c r="P1725" s="75" t="n"/>
      <c r="Q1725" s="75">
        <f>IF(ISBLANK(P1725),"",IF(D1725="Stock",P1725*G1725,IF(P1725=0,"0",G1725*P1725*100-(G1725*$AF$14))))</f>
        <v/>
      </c>
      <c r="R1725" s="79">
        <f>IF(P1725&lt;&gt;"", TODAY(), "")</f>
        <v/>
      </c>
      <c r="S1725" s="78">
        <f>IF(AND(K1725&lt;&gt;"", R1725&lt;&gt;""), R1725-K1725, "")</f>
        <v/>
      </c>
      <c r="T1725" s="78" t="n"/>
      <c r="U1725" s="92">
        <f>IF(ISBLANK(P1725),"",IF(C1725="Buy",Q1725-M1725+T1725, IF(C1725="Sell",M1725-Q1725-T1725, X)))</f>
        <v/>
      </c>
      <c r="V1725" s="81">
        <f>IF(ISBLANK(P1725),"",U1725/N1725)</f>
        <v/>
      </c>
      <c r="W1725" s="81">
        <f>IF(ISBLANK(P1725),"",IF(S1725=0,(365/0.5)*V1725,(365/S1725)*V1725))</f>
        <v/>
      </c>
      <c r="X1725" s="75" t="n"/>
      <c r="Y1725" s="77" t="n"/>
      <c r="Z1725" s="77" t="n"/>
      <c r="AA1725" s="75" t="n"/>
      <c r="AB1725" s="75" t="n"/>
      <c r="AC1725" s="6" t="n"/>
      <c r="AD1725" s="75" t="n"/>
      <c r="AE1725" s="75" t="n"/>
      <c r="AF1725" s="75" t="n"/>
    </row>
    <row r="1726" ht="15.75" customHeight="1" s="133">
      <c r="A1726" s="75" t="n"/>
      <c r="B1726" s="75" t="n"/>
      <c r="C1726" s="75" t="n"/>
      <c r="D1726" s="75" t="n"/>
      <c r="E1726" s="76" t="n"/>
      <c r="F1726" s="77" t="n"/>
      <c r="G1726" s="75" t="n"/>
      <c r="H1726" s="75">
        <f>IF(ISBLANK(E1726),"",IF(OR(D1726="Butterfly",D1726="Butterfly ",D1726="Iron Fly", D1726="Iron Fly "),LEN(E1726)-LEN(SUBSTITUTE(E1726,"/",""))+2,LEN(E1726)-LEN(SUBSTITUTE(E1726,"/",""))+1))</f>
        <v/>
      </c>
      <c r="I1726" s="78">
        <f>IF(ISBLANK(G1726),"",IF(D1726="Stock","0",Key!$A$3*H1726*G1726))</f>
        <v/>
      </c>
      <c r="J1726" s="78">
        <f>IF(ISBLANK(E1726),"",IF(ISNUMBER(SEARCH("/",E1726)), IF(LEN(E1726)-LEN(SUBSTITUTE(E1726,"/",""))=1,(RIGHT(E1726,LEN(E1726)-FIND("/",E1726)))-(LEFT(E1726,FIND("/",E1726)-1)),(MID(E1726, SEARCH("/",E1726) + 1, SEARCH("/",E1726, SEARCH("/",E1726)+1) - SEARCH("/",E1726) - 1))-(LEFT(E1726,FIND("/",E1726)-1))), "NA"))</f>
        <v/>
      </c>
      <c r="K1726" s="79">
        <f>IF(A1726&lt;&gt;"", IF(ISBLANK(L1726), TODAY(), K1726), "")</f>
        <v/>
      </c>
      <c r="L1726" s="78" t="n"/>
      <c r="M1726" s="78">
        <f>IF(ISBLANK(L1726),"",IF(D1726="Stock",IF(C1726="Buy",L1726*G1726,IF(C1726="Sell",(L1726*G1726)-I1726, X)),IF(C1726="Buy",(L1726*G1726*100)+I1726,IF(C1726="Sell",(L1726*G1726*100)-I1726, X))))</f>
        <v/>
      </c>
      <c r="N1726" s="78">
        <f>IF(ISBLANK(L1726),"",IF(AND(C1726="Sell",D1726="Stock"),M1726,IF(ISBLANK(L1726),"",IF(C1726="Buy",M1726, IF(AND(C1726="Sell",J1726="NA"),(E1726*G1726*100*0.1)+I1726, IF(C1726="Sell",(J1726-L1726)*(100*G1726)+I1726))))))</f>
        <v/>
      </c>
      <c r="O1726" s="75" t="n"/>
      <c r="P1726" s="75" t="n"/>
      <c r="Q1726" s="75">
        <f>IF(ISBLANK(P1726),"",IF(D1726="Stock",P1726*G1726,IF(P1726=0,"0",G1726*P1726*100-(G1726*$AF$14))))</f>
        <v/>
      </c>
      <c r="R1726" s="79">
        <f>IF(P1726&lt;&gt;"", TODAY(), "")</f>
        <v/>
      </c>
      <c r="S1726" s="78">
        <f>IF(AND(K1726&lt;&gt;"", R1726&lt;&gt;""), R1726-K1726, "")</f>
        <v/>
      </c>
      <c r="T1726" s="78" t="n"/>
      <c r="U1726" s="92">
        <f>IF(ISBLANK(P1726),"",IF(C1726="Buy",Q1726-M1726+T1726, IF(C1726="Sell",M1726-Q1726-T1726, X)))</f>
        <v/>
      </c>
      <c r="V1726" s="81">
        <f>IF(ISBLANK(P1726),"",U1726/N1726)</f>
        <v/>
      </c>
      <c r="W1726" s="81">
        <f>IF(ISBLANK(P1726),"",IF(S1726=0,(365/0.5)*V1726,(365/S1726)*V1726))</f>
        <v/>
      </c>
      <c r="X1726" s="75" t="n"/>
      <c r="Y1726" s="77" t="n"/>
      <c r="Z1726" s="77" t="n"/>
      <c r="AA1726" s="75" t="n"/>
      <c r="AB1726" s="75" t="n"/>
      <c r="AC1726" s="6" t="n"/>
      <c r="AD1726" s="75" t="n"/>
      <c r="AE1726" s="75" t="n"/>
      <c r="AF1726" s="75" t="n"/>
    </row>
    <row r="1727" ht="15.75" customHeight="1" s="133">
      <c r="A1727" s="75" t="n"/>
      <c r="B1727" s="75" t="n"/>
      <c r="C1727" s="75" t="n"/>
      <c r="D1727" s="75" t="n"/>
      <c r="E1727" s="76" t="n"/>
      <c r="F1727" s="77" t="n"/>
      <c r="G1727" s="75" t="n"/>
      <c r="H1727" s="75">
        <f>IF(ISBLANK(E1727),"",IF(OR(D1727="Butterfly",D1727="Butterfly ",D1727="Iron Fly", D1727="Iron Fly "),LEN(E1727)-LEN(SUBSTITUTE(E1727,"/",""))+2,LEN(E1727)-LEN(SUBSTITUTE(E1727,"/",""))+1))</f>
        <v/>
      </c>
      <c r="I1727" s="78">
        <f>IF(ISBLANK(G1727),"",IF(D1727="Stock","0",Key!$A$3*H1727*G1727))</f>
        <v/>
      </c>
      <c r="J1727" s="78">
        <f>IF(ISBLANK(E1727),"",IF(ISNUMBER(SEARCH("/",E1727)), IF(LEN(E1727)-LEN(SUBSTITUTE(E1727,"/",""))=1,(RIGHT(E1727,LEN(E1727)-FIND("/",E1727)))-(LEFT(E1727,FIND("/",E1727)-1)),(MID(E1727, SEARCH("/",E1727) + 1, SEARCH("/",E1727, SEARCH("/",E1727)+1) - SEARCH("/",E1727) - 1))-(LEFT(E1727,FIND("/",E1727)-1))), "NA"))</f>
        <v/>
      </c>
      <c r="K1727" s="79">
        <f>IF(A1727&lt;&gt;"", IF(ISBLANK(L1727), TODAY(), K1727), "")</f>
        <v/>
      </c>
      <c r="L1727" s="78" t="n"/>
      <c r="M1727" s="78">
        <f>IF(ISBLANK(L1727),"",IF(D1727="Stock",IF(C1727="Buy",L1727*G1727,IF(C1727="Sell",(L1727*G1727)-I1727, X)),IF(C1727="Buy",(L1727*G1727*100)+I1727,IF(C1727="Sell",(L1727*G1727*100)-I1727, X))))</f>
        <v/>
      </c>
      <c r="N1727" s="78">
        <f>IF(ISBLANK(L1727),"",IF(AND(C1727="Sell",D1727="Stock"),M1727,IF(ISBLANK(L1727),"",IF(C1727="Buy",M1727, IF(AND(C1727="Sell",J1727="NA"),(E1727*G1727*100*0.1)+I1727, IF(C1727="Sell",(J1727-L1727)*(100*G1727)+I1727))))))</f>
        <v/>
      </c>
      <c r="O1727" s="75" t="n"/>
      <c r="P1727" s="75" t="n"/>
      <c r="Q1727" s="75">
        <f>IF(ISBLANK(P1727),"",IF(D1727="Stock",P1727*G1727,IF(P1727=0,"0",G1727*P1727*100-(G1727*$AF$14))))</f>
        <v/>
      </c>
      <c r="R1727" s="79">
        <f>IF(P1727&lt;&gt;"", TODAY(), "")</f>
        <v/>
      </c>
      <c r="S1727" s="78">
        <f>IF(AND(K1727&lt;&gt;"", R1727&lt;&gt;""), R1727-K1727, "")</f>
        <v/>
      </c>
      <c r="T1727" s="78" t="n"/>
      <c r="U1727" s="92">
        <f>IF(ISBLANK(P1727),"",IF(C1727="Buy",Q1727-M1727+T1727, IF(C1727="Sell",M1727-Q1727-T1727, X)))</f>
        <v/>
      </c>
      <c r="V1727" s="81">
        <f>IF(ISBLANK(P1727),"",U1727/N1727)</f>
        <v/>
      </c>
      <c r="W1727" s="81">
        <f>IF(ISBLANK(P1727),"",IF(S1727=0,(365/0.5)*V1727,(365/S1727)*V1727))</f>
        <v/>
      </c>
      <c r="X1727" s="75" t="n"/>
      <c r="Y1727" s="77" t="n"/>
      <c r="Z1727" s="77" t="n"/>
      <c r="AA1727" s="75" t="n"/>
      <c r="AB1727" s="75" t="n"/>
      <c r="AC1727" s="6" t="n"/>
      <c r="AD1727" s="75" t="n"/>
      <c r="AE1727" s="75" t="n"/>
      <c r="AF1727" s="75" t="n"/>
    </row>
    <row r="1728" ht="15.75" customHeight="1" s="133">
      <c r="A1728" s="75" t="n"/>
      <c r="B1728" s="75" t="n"/>
      <c r="C1728" s="75" t="n"/>
      <c r="D1728" s="75" t="n"/>
      <c r="E1728" s="76" t="n"/>
      <c r="F1728" s="77" t="n"/>
      <c r="G1728" s="75" t="n"/>
      <c r="H1728" s="75">
        <f>IF(ISBLANK(E1728),"",IF(OR(D1728="Butterfly",D1728="Butterfly ",D1728="Iron Fly", D1728="Iron Fly "),LEN(E1728)-LEN(SUBSTITUTE(E1728,"/",""))+2,LEN(E1728)-LEN(SUBSTITUTE(E1728,"/",""))+1))</f>
        <v/>
      </c>
      <c r="I1728" s="78">
        <f>IF(ISBLANK(G1728),"",IF(D1728="Stock","0",Key!$A$3*H1728*G1728))</f>
        <v/>
      </c>
      <c r="J1728" s="78">
        <f>IF(ISBLANK(E1728),"",IF(ISNUMBER(SEARCH("/",E1728)), IF(LEN(E1728)-LEN(SUBSTITUTE(E1728,"/",""))=1,(RIGHT(E1728,LEN(E1728)-FIND("/",E1728)))-(LEFT(E1728,FIND("/",E1728)-1)),(MID(E1728, SEARCH("/",E1728) + 1, SEARCH("/",E1728, SEARCH("/",E1728)+1) - SEARCH("/",E1728) - 1))-(LEFT(E1728,FIND("/",E1728)-1))), "NA"))</f>
        <v/>
      </c>
      <c r="K1728" s="79">
        <f>IF(A1728&lt;&gt;"", IF(ISBLANK(L1728), TODAY(), K1728), "")</f>
        <v/>
      </c>
      <c r="L1728" s="78" t="n"/>
      <c r="M1728" s="78">
        <f>IF(ISBLANK(L1728),"",IF(D1728="Stock",IF(C1728="Buy",L1728*G1728,IF(C1728="Sell",(L1728*G1728)-I1728, X)),IF(C1728="Buy",(L1728*G1728*100)+I1728,IF(C1728="Sell",(L1728*G1728*100)-I1728, X))))</f>
        <v/>
      </c>
      <c r="N1728" s="78">
        <f>IF(ISBLANK(L1728),"",IF(AND(C1728="Sell",D1728="Stock"),M1728,IF(ISBLANK(L1728),"",IF(C1728="Buy",M1728, IF(AND(C1728="Sell",J1728="NA"),(E1728*G1728*100*0.1)+I1728, IF(C1728="Sell",(J1728-L1728)*(100*G1728)+I1728))))))</f>
        <v/>
      </c>
      <c r="O1728" s="75" t="n"/>
      <c r="P1728" s="75" t="n"/>
      <c r="Q1728" s="75">
        <f>IF(ISBLANK(P1728),"",IF(D1728="Stock",P1728*G1728,IF(P1728=0,"0",G1728*P1728*100-(G1728*$AF$14))))</f>
        <v/>
      </c>
      <c r="R1728" s="79">
        <f>IF(P1728&lt;&gt;"", TODAY(), "")</f>
        <v/>
      </c>
      <c r="S1728" s="78">
        <f>IF(AND(K1728&lt;&gt;"", R1728&lt;&gt;""), R1728-K1728, "")</f>
        <v/>
      </c>
      <c r="T1728" s="78" t="n"/>
      <c r="U1728" s="92">
        <f>IF(ISBLANK(P1728),"",IF(C1728="Buy",Q1728-M1728+T1728, IF(C1728="Sell",M1728-Q1728-T1728, X)))</f>
        <v/>
      </c>
      <c r="V1728" s="81">
        <f>IF(ISBLANK(P1728),"",U1728/N1728)</f>
        <v/>
      </c>
      <c r="W1728" s="81">
        <f>IF(ISBLANK(P1728),"",IF(S1728=0,(365/0.5)*V1728,(365/S1728)*V1728))</f>
        <v/>
      </c>
      <c r="X1728" s="75" t="n"/>
      <c r="Y1728" s="77" t="n"/>
      <c r="Z1728" s="77" t="n"/>
      <c r="AA1728" s="75" t="n"/>
      <c r="AB1728" s="75" t="n"/>
      <c r="AC1728" s="6" t="n"/>
      <c r="AD1728" s="75" t="n"/>
      <c r="AE1728" s="75" t="n"/>
      <c r="AF1728" s="75" t="n"/>
    </row>
    <row r="1729" ht="15.75" customHeight="1" s="133">
      <c r="A1729" s="75" t="n"/>
      <c r="B1729" s="75" t="n"/>
      <c r="C1729" s="75" t="n"/>
      <c r="D1729" s="75" t="n"/>
      <c r="E1729" s="76" t="n"/>
      <c r="F1729" s="77" t="n"/>
      <c r="G1729" s="75" t="n"/>
      <c r="H1729" s="75">
        <f>IF(ISBLANK(E1729),"",IF(OR(D1729="Butterfly",D1729="Butterfly ",D1729="Iron Fly", D1729="Iron Fly "),LEN(E1729)-LEN(SUBSTITUTE(E1729,"/",""))+2,LEN(E1729)-LEN(SUBSTITUTE(E1729,"/",""))+1))</f>
        <v/>
      </c>
      <c r="I1729" s="78">
        <f>IF(ISBLANK(G1729),"",IF(D1729="Stock","0",Key!$A$3*H1729*G1729))</f>
        <v/>
      </c>
      <c r="J1729" s="78">
        <f>IF(ISBLANK(E1729),"",IF(ISNUMBER(SEARCH("/",E1729)), IF(LEN(E1729)-LEN(SUBSTITUTE(E1729,"/",""))=1,(RIGHT(E1729,LEN(E1729)-FIND("/",E1729)))-(LEFT(E1729,FIND("/",E1729)-1)),(MID(E1729, SEARCH("/",E1729) + 1, SEARCH("/",E1729, SEARCH("/",E1729)+1) - SEARCH("/",E1729) - 1))-(LEFT(E1729,FIND("/",E1729)-1))), "NA"))</f>
        <v/>
      </c>
      <c r="K1729" s="79">
        <f>IF(A1729&lt;&gt;"", IF(ISBLANK(L1729), TODAY(), K1729), "")</f>
        <v/>
      </c>
      <c r="L1729" s="78" t="n"/>
      <c r="M1729" s="78">
        <f>IF(ISBLANK(L1729),"",IF(D1729="Stock",IF(C1729="Buy",L1729*G1729,IF(C1729="Sell",(L1729*G1729)-I1729, X)),IF(C1729="Buy",(L1729*G1729*100)+I1729,IF(C1729="Sell",(L1729*G1729*100)-I1729, X))))</f>
        <v/>
      </c>
      <c r="N1729" s="78">
        <f>IF(ISBLANK(L1729),"",IF(AND(C1729="Sell",D1729="Stock"),M1729,IF(ISBLANK(L1729),"",IF(C1729="Buy",M1729, IF(AND(C1729="Sell",J1729="NA"),(E1729*G1729*100*0.1)+I1729, IF(C1729="Sell",(J1729-L1729)*(100*G1729)+I1729))))))</f>
        <v/>
      </c>
      <c r="O1729" s="75" t="n"/>
      <c r="P1729" s="75" t="n"/>
      <c r="Q1729" s="75">
        <f>IF(ISBLANK(P1729),"",IF(D1729="Stock",P1729*G1729,IF(P1729=0,"0",G1729*P1729*100-(G1729*$AF$14))))</f>
        <v/>
      </c>
      <c r="R1729" s="79">
        <f>IF(P1729&lt;&gt;"", TODAY(), "")</f>
        <v/>
      </c>
      <c r="S1729" s="78">
        <f>IF(AND(K1729&lt;&gt;"", R1729&lt;&gt;""), R1729-K1729, "")</f>
        <v/>
      </c>
      <c r="T1729" s="78" t="n"/>
      <c r="U1729" s="92">
        <f>IF(ISBLANK(P1729),"",IF(C1729="Buy",Q1729-M1729+T1729, IF(C1729="Sell",M1729-Q1729-T1729, X)))</f>
        <v/>
      </c>
      <c r="V1729" s="81">
        <f>IF(ISBLANK(P1729),"",U1729/N1729)</f>
        <v/>
      </c>
      <c r="W1729" s="81">
        <f>IF(ISBLANK(P1729),"",IF(S1729=0,(365/0.5)*V1729,(365/S1729)*V1729))</f>
        <v/>
      </c>
      <c r="X1729" s="75" t="n"/>
      <c r="Y1729" s="77" t="n"/>
      <c r="Z1729" s="77" t="n"/>
      <c r="AA1729" s="75" t="n"/>
      <c r="AB1729" s="75" t="n"/>
      <c r="AC1729" s="6" t="n"/>
      <c r="AD1729" s="75" t="n"/>
      <c r="AE1729" s="75" t="n"/>
      <c r="AF1729" s="75" t="n"/>
    </row>
    <row r="1730" ht="15.75" customHeight="1" s="133">
      <c r="A1730" s="75" t="n"/>
      <c r="B1730" s="75" t="n"/>
      <c r="C1730" s="75" t="n"/>
      <c r="D1730" s="75" t="n"/>
      <c r="E1730" s="76" t="n"/>
      <c r="F1730" s="77" t="n"/>
      <c r="G1730" s="75" t="n"/>
      <c r="H1730" s="75">
        <f>IF(ISBLANK(E1730),"",IF(OR(D1730="Butterfly",D1730="Butterfly ",D1730="Iron Fly", D1730="Iron Fly "),LEN(E1730)-LEN(SUBSTITUTE(E1730,"/",""))+2,LEN(E1730)-LEN(SUBSTITUTE(E1730,"/",""))+1))</f>
        <v/>
      </c>
      <c r="I1730" s="78">
        <f>IF(ISBLANK(G1730),"",IF(D1730="Stock","0",Key!$A$3*H1730*G1730))</f>
        <v/>
      </c>
      <c r="J1730" s="78">
        <f>IF(ISBLANK(E1730),"",IF(ISNUMBER(SEARCH("/",E1730)), IF(LEN(E1730)-LEN(SUBSTITUTE(E1730,"/",""))=1,(RIGHT(E1730,LEN(E1730)-FIND("/",E1730)))-(LEFT(E1730,FIND("/",E1730)-1)),(MID(E1730, SEARCH("/",E1730) + 1, SEARCH("/",E1730, SEARCH("/",E1730)+1) - SEARCH("/",E1730) - 1))-(LEFT(E1730,FIND("/",E1730)-1))), "NA"))</f>
        <v/>
      </c>
      <c r="K1730" s="79">
        <f>IF(A1730&lt;&gt;"", IF(ISBLANK(L1730), TODAY(), K1730), "")</f>
        <v/>
      </c>
      <c r="L1730" s="78" t="n"/>
      <c r="M1730" s="78">
        <f>IF(ISBLANK(L1730),"",IF(D1730="Stock",IF(C1730="Buy",L1730*G1730,IF(C1730="Sell",(L1730*G1730)-I1730, X)),IF(C1730="Buy",(L1730*G1730*100)+I1730,IF(C1730="Sell",(L1730*G1730*100)-I1730, X))))</f>
        <v/>
      </c>
      <c r="N1730" s="78">
        <f>IF(ISBLANK(L1730),"",IF(AND(C1730="Sell",D1730="Stock"),M1730,IF(ISBLANK(L1730),"",IF(C1730="Buy",M1730, IF(AND(C1730="Sell",J1730="NA"),(E1730*G1730*100*0.1)+I1730, IF(C1730="Sell",(J1730-L1730)*(100*G1730)+I1730))))))</f>
        <v/>
      </c>
      <c r="O1730" s="75" t="n"/>
      <c r="P1730" s="75" t="n"/>
      <c r="Q1730" s="75">
        <f>IF(ISBLANK(P1730),"",IF(D1730="Stock",P1730*G1730,IF(P1730=0,"0",G1730*P1730*100-(G1730*$AF$14))))</f>
        <v/>
      </c>
      <c r="R1730" s="79">
        <f>IF(P1730&lt;&gt;"", TODAY(), "")</f>
        <v/>
      </c>
      <c r="S1730" s="78">
        <f>IF(AND(K1730&lt;&gt;"", R1730&lt;&gt;""), R1730-K1730, "")</f>
        <v/>
      </c>
      <c r="T1730" s="78" t="n"/>
      <c r="U1730" s="92">
        <f>IF(ISBLANK(P1730),"",IF(C1730="Buy",Q1730-M1730+T1730, IF(C1730="Sell",M1730-Q1730-T1730, X)))</f>
        <v/>
      </c>
      <c r="V1730" s="81">
        <f>IF(ISBLANK(P1730),"",U1730/N1730)</f>
        <v/>
      </c>
      <c r="W1730" s="81">
        <f>IF(ISBLANK(P1730),"",IF(S1730=0,(365/0.5)*V1730,(365/S1730)*V1730))</f>
        <v/>
      </c>
      <c r="X1730" s="75" t="n"/>
      <c r="Y1730" s="77" t="n"/>
      <c r="Z1730" s="77" t="n"/>
      <c r="AA1730" s="75" t="n"/>
      <c r="AB1730" s="75" t="n"/>
      <c r="AC1730" s="6" t="n"/>
      <c r="AD1730" s="75" t="n"/>
      <c r="AE1730" s="75" t="n"/>
      <c r="AF1730" s="75" t="n"/>
    </row>
    <row r="1731" ht="15.75" customHeight="1" s="133">
      <c r="A1731" s="75" t="n"/>
      <c r="B1731" s="75" t="n"/>
      <c r="C1731" s="75" t="n"/>
      <c r="D1731" s="75" t="n"/>
      <c r="E1731" s="76" t="n"/>
      <c r="F1731" s="77" t="n"/>
      <c r="G1731" s="75" t="n"/>
      <c r="H1731" s="75">
        <f>IF(ISBLANK(E1731),"",IF(OR(D1731="Butterfly",D1731="Butterfly ",D1731="Iron Fly", D1731="Iron Fly "),LEN(E1731)-LEN(SUBSTITUTE(E1731,"/",""))+2,LEN(E1731)-LEN(SUBSTITUTE(E1731,"/",""))+1))</f>
        <v/>
      </c>
      <c r="I1731" s="78">
        <f>IF(ISBLANK(G1731),"",IF(D1731="Stock","0",Key!$A$3*H1731*G1731))</f>
        <v/>
      </c>
      <c r="J1731" s="78">
        <f>IF(ISBLANK(E1731),"",IF(ISNUMBER(SEARCH("/",E1731)), IF(LEN(E1731)-LEN(SUBSTITUTE(E1731,"/",""))=1,(RIGHT(E1731,LEN(E1731)-FIND("/",E1731)))-(LEFT(E1731,FIND("/",E1731)-1)),(MID(E1731, SEARCH("/",E1731) + 1, SEARCH("/",E1731, SEARCH("/",E1731)+1) - SEARCH("/",E1731) - 1))-(LEFT(E1731,FIND("/",E1731)-1))), "NA"))</f>
        <v/>
      </c>
      <c r="K1731" s="79">
        <f>IF(A1731&lt;&gt;"", IF(ISBLANK(L1731), TODAY(), K1731), "")</f>
        <v/>
      </c>
      <c r="L1731" s="78" t="n"/>
      <c r="M1731" s="78">
        <f>IF(ISBLANK(L1731),"",IF(D1731="Stock",IF(C1731="Buy",L1731*G1731,IF(C1731="Sell",(L1731*G1731)-I1731, X)),IF(C1731="Buy",(L1731*G1731*100)+I1731,IF(C1731="Sell",(L1731*G1731*100)-I1731, X))))</f>
        <v/>
      </c>
      <c r="N1731" s="78">
        <f>IF(ISBLANK(L1731),"",IF(AND(C1731="Sell",D1731="Stock"),M1731,IF(ISBLANK(L1731),"",IF(C1731="Buy",M1731, IF(AND(C1731="Sell",J1731="NA"),(E1731*G1731*100*0.1)+I1731, IF(C1731="Sell",(J1731-L1731)*(100*G1731)+I1731))))))</f>
        <v/>
      </c>
      <c r="O1731" s="75" t="n"/>
      <c r="P1731" s="75" t="n"/>
      <c r="Q1731" s="75">
        <f>IF(ISBLANK(P1731),"",IF(D1731="Stock",P1731*G1731,IF(P1731=0,"0",G1731*P1731*100-(G1731*$AF$14))))</f>
        <v/>
      </c>
      <c r="R1731" s="79">
        <f>IF(P1731&lt;&gt;"", TODAY(), "")</f>
        <v/>
      </c>
      <c r="S1731" s="78">
        <f>IF(AND(K1731&lt;&gt;"", R1731&lt;&gt;""), R1731-K1731, "")</f>
        <v/>
      </c>
      <c r="T1731" s="78" t="n"/>
      <c r="U1731" s="92">
        <f>IF(ISBLANK(P1731),"",IF(C1731="Buy",Q1731-M1731+T1731, IF(C1731="Sell",M1731-Q1731-T1731, X)))</f>
        <v/>
      </c>
      <c r="V1731" s="81">
        <f>IF(ISBLANK(P1731),"",U1731/N1731)</f>
        <v/>
      </c>
      <c r="W1731" s="81">
        <f>IF(ISBLANK(P1731),"",IF(S1731=0,(365/0.5)*V1731,(365/S1731)*V1731))</f>
        <v/>
      </c>
      <c r="X1731" s="75" t="n"/>
      <c r="Y1731" s="77" t="n"/>
      <c r="Z1731" s="77" t="n"/>
      <c r="AA1731" s="75" t="n"/>
      <c r="AB1731" s="75" t="n"/>
      <c r="AC1731" s="6" t="n"/>
      <c r="AD1731" s="75" t="n"/>
      <c r="AE1731" s="75" t="n"/>
      <c r="AF1731" s="75" t="n"/>
    </row>
    <row r="1732" ht="15.75" customHeight="1" s="133">
      <c r="A1732" s="75" t="n"/>
      <c r="B1732" s="75" t="n"/>
      <c r="C1732" s="75" t="n"/>
      <c r="D1732" s="75" t="n"/>
      <c r="E1732" s="76" t="n"/>
      <c r="F1732" s="77" t="n"/>
      <c r="G1732" s="75" t="n"/>
      <c r="H1732" s="75">
        <f>IF(ISBLANK(E1732),"",IF(OR(D1732="Butterfly",D1732="Butterfly ",D1732="Iron Fly", D1732="Iron Fly "),LEN(E1732)-LEN(SUBSTITUTE(E1732,"/",""))+2,LEN(E1732)-LEN(SUBSTITUTE(E1732,"/",""))+1))</f>
        <v/>
      </c>
      <c r="I1732" s="78">
        <f>IF(ISBLANK(G1732),"",IF(D1732="Stock","0",Key!$A$3*H1732*G1732))</f>
        <v/>
      </c>
      <c r="J1732" s="78">
        <f>IF(ISBLANK(E1732),"",IF(ISNUMBER(SEARCH("/",E1732)), IF(LEN(E1732)-LEN(SUBSTITUTE(E1732,"/",""))=1,(RIGHT(E1732,LEN(E1732)-FIND("/",E1732)))-(LEFT(E1732,FIND("/",E1732)-1)),(MID(E1732, SEARCH("/",E1732) + 1, SEARCH("/",E1732, SEARCH("/",E1732)+1) - SEARCH("/",E1732) - 1))-(LEFT(E1732,FIND("/",E1732)-1))), "NA"))</f>
        <v/>
      </c>
      <c r="K1732" s="79">
        <f>IF(A1732&lt;&gt;"", IF(ISBLANK(L1732), TODAY(), K1732), "")</f>
        <v/>
      </c>
      <c r="L1732" s="78" t="n"/>
      <c r="M1732" s="78">
        <f>IF(ISBLANK(L1732),"",IF(D1732="Stock",IF(C1732="Buy",L1732*G1732,IF(C1732="Sell",(L1732*G1732)-I1732, X)),IF(C1732="Buy",(L1732*G1732*100)+I1732,IF(C1732="Sell",(L1732*G1732*100)-I1732, X))))</f>
        <v/>
      </c>
      <c r="N1732" s="78">
        <f>IF(ISBLANK(L1732),"",IF(AND(C1732="Sell",D1732="Stock"),M1732,IF(ISBLANK(L1732),"",IF(C1732="Buy",M1732, IF(AND(C1732="Sell",J1732="NA"),(E1732*G1732*100*0.1)+I1732, IF(C1732="Sell",(J1732-L1732)*(100*G1732)+I1732))))))</f>
        <v/>
      </c>
      <c r="O1732" s="75" t="n"/>
      <c r="P1732" s="75" t="n"/>
      <c r="Q1732" s="75">
        <f>IF(ISBLANK(P1732),"",IF(D1732="Stock",P1732*G1732,IF(P1732=0,"0",G1732*P1732*100-(G1732*$AF$14))))</f>
        <v/>
      </c>
      <c r="R1732" s="79">
        <f>IF(P1732&lt;&gt;"", TODAY(), "")</f>
        <v/>
      </c>
      <c r="S1732" s="78">
        <f>IF(AND(K1732&lt;&gt;"", R1732&lt;&gt;""), R1732-K1732, "")</f>
        <v/>
      </c>
      <c r="T1732" s="78" t="n"/>
      <c r="U1732" s="92">
        <f>IF(ISBLANK(P1732),"",IF(C1732="Buy",Q1732-M1732+T1732, IF(C1732="Sell",M1732-Q1732-T1732, X)))</f>
        <v/>
      </c>
      <c r="V1732" s="81">
        <f>IF(ISBLANK(P1732),"",U1732/N1732)</f>
        <v/>
      </c>
      <c r="W1732" s="81">
        <f>IF(ISBLANK(P1732),"",IF(S1732=0,(365/0.5)*V1732,(365/S1732)*V1732))</f>
        <v/>
      </c>
      <c r="X1732" s="75" t="n"/>
      <c r="Y1732" s="77" t="n"/>
      <c r="Z1732" s="77" t="n"/>
      <c r="AA1732" s="75" t="n"/>
      <c r="AB1732" s="75" t="n"/>
      <c r="AC1732" s="6" t="n"/>
      <c r="AD1732" s="75" t="n"/>
      <c r="AE1732" s="75" t="n"/>
      <c r="AF1732" s="75" t="n"/>
    </row>
    <row r="1733" ht="15.75" customHeight="1" s="133">
      <c r="A1733" s="75" t="n"/>
      <c r="B1733" s="75" t="n"/>
      <c r="C1733" s="75" t="n"/>
      <c r="D1733" s="75" t="n"/>
      <c r="E1733" s="76" t="n"/>
      <c r="F1733" s="77" t="n"/>
      <c r="G1733" s="75" t="n"/>
      <c r="H1733" s="75">
        <f>IF(ISBLANK(E1733),"",IF(OR(D1733="Butterfly",D1733="Butterfly ",D1733="Iron Fly", D1733="Iron Fly "),LEN(E1733)-LEN(SUBSTITUTE(E1733,"/",""))+2,LEN(E1733)-LEN(SUBSTITUTE(E1733,"/",""))+1))</f>
        <v/>
      </c>
      <c r="I1733" s="78">
        <f>IF(ISBLANK(G1733),"",IF(D1733="Stock","0",Key!$A$3*H1733*G1733))</f>
        <v/>
      </c>
      <c r="J1733" s="78">
        <f>IF(ISBLANK(E1733),"",IF(ISNUMBER(SEARCH("/",E1733)), IF(LEN(E1733)-LEN(SUBSTITUTE(E1733,"/",""))=1,(RIGHT(E1733,LEN(E1733)-FIND("/",E1733)))-(LEFT(E1733,FIND("/",E1733)-1)),(MID(E1733, SEARCH("/",E1733) + 1, SEARCH("/",E1733, SEARCH("/",E1733)+1) - SEARCH("/",E1733) - 1))-(LEFT(E1733,FIND("/",E1733)-1))), "NA"))</f>
        <v/>
      </c>
      <c r="K1733" s="79">
        <f>IF(A1733&lt;&gt;"", IF(ISBLANK(L1733), TODAY(), K1733), "")</f>
        <v/>
      </c>
      <c r="L1733" s="78" t="n"/>
      <c r="M1733" s="78">
        <f>IF(ISBLANK(L1733),"",IF(D1733="Stock",IF(C1733="Buy",L1733*G1733,IF(C1733="Sell",(L1733*G1733)-I1733, X)),IF(C1733="Buy",(L1733*G1733*100)+I1733,IF(C1733="Sell",(L1733*G1733*100)-I1733, X))))</f>
        <v/>
      </c>
      <c r="N1733" s="78">
        <f>IF(ISBLANK(L1733),"",IF(AND(C1733="Sell",D1733="Stock"),M1733,IF(ISBLANK(L1733),"",IF(C1733="Buy",M1733, IF(AND(C1733="Sell",J1733="NA"),(E1733*G1733*100*0.1)+I1733, IF(C1733="Sell",(J1733-L1733)*(100*G1733)+I1733))))))</f>
        <v/>
      </c>
      <c r="O1733" s="75" t="n"/>
      <c r="P1733" s="75" t="n"/>
      <c r="Q1733" s="75">
        <f>IF(ISBLANK(P1733),"",IF(D1733="Stock",P1733*G1733,IF(P1733=0,"0",G1733*P1733*100-(G1733*$AF$14))))</f>
        <v/>
      </c>
      <c r="R1733" s="79">
        <f>IF(P1733&lt;&gt;"", TODAY(), "")</f>
        <v/>
      </c>
      <c r="S1733" s="78">
        <f>IF(AND(K1733&lt;&gt;"", R1733&lt;&gt;""), R1733-K1733, "")</f>
        <v/>
      </c>
      <c r="T1733" s="78" t="n"/>
      <c r="U1733" s="92">
        <f>IF(ISBLANK(P1733),"",IF(C1733="Buy",Q1733-M1733+T1733, IF(C1733="Sell",M1733-Q1733-T1733, X)))</f>
        <v/>
      </c>
      <c r="V1733" s="81">
        <f>IF(ISBLANK(P1733),"",U1733/N1733)</f>
        <v/>
      </c>
      <c r="W1733" s="81">
        <f>IF(ISBLANK(P1733),"",IF(S1733=0,(365/0.5)*V1733,(365/S1733)*V1733))</f>
        <v/>
      </c>
      <c r="X1733" s="75" t="n"/>
      <c r="Y1733" s="77" t="n"/>
      <c r="Z1733" s="77" t="n"/>
      <c r="AA1733" s="75" t="n"/>
      <c r="AB1733" s="75" t="n"/>
      <c r="AC1733" s="6" t="n"/>
      <c r="AD1733" s="75" t="n"/>
      <c r="AE1733" s="75" t="n"/>
      <c r="AF1733" s="75" t="n"/>
    </row>
    <row r="1734" ht="15.75" customHeight="1" s="133">
      <c r="A1734" s="75" t="n"/>
      <c r="B1734" s="75" t="n"/>
      <c r="C1734" s="75" t="n"/>
      <c r="D1734" s="75" t="n"/>
      <c r="E1734" s="76" t="n"/>
      <c r="F1734" s="77" t="n"/>
      <c r="G1734" s="75" t="n"/>
      <c r="H1734" s="75">
        <f>IF(ISBLANK(E1734),"",IF(OR(D1734="Butterfly",D1734="Butterfly ",D1734="Iron Fly", D1734="Iron Fly "),LEN(E1734)-LEN(SUBSTITUTE(E1734,"/",""))+2,LEN(E1734)-LEN(SUBSTITUTE(E1734,"/",""))+1))</f>
        <v/>
      </c>
      <c r="I1734" s="78">
        <f>IF(ISBLANK(G1734),"",IF(D1734="Stock","0",Key!$A$3*H1734*G1734))</f>
        <v/>
      </c>
      <c r="J1734" s="78">
        <f>IF(ISBLANK(E1734),"",IF(ISNUMBER(SEARCH("/",E1734)), IF(LEN(E1734)-LEN(SUBSTITUTE(E1734,"/",""))=1,(RIGHT(E1734,LEN(E1734)-FIND("/",E1734)))-(LEFT(E1734,FIND("/",E1734)-1)),(MID(E1734, SEARCH("/",E1734) + 1, SEARCH("/",E1734, SEARCH("/",E1734)+1) - SEARCH("/",E1734) - 1))-(LEFT(E1734,FIND("/",E1734)-1))), "NA"))</f>
        <v/>
      </c>
      <c r="K1734" s="79">
        <f>IF(A1734&lt;&gt;"", IF(ISBLANK(L1734), TODAY(), K1734), "")</f>
        <v/>
      </c>
      <c r="L1734" s="78" t="n"/>
      <c r="M1734" s="78">
        <f>IF(ISBLANK(L1734),"",IF(D1734="Stock",IF(C1734="Buy",L1734*G1734,IF(C1734="Sell",(L1734*G1734)-I1734, X)),IF(C1734="Buy",(L1734*G1734*100)+I1734,IF(C1734="Sell",(L1734*G1734*100)-I1734, X))))</f>
        <v/>
      </c>
      <c r="N1734" s="78">
        <f>IF(ISBLANK(L1734),"",IF(AND(C1734="Sell",D1734="Stock"),M1734,IF(ISBLANK(L1734),"",IF(C1734="Buy",M1734, IF(AND(C1734="Sell",J1734="NA"),(E1734*G1734*100*0.1)+I1734, IF(C1734="Sell",(J1734-L1734)*(100*G1734)+I1734))))))</f>
        <v/>
      </c>
      <c r="O1734" s="75" t="n"/>
      <c r="P1734" s="75" t="n"/>
      <c r="Q1734" s="75">
        <f>IF(ISBLANK(P1734),"",IF(D1734="Stock",P1734*G1734,IF(P1734=0,"0",G1734*P1734*100-(G1734*$AF$14))))</f>
        <v/>
      </c>
      <c r="R1734" s="79">
        <f>IF(P1734&lt;&gt;"", TODAY(), "")</f>
        <v/>
      </c>
      <c r="S1734" s="78">
        <f>IF(AND(K1734&lt;&gt;"", R1734&lt;&gt;""), R1734-K1734, "")</f>
        <v/>
      </c>
      <c r="T1734" s="78" t="n"/>
      <c r="U1734" s="92">
        <f>IF(ISBLANK(P1734),"",IF(C1734="Buy",Q1734-M1734+T1734, IF(C1734="Sell",M1734-Q1734-T1734, X)))</f>
        <v/>
      </c>
      <c r="V1734" s="81">
        <f>IF(ISBLANK(P1734),"",U1734/N1734)</f>
        <v/>
      </c>
      <c r="W1734" s="81">
        <f>IF(ISBLANK(P1734),"",IF(S1734=0,(365/0.5)*V1734,(365/S1734)*V1734))</f>
        <v/>
      </c>
      <c r="X1734" s="75" t="n"/>
      <c r="Y1734" s="77" t="n"/>
      <c r="Z1734" s="77" t="n"/>
      <c r="AA1734" s="75" t="n"/>
      <c r="AB1734" s="75" t="n"/>
      <c r="AC1734" s="6" t="n"/>
      <c r="AD1734" s="75" t="n"/>
      <c r="AE1734" s="75" t="n"/>
      <c r="AF1734" s="75" t="n"/>
    </row>
    <row r="1735" ht="15.75" customHeight="1" s="133">
      <c r="A1735" s="75" t="n"/>
      <c r="B1735" s="75" t="n"/>
      <c r="C1735" s="75" t="n"/>
      <c r="D1735" s="75" t="n"/>
      <c r="E1735" s="76" t="n"/>
      <c r="F1735" s="77" t="n"/>
      <c r="G1735" s="75" t="n"/>
      <c r="H1735" s="75">
        <f>IF(ISBLANK(E1735),"",IF(OR(D1735="Butterfly",D1735="Butterfly ",D1735="Iron Fly", D1735="Iron Fly "),LEN(E1735)-LEN(SUBSTITUTE(E1735,"/",""))+2,LEN(E1735)-LEN(SUBSTITUTE(E1735,"/",""))+1))</f>
        <v/>
      </c>
      <c r="I1735" s="78">
        <f>IF(ISBLANK(G1735),"",IF(D1735="Stock","0",Key!$A$3*H1735*G1735))</f>
        <v/>
      </c>
      <c r="J1735" s="78">
        <f>IF(ISBLANK(E1735),"",IF(ISNUMBER(SEARCH("/",E1735)), IF(LEN(E1735)-LEN(SUBSTITUTE(E1735,"/",""))=1,(RIGHT(E1735,LEN(E1735)-FIND("/",E1735)))-(LEFT(E1735,FIND("/",E1735)-1)),(MID(E1735, SEARCH("/",E1735) + 1, SEARCH("/",E1735, SEARCH("/",E1735)+1) - SEARCH("/",E1735) - 1))-(LEFT(E1735,FIND("/",E1735)-1))), "NA"))</f>
        <v/>
      </c>
      <c r="K1735" s="79">
        <f>IF(A1735&lt;&gt;"", IF(ISBLANK(L1735), TODAY(), K1735), "")</f>
        <v/>
      </c>
      <c r="L1735" s="78" t="n"/>
      <c r="M1735" s="78">
        <f>IF(ISBLANK(L1735),"",IF(D1735="Stock",IF(C1735="Buy",L1735*G1735,IF(C1735="Sell",(L1735*G1735)-I1735, X)),IF(C1735="Buy",(L1735*G1735*100)+I1735,IF(C1735="Sell",(L1735*G1735*100)-I1735, X))))</f>
        <v/>
      </c>
      <c r="N1735" s="78">
        <f>IF(ISBLANK(L1735),"",IF(AND(C1735="Sell",D1735="Stock"),M1735,IF(ISBLANK(L1735),"",IF(C1735="Buy",M1735, IF(AND(C1735="Sell",J1735="NA"),(E1735*G1735*100*0.1)+I1735, IF(C1735="Sell",(J1735-L1735)*(100*G1735)+I1735))))))</f>
        <v/>
      </c>
      <c r="O1735" s="75" t="n"/>
      <c r="P1735" s="75" t="n"/>
      <c r="Q1735" s="75">
        <f>IF(ISBLANK(P1735),"",IF(D1735="Stock",P1735*G1735,IF(P1735=0,"0",G1735*P1735*100-(G1735*$AF$14))))</f>
        <v/>
      </c>
      <c r="R1735" s="79">
        <f>IF(P1735&lt;&gt;"", TODAY(), "")</f>
        <v/>
      </c>
      <c r="S1735" s="78">
        <f>IF(AND(K1735&lt;&gt;"", R1735&lt;&gt;""), R1735-K1735, "")</f>
        <v/>
      </c>
      <c r="T1735" s="78" t="n"/>
      <c r="U1735" s="92">
        <f>IF(ISBLANK(P1735),"",IF(C1735="Buy",Q1735-M1735+T1735, IF(C1735="Sell",M1735-Q1735-T1735, X)))</f>
        <v/>
      </c>
      <c r="V1735" s="81">
        <f>IF(ISBLANK(P1735),"",U1735/N1735)</f>
        <v/>
      </c>
      <c r="W1735" s="81">
        <f>IF(ISBLANK(P1735),"",IF(S1735=0,(365/0.5)*V1735,(365/S1735)*V1735))</f>
        <v/>
      </c>
      <c r="X1735" s="75" t="n"/>
      <c r="Y1735" s="77" t="n"/>
      <c r="Z1735" s="77" t="n"/>
      <c r="AA1735" s="75" t="n"/>
      <c r="AB1735" s="75" t="n"/>
      <c r="AC1735" s="6" t="n"/>
      <c r="AD1735" s="75" t="n"/>
      <c r="AE1735" s="75" t="n"/>
      <c r="AF1735" s="75" t="n"/>
    </row>
    <row r="1736" ht="15.75" customHeight="1" s="133">
      <c r="A1736" s="75" t="n"/>
      <c r="B1736" s="75" t="n"/>
      <c r="C1736" s="75" t="n"/>
      <c r="D1736" s="75" t="n"/>
      <c r="E1736" s="76" t="n"/>
      <c r="F1736" s="77" t="n"/>
      <c r="G1736" s="75" t="n"/>
      <c r="H1736" s="75">
        <f>IF(ISBLANK(E1736),"",IF(OR(D1736="Butterfly",D1736="Butterfly ",D1736="Iron Fly", D1736="Iron Fly "),LEN(E1736)-LEN(SUBSTITUTE(E1736,"/",""))+2,LEN(E1736)-LEN(SUBSTITUTE(E1736,"/",""))+1))</f>
        <v/>
      </c>
      <c r="I1736" s="78">
        <f>IF(ISBLANK(G1736),"",IF(D1736="Stock","0",Key!$A$3*H1736*G1736))</f>
        <v/>
      </c>
      <c r="J1736" s="78">
        <f>IF(ISBLANK(E1736),"",IF(ISNUMBER(SEARCH("/",E1736)), IF(LEN(E1736)-LEN(SUBSTITUTE(E1736,"/",""))=1,(RIGHT(E1736,LEN(E1736)-FIND("/",E1736)))-(LEFT(E1736,FIND("/",E1736)-1)),(MID(E1736, SEARCH("/",E1736) + 1, SEARCH("/",E1736, SEARCH("/",E1736)+1) - SEARCH("/",E1736) - 1))-(LEFT(E1736,FIND("/",E1736)-1))), "NA"))</f>
        <v/>
      </c>
      <c r="K1736" s="79">
        <f>IF(A1736&lt;&gt;"", IF(ISBLANK(L1736), TODAY(), K1736), "")</f>
        <v/>
      </c>
      <c r="L1736" s="78" t="n"/>
      <c r="M1736" s="78">
        <f>IF(ISBLANK(L1736),"",IF(D1736="Stock",IF(C1736="Buy",L1736*G1736,IF(C1736="Sell",(L1736*G1736)-I1736, X)),IF(C1736="Buy",(L1736*G1736*100)+I1736,IF(C1736="Sell",(L1736*G1736*100)-I1736, X))))</f>
        <v/>
      </c>
      <c r="N1736" s="78">
        <f>IF(ISBLANK(L1736),"",IF(AND(C1736="Sell",D1736="Stock"),M1736,IF(ISBLANK(L1736),"",IF(C1736="Buy",M1736, IF(AND(C1736="Sell",J1736="NA"),(E1736*G1736*100*0.1)+I1736, IF(C1736="Sell",(J1736-L1736)*(100*G1736)+I1736))))))</f>
        <v/>
      </c>
      <c r="O1736" s="75" t="n"/>
      <c r="P1736" s="75" t="n"/>
      <c r="Q1736" s="75">
        <f>IF(ISBLANK(P1736),"",IF(D1736="Stock",P1736*G1736,IF(P1736=0,"0",G1736*P1736*100-(G1736*$AF$14))))</f>
        <v/>
      </c>
      <c r="R1736" s="79">
        <f>IF(P1736&lt;&gt;"", TODAY(), "")</f>
        <v/>
      </c>
      <c r="S1736" s="78">
        <f>IF(AND(K1736&lt;&gt;"", R1736&lt;&gt;""), R1736-K1736, "")</f>
        <v/>
      </c>
      <c r="T1736" s="78" t="n"/>
      <c r="U1736" s="92">
        <f>IF(ISBLANK(P1736),"",IF(C1736="Buy",Q1736-M1736+T1736, IF(C1736="Sell",M1736-Q1736-T1736, X)))</f>
        <v/>
      </c>
      <c r="V1736" s="81">
        <f>IF(ISBLANK(P1736),"",U1736/N1736)</f>
        <v/>
      </c>
      <c r="W1736" s="81">
        <f>IF(ISBLANK(P1736),"",IF(S1736=0,(365/0.5)*V1736,(365/S1736)*V1736))</f>
        <v/>
      </c>
      <c r="X1736" s="75" t="n"/>
      <c r="Y1736" s="77" t="n"/>
      <c r="Z1736" s="77" t="n"/>
      <c r="AA1736" s="75" t="n"/>
      <c r="AB1736" s="75" t="n"/>
      <c r="AC1736" s="6" t="n"/>
      <c r="AD1736" s="75" t="n"/>
      <c r="AE1736" s="75" t="n"/>
      <c r="AF1736" s="75" t="n"/>
    </row>
    <row r="1737" ht="15.75" customHeight="1" s="133">
      <c r="A1737" s="75" t="n"/>
      <c r="B1737" s="75" t="n"/>
      <c r="C1737" s="75" t="n"/>
      <c r="D1737" s="75" t="n"/>
      <c r="E1737" s="76" t="n"/>
      <c r="F1737" s="77" t="n"/>
      <c r="G1737" s="75" t="n"/>
      <c r="H1737" s="75">
        <f>IF(ISBLANK(E1737),"",IF(OR(D1737="Butterfly",D1737="Butterfly ",D1737="Iron Fly", D1737="Iron Fly "),LEN(E1737)-LEN(SUBSTITUTE(E1737,"/",""))+2,LEN(E1737)-LEN(SUBSTITUTE(E1737,"/",""))+1))</f>
        <v/>
      </c>
      <c r="I1737" s="78">
        <f>IF(ISBLANK(G1737),"",IF(D1737="Stock","0",Key!$A$3*H1737*G1737))</f>
        <v/>
      </c>
      <c r="J1737" s="78">
        <f>IF(ISBLANK(E1737),"",IF(ISNUMBER(SEARCH("/",E1737)), IF(LEN(E1737)-LEN(SUBSTITUTE(E1737,"/",""))=1,(RIGHT(E1737,LEN(E1737)-FIND("/",E1737)))-(LEFT(E1737,FIND("/",E1737)-1)),(MID(E1737, SEARCH("/",E1737) + 1, SEARCH("/",E1737, SEARCH("/",E1737)+1) - SEARCH("/",E1737) - 1))-(LEFT(E1737,FIND("/",E1737)-1))), "NA"))</f>
        <v/>
      </c>
      <c r="K1737" s="79">
        <f>IF(A1737&lt;&gt;"", IF(ISBLANK(L1737), TODAY(), K1737), "")</f>
        <v/>
      </c>
      <c r="L1737" s="78" t="n"/>
      <c r="M1737" s="78">
        <f>IF(ISBLANK(L1737),"",IF(D1737="Stock",IF(C1737="Buy",L1737*G1737,IF(C1737="Sell",(L1737*G1737)-I1737, X)),IF(C1737="Buy",(L1737*G1737*100)+I1737,IF(C1737="Sell",(L1737*G1737*100)-I1737, X))))</f>
        <v/>
      </c>
      <c r="N1737" s="78">
        <f>IF(ISBLANK(L1737),"",IF(AND(C1737="Sell",D1737="Stock"),M1737,IF(ISBLANK(L1737),"",IF(C1737="Buy",M1737, IF(AND(C1737="Sell",J1737="NA"),(E1737*G1737*100*0.1)+I1737, IF(C1737="Sell",(J1737-L1737)*(100*G1737)+I1737))))))</f>
        <v/>
      </c>
      <c r="O1737" s="75" t="n"/>
      <c r="P1737" s="75" t="n"/>
      <c r="Q1737" s="75">
        <f>IF(ISBLANK(P1737),"",IF(D1737="Stock",P1737*G1737,IF(P1737=0,"0",G1737*P1737*100-(G1737*$AF$14))))</f>
        <v/>
      </c>
      <c r="R1737" s="79">
        <f>IF(P1737&lt;&gt;"", TODAY(), "")</f>
        <v/>
      </c>
      <c r="S1737" s="78">
        <f>IF(AND(K1737&lt;&gt;"", R1737&lt;&gt;""), R1737-K1737, "")</f>
        <v/>
      </c>
      <c r="T1737" s="78" t="n"/>
      <c r="U1737" s="92">
        <f>IF(ISBLANK(P1737),"",IF(C1737="Buy",Q1737-M1737+T1737, IF(C1737="Sell",M1737-Q1737-T1737, X)))</f>
        <v/>
      </c>
      <c r="V1737" s="81">
        <f>IF(ISBLANK(P1737),"",U1737/N1737)</f>
        <v/>
      </c>
      <c r="W1737" s="81">
        <f>IF(ISBLANK(P1737),"",IF(S1737=0,(365/0.5)*V1737,(365/S1737)*V1737))</f>
        <v/>
      </c>
      <c r="X1737" s="75" t="n"/>
      <c r="Y1737" s="77" t="n"/>
      <c r="Z1737" s="77" t="n"/>
      <c r="AA1737" s="75" t="n"/>
      <c r="AB1737" s="75" t="n"/>
      <c r="AC1737" s="6" t="n"/>
      <c r="AD1737" s="75" t="n"/>
      <c r="AE1737" s="75" t="n"/>
      <c r="AF1737" s="75" t="n"/>
    </row>
    <row r="1738" ht="15.75" customHeight="1" s="133">
      <c r="A1738" s="75" t="n"/>
      <c r="B1738" s="75" t="n"/>
      <c r="C1738" s="75" t="n"/>
      <c r="D1738" s="75" t="n"/>
      <c r="E1738" s="76" t="n"/>
      <c r="F1738" s="77" t="n"/>
      <c r="G1738" s="75" t="n"/>
      <c r="H1738" s="75">
        <f>IF(ISBLANK(E1738),"",IF(OR(D1738="Butterfly",D1738="Butterfly ",D1738="Iron Fly", D1738="Iron Fly "),LEN(E1738)-LEN(SUBSTITUTE(E1738,"/",""))+2,LEN(E1738)-LEN(SUBSTITUTE(E1738,"/",""))+1))</f>
        <v/>
      </c>
      <c r="I1738" s="78">
        <f>IF(ISBLANK(G1738),"",IF(D1738="Stock","0",Key!$A$3*H1738*G1738))</f>
        <v/>
      </c>
      <c r="J1738" s="78">
        <f>IF(ISBLANK(E1738),"",IF(ISNUMBER(SEARCH("/",E1738)), IF(LEN(E1738)-LEN(SUBSTITUTE(E1738,"/",""))=1,(RIGHT(E1738,LEN(E1738)-FIND("/",E1738)))-(LEFT(E1738,FIND("/",E1738)-1)),(MID(E1738, SEARCH("/",E1738) + 1, SEARCH("/",E1738, SEARCH("/",E1738)+1) - SEARCH("/",E1738) - 1))-(LEFT(E1738,FIND("/",E1738)-1))), "NA"))</f>
        <v/>
      </c>
      <c r="K1738" s="79">
        <f>IF(A1738&lt;&gt;"", IF(ISBLANK(L1738), TODAY(), K1738), "")</f>
        <v/>
      </c>
      <c r="L1738" s="78" t="n"/>
      <c r="M1738" s="78">
        <f>IF(ISBLANK(L1738),"",IF(D1738="Stock",IF(C1738="Buy",L1738*G1738,IF(C1738="Sell",(L1738*G1738)-I1738, X)),IF(C1738="Buy",(L1738*G1738*100)+I1738,IF(C1738="Sell",(L1738*G1738*100)-I1738, X))))</f>
        <v/>
      </c>
      <c r="N1738" s="78">
        <f>IF(ISBLANK(L1738),"",IF(AND(C1738="Sell",D1738="Stock"),M1738,IF(ISBLANK(L1738),"",IF(C1738="Buy",M1738, IF(AND(C1738="Sell",J1738="NA"),(E1738*G1738*100*0.1)+I1738, IF(C1738="Sell",(J1738-L1738)*(100*G1738)+I1738))))))</f>
        <v/>
      </c>
      <c r="O1738" s="75" t="n"/>
      <c r="P1738" s="75" t="n"/>
      <c r="Q1738" s="75">
        <f>IF(ISBLANK(P1738),"",IF(D1738="Stock",P1738*G1738,IF(P1738=0,"0",G1738*P1738*100-(G1738*$AF$14))))</f>
        <v/>
      </c>
      <c r="R1738" s="79">
        <f>IF(P1738&lt;&gt;"", TODAY(), "")</f>
        <v/>
      </c>
      <c r="S1738" s="78">
        <f>IF(AND(K1738&lt;&gt;"", R1738&lt;&gt;""), R1738-K1738, "")</f>
        <v/>
      </c>
      <c r="T1738" s="78" t="n"/>
      <c r="U1738" s="92">
        <f>IF(ISBLANK(P1738),"",IF(C1738="Buy",Q1738-M1738+T1738, IF(C1738="Sell",M1738-Q1738-T1738, X)))</f>
        <v/>
      </c>
      <c r="V1738" s="81">
        <f>IF(ISBLANK(P1738),"",U1738/N1738)</f>
        <v/>
      </c>
      <c r="W1738" s="81">
        <f>IF(ISBLANK(P1738),"",IF(S1738=0,(365/0.5)*V1738,(365/S1738)*V1738))</f>
        <v/>
      </c>
      <c r="X1738" s="75" t="n"/>
      <c r="Y1738" s="77" t="n"/>
      <c r="Z1738" s="77" t="n"/>
      <c r="AA1738" s="75" t="n"/>
      <c r="AB1738" s="75" t="n"/>
      <c r="AC1738" s="6" t="n"/>
      <c r="AD1738" s="75" t="n"/>
      <c r="AE1738" s="75" t="n"/>
      <c r="AF1738" s="75" t="n"/>
    </row>
    <row r="1739" ht="15.75" customHeight="1" s="133">
      <c r="A1739" s="75" t="n"/>
      <c r="B1739" s="75" t="n"/>
      <c r="C1739" s="75" t="n"/>
      <c r="D1739" s="75" t="n"/>
      <c r="E1739" s="76" t="n"/>
      <c r="F1739" s="77" t="n"/>
      <c r="G1739" s="75" t="n"/>
      <c r="H1739" s="75">
        <f>IF(ISBLANK(E1739),"",IF(OR(D1739="Butterfly",D1739="Butterfly ",D1739="Iron Fly", D1739="Iron Fly "),LEN(E1739)-LEN(SUBSTITUTE(E1739,"/",""))+2,LEN(E1739)-LEN(SUBSTITUTE(E1739,"/",""))+1))</f>
        <v/>
      </c>
      <c r="I1739" s="78">
        <f>IF(ISBLANK(G1739),"",IF(D1739="Stock","0",Key!$A$3*H1739*G1739))</f>
        <v/>
      </c>
      <c r="J1739" s="78">
        <f>IF(ISBLANK(E1739),"",IF(ISNUMBER(SEARCH("/",E1739)), IF(LEN(E1739)-LEN(SUBSTITUTE(E1739,"/",""))=1,(RIGHT(E1739,LEN(E1739)-FIND("/",E1739)))-(LEFT(E1739,FIND("/",E1739)-1)),(MID(E1739, SEARCH("/",E1739) + 1, SEARCH("/",E1739, SEARCH("/",E1739)+1) - SEARCH("/",E1739) - 1))-(LEFT(E1739,FIND("/",E1739)-1))), "NA"))</f>
        <v/>
      </c>
      <c r="K1739" s="79">
        <f>IF(A1739&lt;&gt;"", IF(ISBLANK(L1739), TODAY(), K1739), "")</f>
        <v/>
      </c>
      <c r="L1739" s="78" t="n"/>
      <c r="M1739" s="78">
        <f>IF(ISBLANK(L1739),"",IF(D1739="Stock",IF(C1739="Buy",L1739*G1739,IF(C1739="Sell",(L1739*G1739)-I1739, X)),IF(C1739="Buy",(L1739*G1739*100)+I1739,IF(C1739="Sell",(L1739*G1739*100)-I1739, X))))</f>
        <v/>
      </c>
      <c r="N1739" s="78">
        <f>IF(ISBLANK(L1739),"",IF(AND(C1739="Sell",D1739="Stock"),M1739,IF(ISBLANK(L1739),"",IF(C1739="Buy",M1739, IF(AND(C1739="Sell",J1739="NA"),(E1739*G1739*100*0.1)+I1739, IF(C1739="Sell",(J1739-L1739)*(100*G1739)+I1739))))))</f>
        <v/>
      </c>
      <c r="O1739" s="75" t="n"/>
      <c r="P1739" s="75" t="n"/>
      <c r="Q1739" s="75">
        <f>IF(ISBLANK(P1739),"",IF(D1739="Stock",P1739*G1739,IF(P1739=0,"0",G1739*P1739*100-(G1739*$AF$14))))</f>
        <v/>
      </c>
      <c r="R1739" s="79">
        <f>IF(P1739&lt;&gt;"", TODAY(), "")</f>
        <v/>
      </c>
      <c r="S1739" s="78">
        <f>IF(AND(K1739&lt;&gt;"", R1739&lt;&gt;""), R1739-K1739, "")</f>
        <v/>
      </c>
      <c r="T1739" s="78" t="n"/>
      <c r="U1739" s="92">
        <f>IF(ISBLANK(P1739),"",IF(C1739="Buy",Q1739-M1739+T1739, IF(C1739="Sell",M1739-Q1739-T1739, X)))</f>
        <v/>
      </c>
      <c r="V1739" s="81">
        <f>IF(ISBLANK(P1739),"",U1739/N1739)</f>
        <v/>
      </c>
      <c r="W1739" s="81">
        <f>IF(ISBLANK(P1739),"",IF(S1739=0,(365/0.5)*V1739,(365/S1739)*V1739))</f>
        <v/>
      </c>
      <c r="X1739" s="75" t="n"/>
      <c r="Y1739" s="77" t="n"/>
      <c r="Z1739" s="77" t="n"/>
      <c r="AA1739" s="75" t="n"/>
      <c r="AB1739" s="75" t="n"/>
      <c r="AC1739" s="6" t="n"/>
      <c r="AD1739" s="75" t="n"/>
      <c r="AE1739" s="75" t="n"/>
      <c r="AF1739" s="75" t="n"/>
    </row>
    <row r="1740" ht="15.75" customHeight="1" s="133">
      <c r="A1740" s="75" t="n"/>
      <c r="B1740" s="75" t="n"/>
      <c r="C1740" s="75" t="n"/>
      <c r="D1740" s="75" t="n"/>
      <c r="E1740" s="76" t="n"/>
      <c r="F1740" s="77" t="n"/>
      <c r="G1740" s="75" t="n"/>
      <c r="H1740" s="75">
        <f>IF(ISBLANK(E1740),"",IF(OR(D1740="Butterfly",D1740="Butterfly ",D1740="Iron Fly", D1740="Iron Fly "),LEN(E1740)-LEN(SUBSTITUTE(E1740,"/",""))+2,LEN(E1740)-LEN(SUBSTITUTE(E1740,"/",""))+1))</f>
        <v/>
      </c>
      <c r="I1740" s="78">
        <f>IF(ISBLANK(G1740),"",IF(D1740="Stock","0",Key!$A$3*H1740*G1740))</f>
        <v/>
      </c>
      <c r="J1740" s="78">
        <f>IF(ISBLANK(E1740),"",IF(ISNUMBER(SEARCH("/",E1740)), IF(LEN(E1740)-LEN(SUBSTITUTE(E1740,"/",""))=1,(RIGHT(E1740,LEN(E1740)-FIND("/",E1740)))-(LEFT(E1740,FIND("/",E1740)-1)),(MID(E1740, SEARCH("/",E1740) + 1, SEARCH("/",E1740, SEARCH("/",E1740)+1) - SEARCH("/",E1740) - 1))-(LEFT(E1740,FIND("/",E1740)-1))), "NA"))</f>
        <v/>
      </c>
      <c r="K1740" s="79">
        <f>IF(A1740&lt;&gt;"", IF(ISBLANK(L1740), TODAY(), K1740), "")</f>
        <v/>
      </c>
      <c r="L1740" s="78" t="n"/>
      <c r="M1740" s="78">
        <f>IF(ISBLANK(L1740),"",IF(D1740="Stock",IF(C1740="Buy",L1740*G1740,IF(C1740="Sell",(L1740*G1740)-I1740, X)),IF(C1740="Buy",(L1740*G1740*100)+I1740,IF(C1740="Sell",(L1740*G1740*100)-I1740, X))))</f>
        <v/>
      </c>
      <c r="N1740" s="78">
        <f>IF(ISBLANK(L1740),"",IF(AND(C1740="Sell",D1740="Stock"),M1740,IF(ISBLANK(L1740),"",IF(C1740="Buy",M1740, IF(AND(C1740="Sell",J1740="NA"),(E1740*G1740*100*0.1)+I1740, IF(C1740="Sell",(J1740-L1740)*(100*G1740)+I1740))))))</f>
        <v/>
      </c>
      <c r="O1740" s="75" t="n"/>
      <c r="P1740" s="75" t="n"/>
      <c r="Q1740" s="75">
        <f>IF(ISBLANK(P1740),"",IF(D1740="Stock",P1740*G1740,IF(P1740=0,"0",G1740*P1740*100-(G1740*$AF$14))))</f>
        <v/>
      </c>
      <c r="R1740" s="79">
        <f>IF(P1740&lt;&gt;"", TODAY(), "")</f>
        <v/>
      </c>
      <c r="S1740" s="78">
        <f>IF(AND(K1740&lt;&gt;"", R1740&lt;&gt;""), R1740-K1740, "")</f>
        <v/>
      </c>
      <c r="T1740" s="78" t="n"/>
      <c r="U1740" s="92">
        <f>IF(ISBLANK(P1740),"",IF(C1740="Buy",Q1740-M1740+T1740, IF(C1740="Sell",M1740-Q1740-T1740, X)))</f>
        <v/>
      </c>
      <c r="V1740" s="81">
        <f>IF(ISBLANK(P1740),"",U1740/N1740)</f>
        <v/>
      </c>
      <c r="W1740" s="81">
        <f>IF(ISBLANK(P1740),"",IF(S1740=0,(365/0.5)*V1740,(365/S1740)*V1740))</f>
        <v/>
      </c>
      <c r="X1740" s="75" t="n"/>
      <c r="Y1740" s="77" t="n"/>
      <c r="Z1740" s="77" t="n"/>
      <c r="AA1740" s="75" t="n"/>
      <c r="AB1740" s="75" t="n"/>
      <c r="AC1740" s="6" t="n"/>
      <c r="AD1740" s="75" t="n"/>
      <c r="AE1740" s="75" t="n"/>
      <c r="AF1740" s="75" t="n"/>
    </row>
    <row r="1741" ht="15.75" customHeight="1" s="133">
      <c r="A1741" s="75" t="n"/>
      <c r="B1741" s="75" t="n"/>
      <c r="C1741" s="75" t="n"/>
      <c r="D1741" s="75" t="n"/>
      <c r="E1741" s="76" t="n"/>
      <c r="F1741" s="77" t="n"/>
      <c r="G1741" s="75" t="n"/>
      <c r="H1741" s="75">
        <f>IF(ISBLANK(E1741),"",IF(OR(D1741="Butterfly",D1741="Butterfly ",D1741="Iron Fly", D1741="Iron Fly "),LEN(E1741)-LEN(SUBSTITUTE(E1741,"/",""))+2,LEN(E1741)-LEN(SUBSTITUTE(E1741,"/",""))+1))</f>
        <v/>
      </c>
      <c r="I1741" s="78">
        <f>IF(ISBLANK(G1741),"",IF(D1741="Stock","0",Key!$A$3*H1741*G1741))</f>
        <v/>
      </c>
      <c r="J1741" s="78">
        <f>IF(ISBLANK(E1741),"",IF(ISNUMBER(SEARCH("/",E1741)), IF(LEN(E1741)-LEN(SUBSTITUTE(E1741,"/",""))=1,(RIGHT(E1741,LEN(E1741)-FIND("/",E1741)))-(LEFT(E1741,FIND("/",E1741)-1)),(MID(E1741, SEARCH("/",E1741) + 1, SEARCH("/",E1741, SEARCH("/",E1741)+1) - SEARCH("/",E1741) - 1))-(LEFT(E1741,FIND("/",E1741)-1))), "NA"))</f>
        <v/>
      </c>
      <c r="K1741" s="79">
        <f>IF(A1741&lt;&gt;"", IF(ISBLANK(L1741), TODAY(), K1741), "")</f>
        <v/>
      </c>
      <c r="L1741" s="78" t="n"/>
      <c r="M1741" s="78">
        <f>IF(ISBLANK(L1741),"",IF(D1741="Stock",IF(C1741="Buy",L1741*G1741,IF(C1741="Sell",(L1741*G1741)-I1741, X)),IF(C1741="Buy",(L1741*G1741*100)+I1741,IF(C1741="Sell",(L1741*G1741*100)-I1741, X))))</f>
        <v/>
      </c>
      <c r="N1741" s="78">
        <f>IF(ISBLANK(L1741),"",IF(AND(C1741="Sell",D1741="Stock"),M1741,IF(ISBLANK(L1741),"",IF(C1741="Buy",M1741, IF(AND(C1741="Sell",J1741="NA"),(E1741*G1741*100*0.1)+I1741, IF(C1741="Sell",(J1741-L1741)*(100*G1741)+I1741))))))</f>
        <v/>
      </c>
      <c r="O1741" s="75" t="n"/>
      <c r="P1741" s="75" t="n"/>
      <c r="Q1741" s="75">
        <f>IF(ISBLANK(P1741),"",IF(D1741="Stock",P1741*G1741,IF(P1741=0,"0",G1741*P1741*100-(G1741*$AF$14))))</f>
        <v/>
      </c>
      <c r="R1741" s="79">
        <f>IF(P1741&lt;&gt;"", TODAY(), "")</f>
        <v/>
      </c>
      <c r="S1741" s="78">
        <f>IF(AND(K1741&lt;&gt;"", R1741&lt;&gt;""), R1741-K1741, "")</f>
        <v/>
      </c>
      <c r="T1741" s="78" t="n"/>
      <c r="U1741" s="92">
        <f>IF(ISBLANK(P1741),"",IF(C1741="Buy",Q1741-M1741+T1741, IF(C1741="Sell",M1741-Q1741-T1741, X)))</f>
        <v/>
      </c>
      <c r="V1741" s="81">
        <f>IF(ISBLANK(P1741),"",U1741/N1741)</f>
        <v/>
      </c>
      <c r="W1741" s="81">
        <f>IF(ISBLANK(P1741),"",IF(S1741=0,(365/0.5)*V1741,(365/S1741)*V1741))</f>
        <v/>
      </c>
      <c r="X1741" s="75" t="n"/>
      <c r="Y1741" s="77" t="n"/>
      <c r="Z1741" s="77" t="n"/>
      <c r="AA1741" s="75" t="n"/>
      <c r="AB1741" s="75" t="n"/>
      <c r="AC1741" s="6" t="n"/>
      <c r="AD1741" s="75" t="n"/>
      <c r="AE1741" s="75" t="n"/>
      <c r="AF1741" s="75" t="n"/>
    </row>
    <row r="1742" ht="15.75" customHeight="1" s="133">
      <c r="A1742" s="75" t="n"/>
      <c r="B1742" s="75" t="n"/>
      <c r="C1742" s="75" t="n"/>
      <c r="D1742" s="75" t="n"/>
      <c r="E1742" s="76" t="n"/>
      <c r="F1742" s="77" t="n"/>
      <c r="G1742" s="75" t="n"/>
      <c r="H1742" s="75">
        <f>IF(ISBLANK(E1742),"",IF(OR(D1742="Butterfly",D1742="Butterfly ",D1742="Iron Fly", D1742="Iron Fly "),LEN(E1742)-LEN(SUBSTITUTE(E1742,"/",""))+2,LEN(E1742)-LEN(SUBSTITUTE(E1742,"/",""))+1))</f>
        <v/>
      </c>
      <c r="I1742" s="78">
        <f>IF(ISBLANK(G1742),"",IF(D1742="Stock","0",Key!$A$3*H1742*G1742))</f>
        <v/>
      </c>
      <c r="J1742" s="78">
        <f>IF(ISBLANK(E1742),"",IF(ISNUMBER(SEARCH("/",E1742)), IF(LEN(E1742)-LEN(SUBSTITUTE(E1742,"/",""))=1,(RIGHT(E1742,LEN(E1742)-FIND("/",E1742)))-(LEFT(E1742,FIND("/",E1742)-1)),(MID(E1742, SEARCH("/",E1742) + 1, SEARCH("/",E1742, SEARCH("/",E1742)+1) - SEARCH("/",E1742) - 1))-(LEFT(E1742,FIND("/",E1742)-1))), "NA"))</f>
        <v/>
      </c>
      <c r="K1742" s="79">
        <f>IF(A1742&lt;&gt;"", IF(ISBLANK(L1742), TODAY(), K1742), "")</f>
        <v/>
      </c>
      <c r="L1742" s="78" t="n"/>
      <c r="M1742" s="78">
        <f>IF(ISBLANK(L1742),"",IF(D1742="Stock",IF(C1742="Buy",L1742*G1742,IF(C1742="Sell",(L1742*G1742)-I1742, X)),IF(C1742="Buy",(L1742*G1742*100)+I1742,IF(C1742="Sell",(L1742*G1742*100)-I1742, X))))</f>
        <v/>
      </c>
      <c r="N1742" s="78">
        <f>IF(ISBLANK(L1742),"",IF(AND(C1742="Sell",D1742="Stock"),M1742,IF(ISBLANK(L1742),"",IF(C1742="Buy",M1742, IF(AND(C1742="Sell",J1742="NA"),(E1742*G1742*100*0.1)+I1742, IF(C1742="Sell",(J1742-L1742)*(100*G1742)+I1742))))))</f>
        <v/>
      </c>
      <c r="O1742" s="75" t="n"/>
      <c r="P1742" s="75" t="n"/>
      <c r="Q1742" s="75">
        <f>IF(ISBLANK(P1742),"",IF(D1742="Stock",P1742*G1742,IF(P1742=0,"0",G1742*P1742*100-(G1742*$AF$14))))</f>
        <v/>
      </c>
      <c r="R1742" s="79">
        <f>IF(P1742&lt;&gt;"", TODAY(), "")</f>
        <v/>
      </c>
      <c r="S1742" s="78">
        <f>IF(AND(K1742&lt;&gt;"", R1742&lt;&gt;""), R1742-K1742, "")</f>
        <v/>
      </c>
      <c r="T1742" s="78" t="n"/>
      <c r="U1742" s="92">
        <f>IF(ISBLANK(P1742),"",IF(C1742="Buy",Q1742-M1742+T1742, IF(C1742="Sell",M1742-Q1742-T1742, X)))</f>
        <v/>
      </c>
      <c r="V1742" s="81">
        <f>IF(ISBLANK(P1742),"",U1742/N1742)</f>
        <v/>
      </c>
      <c r="W1742" s="81">
        <f>IF(ISBLANK(P1742),"",IF(S1742=0,(365/0.5)*V1742,(365/S1742)*V1742))</f>
        <v/>
      </c>
      <c r="X1742" s="75" t="n"/>
      <c r="Y1742" s="77" t="n"/>
      <c r="Z1742" s="77" t="n"/>
      <c r="AA1742" s="75" t="n"/>
      <c r="AB1742" s="75" t="n"/>
      <c r="AC1742" s="6" t="n"/>
      <c r="AD1742" s="75" t="n"/>
      <c r="AE1742" s="75" t="n"/>
      <c r="AF1742" s="75" t="n"/>
    </row>
    <row r="1743" ht="15.75" customHeight="1" s="133">
      <c r="A1743" s="75" t="n"/>
      <c r="B1743" s="75" t="n"/>
      <c r="C1743" s="75" t="n"/>
      <c r="D1743" s="75" t="n"/>
      <c r="E1743" s="76" t="n"/>
      <c r="F1743" s="77" t="n"/>
      <c r="G1743" s="75" t="n"/>
      <c r="H1743" s="75">
        <f>IF(ISBLANK(E1743),"",IF(OR(D1743="Butterfly",D1743="Butterfly ",D1743="Iron Fly", D1743="Iron Fly "),LEN(E1743)-LEN(SUBSTITUTE(E1743,"/",""))+2,LEN(E1743)-LEN(SUBSTITUTE(E1743,"/",""))+1))</f>
        <v/>
      </c>
      <c r="I1743" s="78">
        <f>IF(ISBLANK(G1743),"",IF(D1743="Stock","0",Key!$A$3*H1743*G1743))</f>
        <v/>
      </c>
      <c r="J1743" s="78">
        <f>IF(ISBLANK(E1743),"",IF(ISNUMBER(SEARCH("/",E1743)), IF(LEN(E1743)-LEN(SUBSTITUTE(E1743,"/",""))=1,(RIGHT(E1743,LEN(E1743)-FIND("/",E1743)))-(LEFT(E1743,FIND("/",E1743)-1)),(MID(E1743, SEARCH("/",E1743) + 1, SEARCH("/",E1743, SEARCH("/",E1743)+1) - SEARCH("/",E1743) - 1))-(LEFT(E1743,FIND("/",E1743)-1))), "NA"))</f>
        <v/>
      </c>
      <c r="K1743" s="79">
        <f>IF(A1743&lt;&gt;"", IF(ISBLANK(L1743), TODAY(), K1743), "")</f>
        <v/>
      </c>
      <c r="L1743" s="78" t="n"/>
      <c r="M1743" s="78">
        <f>IF(ISBLANK(L1743),"",IF(D1743="Stock",IF(C1743="Buy",L1743*G1743,IF(C1743="Sell",(L1743*G1743)-I1743, X)),IF(C1743="Buy",(L1743*G1743*100)+I1743,IF(C1743="Sell",(L1743*G1743*100)-I1743, X))))</f>
        <v/>
      </c>
      <c r="N1743" s="78">
        <f>IF(ISBLANK(L1743),"",IF(AND(C1743="Sell",D1743="Stock"),M1743,IF(ISBLANK(L1743),"",IF(C1743="Buy",M1743, IF(AND(C1743="Sell",J1743="NA"),(E1743*G1743*100*0.1)+I1743, IF(C1743="Sell",(J1743-L1743)*(100*G1743)+I1743))))))</f>
        <v/>
      </c>
      <c r="O1743" s="75" t="n"/>
      <c r="P1743" s="75" t="n"/>
      <c r="Q1743" s="75">
        <f>IF(ISBLANK(P1743),"",IF(D1743="Stock",P1743*G1743,IF(P1743=0,"0",G1743*P1743*100-(G1743*$AF$14))))</f>
        <v/>
      </c>
      <c r="R1743" s="79">
        <f>IF(P1743&lt;&gt;"", TODAY(), "")</f>
        <v/>
      </c>
      <c r="S1743" s="78">
        <f>IF(AND(K1743&lt;&gt;"", R1743&lt;&gt;""), R1743-K1743, "")</f>
        <v/>
      </c>
      <c r="T1743" s="78" t="n"/>
      <c r="U1743" s="92">
        <f>IF(ISBLANK(P1743),"",IF(C1743="Buy",Q1743-M1743+T1743, IF(C1743="Sell",M1743-Q1743-T1743, X)))</f>
        <v/>
      </c>
      <c r="V1743" s="81">
        <f>IF(ISBLANK(P1743),"",U1743/N1743)</f>
        <v/>
      </c>
      <c r="W1743" s="81">
        <f>IF(ISBLANK(P1743),"",IF(S1743=0,(365/0.5)*V1743,(365/S1743)*V1743))</f>
        <v/>
      </c>
      <c r="X1743" s="75" t="n"/>
      <c r="Y1743" s="77" t="n"/>
      <c r="Z1743" s="77" t="n"/>
      <c r="AA1743" s="75" t="n"/>
      <c r="AB1743" s="75" t="n"/>
      <c r="AC1743" s="6" t="n"/>
      <c r="AD1743" s="75" t="n"/>
      <c r="AE1743" s="75" t="n"/>
      <c r="AF1743" s="75" t="n"/>
    </row>
    <row r="1744" ht="15.75" customHeight="1" s="133">
      <c r="A1744" s="75" t="n"/>
      <c r="B1744" s="75" t="n"/>
      <c r="C1744" s="75" t="n"/>
      <c r="D1744" s="75" t="n"/>
      <c r="E1744" s="76" t="n"/>
      <c r="F1744" s="77" t="n"/>
      <c r="G1744" s="75" t="n"/>
      <c r="H1744" s="75">
        <f>IF(ISBLANK(E1744),"",IF(OR(D1744="Butterfly",D1744="Butterfly ",D1744="Iron Fly", D1744="Iron Fly "),LEN(E1744)-LEN(SUBSTITUTE(E1744,"/",""))+2,LEN(E1744)-LEN(SUBSTITUTE(E1744,"/",""))+1))</f>
        <v/>
      </c>
      <c r="I1744" s="78">
        <f>IF(ISBLANK(G1744),"",IF(D1744="Stock","0",Key!$A$3*H1744*G1744))</f>
        <v/>
      </c>
      <c r="J1744" s="78">
        <f>IF(ISBLANK(E1744),"",IF(ISNUMBER(SEARCH("/",E1744)), IF(LEN(E1744)-LEN(SUBSTITUTE(E1744,"/",""))=1,(RIGHT(E1744,LEN(E1744)-FIND("/",E1744)))-(LEFT(E1744,FIND("/",E1744)-1)),(MID(E1744, SEARCH("/",E1744) + 1, SEARCH("/",E1744, SEARCH("/",E1744)+1) - SEARCH("/",E1744) - 1))-(LEFT(E1744,FIND("/",E1744)-1))), "NA"))</f>
        <v/>
      </c>
      <c r="K1744" s="79">
        <f>IF(A1744&lt;&gt;"", IF(ISBLANK(L1744), TODAY(), K1744), "")</f>
        <v/>
      </c>
      <c r="L1744" s="78" t="n"/>
      <c r="M1744" s="78">
        <f>IF(ISBLANK(L1744),"",IF(D1744="Stock",IF(C1744="Buy",L1744*G1744,IF(C1744="Sell",(L1744*G1744)-I1744, X)),IF(C1744="Buy",(L1744*G1744*100)+I1744,IF(C1744="Sell",(L1744*G1744*100)-I1744, X))))</f>
        <v/>
      </c>
      <c r="N1744" s="78">
        <f>IF(ISBLANK(L1744),"",IF(AND(C1744="Sell",D1744="Stock"),M1744,IF(ISBLANK(L1744),"",IF(C1744="Buy",M1744, IF(AND(C1744="Sell",J1744="NA"),(E1744*G1744*100*0.1)+I1744, IF(C1744="Sell",(J1744-L1744)*(100*G1744)+I1744))))))</f>
        <v/>
      </c>
      <c r="O1744" s="75" t="n"/>
      <c r="P1744" s="75" t="n"/>
      <c r="Q1744" s="75">
        <f>IF(ISBLANK(P1744),"",IF(D1744="Stock",P1744*G1744,IF(P1744=0,"0",G1744*P1744*100-(G1744*$AF$14))))</f>
        <v/>
      </c>
      <c r="R1744" s="79">
        <f>IF(P1744&lt;&gt;"", TODAY(), "")</f>
        <v/>
      </c>
      <c r="S1744" s="78">
        <f>IF(AND(K1744&lt;&gt;"", R1744&lt;&gt;""), R1744-K1744, "")</f>
        <v/>
      </c>
      <c r="T1744" s="78" t="n"/>
      <c r="U1744" s="92">
        <f>IF(ISBLANK(P1744),"",IF(C1744="Buy",Q1744-M1744+T1744, IF(C1744="Sell",M1744-Q1744-T1744, X)))</f>
        <v/>
      </c>
      <c r="V1744" s="81">
        <f>IF(ISBLANK(P1744),"",U1744/N1744)</f>
        <v/>
      </c>
      <c r="W1744" s="81">
        <f>IF(ISBLANK(P1744),"",IF(S1744=0,(365/0.5)*V1744,(365/S1744)*V1744))</f>
        <v/>
      </c>
      <c r="X1744" s="75" t="n"/>
      <c r="Y1744" s="77" t="n"/>
      <c r="Z1744" s="77" t="n"/>
      <c r="AA1744" s="75" t="n"/>
      <c r="AB1744" s="75" t="n"/>
      <c r="AC1744" s="6" t="n"/>
      <c r="AD1744" s="75" t="n"/>
      <c r="AE1744" s="75" t="n"/>
      <c r="AF1744" s="75" t="n"/>
    </row>
    <row r="1745" ht="15.75" customHeight="1" s="133">
      <c r="A1745" s="75" t="n"/>
      <c r="B1745" s="75" t="n"/>
      <c r="C1745" s="75" t="n"/>
      <c r="D1745" s="75" t="n"/>
      <c r="E1745" s="76" t="n"/>
      <c r="F1745" s="77" t="n"/>
      <c r="G1745" s="75" t="n"/>
      <c r="H1745" s="75">
        <f>IF(ISBLANK(E1745),"",IF(OR(D1745="Butterfly",D1745="Butterfly ",D1745="Iron Fly", D1745="Iron Fly "),LEN(E1745)-LEN(SUBSTITUTE(E1745,"/",""))+2,LEN(E1745)-LEN(SUBSTITUTE(E1745,"/",""))+1))</f>
        <v/>
      </c>
      <c r="I1745" s="78">
        <f>IF(ISBLANK(G1745),"",IF(D1745="Stock","0",Key!$A$3*H1745*G1745))</f>
        <v/>
      </c>
      <c r="J1745" s="78">
        <f>IF(ISBLANK(E1745),"",IF(ISNUMBER(SEARCH("/",E1745)), IF(LEN(E1745)-LEN(SUBSTITUTE(E1745,"/",""))=1,(RIGHT(E1745,LEN(E1745)-FIND("/",E1745)))-(LEFT(E1745,FIND("/",E1745)-1)),(MID(E1745, SEARCH("/",E1745) + 1, SEARCH("/",E1745, SEARCH("/",E1745)+1) - SEARCH("/",E1745) - 1))-(LEFT(E1745,FIND("/",E1745)-1))), "NA"))</f>
        <v/>
      </c>
      <c r="K1745" s="79">
        <f>IF(A1745&lt;&gt;"", IF(ISBLANK(L1745), TODAY(), K1745), "")</f>
        <v/>
      </c>
      <c r="L1745" s="78" t="n"/>
      <c r="M1745" s="78">
        <f>IF(ISBLANK(L1745),"",IF(D1745="Stock",IF(C1745="Buy",L1745*G1745,IF(C1745="Sell",(L1745*G1745)-I1745, X)),IF(C1745="Buy",(L1745*G1745*100)+I1745,IF(C1745="Sell",(L1745*G1745*100)-I1745, X))))</f>
        <v/>
      </c>
      <c r="N1745" s="78">
        <f>IF(ISBLANK(L1745),"",IF(AND(C1745="Sell",D1745="Stock"),M1745,IF(ISBLANK(L1745),"",IF(C1745="Buy",M1745, IF(AND(C1745="Sell",J1745="NA"),(E1745*G1745*100*0.1)+I1745, IF(C1745="Sell",(J1745-L1745)*(100*G1745)+I1745))))))</f>
        <v/>
      </c>
      <c r="O1745" s="75" t="n"/>
      <c r="P1745" s="75" t="n"/>
      <c r="Q1745" s="75">
        <f>IF(ISBLANK(P1745),"",IF(D1745="Stock",P1745*G1745,IF(P1745=0,"0",G1745*P1745*100-(G1745*$AF$14))))</f>
        <v/>
      </c>
      <c r="R1745" s="79">
        <f>IF(P1745&lt;&gt;"", TODAY(), "")</f>
        <v/>
      </c>
      <c r="S1745" s="78">
        <f>IF(AND(K1745&lt;&gt;"", R1745&lt;&gt;""), R1745-K1745, "")</f>
        <v/>
      </c>
      <c r="T1745" s="78" t="n"/>
      <c r="U1745" s="92">
        <f>IF(ISBLANK(P1745),"",IF(C1745="Buy",Q1745-M1745+T1745, IF(C1745="Sell",M1745-Q1745-T1745, X)))</f>
        <v/>
      </c>
      <c r="V1745" s="81">
        <f>IF(ISBLANK(P1745),"",U1745/N1745)</f>
        <v/>
      </c>
      <c r="W1745" s="81">
        <f>IF(ISBLANK(P1745),"",IF(S1745=0,(365/0.5)*V1745,(365/S1745)*V1745))</f>
        <v/>
      </c>
      <c r="X1745" s="75" t="n"/>
      <c r="Y1745" s="77" t="n"/>
      <c r="Z1745" s="77" t="n"/>
      <c r="AA1745" s="75" t="n"/>
      <c r="AB1745" s="75" t="n"/>
      <c r="AC1745" s="6" t="n"/>
      <c r="AD1745" s="75" t="n"/>
      <c r="AE1745" s="75" t="n"/>
      <c r="AF1745" s="75" t="n"/>
    </row>
    <row r="1746" ht="15.75" customHeight="1" s="133">
      <c r="A1746" s="75" t="n"/>
      <c r="B1746" s="75" t="n"/>
      <c r="C1746" s="75" t="n"/>
      <c r="D1746" s="75" t="n"/>
      <c r="E1746" s="76" t="n"/>
      <c r="F1746" s="77" t="n"/>
      <c r="G1746" s="75" t="n"/>
      <c r="H1746" s="75">
        <f>IF(ISBLANK(E1746),"",IF(OR(D1746="Butterfly",D1746="Butterfly ",D1746="Iron Fly", D1746="Iron Fly "),LEN(E1746)-LEN(SUBSTITUTE(E1746,"/",""))+2,LEN(E1746)-LEN(SUBSTITUTE(E1746,"/",""))+1))</f>
        <v/>
      </c>
      <c r="I1746" s="78">
        <f>IF(ISBLANK(G1746),"",IF(D1746="Stock","0",Key!$A$3*H1746*G1746))</f>
        <v/>
      </c>
      <c r="J1746" s="78">
        <f>IF(ISBLANK(E1746),"",IF(ISNUMBER(SEARCH("/",E1746)), IF(LEN(E1746)-LEN(SUBSTITUTE(E1746,"/",""))=1,(RIGHT(E1746,LEN(E1746)-FIND("/",E1746)))-(LEFT(E1746,FIND("/",E1746)-1)),(MID(E1746, SEARCH("/",E1746) + 1, SEARCH("/",E1746, SEARCH("/",E1746)+1) - SEARCH("/",E1746) - 1))-(LEFT(E1746,FIND("/",E1746)-1))), "NA"))</f>
        <v/>
      </c>
      <c r="K1746" s="79">
        <f>IF(A1746&lt;&gt;"", IF(ISBLANK(L1746), TODAY(), K1746), "")</f>
        <v/>
      </c>
      <c r="L1746" s="78" t="n"/>
      <c r="M1746" s="78">
        <f>IF(ISBLANK(L1746),"",IF(D1746="Stock",IF(C1746="Buy",L1746*G1746,IF(C1746="Sell",(L1746*G1746)-I1746, X)),IF(C1746="Buy",(L1746*G1746*100)+I1746,IF(C1746="Sell",(L1746*G1746*100)-I1746, X))))</f>
        <v/>
      </c>
      <c r="N1746" s="78">
        <f>IF(ISBLANK(L1746),"",IF(AND(C1746="Sell",D1746="Stock"),M1746,IF(ISBLANK(L1746),"",IF(C1746="Buy",M1746, IF(AND(C1746="Sell",J1746="NA"),(E1746*G1746*100*0.1)+I1746, IF(C1746="Sell",(J1746-L1746)*(100*G1746)+I1746))))))</f>
        <v/>
      </c>
      <c r="O1746" s="75" t="n"/>
      <c r="P1746" s="75" t="n"/>
      <c r="Q1746" s="75">
        <f>IF(ISBLANK(P1746),"",IF(D1746="Stock",P1746*G1746,IF(P1746=0,"0",G1746*P1746*100-(G1746*$AF$14))))</f>
        <v/>
      </c>
      <c r="R1746" s="79">
        <f>IF(P1746&lt;&gt;"", TODAY(), "")</f>
        <v/>
      </c>
      <c r="S1746" s="78">
        <f>IF(AND(K1746&lt;&gt;"", R1746&lt;&gt;""), R1746-K1746, "")</f>
        <v/>
      </c>
      <c r="T1746" s="78" t="n"/>
      <c r="U1746" s="92">
        <f>IF(ISBLANK(P1746),"",IF(C1746="Buy",Q1746-M1746+T1746, IF(C1746="Sell",M1746-Q1746-T1746, X)))</f>
        <v/>
      </c>
      <c r="V1746" s="81">
        <f>IF(ISBLANK(P1746),"",U1746/N1746)</f>
        <v/>
      </c>
      <c r="W1746" s="81">
        <f>IF(ISBLANK(P1746),"",IF(S1746=0,(365/0.5)*V1746,(365/S1746)*V1746))</f>
        <v/>
      </c>
      <c r="X1746" s="75" t="n"/>
      <c r="Y1746" s="77" t="n"/>
      <c r="Z1746" s="77" t="n"/>
      <c r="AA1746" s="75" t="n"/>
      <c r="AB1746" s="75" t="n"/>
      <c r="AC1746" s="6" t="n"/>
      <c r="AD1746" s="75" t="n"/>
      <c r="AE1746" s="75" t="n"/>
      <c r="AF1746" s="75" t="n"/>
    </row>
    <row r="1747" ht="15.75" customHeight="1" s="133">
      <c r="A1747" s="75" t="n"/>
      <c r="B1747" s="75" t="n"/>
      <c r="C1747" s="75" t="n"/>
      <c r="D1747" s="75" t="n"/>
      <c r="E1747" s="76" t="n"/>
      <c r="F1747" s="77" t="n"/>
      <c r="G1747" s="75" t="n"/>
      <c r="H1747" s="75">
        <f>IF(ISBLANK(E1747),"",IF(OR(D1747="Butterfly",D1747="Butterfly ",D1747="Iron Fly", D1747="Iron Fly "),LEN(E1747)-LEN(SUBSTITUTE(E1747,"/",""))+2,LEN(E1747)-LEN(SUBSTITUTE(E1747,"/",""))+1))</f>
        <v/>
      </c>
      <c r="I1747" s="78">
        <f>IF(ISBLANK(G1747),"",IF(D1747="Stock","0",Key!$A$3*H1747*G1747))</f>
        <v/>
      </c>
      <c r="J1747" s="78">
        <f>IF(ISBLANK(E1747),"",IF(ISNUMBER(SEARCH("/",E1747)), IF(LEN(E1747)-LEN(SUBSTITUTE(E1747,"/",""))=1,(RIGHT(E1747,LEN(E1747)-FIND("/",E1747)))-(LEFT(E1747,FIND("/",E1747)-1)),(MID(E1747, SEARCH("/",E1747) + 1, SEARCH("/",E1747, SEARCH("/",E1747)+1) - SEARCH("/",E1747) - 1))-(LEFT(E1747,FIND("/",E1747)-1))), "NA"))</f>
        <v/>
      </c>
      <c r="K1747" s="79">
        <f>IF(A1747&lt;&gt;"", IF(ISBLANK(L1747), TODAY(), K1747), "")</f>
        <v/>
      </c>
      <c r="L1747" s="78" t="n"/>
      <c r="M1747" s="78">
        <f>IF(ISBLANK(L1747),"",IF(D1747="Stock",IF(C1747="Buy",L1747*G1747,IF(C1747="Sell",(L1747*G1747)-I1747, X)),IF(C1747="Buy",(L1747*G1747*100)+I1747,IF(C1747="Sell",(L1747*G1747*100)-I1747, X))))</f>
        <v/>
      </c>
      <c r="N1747" s="78">
        <f>IF(ISBLANK(L1747),"",IF(AND(C1747="Sell",D1747="Stock"),M1747,IF(ISBLANK(L1747),"",IF(C1747="Buy",M1747, IF(AND(C1747="Sell",J1747="NA"),(E1747*G1747*100*0.1)+I1747, IF(C1747="Sell",(J1747-L1747)*(100*G1747)+I1747))))))</f>
        <v/>
      </c>
      <c r="O1747" s="75" t="n"/>
      <c r="P1747" s="75" t="n"/>
      <c r="Q1747" s="75">
        <f>IF(ISBLANK(P1747),"",IF(D1747="Stock",P1747*G1747,IF(P1747=0,"0",G1747*P1747*100-(G1747*$AF$14))))</f>
        <v/>
      </c>
      <c r="R1747" s="79">
        <f>IF(P1747&lt;&gt;"", TODAY(), "")</f>
        <v/>
      </c>
      <c r="S1747" s="78">
        <f>IF(AND(K1747&lt;&gt;"", R1747&lt;&gt;""), R1747-K1747, "")</f>
        <v/>
      </c>
      <c r="T1747" s="78" t="n"/>
      <c r="U1747" s="92">
        <f>IF(ISBLANK(P1747),"",IF(C1747="Buy",Q1747-M1747+T1747, IF(C1747="Sell",M1747-Q1747-T1747, X)))</f>
        <v/>
      </c>
      <c r="V1747" s="81">
        <f>IF(ISBLANK(P1747),"",U1747/N1747)</f>
        <v/>
      </c>
      <c r="W1747" s="81">
        <f>IF(ISBLANK(P1747),"",IF(S1747=0,(365/0.5)*V1747,(365/S1747)*V1747))</f>
        <v/>
      </c>
      <c r="X1747" s="75" t="n"/>
      <c r="Y1747" s="77" t="n"/>
      <c r="Z1747" s="77" t="n"/>
      <c r="AA1747" s="75" t="n"/>
      <c r="AB1747" s="75" t="n"/>
      <c r="AC1747" s="6" t="n"/>
      <c r="AD1747" s="75" t="n"/>
      <c r="AE1747" s="75" t="n"/>
      <c r="AF1747" s="75" t="n"/>
    </row>
    <row r="1748" ht="15.75" customHeight="1" s="133">
      <c r="A1748" s="75" t="n"/>
      <c r="B1748" s="75" t="n"/>
      <c r="C1748" s="75" t="n"/>
      <c r="D1748" s="75" t="n"/>
      <c r="E1748" s="76" t="n"/>
      <c r="F1748" s="77" t="n"/>
      <c r="G1748" s="75" t="n"/>
      <c r="H1748" s="75">
        <f>IF(ISBLANK(E1748),"",IF(OR(D1748="Butterfly",D1748="Butterfly ",D1748="Iron Fly", D1748="Iron Fly "),LEN(E1748)-LEN(SUBSTITUTE(E1748,"/",""))+2,LEN(E1748)-LEN(SUBSTITUTE(E1748,"/",""))+1))</f>
        <v/>
      </c>
      <c r="I1748" s="78">
        <f>IF(ISBLANK(G1748),"",IF(D1748="Stock","0",Key!$A$3*H1748*G1748))</f>
        <v/>
      </c>
      <c r="J1748" s="78">
        <f>IF(ISBLANK(E1748),"",IF(ISNUMBER(SEARCH("/",E1748)), IF(LEN(E1748)-LEN(SUBSTITUTE(E1748,"/",""))=1,(RIGHT(E1748,LEN(E1748)-FIND("/",E1748)))-(LEFT(E1748,FIND("/",E1748)-1)),(MID(E1748, SEARCH("/",E1748) + 1, SEARCH("/",E1748, SEARCH("/",E1748)+1) - SEARCH("/",E1748) - 1))-(LEFT(E1748,FIND("/",E1748)-1))), "NA"))</f>
        <v/>
      </c>
      <c r="K1748" s="79">
        <f>IF(A1748&lt;&gt;"", IF(ISBLANK(L1748), TODAY(), K1748), "")</f>
        <v/>
      </c>
      <c r="L1748" s="78" t="n"/>
      <c r="M1748" s="78">
        <f>IF(ISBLANK(L1748),"",IF(D1748="Stock",IF(C1748="Buy",L1748*G1748,IF(C1748="Sell",(L1748*G1748)-I1748, X)),IF(C1748="Buy",(L1748*G1748*100)+I1748,IF(C1748="Sell",(L1748*G1748*100)-I1748, X))))</f>
        <v/>
      </c>
      <c r="N1748" s="78">
        <f>IF(ISBLANK(L1748),"",IF(AND(C1748="Sell",D1748="Stock"),M1748,IF(ISBLANK(L1748),"",IF(C1748="Buy",M1748, IF(AND(C1748="Sell",J1748="NA"),(E1748*G1748*100*0.1)+I1748, IF(C1748="Sell",(J1748-L1748)*(100*G1748)+I1748))))))</f>
        <v/>
      </c>
      <c r="O1748" s="75" t="n"/>
      <c r="P1748" s="75" t="n"/>
      <c r="Q1748" s="75">
        <f>IF(ISBLANK(P1748),"",IF(D1748="Stock",P1748*G1748,IF(P1748=0,"0",G1748*P1748*100-(G1748*$AF$14))))</f>
        <v/>
      </c>
      <c r="R1748" s="79">
        <f>IF(P1748&lt;&gt;"", TODAY(), "")</f>
        <v/>
      </c>
      <c r="S1748" s="78">
        <f>IF(AND(K1748&lt;&gt;"", R1748&lt;&gt;""), R1748-K1748, "")</f>
        <v/>
      </c>
      <c r="T1748" s="78" t="n"/>
      <c r="U1748" s="92">
        <f>IF(ISBLANK(P1748),"",IF(C1748="Buy",Q1748-M1748+T1748, IF(C1748="Sell",M1748-Q1748-T1748, X)))</f>
        <v/>
      </c>
      <c r="V1748" s="81">
        <f>IF(ISBLANK(P1748),"",U1748/N1748)</f>
        <v/>
      </c>
      <c r="W1748" s="81">
        <f>IF(ISBLANK(P1748),"",IF(S1748=0,(365/0.5)*V1748,(365/S1748)*V1748))</f>
        <v/>
      </c>
      <c r="X1748" s="75" t="n"/>
      <c r="Y1748" s="77" t="n"/>
      <c r="Z1748" s="77" t="n"/>
      <c r="AA1748" s="75" t="n"/>
      <c r="AB1748" s="75" t="n"/>
      <c r="AC1748" s="6" t="n"/>
      <c r="AD1748" s="75" t="n"/>
      <c r="AE1748" s="75" t="n"/>
      <c r="AF1748" s="75" t="n"/>
    </row>
    <row r="1749" ht="15.75" customHeight="1" s="133">
      <c r="A1749" s="75" t="n"/>
      <c r="B1749" s="75" t="n"/>
      <c r="C1749" s="75" t="n"/>
      <c r="D1749" s="75" t="n"/>
      <c r="E1749" s="76" t="n"/>
      <c r="F1749" s="77" t="n"/>
      <c r="G1749" s="75" t="n"/>
      <c r="H1749" s="75">
        <f>IF(ISBLANK(E1749),"",IF(OR(D1749="Butterfly",D1749="Butterfly ",D1749="Iron Fly", D1749="Iron Fly "),LEN(E1749)-LEN(SUBSTITUTE(E1749,"/",""))+2,LEN(E1749)-LEN(SUBSTITUTE(E1749,"/",""))+1))</f>
        <v/>
      </c>
      <c r="I1749" s="78">
        <f>IF(ISBLANK(G1749),"",IF(D1749="Stock","0",Key!$A$3*H1749*G1749))</f>
        <v/>
      </c>
      <c r="J1749" s="78">
        <f>IF(ISBLANK(E1749),"",IF(ISNUMBER(SEARCH("/",E1749)), IF(LEN(E1749)-LEN(SUBSTITUTE(E1749,"/",""))=1,(RIGHT(E1749,LEN(E1749)-FIND("/",E1749)))-(LEFT(E1749,FIND("/",E1749)-1)),(MID(E1749, SEARCH("/",E1749) + 1, SEARCH("/",E1749, SEARCH("/",E1749)+1) - SEARCH("/",E1749) - 1))-(LEFT(E1749,FIND("/",E1749)-1))), "NA"))</f>
        <v/>
      </c>
      <c r="K1749" s="79">
        <f>IF(A1749&lt;&gt;"", IF(ISBLANK(L1749), TODAY(), K1749), "")</f>
        <v/>
      </c>
      <c r="L1749" s="78" t="n"/>
      <c r="M1749" s="78">
        <f>IF(ISBLANK(L1749),"",IF(D1749="Stock",IF(C1749="Buy",L1749*G1749,IF(C1749="Sell",(L1749*G1749)-I1749, X)),IF(C1749="Buy",(L1749*G1749*100)+I1749,IF(C1749="Sell",(L1749*G1749*100)-I1749, X))))</f>
        <v/>
      </c>
      <c r="N1749" s="78">
        <f>IF(ISBLANK(L1749),"",IF(AND(C1749="Sell",D1749="Stock"),M1749,IF(ISBLANK(L1749),"",IF(C1749="Buy",M1749, IF(AND(C1749="Sell",J1749="NA"),(E1749*G1749*100*0.1)+I1749, IF(C1749="Sell",(J1749-L1749)*(100*G1749)+I1749))))))</f>
        <v/>
      </c>
      <c r="O1749" s="75" t="n"/>
      <c r="P1749" s="75" t="n"/>
      <c r="Q1749" s="75">
        <f>IF(ISBLANK(P1749),"",IF(D1749="Stock",P1749*G1749,IF(P1749=0,"0",G1749*P1749*100-(G1749*$AF$14))))</f>
        <v/>
      </c>
      <c r="R1749" s="79">
        <f>IF(P1749&lt;&gt;"", TODAY(), "")</f>
        <v/>
      </c>
      <c r="S1749" s="78">
        <f>IF(AND(K1749&lt;&gt;"", R1749&lt;&gt;""), R1749-K1749, "")</f>
        <v/>
      </c>
      <c r="T1749" s="78" t="n"/>
      <c r="U1749" s="92">
        <f>IF(ISBLANK(P1749),"",IF(C1749="Buy",Q1749-M1749+T1749, IF(C1749="Sell",M1749-Q1749-T1749, X)))</f>
        <v/>
      </c>
      <c r="V1749" s="81">
        <f>IF(ISBLANK(P1749),"",U1749/N1749)</f>
        <v/>
      </c>
      <c r="W1749" s="81">
        <f>IF(ISBLANK(P1749),"",IF(S1749=0,(365/0.5)*V1749,(365/S1749)*V1749))</f>
        <v/>
      </c>
      <c r="X1749" s="75" t="n"/>
      <c r="Y1749" s="77" t="n"/>
      <c r="Z1749" s="77" t="n"/>
      <c r="AA1749" s="75" t="n"/>
      <c r="AB1749" s="75" t="n"/>
      <c r="AC1749" s="6" t="n"/>
      <c r="AD1749" s="75" t="n"/>
      <c r="AE1749" s="75" t="n"/>
      <c r="AF1749" s="75" t="n"/>
    </row>
    <row r="1750" ht="15.75" customHeight="1" s="133">
      <c r="A1750" s="75" t="n"/>
      <c r="B1750" s="75" t="n"/>
      <c r="C1750" s="75" t="n"/>
      <c r="D1750" s="75" t="n"/>
      <c r="E1750" s="76" t="n"/>
      <c r="F1750" s="77" t="n"/>
      <c r="G1750" s="75" t="n"/>
      <c r="H1750" s="75">
        <f>IF(ISBLANK(E1750),"",IF(OR(D1750="Butterfly",D1750="Butterfly ",D1750="Iron Fly", D1750="Iron Fly "),LEN(E1750)-LEN(SUBSTITUTE(E1750,"/",""))+2,LEN(E1750)-LEN(SUBSTITUTE(E1750,"/",""))+1))</f>
        <v/>
      </c>
      <c r="I1750" s="78">
        <f>IF(ISBLANK(G1750),"",IF(D1750="Stock","0",Key!$A$3*H1750*G1750))</f>
        <v/>
      </c>
      <c r="J1750" s="78">
        <f>IF(ISBLANK(E1750),"",IF(ISNUMBER(SEARCH("/",E1750)), IF(LEN(E1750)-LEN(SUBSTITUTE(E1750,"/",""))=1,(RIGHT(E1750,LEN(E1750)-FIND("/",E1750)))-(LEFT(E1750,FIND("/",E1750)-1)),(MID(E1750, SEARCH("/",E1750) + 1, SEARCH("/",E1750, SEARCH("/",E1750)+1) - SEARCH("/",E1750) - 1))-(LEFT(E1750,FIND("/",E1750)-1))), "NA"))</f>
        <v/>
      </c>
      <c r="K1750" s="79">
        <f>IF(A1750&lt;&gt;"", IF(ISBLANK(L1750), TODAY(), K1750), "")</f>
        <v/>
      </c>
      <c r="L1750" s="78" t="n"/>
      <c r="M1750" s="78">
        <f>IF(ISBLANK(L1750),"",IF(D1750="Stock",IF(C1750="Buy",L1750*G1750,IF(C1750="Sell",(L1750*G1750)-I1750, X)),IF(C1750="Buy",(L1750*G1750*100)+I1750,IF(C1750="Sell",(L1750*G1750*100)-I1750, X))))</f>
        <v/>
      </c>
      <c r="N1750" s="78">
        <f>IF(ISBLANK(L1750),"",IF(AND(C1750="Sell",D1750="Stock"),M1750,IF(ISBLANK(L1750),"",IF(C1750="Buy",M1750, IF(AND(C1750="Sell",J1750="NA"),(E1750*G1750*100*0.1)+I1750, IF(C1750="Sell",(J1750-L1750)*(100*G1750)+I1750))))))</f>
        <v/>
      </c>
      <c r="O1750" s="75" t="n"/>
      <c r="P1750" s="75" t="n"/>
      <c r="Q1750" s="75">
        <f>IF(ISBLANK(P1750),"",IF(D1750="Stock",P1750*G1750,IF(P1750=0,"0",G1750*P1750*100-(G1750*$AF$14))))</f>
        <v/>
      </c>
      <c r="R1750" s="79">
        <f>IF(P1750&lt;&gt;"", TODAY(), "")</f>
        <v/>
      </c>
      <c r="S1750" s="78">
        <f>IF(AND(K1750&lt;&gt;"", R1750&lt;&gt;""), R1750-K1750, "")</f>
        <v/>
      </c>
      <c r="T1750" s="78" t="n"/>
      <c r="U1750" s="92">
        <f>IF(ISBLANK(P1750),"",IF(C1750="Buy",Q1750-M1750+T1750, IF(C1750="Sell",M1750-Q1750-T1750, X)))</f>
        <v/>
      </c>
      <c r="V1750" s="81">
        <f>IF(ISBLANK(P1750),"",U1750/N1750)</f>
        <v/>
      </c>
      <c r="W1750" s="81">
        <f>IF(ISBLANK(P1750),"",IF(S1750=0,(365/0.5)*V1750,(365/S1750)*V1750))</f>
        <v/>
      </c>
      <c r="X1750" s="75" t="n"/>
      <c r="Y1750" s="77" t="n"/>
      <c r="Z1750" s="77" t="n"/>
      <c r="AA1750" s="75" t="n"/>
      <c r="AB1750" s="75" t="n"/>
      <c r="AC1750" s="6" t="n"/>
      <c r="AD1750" s="75" t="n"/>
      <c r="AE1750" s="75" t="n"/>
      <c r="AF1750" s="75" t="n"/>
    </row>
    <row r="1751" ht="15.75" customHeight="1" s="133">
      <c r="A1751" s="75" t="n"/>
      <c r="B1751" s="75" t="n"/>
      <c r="C1751" s="75" t="n"/>
      <c r="D1751" s="75" t="n"/>
      <c r="E1751" s="76" t="n"/>
      <c r="F1751" s="77" t="n"/>
      <c r="G1751" s="75" t="n"/>
      <c r="H1751" s="75">
        <f>IF(ISBLANK(E1751),"",IF(OR(D1751="Butterfly",D1751="Butterfly ",D1751="Iron Fly", D1751="Iron Fly "),LEN(E1751)-LEN(SUBSTITUTE(E1751,"/",""))+2,LEN(E1751)-LEN(SUBSTITUTE(E1751,"/",""))+1))</f>
        <v/>
      </c>
      <c r="I1751" s="78">
        <f>IF(ISBLANK(G1751),"",IF(D1751="Stock","0",Key!$A$3*H1751*G1751))</f>
        <v/>
      </c>
      <c r="J1751" s="78">
        <f>IF(ISBLANK(E1751),"",IF(ISNUMBER(SEARCH("/",E1751)), IF(LEN(E1751)-LEN(SUBSTITUTE(E1751,"/",""))=1,(RIGHT(E1751,LEN(E1751)-FIND("/",E1751)))-(LEFT(E1751,FIND("/",E1751)-1)),(MID(E1751, SEARCH("/",E1751) + 1, SEARCH("/",E1751, SEARCH("/",E1751)+1) - SEARCH("/",E1751) - 1))-(LEFT(E1751,FIND("/",E1751)-1))), "NA"))</f>
        <v/>
      </c>
      <c r="K1751" s="79">
        <f>IF(A1751&lt;&gt;"", IF(ISBLANK(L1751), TODAY(), K1751), "")</f>
        <v/>
      </c>
      <c r="L1751" s="78" t="n"/>
      <c r="M1751" s="78">
        <f>IF(ISBLANK(L1751),"",IF(D1751="Stock",IF(C1751="Buy",L1751*G1751,IF(C1751="Sell",(L1751*G1751)-I1751, X)),IF(C1751="Buy",(L1751*G1751*100)+I1751,IF(C1751="Sell",(L1751*G1751*100)-I1751, X))))</f>
        <v/>
      </c>
      <c r="N1751" s="78">
        <f>IF(ISBLANK(L1751),"",IF(AND(C1751="Sell",D1751="Stock"),M1751,IF(ISBLANK(L1751),"",IF(C1751="Buy",M1751, IF(AND(C1751="Sell",J1751="NA"),(E1751*G1751*100*0.1)+I1751, IF(C1751="Sell",(J1751-L1751)*(100*G1751)+I1751))))))</f>
        <v/>
      </c>
      <c r="O1751" s="75" t="n"/>
      <c r="P1751" s="75" t="n"/>
      <c r="Q1751" s="75">
        <f>IF(ISBLANK(P1751),"",IF(D1751="Stock",P1751*G1751,IF(P1751=0,"0",G1751*P1751*100-(G1751*$AF$14))))</f>
        <v/>
      </c>
      <c r="R1751" s="79">
        <f>IF(P1751&lt;&gt;"", TODAY(), "")</f>
        <v/>
      </c>
      <c r="S1751" s="78">
        <f>IF(AND(K1751&lt;&gt;"", R1751&lt;&gt;""), R1751-K1751, "")</f>
        <v/>
      </c>
      <c r="T1751" s="78" t="n"/>
      <c r="U1751" s="92">
        <f>IF(ISBLANK(P1751),"",IF(C1751="Buy",Q1751-M1751+T1751, IF(C1751="Sell",M1751-Q1751-T1751, X)))</f>
        <v/>
      </c>
      <c r="V1751" s="81">
        <f>IF(ISBLANK(P1751),"",U1751/N1751)</f>
        <v/>
      </c>
      <c r="W1751" s="81">
        <f>IF(ISBLANK(P1751),"",IF(S1751=0,(365/0.5)*V1751,(365/S1751)*V1751))</f>
        <v/>
      </c>
      <c r="X1751" s="75" t="n"/>
      <c r="Y1751" s="77" t="n"/>
      <c r="Z1751" s="77" t="n"/>
      <c r="AA1751" s="75" t="n"/>
      <c r="AB1751" s="75" t="n"/>
      <c r="AC1751" s="6" t="n"/>
      <c r="AD1751" s="75" t="n"/>
      <c r="AE1751" s="75" t="n"/>
      <c r="AF1751" s="75" t="n"/>
    </row>
    <row r="1752" ht="15.75" customHeight="1" s="133">
      <c r="A1752" s="75" t="n"/>
      <c r="B1752" s="75" t="n"/>
      <c r="C1752" s="75" t="n"/>
      <c r="D1752" s="75" t="n"/>
      <c r="E1752" s="76" t="n"/>
      <c r="F1752" s="77" t="n"/>
      <c r="G1752" s="75" t="n"/>
      <c r="H1752" s="75">
        <f>IF(ISBLANK(E1752),"",IF(OR(D1752="Butterfly",D1752="Butterfly ",D1752="Iron Fly", D1752="Iron Fly "),LEN(E1752)-LEN(SUBSTITUTE(E1752,"/",""))+2,LEN(E1752)-LEN(SUBSTITUTE(E1752,"/",""))+1))</f>
        <v/>
      </c>
      <c r="I1752" s="78">
        <f>IF(ISBLANK(G1752),"",IF(D1752="Stock","0",Key!$A$3*H1752*G1752))</f>
        <v/>
      </c>
      <c r="J1752" s="78">
        <f>IF(ISBLANK(E1752),"",IF(ISNUMBER(SEARCH("/",E1752)), IF(LEN(E1752)-LEN(SUBSTITUTE(E1752,"/",""))=1,(RIGHT(E1752,LEN(E1752)-FIND("/",E1752)))-(LEFT(E1752,FIND("/",E1752)-1)),(MID(E1752, SEARCH("/",E1752) + 1, SEARCH("/",E1752, SEARCH("/",E1752)+1) - SEARCH("/",E1752) - 1))-(LEFT(E1752,FIND("/",E1752)-1))), "NA"))</f>
        <v/>
      </c>
      <c r="K1752" s="79">
        <f>IF(A1752&lt;&gt;"", IF(ISBLANK(L1752), TODAY(), K1752), "")</f>
        <v/>
      </c>
      <c r="L1752" s="78" t="n"/>
      <c r="M1752" s="78">
        <f>IF(ISBLANK(L1752),"",IF(D1752="Stock",IF(C1752="Buy",L1752*G1752,IF(C1752="Sell",(L1752*G1752)-I1752, X)),IF(C1752="Buy",(L1752*G1752*100)+I1752,IF(C1752="Sell",(L1752*G1752*100)-I1752, X))))</f>
        <v/>
      </c>
      <c r="N1752" s="78">
        <f>IF(ISBLANK(L1752),"",IF(AND(C1752="Sell",D1752="Stock"),M1752,IF(ISBLANK(L1752),"",IF(C1752="Buy",M1752, IF(AND(C1752="Sell",J1752="NA"),(E1752*G1752*100*0.1)+I1752, IF(C1752="Sell",(J1752-L1752)*(100*G1752)+I1752))))))</f>
        <v/>
      </c>
      <c r="O1752" s="75" t="n"/>
      <c r="P1752" s="75" t="n"/>
      <c r="Q1752" s="75">
        <f>IF(ISBLANK(P1752),"",IF(D1752="Stock",P1752*G1752,IF(P1752=0,"0",G1752*P1752*100-(G1752*$AF$14))))</f>
        <v/>
      </c>
      <c r="R1752" s="79">
        <f>IF(P1752&lt;&gt;"", TODAY(), "")</f>
        <v/>
      </c>
      <c r="S1752" s="78">
        <f>IF(AND(K1752&lt;&gt;"", R1752&lt;&gt;""), R1752-K1752, "")</f>
        <v/>
      </c>
      <c r="T1752" s="78" t="n"/>
      <c r="U1752" s="92">
        <f>IF(ISBLANK(P1752),"",IF(C1752="Buy",Q1752-M1752+T1752, IF(C1752="Sell",M1752-Q1752-T1752, X)))</f>
        <v/>
      </c>
      <c r="V1752" s="81">
        <f>IF(ISBLANK(P1752),"",U1752/N1752)</f>
        <v/>
      </c>
      <c r="W1752" s="81">
        <f>IF(ISBLANK(P1752),"",IF(S1752=0,(365/0.5)*V1752,(365/S1752)*V1752))</f>
        <v/>
      </c>
      <c r="X1752" s="75" t="n"/>
      <c r="Y1752" s="77" t="n"/>
      <c r="Z1752" s="77" t="n"/>
      <c r="AA1752" s="75" t="n"/>
      <c r="AB1752" s="75" t="n"/>
      <c r="AC1752" s="6" t="n"/>
      <c r="AD1752" s="75" t="n"/>
      <c r="AE1752" s="75" t="n"/>
      <c r="AF1752" s="75" t="n"/>
    </row>
    <row r="1753" ht="15.75" customHeight="1" s="133">
      <c r="A1753" s="75" t="n"/>
      <c r="B1753" s="75" t="n"/>
      <c r="C1753" s="75" t="n"/>
      <c r="D1753" s="75" t="n"/>
      <c r="E1753" s="76" t="n"/>
      <c r="F1753" s="77" t="n"/>
      <c r="G1753" s="75" t="n"/>
      <c r="H1753" s="75">
        <f>IF(ISBLANK(E1753),"",IF(OR(D1753="Butterfly",D1753="Butterfly ",D1753="Iron Fly", D1753="Iron Fly "),LEN(E1753)-LEN(SUBSTITUTE(E1753,"/",""))+2,LEN(E1753)-LEN(SUBSTITUTE(E1753,"/",""))+1))</f>
        <v/>
      </c>
      <c r="I1753" s="78">
        <f>IF(ISBLANK(G1753),"",IF(D1753="Stock","0",Key!$A$3*H1753*G1753))</f>
        <v/>
      </c>
      <c r="J1753" s="78">
        <f>IF(ISBLANK(E1753),"",IF(ISNUMBER(SEARCH("/",E1753)), IF(LEN(E1753)-LEN(SUBSTITUTE(E1753,"/",""))=1,(RIGHT(E1753,LEN(E1753)-FIND("/",E1753)))-(LEFT(E1753,FIND("/",E1753)-1)),(MID(E1753, SEARCH("/",E1753) + 1, SEARCH("/",E1753, SEARCH("/",E1753)+1) - SEARCH("/",E1753) - 1))-(LEFT(E1753,FIND("/",E1753)-1))), "NA"))</f>
        <v/>
      </c>
      <c r="K1753" s="79">
        <f>IF(A1753&lt;&gt;"", IF(ISBLANK(L1753), TODAY(), K1753), "")</f>
        <v/>
      </c>
      <c r="L1753" s="78" t="n"/>
      <c r="M1753" s="78">
        <f>IF(ISBLANK(L1753),"",IF(D1753="Stock",IF(C1753="Buy",L1753*G1753,IF(C1753="Sell",(L1753*G1753)-I1753, X)),IF(C1753="Buy",(L1753*G1753*100)+I1753,IF(C1753="Sell",(L1753*G1753*100)-I1753, X))))</f>
        <v/>
      </c>
      <c r="N1753" s="78">
        <f>IF(ISBLANK(L1753),"",IF(AND(C1753="Sell",D1753="Stock"),M1753,IF(ISBLANK(L1753),"",IF(C1753="Buy",M1753, IF(AND(C1753="Sell",J1753="NA"),(E1753*G1753*100*0.1)+I1753, IF(C1753="Sell",(J1753-L1753)*(100*G1753)+I1753))))))</f>
        <v/>
      </c>
      <c r="O1753" s="75" t="n"/>
      <c r="P1753" s="75" t="n"/>
      <c r="Q1753" s="75">
        <f>IF(ISBLANK(P1753),"",IF(D1753="Stock",P1753*G1753,IF(P1753=0,"0",G1753*P1753*100-(G1753*$AF$14))))</f>
        <v/>
      </c>
      <c r="R1753" s="79">
        <f>IF(P1753&lt;&gt;"", TODAY(), "")</f>
        <v/>
      </c>
      <c r="S1753" s="78">
        <f>IF(AND(K1753&lt;&gt;"", R1753&lt;&gt;""), R1753-K1753, "")</f>
        <v/>
      </c>
      <c r="T1753" s="78" t="n"/>
      <c r="U1753" s="92">
        <f>IF(ISBLANK(P1753),"",IF(C1753="Buy",Q1753-M1753+T1753, IF(C1753="Sell",M1753-Q1753-T1753, X)))</f>
        <v/>
      </c>
      <c r="V1753" s="81">
        <f>IF(ISBLANK(P1753),"",U1753/N1753)</f>
        <v/>
      </c>
      <c r="W1753" s="81">
        <f>IF(ISBLANK(P1753),"",IF(S1753=0,(365/0.5)*V1753,(365/S1753)*V1753))</f>
        <v/>
      </c>
      <c r="X1753" s="75" t="n"/>
      <c r="Y1753" s="77" t="n"/>
      <c r="Z1753" s="77" t="n"/>
      <c r="AA1753" s="75" t="n"/>
      <c r="AB1753" s="75" t="n"/>
      <c r="AC1753" s="6" t="n"/>
      <c r="AD1753" s="75" t="n"/>
      <c r="AE1753" s="75" t="n"/>
      <c r="AF1753" s="75" t="n"/>
    </row>
    <row r="1754" ht="15.75" customHeight="1" s="133">
      <c r="A1754" s="75" t="n"/>
      <c r="B1754" s="75" t="n"/>
      <c r="C1754" s="75" t="n"/>
      <c r="D1754" s="75" t="n"/>
      <c r="E1754" s="76" t="n"/>
      <c r="F1754" s="77" t="n"/>
      <c r="G1754" s="75" t="n"/>
      <c r="H1754" s="75">
        <f>IF(ISBLANK(E1754),"",IF(OR(D1754="Butterfly",D1754="Butterfly ",D1754="Iron Fly", D1754="Iron Fly "),LEN(E1754)-LEN(SUBSTITUTE(E1754,"/",""))+2,LEN(E1754)-LEN(SUBSTITUTE(E1754,"/",""))+1))</f>
        <v/>
      </c>
      <c r="I1754" s="78">
        <f>IF(ISBLANK(G1754),"",IF(D1754="Stock","0",Key!$A$3*H1754*G1754))</f>
        <v/>
      </c>
      <c r="J1754" s="78">
        <f>IF(ISBLANK(E1754),"",IF(ISNUMBER(SEARCH("/",E1754)), IF(LEN(E1754)-LEN(SUBSTITUTE(E1754,"/",""))=1,(RIGHT(E1754,LEN(E1754)-FIND("/",E1754)))-(LEFT(E1754,FIND("/",E1754)-1)),(MID(E1754, SEARCH("/",E1754) + 1, SEARCH("/",E1754, SEARCH("/",E1754)+1) - SEARCH("/",E1754) - 1))-(LEFT(E1754,FIND("/",E1754)-1))), "NA"))</f>
        <v/>
      </c>
      <c r="K1754" s="79">
        <f>IF(A1754&lt;&gt;"", IF(ISBLANK(L1754), TODAY(), K1754), "")</f>
        <v/>
      </c>
      <c r="L1754" s="78" t="n"/>
      <c r="M1754" s="78">
        <f>IF(ISBLANK(L1754),"",IF(D1754="Stock",IF(C1754="Buy",L1754*G1754,IF(C1754="Sell",(L1754*G1754)-I1754, X)),IF(C1754="Buy",(L1754*G1754*100)+I1754,IF(C1754="Sell",(L1754*G1754*100)-I1754, X))))</f>
        <v/>
      </c>
      <c r="N1754" s="78">
        <f>IF(ISBLANK(L1754),"",IF(AND(C1754="Sell",D1754="Stock"),M1754,IF(ISBLANK(L1754),"",IF(C1754="Buy",M1754, IF(AND(C1754="Sell",J1754="NA"),(E1754*G1754*100*0.1)+I1754, IF(C1754="Sell",(J1754-L1754)*(100*G1754)+I1754))))))</f>
        <v/>
      </c>
      <c r="O1754" s="75" t="n"/>
      <c r="P1754" s="75" t="n"/>
      <c r="Q1754" s="75">
        <f>IF(ISBLANK(P1754),"",IF(D1754="Stock",P1754*G1754,IF(P1754=0,"0",G1754*P1754*100-(G1754*$AF$14))))</f>
        <v/>
      </c>
      <c r="R1754" s="79">
        <f>IF(P1754&lt;&gt;"", TODAY(), "")</f>
        <v/>
      </c>
      <c r="S1754" s="78">
        <f>IF(AND(K1754&lt;&gt;"", R1754&lt;&gt;""), R1754-K1754, "")</f>
        <v/>
      </c>
      <c r="T1754" s="78" t="n"/>
      <c r="U1754" s="92">
        <f>IF(ISBLANK(P1754),"",IF(C1754="Buy",Q1754-M1754+T1754, IF(C1754="Sell",M1754-Q1754-T1754, X)))</f>
        <v/>
      </c>
      <c r="V1754" s="81">
        <f>IF(ISBLANK(P1754),"",U1754/N1754)</f>
        <v/>
      </c>
      <c r="W1754" s="81">
        <f>IF(ISBLANK(P1754),"",IF(S1754=0,(365/0.5)*V1754,(365/S1754)*V1754))</f>
        <v/>
      </c>
      <c r="X1754" s="75" t="n"/>
      <c r="Y1754" s="77" t="n"/>
      <c r="Z1754" s="77" t="n"/>
      <c r="AA1754" s="75" t="n"/>
      <c r="AB1754" s="75" t="n"/>
      <c r="AC1754" s="6" t="n"/>
      <c r="AD1754" s="75" t="n"/>
      <c r="AE1754" s="75" t="n"/>
      <c r="AF1754" s="75" t="n"/>
    </row>
    <row r="1755" ht="15.75" customHeight="1" s="133">
      <c r="A1755" s="75" t="n"/>
      <c r="B1755" s="75" t="n"/>
      <c r="C1755" s="75" t="n"/>
      <c r="D1755" s="75" t="n"/>
      <c r="E1755" s="76" t="n"/>
      <c r="F1755" s="77" t="n"/>
      <c r="G1755" s="75" t="n"/>
      <c r="H1755" s="75">
        <f>IF(ISBLANK(E1755),"",IF(OR(D1755="Butterfly",D1755="Butterfly ",D1755="Iron Fly", D1755="Iron Fly "),LEN(E1755)-LEN(SUBSTITUTE(E1755,"/",""))+2,LEN(E1755)-LEN(SUBSTITUTE(E1755,"/",""))+1))</f>
        <v/>
      </c>
      <c r="I1755" s="78">
        <f>IF(ISBLANK(G1755),"",IF(D1755="Stock","0",Key!$A$3*H1755*G1755))</f>
        <v/>
      </c>
      <c r="J1755" s="78">
        <f>IF(ISBLANK(E1755),"",IF(ISNUMBER(SEARCH("/",E1755)), IF(LEN(E1755)-LEN(SUBSTITUTE(E1755,"/",""))=1,(RIGHT(E1755,LEN(E1755)-FIND("/",E1755)))-(LEFT(E1755,FIND("/",E1755)-1)),(MID(E1755, SEARCH("/",E1755) + 1, SEARCH("/",E1755, SEARCH("/",E1755)+1) - SEARCH("/",E1755) - 1))-(LEFT(E1755,FIND("/",E1755)-1))), "NA"))</f>
        <v/>
      </c>
      <c r="K1755" s="79">
        <f>IF(A1755&lt;&gt;"", IF(ISBLANK(L1755), TODAY(), K1755), "")</f>
        <v/>
      </c>
      <c r="L1755" s="78" t="n"/>
      <c r="M1755" s="78">
        <f>IF(ISBLANK(L1755),"",IF(D1755="Stock",IF(C1755="Buy",L1755*G1755,IF(C1755="Sell",(L1755*G1755)-I1755, X)),IF(C1755="Buy",(L1755*G1755*100)+I1755,IF(C1755="Sell",(L1755*G1755*100)-I1755, X))))</f>
        <v/>
      </c>
      <c r="N1755" s="78">
        <f>IF(ISBLANK(L1755),"",IF(AND(C1755="Sell",D1755="Stock"),M1755,IF(ISBLANK(L1755),"",IF(C1755="Buy",M1755, IF(AND(C1755="Sell",J1755="NA"),(E1755*G1755*100*0.1)+I1755, IF(C1755="Sell",(J1755-L1755)*(100*G1755)+I1755))))))</f>
        <v/>
      </c>
      <c r="O1755" s="75" t="n"/>
      <c r="P1755" s="75" t="n"/>
      <c r="Q1755" s="75">
        <f>IF(ISBLANK(P1755),"",IF(D1755="Stock",P1755*G1755,IF(P1755=0,"0",G1755*P1755*100-(G1755*$AF$14))))</f>
        <v/>
      </c>
      <c r="R1755" s="79">
        <f>IF(P1755&lt;&gt;"", TODAY(), "")</f>
        <v/>
      </c>
      <c r="S1755" s="78">
        <f>IF(AND(K1755&lt;&gt;"", R1755&lt;&gt;""), R1755-K1755, "")</f>
        <v/>
      </c>
      <c r="T1755" s="78" t="n"/>
      <c r="U1755" s="92">
        <f>IF(ISBLANK(P1755),"",IF(C1755="Buy",Q1755-M1755+T1755, IF(C1755="Sell",M1755-Q1755-T1755, X)))</f>
        <v/>
      </c>
      <c r="V1755" s="81">
        <f>IF(ISBLANK(P1755),"",U1755/N1755)</f>
        <v/>
      </c>
      <c r="W1755" s="81">
        <f>IF(ISBLANK(P1755),"",IF(S1755=0,(365/0.5)*V1755,(365/S1755)*V1755))</f>
        <v/>
      </c>
      <c r="X1755" s="75" t="n"/>
      <c r="Y1755" s="77" t="n"/>
      <c r="Z1755" s="77" t="n"/>
      <c r="AA1755" s="75" t="n"/>
      <c r="AB1755" s="75" t="n"/>
      <c r="AC1755" s="6" t="n"/>
      <c r="AD1755" s="75" t="n"/>
      <c r="AE1755" s="75" t="n"/>
      <c r="AF1755" s="75" t="n"/>
    </row>
    <row r="1756" ht="15.75" customHeight="1" s="133">
      <c r="A1756" s="75" t="n"/>
      <c r="B1756" s="75" t="n"/>
      <c r="C1756" s="75" t="n"/>
      <c r="D1756" s="75" t="n"/>
      <c r="E1756" s="76" t="n"/>
      <c r="F1756" s="77" t="n"/>
      <c r="G1756" s="75" t="n"/>
      <c r="H1756" s="75">
        <f>IF(ISBLANK(E1756),"",IF(OR(D1756="Butterfly",D1756="Butterfly ",D1756="Iron Fly", D1756="Iron Fly "),LEN(E1756)-LEN(SUBSTITUTE(E1756,"/",""))+2,LEN(E1756)-LEN(SUBSTITUTE(E1756,"/",""))+1))</f>
        <v/>
      </c>
      <c r="I1756" s="78">
        <f>IF(ISBLANK(G1756),"",IF(D1756="Stock","0",Key!$A$3*H1756*G1756))</f>
        <v/>
      </c>
      <c r="J1756" s="78">
        <f>IF(ISBLANK(E1756),"",IF(ISNUMBER(SEARCH("/",E1756)), IF(LEN(E1756)-LEN(SUBSTITUTE(E1756,"/",""))=1,(RIGHT(E1756,LEN(E1756)-FIND("/",E1756)))-(LEFT(E1756,FIND("/",E1756)-1)),(MID(E1756, SEARCH("/",E1756) + 1, SEARCH("/",E1756, SEARCH("/",E1756)+1) - SEARCH("/",E1756) - 1))-(LEFT(E1756,FIND("/",E1756)-1))), "NA"))</f>
        <v/>
      </c>
      <c r="K1756" s="79">
        <f>IF(A1756&lt;&gt;"", IF(ISBLANK(L1756), TODAY(), K1756), "")</f>
        <v/>
      </c>
      <c r="L1756" s="78" t="n"/>
      <c r="M1756" s="78">
        <f>IF(ISBLANK(L1756),"",IF(D1756="Stock",IF(C1756="Buy",L1756*G1756,IF(C1756="Sell",(L1756*G1756)-I1756, X)),IF(C1756="Buy",(L1756*G1756*100)+I1756,IF(C1756="Sell",(L1756*G1756*100)-I1756, X))))</f>
        <v/>
      </c>
      <c r="N1756" s="78">
        <f>IF(ISBLANK(L1756),"",IF(AND(C1756="Sell",D1756="Stock"),M1756,IF(ISBLANK(L1756),"",IF(C1756="Buy",M1756, IF(AND(C1756="Sell",J1756="NA"),(E1756*G1756*100*0.1)+I1756, IF(C1756="Sell",(J1756-L1756)*(100*G1756)+I1756))))))</f>
        <v/>
      </c>
      <c r="O1756" s="75" t="n"/>
      <c r="P1756" s="75" t="n"/>
      <c r="Q1756" s="75">
        <f>IF(ISBLANK(P1756),"",IF(D1756="Stock",P1756*G1756,IF(P1756=0,"0",G1756*P1756*100-(G1756*$AF$14))))</f>
        <v/>
      </c>
      <c r="R1756" s="79">
        <f>IF(P1756&lt;&gt;"", TODAY(), "")</f>
        <v/>
      </c>
      <c r="S1756" s="78">
        <f>IF(AND(K1756&lt;&gt;"", R1756&lt;&gt;""), R1756-K1756, "")</f>
        <v/>
      </c>
      <c r="T1756" s="78" t="n"/>
      <c r="U1756" s="92">
        <f>IF(ISBLANK(P1756),"",IF(C1756="Buy",Q1756-M1756+T1756, IF(C1756="Sell",M1756-Q1756-T1756, X)))</f>
        <v/>
      </c>
      <c r="V1756" s="81">
        <f>IF(ISBLANK(P1756),"",U1756/N1756)</f>
        <v/>
      </c>
      <c r="W1756" s="81">
        <f>IF(ISBLANK(P1756),"",IF(S1756=0,(365/0.5)*V1756,(365/S1756)*V1756))</f>
        <v/>
      </c>
      <c r="X1756" s="75" t="n"/>
      <c r="Y1756" s="77" t="n"/>
      <c r="Z1756" s="77" t="n"/>
      <c r="AA1756" s="75" t="n"/>
      <c r="AB1756" s="75" t="n"/>
      <c r="AC1756" s="6" t="n"/>
      <c r="AD1756" s="75" t="n"/>
      <c r="AE1756" s="75" t="n"/>
      <c r="AF1756" s="75" t="n"/>
    </row>
    <row r="1757" ht="15.75" customHeight="1" s="133">
      <c r="A1757" s="75" t="n"/>
      <c r="B1757" s="75" t="n"/>
      <c r="C1757" s="75" t="n"/>
      <c r="D1757" s="75" t="n"/>
      <c r="E1757" s="76" t="n"/>
      <c r="F1757" s="77" t="n"/>
      <c r="G1757" s="75" t="n"/>
      <c r="H1757" s="75">
        <f>IF(ISBLANK(E1757),"",IF(OR(D1757="Butterfly",D1757="Butterfly ",D1757="Iron Fly", D1757="Iron Fly "),LEN(E1757)-LEN(SUBSTITUTE(E1757,"/",""))+2,LEN(E1757)-LEN(SUBSTITUTE(E1757,"/",""))+1))</f>
        <v/>
      </c>
      <c r="I1757" s="78">
        <f>IF(ISBLANK(G1757),"",IF(D1757="Stock","0",Key!$A$3*H1757*G1757))</f>
        <v/>
      </c>
      <c r="J1757" s="78">
        <f>IF(ISBLANK(E1757),"",IF(ISNUMBER(SEARCH("/",E1757)), IF(LEN(E1757)-LEN(SUBSTITUTE(E1757,"/",""))=1,(RIGHT(E1757,LEN(E1757)-FIND("/",E1757)))-(LEFT(E1757,FIND("/",E1757)-1)),(MID(E1757, SEARCH("/",E1757) + 1, SEARCH("/",E1757, SEARCH("/",E1757)+1) - SEARCH("/",E1757) - 1))-(LEFT(E1757,FIND("/",E1757)-1))), "NA"))</f>
        <v/>
      </c>
      <c r="K1757" s="79">
        <f>IF(A1757&lt;&gt;"", IF(ISBLANK(L1757), TODAY(), K1757), "")</f>
        <v/>
      </c>
      <c r="L1757" s="78" t="n"/>
      <c r="M1757" s="78">
        <f>IF(ISBLANK(L1757),"",IF(D1757="Stock",IF(C1757="Buy",L1757*G1757,IF(C1757="Sell",(L1757*G1757)-I1757, X)),IF(C1757="Buy",(L1757*G1757*100)+I1757,IF(C1757="Sell",(L1757*G1757*100)-I1757, X))))</f>
        <v/>
      </c>
      <c r="N1757" s="78">
        <f>IF(ISBLANK(L1757),"",IF(AND(C1757="Sell",D1757="Stock"),M1757,IF(ISBLANK(L1757),"",IF(C1757="Buy",M1757, IF(AND(C1757="Sell",J1757="NA"),(E1757*G1757*100*0.1)+I1757, IF(C1757="Sell",(J1757-L1757)*(100*G1757)+I1757))))))</f>
        <v/>
      </c>
      <c r="O1757" s="75" t="n"/>
      <c r="P1757" s="75" t="n"/>
      <c r="Q1757" s="75">
        <f>IF(ISBLANK(P1757),"",IF(D1757="Stock",P1757*G1757,IF(P1757=0,"0",G1757*P1757*100-(G1757*$AF$14))))</f>
        <v/>
      </c>
      <c r="R1757" s="79">
        <f>IF(P1757&lt;&gt;"", TODAY(), "")</f>
        <v/>
      </c>
      <c r="S1757" s="78">
        <f>IF(AND(K1757&lt;&gt;"", R1757&lt;&gt;""), R1757-K1757, "")</f>
        <v/>
      </c>
      <c r="T1757" s="78" t="n"/>
      <c r="U1757" s="92">
        <f>IF(ISBLANK(P1757),"",IF(C1757="Buy",Q1757-M1757+T1757, IF(C1757="Sell",M1757-Q1757-T1757, X)))</f>
        <v/>
      </c>
      <c r="V1757" s="81">
        <f>IF(ISBLANK(P1757),"",U1757/N1757)</f>
        <v/>
      </c>
      <c r="W1757" s="81">
        <f>IF(ISBLANK(P1757),"",IF(S1757=0,(365/0.5)*V1757,(365/S1757)*V1757))</f>
        <v/>
      </c>
      <c r="X1757" s="75" t="n"/>
      <c r="Y1757" s="77" t="n"/>
      <c r="Z1757" s="77" t="n"/>
      <c r="AA1757" s="75" t="n"/>
      <c r="AB1757" s="75" t="n"/>
      <c r="AC1757" s="6" t="n"/>
      <c r="AD1757" s="75" t="n"/>
      <c r="AE1757" s="75" t="n"/>
      <c r="AF1757" s="75" t="n"/>
    </row>
    <row r="1758" ht="15.75" customHeight="1" s="133">
      <c r="A1758" s="75" t="n"/>
      <c r="B1758" s="75" t="n"/>
      <c r="C1758" s="75" t="n"/>
      <c r="D1758" s="75" t="n"/>
      <c r="E1758" s="76" t="n"/>
      <c r="F1758" s="77" t="n"/>
      <c r="G1758" s="75" t="n"/>
      <c r="H1758" s="75">
        <f>IF(ISBLANK(E1758),"",IF(OR(D1758="Butterfly",D1758="Butterfly ",D1758="Iron Fly", D1758="Iron Fly "),LEN(E1758)-LEN(SUBSTITUTE(E1758,"/",""))+2,LEN(E1758)-LEN(SUBSTITUTE(E1758,"/",""))+1))</f>
        <v/>
      </c>
      <c r="I1758" s="78">
        <f>IF(ISBLANK(G1758),"",IF(D1758="Stock","0",Key!$A$3*H1758*G1758))</f>
        <v/>
      </c>
      <c r="J1758" s="78">
        <f>IF(ISBLANK(E1758),"",IF(ISNUMBER(SEARCH("/",E1758)), IF(LEN(E1758)-LEN(SUBSTITUTE(E1758,"/",""))=1,(RIGHT(E1758,LEN(E1758)-FIND("/",E1758)))-(LEFT(E1758,FIND("/",E1758)-1)),(MID(E1758, SEARCH("/",E1758) + 1, SEARCH("/",E1758, SEARCH("/",E1758)+1) - SEARCH("/",E1758) - 1))-(LEFT(E1758,FIND("/",E1758)-1))), "NA"))</f>
        <v/>
      </c>
      <c r="K1758" s="79">
        <f>IF(A1758&lt;&gt;"", IF(ISBLANK(L1758), TODAY(), K1758), "")</f>
        <v/>
      </c>
      <c r="L1758" s="78" t="n"/>
      <c r="M1758" s="78">
        <f>IF(ISBLANK(L1758),"",IF(D1758="Stock",IF(C1758="Buy",L1758*G1758,IF(C1758="Sell",(L1758*G1758)-I1758, X)),IF(C1758="Buy",(L1758*G1758*100)+I1758,IF(C1758="Sell",(L1758*G1758*100)-I1758, X))))</f>
        <v/>
      </c>
      <c r="N1758" s="78">
        <f>IF(ISBLANK(L1758),"",IF(AND(C1758="Sell",D1758="Stock"),M1758,IF(ISBLANK(L1758),"",IF(C1758="Buy",M1758, IF(AND(C1758="Sell",J1758="NA"),(E1758*G1758*100*0.1)+I1758, IF(C1758="Sell",(J1758-L1758)*(100*G1758)+I1758))))))</f>
        <v/>
      </c>
      <c r="O1758" s="75" t="n"/>
      <c r="P1758" s="75" t="n"/>
      <c r="Q1758" s="75">
        <f>IF(ISBLANK(P1758),"",IF(D1758="Stock",P1758*G1758,IF(P1758=0,"0",G1758*P1758*100-(G1758*$AF$14))))</f>
        <v/>
      </c>
      <c r="R1758" s="79">
        <f>IF(P1758&lt;&gt;"", TODAY(), "")</f>
        <v/>
      </c>
      <c r="S1758" s="78">
        <f>IF(AND(K1758&lt;&gt;"", R1758&lt;&gt;""), R1758-K1758, "")</f>
        <v/>
      </c>
      <c r="T1758" s="78" t="n"/>
      <c r="U1758" s="92">
        <f>IF(ISBLANK(P1758),"",IF(C1758="Buy",Q1758-M1758+T1758, IF(C1758="Sell",M1758-Q1758-T1758, X)))</f>
        <v/>
      </c>
      <c r="V1758" s="81">
        <f>IF(ISBLANK(P1758),"",U1758/N1758)</f>
        <v/>
      </c>
      <c r="W1758" s="81">
        <f>IF(ISBLANK(P1758),"",IF(S1758=0,(365/0.5)*V1758,(365/S1758)*V1758))</f>
        <v/>
      </c>
      <c r="X1758" s="75" t="n"/>
      <c r="Y1758" s="77" t="n"/>
      <c r="Z1758" s="77" t="n"/>
      <c r="AA1758" s="75" t="n"/>
      <c r="AB1758" s="75" t="n"/>
      <c r="AC1758" s="6" t="n"/>
      <c r="AD1758" s="75" t="n"/>
      <c r="AE1758" s="75" t="n"/>
      <c r="AF1758" s="75" t="n"/>
    </row>
    <row r="1759" ht="15.75" customHeight="1" s="133">
      <c r="A1759" s="75" t="n"/>
      <c r="B1759" s="75" t="n"/>
      <c r="C1759" s="75" t="n"/>
      <c r="D1759" s="75" t="n"/>
      <c r="E1759" s="76" t="n"/>
      <c r="F1759" s="77" t="n"/>
      <c r="G1759" s="75" t="n"/>
      <c r="H1759" s="75">
        <f>IF(ISBLANK(E1759),"",IF(OR(D1759="Butterfly",D1759="Butterfly ",D1759="Iron Fly", D1759="Iron Fly "),LEN(E1759)-LEN(SUBSTITUTE(E1759,"/",""))+2,LEN(E1759)-LEN(SUBSTITUTE(E1759,"/",""))+1))</f>
        <v/>
      </c>
      <c r="I1759" s="78">
        <f>IF(ISBLANK(G1759),"",IF(D1759="Stock","0",Key!$A$3*H1759*G1759))</f>
        <v/>
      </c>
      <c r="J1759" s="78">
        <f>IF(ISBLANK(E1759),"",IF(ISNUMBER(SEARCH("/",E1759)), IF(LEN(E1759)-LEN(SUBSTITUTE(E1759,"/",""))=1,(RIGHT(E1759,LEN(E1759)-FIND("/",E1759)))-(LEFT(E1759,FIND("/",E1759)-1)),(MID(E1759, SEARCH("/",E1759) + 1, SEARCH("/",E1759, SEARCH("/",E1759)+1) - SEARCH("/",E1759) - 1))-(LEFT(E1759,FIND("/",E1759)-1))), "NA"))</f>
        <v/>
      </c>
      <c r="K1759" s="79">
        <f>IF(A1759&lt;&gt;"", IF(ISBLANK(L1759), TODAY(), K1759), "")</f>
        <v/>
      </c>
      <c r="L1759" s="78" t="n"/>
      <c r="M1759" s="78">
        <f>IF(ISBLANK(L1759),"",IF(D1759="Stock",IF(C1759="Buy",L1759*G1759,IF(C1759="Sell",(L1759*G1759)-I1759, X)),IF(C1759="Buy",(L1759*G1759*100)+I1759,IF(C1759="Sell",(L1759*G1759*100)-I1759, X))))</f>
        <v/>
      </c>
      <c r="N1759" s="78">
        <f>IF(ISBLANK(L1759),"",IF(AND(C1759="Sell",D1759="Stock"),M1759,IF(ISBLANK(L1759),"",IF(C1759="Buy",M1759, IF(AND(C1759="Sell",J1759="NA"),(E1759*G1759*100*0.1)+I1759, IF(C1759="Sell",(J1759-L1759)*(100*G1759)+I1759))))))</f>
        <v/>
      </c>
      <c r="O1759" s="75" t="n"/>
      <c r="P1759" s="75" t="n"/>
      <c r="Q1759" s="75">
        <f>IF(ISBLANK(P1759),"",IF(D1759="Stock",P1759*G1759,IF(P1759=0,"0",G1759*P1759*100-(G1759*$AF$14))))</f>
        <v/>
      </c>
      <c r="R1759" s="79">
        <f>IF(P1759&lt;&gt;"", TODAY(), "")</f>
        <v/>
      </c>
      <c r="S1759" s="78">
        <f>IF(AND(K1759&lt;&gt;"", R1759&lt;&gt;""), R1759-K1759, "")</f>
        <v/>
      </c>
      <c r="T1759" s="78" t="n"/>
      <c r="U1759" s="92">
        <f>IF(ISBLANK(P1759),"",IF(C1759="Buy",Q1759-M1759+T1759, IF(C1759="Sell",M1759-Q1759-T1759, X)))</f>
        <v/>
      </c>
      <c r="V1759" s="81">
        <f>IF(ISBLANK(P1759),"",U1759/N1759)</f>
        <v/>
      </c>
      <c r="W1759" s="81">
        <f>IF(ISBLANK(P1759),"",IF(S1759=0,(365/0.5)*V1759,(365/S1759)*V1759))</f>
        <v/>
      </c>
      <c r="X1759" s="75" t="n"/>
      <c r="Y1759" s="77" t="n"/>
      <c r="Z1759" s="77" t="n"/>
      <c r="AA1759" s="75" t="n"/>
      <c r="AB1759" s="75" t="n"/>
      <c r="AC1759" s="6" t="n"/>
      <c r="AD1759" s="75" t="n"/>
      <c r="AE1759" s="75" t="n"/>
      <c r="AF1759" s="75" t="n"/>
    </row>
    <row r="1760" ht="15.75" customHeight="1" s="133">
      <c r="A1760" s="75" t="n"/>
      <c r="B1760" s="75" t="n"/>
      <c r="C1760" s="75" t="n"/>
      <c r="D1760" s="75" t="n"/>
      <c r="E1760" s="76" t="n"/>
      <c r="F1760" s="77" t="n"/>
      <c r="G1760" s="75" t="n"/>
      <c r="H1760" s="75">
        <f>IF(ISBLANK(E1760),"",IF(OR(D1760="Butterfly",D1760="Butterfly ",D1760="Iron Fly", D1760="Iron Fly "),LEN(E1760)-LEN(SUBSTITUTE(E1760,"/",""))+2,LEN(E1760)-LEN(SUBSTITUTE(E1760,"/",""))+1))</f>
        <v/>
      </c>
      <c r="I1760" s="78">
        <f>IF(ISBLANK(G1760),"",IF(D1760="Stock","0",Key!$A$3*H1760*G1760))</f>
        <v/>
      </c>
      <c r="J1760" s="78">
        <f>IF(ISBLANK(E1760),"",IF(ISNUMBER(SEARCH("/",E1760)), IF(LEN(E1760)-LEN(SUBSTITUTE(E1760,"/",""))=1,(RIGHT(E1760,LEN(E1760)-FIND("/",E1760)))-(LEFT(E1760,FIND("/",E1760)-1)),(MID(E1760, SEARCH("/",E1760) + 1, SEARCH("/",E1760, SEARCH("/",E1760)+1) - SEARCH("/",E1760) - 1))-(LEFT(E1760,FIND("/",E1760)-1))), "NA"))</f>
        <v/>
      </c>
      <c r="K1760" s="79">
        <f>IF(A1760&lt;&gt;"", IF(ISBLANK(L1760), TODAY(), K1760), "")</f>
        <v/>
      </c>
      <c r="L1760" s="78" t="n"/>
      <c r="M1760" s="78">
        <f>IF(ISBLANK(L1760),"",IF(D1760="Stock",IF(C1760="Buy",L1760*G1760,IF(C1760="Sell",(L1760*G1760)-I1760, X)),IF(C1760="Buy",(L1760*G1760*100)+I1760,IF(C1760="Sell",(L1760*G1760*100)-I1760, X))))</f>
        <v/>
      </c>
      <c r="N1760" s="78">
        <f>IF(ISBLANK(L1760),"",IF(AND(C1760="Sell",D1760="Stock"),M1760,IF(ISBLANK(L1760),"",IF(C1760="Buy",M1760, IF(AND(C1760="Sell",J1760="NA"),(E1760*G1760*100*0.1)+I1760, IF(C1760="Sell",(J1760-L1760)*(100*G1760)+I1760))))))</f>
        <v/>
      </c>
      <c r="O1760" s="75" t="n"/>
      <c r="P1760" s="75" t="n"/>
      <c r="Q1760" s="75">
        <f>IF(ISBLANK(P1760),"",IF(D1760="Stock",P1760*G1760,IF(P1760=0,"0",G1760*P1760*100-(G1760*$AF$14))))</f>
        <v/>
      </c>
      <c r="R1760" s="79">
        <f>IF(P1760&lt;&gt;"", TODAY(), "")</f>
        <v/>
      </c>
      <c r="S1760" s="78">
        <f>IF(AND(K1760&lt;&gt;"", R1760&lt;&gt;""), R1760-K1760, "")</f>
        <v/>
      </c>
      <c r="T1760" s="78" t="n"/>
      <c r="U1760" s="92">
        <f>IF(ISBLANK(P1760),"",IF(C1760="Buy",Q1760-M1760+T1760, IF(C1760="Sell",M1760-Q1760-T1760, X)))</f>
        <v/>
      </c>
      <c r="V1760" s="81">
        <f>IF(ISBLANK(P1760),"",U1760/N1760)</f>
        <v/>
      </c>
      <c r="W1760" s="81">
        <f>IF(ISBLANK(P1760),"",IF(S1760=0,(365/0.5)*V1760,(365/S1760)*V1760))</f>
        <v/>
      </c>
      <c r="X1760" s="75" t="n"/>
      <c r="Y1760" s="77" t="n"/>
      <c r="Z1760" s="77" t="n"/>
      <c r="AA1760" s="75" t="n"/>
      <c r="AB1760" s="75" t="n"/>
      <c r="AC1760" s="6" t="n"/>
      <c r="AD1760" s="75" t="n"/>
      <c r="AE1760" s="75" t="n"/>
      <c r="AF1760" s="75" t="n"/>
    </row>
    <row r="1761" ht="15.75" customHeight="1" s="133">
      <c r="A1761" s="75" t="n"/>
      <c r="B1761" s="75" t="n"/>
      <c r="C1761" s="75" t="n"/>
      <c r="D1761" s="75" t="n"/>
      <c r="E1761" s="76" t="n"/>
      <c r="F1761" s="77" t="n"/>
      <c r="G1761" s="75" t="n"/>
      <c r="H1761" s="75">
        <f>IF(ISBLANK(E1761),"",IF(OR(D1761="Butterfly",D1761="Butterfly ",D1761="Iron Fly", D1761="Iron Fly "),LEN(E1761)-LEN(SUBSTITUTE(E1761,"/",""))+2,LEN(E1761)-LEN(SUBSTITUTE(E1761,"/",""))+1))</f>
        <v/>
      </c>
      <c r="I1761" s="78">
        <f>IF(ISBLANK(G1761),"",IF(D1761="Stock","0",Key!$A$3*H1761*G1761))</f>
        <v/>
      </c>
      <c r="J1761" s="78">
        <f>IF(ISBLANK(E1761),"",IF(ISNUMBER(SEARCH("/",E1761)), IF(LEN(E1761)-LEN(SUBSTITUTE(E1761,"/",""))=1,(RIGHT(E1761,LEN(E1761)-FIND("/",E1761)))-(LEFT(E1761,FIND("/",E1761)-1)),(MID(E1761, SEARCH("/",E1761) + 1, SEARCH("/",E1761, SEARCH("/",E1761)+1) - SEARCH("/",E1761) - 1))-(LEFT(E1761,FIND("/",E1761)-1))), "NA"))</f>
        <v/>
      </c>
      <c r="K1761" s="79">
        <f>IF(A1761&lt;&gt;"", IF(ISBLANK(L1761), TODAY(), K1761), "")</f>
        <v/>
      </c>
      <c r="L1761" s="78" t="n"/>
      <c r="M1761" s="78">
        <f>IF(ISBLANK(L1761),"",IF(D1761="Stock",IF(C1761="Buy",L1761*G1761,IF(C1761="Sell",(L1761*G1761)-I1761, X)),IF(C1761="Buy",(L1761*G1761*100)+I1761,IF(C1761="Sell",(L1761*G1761*100)-I1761, X))))</f>
        <v/>
      </c>
      <c r="N1761" s="78">
        <f>IF(ISBLANK(L1761),"",IF(AND(C1761="Sell",D1761="Stock"),M1761,IF(ISBLANK(L1761),"",IF(C1761="Buy",M1761, IF(AND(C1761="Sell",J1761="NA"),(E1761*G1761*100*0.1)+I1761, IF(C1761="Sell",(J1761-L1761)*(100*G1761)+I1761))))))</f>
        <v/>
      </c>
      <c r="O1761" s="75" t="n"/>
      <c r="P1761" s="75" t="n"/>
      <c r="Q1761" s="75">
        <f>IF(ISBLANK(P1761),"",IF(D1761="Stock",P1761*G1761,IF(P1761=0,"0",G1761*P1761*100-(G1761*$AF$14))))</f>
        <v/>
      </c>
      <c r="R1761" s="79">
        <f>IF(P1761&lt;&gt;"", TODAY(), "")</f>
        <v/>
      </c>
      <c r="S1761" s="78">
        <f>IF(AND(K1761&lt;&gt;"", R1761&lt;&gt;""), R1761-K1761, "")</f>
        <v/>
      </c>
      <c r="T1761" s="78" t="n"/>
      <c r="U1761" s="92">
        <f>IF(ISBLANK(P1761),"",IF(C1761="Buy",Q1761-M1761+T1761, IF(C1761="Sell",M1761-Q1761-T1761, X)))</f>
        <v/>
      </c>
      <c r="V1761" s="81">
        <f>IF(ISBLANK(P1761),"",U1761/N1761)</f>
        <v/>
      </c>
      <c r="W1761" s="81">
        <f>IF(ISBLANK(P1761),"",IF(S1761=0,(365/0.5)*V1761,(365/S1761)*V1761))</f>
        <v/>
      </c>
      <c r="X1761" s="75" t="n"/>
      <c r="Y1761" s="77" t="n"/>
      <c r="Z1761" s="77" t="n"/>
      <c r="AA1761" s="75" t="n"/>
      <c r="AB1761" s="75" t="n"/>
      <c r="AC1761" s="6" t="n"/>
      <c r="AD1761" s="75" t="n"/>
      <c r="AE1761" s="75" t="n"/>
      <c r="AF1761" s="75" t="n"/>
    </row>
    <row r="1762" ht="15.75" customHeight="1" s="133">
      <c r="A1762" s="75" t="n"/>
      <c r="B1762" s="75" t="n"/>
      <c r="C1762" s="75" t="n"/>
      <c r="D1762" s="75" t="n"/>
      <c r="E1762" s="76" t="n"/>
      <c r="F1762" s="77" t="n"/>
      <c r="G1762" s="75" t="n"/>
      <c r="H1762" s="75">
        <f>IF(ISBLANK(E1762),"",IF(OR(D1762="Butterfly",D1762="Butterfly ",D1762="Iron Fly", D1762="Iron Fly "),LEN(E1762)-LEN(SUBSTITUTE(E1762,"/",""))+2,LEN(E1762)-LEN(SUBSTITUTE(E1762,"/",""))+1))</f>
        <v/>
      </c>
      <c r="I1762" s="78">
        <f>IF(ISBLANK(G1762),"",IF(D1762="Stock","0",Key!$A$3*H1762*G1762))</f>
        <v/>
      </c>
      <c r="J1762" s="78">
        <f>IF(ISBLANK(E1762),"",IF(ISNUMBER(SEARCH("/",E1762)), IF(LEN(E1762)-LEN(SUBSTITUTE(E1762,"/",""))=1,(RIGHT(E1762,LEN(E1762)-FIND("/",E1762)))-(LEFT(E1762,FIND("/",E1762)-1)),(MID(E1762, SEARCH("/",E1762) + 1, SEARCH("/",E1762, SEARCH("/",E1762)+1) - SEARCH("/",E1762) - 1))-(LEFT(E1762,FIND("/",E1762)-1))), "NA"))</f>
        <v/>
      </c>
      <c r="K1762" s="79">
        <f>IF(A1762&lt;&gt;"", IF(ISBLANK(L1762), TODAY(), K1762), "")</f>
        <v/>
      </c>
      <c r="L1762" s="78" t="n"/>
      <c r="M1762" s="78">
        <f>IF(ISBLANK(L1762),"",IF(D1762="Stock",IF(C1762="Buy",L1762*G1762,IF(C1762="Sell",(L1762*G1762)-I1762, X)),IF(C1762="Buy",(L1762*G1762*100)+I1762,IF(C1762="Sell",(L1762*G1762*100)-I1762, X))))</f>
        <v/>
      </c>
      <c r="N1762" s="78">
        <f>IF(ISBLANK(L1762),"",IF(AND(C1762="Sell",D1762="Stock"),M1762,IF(ISBLANK(L1762),"",IF(C1762="Buy",M1762, IF(AND(C1762="Sell",J1762="NA"),(E1762*G1762*100*0.1)+I1762, IF(C1762="Sell",(J1762-L1762)*(100*G1762)+I1762))))))</f>
        <v/>
      </c>
      <c r="O1762" s="75" t="n"/>
      <c r="P1762" s="75" t="n"/>
      <c r="Q1762" s="75">
        <f>IF(ISBLANK(P1762),"",IF(D1762="Stock",P1762*G1762,IF(P1762=0,"0",G1762*P1762*100-(G1762*$AF$14))))</f>
        <v/>
      </c>
      <c r="R1762" s="79">
        <f>IF(P1762&lt;&gt;"", TODAY(), "")</f>
        <v/>
      </c>
      <c r="S1762" s="78">
        <f>IF(AND(K1762&lt;&gt;"", R1762&lt;&gt;""), R1762-K1762, "")</f>
        <v/>
      </c>
      <c r="T1762" s="78" t="n"/>
      <c r="U1762" s="92">
        <f>IF(ISBLANK(P1762),"",IF(C1762="Buy",Q1762-M1762+T1762, IF(C1762="Sell",M1762-Q1762-T1762, X)))</f>
        <v/>
      </c>
      <c r="V1762" s="81">
        <f>IF(ISBLANK(P1762),"",U1762/N1762)</f>
        <v/>
      </c>
      <c r="W1762" s="81">
        <f>IF(ISBLANK(P1762),"",IF(S1762=0,(365/0.5)*V1762,(365/S1762)*V1762))</f>
        <v/>
      </c>
      <c r="X1762" s="75" t="n"/>
      <c r="Y1762" s="77" t="n"/>
      <c r="Z1762" s="77" t="n"/>
      <c r="AA1762" s="75" t="n"/>
      <c r="AB1762" s="75" t="n"/>
      <c r="AC1762" s="6" t="n"/>
      <c r="AD1762" s="75" t="n"/>
      <c r="AE1762" s="75" t="n"/>
      <c r="AF1762" s="75" t="n"/>
    </row>
    <row r="1763" ht="15.75" customHeight="1" s="133">
      <c r="A1763" s="75" t="n"/>
      <c r="B1763" s="75" t="n"/>
      <c r="C1763" s="75" t="n"/>
      <c r="D1763" s="75" t="n"/>
      <c r="E1763" s="76" t="n"/>
      <c r="F1763" s="77" t="n"/>
      <c r="G1763" s="75" t="n"/>
      <c r="H1763" s="75">
        <f>IF(ISBLANK(E1763),"",IF(OR(D1763="Butterfly",D1763="Butterfly ",D1763="Iron Fly", D1763="Iron Fly "),LEN(E1763)-LEN(SUBSTITUTE(E1763,"/",""))+2,LEN(E1763)-LEN(SUBSTITUTE(E1763,"/",""))+1))</f>
        <v/>
      </c>
      <c r="I1763" s="78">
        <f>IF(ISBLANK(G1763),"",IF(D1763="Stock","0",Key!$A$3*H1763*G1763))</f>
        <v/>
      </c>
      <c r="J1763" s="78">
        <f>IF(ISBLANK(E1763),"",IF(ISNUMBER(SEARCH("/",E1763)), IF(LEN(E1763)-LEN(SUBSTITUTE(E1763,"/",""))=1,(RIGHT(E1763,LEN(E1763)-FIND("/",E1763)))-(LEFT(E1763,FIND("/",E1763)-1)),(MID(E1763, SEARCH("/",E1763) + 1, SEARCH("/",E1763, SEARCH("/",E1763)+1) - SEARCH("/",E1763) - 1))-(LEFT(E1763,FIND("/",E1763)-1))), "NA"))</f>
        <v/>
      </c>
      <c r="K1763" s="79">
        <f>IF(A1763&lt;&gt;"", IF(ISBLANK(L1763), TODAY(), K1763), "")</f>
        <v/>
      </c>
      <c r="L1763" s="78" t="n"/>
      <c r="M1763" s="78">
        <f>IF(ISBLANK(L1763),"",IF(D1763="Stock",IF(C1763="Buy",L1763*G1763,IF(C1763="Sell",(L1763*G1763)-I1763, X)),IF(C1763="Buy",(L1763*G1763*100)+I1763,IF(C1763="Sell",(L1763*G1763*100)-I1763, X))))</f>
        <v/>
      </c>
      <c r="N1763" s="78">
        <f>IF(ISBLANK(L1763),"",IF(AND(C1763="Sell",D1763="Stock"),M1763,IF(ISBLANK(L1763),"",IF(C1763="Buy",M1763, IF(AND(C1763="Sell",J1763="NA"),(E1763*G1763*100*0.1)+I1763, IF(C1763="Sell",(J1763-L1763)*(100*G1763)+I1763))))))</f>
        <v/>
      </c>
      <c r="O1763" s="75" t="n"/>
      <c r="P1763" s="75" t="n"/>
      <c r="Q1763" s="75">
        <f>IF(ISBLANK(P1763),"",IF(D1763="Stock",P1763*G1763,IF(P1763=0,"0",G1763*P1763*100-(G1763*$AF$14))))</f>
        <v/>
      </c>
      <c r="R1763" s="79">
        <f>IF(P1763&lt;&gt;"", TODAY(), "")</f>
        <v/>
      </c>
      <c r="S1763" s="78">
        <f>IF(AND(K1763&lt;&gt;"", R1763&lt;&gt;""), R1763-K1763, "")</f>
        <v/>
      </c>
      <c r="T1763" s="78" t="n"/>
      <c r="U1763" s="92">
        <f>IF(ISBLANK(P1763),"",IF(C1763="Buy",Q1763-M1763+T1763, IF(C1763="Sell",M1763-Q1763-T1763, X)))</f>
        <v/>
      </c>
      <c r="V1763" s="81">
        <f>IF(ISBLANK(P1763),"",U1763/N1763)</f>
        <v/>
      </c>
      <c r="W1763" s="81">
        <f>IF(ISBLANK(P1763),"",IF(S1763=0,(365/0.5)*V1763,(365/S1763)*V1763))</f>
        <v/>
      </c>
      <c r="X1763" s="75" t="n"/>
      <c r="Y1763" s="77" t="n"/>
      <c r="Z1763" s="77" t="n"/>
      <c r="AA1763" s="75" t="n"/>
      <c r="AB1763" s="75" t="n"/>
      <c r="AC1763" s="6" t="n"/>
      <c r="AD1763" s="75" t="n"/>
      <c r="AE1763" s="75" t="n"/>
      <c r="AF1763" s="75" t="n"/>
    </row>
    <row r="1764" ht="15.75" customHeight="1" s="133">
      <c r="A1764" s="75" t="n"/>
      <c r="B1764" s="75" t="n"/>
      <c r="C1764" s="75" t="n"/>
      <c r="D1764" s="75" t="n"/>
      <c r="E1764" s="76" t="n"/>
      <c r="F1764" s="77" t="n"/>
      <c r="G1764" s="75" t="n"/>
      <c r="H1764" s="75">
        <f>IF(ISBLANK(E1764),"",IF(OR(D1764="Butterfly",D1764="Butterfly ",D1764="Iron Fly", D1764="Iron Fly "),LEN(E1764)-LEN(SUBSTITUTE(E1764,"/",""))+2,LEN(E1764)-LEN(SUBSTITUTE(E1764,"/",""))+1))</f>
        <v/>
      </c>
      <c r="I1764" s="78">
        <f>IF(ISBLANK(G1764),"",IF(D1764="Stock","0",Key!$A$3*H1764*G1764))</f>
        <v/>
      </c>
      <c r="J1764" s="78">
        <f>IF(ISBLANK(E1764),"",IF(ISNUMBER(SEARCH("/",E1764)), IF(LEN(E1764)-LEN(SUBSTITUTE(E1764,"/",""))=1,(RIGHT(E1764,LEN(E1764)-FIND("/",E1764)))-(LEFT(E1764,FIND("/",E1764)-1)),(MID(E1764, SEARCH("/",E1764) + 1, SEARCH("/",E1764, SEARCH("/",E1764)+1) - SEARCH("/",E1764) - 1))-(LEFT(E1764,FIND("/",E1764)-1))), "NA"))</f>
        <v/>
      </c>
      <c r="K1764" s="79">
        <f>IF(A1764&lt;&gt;"", IF(ISBLANK(L1764), TODAY(), K1764), "")</f>
        <v/>
      </c>
      <c r="L1764" s="78" t="n"/>
      <c r="M1764" s="78">
        <f>IF(ISBLANK(L1764),"",IF(D1764="Stock",IF(C1764="Buy",L1764*G1764,IF(C1764="Sell",(L1764*G1764)-I1764, X)),IF(C1764="Buy",(L1764*G1764*100)+I1764,IF(C1764="Sell",(L1764*G1764*100)-I1764, X))))</f>
        <v/>
      </c>
      <c r="N1764" s="78">
        <f>IF(ISBLANK(L1764),"",IF(AND(C1764="Sell",D1764="Stock"),M1764,IF(ISBLANK(L1764),"",IF(C1764="Buy",M1764, IF(AND(C1764="Sell",J1764="NA"),(E1764*G1764*100*0.1)+I1764, IF(C1764="Sell",(J1764-L1764)*(100*G1764)+I1764))))))</f>
        <v/>
      </c>
      <c r="O1764" s="75" t="n"/>
      <c r="P1764" s="75" t="n"/>
      <c r="Q1764" s="75">
        <f>IF(ISBLANK(P1764),"",IF(D1764="Stock",P1764*G1764,IF(P1764=0,"0",G1764*P1764*100-(G1764*$AF$14))))</f>
        <v/>
      </c>
      <c r="R1764" s="79">
        <f>IF(P1764&lt;&gt;"", TODAY(), "")</f>
        <v/>
      </c>
      <c r="S1764" s="78">
        <f>IF(AND(K1764&lt;&gt;"", R1764&lt;&gt;""), R1764-K1764, "")</f>
        <v/>
      </c>
      <c r="T1764" s="78" t="n"/>
      <c r="U1764" s="92">
        <f>IF(ISBLANK(P1764),"",IF(C1764="Buy",Q1764-M1764+T1764, IF(C1764="Sell",M1764-Q1764-T1764, X)))</f>
        <v/>
      </c>
      <c r="V1764" s="81">
        <f>IF(ISBLANK(P1764),"",U1764/N1764)</f>
        <v/>
      </c>
      <c r="W1764" s="81">
        <f>IF(ISBLANK(P1764),"",IF(S1764=0,(365/0.5)*V1764,(365/S1764)*V1764))</f>
        <v/>
      </c>
      <c r="X1764" s="75" t="n"/>
      <c r="Y1764" s="77" t="n"/>
      <c r="Z1764" s="77" t="n"/>
      <c r="AA1764" s="75" t="n"/>
      <c r="AB1764" s="75" t="n"/>
      <c r="AC1764" s="6" t="n"/>
      <c r="AD1764" s="75" t="n"/>
      <c r="AE1764" s="75" t="n"/>
      <c r="AF1764" s="75" t="n"/>
    </row>
    <row r="1765" ht="15.75" customHeight="1" s="133">
      <c r="A1765" s="75" t="n"/>
      <c r="B1765" s="75" t="n"/>
      <c r="C1765" s="75" t="n"/>
      <c r="D1765" s="75" t="n"/>
      <c r="E1765" s="76" t="n"/>
      <c r="F1765" s="77" t="n"/>
      <c r="G1765" s="75" t="n"/>
      <c r="H1765" s="75">
        <f>IF(ISBLANK(E1765),"",IF(OR(D1765="Butterfly",D1765="Butterfly ",D1765="Iron Fly", D1765="Iron Fly "),LEN(E1765)-LEN(SUBSTITUTE(E1765,"/",""))+2,LEN(E1765)-LEN(SUBSTITUTE(E1765,"/",""))+1))</f>
        <v/>
      </c>
      <c r="I1765" s="78">
        <f>IF(ISBLANK(G1765),"",IF(D1765="Stock","0",Key!$A$3*H1765*G1765))</f>
        <v/>
      </c>
      <c r="J1765" s="78">
        <f>IF(ISBLANK(E1765),"",IF(ISNUMBER(SEARCH("/",E1765)), IF(LEN(E1765)-LEN(SUBSTITUTE(E1765,"/",""))=1,(RIGHT(E1765,LEN(E1765)-FIND("/",E1765)))-(LEFT(E1765,FIND("/",E1765)-1)),(MID(E1765, SEARCH("/",E1765) + 1, SEARCH("/",E1765, SEARCH("/",E1765)+1) - SEARCH("/",E1765) - 1))-(LEFT(E1765,FIND("/",E1765)-1))), "NA"))</f>
        <v/>
      </c>
      <c r="K1765" s="79">
        <f>IF(A1765&lt;&gt;"", IF(ISBLANK(L1765), TODAY(), K1765), "")</f>
        <v/>
      </c>
      <c r="L1765" s="78" t="n"/>
      <c r="M1765" s="78">
        <f>IF(ISBLANK(L1765),"",IF(D1765="Stock",IF(C1765="Buy",L1765*G1765,IF(C1765="Sell",(L1765*G1765)-I1765, X)),IF(C1765="Buy",(L1765*G1765*100)+I1765,IF(C1765="Sell",(L1765*G1765*100)-I1765, X))))</f>
        <v/>
      </c>
      <c r="N1765" s="78">
        <f>IF(ISBLANK(L1765),"",IF(AND(C1765="Sell",D1765="Stock"),M1765,IF(ISBLANK(L1765),"",IF(C1765="Buy",M1765, IF(AND(C1765="Sell",J1765="NA"),(E1765*G1765*100*0.1)+I1765, IF(C1765="Sell",(J1765-L1765)*(100*G1765)+I1765))))))</f>
        <v/>
      </c>
      <c r="O1765" s="75" t="n"/>
      <c r="P1765" s="75" t="n"/>
      <c r="Q1765" s="75">
        <f>IF(ISBLANK(P1765),"",IF(D1765="Stock",P1765*G1765,IF(P1765=0,"0",G1765*P1765*100-(G1765*$AF$14))))</f>
        <v/>
      </c>
      <c r="R1765" s="79">
        <f>IF(P1765&lt;&gt;"", TODAY(), "")</f>
        <v/>
      </c>
      <c r="S1765" s="78">
        <f>IF(AND(K1765&lt;&gt;"", R1765&lt;&gt;""), R1765-K1765, "")</f>
        <v/>
      </c>
      <c r="T1765" s="78" t="n"/>
      <c r="U1765" s="92">
        <f>IF(ISBLANK(P1765),"",IF(C1765="Buy",Q1765-M1765+T1765, IF(C1765="Sell",M1765-Q1765-T1765, X)))</f>
        <v/>
      </c>
      <c r="V1765" s="81">
        <f>IF(ISBLANK(P1765),"",U1765/N1765)</f>
        <v/>
      </c>
      <c r="W1765" s="81">
        <f>IF(ISBLANK(P1765),"",IF(S1765=0,(365/0.5)*V1765,(365/S1765)*V1765))</f>
        <v/>
      </c>
      <c r="X1765" s="75" t="n"/>
      <c r="Y1765" s="77" t="n"/>
      <c r="Z1765" s="77" t="n"/>
      <c r="AA1765" s="75" t="n"/>
      <c r="AB1765" s="75" t="n"/>
      <c r="AC1765" s="6" t="n"/>
      <c r="AD1765" s="75" t="n"/>
      <c r="AE1765" s="75" t="n"/>
      <c r="AF1765" s="75" t="n"/>
    </row>
    <row r="1766" ht="15.75" customHeight="1" s="133">
      <c r="A1766" s="75" t="n"/>
      <c r="B1766" s="75" t="n"/>
      <c r="C1766" s="75" t="n"/>
      <c r="D1766" s="75" t="n"/>
      <c r="E1766" s="76" t="n"/>
      <c r="F1766" s="77" t="n"/>
      <c r="G1766" s="75" t="n"/>
      <c r="H1766" s="75">
        <f>IF(ISBLANK(E1766),"",IF(OR(D1766="Butterfly",D1766="Butterfly ",D1766="Iron Fly", D1766="Iron Fly "),LEN(E1766)-LEN(SUBSTITUTE(E1766,"/",""))+2,LEN(E1766)-LEN(SUBSTITUTE(E1766,"/",""))+1))</f>
        <v/>
      </c>
      <c r="I1766" s="78">
        <f>IF(ISBLANK(G1766),"",IF(D1766="Stock","0",Key!$A$3*H1766*G1766))</f>
        <v/>
      </c>
      <c r="J1766" s="78">
        <f>IF(ISBLANK(E1766),"",IF(ISNUMBER(SEARCH("/",E1766)), IF(LEN(E1766)-LEN(SUBSTITUTE(E1766,"/",""))=1,(RIGHT(E1766,LEN(E1766)-FIND("/",E1766)))-(LEFT(E1766,FIND("/",E1766)-1)),(MID(E1766, SEARCH("/",E1766) + 1, SEARCH("/",E1766, SEARCH("/",E1766)+1) - SEARCH("/",E1766) - 1))-(LEFT(E1766,FIND("/",E1766)-1))), "NA"))</f>
        <v/>
      </c>
      <c r="K1766" s="79">
        <f>IF(A1766&lt;&gt;"", IF(ISBLANK(L1766), TODAY(), K1766), "")</f>
        <v/>
      </c>
      <c r="L1766" s="78" t="n"/>
      <c r="M1766" s="78">
        <f>IF(ISBLANK(L1766),"",IF(D1766="Stock",IF(C1766="Buy",L1766*G1766,IF(C1766="Sell",(L1766*G1766)-I1766, X)),IF(C1766="Buy",(L1766*G1766*100)+I1766,IF(C1766="Sell",(L1766*G1766*100)-I1766, X))))</f>
        <v/>
      </c>
      <c r="N1766" s="78">
        <f>IF(ISBLANK(L1766),"",IF(AND(C1766="Sell",D1766="Stock"),M1766,IF(ISBLANK(L1766),"",IF(C1766="Buy",M1766, IF(AND(C1766="Sell",J1766="NA"),(E1766*G1766*100*0.1)+I1766, IF(C1766="Sell",(J1766-L1766)*(100*G1766)+I1766))))))</f>
        <v/>
      </c>
      <c r="O1766" s="75" t="n"/>
      <c r="P1766" s="75" t="n"/>
      <c r="Q1766" s="75">
        <f>IF(ISBLANK(P1766),"",IF(D1766="Stock",P1766*G1766,IF(P1766=0,"0",G1766*P1766*100-(G1766*$AF$14))))</f>
        <v/>
      </c>
      <c r="R1766" s="79">
        <f>IF(P1766&lt;&gt;"", TODAY(), "")</f>
        <v/>
      </c>
      <c r="S1766" s="78">
        <f>IF(AND(K1766&lt;&gt;"", R1766&lt;&gt;""), R1766-K1766, "")</f>
        <v/>
      </c>
      <c r="T1766" s="78" t="n"/>
      <c r="U1766" s="92">
        <f>IF(ISBLANK(P1766),"",IF(C1766="Buy",Q1766-M1766+T1766, IF(C1766="Sell",M1766-Q1766-T1766, X)))</f>
        <v/>
      </c>
      <c r="V1766" s="81">
        <f>IF(ISBLANK(P1766),"",U1766/N1766)</f>
        <v/>
      </c>
      <c r="W1766" s="81">
        <f>IF(ISBLANK(P1766),"",IF(S1766=0,(365/0.5)*V1766,(365/S1766)*V1766))</f>
        <v/>
      </c>
      <c r="X1766" s="75" t="n"/>
      <c r="Y1766" s="77" t="n"/>
      <c r="Z1766" s="77" t="n"/>
      <c r="AA1766" s="75" t="n"/>
      <c r="AB1766" s="75" t="n"/>
      <c r="AC1766" s="6" t="n"/>
      <c r="AD1766" s="75" t="n"/>
      <c r="AE1766" s="75" t="n"/>
      <c r="AF1766" s="75" t="n"/>
    </row>
    <row r="1767" ht="15.75" customHeight="1" s="133">
      <c r="A1767" s="75" t="n"/>
      <c r="B1767" s="75" t="n"/>
      <c r="C1767" s="75" t="n"/>
      <c r="D1767" s="75" t="n"/>
      <c r="E1767" s="76" t="n"/>
      <c r="F1767" s="77" t="n"/>
      <c r="G1767" s="75" t="n"/>
      <c r="H1767" s="75">
        <f>IF(ISBLANK(E1767),"",IF(OR(D1767="Butterfly",D1767="Butterfly ",D1767="Iron Fly", D1767="Iron Fly "),LEN(E1767)-LEN(SUBSTITUTE(E1767,"/",""))+2,LEN(E1767)-LEN(SUBSTITUTE(E1767,"/",""))+1))</f>
        <v/>
      </c>
      <c r="I1767" s="78">
        <f>IF(ISBLANK(G1767),"",IF(D1767="Stock","0",Key!$A$3*H1767*G1767))</f>
        <v/>
      </c>
      <c r="J1767" s="78">
        <f>IF(ISBLANK(E1767),"",IF(ISNUMBER(SEARCH("/",E1767)), IF(LEN(E1767)-LEN(SUBSTITUTE(E1767,"/",""))=1,(RIGHT(E1767,LEN(E1767)-FIND("/",E1767)))-(LEFT(E1767,FIND("/",E1767)-1)),(MID(E1767, SEARCH("/",E1767) + 1, SEARCH("/",E1767, SEARCH("/",E1767)+1) - SEARCH("/",E1767) - 1))-(LEFT(E1767,FIND("/",E1767)-1))), "NA"))</f>
        <v/>
      </c>
      <c r="K1767" s="79">
        <f>IF(A1767&lt;&gt;"", IF(ISBLANK(L1767), TODAY(), K1767), "")</f>
        <v/>
      </c>
      <c r="L1767" s="78" t="n"/>
      <c r="M1767" s="78">
        <f>IF(ISBLANK(L1767),"",IF(D1767="Stock",IF(C1767="Buy",L1767*G1767,IF(C1767="Sell",(L1767*G1767)-I1767, X)),IF(C1767="Buy",(L1767*G1767*100)+I1767,IF(C1767="Sell",(L1767*G1767*100)-I1767, X))))</f>
        <v/>
      </c>
      <c r="N1767" s="78">
        <f>IF(ISBLANK(L1767),"",IF(AND(C1767="Sell",D1767="Stock"),M1767,IF(ISBLANK(L1767),"",IF(C1767="Buy",M1767, IF(AND(C1767="Sell",J1767="NA"),(E1767*G1767*100*0.1)+I1767, IF(C1767="Sell",(J1767-L1767)*(100*G1767)+I1767))))))</f>
        <v/>
      </c>
      <c r="O1767" s="75" t="n"/>
      <c r="P1767" s="75" t="n"/>
      <c r="Q1767" s="75">
        <f>IF(ISBLANK(P1767),"",IF(D1767="Stock",P1767*G1767,IF(P1767=0,"0",G1767*P1767*100-(G1767*$AF$14))))</f>
        <v/>
      </c>
      <c r="R1767" s="79">
        <f>IF(P1767&lt;&gt;"", TODAY(), "")</f>
        <v/>
      </c>
      <c r="S1767" s="78">
        <f>IF(AND(K1767&lt;&gt;"", R1767&lt;&gt;""), R1767-K1767, "")</f>
        <v/>
      </c>
      <c r="T1767" s="78" t="n"/>
      <c r="U1767" s="92">
        <f>IF(ISBLANK(P1767),"",IF(C1767="Buy",Q1767-M1767+T1767, IF(C1767="Sell",M1767-Q1767-T1767, X)))</f>
        <v/>
      </c>
      <c r="V1767" s="81">
        <f>IF(ISBLANK(P1767),"",U1767/N1767)</f>
        <v/>
      </c>
      <c r="W1767" s="81">
        <f>IF(ISBLANK(P1767),"",IF(S1767=0,(365/0.5)*V1767,(365/S1767)*V1767))</f>
        <v/>
      </c>
      <c r="X1767" s="75" t="n"/>
      <c r="Y1767" s="77" t="n"/>
      <c r="Z1767" s="77" t="n"/>
      <c r="AA1767" s="75" t="n"/>
      <c r="AB1767" s="75" t="n"/>
      <c r="AC1767" s="6" t="n"/>
      <c r="AD1767" s="75" t="n"/>
      <c r="AE1767" s="75" t="n"/>
      <c r="AF1767" s="75" t="n"/>
    </row>
    <row r="1768" ht="15.75" customHeight="1" s="133">
      <c r="A1768" s="75" t="n"/>
      <c r="B1768" s="75" t="n"/>
      <c r="C1768" s="75" t="n"/>
      <c r="D1768" s="75" t="n"/>
      <c r="E1768" s="76" t="n"/>
      <c r="F1768" s="77" t="n"/>
      <c r="G1768" s="75" t="n"/>
      <c r="H1768" s="75">
        <f>IF(ISBLANK(E1768),"",IF(OR(D1768="Butterfly",D1768="Butterfly ",D1768="Iron Fly", D1768="Iron Fly "),LEN(E1768)-LEN(SUBSTITUTE(E1768,"/",""))+2,LEN(E1768)-LEN(SUBSTITUTE(E1768,"/",""))+1))</f>
        <v/>
      </c>
      <c r="I1768" s="78">
        <f>IF(ISBLANK(G1768),"",IF(D1768="Stock","0",Key!$A$3*H1768*G1768))</f>
        <v/>
      </c>
      <c r="J1768" s="78">
        <f>IF(ISBLANK(E1768),"",IF(ISNUMBER(SEARCH("/",E1768)), IF(LEN(E1768)-LEN(SUBSTITUTE(E1768,"/",""))=1,(RIGHT(E1768,LEN(E1768)-FIND("/",E1768)))-(LEFT(E1768,FIND("/",E1768)-1)),(MID(E1768, SEARCH("/",E1768) + 1, SEARCH("/",E1768, SEARCH("/",E1768)+1) - SEARCH("/",E1768) - 1))-(LEFT(E1768,FIND("/",E1768)-1))), "NA"))</f>
        <v/>
      </c>
      <c r="K1768" s="79">
        <f>IF(A1768&lt;&gt;"", IF(ISBLANK(L1768), TODAY(), K1768), "")</f>
        <v/>
      </c>
      <c r="L1768" s="78" t="n"/>
      <c r="M1768" s="78">
        <f>IF(ISBLANK(L1768),"",IF(D1768="Stock",IF(C1768="Buy",L1768*G1768,IF(C1768="Sell",(L1768*G1768)-I1768, X)),IF(C1768="Buy",(L1768*G1768*100)+I1768,IF(C1768="Sell",(L1768*G1768*100)-I1768, X))))</f>
        <v/>
      </c>
      <c r="N1768" s="78">
        <f>IF(ISBLANK(L1768),"",IF(AND(C1768="Sell",D1768="Stock"),M1768,IF(ISBLANK(L1768),"",IF(C1768="Buy",M1768, IF(AND(C1768="Sell",J1768="NA"),(E1768*G1768*100*0.1)+I1768, IF(C1768="Sell",(J1768-L1768)*(100*G1768)+I1768))))))</f>
        <v/>
      </c>
      <c r="O1768" s="75" t="n"/>
      <c r="P1768" s="75" t="n"/>
      <c r="Q1768" s="75">
        <f>IF(ISBLANK(P1768),"",IF(D1768="Stock",P1768*G1768,IF(P1768=0,"0",G1768*P1768*100-(G1768*$AF$14))))</f>
        <v/>
      </c>
      <c r="R1768" s="79">
        <f>IF(P1768&lt;&gt;"", TODAY(), "")</f>
        <v/>
      </c>
      <c r="S1768" s="78">
        <f>IF(AND(K1768&lt;&gt;"", R1768&lt;&gt;""), R1768-K1768, "")</f>
        <v/>
      </c>
      <c r="T1768" s="78" t="n"/>
      <c r="U1768" s="92">
        <f>IF(ISBLANK(P1768),"",IF(C1768="Buy",Q1768-M1768+T1768, IF(C1768="Sell",M1768-Q1768-T1768, X)))</f>
        <v/>
      </c>
      <c r="V1768" s="81">
        <f>IF(ISBLANK(P1768),"",U1768/N1768)</f>
        <v/>
      </c>
      <c r="W1768" s="81">
        <f>IF(ISBLANK(P1768),"",IF(S1768=0,(365/0.5)*V1768,(365/S1768)*V1768))</f>
        <v/>
      </c>
      <c r="X1768" s="75" t="n"/>
      <c r="Y1768" s="77" t="n"/>
      <c r="Z1768" s="77" t="n"/>
      <c r="AA1768" s="75" t="n"/>
      <c r="AB1768" s="75" t="n"/>
      <c r="AC1768" s="6" t="n"/>
      <c r="AD1768" s="75" t="n"/>
      <c r="AE1768" s="75" t="n"/>
      <c r="AF1768" s="75" t="n"/>
    </row>
    <row r="1769" ht="15.75" customHeight="1" s="133">
      <c r="A1769" s="75" t="n"/>
      <c r="B1769" s="75" t="n"/>
      <c r="C1769" s="75" t="n"/>
      <c r="D1769" s="75" t="n"/>
      <c r="E1769" s="76" t="n"/>
      <c r="F1769" s="77" t="n"/>
      <c r="G1769" s="75" t="n"/>
      <c r="H1769" s="75">
        <f>IF(ISBLANK(E1769),"",IF(OR(D1769="Butterfly",D1769="Butterfly ",D1769="Iron Fly", D1769="Iron Fly "),LEN(E1769)-LEN(SUBSTITUTE(E1769,"/",""))+2,LEN(E1769)-LEN(SUBSTITUTE(E1769,"/",""))+1))</f>
        <v/>
      </c>
      <c r="I1769" s="78">
        <f>IF(ISBLANK(G1769),"",IF(D1769="Stock","0",Key!$A$3*H1769*G1769))</f>
        <v/>
      </c>
      <c r="J1769" s="78">
        <f>IF(ISBLANK(E1769),"",IF(ISNUMBER(SEARCH("/",E1769)), IF(LEN(E1769)-LEN(SUBSTITUTE(E1769,"/",""))=1,(RIGHT(E1769,LEN(E1769)-FIND("/",E1769)))-(LEFT(E1769,FIND("/",E1769)-1)),(MID(E1769, SEARCH("/",E1769) + 1, SEARCH("/",E1769, SEARCH("/",E1769)+1) - SEARCH("/",E1769) - 1))-(LEFT(E1769,FIND("/",E1769)-1))), "NA"))</f>
        <v/>
      </c>
      <c r="K1769" s="79">
        <f>IF(A1769&lt;&gt;"", IF(ISBLANK(L1769), TODAY(), K1769), "")</f>
        <v/>
      </c>
      <c r="L1769" s="78" t="n"/>
      <c r="M1769" s="78">
        <f>IF(ISBLANK(L1769),"",IF(D1769="Stock",IF(C1769="Buy",L1769*G1769,IF(C1769="Sell",(L1769*G1769)-I1769, X)),IF(C1769="Buy",(L1769*G1769*100)+I1769,IF(C1769="Sell",(L1769*G1769*100)-I1769, X))))</f>
        <v/>
      </c>
      <c r="N1769" s="78">
        <f>IF(ISBLANK(L1769),"",IF(AND(C1769="Sell",D1769="Stock"),M1769,IF(ISBLANK(L1769),"",IF(C1769="Buy",M1769, IF(AND(C1769="Sell",J1769="NA"),(E1769*G1769*100*0.1)+I1769, IF(C1769="Sell",(J1769-L1769)*(100*G1769)+I1769))))))</f>
        <v/>
      </c>
      <c r="O1769" s="75" t="n"/>
      <c r="P1769" s="75" t="n"/>
      <c r="Q1769" s="75">
        <f>IF(ISBLANK(P1769),"",IF(D1769="Stock",P1769*G1769,IF(P1769=0,"0",G1769*P1769*100-(G1769*$AF$14))))</f>
        <v/>
      </c>
      <c r="R1769" s="79">
        <f>IF(P1769&lt;&gt;"", TODAY(), "")</f>
        <v/>
      </c>
      <c r="S1769" s="78">
        <f>IF(AND(K1769&lt;&gt;"", R1769&lt;&gt;""), R1769-K1769, "")</f>
        <v/>
      </c>
      <c r="T1769" s="78" t="n"/>
      <c r="U1769" s="92">
        <f>IF(ISBLANK(P1769),"",IF(C1769="Buy",Q1769-M1769+T1769, IF(C1769="Sell",M1769-Q1769-T1769, X)))</f>
        <v/>
      </c>
      <c r="V1769" s="81">
        <f>IF(ISBLANK(P1769),"",U1769/N1769)</f>
        <v/>
      </c>
      <c r="W1769" s="81">
        <f>IF(ISBLANK(P1769),"",IF(S1769=0,(365/0.5)*V1769,(365/S1769)*V1769))</f>
        <v/>
      </c>
      <c r="X1769" s="75" t="n"/>
      <c r="Y1769" s="77" t="n"/>
      <c r="Z1769" s="77" t="n"/>
      <c r="AA1769" s="75" t="n"/>
      <c r="AB1769" s="75" t="n"/>
      <c r="AC1769" s="6" t="n"/>
      <c r="AD1769" s="75" t="n"/>
      <c r="AE1769" s="75" t="n"/>
      <c r="AF1769" s="75" t="n"/>
    </row>
    <row r="1770" ht="15.75" customHeight="1" s="133">
      <c r="A1770" s="75" t="n"/>
      <c r="B1770" s="75" t="n"/>
      <c r="C1770" s="75" t="n"/>
      <c r="D1770" s="75" t="n"/>
      <c r="E1770" s="76" t="n"/>
      <c r="F1770" s="77" t="n"/>
      <c r="G1770" s="75" t="n"/>
      <c r="H1770" s="75">
        <f>IF(ISBLANK(E1770),"",IF(OR(D1770="Butterfly",D1770="Butterfly ",D1770="Iron Fly", D1770="Iron Fly "),LEN(E1770)-LEN(SUBSTITUTE(E1770,"/",""))+2,LEN(E1770)-LEN(SUBSTITUTE(E1770,"/",""))+1))</f>
        <v/>
      </c>
      <c r="I1770" s="78">
        <f>IF(ISBLANK(G1770),"",IF(D1770="Stock","0",Key!$A$3*H1770*G1770))</f>
        <v/>
      </c>
      <c r="J1770" s="78">
        <f>IF(ISBLANK(E1770),"",IF(ISNUMBER(SEARCH("/",E1770)), IF(LEN(E1770)-LEN(SUBSTITUTE(E1770,"/",""))=1,(RIGHT(E1770,LEN(E1770)-FIND("/",E1770)))-(LEFT(E1770,FIND("/",E1770)-1)),(MID(E1770, SEARCH("/",E1770) + 1, SEARCH("/",E1770, SEARCH("/",E1770)+1) - SEARCH("/",E1770) - 1))-(LEFT(E1770,FIND("/",E1770)-1))), "NA"))</f>
        <v/>
      </c>
      <c r="K1770" s="79">
        <f>IF(A1770&lt;&gt;"", IF(ISBLANK(L1770), TODAY(), K1770), "")</f>
        <v/>
      </c>
      <c r="L1770" s="78" t="n"/>
      <c r="M1770" s="78">
        <f>IF(ISBLANK(L1770),"",IF(D1770="Stock",IF(C1770="Buy",L1770*G1770,IF(C1770="Sell",(L1770*G1770)-I1770, X)),IF(C1770="Buy",(L1770*G1770*100)+I1770,IF(C1770="Sell",(L1770*G1770*100)-I1770, X))))</f>
        <v/>
      </c>
      <c r="N1770" s="78">
        <f>IF(ISBLANK(L1770),"",IF(AND(C1770="Sell",D1770="Stock"),M1770,IF(ISBLANK(L1770),"",IF(C1770="Buy",M1770, IF(AND(C1770="Sell",J1770="NA"),(E1770*G1770*100*0.1)+I1770, IF(C1770="Sell",(J1770-L1770)*(100*G1770)+I1770))))))</f>
        <v/>
      </c>
      <c r="O1770" s="75" t="n"/>
      <c r="P1770" s="75" t="n"/>
      <c r="Q1770" s="75">
        <f>IF(ISBLANK(P1770),"",IF(D1770="Stock",P1770*G1770,IF(P1770=0,"0",G1770*P1770*100-(G1770*$AF$14))))</f>
        <v/>
      </c>
      <c r="R1770" s="79">
        <f>IF(P1770&lt;&gt;"", TODAY(), "")</f>
        <v/>
      </c>
      <c r="S1770" s="78">
        <f>IF(AND(K1770&lt;&gt;"", R1770&lt;&gt;""), R1770-K1770, "")</f>
        <v/>
      </c>
      <c r="T1770" s="78" t="n"/>
      <c r="U1770" s="92">
        <f>IF(ISBLANK(P1770),"",IF(C1770="Buy",Q1770-M1770+T1770, IF(C1770="Sell",M1770-Q1770-T1770, X)))</f>
        <v/>
      </c>
      <c r="V1770" s="81">
        <f>IF(ISBLANK(P1770),"",U1770/N1770)</f>
        <v/>
      </c>
      <c r="W1770" s="81">
        <f>IF(ISBLANK(P1770),"",IF(S1770=0,(365/0.5)*V1770,(365/S1770)*V1770))</f>
        <v/>
      </c>
      <c r="X1770" s="75" t="n"/>
      <c r="Y1770" s="77" t="n"/>
      <c r="Z1770" s="77" t="n"/>
      <c r="AA1770" s="75" t="n"/>
      <c r="AB1770" s="75" t="n"/>
      <c r="AC1770" s="6" t="n"/>
      <c r="AD1770" s="75" t="n"/>
      <c r="AE1770" s="75" t="n"/>
      <c r="AF1770" s="75" t="n"/>
    </row>
    <row r="1771" ht="15.75" customHeight="1" s="133">
      <c r="A1771" s="75" t="n"/>
      <c r="B1771" s="75" t="n"/>
      <c r="C1771" s="75" t="n"/>
      <c r="D1771" s="75" t="n"/>
      <c r="E1771" s="76" t="n"/>
      <c r="F1771" s="77" t="n"/>
      <c r="G1771" s="75" t="n"/>
      <c r="H1771" s="75">
        <f>IF(ISBLANK(E1771),"",IF(OR(D1771="Butterfly",D1771="Butterfly ",D1771="Iron Fly", D1771="Iron Fly "),LEN(E1771)-LEN(SUBSTITUTE(E1771,"/",""))+2,LEN(E1771)-LEN(SUBSTITUTE(E1771,"/",""))+1))</f>
        <v/>
      </c>
      <c r="I1771" s="78">
        <f>IF(ISBLANK(G1771),"",IF(D1771="Stock","0",Key!$A$3*H1771*G1771))</f>
        <v/>
      </c>
      <c r="J1771" s="78">
        <f>IF(ISBLANK(E1771),"",IF(ISNUMBER(SEARCH("/",E1771)), IF(LEN(E1771)-LEN(SUBSTITUTE(E1771,"/",""))=1,(RIGHT(E1771,LEN(E1771)-FIND("/",E1771)))-(LEFT(E1771,FIND("/",E1771)-1)),(MID(E1771, SEARCH("/",E1771) + 1, SEARCH("/",E1771, SEARCH("/",E1771)+1) - SEARCH("/",E1771) - 1))-(LEFT(E1771,FIND("/",E1771)-1))), "NA"))</f>
        <v/>
      </c>
      <c r="K1771" s="79">
        <f>IF(A1771&lt;&gt;"", IF(ISBLANK(L1771), TODAY(), K1771), "")</f>
        <v/>
      </c>
      <c r="L1771" s="78" t="n"/>
      <c r="M1771" s="78">
        <f>IF(ISBLANK(L1771),"",IF(D1771="Stock",IF(C1771="Buy",L1771*G1771,IF(C1771="Sell",(L1771*G1771)-I1771, X)),IF(C1771="Buy",(L1771*G1771*100)+I1771,IF(C1771="Sell",(L1771*G1771*100)-I1771, X))))</f>
        <v/>
      </c>
      <c r="N1771" s="78">
        <f>IF(ISBLANK(L1771),"",IF(AND(C1771="Sell",D1771="Stock"),M1771,IF(ISBLANK(L1771),"",IF(C1771="Buy",M1771, IF(AND(C1771="Sell",J1771="NA"),(E1771*G1771*100*0.1)+I1771, IF(C1771="Sell",(J1771-L1771)*(100*G1771)+I1771))))))</f>
        <v/>
      </c>
      <c r="O1771" s="75" t="n"/>
      <c r="P1771" s="75" t="n"/>
      <c r="Q1771" s="75">
        <f>IF(ISBLANK(P1771),"",IF(D1771="Stock",P1771*G1771,IF(P1771=0,"0",G1771*P1771*100-(G1771*$AF$14))))</f>
        <v/>
      </c>
      <c r="R1771" s="79">
        <f>IF(P1771&lt;&gt;"", TODAY(), "")</f>
        <v/>
      </c>
      <c r="S1771" s="78">
        <f>IF(AND(K1771&lt;&gt;"", R1771&lt;&gt;""), R1771-K1771, "")</f>
        <v/>
      </c>
      <c r="T1771" s="78" t="n"/>
      <c r="U1771" s="92">
        <f>IF(ISBLANK(P1771),"",IF(C1771="Buy",Q1771-M1771+T1771, IF(C1771="Sell",M1771-Q1771-T1771, X)))</f>
        <v/>
      </c>
      <c r="V1771" s="81">
        <f>IF(ISBLANK(P1771),"",U1771/N1771)</f>
        <v/>
      </c>
      <c r="W1771" s="81">
        <f>IF(ISBLANK(P1771),"",IF(S1771=0,(365/0.5)*V1771,(365/S1771)*V1771))</f>
        <v/>
      </c>
      <c r="X1771" s="75" t="n"/>
      <c r="Y1771" s="77" t="n"/>
      <c r="Z1771" s="77" t="n"/>
      <c r="AA1771" s="75" t="n"/>
      <c r="AB1771" s="75" t="n"/>
      <c r="AC1771" s="6" t="n"/>
      <c r="AD1771" s="75" t="n"/>
      <c r="AE1771" s="75" t="n"/>
      <c r="AF1771" s="75" t="n"/>
    </row>
    <row r="1772" ht="15.75" customHeight="1" s="133">
      <c r="A1772" s="75" t="n"/>
      <c r="B1772" s="75" t="n"/>
      <c r="C1772" s="75" t="n"/>
      <c r="D1772" s="75" t="n"/>
      <c r="E1772" s="76" t="n"/>
      <c r="F1772" s="77" t="n"/>
      <c r="G1772" s="75" t="n"/>
      <c r="H1772" s="75">
        <f>IF(ISBLANK(E1772),"",IF(OR(D1772="Butterfly",D1772="Butterfly ",D1772="Iron Fly", D1772="Iron Fly "),LEN(E1772)-LEN(SUBSTITUTE(E1772,"/",""))+2,LEN(E1772)-LEN(SUBSTITUTE(E1772,"/",""))+1))</f>
        <v/>
      </c>
      <c r="I1772" s="78">
        <f>IF(ISBLANK(G1772),"",IF(D1772="Stock","0",Key!$A$3*H1772*G1772))</f>
        <v/>
      </c>
      <c r="J1772" s="78">
        <f>IF(ISBLANK(E1772),"",IF(ISNUMBER(SEARCH("/",E1772)), IF(LEN(E1772)-LEN(SUBSTITUTE(E1772,"/",""))=1,(RIGHT(E1772,LEN(E1772)-FIND("/",E1772)))-(LEFT(E1772,FIND("/",E1772)-1)),(MID(E1772, SEARCH("/",E1772) + 1, SEARCH("/",E1772, SEARCH("/",E1772)+1) - SEARCH("/",E1772) - 1))-(LEFT(E1772,FIND("/",E1772)-1))), "NA"))</f>
        <v/>
      </c>
      <c r="K1772" s="79">
        <f>IF(A1772&lt;&gt;"", IF(ISBLANK(L1772), TODAY(), K1772), "")</f>
        <v/>
      </c>
      <c r="L1772" s="78" t="n"/>
      <c r="M1772" s="78">
        <f>IF(ISBLANK(L1772),"",IF(D1772="Stock",IF(C1772="Buy",L1772*G1772,IF(C1772="Sell",(L1772*G1772)-I1772, X)),IF(C1772="Buy",(L1772*G1772*100)+I1772,IF(C1772="Sell",(L1772*G1772*100)-I1772, X))))</f>
        <v/>
      </c>
      <c r="N1772" s="78">
        <f>IF(ISBLANK(L1772),"",IF(AND(C1772="Sell",D1772="Stock"),M1772,IF(ISBLANK(L1772),"",IF(C1772="Buy",M1772, IF(AND(C1772="Sell",J1772="NA"),(E1772*G1772*100*0.1)+I1772, IF(C1772="Sell",(J1772-L1772)*(100*G1772)+I1772))))))</f>
        <v/>
      </c>
      <c r="O1772" s="75" t="n"/>
      <c r="P1772" s="75" t="n"/>
      <c r="Q1772" s="75">
        <f>IF(ISBLANK(P1772),"",IF(D1772="Stock",P1772*G1772,IF(P1772=0,"0",G1772*P1772*100-(G1772*$AF$14))))</f>
        <v/>
      </c>
      <c r="R1772" s="79">
        <f>IF(P1772&lt;&gt;"", TODAY(), "")</f>
        <v/>
      </c>
      <c r="S1772" s="78">
        <f>IF(AND(K1772&lt;&gt;"", R1772&lt;&gt;""), R1772-K1772, "")</f>
        <v/>
      </c>
      <c r="T1772" s="78" t="n"/>
      <c r="U1772" s="92">
        <f>IF(ISBLANK(P1772),"",IF(C1772="Buy",Q1772-M1772+T1772, IF(C1772="Sell",M1772-Q1772-T1772, X)))</f>
        <v/>
      </c>
      <c r="V1772" s="81">
        <f>IF(ISBLANK(P1772),"",U1772/N1772)</f>
        <v/>
      </c>
      <c r="W1772" s="81">
        <f>IF(ISBLANK(P1772),"",IF(S1772=0,(365/0.5)*V1772,(365/S1772)*V1772))</f>
        <v/>
      </c>
      <c r="X1772" s="75" t="n"/>
      <c r="Y1772" s="77" t="n"/>
      <c r="Z1772" s="77" t="n"/>
      <c r="AA1772" s="75" t="n"/>
      <c r="AB1772" s="75" t="n"/>
      <c r="AC1772" s="6" t="n"/>
      <c r="AD1772" s="75" t="n"/>
      <c r="AE1772" s="75" t="n"/>
      <c r="AF1772" s="75" t="n"/>
    </row>
    <row r="1773" ht="15.75" customHeight="1" s="133">
      <c r="A1773" s="75" t="n"/>
      <c r="B1773" s="75" t="n"/>
      <c r="C1773" s="75" t="n"/>
      <c r="D1773" s="75" t="n"/>
      <c r="E1773" s="76" t="n"/>
      <c r="F1773" s="77" t="n"/>
      <c r="G1773" s="75" t="n"/>
      <c r="H1773" s="75">
        <f>IF(ISBLANK(E1773),"",IF(OR(D1773="Butterfly",D1773="Butterfly ",D1773="Iron Fly", D1773="Iron Fly "),LEN(E1773)-LEN(SUBSTITUTE(E1773,"/",""))+2,LEN(E1773)-LEN(SUBSTITUTE(E1773,"/",""))+1))</f>
        <v/>
      </c>
      <c r="I1773" s="78">
        <f>IF(ISBLANK(G1773),"",IF(D1773="Stock","0",Key!$A$3*H1773*G1773))</f>
        <v/>
      </c>
      <c r="J1773" s="78">
        <f>IF(ISBLANK(E1773),"",IF(ISNUMBER(SEARCH("/",E1773)), IF(LEN(E1773)-LEN(SUBSTITUTE(E1773,"/",""))=1,(RIGHT(E1773,LEN(E1773)-FIND("/",E1773)))-(LEFT(E1773,FIND("/",E1773)-1)),(MID(E1773, SEARCH("/",E1773) + 1, SEARCH("/",E1773, SEARCH("/",E1773)+1) - SEARCH("/",E1773) - 1))-(LEFT(E1773,FIND("/",E1773)-1))), "NA"))</f>
        <v/>
      </c>
      <c r="K1773" s="79">
        <f>IF(A1773&lt;&gt;"", IF(ISBLANK(L1773), TODAY(), K1773), "")</f>
        <v/>
      </c>
      <c r="L1773" s="78" t="n"/>
      <c r="M1773" s="78">
        <f>IF(ISBLANK(L1773),"",IF(D1773="Stock",IF(C1773="Buy",L1773*G1773,IF(C1773="Sell",(L1773*G1773)-I1773, X)),IF(C1773="Buy",(L1773*G1773*100)+I1773,IF(C1773="Sell",(L1773*G1773*100)-I1773, X))))</f>
        <v/>
      </c>
      <c r="N1773" s="78">
        <f>IF(ISBLANK(L1773),"",IF(AND(C1773="Sell",D1773="Stock"),M1773,IF(ISBLANK(L1773),"",IF(C1773="Buy",M1773, IF(AND(C1773="Sell",J1773="NA"),(E1773*G1773*100*0.1)+I1773, IF(C1773="Sell",(J1773-L1773)*(100*G1773)+I1773))))))</f>
        <v/>
      </c>
      <c r="O1773" s="75" t="n"/>
      <c r="P1773" s="75" t="n"/>
      <c r="Q1773" s="75">
        <f>IF(ISBLANK(P1773),"",IF(D1773="Stock",P1773*G1773,IF(P1773=0,"0",G1773*P1773*100-(G1773*$AF$14))))</f>
        <v/>
      </c>
      <c r="R1773" s="79">
        <f>IF(P1773&lt;&gt;"", TODAY(), "")</f>
        <v/>
      </c>
      <c r="S1773" s="78">
        <f>IF(AND(K1773&lt;&gt;"", R1773&lt;&gt;""), R1773-K1773, "")</f>
        <v/>
      </c>
      <c r="T1773" s="78" t="n"/>
      <c r="U1773" s="92">
        <f>IF(ISBLANK(P1773),"",IF(C1773="Buy",Q1773-M1773+T1773, IF(C1773="Sell",M1773-Q1773-T1773, X)))</f>
        <v/>
      </c>
      <c r="V1773" s="81">
        <f>IF(ISBLANK(P1773),"",U1773/N1773)</f>
        <v/>
      </c>
      <c r="W1773" s="81">
        <f>IF(ISBLANK(P1773),"",IF(S1773=0,(365/0.5)*V1773,(365/S1773)*V1773))</f>
        <v/>
      </c>
      <c r="X1773" s="75" t="n"/>
      <c r="Y1773" s="77" t="n"/>
      <c r="Z1773" s="77" t="n"/>
      <c r="AA1773" s="75" t="n"/>
      <c r="AB1773" s="75" t="n"/>
      <c r="AC1773" s="6" t="n"/>
      <c r="AD1773" s="75" t="n"/>
      <c r="AE1773" s="75" t="n"/>
      <c r="AF1773" s="75" t="n"/>
    </row>
    <row r="1774" ht="15.75" customHeight="1" s="133">
      <c r="A1774" s="75" t="n"/>
      <c r="B1774" s="75" t="n"/>
      <c r="C1774" s="75" t="n"/>
      <c r="D1774" s="75" t="n"/>
      <c r="E1774" s="76" t="n"/>
      <c r="F1774" s="77" t="n"/>
      <c r="G1774" s="75" t="n"/>
      <c r="H1774" s="75">
        <f>IF(ISBLANK(E1774),"",IF(OR(D1774="Butterfly",D1774="Butterfly ",D1774="Iron Fly", D1774="Iron Fly "),LEN(E1774)-LEN(SUBSTITUTE(E1774,"/",""))+2,LEN(E1774)-LEN(SUBSTITUTE(E1774,"/",""))+1))</f>
        <v/>
      </c>
      <c r="I1774" s="78">
        <f>IF(ISBLANK(G1774),"",IF(D1774="Stock","0",Key!$A$3*H1774*G1774))</f>
        <v/>
      </c>
      <c r="J1774" s="78">
        <f>IF(ISBLANK(E1774),"",IF(ISNUMBER(SEARCH("/",E1774)), IF(LEN(E1774)-LEN(SUBSTITUTE(E1774,"/",""))=1,(RIGHT(E1774,LEN(E1774)-FIND("/",E1774)))-(LEFT(E1774,FIND("/",E1774)-1)),(MID(E1774, SEARCH("/",E1774) + 1, SEARCH("/",E1774, SEARCH("/",E1774)+1) - SEARCH("/",E1774) - 1))-(LEFT(E1774,FIND("/",E1774)-1))), "NA"))</f>
        <v/>
      </c>
      <c r="K1774" s="79">
        <f>IF(A1774&lt;&gt;"", IF(ISBLANK(L1774), TODAY(), K1774), "")</f>
        <v/>
      </c>
      <c r="L1774" s="78" t="n"/>
      <c r="M1774" s="78">
        <f>IF(ISBLANK(L1774),"",IF(D1774="Stock",IF(C1774="Buy",L1774*G1774,IF(C1774="Sell",(L1774*G1774)-I1774, X)),IF(C1774="Buy",(L1774*G1774*100)+I1774,IF(C1774="Sell",(L1774*G1774*100)-I1774, X))))</f>
        <v/>
      </c>
      <c r="N1774" s="78">
        <f>IF(ISBLANK(L1774),"",IF(AND(C1774="Sell",D1774="Stock"),M1774,IF(ISBLANK(L1774),"",IF(C1774="Buy",M1774, IF(AND(C1774="Sell",J1774="NA"),(E1774*G1774*100*0.1)+I1774, IF(C1774="Sell",(J1774-L1774)*(100*G1774)+I1774))))))</f>
        <v/>
      </c>
      <c r="O1774" s="75" t="n"/>
      <c r="P1774" s="75" t="n"/>
      <c r="Q1774" s="75">
        <f>IF(ISBLANK(P1774),"",IF(D1774="Stock",P1774*G1774,IF(P1774=0,"0",G1774*P1774*100-(G1774*$AF$14))))</f>
        <v/>
      </c>
      <c r="R1774" s="79">
        <f>IF(P1774&lt;&gt;"", TODAY(), "")</f>
        <v/>
      </c>
      <c r="S1774" s="78">
        <f>IF(AND(K1774&lt;&gt;"", R1774&lt;&gt;""), R1774-K1774, "")</f>
        <v/>
      </c>
      <c r="T1774" s="78" t="n"/>
      <c r="U1774" s="92">
        <f>IF(ISBLANK(P1774),"",IF(C1774="Buy",Q1774-M1774+T1774, IF(C1774="Sell",M1774-Q1774-T1774, X)))</f>
        <v/>
      </c>
      <c r="V1774" s="81">
        <f>IF(ISBLANK(P1774),"",U1774/N1774)</f>
        <v/>
      </c>
      <c r="W1774" s="81">
        <f>IF(ISBLANK(P1774),"",IF(S1774=0,(365/0.5)*V1774,(365/S1774)*V1774))</f>
        <v/>
      </c>
      <c r="X1774" s="75" t="n"/>
      <c r="Y1774" s="77" t="n"/>
      <c r="Z1774" s="77" t="n"/>
      <c r="AA1774" s="75" t="n"/>
      <c r="AB1774" s="75" t="n"/>
      <c r="AC1774" s="6" t="n"/>
      <c r="AD1774" s="75" t="n"/>
      <c r="AE1774" s="75" t="n"/>
      <c r="AF1774" s="75" t="n"/>
    </row>
    <row r="1775" ht="15.75" customHeight="1" s="133">
      <c r="A1775" s="75" t="n"/>
      <c r="B1775" s="75" t="n"/>
      <c r="C1775" s="75" t="n"/>
      <c r="D1775" s="75" t="n"/>
      <c r="E1775" s="76" t="n"/>
      <c r="F1775" s="77" t="n"/>
      <c r="G1775" s="75" t="n"/>
      <c r="H1775" s="75">
        <f>IF(ISBLANK(E1775),"",IF(OR(D1775="Butterfly",D1775="Butterfly ",D1775="Iron Fly", D1775="Iron Fly "),LEN(E1775)-LEN(SUBSTITUTE(E1775,"/",""))+2,LEN(E1775)-LEN(SUBSTITUTE(E1775,"/",""))+1))</f>
        <v/>
      </c>
      <c r="I1775" s="78">
        <f>IF(ISBLANK(G1775),"",IF(D1775="Stock","0",Key!$A$3*H1775*G1775))</f>
        <v/>
      </c>
      <c r="J1775" s="78">
        <f>IF(ISBLANK(E1775),"",IF(ISNUMBER(SEARCH("/",E1775)), IF(LEN(E1775)-LEN(SUBSTITUTE(E1775,"/",""))=1,(RIGHT(E1775,LEN(E1775)-FIND("/",E1775)))-(LEFT(E1775,FIND("/",E1775)-1)),(MID(E1775, SEARCH("/",E1775) + 1, SEARCH("/",E1775, SEARCH("/",E1775)+1) - SEARCH("/",E1775) - 1))-(LEFT(E1775,FIND("/",E1775)-1))), "NA"))</f>
        <v/>
      </c>
      <c r="K1775" s="79">
        <f>IF(A1775&lt;&gt;"", IF(ISBLANK(L1775), TODAY(), K1775), "")</f>
        <v/>
      </c>
      <c r="L1775" s="78" t="n"/>
      <c r="M1775" s="78">
        <f>IF(ISBLANK(L1775),"",IF(D1775="Stock",IF(C1775="Buy",L1775*G1775,IF(C1775="Sell",(L1775*G1775)-I1775, X)),IF(C1775="Buy",(L1775*G1775*100)+I1775,IF(C1775="Sell",(L1775*G1775*100)-I1775, X))))</f>
        <v/>
      </c>
      <c r="N1775" s="78">
        <f>IF(ISBLANK(L1775),"",IF(AND(C1775="Sell",D1775="Stock"),M1775,IF(ISBLANK(L1775),"",IF(C1775="Buy",M1775, IF(AND(C1775="Sell",J1775="NA"),(E1775*G1775*100*0.1)+I1775, IF(C1775="Sell",(J1775-L1775)*(100*G1775)+I1775))))))</f>
        <v/>
      </c>
      <c r="O1775" s="75" t="n"/>
      <c r="P1775" s="75" t="n"/>
      <c r="Q1775" s="75">
        <f>IF(ISBLANK(P1775),"",IF(D1775="Stock",P1775*G1775,IF(P1775=0,"0",G1775*P1775*100-(G1775*$AF$14))))</f>
        <v/>
      </c>
      <c r="R1775" s="79">
        <f>IF(P1775&lt;&gt;"", TODAY(), "")</f>
        <v/>
      </c>
      <c r="S1775" s="78">
        <f>IF(AND(K1775&lt;&gt;"", R1775&lt;&gt;""), R1775-K1775, "")</f>
        <v/>
      </c>
      <c r="T1775" s="78" t="n"/>
      <c r="U1775" s="92">
        <f>IF(ISBLANK(P1775),"",IF(C1775="Buy",Q1775-M1775+T1775, IF(C1775="Sell",M1775-Q1775-T1775, X)))</f>
        <v/>
      </c>
      <c r="V1775" s="81">
        <f>IF(ISBLANK(P1775),"",U1775/N1775)</f>
        <v/>
      </c>
      <c r="W1775" s="81">
        <f>IF(ISBLANK(P1775),"",IF(S1775=0,(365/0.5)*V1775,(365/S1775)*V1775))</f>
        <v/>
      </c>
      <c r="X1775" s="75" t="n"/>
      <c r="Y1775" s="77" t="n"/>
      <c r="Z1775" s="77" t="n"/>
      <c r="AA1775" s="75" t="n"/>
      <c r="AB1775" s="75" t="n"/>
      <c r="AC1775" s="6" t="n"/>
      <c r="AD1775" s="75" t="n"/>
      <c r="AE1775" s="75" t="n"/>
      <c r="AF1775" s="75" t="n"/>
    </row>
    <row r="1776" ht="15.75" customHeight="1" s="133">
      <c r="A1776" s="75" t="n"/>
      <c r="B1776" s="75" t="n"/>
      <c r="C1776" s="75" t="n"/>
      <c r="D1776" s="75" t="n"/>
      <c r="E1776" s="76" t="n"/>
      <c r="F1776" s="77" t="n"/>
      <c r="G1776" s="75" t="n"/>
      <c r="H1776" s="75">
        <f>IF(ISBLANK(E1776),"",IF(OR(D1776="Butterfly",D1776="Butterfly ",D1776="Iron Fly", D1776="Iron Fly "),LEN(E1776)-LEN(SUBSTITUTE(E1776,"/",""))+2,LEN(E1776)-LEN(SUBSTITUTE(E1776,"/",""))+1))</f>
        <v/>
      </c>
      <c r="I1776" s="78">
        <f>IF(ISBLANK(G1776),"",IF(D1776="Stock","0",Key!$A$3*H1776*G1776))</f>
        <v/>
      </c>
      <c r="J1776" s="78">
        <f>IF(ISBLANK(E1776),"",IF(ISNUMBER(SEARCH("/",E1776)), IF(LEN(E1776)-LEN(SUBSTITUTE(E1776,"/",""))=1,(RIGHT(E1776,LEN(E1776)-FIND("/",E1776)))-(LEFT(E1776,FIND("/",E1776)-1)),(MID(E1776, SEARCH("/",E1776) + 1, SEARCH("/",E1776, SEARCH("/",E1776)+1) - SEARCH("/",E1776) - 1))-(LEFT(E1776,FIND("/",E1776)-1))), "NA"))</f>
        <v/>
      </c>
      <c r="K1776" s="79">
        <f>IF(A1776&lt;&gt;"", IF(ISBLANK(L1776), TODAY(), K1776), "")</f>
        <v/>
      </c>
      <c r="L1776" s="78" t="n"/>
      <c r="M1776" s="78">
        <f>IF(ISBLANK(L1776),"",IF(D1776="Stock",IF(C1776="Buy",L1776*G1776,IF(C1776="Sell",(L1776*G1776)-I1776, X)),IF(C1776="Buy",(L1776*G1776*100)+I1776,IF(C1776="Sell",(L1776*G1776*100)-I1776, X))))</f>
        <v/>
      </c>
      <c r="N1776" s="78">
        <f>IF(ISBLANK(L1776),"",IF(AND(C1776="Sell",D1776="Stock"),M1776,IF(ISBLANK(L1776),"",IF(C1776="Buy",M1776, IF(AND(C1776="Sell",J1776="NA"),(E1776*G1776*100*0.1)+I1776, IF(C1776="Sell",(J1776-L1776)*(100*G1776)+I1776))))))</f>
        <v/>
      </c>
      <c r="O1776" s="75" t="n"/>
      <c r="P1776" s="75" t="n"/>
      <c r="Q1776" s="75">
        <f>IF(ISBLANK(P1776),"",IF(D1776="Stock",P1776*G1776,IF(P1776=0,"0",G1776*P1776*100-(G1776*$AF$14))))</f>
        <v/>
      </c>
      <c r="R1776" s="79">
        <f>IF(P1776&lt;&gt;"", TODAY(), "")</f>
        <v/>
      </c>
      <c r="S1776" s="78">
        <f>IF(AND(K1776&lt;&gt;"", R1776&lt;&gt;""), R1776-K1776, "")</f>
        <v/>
      </c>
      <c r="T1776" s="78" t="n"/>
      <c r="U1776" s="92">
        <f>IF(ISBLANK(P1776),"",IF(C1776="Buy",Q1776-M1776+T1776, IF(C1776="Sell",M1776-Q1776-T1776, X)))</f>
        <v/>
      </c>
      <c r="V1776" s="81">
        <f>IF(ISBLANK(P1776),"",U1776/N1776)</f>
        <v/>
      </c>
      <c r="W1776" s="81">
        <f>IF(ISBLANK(P1776),"",IF(S1776=0,(365/0.5)*V1776,(365/S1776)*V1776))</f>
        <v/>
      </c>
      <c r="X1776" s="75" t="n"/>
      <c r="Y1776" s="77" t="n"/>
      <c r="Z1776" s="77" t="n"/>
      <c r="AA1776" s="75" t="n"/>
      <c r="AB1776" s="75" t="n"/>
      <c r="AC1776" s="6" t="n"/>
      <c r="AD1776" s="75" t="n"/>
      <c r="AE1776" s="75" t="n"/>
      <c r="AF1776" s="75" t="n"/>
    </row>
    <row r="1777" ht="15.75" customHeight="1" s="133">
      <c r="A1777" s="75" t="n"/>
      <c r="B1777" s="75" t="n"/>
      <c r="C1777" s="75" t="n"/>
      <c r="D1777" s="75" t="n"/>
      <c r="E1777" s="76" t="n"/>
      <c r="F1777" s="77" t="n"/>
      <c r="G1777" s="75" t="n"/>
      <c r="H1777" s="75">
        <f>IF(ISBLANK(E1777),"",IF(OR(D1777="Butterfly",D1777="Butterfly ",D1777="Iron Fly", D1777="Iron Fly "),LEN(E1777)-LEN(SUBSTITUTE(E1777,"/",""))+2,LEN(E1777)-LEN(SUBSTITUTE(E1777,"/",""))+1))</f>
        <v/>
      </c>
      <c r="I1777" s="78">
        <f>IF(ISBLANK(G1777),"",IF(D1777="Stock","0",Key!$A$3*H1777*G1777))</f>
        <v/>
      </c>
      <c r="J1777" s="78">
        <f>IF(ISBLANK(E1777),"",IF(ISNUMBER(SEARCH("/",E1777)), IF(LEN(E1777)-LEN(SUBSTITUTE(E1777,"/",""))=1,(RIGHT(E1777,LEN(E1777)-FIND("/",E1777)))-(LEFT(E1777,FIND("/",E1777)-1)),(MID(E1777, SEARCH("/",E1777) + 1, SEARCH("/",E1777, SEARCH("/",E1777)+1) - SEARCH("/",E1777) - 1))-(LEFT(E1777,FIND("/",E1777)-1))), "NA"))</f>
        <v/>
      </c>
      <c r="K1777" s="79">
        <f>IF(A1777&lt;&gt;"", IF(ISBLANK(L1777), TODAY(), K1777), "")</f>
        <v/>
      </c>
      <c r="L1777" s="78" t="n"/>
      <c r="M1777" s="78">
        <f>IF(ISBLANK(L1777),"",IF(D1777="Stock",IF(C1777="Buy",L1777*G1777,IF(C1777="Sell",(L1777*G1777)-I1777, X)),IF(C1777="Buy",(L1777*G1777*100)+I1777,IF(C1777="Sell",(L1777*G1777*100)-I1777, X))))</f>
        <v/>
      </c>
      <c r="N1777" s="78">
        <f>IF(ISBLANK(L1777),"",IF(AND(C1777="Sell",D1777="Stock"),M1777,IF(ISBLANK(L1777),"",IF(C1777="Buy",M1777, IF(AND(C1777="Sell",J1777="NA"),(E1777*G1777*100*0.1)+I1777, IF(C1777="Sell",(J1777-L1777)*(100*G1777)+I1777))))))</f>
        <v/>
      </c>
      <c r="O1777" s="75" t="n"/>
      <c r="P1777" s="75" t="n"/>
      <c r="Q1777" s="75">
        <f>IF(ISBLANK(P1777),"",IF(D1777="Stock",P1777*G1777,IF(P1777=0,"0",G1777*P1777*100-(G1777*$AF$14))))</f>
        <v/>
      </c>
      <c r="R1777" s="79">
        <f>IF(P1777&lt;&gt;"", TODAY(), "")</f>
        <v/>
      </c>
      <c r="S1777" s="78">
        <f>IF(AND(K1777&lt;&gt;"", R1777&lt;&gt;""), R1777-K1777, "")</f>
        <v/>
      </c>
      <c r="T1777" s="78" t="n"/>
      <c r="U1777" s="92">
        <f>IF(ISBLANK(P1777),"",IF(C1777="Buy",Q1777-M1777+T1777, IF(C1777="Sell",M1777-Q1777-T1777, X)))</f>
        <v/>
      </c>
      <c r="V1777" s="81">
        <f>IF(ISBLANK(P1777),"",U1777/N1777)</f>
        <v/>
      </c>
      <c r="W1777" s="81">
        <f>IF(ISBLANK(P1777),"",IF(S1777=0,(365/0.5)*V1777,(365/S1777)*V1777))</f>
        <v/>
      </c>
      <c r="X1777" s="75" t="n"/>
      <c r="Y1777" s="77" t="n"/>
      <c r="Z1777" s="77" t="n"/>
      <c r="AA1777" s="75" t="n"/>
      <c r="AB1777" s="75" t="n"/>
      <c r="AC1777" s="6" t="n"/>
      <c r="AD1777" s="75" t="n"/>
      <c r="AE1777" s="75" t="n"/>
      <c r="AF1777" s="75" t="n"/>
    </row>
    <row r="1778" ht="15.75" customHeight="1" s="133">
      <c r="A1778" s="75" t="n"/>
      <c r="B1778" s="75" t="n"/>
      <c r="C1778" s="75" t="n"/>
      <c r="D1778" s="75" t="n"/>
      <c r="E1778" s="76" t="n"/>
      <c r="F1778" s="77" t="n"/>
      <c r="G1778" s="75" t="n"/>
      <c r="H1778" s="75">
        <f>IF(ISBLANK(E1778),"",IF(OR(D1778="Butterfly",D1778="Butterfly ",D1778="Iron Fly", D1778="Iron Fly "),LEN(E1778)-LEN(SUBSTITUTE(E1778,"/",""))+2,LEN(E1778)-LEN(SUBSTITUTE(E1778,"/",""))+1))</f>
        <v/>
      </c>
      <c r="I1778" s="78">
        <f>IF(ISBLANK(G1778),"",IF(D1778="Stock","0",Key!$A$3*H1778*G1778))</f>
        <v/>
      </c>
      <c r="J1778" s="78">
        <f>IF(ISBLANK(E1778),"",IF(ISNUMBER(SEARCH("/",E1778)), IF(LEN(E1778)-LEN(SUBSTITUTE(E1778,"/",""))=1,(RIGHT(E1778,LEN(E1778)-FIND("/",E1778)))-(LEFT(E1778,FIND("/",E1778)-1)),(MID(E1778, SEARCH("/",E1778) + 1, SEARCH("/",E1778, SEARCH("/",E1778)+1) - SEARCH("/",E1778) - 1))-(LEFT(E1778,FIND("/",E1778)-1))), "NA"))</f>
        <v/>
      </c>
      <c r="K1778" s="79">
        <f>IF(A1778&lt;&gt;"", IF(ISBLANK(L1778), TODAY(), K1778), "")</f>
        <v/>
      </c>
      <c r="L1778" s="78" t="n"/>
      <c r="M1778" s="78">
        <f>IF(ISBLANK(L1778),"",IF(D1778="Stock",IF(C1778="Buy",L1778*G1778,IF(C1778="Sell",(L1778*G1778)-I1778, X)),IF(C1778="Buy",(L1778*G1778*100)+I1778,IF(C1778="Sell",(L1778*G1778*100)-I1778, X))))</f>
        <v/>
      </c>
      <c r="N1778" s="78">
        <f>IF(ISBLANK(L1778),"",IF(AND(C1778="Sell",D1778="Stock"),M1778,IF(ISBLANK(L1778),"",IF(C1778="Buy",M1778, IF(AND(C1778="Sell",J1778="NA"),(E1778*G1778*100*0.1)+I1778, IF(C1778="Sell",(J1778-L1778)*(100*G1778)+I1778))))))</f>
        <v/>
      </c>
      <c r="O1778" s="75" t="n"/>
      <c r="P1778" s="75" t="n"/>
      <c r="Q1778" s="75">
        <f>IF(ISBLANK(P1778),"",IF(D1778="Stock",P1778*G1778,IF(P1778=0,"0",G1778*P1778*100-(G1778*$AF$14))))</f>
        <v/>
      </c>
      <c r="R1778" s="79">
        <f>IF(P1778&lt;&gt;"", TODAY(), "")</f>
        <v/>
      </c>
      <c r="S1778" s="78">
        <f>IF(AND(K1778&lt;&gt;"", R1778&lt;&gt;""), R1778-K1778, "")</f>
        <v/>
      </c>
      <c r="T1778" s="78" t="n"/>
      <c r="U1778" s="92">
        <f>IF(ISBLANK(P1778),"",IF(C1778="Buy",Q1778-M1778+T1778, IF(C1778="Sell",M1778-Q1778-T1778, X)))</f>
        <v/>
      </c>
      <c r="V1778" s="81">
        <f>IF(ISBLANK(P1778),"",U1778/N1778)</f>
        <v/>
      </c>
      <c r="W1778" s="81">
        <f>IF(ISBLANK(P1778),"",IF(S1778=0,(365/0.5)*V1778,(365/S1778)*V1778))</f>
        <v/>
      </c>
      <c r="X1778" s="75" t="n"/>
      <c r="Y1778" s="77" t="n"/>
      <c r="Z1778" s="77" t="n"/>
      <c r="AA1778" s="75" t="n"/>
      <c r="AB1778" s="75" t="n"/>
      <c r="AC1778" s="6" t="n"/>
      <c r="AD1778" s="75" t="n"/>
      <c r="AE1778" s="75" t="n"/>
      <c r="AF1778" s="75" t="n"/>
    </row>
    <row r="1779" ht="15.75" customHeight="1" s="133">
      <c r="A1779" s="75" t="n"/>
      <c r="B1779" s="75" t="n"/>
      <c r="C1779" s="75" t="n"/>
      <c r="D1779" s="75" t="n"/>
      <c r="E1779" s="76" t="n"/>
      <c r="F1779" s="77" t="n"/>
      <c r="G1779" s="75" t="n"/>
      <c r="H1779" s="75">
        <f>IF(ISBLANK(E1779),"",IF(OR(D1779="Butterfly",D1779="Butterfly ",D1779="Iron Fly", D1779="Iron Fly "),LEN(E1779)-LEN(SUBSTITUTE(E1779,"/",""))+2,LEN(E1779)-LEN(SUBSTITUTE(E1779,"/",""))+1))</f>
        <v/>
      </c>
      <c r="I1779" s="78">
        <f>IF(ISBLANK(G1779),"",IF(D1779="Stock","0",Key!$A$3*H1779*G1779))</f>
        <v/>
      </c>
      <c r="J1779" s="78">
        <f>IF(ISBLANK(E1779),"",IF(ISNUMBER(SEARCH("/",E1779)), IF(LEN(E1779)-LEN(SUBSTITUTE(E1779,"/",""))=1,(RIGHT(E1779,LEN(E1779)-FIND("/",E1779)))-(LEFT(E1779,FIND("/",E1779)-1)),(MID(E1779, SEARCH("/",E1779) + 1, SEARCH("/",E1779, SEARCH("/",E1779)+1) - SEARCH("/",E1779) - 1))-(LEFT(E1779,FIND("/",E1779)-1))), "NA"))</f>
        <v/>
      </c>
      <c r="K1779" s="79">
        <f>IF(A1779&lt;&gt;"", IF(ISBLANK(L1779), TODAY(), K1779), "")</f>
        <v/>
      </c>
      <c r="L1779" s="78" t="n"/>
      <c r="M1779" s="78">
        <f>IF(ISBLANK(L1779),"",IF(D1779="Stock",IF(C1779="Buy",L1779*G1779,IF(C1779="Sell",(L1779*G1779)-I1779, X)),IF(C1779="Buy",(L1779*G1779*100)+I1779,IF(C1779="Sell",(L1779*G1779*100)-I1779, X))))</f>
        <v/>
      </c>
      <c r="N1779" s="78">
        <f>IF(ISBLANK(L1779),"",IF(AND(C1779="Sell",D1779="Stock"),M1779,IF(ISBLANK(L1779),"",IF(C1779="Buy",M1779, IF(AND(C1779="Sell",J1779="NA"),(E1779*G1779*100*0.1)+I1779, IF(C1779="Sell",(J1779-L1779)*(100*G1779)+I1779))))))</f>
        <v/>
      </c>
      <c r="O1779" s="75" t="n"/>
      <c r="P1779" s="75" t="n"/>
      <c r="Q1779" s="75">
        <f>IF(ISBLANK(P1779),"",IF(D1779="Stock",P1779*G1779,IF(P1779=0,"0",G1779*P1779*100-(G1779*$AF$14))))</f>
        <v/>
      </c>
      <c r="R1779" s="79">
        <f>IF(P1779&lt;&gt;"", TODAY(), "")</f>
        <v/>
      </c>
      <c r="S1779" s="78">
        <f>IF(AND(K1779&lt;&gt;"", R1779&lt;&gt;""), R1779-K1779, "")</f>
        <v/>
      </c>
      <c r="T1779" s="78" t="n"/>
      <c r="U1779" s="92">
        <f>IF(ISBLANK(P1779),"",IF(C1779="Buy",Q1779-M1779+T1779, IF(C1779="Sell",M1779-Q1779-T1779, X)))</f>
        <v/>
      </c>
      <c r="V1779" s="81">
        <f>IF(ISBLANK(P1779),"",U1779/N1779)</f>
        <v/>
      </c>
      <c r="W1779" s="81">
        <f>IF(ISBLANK(P1779),"",IF(S1779=0,(365/0.5)*V1779,(365/S1779)*V1779))</f>
        <v/>
      </c>
      <c r="X1779" s="75" t="n"/>
      <c r="Y1779" s="77" t="n"/>
      <c r="Z1779" s="77" t="n"/>
      <c r="AA1779" s="75" t="n"/>
      <c r="AB1779" s="75" t="n"/>
      <c r="AC1779" s="6" t="n"/>
      <c r="AD1779" s="75" t="n"/>
      <c r="AE1779" s="75" t="n"/>
      <c r="AF1779" s="75" t="n"/>
    </row>
    <row r="1780" ht="15.75" customHeight="1" s="133">
      <c r="A1780" s="75" t="n"/>
      <c r="B1780" s="75" t="n"/>
      <c r="C1780" s="75" t="n"/>
      <c r="D1780" s="75" t="n"/>
      <c r="E1780" s="76" t="n"/>
      <c r="F1780" s="77" t="n"/>
      <c r="G1780" s="75" t="n"/>
      <c r="H1780" s="75">
        <f>IF(ISBLANK(E1780),"",IF(OR(D1780="Butterfly",D1780="Butterfly ",D1780="Iron Fly", D1780="Iron Fly "),LEN(E1780)-LEN(SUBSTITUTE(E1780,"/",""))+2,LEN(E1780)-LEN(SUBSTITUTE(E1780,"/",""))+1))</f>
        <v/>
      </c>
      <c r="I1780" s="78">
        <f>IF(ISBLANK(G1780),"",IF(D1780="Stock","0",Key!$A$3*H1780*G1780))</f>
        <v/>
      </c>
      <c r="J1780" s="78">
        <f>IF(ISBLANK(E1780),"",IF(ISNUMBER(SEARCH("/",E1780)), IF(LEN(E1780)-LEN(SUBSTITUTE(E1780,"/",""))=1,(RIGHT(E1780,LEN(E1780)-FIND("/",E1780)))-(LEFT(E1780,FIND("/",E1780)-1)),(MID(E1780, SEARCH("/",E1780) + 1, SEARCH("/",E1780, SEARCH("/",E1780)+1) - SEARCH("/",E1780) - 1))-(LEFT(E1780,FIND("/",E1780)-1))), "NA"))</f>
        <v/>
      </c>
      <c r="K1780" s="79">
        <f>IF(A1780&lt;&gt;"", IF(ISBLANK(L1780), TODAY(), K1780), "")</f>
        <v/>
      </c>
      <c r="L1780" s="78" t="n"/>
      <c r="M1780" s="78">
        <f>IF(ISBLANK(L1780),"",IF(D1780="Stock",IF(C1780="Buy",L1780*G1780,IF(C1780="Sell",(L1780*G1780)-I1780, X)),IF(C1780="Buy",(L1780*G1780*100)+I1780,IF(C1780="Sell",(L1780*G1780*100)-I1780, X))))</f>
        <v/>
      </c>
      <c r="N1780" s="78">
        <f>IF(ISBLANK(L1780),"",IF(AND(C1780="Sell",D1780="Stock"),M1780,IF(ISBLANK(L1780),"",IF(C1780="Buy",M1780, IF(AND(C1780="Sell",J1780="NA"),(E1780*G1780*100*0.1)+I1780, IF(C1780="Sell",(J1780-L1780)*(100*G1780)+I1780))))))</f>
        <v/>
      </c>
      <c r="O1780" s="75" t="n"/>
      <c r="P1780" s="75" t="n"/>
      <c r="Q1780" s="75">
        <f>IF(ISBLANK(P1780),"",IF(D1780="Stock",P1780*G1780,IF(P1780=0,"0",G1780*P1780*100-(G1780*$AF$14))))</f>
        <v/>
      </c>
      <c r="R1780" s="79">
        <f>IF(P1780&lt;&gt;"", TODAY(), "")</f>
        <v/>
      </c>
      <c r="S1780" s="78">
        <f>IF(AND(K1780&lt;&gt;"", R1780&lt;&gt;""), R1780-K1780, "")</f>
        <v/>
      </c>
      <c r="T1780" s="78" t="n"/>
      <c r="U1780" s="92">
        <f>IF(ISBLANK(P1780),"",IF(C1780="Buy",Q1780-M1780+T1780, IF(C1780="Sell",M1780-Q1780-T1780, X)))</f>
        <v/>
      </c>
      <c r="V1780" s="81">
        <f>IF(ISBLANK(P1780),"",U1780/N1780)</f>
        <v/>
      </c>
      <c r="W1780" s="81">
        <f>IF(ISBLANK(P1780),"",IF(S1780=0,(365/0.5)*V1780,(365/S1780)*V1780))</f>
        <v/>
      </c>
      <c r="X1780" s="75" t="n"/>
      <c r="Y1780" s="77" t="n"/>
      <c r="Z1780" s="77" t="n"/>
      <c r="AA1780" s="75" t="n"/>
      <c r="AB1780" s="75" t="n"/>
      <c r="AC1780" s="6" t="n"/>
      <c r="AD1780" s="75" t="n"/>
      <c r="AE1780" s="75" t="n"/>
      <c r="AF1780" s="75" t="n"/>
    </row>
    <row r="1781" ht="15.75" customHeight="1" s="133">
      <c r="A1781" s="75" t="n"/>
      <c r="B1781" s="75" t="n"/>
      <c r="C1781" s="75" t="n"/>
      <c r="D1781" s="75" t="n"/>
      <c r="E1781" s="76" t="n"/>
      <c r="F1781" s="77" t="n"/>
      <c r="G1781" s="75" t="n"/>
      <c r="H1781" s="75">
        <f>IF(ISBLANK(E1781),"",IF(OR(D1781="Butterfly",D1781="Butterfly ",D1781="Iron Fly", D1781="Iron Fly "),LEN(E1781)-LEN(SUBSTITUTE(E1781,"/",""))+2,LEN(E1781)-LEN(SUBSTITUTE(E1781,"/",""))+1))</f>
        <v/>
      </c>
      <c r="I1781" s="78">
        <f>IF(ISBLANK(G1781),"",IF(D1781="Stock","0",Key!$A$3*H1781*G1781))</f>
        <v/>
      </c>
      <c r="J1781" s="78">
        <f>IF(ISBLANK(E1781),"",IF(ISNUMBER(SEARCH("/",E1781)), IF(LEN(E1781)-LEN(SUBSTITUTE(E1781,"/",""))=1,(RIGHT(E1781,LEN(E1781)-FIND("/",E1781)))-(LEFT(E1781,FIND("/",E1781)-1)),(MID(E1781, SEARCH("/",E1781) + 1, SEARCH("/",E1781, SEARCH("/",E1781)+1) - SEARCH("/",E1781) - 1))-(LEFT(E1781,FIND("/",E1781)-1))), "NA"))</f>
        <v/>
      </c>
      <c r="K1781" s="79">
        <f>IF(A1781&lt;&gt;"", IF(ISBLANK(L1781), TODAY(), K1781), "")</f>
        <v/>
      </c>
      <c r="L1781" s="78" t="n"/>
      <c r="M1781" s="78">
        <f>IF(ISBLANK(L1781),"",IF(D1781="Stock",IF(C1781="Buy",L1781*G1781,IF(C1781="Sell",(L1781*G1781)-I1781, X)),IF(C1781="Buy",(L1781*G1781*100)+I1781,IF(C1781="Sell",(L1781*G1781*100)-I1781, X))))</f>
        <v/>
      </c>
      <c r="N1781" s="78">
        <f>IF(ISBLANK(L1781),"",IF(AND(C1781="Sell",D1781="Stock"),M1781,IF(ISBLANK(L1781),"",IF(C1781="Buy",M1781, IF(AND(C1781="Sell",J1781="NA"),(E1781*G1781*100*0.1)+I1781, IF(C1781="Sell",(J1781-L1781)*(100*G1781)+I1781))))))</f>
        <v/>
      </c>
      <c r="O1781" s="75" t="n"/>
      <c r="P1781" s="75" t="n"/>
      <c r="Q1781" s="75">
        <f>IF(ISBLANK(P1781),"",IF(D1781="Stock",P1781*G1781,IF(P1781=0,"0",G1781*P1781*100-(G1781*$AF$14))))</f>
        <v/>
      </c>
      <c r="R1781" s="79">
        <f>IF(P1781&lt;&gt;"", TODAY(), "")</f>
        <v/>
      </c>
      <c r="S1781" s="78">
        <f>IF(AND(K1781&lt;&gt;"", R1781&lt;&gt;""), R1781-K1781, "")</f>
        <v/>
      </c>
      <c r="T1781" s="78" t="n"/>
      <c r="U1781" s="92">
        <f>IF(ISBLANK(P1781),"",IF(C1781="Buy",Q1781-M1781+T1781, IF(C1781="Sell",M1781-Q1781-T1781, X)))</f>
        <v/>
      </c>
      <c r="V1781" s="81">
        <f>IF(ISBLANK(P1781),"",U1781/N1781)</f>
        <v/>
      </c>
      <c r="W1781" s="81">
        <f>IF(ISBLANK(P1781),"",IF(S1781=0,(365/0.5)*V1781,(365/S1781)*V1781))</f>
        <v/>
      </c>
      <c r="X1781" s="75" t="n"/>
      <c r="Y1781" s="77" t="n"/>
      <c r="Z1781" s="77" t="n"/>
      <c r="AA1781" s="75" t="n"/>
      <c r="AB1781" s="75" t="n"/>
      <c r="AC1781" s="6" t="n"/>
      <c r="AD1781" s="75" t="n"/>
      <c r="AE1781" s="75" t="n"/>
      <c r="AF1781" s="75" t="n"/>
    </row>
    <row r="1782" ht="15.75" customHeight="1" s="133">
      <c r="A1782" s="75" t="n"/>
      <c r="B1782" s="75" t="n"/>
      <c r="C1782" s="75" t="n"/>
      <c r="D1782" s="75" t="n"/>
      <c r="E1782" s="76" t="n"/>
      <c r="F1782" s="77" t="n"/>
      <c r="G1782" s="75" t="n"/>
      <c r="H1782" s="75">
        <f>IF(ISBLANK(E1782),"",IF(OR(D1782="Butterfly",D1782="Butterfly ",D1782="Iron Fly", D1782="Iron Fly "),LEN(E1782)-LEN(SUBSTITUTE(E1782,"/",""))+2,LEN(E1782)-LEN(SUBSTITUTE(E1782,"/",""))+1))</f>
        <v/>
      </c>
      <c r="I1782" s="78">
        <f>IF(ISBLANK(G1782),"",IF(D1782="Stock","0",Key!$A$3*H1782*G1782))</f>
        <v/>
      </c>
      <c r="J1782" s="78">
        <f>IF(ISBLANK(E1782),"",IF(ISNUMBER(SEARCH("/",E1782)), IF(LEN(E1782)-LEN(SUBSTITUTE(E1782,"/",""))=1,(RIGHT(E1782,LEN(E1782)-FIND("/",E1782)))-(LEFT(E1782,FIND("/",E1782)-1)),(MID(E1782, SEARCH("/",E1782) + 1, SEARCH("/",E1782, SEARCH("/",E1782)+1) - SEARCH("/",E1782) - 1))-(LEFT(E1782,FIND("/",E1782)-1))), "NA"))</f>
        <v/>
      </c>
      <c r="K1782" s="79">
        <f>IF(A1782&lt;&gt;"", IF(ISBLANK(L1782), TODAY(), K1782), "")</f>
        <v/>
      </c>
      <c r="L1782" s="78" t="n"/>
      <c r="M1782" s="78">
        <f>IF(ISBLANK(L1782),"",IF(D1782="Stock",IF(C1782="Buy",L1782*G1782,IF(C1782="Sell",(L1782*G1782)-I1782, X)),IF(C1782="Buy",(L1782*G1782*100)+I1782,IF(C1782="Sell",(L1782*G1782*100)-I1782, X))))</f>
        <v/>
      </c>
      <c r="N1782" s="78">
        <f>IF(ISBLANK(L1782),"",IF(AND(C1782="Sell",D1782="Stock"),M1782,IF(ISBLANK(L1782),"",IF(C1782="Buy",M1782, IF(AND(C1782="Sell",J1782="NA"),(E1782*G1782*100*0.1)+I1782, IF(C1782="Sell",(J1782-L1782)*(100*G1782)+I1782))))))</f>
        <v/>
      </c>
      <c r="O1782" s="75" t="n"/>
      <c r="P1782" s="75" t="n"/>
      <c r="Q1782" s="75">
        <f>IF(ISBLANK(P1782),"",IF(D1782="Stock",P1782*G1782,IF(P1782=0,"0",G1782*P1782*100-(G1782*$AF$14))))</f>
        <v/>
      </c>
      <c r="R1782" s="79">
        <f>IF(P1782&lt;&gt;"", TODAY(), "")</f>
        <v/>
      </c>
      <c r="S1782" s="78">
        <f>IF(AND(K1782&lt;&gt;"", R1782&lt;&gt;""), R1782-K1782, "")</f>
        <v/>
      </c>
      <c r="T1782" s="78" t="n"/>
      <c r="U1782" s="92">
        <f>IF(ISBLANK(P1782),"",IF(C1782="Buy",Q1782-M1782+T1782, IF(C1782="Sell",M1782-Q1782-T1782, X)))</f>
        <v/>
      </c>
      <c r="V1782" s="81">
        <f>IF(ISBLANK(P1782),"",U1782/N1782)</f>
        <v/>
      </c>
      <c r="W1782" s="81">
        <f>IF(ISBLANK(P1782),"",IF(S1782=0,(365/0.5)*V1782,(365/S1782)*V1782))</f>
        <v/>
      </c>
      <c r="X1782" s="75" t="n"/>
      <c r="Y1782" s="77" t="n"/>
      <c r="Z1782" s="77" t="n"/>
      <c r="AA1782" s="75" t="n"/>
      <c r="AB1782" s="75" t="n"/>
      <c r="AC1782" s="6" t="n"/>
      <c r="AD1782" s="75" t="n"/>
      <c r="AE1782" s="75" t="n"/>
      <c r="AF1782" s="75" t="n"/>
    </row>
    <row r="1783" ht="15.75" customHeight="1" s="133">
      <c r="A1783" s="75" t="n"/>
      <c r="B1783" s="75" t="n"/>
      <c r="C1783" s="75" t="n"/>
      <c r="D1783" s="75" t="n"/>
      <c r="E1783" s="76" t="n"/>
      <c r="F1783" s="77" t="n"/>
      <c r="G1783" s="75" t="n"/>
      <c r="H1783" s="75">
        <f>IF(ISBLANK(E1783),"",IF(OR(D1783="Butterfly",D1783="Butterfly ",D1783="Iron Fly", D1783="Iron Fly "),LEN(E1783)-LEN(SUBSTITUTE(E1783,"/",""))+2,LEN(E1783)-LEN(SUBSTITUTE(E1783,"/",""))+1))</f>
        <v/>
      </c>
      <c r="I1783" s="78">
        <f>IF(ISBLANK(G1783),"",IF(D1783="Stock","0",Key!$A$3*H1783*G1783))</f>
        <v/>
      </c>
      <c r="J1783" s="78">
        <f>IF(ISBLANK(E1783),"",IF(ISNUMBER(SEARCH("/",E1783)), IF(LEN(E1783)-LEN(SUBSTITUTE(E1783,"/",""))=1,(RIGHT(E1783,LEN(E1783)-FIND("/",E1783)))-(LEFT(E1783,FIND("/",E1783)-1)),(MID(E1783, SEARCH("/",E1783) + 1, SEARCH("/",E1783, SEARCH("/",E1783)+1) - SEARCH("/",E1783) - 1))-(LEFT(E1783,FIND("/",E1783)-1))), "NA"))</f>
        <v/>
      </c>
      <c r="K1783" s="79">
        <f>IF(A1783&lt;&gt;"", IF(ISBLANK(L1783), TODAY(), K1783), "")</f>
        <v/>
      </c>
      <c r="L1783" s="78" t="n"/>
      <c r="M1783" s="78">
        <f>IF(ISBLANK(L1783),"",IF(D1783="Stock",IF(C1783="Buy",L1783*G1783,IF(C1783="Sell",(L1783*G1783)-I1783, X)),IF(C1783="Buy",(L1783*G1783*100)+I1783,IF(C1783="Sell",(L1783*G1783*100)-I1783, X))))</f>
        <v/>
      </c>
      <c r="N1783" s="78">
        <f>IF(ISBLANK(L1783),"",IF(AND(C1783="Sell",D1783="Stock"),M1783,IF(ISBLANK(L1783),"",IF(C1783="Buy",M1783, IF(AND(C1783="Sell",J1783="NA"),(E1783*G1783*100*0.1)+I1783, IF(C1783="Sell",(J1783-L1783)*(100*G1783)+I1783))))))</f>
        <v/>
      </c>
      <c r="O1783" s="75" t="n"/>
      <c r="P1783" s="75" t="n"/>
      <c r="Q1783" s="75">
        <f>IF(ISBLANK(P1783),"",IF(D1783="Stock",P1783*G1783,IF(P1783=0,"0",G1783*P1783*100-(G1783*$AF$14))))</f>
        <v/>
      </c>
      <c r="R1783" s="79">
        <f>IF(P1783&lt;&gt;"", TODAY(), "")</f>
        <v/>
      </c>
      <c r="S1783" s="78">
        <f>IF(AND(K1783&lt;&gt;"", R1783&lt;&gt;""), R1783-K1783, "")</f>
        <v/>
      </c>
      <c r="T1783" s="78" t="n"/>
      <c r="U1783" s="92">
        <f>IF(ISBLANK(P1783),"",IF(C1783="Buy",Q1783-M1783+T1783, IF(C1783="Sell",M1783-Q1783-T1783, X)))</f>
        <v/>
      </c>
      <c r="V1783" s="81">
        <f>IF(ISBLANK(P1783),"",U1783/N1783)</f>
        <v/>
      </c>
      <c r="W1783" s="81">
        <f>IF(ISBLANK(P1783),"",IF(S1783=0,(365/0.5)*V1783,(365/S1783)*V1783))</f>
        <v/>
      </c>
      <c r="X1783" s="75" t="n"/>
      <c r="Y1783" s="77" t="n"/>
      <c r="Z1783" s="77" t="n"/>
      <c r="AA1783" s="75" t="n"/>
      <c r="AB1783" s="75" t="n"/>
      <c r="AC1783" s="6" t="n"/>
      <c r="AD1783" s="75" t="n"/>
      <c r="AE1783" s="75" t="n"/>
      <c r="AF1783" s="75" t="n"/>
    </row>
    <row r="1784" ht="15.75" customHeight="1" s="133">
      <c r="A1784" s="75" t="n"/>
      <c r="B1784" s="75" t="n"/>
      <c r="C1784" s="75" t="n"/>
      <c r="D1784" s="75" t="n"/>
      <c r="E1784" s="76" t="n"/>
      <c r="F1784" s="77" t="n"/>
      <c r="G1784" s="75" t="n"/>
      <c r="H1784" s="75">
        <f>IF(ISBLANK(E1784),"",IF(OR(D1784="Butterfly",D1784="Butterfly ",D1784="Iron Fly", D1784="Iron Fly "),LEN(E1784)-LEN(SUBSTITUTE(E1784,"/",""))+2,LEN(E1784)-LEN(SUBSTITUTE(E1784,"/",""))+1))</f>
        <v/>
      </c>
      <c r="I1784" s="78">
        <f>IF(ISBLANK(G1784),"",IF(D1784="Stock","0",Key!$A$3*H1784*G1784))</f>
        <v/>
      </c>
      <c r="J1784" s="78">
        <f>IF(ISBLANK(E1784),"",IF(ISNUMBER(SEARCH("/",E1784)), IF(LEN(E1784)-LEN(SUBSTITUTE(E1784,"/",""))=1,(RIGHT(E1784,LEN(E1784)-FIND("/",E1784)))-(LEFT(E1784,FIND("/",E1784)-1)),(MID(E1784, SEARCH("/",E1784) + 1, SEARCH("/",E1784, SEARCH("/",E1784)+1) - SEARCH("/",E1784) - 1))-(LEFT(E1784,FIND("/",E1784)-1))), "NA"))</f>
        <v/>
      </c>
      <c r="K1784" s="79">
        <f>IF(A1784&lt;&gt;"", IF(ISBLANK(L1784), TODAY(), K1784), "")</f>
        <v/>
      </c>
      <c r="L1784" s="78" t="n"/>
      <c r="M1784" s="78">
        <f>IF(ISBLANK(L1784),"",IF(D1784="Stock",IF(C1784="Buy",L1784*G1784,IF(C1784="Sell",(L1784*G1784)-I1784, X)),IF(C1784="Buy",(L1784*G1784*100)+I1784,IF(C1784="Sell",(L1784*G1784*100)-I1784, X))))</f>
        <v/>
      </c>
      <c r="N1784" s="78">
        <f>IF(ISBLANK(L1784),"",IF(AND(C1784="Sell",D1784="Stock"),M1784,IF(ISBLANK(L1784),"",IF(C1784="Buy",M1784, IF(AND(C1784="Sell",J1784="NA"),(E1784*G1784*100*0.1)+I1784, IF(C1784="Sell",(J1784-L1784)*(100*G1784)+I1784))))))</f>
        <v/>
      </c>
      <c r="O1784" s="75" t="n"/>
      <c r="P1784" s="75" t="n"/>
      <c r="Q1784" s="75">
        <f>IF(ISBLANK(P1784),"",IF(D1784="Stock",P1784*G1784,IF(P1784=0,"0",G1784*P1784*100-(G1784*$AF$14))))</f>
        <v/>
      </c>
      <c r="R1784" s="79">
        <f>IF(P1784&lt;&gt;"", TODAY(), "")</f>
        <v/>
      </c>
      <c r="S1784" s="78">
        <f>IF(AND(K1784&lt;&gt;"", R1784&lt;&gt;""), R1784-K1784, "")</f>
        <v/>
      </c>
      <c r="T1784" s="78" t="n"/>
      <c r="U1784" s="92">
        <f>IF(ISBLANK(P1784),"",IF(C1784="Buy",Q1784-M1784+T1784, IF(C1784="Sell",M1784-Q1784-T1784, X)))</f>
        <v/>
      </c>
      <c r="V1784" s="81">
        <f>IF(ISBLANK(P1784),"",U1784/N1784)</f>
        <v/>
      </c>
      <c r="W1784" s="81">
        <f>IF(ISBLANK(P1784),"",IF(S1784=0,(365/0.5)*V1784,(365/S1784)*V1784))</f>
        <v/>
      </c>
      <c r="X1784" s="75" t="n"/>
      <c r="Y1784" s="77" t="n"/>
      <c r="Z1784" s="77" t="n"/>
      <c r="AA1784" s="75" t="n"/>
      <c r="AB1784" s="75" t="n"/>
      <c r="AC1784" s="6" t="n"/>
      <c r="AD1784" s="75" t="n"/>
      <c r="AE1784" s="75" t="n"/>
      <c r="AF1784" s="75" t="n"/>
    </row>
    <row r="1785" ht="15.75" customHeight="1" s="133">
      <c r="A1785" s="75" t="n"/>
      <c r="B1785" s="75" t="n"/>
      <c r="C1785" s="75" t="n"/>
      <c r="D1785" s="75" t="n"/>
      <c r="E1785" s="76" t="n"/>
      <c r="F1785" s="77" t="n"/>
      <c r="G1785" s="75" t="n"/>
      <c r="H1785" s="75">
        <f>IF(ISBLANK(E1785),"",IF(OR(D1785="Butterfly",D1785="Butterfly ",D1785="Iron Fly", D1785="Iron Fly "),LEN(E1785)-LEN(SUBSTITUTE(E1785,"/",""))+2,LEN(E1785)-LEN(SUBSTITUTE(E1785,"/",""))+1))</f>
        <v/>
      </c>
      <c r="I1785" s="78">
        <f>IF(ISBLANK(G1785),"",IF(D1785="Stock","0",Key!$A$3*H1785*G1785))</f>
        <v/>
      </c>
      <c r="J1785" s="78">
        <f>IF(ISBLANK(E1785),"",IF(ISNUMBER(SEARCH("/",E1785)), IF(LEN(E1785)-LEN(SUBSTITUTE(E1785,"/",""))=1,(RIGHT(E1785,LEN(E1785)-FIND("/",E1785)))-(LEFT(E1785,FIND("/",E1785)-1)),(MID(E1785, SEARCH("/",E1785) + 1, SEARCH("/",E1785, SEARCH("/",E1785)+1) - SEARCH("/",E1785) - 1))-(LEFT(E1785,FIND("/",E1785)-1))), "NA"))</f>
        <v/>
      </c>
      <c r="K1785" s="79">
        <f>IF(A1785&lt;&gt;"", IF(ISBLANK(L1785), TODAY(), K1785), "")</f>
        <v/>
      </c>
      <c r="L1785" s="78" t="n"/>
      <c r="M1785" s="78">
        <f>IF(ISBLANK(L1785),"",IF(D1785="Stock",IF(C1785="Buy",L1785*G1785,IF(C1785="Sell",(L1785*G1785)-I1785, X)),IF(C1785="Buy",(L1785*G1785*100)+I1785,IF(C1785="Sell",(L1785*G1785*100)-I1785, X))))</f>
        <v/>
      </c>
      <c r="N1785" s="78">
        <f>IF(ISBLANK(L1785),"",IF(AND(C1785="Sell",D1785="Stock"),M1785,IF(ISBLANK(L1785),"",IF(C1785="Buy",M1785, IF(AND(C1785="Sell",J1785="NA"),(E1785*G1785*100*0.1)+I1785, IF(C1785="Sell",(J1785-L1785)*(100*G1785)+I1785))))))</f>
        <v/>
      </c>
      <c r="O1785" s="75" t="n"/>
      <c r="P1785" s="75" t="n"/>
      <c r="Q1785" s="75">
        <f>IF(ISBLANK(P1785),"",IF(D1785="Stock",P1785*G1785,IF(P1785=0,"0",G1785*P1785*100-(G1785*$AF$14))))</f>
        <v/>
      </c>
      <c r="R1785" s="79">
        <f>IF(P1785&lt;&gt;"", TODAY(), "")</f>
        <v/>
      </c>
      <c r="S1785" s="78">
        <f>IF(AND(K1785&lt;&gt;"", R1785&lt;&gt;""), R1785-K1785, "")</f>
        <v/>
      </c>
      <c r="T1785" s="78" t="n"/>
      <c r="U1785" s="92">
        <f>IF(ISBLANK(P1785),"",IF(C1785="Buy",Q1785-M1785+T1785, IF(C1785="Sell",M1785-Q1785-T1785, X)))</f>
        <v/>
      </c>
      <c r="V1785" s="81">
        <f>IF(ISBLANK(P1785),"",U1785/N1785)</f>
        <v/>
      </c>
      <c r="W1785" s="81">
        <f>IF(ISBLANK(P1785),"",IF(S1785=0,(365/0.5)*V1785,(365/S1785)*V1785))</f>
        <v/>
      </c>
      <c r="X1785" s="75" t="n"/>
      <c r="Y1785" s="77" t="n"/>
      <c r="Z1785" s="77" t="n"/>
      <c r="AA1785" s="75" t="n"/>
      <c r="AB1785" s="75" t="n"/>
      <c r="AC1785" s="6" t="n"/>
      <c r="AD1785" s="75" t="n"/>
      <c r="AE1785" s="75" t="n"/>
      <c r="AF1785" s="75" t="n"/>
    </row>
    <row r="1786" ht="15.75" customHeight="1" s="133">
      <c r="A1786" s="75" t="n"/>
      <c r="B1786" s="75" t="n"/>
      <c r="C1786" s="75" t="n"/>
      <c r="D1786" s="75" t="n"/>
      <c r="E1786" s="76" t="n"/>
      <c r="F1786" s="77" t="n"/>
      <c r="G1786" s="75" t="n"/>
      <c r="H1786" s="75">
        <f>IF(ISBLANK(E1786),"",IF(OR(D1786="Butterfly",D1786="Butterfly ",D1786="Iron Fly", D1786="Iron Fly "),LEN(E1786)-LEN(SUBSTITUTE(E1786,"/",""))+2,LEN(E1786)-LEN(SUBSTITUTE(E1786,"/",""))+1))</f>
        <v/>
      </c>
      <c r="I1786" s="78">
        <f>IF(ISBLANK(G1786),"",IF(D1786="Stock","0",Key!$A$3*H1786*G1786))</f>
        <v/>
      </c>
      <c r="J1786" s="78">
        <f>IF(ISBLANK(E1786),"",IF(ISNUMBER(SEARCH("/",E1786)), IF(LEN(E1786)-LEN(SUBSTITUTE(E1786,"/",""))=1,(RIGHT(E1786,LEN(E1786)-FIND("/",E1786)))-(LEFT(E1786,FIND("/",E1786)-1)),(MID(E1786, SEARCH("/",E1786) + 1, SEARCH("/",E1786, SEARCH("/",E1786)+1) - SEARCH("/",E1786) - 1))-(LEFT(E1786,FIND("/",E1786)-1))), "NA"))</f>
        <v/>
      </c>
      <c r="K1786" s="79">
        <f>IF(A1786&lt;&gt;"", IF(ISBLANK(L1786), TODAY(), K1786), "")</f>
        <v/>
      </c>
      <c r="L1786" s="78" t="n"/>
      <c r="M1786" s="78">
        <f>IF(ISBLANK(L1786),"",IF(D1786="Stock",IF(C1786="Buy",L1786*G1786,IF(C1786="Sell",(L1786*G1786)-I1786, X)),IF(C1786="Buy",(L1786*G1786*100)+I1786,IF(C1786="Sell",(L1786*G1786*100)-I1786, X))))</f>
        <v/>
      </c>
      <c r="N1786" s="78">
        <f>IF(ISBLANK(L1786),"",IF(AND(C1786="Sell",D1786="Stock"),M1786,IF(ISBLANK(L1786),"",IF(C1786="Buy",M1786, IF(AND(C1786="Sell",J1786="NA"),(E1786*G1786*100*0.1)+I1786, IF(C1786="Sell",(J1786-L1786)*(100*G1786)+I1786))))))</f>
        <v/>
      </c>
      <c r="O1786" s="75" t="n"/>
      <c r="P1786" s="75" t="n"/>
      <c r="Q1786" s="75">
        <f>IF(ISBLANK(P1786),"",IF(D1786="Stock",P1786*G1786,IF(P1786=0,"0",G1786*P1786*100-(G1786*$AF$14))))</f>
        <v/>
      </c>
      <c r="R1786" s="79">
        <f>IF(P1786&lt;&gt;"", TODAY(), "")</f>
        <v/>
      </c>
      <c r="S1786" s="78">
        <f>IF(AND(K1786&lt;&gt;"", R1786&lt;&gt;""), R1786-K1786, "")</f>
        <v/>
      </c>
      <c r="T1786" s="78" t="n"/>
      <c r="U1786" s="92">
        <f>IF(ISBLANK(P1786),"",IF(C1786="Buy",Q1786-M1786+T1786, IF(C1786="Sell",M1786-Q1786-T1786, X)))</f>
        <v/>
      </c>
      <c r="V1786" s="81">
        <f>IF(ISBLANK(P1786),"",U1786/N1786)</f>
        <v/>
      </c>
      <c r="W1786" s="81">
        <f>IF(ISBLANK(P1786),"",IF(S1786=0,(365/0.5)*V1786,(365/S1786)*V1786))</f>
        <v/>
      </c>
      <c r="X1786" s="75" t="n"/>
      <c r="Y1786" s="77" t="n"/>
      <c r="Z1786" s="77" t="n"/>
      <c r="AA1786" s="75" t="n"/>
      <c r="AB1786" s="75" t="n"/>
      <c r="AC1786" s="6" t="n"/>
      <c r="AD1786" s="75" t="n"/>
      <c r="AE1786" s="75" t="n"/>
      <c r="AF1786" s="75" t="n"/>
    </row>
    <row r="1787" ht="15.75" customHeight="1" s="133">
      <c r="A1787" s="75" t="n"/>
      <c r="B1787" s="75" t="n"/>
      <c r="C1787" s="75" t="n"/>
      <c r="D1787" s="75" t="n"/>
      <c r="E1787" s="76" t="n"/>
      <c r="F1787" s="77" t="n"/>
      <c r="G1787" s="75" t="n"/>
      <c r="H1787" s="75">
        <f>IF(ISBLANK(E1787),"",IF(OR(D1787="Butterfly",D1787="Butterfly ",D1787="Iron Fly", D1787="Iron Fly "),LEN(E1787)-LEN(SUBSTITUTE(E1787,"/",""))+2,LEN(E1787)-LEN(SUBSTITUTE(E1787,"/",""))+1))</f>
        <v/>
      </c>
      <c r="I1787" s="78">
        <f>IF(ISBLANK(G1787),"",IF(D1787="Stock","0",Key!$A$3*H1787*G1787))</f>
        <v/>
      </c>
      <c r="J1787" s="78">
        <f>IF(ISBLANK(E1787),"",IF(ISNUMBER(SEARCH("/",E1787)), IF(LEN(E1787)-LEN(SUBSTITUTE(E1787,"/",""))=1,(RIGHT(E1787,LEN(E1787)-FIND("/",E1787)))-(LEFT(E1787,FIND("/",E1787)-1)),(MID(E1787, SEARCH("/",E1787) + 1, SEARCH("/",E1787, SEARCH("/",E1787)+1) - SEARCH("/",E1787) - 1))-(LEFT(E1787,FIND("/",E1787)-1))), "NA"))</f>
        <v/>
      </c>
      <c r="K1787" s="79">
        <f>IF(A1787&lt;&gt;"", IF(ISBLANK(L1787), TODAY(), K1787), "")</f>
        <v/>
      </c>
      <c r="L1787" s="78" t="n"/>
      <c r="M1787" s="78">
        <f>IF(ISBLANK(L1787),"",IF(D1787="Stock",IF(C1787="Buy",L1787*G1787,IF(C1787="Sell",(L1787*G1787)-I1787, X)),IF(C1787="Buy",(L1787*G1787*100)+I1787,IF(C1787="Sell",(L1787*G1787*100)-I1787, X))))</f>
        <v/>
      </c>
      <c r="N1787" s="78">
        <f>IF(ISBLANK(L1787),"",IF(AND(C1787="Sell",D1787="Stock"),M1787,IF(ISBLANK(L1787),"",IF(C1787="Buy",M1787, IF(AND(C1787="Sell",J1787="NA"),(E1787*G1787*100*0.1)+I1787, IF(C1787="Sell",(J1787-L1787)*(100*G1787)+I1787))))))</f>
        <v/>
      </c>
      <c r="O1787" s="75" t="n"/>
      <c r="P1787" s="75" t="n"/>
      <c r="Q1787" s="75">
        <f>IF(ISBLANK(P1787),"",IF(D1787="Stock",P1787*G1787,IF(P1787=0,"0",G1787*P1787*100-(G1787*$AF$14))))</f>
        <v/>
      </c>
      <c r="R1787" s="79">
        <f>IF(P1787&lt;&gt;"", TODAY(), "")</f>
        <v/>
      </c>
      <c r="S1787" s="78">
        <f>IF(AND(K1787&lt;&gt;"", R1787&lt;&gt;""), R1787-K1787, "")</f>
        <v/>
      </c>
      <c r="T1787" s="78" t="n"/>
      <c r="U1787" s="92">
        <f>IF(ISBLANK(P1787),"",IF(C1787="Buy",Q1787-M1787+T1787, IF(C1787="Sell",M1787-Q1787-T1787, X)))</f>
        <v/>
      </c>
      <c r="V1787" s="81">
        <f>IF(ISBLANK(P1787),"",U1787/N1787)</f>
        <v/>
      </c>
      <c r="W1787" s="81">
        <f>IF(ISBLANK(P1787),"",IF(S1787=0,(365/0.5)*V1787,(365/S1787)*V1787))</f>
        <v/>
      </c>
      <c r="X1787" s="75" t="n"/>
      <c r="Y1787" s="77" t="n"/>
      <c r="Z1787" s="77" t="n"/>
      <c r="AA1787" s="75" t="n"/>
      <c r="AB1787" s="75" t="n"/>
      <c r="AC1787" s="6" t="n"/>
      <c r="AD1787" s="75" t="n"/>
      <c r="AE1787" s="75" t="n"/>
      <c r="AF1787" s="75" t="n"/>
    </row>
    <row r="1788" ht="15.75" customHeight="1" s="133">
      <c r="A1788" s="75" t="n"/>
      <c r="B1788" s="75" t="n"/>
      <c r="C1788" s="75" t="n"/>
      <c r="D1788" s="75" t="n"/>
      <c r="E1788" s="76" t="n"/>
      <c r="F1788" s="77" t="n"/>
      <c r="G1788" s="75" t="n"/>
      <c r="H1788" s="75">
        <f>IF(ISBLANK(E1788),"",IF(OR(D1788="Butterfly",D1788="Butterfly ",D1788="Iron Fly", D1788="Iron Fly "),LEN(E1788)-LEN(SUBSTITUTE(E1788,"/",""))+2,LEN(E1788)-LEN(SUBSTITUTE(E1788,"/",""))+1))</f>
        <v/>
      </c>
      <c r="I1788" s="78">
        <f>IF(ISBLANK(G1788),"",IF(D1788="Stock","0",Key!$A$3*H1788*G1788))</f>
        <v/>
      </c>
      <c r="J1788" s="78">
        <f>IF(ISBLANK(E1788),"",IF(ISNUMBER(SEARCH("/",E1788)), IF(LEN(E1788)-LEN(SUBSTITUTE(E1788,"/",""))=1,(RIGHT(E1788,LEN(E1788)-FIND("/",E1788)))-(LEFT(E1788,FIND("/",E1788)-1)),(MID(E1788, SEARCH("/",E1788) + 1, SEARCH("/",E1788, SEARCH("/",E1788)+1) - SEARCH("/",E1788) - 1))-(LEFT(E1788,FIND("/",E1788)-1))), "NA"))</f>
        <v/>
      </c>
      <c r="K1788" s="79">
        <f>IF(A1788&lt;&gt;"", IF(ISBLANK(L1788), TODAY(), K1788), "")</f>
        <v/>
      </c>
      <c r="L1788" s="78" t="n"/>
      <c r="M1788" s="78">
        <f>IF(ISBLANK(L1788),"",IF(D1788="Stock",IF(C1788="Buy",L1788*G1788,IF(C1788="Sell",(L1788*G1788)-I1788, X)),IF(C1788="Buy",(L1788*G1788*100)+I1788,IF(C1788="Sell",(L1788*G1788*100)-I1788, X))))</f>
        <v/>
      </c>
      <c r="N1788" s="78">
        <f>IF(ISBLANK(L1788),"",IF(AND(C1788="Sell",D1788="Stock"),M1788,IF(ISBLANK(L1788),"",IF(C1788="Buy",M1788, IF(AND(C1788="Sell",J1788="NA"),(E1788*G1788*100*0.1)+I1788, IF(C1788="Sell",(J1788-L1788)*(100*G1788)+I1788))))))</f>
        <v/>
      </c>
      <c r="O1788" s="75" t="n"/>
      <c r="P1788" s="75" t="n"/>
      <c r="Q1788" s="75">
        <f>IF(ISBLANK(P1788),"",IF(D1788="Stock",P1788*G1788,IF(P1788=0,"0",G1788*P1788*100-(G1788*$AF$14))))</f>
        <v/>
      </c>
      <c r="R1788" s="79">
        <f>IF(P1788&lt;&gt;"", TODAY(), "")</f>
        <v/>
      </c>
      <c r="S1788" s="78">
        <f>IF(AND(K1788&lt;&gt;"", R1788&lt;&gt;""), R1788-K1788, "")</f>
        <v/>
      </c>
      <c r="T1788" s="78" t="n"/>
      <c r="U1788" s="92">
        <f>IF(ISBLANK(P1788),"",IF(C1788="Buy",Q1788-M1788+T1788, IF(C1788="Sell",M1788-Q1788-T1788, X)))</f>
        <v/>
      </c>
      <c r="V1788" s="81">
        <f>IF(ISBLANK(P1788),"",U1788/N1788)</f>
        <v/>
      </c>
      <c r="W1788" s="81">
        <f>IF(ISBLANK(P1788),"",IF(S1788=0,(365/0.5)*V1788,(365/S1788)*V1788))</f>
        <v/>
      </c>
      <c r="X1788" s="75" t="n"/>
      <c r="Y1788" s="77" t="n"/>
      <c r="Z1788" s="77" t="n"/>
      <c r="AA1788" s="75" t="n"/>
      <c r="AB1788" s="75" t="n"/>
      <c r="AC1788" s="6" t="n"/>
      <c r="AD1788" s="75" t="n"/>
      <c r="AE1788" s="75" t="n"/>
      <c r="AF1788" s="75" t="n"/>
    </row>
    <row r="1789" ht="15.75" customHeight="1" s="133">
      <c r="A1789" s="75" t="n"/>
      <c r="B1789" s="75" t="n"/>
      <c r="C1789" s="75" t="n"/>
      <c r="D1789" s="75" t="n"/>
      <c r="E1789" s="76" t="n"/>
      <c r="F1789" s="77" t="n"/>
      <c r="G1789" s="75" t="n"/>
      <c r="H1789" s="75">
        <f>IF(ISBLANK(E1789),"",IF(OR(D1789="Butterfly",D1789="Butterfly ",D1789="Iron Fly", D1789="Iron Fly "),LEN(E1789)-LEN(SUBSTITUTE(E1789,"/",""))+2,LEN(E1789)-LEN(SUBSTITUTE(E1789,"/",""))+1))</f>
        <v/>
      </c>
      <c r="I1789" s="78">
        <f>IF(ISBLANK(G1789),"",IF(D1789="Stock","0",Key!$A$3*H1789*G1789))</f>
        <v/>
      </c>
      <c r="J1789" s="78">
        <f>IF(ISBLANK(E1789),"",IF(ISNUMBER(SEARCH("/",E1789)), IF(LEN(E1789)-LEN(SUBSTITUTE(E1789,"/",""))=1,(RIGHT(E1789,LEN(E1789)-FIND("/",E1789)))-(LEFT(E1789,FIND("/",E1789)-1)),(MID(E1789, SEARCH("/",E1789) + 1, SEARCH("/",E1789, SEARCH("/",E1789)+1) - SEARCH("/",E1789) - 1))-(LEFT(E1789,FIND("/",E1789)-1))), "NA"))</f>
        <v/>
      </c>
      <c r="K1789" s="79">
        <f>IF(A1789&lt;&gt;"", IF(ISBLANK(L1789), TODAY(), K1789), "")</f>
        <v/>
      </c>
      <c r="L1789" s="78" t="n"/>
      <c r="M1789" s="78">
        <f>IF(ISBLANK(L1789),"",IF(D1789="Stock",IF(C1789="Buy",L1789*G1789,IF(C1789="Sell",(L1789*G1789)-I1789, X)),IF(C1789="Buy",(L1789*G1789*100)+I1789,IF(C1789="Sell",(L1789*G1789*100)-I1789, X))))</f>
        <v/>
      </c>
      <c r="N1789" s="78">
        <f>IF(ISBLANK(L1789),"",IF(AND(C1789="Sell",D1789="Stock"),M1789,IF(ISBLANK(L1789),"",IF(C1789="Buy",M1789, IF(AND(C1789="Sell",J1789="NA"),(E1789*G1789*100*0.1)+I1789, IF(C1789="Sell",(J1789-L1789)*(100*G1789)+I1789))))))</f>
        <v/>
      </c>
      <c r="O1789" s="75" t="n"/>
      <c r="P1789" s="75" t="n"/>
      <c r="Q1789" s="75">
        <f>IF(ISBLANK(P1789),"",IF(D1789="Stock",P1789*G1789,IF(P1789=0,"0",G1789*P1789*100-(G1789*$AF$14))))</f>
        <v/>
      </c>
      <c r="R1789" s="79">
        <f>IF(P1789&lt;&gt;"", TODAY(), "")</f>
        <v/>
      </c>
      <c r="S1789" s="78">
        <f>IF(AND(K1789&lt;&gt;"", R1789&lt;&gt;""), R1789-K1789, "")</f>
        <v/>
      </c>
      <c r="T1789" s="78" t="n"/>
      <c r="U1789" s="92">
        <f>IF(ISBLANK(P1789),"",IF(C1789="Buy",Q1789-M1789+T1789, IF(C1789="Sell",M1789-Q1789-T1789, X)))</f>
        <v/>
      </c>
      <c r="V1789" s="81">
        <f>IF(ISBLANK(P1789),"",U1789/N1789)</f>
        <v/>
      </c>
      <c r="W1789" s="81">
        <f>IF(ISBLANK(P1789),"",IF(S1789=0,(365/0.5)*V1789,(365/S1789)*V1789))</f>
        <v/>
      </c>
      <c r="X1789" s="75" t="n"/>
      <c r="Y1789" s="77" t="n"/>
      <c r="Z1789" s="77" t="n"/>
      <c r="AA1789" s="75" t="n"/>
      <c r="AB1789" s="75" t="n"/>
      <c r="AC1789" s="6" t="n"/>
      <c r="AD1789" s="75" t="n"/>
      <c r="AE1789" s="75" t="n"/>
      <c r="AF1789" s="75" t="n"/>
    </row>
    <row r="1790" ht="15.75" customHeight="1" s="133">
      <c r="A1790" s="75" t="n"/>
      <c r="B1790" s="75" t="n"/>
      <c r="C1790" s="75" t="n"/>
      <c r="D1790" s="75" t="n"/>
      <c r="E1790" s="76" t="n"/>
      <c r="F1790" s="77" t="n"/>
      <c r="G1790" s="75" t="n"/>
      <c r="H1790" s="75">
        <f>IF(ISBLANK(E1790),"",IF(OR(D1790="Butterfly",D1790="Butterfly ",D1790="Iron Fly", D1790="Iron Fly "),LEN(E1790)-LEN(SUBSTITUTE(E1790,"/",""))+2,LEN(E1790)-LEN(SUBSTITUTE(E1790,"/",""))+1))</f>
        <v/>
      </c>
      <c r="I1790" s="78">
        <f>IF(ISBLANK(G1790),"",IF(D1790="Stock","0",Key!$A$3*H1790*G1790))</f>
        <v/>
      </c>
      <c r="J1790" s="78">
        <f>IF(ISBLANK(E1790),"",IF(ISNUMBER(SEARCH("/",E1790)), IF(LEN(E1790)-LEN(SUBSTITUTE(E1790,"/",""))=1,(RIGHT(E1790,LEN(E1790)-FIND("/",E1790)))-(LEFT(E1790,FIND("/",E1790)-1)),(MID(E1790, SEARCH("/",E1790) + 1, SEARCH("/",E1790, SEARCH("/",E1790)+1) - SEARCH("/",E1790) - 1))-(LEFT(E1790,FIND("/",E1790)-1))), "NA"))</f>
        <v/>
      </c>
      <c r="K1790" s="79">
        <f>IF(A1790&lt;&gt;"", IF(ISBLANK(L1790), TODAY(), K1790), "")</f>
        <v/>
      </c>
      <c r="L1790" s="78" t="n"/>
      <c r="M1790" s="78">
        <f>IF(ISBLANK(L1790),"",IF(D1790="Stock",IF(C1790="Buy",L1790*G1790,IF(C1790="Sell",(L1790*G1790)-I1790, X)),IF(C1790="Buy",(L1790*G1790*100)+I1790,IF(C1790="Sell",(L1790*G1790*100)-I1790, X))))</f>
        <v/>
      </c>
      <c r="N1790" s="78">
        <f>IF(ISBLANK(L1790),"",IF(AND(C1790="Sell",D1790="Stock"),M1790,IF(ISBLANK(L1790),"",IF(C1790="Buy",M1790, IF(AND(C1790="Sell",J1790="NA"),(E1790*G1790*100*0.1)+I1790, IF(C1790="Sell",(J1790-L1790)*(100*G1790)+I1790))))))</f>
        <v/>
      </c>
      <c r="O1790" s="75" t="n"/>
      <c r="P1790" s="75" t="n"/>
      <c r="Q1790" s="75">
        <f>IF(ISBLANK(P1790),"",IF(D1790="Stock",P1790*G1790,IF(P1790=0,"0",G1790*P1790*100-(G1790*$AF$14))))</f>
        <v/>
      </c>
      <c r="R1790" s="79">
        <f>IF(P1790&lt;&gt;"", TODAY(), "")</f>
        <v/>
      </c>
      <c r="S1790" s="78">
        <f>IF(AND(K1790&lt;&gt;"", R1790&lt;&gt;""), R1790-K1790, "")</f>
        <v/>
      </c>
      <c r="T1790" s="78" t="n"/>
      <c r="U1790" s="92">
        <f>IF(ISBLANK(P1790),"",IF(C1790="Buy",Q1790-M1790+T1790, IF(C1790="Sell",M1790-Q1790-T1790, X)))</f>
        <v/>
      </c>
      <c r="V1790" s="81">
        <f>IF(ISBLANK(P1790),"",U1790/N1790)</f>
        <v/>
      </c>
      <c r="W1790" s="81">
        <f>IF(ISBLANK(P1790),"",IF(S1790=0,(365/0.5)*V1790,(365/S1790)*V1790))</f>
        <v/>
      </c>
      <c r="X1790" s="75" t="n"/>
      <c r="Y1790" s="77" t="n"/>
      <c r="Z1790" s="77" t="n"/>
      <c r="AA1790" s="75" t="n"/>
      <c r="AB1790" s="75" t="n"/>
      <c r="AC1790" s="6" t="n"/>
      <c r="AD1790" s="75" t="n"/>
      <c r="AE1790" s="75" t="n"/>
      <c r="AF1790" s="75" t="n"/>
    </row>
    <row r="1791" ht="15.75" customHeight="1" s="133">
      <c r="A1791" s="75" t="n"/>
      <c r="B1791" s="75" t="n"/>
      <c r="C1791" s="75" t="n"/>
      <c r="D1791" s="75" t="n"/>
      <c r="E1791" s="76" t="n"/>
      <c r="F1791" s="77" t="n"/>
      <c r="G1791" s="75" t="n"/>
      <c r="H1791" s="75">
        <f>IF(ISBLANK(E1791),"",IF(OR(D1791="Butterfly",D1791="Butterfly ",D1791="Iron Fly", D1791="Iron Fly "),LEN(E1791)-LEN(SUBSTITUTE(E1791,"/",""))+2,LEN(E1791)-LEN(SUBSTITUTE(E1791,"/",""))+1))</f>
        <v/>
      </c>
      <c r="I1791" s="78">
        <f>IF(ISBLANK(G1791),"",IF(D1791="Stock","0",Key!$A$3*H1791*G1791))</f>
        <v/>
      </c>
      <c r="J1791" s="78">
        <f>IF(ISBLANK(E1791),"",IF(ISNUMBER(SEARCH("/",E1791)), IF(LEN(E1791)-LEN(SUBSTITUTE(E1791,"/",""))=1,(RIGHT(E1791,LEN(E1791)-FIND("/",E1791)))-(LEFT(E1791,FIND("/",E1791)-1)),(MID(E1791, SEARCH("/",E1791) + 1, SEARCH("/",E1791, SEARCH("/",E1791)+1) - SEARCH("/",E1791) - 1))-(LEFT(E1791,FIND("/",E1791)-1))), "NA"))</f>
        <v/>
      </c>
      <c r="K1791" s="79">
        <f>IF(A1791&lt;&gt;"", IF(ISBLANK(L1791), TODAY(), K1791), "")</f>
        <v/>
      </c>
      <c r="L1791" s="78" t="n"/>
      <c r="M1791" s="78">
        <f>IF(ISBLANK(L1791),"",IF(D1791="Stock",IF(C1791="Buy",L1791*G1791,IF(C1791="Sell",(L1791*G1791)-I1791, X)),IF(C1791="Buy",(L1791*G1791*100)+I1791,IF(C1791="Sell",(L1791*G1791*100)-I1791, X))))</f>
        <v/>
      </c>
      <c r="N1791" s="78">
        <f>IF(ISBLANK(L1791),"",IF(AND(C1791="Sell",D1791="Stock"),M1791,IF(ISBLANK(L1791),"",IF(C1791="Buy",M1791, IF(AND(C1791="Sell",J1791="NA"),(E1791*G1791*100*0.1)+I1791, IF(C1791="Sell",(J1791-L1791)*(100*G1791)+I1791))))))</f>
        <v/>
      </c>
      <c r="O1791" s="75" t="n"/>
      <c r="P1791" s="75" t="n"/>
      <c r="Q1791" s="75">
        <f>IF(ISBLANK(P1791),"",IF(D1791="Stock",P1791*G1791,IF(P1791=0,"0",G1791*P1791*100-(G1791*$AF$14))))</f>
        <v/>
      </c>
      <c r="R1791" s="79">
        <f>IF(P1791&lt;&gt;"", TODAY(), "")</f>
        <v/>
      </c>
      <c r="S1791" s="78">
        <f>IF(AND(K1791&lt;&gt;"", R1791&lt;&gt;""), R1791-K1791, "")</f>
        <v/>
      </c>
      <c r="T1791" s="78" t="n"/>
      <c r="U1791" s="92">
        <f>IF(ISBLANK(P1791),"",IF(C1791="Buy",Q1791-M1791+T1791, IF(C1791="Sell",M1791-Q1791-T1791, X)))</f>
        <v/>
      </c>
      <c r="V1791" s="81">
        <f>IF(ISBLANK(P1791),"",U1791/N1791)</f>
        <v/>
      </c>
      <c r="W1791" s="81">
        <f>IF(ISBLANK(P1791),"",IF(S1791=0,(365/0.5)*V1791,(365/S1791)*V1791))</f>
        <v/>
      </c>
      <c r="X1791" s="75" t="n"/>
      <c r="Y1791" s="77" t="n"/>
      <c r="Z1791" s="77" t="n"/>
      <c r="AA1791" s="75" t="n"/>
      <c r="AB1791" s="75" t="n"/>
      <c r="AC1791" s="6" t="n"/>
      <c r="AD1791" s="75" t="n"/>
      <c r="AE1791" s="75" t="n"/>
      <c r="AF1791" s="75" t="n"/>
    </row>
    <row r="1792" ht="15.75" customHeight="1" s="133">
      <c r="A1792" s="75" t="n"/>
      <c r="B1792" s="75" t="n"/>
      <c r="C1792" s="75" t="n"/>
      <c r="D1792" s="75" t="n"/>
      <c r="E1792" s="76" t="n"/>
      <c r="F1792" s="77" t="n"/>
      <c r="G1792" s="75" t="n"/>
      <c r="H1792" s="75">
        <f>IF(ISBLANK(E1792),"",IF(OR(D1792="Butterfly",D1792="Butterfly ",D1792="Iron Fly", D1792="Iron Fly "),LEN(E1792)-LEN(SUBSTITUTE(E1792,"/",""))+2,LEN(E1792)-LEN(SUBSTITUTE(E1792,"/",""))+1))</f>
        <v/>
      </c>
      <c r="I1792" s="78">
        <f>IF(ISBLANK(G1792),"",IF(D1792="Stock","0",Key!$A$3*H1792*G1792))</f>
        <v/>
      </c>
      <c r="J1792" s="78">
        <f>IF(ISBLANK(E1792),"",IF(ISNUMBER(SEARCH("/",E1792)), IF(LEN(E1792)-LEN(SUBSTITUTE(E1792,"/",""))=1,(RIGHT(E1792,LEN(E1792)-FIND("/",E1792)))-(LEFT(E1792,FIND("/",E1792)-1)),(MID(E1792, SEARCH("/",E1792) + 1, SEARCH("/",E1792, SEARCH("/",E1792)+1) - SEARCH("/",E1792) - 1))-(LEFT(E1792,FIND("/",E1792)-1))), "NA"))</f>
        <v/>
      </c>
      <c r="K1792" s="79">
        <f>IF(A1792&lt;&gt;"", IF(ISBLANK(L1792), TODAY(), K1792), "")</f>
        <v/>
      </c>
      <c r="L1792" s="78" t="n"/>
      <c r="M1792" s="78">
        <f>IF(ISBLANK(L1792),"",IF(D1792="Stock",IF(C1792="Buy",L1792*G1792,IF(C1792="Sell",(L1792*G1792)-I1792, X)),IF(C1792="Buy",(L1792*G1792*100)+I1792,IF(C1792="Sell",(L1792*G1792*100)-I1792, X))))</f>
        <v/>
      </c>
      <c r="N1792" s="78">
        <f>IF(ISBLANK(L1792),"",IF(AND(C1792="Sell",D1792="Stock"),M1792,IF(ISBLANK(L1792),"",IF(C1792="Buy",M1792, IF(AND(C1792="Sell",J1792="NA"),(E1792*G1792*100*0.1)+I1792, IF(C1792="Sell",(J1792-L1792)*(100*G1792)+I1792))))))</f>
        <v/>
      </c>
      <c r="O1792" s="75" t="n"/>
      <c r="P1792" s="75" t="n"/>
      <c r="Q1792" s="75">
        <f>IF(ISBLANK(P1792),"",IF(D1792="Stock",P1792*G1792,IF(P1792=0,"0",G1792*P1792*100-(G1792*$AF$14))))</f>
        <v/>
      </c>
      <c r="R1792" s="79">
        <f>IF(P1792&lt;&gt;"", TODAY(), "")</f>
        <v/>
      </c>
      <c r="S1792" s="78">
        <f>IF(AND(K1792&lt;&gt;"", R1792&lt;&gt;""), R1792-K1792, "")</f>
        <v/>
      </c>
      <c r="T1792" s="78" t="n"/>
      <c r="U1792" s="92">
        <f>IF(ISBLANK(P1792),"",IF(C1792="Buy",Q1792-M1792+T1792, IF(C1792="Sell",M1792-Q1792-T1792, X)))</f>
        <v/>
      </c>
      <c r="V1792" s="81">
        <f>IF(ISBLANK(P1792),"",U1792/N1792)</f>
        <v/>
      </c>
      <c r="W1792" s="81">
        <f>IF(ISBLANK(P1792),"",IF(S1792=0,(365/0.5)*V1792,(365/S1792)*V1792))</f>
        <v/>
      </c>
      <c r="X1792" s="75" t="n"/>
      <c r="Y1792" s="77" t="n"/>
      <c r="Z1792" s="77" t="n"/>
      <c r="AA1792" s="75" t="n"/>
      <c r="AB1792" s="75" t="n"/>
      <c r="AC1792" s="6" t="n"/>
      <c r="AD1792" s="75" t="n"/>
      <c r="AE1792" s="75" t="n"/>
      <c r="AF1792" s="75" t="n"/>
    </row>
    <row r="1793" ht="15.75" customHeight="1" s="133">
      <c r="A1793" s="75" t="n"/>
      <c r="B1793" s="75" t="n"/>
      <c r="C1793" s="75" t="n"/>
      <c r="D1793" s="75" t="n"/>
      <c r="E1793" s="76" t="n"/>
      <c r="F1793" s="77" t="n"/>
      <c r="G1793" s="75" t="n"/>
      <c r="H1793" s="75">
        <f>IF(ISBLANK(E1793),"",IF(OR(D1793="Butterfly",D1793="Butterfly ",D1793="Iron Fly", D1793="Iron Fly "),LEN(E1793)-LEN(SUBSTITUTE(E1793,"/",""))+2,LEN(E1793)-LEN(SUBSTITUTE(E1793,"/",""))+1))</f>
        <v/>
      </c>
      <c r="I1793" s="78">
        <f>IF(ISBLANK(G1793),"",IF(D1793="Stock","0",Key!$A$3*H1793*G1793))</f>
        <v/>
      </c>
      <c r="J1793" s="78">
        <f>IF(ISBLANK(E1793),"",IF(ISNUMBER(SEARCH("/",E1793)), IF(LEN(E1793)-LEN(SUBSTITUTE(E1793,"/",""))=1,(RIGHT(E1793,LEN(E1793)-FIND("/",E1793)))-(LEFT(E1793,FIND("/",E1793)-1)),(MID(E1793, SEARCH("/",E1793) + 1, SEARCH("/",E1793, SEARCH("/",E1793)+1) - SEARCH("/",E1793) - 1))-(LEFT(E1793,FIND("/",E1793)-1))), "NA"))</f>
        <v/>
      </c>
      <c r="K1793" s="79">
        <f>IF(A1793&lt;&gt;"", IF(ISBLANK(L1793), TODAY(), K1793), "")</f>
        <v/>
      </c>
      <c r="L1793" s="78" t="n"/>
      <c r="M1793" s="78">
        <f>IF(ISBLANK(L1793),"",IF(D1793="Stock",IF(C1793="Buy",L1793*G1793,IF(C1793="Sell",(L1793*G1793)-I1793, X)),IF(C1793="Buy",(L1793*G1793*100)+I1793,IF(C1793="Sell",(L1793*G1793*100)-I1793, X))))</f>
        <v/>
      </c>
      <c r="N1793" s="78">
        <f>IF(ISBLANK(L1793),"",IF(AND(C1793="Sell",D1793="Stock"),M1793,IF(ISBLANK(L1793),"",IF(C1793="Buy",M1793, IF(AND(C1793="Sell",J1793="NA"),(E1793*G1793*100*0.1)+I1793, IF(C1793="Sell",(J1793-L1793)*(100*G1793)+I1793))))))</f>
        <v/>
      </c>
      <c r="O1793" s="75" t="n"/>
      <c r="P1793" s="75" t="n"/>
      <c r="Q1793" s="75">
        <f>IF(ISBLANK(P1793),"",IF(D1793="Stock",P1793*G1793,IF(P1793=0,"0",G1793*P1793*100-(G1793*$AF$14))))</f>
        <v/>
      </c>
      <c r="R1793" s="79">
        <f>IF(P1793&lt;&gt;"", TODAY(), "")</f>
        <v/>
      </c>
      <c r="S1793" s="78">
        <f>IF(AND(K1793&lt;&gt;"", R1793&lt;&gt;""), R1793-K1793, "")</f>
        <v/>
      </c>
      <c r="T1793" s="78" t="n"/>
      <c r="U1793" s="92">
        <f>IF(ISBLANK(P1793),"",IF(C1793="Buy",Q1793-M1793+T1793, IF(C1793="Sell",M1793-Q1793-T1793, X)))</f>
        <v/>
      </c>
      <c r="V1793" s="81">
        <f>IF(ISBLANK(P1793),"",U1793/N1793)</f>
        <v/>
      </c>
      <c r="W1793" s="81">
        <f>IF(ISBLANK(P1793),"",IF(S1793=0,(365/0.5)*V1793,(365/S1793)*V1793))</f>
        <v/>
      </c>
      <c r="X1793" s="75" t="n"/>
      <c r="Y1793" s="77" t="n"/>
      <c r="Z1793" s="77" t="n"/>
      <c r="AA1793" s="75" t="n"/>
      <c r="AB1793" s="75" t="n"/>
      <c r="AC1793" s="6" t="n"/>
      <c r="AD1793" s="75" t="n"/>
      <c r="AE1793" s="75" t="n"/>
      <c r="AF1793" s="75" t="n"/>
    </row>
    <row r="1794" ht="15.75" customHeight="1" s="133">
      <c r="A1794" s="75" t="n"/>
      <c r="B1794" s="75" t="n"/>
      <c r="C1794" s="75" t="n"/>
      <c r="D1794" s="75" t="n"/>
      <c r="E1794" s="76" t="n"/>
      <c r="F1794" s="77" t="n"/>
      <c r="G1794" s="75" t="n"/>
      <c r="H1794" s="75">
        <f>IF(ISBLANK(E1794),"",IF(OR(D1794="Butterfly",D1794="Butterfly ",D1794="Iron Fly", D1794="Iron Fly "),LEN(E1794)-LEN(SUBSTITUTE(E1794,"/",""))+2,LEN(E1794)-LEN(SUBSTITUTE(E1794,"/",""))+1))</f>
        <v/>
      </c>
      <c r="I1794" s="78">
        <f>IF(ISBLANK(G1794),"",IF(D1794="Stock","0",Key!$A$3*H1794*G1794))</f>
        <v/>
      </c>
      <c r="J1794" s="78">
        <f>IF(ISBLANK(E1794),"",IF(ISNUMBER(SEARCH("/",E1794)), IF(LEN(E1794)-LEN(SUBSTITUTE(E1794,"/",""))=1,(RIGHT(E1794,LEN(E1794)-FIND("/",E1794)))-(LEFT(E1794,FIND("/",E1794)-1)),(MID(E1794, SEARCH("/",E1794) + 1, SEARCH("/",E1794, SEARCH("/",E1794)+1) - SEARCH("/",E1794) - 1))-(LEFT(E1794,FIND("/",E1794)-1))), "NA"))</f>
        <v/>
      </c>
      <c r="K1794" s="79">
        <f>IF(A1794&lt;&gt;"", IF(ISBLANK(L1794), TODAY(), K1794), "")</f>
        <v/>
      </c>
      <c r="L1794" s="78" t="n"/>
      <c r="M1794" s="78">
        <f>IF(ISBLANK(L1794),"",IF(D1794="Stock",IF(C1794="Buy",L1794*G1794,IF(C1794="Sell",(L1794*G1794)-I1794, X)),IF(C1794="Buy",(L1794*G1794*100)+I1794,IF(C1794="Sell",(L1794*G1794*100)-I1794, X))))</f>
        <v/>
      </c>
      <c r="N1794" s="78">
        <f>IF(ISBLANK(L1794),"",IF(AND(C1794="Sell",D1794="Stock"),M1794,IF(ISBLANK(L1794),"",IF(C1794="Buy",M1794, IF(AND(C1794="Sell",J1794="NA"),(E1794*G1794*100*0.1)+I1794, IF(C1794="Sell",(J1794-L1794)*(100*G1794)+I1794))))))</f>
        <v/>
      </c>
      <c r="O1794" s="75" t="n"/>
      <c r="P1794" s="75" t="n"/>
      <c r="Q1794" s="75">
        <f>IF(ISBLANK(P1794),"",IF(D1794="Stock",P1794*G1794,IF(P1794=0,"0",G1794*P1794*100-(G1794*$AF$14))))</f>
        <v/>
      </c>
      <c r="R1794" s="79">
        <f>IF(P1794&lt;&gt;"", TODAY(), "")</f>
        <v/>
      </c>
      <c r="S1794" s="78">
        <f>IF(AND(K1794&lt;&gt;"", R1794&lt;&gt;""), R1794-K1794, "")</f>
        <v/>
      </c>
      <c r="T1794" s="78" t="n"/>
      <c r="U1794" s="92">
        <f>IF(ISBLANK(P1794),"",IF(C1794="Buy",Q1794-M1794+T1794, IF(C1794="Sell",M1794-Q1794-T1794, X)))</f>
        <v/>
      </c>
      <c r="V1794" s="81">
        <f>IF(ISBLANK(P1794),"",U1794/N1794)</f>
        <v/>
      </c>
      <c r="W1794" s="81">
        <f>IF(ISBLANK(P1794),"",IF(S1794=0,(365/0.5)*V1794,(365/S1794)*V1794))</f>
        <v/>
      </c>
      <c r="X1794" s="75" t="n"/>
      <c r="Y1794" s="77" t="n"/>
      <c r="Z1794" s="77" t="n"/>
      <c r="AA1794" s="75" t="n"/>
      <c r="AB1794" s="75" t="n"/>
      <c r="AC1794" s="6" t="n"/>
      <c r="AD1794" s="75" t="n"/>
      <c r="AE1794" s="75" t="n"/>
      <c r="AF1794" s="75" t="n"/>
    </row>
    <row r="1795" ht="15.75" customHeight="1" s="133">
      <c r="A1795" s="75" t="n"/>
      <c r="B1795" s="75" t="n"/>
      <c r="C1795" s="75" t="n"/>
      <c r="D1795" s="75" t="n"/>
      <c r="E1795" s="76" t="n"/>
      <c r="F1795" s="77" t="n"/>
      <c r="G1795" s="75" t="n"/>
      <c r="H1795" s="75">
        <f>IF(ISBLANK(E1795),"",IF(OR(D1795="Butterfly",D1795="Butterfly ",D1795="Iron Fly", D1795="Iron Fly "),LEN(E1795)-LEN(SUBSTITUTE(E1795,"/",""))+2,LEN(E1795)-LEN(SUBSTITUTE(E1795,"/",""))+1))</f>
        <v/>
      </c>
      <c r="I1795" s="78">
        <f>IF(ISBLANK(G1795),"",IF(D1795="Stock","0",Key!$A$3*H1795*G1795))</f>
        <v/>
      </c>
      <c r="J1795" s="78">
        <f>IF(ISBLANK(E1795),"",IF(ISNUMBER(SEARCH("/",E1795)), IF(LEN(E1795)-LEN(SUBSTITUTE(E1795,"/",""))=1,(RIGHT(E1795,LEN(E1795)-FIND("/",E1795)))-(LEFT(E1795,FIND("/",E1795)-1)),(MID(E1795, SEARCH("/",E1795) + 1, SEARCH("/",E1795, SEARCH("/",E1795)+1) - SEARCH("/",E1795) - 1))-(LEFT(E1795,FIND("/",E1795)-1))), "NA"))</f>
        <v/>
      </c>
      <c r="K1795" s="79">
        <f>IF(A1795&lt;&gt;"", IF(ISBLANK(L1795), TODAY(), K1795), "")</f>
        <v/>
      </c>
      <c r="L1795" s="78" t="n"/>
      <c r="M1795" s="78">
        <f>IF(ISBLANK(L1795),"",IF(D1795="Stock",IF(C1795="Buy",L1795*G1795,IF(C1795="Sell",(L1795*G1795)-I1795, X)),IF(C1795="Buy",(L1795*G1795*100)+I1795,IF(C1795="Sell",(L1795*G1795*100)-I1795, X))))</f>
        <v/>
      </c>
      <c r="N1795" s="78">
        <f>IF(ISBLANK(L1795),"",IF(AND(C1795="Sell",D1795="Stock"),M1795,IF(ISBLANK(L1795),"",IF(C1795="Buy",M1795, IF(AND(C1795="Sell",J1795="NA"),(E1795*G1795*100*0.1)+I1795, IF(C1795="Sell",(J1795-L1795)*(100*G1795)+I1795))))))</f>
        <v/>
      </c>
      <c r="O1795" s="75" t="n"/>
      <c r="P1795" s="75" t="n"/>
      <c r="Q1795" s="75">
        <f>IF(ISBLANK(P1795),"",IF(D1795="Stock",P1795*G1795,IF(P1795=0,"0",G1795*P1795*100-(G1795*$AF$14))))</f>
        <v/>
      </c>
      <c r="R1795" s="79">
        <f>IF(P1795&lt;&gt;"", TODAY(), "")</f>
        <v/>
      </c>
      <c r="S1795" s="78">
        <f>IF(AND(K1795&lt;&gt;"", R1795&lt;&gt;""), R1795-K1795, "")</f>
        <v/>
      </c>
      <c r="T1795" s="78" t="n"/>
      <c r="U1795" s="92">
        <f>IF(ISBLANK(P1795),"",IF(C1795="Buy",Q1795-M1795+T1795, IF(C1795="Sell",M1795-Q1795-T1795, X)))</f>
        <v/>
      </c>
      <c r="V1795" s="81">
        <f>IF(ISBLANK(P1795),"",U1795/N1795)</f>
        <v/>
      </c>
      <c r="W1795" s="81">
        <f>IF(ISBLANK(P1795),"",IF(S1795=0,(365/0.5)*V1795,(365/S1795)*V1795))</f>
        <v/>
      </c>
      <c r="X1795" s="75" t="n"/>
      <c r="Y1795" s="77" t="n"/>
      <c r="Z1795" s="77" t="n"/>
      <c r="AA1795" s="75" t="n"/>
      <c r="AB1795" s="75" t="n"/>
      <c r="AC1795" s="6" t="n"/>
      <c r="AD1795" s="75" t="n"/>
      <c r="AE1795" s="75" t="n"/>
      <c r="AF1795" s="75" t="n"/>
    </row>
    <row r="1796" ht="15.75" customHeight="1" s="133">
      <c r="A1796" s="75" t="n"/>
      <c r="B1796" s="75" t="n"/>
      <c r="C1796" s="75" t="n"/>
      <c r="D1796" s="75" t="n"/>
      <c r="E1796" s="76" t="n"/>
      <c r="F1796" s="77" t="n"/>
      <c r="G1796" s="75" t="n"/>
      <c r="H1796" s="75">
        <f>IF(ISBLANK(E1796),"",IF(OR(D1796="Butterfly",D1796="Butterfly ",D1796="Iron Fly", D1796="Iron Fly "),LEN(E1796)-LEN(SUBSTITUTE(E1796,"/",""))+2,LEN(E1796)-LEN(SUBSTITUTE(E1796,"/",""))+1))</f>
        <v/>
      </c>
      <c r="I1796" s="78">
        <f>IF(ISBLANK(G1796),"",IF(D1796="Stock","0",Key!$A$3*H1796*G1796))</f>
        <v/>
      </c>
      <c r="J1796" s="78">
        <f>IF(ISBLANK(E1796),"",IF(ISNUMBER(SEARCH("/",E1796)), IF(LEN(E1796)-LEN(SUBSTITUTE(E1796,"/",""))=1,(RIGHT(E1796,LEN(E1796)-FIND("/",E1796)))-(LEFT(E1796,FIND("/",E1796)-1)),(MID(E1796, SEARCH("/",E1796) + 1, SEARCH("/",E1796, SEARCH("/",E1796)+1) - SEARCH("/",E1796) - 1))-(LEFT(E1796,FIND("/",E1796)-1))), "NA"))</f>
        <v/>
      </c>
      <c r="K1796" s="79">
        <f>IF(A1796&lt;&gt;"", IF(ISBLANK(L1796), TODAY(), K1796), "")</f>
        <v/>
      </c>
      <c r="L1796" s="78" t="n"/>
      <c r="M1796" s="78">
        <f>IF(ISBLANK(L1796),"",IF(D1796="Stock",IF(C1796="Buy",L1796*G1796,IF(C1796="Sell",(L1796*G1796)-I1796, X)),IF(C1796="Buy",(L1796*G1796*100)+I1796,IF(C1796="Sell",(L1796*G1796*100)-I1796, X))))</f>
        <v/>
      </c>
      <c r="N1796" s="78">
        <f>IF(ISBLANK(L1796),"",IF(AND(C1796="Sell",D1796="Stock"),M1796,IF(ISBLANK(L1796),"",IF(C1796="Buy",M1796, IF(AND(C1796="Sell",J1796="NA"),(E1796*G1796*100*0.1)+I1796, IF(C1796="Sell",(J1796-L1796)*(100*G1796)+I1796))))))</f>
        <v/>
      </c>
      <c r="O1796" s="75" t="n"/>
      <c r="P1796" s="75" t="n"/>
      <c r="Q1796" s="75">
        <f>IF(ISBLANK(P1796),"",IF(D1796="Stock",P1796*G1796,IF(P1796=0,"0",G1796*P1796*100-(G1796*$AF$14))))</f>
        <v/>
      </c>
      <c r="R1796" s="79">
        <f>IF(P1796&lt;&gt;"", TODAY(), "")</f>
        <v/>
      </c>
      <c r="S1796" s="78">
        <f>IF(AND(K1796&lt;&gt;"", R1796&lt;&gt;""), R1796-K1796, "")</f>
        <v/>
      </c>
      <c r="T1796" s="78" t="n"/>
      <c r="U1796" s="92">
        <f>IF(ISBLANK(P1796),"",IF(C1796="Buy",Q1796-M1796+T1796, IF(C1796="Sell",M1796-Q1796-T1796, X)))</f>
        <v/>
      </c>
      <c r="V1796" s="81">
        <f>IF(ISBLANK(P1796),"",U1796/N1796)</f>
        <v/>
      </c>
      <c r="W1796" s="81">
        <f>IF(ISBLANK(P1796),"",IF(S1796=0,(365/0.5)*V1796,(365/S1796)*V1796))</f>
        <v/>
      </c>
      <c r="X1796" s="75" t="n"/>
      <c r="Y1796" s="77" t="n"/>
      <c r="Z1796" s="77" t="n"/>
      <c r="AA1796" s="75" t="n"/>
      <c r="AB1796" s="75" t="n"/>
      <c r="AC1796" s="6" t="n"/>
      <c r="AD1796" s="75" t="n"/>
      <c r="AE1796" s="75" t="n"/>
      <c r="AF1796" s="75" t="n"/>
    </row>
    <row r="1797" ht="15.75" customHeight="1" s="133">
      <c r="A1797" s="75" t="n"/>
      <c r="B1797" s="75" t="n"/>
      <c r="C1797" s="75" t="n"/>
      <c r="D1797" s="75" t="n"/>
      <c r="E1797" s="76" t="n"/>
      <c r="F1797" s="77" t="n"/>
      <c r="G1797" s="75" t="n"/>
      <c r="H1797" s="75">
        <f>IF(ISBLANK(E1797),"",IF(OR(D1797="Butterfly",D1797="Butterfly ",D1797="Iron Fly", D1797="Iron Fly "),LEN(E1797)-LEN(SUBSTITUTE(E1797,"/",""))+2,LEN(E1797)-LEN(SUBSTITUTE(E1797,"/",""))+1))</f>
        <v/>
      </c>
      <c r="I1797" s="78">
        <f>IF(ISBLANK(G1797),"",IF(D1797="Stock","0",Key!$A$3*H1797*G1797))</f>
        <v/>
      </c>
      <c r="J1797" s="78">
        <f>IF(ISBLANK(E1797),"",IF(ISNUMBER(SEARCH("/",E1797)), IF(LEN(E1797)-LEN(SUBSTITUTE(E1797,"/",""))=1,(RIGHT(E1797,LEN(E1797)-FIND("/",E1797)))-(LEFT(E1797,FIND("/",E1797)-1)),(MID(E1797, SEARCH("/",E1797) + 1, SEARCH("/",E1797, SEARCH("/",E1797)+1) - SEARCH("/",E1797) - 1))-(LEFT(E1797,FIND("/",E1797)-1))), "NA"))</f>
        <v/>
      </c>
      <c r="K1797" s="79">
        <f>IF(A1797&lt;&gt;"", IF(ISBLANK(L1797), TODAY(), K1797), "")</f>
        <v/>
      </c>
      <c r="L1797" s="78" t="n"/>
      <c r="M1797" s="78">
        <f>IF(ISBLANK(L1797),"",IF(D1797="Stock",IF(C1797="Buy",L1797*G1797,IF(C1797="Sell",(L1797*G1797)-I1797, X)),IF(C1797="Buy",(L1797*G1797*100)+I1797,IF(C1797="Sell",(L1797*G1797*100)-I1797, X))))</f>
        <v/>
      </c>
      <c r="N1797" s="78">
        <f>IF(ISBLANK(L1797),"",IF(AND(C1797="Sell",D1797="Stock"),M1797,IF(ISBLANK(L1797),"",IF(C1797="Buy",M1797, IF(AND(C1797="Sell",J1797="NA"),(E1797*G1797*100*0.1)+I1797, IF(C1797="Sell",(J1797-L1797)*(100*G1797)+I1797))))))</f>
        <v/>
      </c>
      <c r="O1797" s="75" t="n"/>
      <c r="P1797" s="75" t="n"/>
      <c r="Q1797" s="75">
        <f>IF(ISBLANK(P1797),"",IF(D1797="Stock",P1797*G1797,IF(P1797=0,"0",G1797*P1797*100-(G1797*$AF$14))))</f>
        <v/>
      </c>
      <c r="R1797" s="79">
        <f>IF(P1797&lt;&gt;"", TODAY(), "")</f>
        <v/>
      </c>
      <c r="S1797" s="78">
        <f>IF(AND(K1797&lt;&gt;"", R1797&lt;&gt;""), R1797-K1797, "")</f>
        <v/>
      </c>
      <c r="T1797" s="78" t="n"/>
      <c r="U1797" s="92">
        <f>IF(ISBLANK(P1797),"",IF(C1797="Buy",Q1797-M1797+T1797, IF(C1797="Sell",M1797-Q1797-T1797, X)))</f>
        <v/>
      </c>
      <c r="V1797" s="81">
        <f>IF(ISBLANK(P1797),"",U1797/N1797)</f>
        <v/>
      </c>
      <c r="W1797" s="81">
        <f>IF(ISBLANK(P1797),"",IF(S1797=0,(365/0.5)*V1797,(365/S1797)*V1797))</f>
        <v/>
      </c>
      <c r="X1797" s="75" t="n"/>
      <c r="Y1797" s="77" t="n"/>
      <c r="Z1797" s="77" t="n"/>
      <c r="AA1797" s="75" t="n"/>
      <c r="AB1797" s="75" t="n"/>
      <c r="AC1797" s="6" t="n"/>
      <c r="AD1797" s="75" t="n"/>
      <c r="AE1797" s="75" t="n"/>
      <c r="AF1797" s="75" t="n"/>
    </row>
    <row r="1798" ht="15.75" customHeight="1" s="133">
      <c r="A1798" s="75" t="n"/>
      <c r="B1798" s="75" t="n"/>
      <c r="C1798" s="75" t="n"/>
      <c r="D1798" s="75" t="n"/>
      <c r="E1798" s="76" t="n"/>
      <c r="F1798" s="77" t="n"/>
      <c r="G1798" s="75" t="n"/>
      <c r="H1798" s="75">
        <f>IF(ISBLANK(E1798),"",IF(OR(D1798="Butterfly",D1798="Butterfly ",D1798="Iron Fly", D1798="Iron Fly "),LEN(E1798)-LEN(SUBSTITUTE(E1798,"/",""))+2,LEN(E1798)-LEN(SUBSTITUTE(E1798,"/",""))+1))</f>
        <v/>
      </c>
      <c r="I1798" s="78">
        <f>IF(ISBLANK(G1798),"",IF(D1798="Stock","0",Key!$A$3*H1798*G1798))</f>
        <v/>
      </c>
      <c r="J1798" s="78">
        <f>IF(ISBLANK(E1798),"",IF(ISNUMBER(SEARCH("/",E1798)), IF(LEN(E1798)-LEN(SUBSTITUTE(E1798,"/",""))=1,(RIGHT(E1798,LEN(E1798)-FIND("/",E1798)))-(LEFT(E1798,FIND("/",E1798)-1)),(MID(E1798, SEARCH("/",E1798) + 1, SEARCH("/",E1798, SEARCH("/",E1798)+1) - SEARCH("/",E1798) - 1))-(LEFT(E1798,FIND("/",E1798)-1))), "NA"))</f>
        <v/>
      </c>
      <c r="K1798" s="79">
        <f>IF(A1798&lt;&gt;"", IF(ISBLANK(L1798), TODAY(), K1798), "")</f>
        <v/>
      </c>
      <c r="L1798" s="78" t="n"/>
      <c r="M1798" s="78">
        <f>IF(ISBLANK(L1798),"",IF(D1798="Stock",IF(C1798="Buy",L1798*G1798,IF(C1798="Sell",(L1798*G1798)-I1798, X)),IF(C1798="Buy",(L1798*G1798*100)+I1798,IF(C1798="Sell",(L1798*G1798*100)-I1798, X))))</f>
        <v/>
      </c>
      <c r="N1798" s="78">
        <f>IF(ISBLANK(L1798),"",IF(AND(C1798="Sell",D1798="Stock"),M1798,IF(ISBLANK(L1798),"",IF(C1798="Buy",M1798, IF(AND(C1798="Sell",J1798="NA"),(E1798*G1798*100*0.1)+I1798, IF(C1798="Sell",(J1798-L1798)*(100*G1798)+I1798))))))</f>
        <v/>
      </c>
      <c r="O1798" s="75" t="n"/>
      <c r="P1798" s="75" t="n"/>
      <c r="Q1798" s="75">
        <f>IF(ISBLANK(P1798),"",IF(D1798="Stock",P1798*G1798,IF(P1798=0,"0",G1798*P1798*100-(G1798*$AF$14))))</f>
        <v/>
      </c>
      <c r="R1798" s="79">
        <f>IF(P1798&lt;&gt;"", TODAY(), "")</f>
        <v/>
      </c>
      <c r="S1798" s="78">
        <f>IF(AND(K1798&lt;&gt;"", R1798&lt;&gt;""), R1798-K1798, "")</f>
        <v/>
      </c>
      <c r="T1798" s="78" t="n"/>
      <c r="U1798" s="92">
        <f>IF(ISBLANK(P1798),"",IF(C1798="Buy",Q1798-M1798+T1798, IF(C1798="Sell",M1798-Q1798-T1798, X)))</f>
        <v/>
      </c>
      <c r="V1798" s="81">
        <f>IF(ISBLANK(P1798),"",U1798/N1798)</f>
        <v/>
      </c>
      <c r="W1798" s="81">
        <f>IF(ISBLANK(P1798),"",IF(S1798=0,(365/0.5)*V1798,(365/S1798)*V1798))</f>
        <v/>
      </c>
      <c r="X1798" s="75" t="n"/>
      <c r="Y1798" s="77" t="n"/>
      <c r="Z1798" s="77" t="n"/>
      <c r="AA1798" s="75" t="n"/>
      <c r="AB1798" s="75" t="n"/>
      <c r="AC1798" s="6" t="n"/>
      <c r="AD1798" s="75" t="n"/>
      <c r="AE1798" s="75" t="n"/>
      <c r="AF1798" s="75" t="n"/>
    </row>
    <row r="1799" ht="15.75" customHeight="1" s="133">
      <c r="A1799" s="75" t="n"/>
      <c r="B1799" s="75" t="n"/>
      <c r="C1799" s="75" t="n"/>
      <c r="D1799" s="75" t="n"/>
      <c r="E1799" s="76" t="n"/>
      <c r="F1799" s="77" t="n"/>
      <c r="G1799" s="75" t="n"/>
      <c r="H1799" s="75">
        <f>IF(ISBLANK(E1799),"",IF(OR(D1799="Butterfly",D1799="Butterfly ",D1799="Iron Fly", D1799="Iron Fly "),LEN(E1799)-LEN(SUBSTITUTE(E1799,"/",""))+2,LEN(E1799)-LEN(SUBSTITUTE(E1799,"/",""))+1))</f>
        <v/>
      </c>
      <c r="I1799" s="78">
        <f>IF(ISBLANK(G1799),"",IF(D1799="Stock","0",Key!$A$3*H1799*G1799))</f>
        <v/>
      </c>
      <c r="J1799" s="78">
        <f>IF(ISBLANK(E1799),"",IF(ISNUMBER(SEARCH("/",E1799)), IF(LEN(E1799)-LEN(SUBSTITUTE(E1799,"/",""))=1,(RIGHT(E1799,LEN(E1799)-FIND("/",E1799)))-(LEFT(E1799,FIND("/",E1799)-1)),(MID(E1799, SEARCH("/",E1799) + 1, SEARCH("/",E1799, SEARCH("/",E1799)+1) - SEARCH("/",E1799) - 1))-(LEFT(E1799,FIND("/",E1799)-1))), "NA"))</f>
        <v/>
      </c>
      <c r="K1799" s="79">
        <f>IF(A1799&lt;&gt;"", IF(ISBLANK(L1799), TODAY(), K1799), "")</f>
        <v/>
      </c>
      <c r="L1799" s="78" t="n"/>
      <c r="M1799" s="78">
        <f>IF(ISBLANK(L1799),"",IF(D1799="Stock",IF(C1799="Buy",L1799*G1799,IF(C1799="Sell",(L1799*G1799)-I1799, X)),IF(C1799="Buy",(L1799*G1799*100)+I1799,IF(C1799="Sell",(L1799*G1799*100)-I1799, X))))</f>
        <v/>
      </c>
      <c r="N1799" s="78">
        <f>IF(ISBLANK(L1799),"",IF(AND(C1799="Sell",D1799="Stock"),M1799,IF(ISBLANK(L1799),"",IF(C1799="Buy",M1799, IF(AND(C1799="Sell",J1799="NA"),(E1799*G1799*100*0.1)+I1799, IF(C1799="Sell",(J1799-L1799)*(100*G1799)+I1799))))))</f>
        <v/>
      </c>
      <c r="O1799" s="75" t="n"/>
      <c r="P1799" s="75" t="n"/>
      <c r="Q1799" s="75">
        <f>IF(ISBLANK(P1799),"",IF(D1799="Stock",P1799*G1799,IF(P1799=0,"0",G1799*P1799*100-(G1799*$AF$14))))</f>
        <v/>
      </c>
      <c r="R1799" s="79">
        <f>IF(P1799&lt;&gt;"", TODAY(), "")</f>
        <v/>
      </c>
      <c r="S1799" s="78">
        <f>IF(AND(K1799&lt;&gt;"", R1799&lt;&gt;""), R1799-K1799, "")</f>
        <v/>
      </c>
      <c r="T1799" s="78" t="n"/>
      <c r="U1799" s="92">
        <f>IF(ISBLANK(P1799),"",IF(C1799="Buy",Q1799-M1799+T1799, IF(C1799="Sell",M1799-Q1799-T1799, X)))</f>
        <v/>
      </c>
      <c r="V1799" s="81">
        <f>IF(ISBLANK(P1799),"",U1799/N1799)</f>
        <v/>
      </c>
      <c r="W1799" s="81">
        <f>IF(ISBLANK(P1799),"",IF(S1799=0,(365/0.5)*V1799,(365/S1799)*V1799))</f>
        <v/>
      </c>
      <c r="X1799" s="75" t="n"/>
      <c r="Y1799" s="77" t="n"/>
      <c r="Z1799" s="77" t="n"/>
      <c r="AA1799" s="75" t="n"/>
      <c r="AB1799" s="75" t="n"/>
      <c r="AC1799" s="6" t="n"/>
      <c r="AD1799" s="75" t="n"/>
      <c r="AE1799" s="75" t="n"/>
      <c r="AF1799" s="75" t="n"/>
    </row>
    <row r="1800" ht="15.75" customHeight="1" s="133">
      <c r="A1800" s="75" t="n"/>
      <c r="B1800" s="75" t="n"/>
      <c r="C1800" s="75" t="n"/>
      <c r="D1800" s="75" t="n"/>
      <c r="E1800" s="76" t="n"/>
      <c r="F1800" s="77" t="n"/>
      <c r="G1800" s="75" t="n"/>
      <c r="H1800" s="75">
        <f>IF(ISBLANK(E1800),"",IF(OR(D1800="Butterfly",D1800="Butterfly ",D1800="Iron Fly", D1800="Iron Fly "),LEN(E1800)-LEN(SUBSTITUTE(E1800,"/",""))+2,LEN(E1800)-LEN(SUBSTITUTE(E1800,"/",""))+1))</f>
        <v/>
      </c>
      <c r="I1800" s="78">
        <f>IF(ISBLANK(G1800),"",IF(D1800="Stock","0",Key!$A$3*H1800*G1800))</f>
        <v/>
      </c>
      <c r="J1800" s="78">
        <f>IF(ISBLANK(E1800),"",IF(ISNUMBER(SEARCH("/",E1800)), IF(LEN(E1800)-LEN(SUBSTITUTE(E1800,"/",""))=1,(RIGHT(E1800,LEN(E1800)-FIND("/",E1800)))-(LEFT(E1800,FIND("/",E1800)-1)),(MID(E1800, SEARCH("/",E1800) + 1, SEARCH("/",E1800, SEARCH("/",E1800)+1) - SEARCH("/",E1800) - 1))-(LEFT(E1800,FIND("/",E1800)-1))), "NA"))</f>
        <v/>
      </c>
      <c r="K1800" s="79">
        <f>IF(A1800&lt;&gt;"", IF(ISBLANK(L1800), TODAY(), K1800), "")</f>
        <v/>
      </c>
      <c r="L1800" s="78" t="n"/>
      <c r="M1800" s="78">
        <f>IF(ISBLANK(L1800),"",IF(D1800="Stock",IF(C1800="Buy",L1800*G1800,IF(C1800="Sell",(L1800*G1800)-I1800, X)),IF(C1800="Buy",(L1800*G1800*100)+I1800,IF(C1800="Sell",(L1800*G1800*100)-I1800, X))))</f>
        <v/>
      </c>
      <c r="N1800" s="78">
        <f>IF(ISBLANK(L1800),"",IF(AND(C1800="Sell",D1800="Stock"),M1800,IF(ISBLANK(L1800),"",IF(C1800="Buy",M1800, IF(AND(C1800="Sell",J1800="NA"),(E1800*G1800*100*0.1)+I1800, IF(C1800="Sell",(J1800-L1800)*(100*G1800)+I1800))))))</f>
        <v/>
      </c>
      <c r="O1800" s="75" t="n"/>
      <c r="P1800" s="75" t="n"/>
      <c r="Q1800" s="75">
        <f>IF(ISBLANK(P1800),"",IF(D1800="Stock",P1800*G1800,IF(P1800=0,"0",G1800*P1800*100-(G1800*$AF$14))))</f>
        <v/>
      </c>
      <c r="R1800" s="79">
        <f>IF(P1800&lt;&gt;"", TODAY(), "")</f>
        <v/>
      </c>
      <c r="S1800" s="78">
        <f>IF(AND(K1800&lt;&gt;"", R1800&lt;&gt;""), R1800-K1800, "")</f>
        <v/>
      </c>
      <c r="T1800" s="78" t="n"/>
      <c r="U1800" s="92">
        <f>IF(ISBLANK(P1800),"",IF(C1800="Buy",Q1800-M1800+T1800, IF(C1800="Sell",M1800-Q1800-T1800, X)))</f>
        <v/>
      </c>
      <c r="V1800" s="81">
        <f>IF(ISBLANK(P1800),"",U1800/N1800)</f>
        <v/>
      </c>
      <c r="W1800" s="81">
        <f>IF(ISBLANK(P1800),"",IF(S1800=0,(365/0.5)*V1800,(365/S1800)*V1800))</f>
        <v/>
      </c>
      <c r="X1800" s="75" t="n"/>
      <c r="Y1800" s="77" t="n"/>
      <c r="Z1800" s="77" t="n"/>
      <c r="AA1800" s="75" t="n"/>
      <c r="AB1800" s="75" t="n"/>
      <c r="AC1800" s="6" t="n"/>
      <c r="AD1800" s="75" t="n"/>
      <c r="AE1800" s="75" t="n"/>
      <c r="AF1800" s="75" t="n"/>
    </row>
    <row r="1801" ht="15.75" customHeight="1" s="133">
      <c r="A1801" s="75" t="n"/>
      <c r="B1801" s="75" t="n"/>
      <c r="C1801" s="75" t="n"/>
      <c r="D1801" s="75" t="n"/>
      <c r="E1801" s="76" t="n"/>
      <c r="F1801" s="77" t="n"/>
      <c r="G1801" s="75" t="n"/>
      <c r="H1801" s="75">
        <f>IF(ISBLANK(E1801),"",IF(OR(D1801="Butterfly",D1801="Butterfly ",D1801="Iron Fly", D1801="Iron Fly "),LEN(E1801)-LEN(SUBSTITUTE(E1801,"/",""))+2,LEN(E1801)-LEN(SUBSTITUTE(E1801,"/",""))+1))</f>
        <v/>
      </c>
      <c r="I1801" s="78">
        <f>IF(ISBLANK(G1801),"",IF(D1801="Stock","0",Key!$A$3*H1801*G1801))</f>
        <v/>
      </c>
      <c r="J1801" s="78">
        <f>IF(ISBLANK(E1801),"",IF(ISNUMBER(SEARCH("/",E1801)), IF(LEN(E1801)-LEN(SUBSTITUTE(E1801,"/",""))=1,(RIGHT(E1801,LEN(E1801)-FIND("/",E1801)))-(LEFT(E1801,FIND("/",E1801)-1)),(MID(E1801, SEARCH("/",E1801) + 1, SEARCH("/",E1801, SEARCH("/",E1801)+1) - SEARCH("/",E1801) - 1))-(LEFT(E1801,FIND("/",E1801)-1))), "NA"))</f>
        <v/>
      </c>
      <c r="K1801" s="79">
        <f>IF(A1801&lt;&gt;"", IF(ISBLANK(L1801), TODAY(), K1801), "")</f>
        <v/>
      </c>
      <c r="L1801" s="78" t="n"/>
      <c r="M1801" s="78">
        <f>IF(ISBLANK(L1801),"",IF(D1801="Stock",IF(C1801="Buy",L1801*G1801,IF(C1801="Sell",(L1801*G1801)-I1801, X)),IF(C1801="Buy",(L1801*G1801*100)+I1801,IF(C1801="Sell",(L1801*G1801*100)-I1801, X))))</f>
        <v/>
      </c>
      <c r="N1801" s="78">
        <f>IF(ISBLANK(L1801),"",IF(AND(C1801="Sell",D1801="Stock"),M1801,IF(ISBLANK(L1801),"",IF(C1801="Buy",M1801, IF(AND(C1801="Sell",J1801="NA"),(E1801*G1801*100*0.1)+I1801, IF(C1801="Sell",(J1801-L1801)*(100*G1801)+I1801))))))</f>
        <v/>
      </c>
      <c r="O1801" s="75" t="n"/>
      <c r="P1801" s="75" t="n"/>
      <c r="Q1801" s="75">
        <f>IF(ISBLANK(P1801),"",IF(D1801="Stock",P1801*G1801,IF(P1801=0,"0",G1801*P1801*100-(G1801*$AF$14))))</f>
        <v/>
      </c>
      <c r="R1801" s="79">
        <f>IF(P1801&lt;&gt;"", TODAY(), "")</f>
        <v/>
      </c>
      <c r="S1801" s="78">
        <f>IF(AND(K1801&lt;&gt;"", R1801&lt;&gt;""), R1801-K1801, "")</f>
        <v/>
      </c>
      <c r="T1801" s="78" t="n"/>
      <c r="U1801" s="92">
        <f>IF(ISBLANK(P1801),"",IF(C1801="Buy",Q1801-M1801+T1801, IF(C1801="Sell",M1801-Q1801-T1801, X)))</f>
        <v/>
      </c>
      <c r="V1801" s="81">
        <f>IF(ISBLANK(P1801),"",U1801/N1801)</f>
        <v/>
      </c>
      <c r="W1801" s="81">
        <f>IF(ISBLANK(P1801),"",IF(S1801=0,(365/0.5)*V1801,(365/S1801)*V1801))</f>
        <v/>
      </c>
      <c r="X1801" s="75" t="n"/>
      <c r="Y1801" s="77" t="n"/>
      <c r="Z1801" s="77" t="n"/>
      <c r="AA1801" s="75" t="n"/>
      <c r="AB1801" s="75" t="n"/>
      <c r="AC1801" s="6" t="n"/>
      <c r="AD1801" s="75" t="n"/>
      <c r="AE1801" s="75" t="n"/>
      <c r="AF1801" s="75" t="n"/>
    </row>
    <row r="1802" ht="15.75" customHeight="1" s="133">
      <c r="A1802" s="75" t="n"/>
      <c r="B1802" s="75" t="n"/>
      <c r="C1802" s="75" t="n"/>
      <c r="D1802" s="75" t="n"/>
      <c r="E1802" s="76" t="n"/>
      <c r="F1802" s="77" t="n"/>
      <c r="G1802" s="75" t="n"/>
      <c r="H1802" s="75">
        <f>IF(ISBLANK(E1802),"",IF(OR(D1802="Butterfly",D1802="Butterfly ",D1802="Iron Fly", D1802="Iron Fly "),LEN(E1802)-LEN(SUBSTITUTE(E1802,"/",""))+2,LEN(E1802)-LEN(SUBSTITUTE(E1802,"/",""))+1))</f>
        <v/>
      </c>
      <c r="I1802" s="78">
        <f>IF(ISBLANK(G1802),"",IF(D1802="Stock","0",Key!$A$3*H1802*G1802))</f>
        <v/>
      </c>
      <c r="J1802" s="78">
        <f>IF(ISBLANK(E1802),"",IF(ISNUMBER(SEARCH("/",E1802)), IF(LEN(E1802)-LEN(SUBSTITUTE(E1802,"/",""))=1,(RIGHT(E1802,LEN(E1802)-FIND("/",E1802)))-(LEFT(E1802,FIND("/",E1802)-1)),(MID(E1802, SEARCH("/",E1802) + 1, SEARCH("/",E1802, SEARCH("/",E1802)+1) - SEARCH("/",E1802) - 1))-(LEFT(E1802,FIND("/",E1802)-1))), "NA"))</f>
        <v/>
      </c>
      <c r="K1802" s="79">
        <f>IF(A1802&lt;&gt;"", IF(ISBLANK(L1802), TODAY(), K1802), "")</f>
        <v/>
      </c>
      <c r="L1802" s="78" t="n"/>
      <c r="M1802" s="78">
        <f>IF(ISBLANK(L1802),"",IF(D1802="Stock",IF(C1802="Buy",L1802*G1802,IF(C1802="Sell",(L1802*G1802)-I1802, X)),IF(C1802="Buy",(L1802*G1802*100)+I1802,IF(C1802="Sell",(L1802*G1802*100)-I1802, X))))</f>
        <v/>
      </c>
      <c r="N1802" s="78">
        <f>IF(ISBLANK(L1802),"",IF(AND(C1802="Sell",D1802="Stock"),M1802,IF(ISBLANK(L1802),"",IF(C1802="Buy",M1802, IF(AND(C1802="Sell",J1802="NA"),(E1802*G1802*100*0.1)+I1802, IF(C1802="Sell",(J1802-L1802)*(100*G1802)+I1802))))))</f>
        <v/>
      </c>
      <c r="O1802" s="75" t="n"/>
      <c r="P1802" s="75" t="n"/>
      <c r="Q1802" s="75">
        <f>IF(ISBLANK(P1802),"",IF(D1802="Stock",P1802*G1802,IF(P1802=0,"0",G1802*P1802*100-(G1802*$AF$14))))</f>
        <v/>
      </c>
      <c r="R1802" s="79">
        <f>IF(P1802&lt;&gt;"", TODAY(), "")</f>
        <v/>
      </c>
      <c r="S1802" s="78">
        <f>IF(AND(K1802&lt;&gt;"", R1802&lt;&gt;""), R1802-K1802, "")</f>
        <v/>
      </c>
      <c r="T1802" s="78" t="n"/>
      <c r="U1802" s="92">
        <f>IF(ISBLANK(P1802),"",IF(C1802="Buy",Q1802-M1802+T1802, IF(C1802="Sell",M1802-Q1802-T1802, X)))</f>
        <v/>
      </c>
      <c r="V1802" s="81">
        <f>IF(ISBLANK(P1802),"",U1802/N1802)</f>
        <v/>
      </c>
      <c r="W1802" s="81">
        <f>IF(ISBLANK(P1802),"",IF(S1802=0,(365/0.5)*V1802,(365/S1802)*V1802))</f>
        <v/>
      </c>
      <c r="X1802" s="75" t="n"/>
      <c r="Y1802" s="77" t="n"/>
      <c r="Z1802" s="77" t="n"/>
      <c r="AA1802" s="75" t="n"/>
      <c r="AB1802" s="75" t="n"/>
      <c r="AC1802" s="6" t="n"/>
      <c r="AD1802" s="75" t="n"/>
      <c r="AE1802" s="75" t="n"/>
      <c r="AF1802" s="75" t="n"/>
    </row>
    <row r="1803" ht="15.75" customHeight="1" s="133">
      <c r="A1803" s="75" t="n"/>
      <c r="B1803" s="75" t="n"/>
      <c r="C1803" s="75" t="n"/>
      <c r="D1803" s="75" t="n"/>
      <c r="E1803" s="76" t="n"/>
      <c r="F1803" s="77" t="n"/>
      <c r="G1803" s="75" t="n"/>
      <c r="H1803" s="75">
        <f>IF(ISBLANK(E1803),"",IF(OR(D1803="Butterfly",D1803="Butterfly ",D1803="Iron Fly", D1803="Iron Fly "),LEN(E1803)-LEN(SUBSTITUTE(E1803,"/",""))+2,LEN(E1803)-LEN(SUBSTITUTE(E1803,"/",""))+1))</f>
        <v/>
      </c>
      <c r="I1803" s="78">
        <f>IF(ISBLANK(G1803),"",IF(D1803="Stock","0",Key!$A$3*H1803*G1803))</f>
        <v/>
      </c>
      <c r="J1803" s="78">
        <f>IF(ISBLANK(E1803),"",IF(ISNUMBER(SEARCH("/",E1803)), IF(LEN(E1803)-LEN(SUBSTITUTE(E1803,"/",""))=1,(RIGHT(E1803,LEN(E1803)-FIND("/",E1803)))-(LEFT(E1803,FIND("/",E1803)-1)),(MID(E1803, SEARCH("/",E1803) + 1, SEARCH("/",E1803, SEARCH("/",E1803)+1) - SEARCH("/",E1803) - 1))-(LEFT(E1803,FIND("/",E1803)-1))), "NA"))</f>
        <v/>
      </c>
      <c r="K1803" s="79">
        <f>IF(A1803&lt;&gt;"", IF(ISBLANK(L1803), TODAY(), K1803), "")</f>
        <v/>
      </c>
      <c r="L1803" s="78" t="n"/>
      <c r="M1803" s="78">
        <f>IF(ISBLANK(L1803),"",IF(D1803="Stock",IF(C1803="Buy",L1803*G1803,IF(C1803="Sell",(L1803*G1803)-I1803, X)),IF(C1803="Buy",(L1803*G1803*100)+I1803,IF(C1803="Sell",(L1803*G1803*100)-I1803, X))))</f>
        <v/>
      </c>
      <c r="N1803" s="78">
        <f>IF(ISBLANK(L1803),"",IF(AND(C1803="Sell",D1803="Stock"),M1803,IF(ISBLANK(L1803),"",IF(C1803="Buy",M1803, IF(AND(C1803="Sell",J1803="NA"),(E1803*G1803*100*0.1)+I1803, IF(C1803="Sell",(J1803-L1803)*(100*G1803)+I1803))))))</f>
        <v/>
      </c>
      <c r="O1803" s="75" t="n"/>
      <c r="P1803" s="75" t="n"/>
      <c r="Q1803" s="75">
        <f>IF(ISBLANK(P1803),"",IF(D1803="Stock",P1803*G1803,IF(P1803=0,"0",G1803*P1803*100-(G1803*$AF$14))))</f>
        <v/>
      </c>
      <c r="R1803" s="79">
        <f>IF(P1803&lt;&gt;"", TODAY(), "")</f>
        <v/>
      </c>
      <c r="S1803" s="78">
        <f>IF(AND(K1803&lt;&gt;"", R1803&lt;&gt;""), R1803-K1803, "")</f>
        <v/>
      </c>
      <c r="T1803" s="78" t="n"/>
      <c r="U1803" s="92">
        <f>IF(ISBLANK(P1803),"",IF(C1803="Buy",Q1803-M1803+T1803, IF(C1803="Sell",M1803-Q1803-T1803, X)))</f>
        <v/>
      </c>
      <c r="V1803" s="81">
        <f>IF(ISBLANK(P1803),"",U1803/N1803)</f>
        <v/>
      </c>
      <c r="W1803" s="81">
        <f>IF(ISBLANK(P1803),"",IF(S1803=0,(365/0.5)*V1803,(365/S1803)*V1803))</f>
        <v/>
      </c>
      <c r="X1803" s="75" t="n"/>
      <c r="Y1803" s="77" t="n"/>
      <c r="Z1803" s="77" t="n"/>
      <c r="AA1803" s="75" t="n"/>
      <c r="AB1803" s="75" t="n"/>
      <c r="AC1803" s="6" t="n"/>
      <c r="AD1803" s="75" t="n"/>
      <c r="AE1803" s="75" t="n"/>
      <c r="AF1803" s="75" t="n"/>
    </row>
    <row r="1804" ht="15.75" customHeight="1" s="133">
      <c r="A1804" s="75" t="n"/>
      <c r="B1804" s="75" t="n"/>
      <c r="C1804" s="75" t="n"/>
      <c r="D1804" s="75" t="n"/>
      <c r="E1804" s="76" t="n"/>
      <c r="F1804" s="77" t="n"/>
      <c r="G1804" s="75" t="n"/>
      <c r="H1804" s="75">
        <f>IF(ISBLANK(E1804),"",IF(OR(D1804="Butterfly",D1804="Butterfly ",D1804="Iron Fly", D1804="Iron Fly "),LEN(E1804)-LEN(SUBSTITUTE(E1804,"/",""))+2,LEN(E1804)-LEN(SUBSTITUTE(E1804,"/",""))+1))</f>
        <v/>
      </c>
      <c r="I1804" s="78">
        <f>IF(ISBLANK(G1804),"",IF(D1804="Stock","0",Key!$A$3*H1804*G1804))</f>
        <v/>
      </c>
      <c r="J1804" s="78">
        <f>IF(ISBLANK(E1804),"",IF(ISNUMBER(SEARCH("/",E1804)), IF(LEN(E1804)-LEN(SUBSTITUTE(E1804,"/",""))=1,(RIGHT(E1804,LEN(E1804)-FIND("/",E1804)))-(LEFT(E1804,FIND("/",E1804)-1)),(MID(E1804, SEARCH("/",E1804) + 1, SEARCH("/",E1804, SEARCH("/",E1804)+1) - SEARCH("/",E1804) - 1))-(LEFT(E1804,FIND("/",E1804)-1))), "NA"))</f>
        <v/>
      </c>
      <c r="K1804" s="79">
        <f>IF(A1804&lt;&gt;"", IF(ISBLANK(L1804), TODAY(), K1804), "")</f>
        <v/>
      </c>
      <c r="L1804" s="78" t="n"/>
      <c r="M1804" s="78">
        <f>IF(ISBLANK(L1804),"",IF(D1804="Stock",IF(C1804="Buy",L1804*G1804,IF(C1804="Sell",(L1804*G1804)-I1804, X)),IF(C1804="Buy",(L1804*G1804*100)+I1804,IF(C1804="Sell",(L1804*G1804*100)-I1804, X))))</f>
        <v/>
      </c>
      <c r="N1804" s="78">
        <f>IF(ISBLANK(L1804),"",IF(AND(C1804="Sell",D1804="Stock"),M1804,IF(ISBLANK(L1804),"",IF(C1804="Buy",M1804, IF(AND(C1804="Sell",J1804="NA"),(E1804*G1804*100*0.1)+I1804, IF(C1804="Sell",(J1804-L1804)*(100*G1804)+I1804))))))</f>
        <v/>
      </c>
      <c r="O1804" s="75" t="n"/>
      <c r="P1804" s="75" t="n"/>
      <c r="Q1804" s="75">
        <f>IF(ISBLANK(P1804),"",IF(D1804="Stock",P1804*G1804,IF(P1804=0,"0",G1804*P1804*100-(G1804*$AF$14))))</f>
        <v/>
      </c>
      <c r="R1804" s="79">
        <f>IF(P1804&lt;&gt;"", TODAY(), "")</f>
        <v/>
      </c>
      <c r="S1804" s="78">
        <f>IF(AND(K1804&lt;&gt;"", R1804&lt;&gt;""), R1804-K1804, "")</f>
        <v/>
      </c>
      <c r="T1804" s="78" t="n"/>
      <c r="U1804" s="92">
        <f>IF(ISBLANK(P1804),"",IF(C1804="Buy",Q1804-M1804+T1804, IF(C1804="Sell",M1804-Q1804-T1804, X)))</f>
        <v/>
      </c>
      <c r="V1804" s="81">
        <f>IF(ISBLANK(P1804),"",U1804/N1804)</f>
        <v/>
      </c>
      <c r="W1804" s="81">
        <f>IF(ISBLANK(P1804),"",IF(S1804=0,(365/0.5)*V1804,(365/S1804)*V1804))</f>
        <v/>
      </c>
      <c r="X1804" s="75" t="n"/>
      <c r="Y1804" s="77" t="n"/>
      <c r="Z1804" s="77" t="n"/>
      <c r="AA1804" s="75" t="n"/>
      <c r="AB1804" s="75" t="n"/>
      <c r="AC1804" s="6" t="n"/>
      <c r="AD1804" s="75" t="n"/>
      <c r="AE1804" s="75" t="n"/>
      <c r="AF1804" s="75" t="n"/>
    </row>
    <row r="1805" ht="15.75" customHeight="1" s="133">
      <c r="A1805" s="75" t="n"/>
      <c r="B1805" s="75" t="n"/>
      <c r="C1805" s="75" t="n"/>
      <c r="D1805" s="75" t="n"/>
      <c r="E1805" s="76" t="n"/>
      <c r="F1805" s="77" t="n"/>
      <c r="G1805" s="75" t="n"/>
      <c r="H1805" s="75">
        <f>IF(ISBLANK(E1805),"",IF(OR(D1805="Butterfly",D1805="Butterfly ",D1805="Iron Fly", D1805="Iron Fly "),LEN(E1805)-LEN(SUBSTITUTE(E1805,"/",""))+2,LEN(E1805)-LEN(SUBSTITUTE(E1805,"/",""))+1))</f>
        <v/>
      </c>
      <c r="I1805" s="78">
        <f>IF(ISBLANK(G1805),"",IF(D1805="Stock","0",Key!$A$3*H1805*G1805))</f>
        <v/>
      </c>
      <c r="J1805" s="78">
        <f>IF(ISBLANK(E1805),"",IF(ISNUMBER(SEARCH("/",E1805)), IF(LEN(E1805)-LEN(SUBSTITUTE(E1805,"/",""))=1,(RIGHT(E1805,LEN(E1805)-FIND("/",E1805)))-(LEFT(E1805,FIND("/",E1805)-1)),(MID(E1805, SEARCH("/",E1805) + 1, SEARCH("/",E1805, SEARCH("/",E1805)+1) - SEARCH("/",E1805) - 1))-(LEFT(E1805,FIND("/",E1805)-1))), "NA"))</f>
        <v/>
      </c>
      <c r="K1805" s="79">
        <f>IF(A1805&lt;&gt;"", IF(ISBLANK(L1805), TODAY(), K1805), "")</f>
        <v/>
      </c>
      <c r="L1805" s="78" t="n"/>
      <c r="M1805" s="78">
        <f>IF(ISBLANK(L1805),"",IF(D1805="Stock",IF(C1805="Buy",L1805*G1805,IF(C1805="Sell",(L1805*G1805)-I1805, X)),IF(C1805="Buy",(L1805*G1805*100)+I1805,IF(C1805="Sell",(L1805*G1805*100)-I1805, X))))</f>
        <v/>
      </c>
      <c r="N1805" s="78">
        <f>IF(ISBLANK(L1805),"",IF(AND(C1805="Sell",D1805="Stock"),M1805,IF(ISBLANK(L1805),"",IF(C1805="Buy",M1805, IF(AND(C1805="Sell",J1805="NA"),(E1805*G1805*100*0.1)+I1805, IF(C1805="Sell",(J1805-L1805)*(100*G1805)+I1805))))))</f>
        <v/>
      </c>
      <c r="O1805" s="75" t="n"/>
      <c r="P1805" s="75" t="n"/>
      <c r="Q1805" s="75">
        <f>IF(ISBLANK(P1805),"",IF(D1805="Stock",P1805*G1805,IF(P1805=0,"0",G1805*P1805*100-(G1805*$AF$14))))</f>
        <v/>
      </c>
      <c r="R1805" s="79">
        <f>IF(P1805&lt;&gt;"", TODAY(), "")</f>
        <v/>
      </c>
      <c r="S1805" s="78">
        <f>IF(AND(K1805&lt;&gt;"", R1805&lt;&gt;""), R1805-K1805, "")</f>
        <v/>
      </c>
      <c r="T1805" s="78" t="n"/>
      <c r="U1805" s="92">
        <f>IF(ISBLANK(P1805),"",IF(C1805="Buy",Q1805-M1805+T1805, IF(C1805="Sell",M1805-Q1805-T1805, X)))</f>
        <v/>
      </c>
      <c r="V1805" s="81">
        <f>IF(ISBLANK(P1805),"",U1805/N1805)</f>
        <v/>
      </c>
      <c r="W1805" s="81">
        <f>IF(ISBLANK(P1805),"",IF(S1805=0,(365/0.5)*V1805,(365/S1805)*V1805))</f>
        <v/>
      </c>
      <c r="X1805" s="75" t="n"/>
      <c r="Y1805" s="77" t="n"/>
      <c r="Z1805" s="77" t="n"/>
      <c r="AA1805" s="75" t="n"/>
      <c r="AB1805" s="75" t="n"/>
      <c r="AC1805" s="6" t="n"/>
      <c r="AD1805" s="75" t="n"/>
      <c r="AE1805" s="75" t="n"/>
      <c r="AF1805" s="75" t="n"/>
    </row>
    <row r="1806" ht="15.75" customHeight="1" s="133">
      <c r="A1806" s="75" t="n"/>
      <c r="B1806" s="75" t="n"/>
      <c r="C1806" s="75" t="n"/>
      <c r="D1806" s="75" t="n"/>
      <c r="E1806" s="76" t="n"/>
      <c r="F1806" s="77" t="n"/>
      <c r="G1806" s="75" t="n"/>
      <c r="H1806" s="75">
        <f>IF(ISBLANK(E1806),"",IF(OR(D1806="Butterfly",D1806="Butterfly ",D1806="Iron Fly", D1806="Iron Fly "),LEN(E1806)-LEN(SUBSTITUTE(E1806,"/",""))+2,LEN(E1806)-LEN(SUBSTITUTE(E1806,"/",""))+1))</f>
        <v/>
      </c>
      <c r="I1806" s="78">
        <f>IF(ISBLANK(G1806),"",IF(D1806="Stock","0",Key!$A$3*H1806*G1806))</f>
        <v/>
      </c>
      <c r="J1806" s="78">
        <f>IF(ISBLANK(E1806),"",IF(ISNUMBER(SEARCH("/",E1806)), IF(LEN(E1806)-LEN(SUBSTITUTE(E1806,"/",""))=1,(RIGHT(E1806,LEN(E1806)-FIND("/",E1806)))-(LEFT(E1806,FIND("/",E1806)-1)),(MID(E1806, SEARCH("/",E1806) + 1, SEARCH("/",E1806, SEARCH("/",E1806)+1) - SEARCH("/",E1806) - 1))-(LEFT(E1806,FIND("/",E1806)-1))), "NA"))</f>
        <v/>
      </c>
      <c r="K1806" s="79">
        <f>IF(A1806&lt;&gt;"", IF(ISBLANK(L1806), TODAY(), K1806), "")</f>
        <v/>
      </c>
      <c r="L1806" s="78" t="n"/>
      <c r="M1806" s="78">
        <f>IF(ISBLANK(L1806),"",IF(D1806="Stock",IF(C1806="Buy",L1806*G1806,IF(C1806="Sell",(L1806*G1806)-I1806, X)),IF(C1806="Buy",(L1806*G1806*100)+I1806,IF(C1806="Sell",(L1806*G1806*100)-I1806, X))))</f>
        <v/>
      </c>
      <c r="N1806" s="78">
        <f>IF(ISBLANK(L1806),"",IF(AND(C1806="Sell",D1806="Stock"),M1806,IF(ISBLANK(L1806),"",IF(C1806="Buy",M1806, IF(AND(C1806="Sell",J1806="NA"),(E1806*G1806*100*0.1)+I1806, IF(C1806="Sell",(J1806-L1806)*(100*G1806)+I1806))))))</f>
        <v/>
      </c>
      <c r="O1806" s="75" t="n"/>
      <c r="P1806" s="75" t="n"/>
      <c r="Q1806" s="75">
        <f>IF(ISBLANK(P1806),"",IF(D1806="Stock",P1806*G1806,IF(P1806=0,"0",G1806*P1806*100-(G1806*$AF$14))))</f>
        <v/>
      </c>
      <c r="R1806" s="79">
        <f>IF(P1806&lt;&gt;"", TODAY(), "")</f>
        <v/>
      </c>
      <c r="S1806" s="78">
        <f>IF(AND(K1806&lt;&gt;"", R1806&lt;&gt;""), R1806-K1806, "")</f>
        <v/>
      </c>
      <c r="T1806" s="78" t="n"/>
      <c r="U1806" s="92">
        <f>IF(ISBLANK(P1806),"",IF(C1806="Buy",Q1806-M1806+T1806, IF(C1806="Sell",M1806-Q1806-T1806, X)))</f>
        <v/>
      </c>
      <c r="V1806" s="81">
        <f>IF(ISBLANK(P1806),"",U1806/N1806)</f>
        <v/>
      </c>
      <c r="W1806" s="81">
        <f>IF(ISBLANK(P1806),"",IF(S1806=0,(365/0.5)*V1806,(365/S1806)*V1806))</f>
        <v/>
      </c>
      <c r="X1806" s="75" t="n"/>
      <c r="Y1806" s="77" t="n"/>
      <c r="Z1806" s="77" t="n"/>
      <c r="AA1806" s="75" t="n"/>
      <c r="AB1806" s="75" t="n"/>
      <c r="AC1806" s="6" t="n"/>
      <c r="AD1806" s="75" t="n"/>
      <c r="AE1806" s="75" t="n"/>
      <c r="AF1806" s="75" t="n"/>
    </row>
    <row r="1807" ht="15.75" customHeight="1" s="133">
      <c r="A1807" s="75" t="n"/>
      <c r="B1807" s="75" t="n"/>
      <c r="C1807" s="75" t="n"/>
      <c r="D1807" s="75" t="n"/>
      <c r="E1807" s="76" t="n"/>
      <c r="F1807" s="77" t="n"/>
      <c r="G1807" s="75" t="n"/>
      <c r="H1807" s="75">
        <f>IF(ISBLANK(E1807),"",IF(OR(D1807="Butterfly",D1807="Butterfly ",D1807="Iron Fly", D1807="Iron Fly "),LEN(E1807)-LEN(SUBSTITUTE(E1807,"/",""))+2,LEN(E1807)-LEN(SUBSTITUTE(E1807,"/",""))+1))</f>
        <v/>
      </c>
      <c r="I1807" s="78">
        <f>IF(ISBLANK(G1807),"",IF(D1807="Stock","0",Key!$A$3*H1807*G1807))</f>
        <v/>
      </c>
      <c r="J1807" s="78">
        <f>IF(ISBLANK(E1807),"",IF(ISNUMBER(SEARCH("/",E1807)), IF(LEN(E1807)-LEN(SUBSTITUTE(E1807,"/",""))=1,(RIGHT(E1807,LEN(E1807)-FIND("/",E1807)))-(LEFT(E1807,FIND("/",E1807)-1)),(MID(E1807, SEARCH("/",E1807) + 1, SEARCH("/",E1807, SEARCH("/",E1807)+1) - SEARCH("/",E1807) - 1))-(LEFT(E1807,FIND("/",E1807)-1))), "NA"))</f>
        <v/>
      </c>
      <c r="K1807" s="79">
        <f>IF(A1807&lt;&gt;"", IF(ISBLANK(L1807), TODAY(), K1807), "")</f>
        <v/>
      </c>
      <c r="L1807" s="78" t="n"/>
      <c r="M1807" s="78">
        <f>IF(ISBLANK(L1807),"",IF(D1807="Stock",IF(C1807="Buy",L1807*G1807,IF(C1807="Sell",(L1807*G1807)-I1807, X)),IF(C1807="Buy",(L1807*G1807*100)+I1807,IF(C1807="Sell",(L1807*G1807*100)-I1807, X))))</f>
        <v/>
      </c>
      <c r="N1807" s="78">
        <f>IF(ISBLANK(L1807),"",IF(AND(C1807="Sell",D1807="Stock"),M1807,IF(ISBLANK(L1807),"",IF(C1807="Buy",M1807, IF(AND(C1807="Sell",J1807="NA"),(E1807*G1807*100*0.1)+I1807, IF(C1807="Sell",(J1807-L1807)*(100*G1807)+I1807))))))</f>
        <v/>
      </c>
      <c r="O1807" s="75" t="n"/>
      <c r="P1807" s="75" t="n"/>
      <c r="Q1807" s="75">
        <f>IF(ISBLANK(P1807),"",IF(D1807="Stock",P1807*G1807,IF(P1807=0,"0",G1807*P1807*100-(G1807*$AF$14))))</f>
        <v/>
      </c>
      <c r="R1807" s="79">
        <f>IF(P1807&lt;&gt;"", TODAY(), "")</f>
        <v/>
      </c>
      <c r="S1807" s="78">
        <f>IF(AND(K1807&lt;&gt;"", R1807&lt;&gt;""), R1807-K1807, "")</f>
        <v/>
      </c>
      <c r="T1807" s="78" t="n"/>
      <c r="U1807" s="92">
        <f>IF(ISBLANK(P1807),"",IF(C1807="Buy",Q1807-M1807+T1807, IF(C1807="Sell",M1807-Q1807-T1807, X)))</f>
        <v/>
      </c>
      <c r="V1807" s="81">
        <f>IF(ISBLANK(P1807),"",U1807/N1807)</f>
        <v/>
      </c>
      <c r="W1807" s="81">
        <f>IF(ISBLANK(P1807),"",IF(S1807=0,(365/0.5)*V1807,(365/S1807)*V1807))</f>
        <v/>
      </c>
      <c r="X1807" s="75" t="n"/>
      <c r="Y1807" s="77" t="n"/>
      <c r="Z1807" s="77" t="n"/>
      <c r="AA1807" s="75" t="n"/>
      <c r="AB1807" s="75" t="n"/>
      <c r="AC1807" s="6" t="n"/>
      <c r="AD1807" s="75" t="n"/>
      <c r="AE1807" s="75" t="n"/>
      <c r="AF1807" s="75" t="n"/>
    </row>
    <row r="1808" ht="15.75" customHeight="1" s="133">
      <c r="A1808" s="75" t="n"/>
      <c r="B1808" s="75" t="n"/>
      <c r="C1808" s="75" t="n"/>
      <c r="D1808" s="75" t="n"/>
      <c r="E1808" s="76" t="n"/>
      <c r="F1808" s="77" t="n"/>
      <c r="G1808" s="75" t="n"/>
      <c r="H1808" s="75">
        <f>IF(ISBLANK(E1808),"",IF(OR(D1808="Butterfly",D1808="Butterfly ",D1808="Iron Fly", D1808="Iron Fly "),LEN(E1808)-LEN(SUBSTITUTE(E1808,"/",""))+2,LEN(E1808)-LEN(SUBSTITUTE(E1808,"/",""))+1))</f>
        <v/>
      </c>
      <c r="I1808" s="78">
        <f>IF(ISBLANK(G1808),"",IF(D1808="Stock","0",Key!$A$3*H1808*G1808))</f>
        <v/>
      </c>
      <c r="J1808" s="78">
        <f>IF(ISBLANK(E1808),"",IF(ISNUMBER(SEARCH("/",E1808)), IF(LEN(E1808)-LEN(SUBSTITUTE(E1808,"/",""))=1,(RIGHT(E1808,LEN(E1808)-FIND("/",E1808)))-(LEFT(E1808,FIND("/",E1808)-1)),(MID(E1808, SEARCH("/",E1808) + 1, SEARCH("/",E1808, SEARCH("/",E1808)+1) - SEARCH("/",E1808) - 1))-(LEFT(E1808,FIND("/",E1808)-1))), "NA"))</f>
        <v/>
      </c>
      <c r="K1808" s="79">
        <f>IF(A1808&lt;&gt;"", IF(ISBLANK(L1808), TODAY(), K1808), "")</f>
        <v/>
      </c>
      <c r="L1808" s="78" t="n"/>
      <c r="M1808" s="78">
        <f>IF(ISBLANK(L1808),"",IF(D1808="Stock",IF(C1808="Buy",L1808*G1808,IF(C1808="Sell",(L1808*G1808)-I1808, X)),IF(C1808="Buy",(L1808*G1808*100)+I1808,IF(C1808="Sell",(L1808*G1808*100)-I1808, X))))</f>
        <v/>
      </c>
      <c r="N1808" s="78">
        <f>IF(ISBLANK(L1808),"",IF(AND(C1808="Sell",D1808="Stock"),M1808,IF(ISBLANK(L1808),"",IF(C1808="Buy",M1808, IF(AND(C1808="Sell",J1808="NA"),(E1808*G1808*100*0.1)+I1808, IF(C1808="Sell",(J1808-L1808)*(100*G1808)+I1808))))))</f>
        <v/>
      </c>
      <c r="O1808" s="75" t="n"/>
      <c r="P1808" s="75" t="n"/>
      <c r="Q1808" s="75">
        <f>IF(ISBLANK(P1808),"",IF(D1808="Stock",P1808*G1808,IF(P1808=0,"0",G1808*P1808*100-(G1808*$AF$14))))</f>
        <v/>
      </c>
      <c r="R1808" s="79">
        <f>IF(P1808&lt;&gt;"", TODAY(), "")</f>
        <v/>
      </c>
      <c r="S1808" s="78">
        <f>IF(AND(K1808&lt;&gt;"", R1808&lt;&gt;""), R1808-K1808, "")</f>
        <v/>
      </c>
      <c r="T1808" s="78" t="n"/>
      <c r="U1808" s="92">
        <f>IF(ISBLANK(P1808),"",IF(C1808="Buy",Q1808-M1808+T1808, IF(C1808="Sell",M1808-Q1808-T1808, X)))</f>
        <v/>
      </c>
      <c r="V1808" s="81">
        <f>IF(ISBLANK(P1808),"",U1808/N1808)</f>
        <v/>
      </c>
      <c r="W1808" s="81">
        <f>IF(ISBLANK(P1808),"",IF(S1808=0,(365/0.5)*V1808,(365/S1808)*V1808))</f>
        <v/>
      </c>
      <c r="X1808" s="75" t="n"/>
      <c r="Y1808" s="77" t="n"/>
      <c r="Z1808" s="77" t="n"/>
      <c r="AA1808" s="75" t="n"/>
      <c r="AB1808" s="75" t="n"/>
      <c r="AC1808" s="6" t="n"/>
      <c r="AD1808" s="75" t="n"/>
      <c r="AE1808" s="75" t="n"/>
      <c r="AF1808" s="75" t="n"/>
    </row>
    <row r="1809" ht="15.75" customHeight="1" s="133">
      <c r="A1809" s="75" t="n"/>
      <c r="B1809" s="75" t="n"/>
      <c r="C1809" s="75" t="n"/>
      <c r="D1809" s="75" t="n"/>
      <c r="E1809" s="76" t="n"/>
      <c r="F1809" s="77" t="n"/>
      <c r="G1809" s="75" t="n"/>
      <c r="H1809" s="75">
        <f>IF(ISBLANK(E1809),"",IF(OR(D1809="Butterfly",D1809="Butterfly ",D1809="Iron Fly", D1809="Iron Fly "),LEN(E1809)-LEN(SUBSTITUTE(E1809,"/",""))+2,LEN(E1809)-LEN(SUBSTITUTE(E1809,"/",""))+1))</f>
        <v/>
      </c>
      <c r="I1809" s="78">
        <f>IF(ISBLANK(G1809),"",IF(D1809="Stock","0",Key!$A$3*H1809*G1809))</f>
        <v/>
      </c>
      <c r="J1809" s="78">
        <f>IF(ISBLANK(E1809),"",IF(ISNUMBER(SEARCH("/",E1809)), IF(LEN(E1809)-LEN(SUBSTITUTE(E1809,"/",""))=1,(RIGHT(E1809,LEN(E1809)-FIND("/",E1809)))-(LEFT(E1809,FIND("/",E1809)-1)),(MID(E1809, SEARCH("/",E1809) + 1, SEARCH("/",E1809, SEARCH("/",E1809)+1) - SEARCH("/",E1809) - 1))-(LEFT(E1809,FIND("/",E1809)-1))), "NA"))</f>
        <v/>
      </c>
      <c r="K1809" s="79">
        <f>IF(A1809&lt;&gt;"", IF(ISBLANK(L1809), TODAY(), K1809), "")</f>
        <v/>
      </c>
      <c r="L1809" s="78" t="n"/>
      <c r="M1809" s="78">
        <f>IF(ISBLANK(L1809),"",IF(D1809="Stock",IF(C1809="Buy",L1809*G1809,IF(C1809="Sell",(L1809*G1809)-I1809, X)),IF(C1809="Buy",(L1809*G1809*100)+I1809,IF(C1809="Sell",(L1809*G1809*100)-I1809, X))))</f>
        <v/>
      </c>
      <c r="N1809" s="78">
        <f>IF(ISBLANK(L1809),"",IF(AND(C1809="Sell",D1809="Stock"),M1809,IF(ISBLANK(L1809),"",IF(C1809="Buy",M1809, IF(AND(C1809="Sell",J1809="NA"),(E1809*G1809*100*0.1)+I1809, IF(C1809="Sell",(J1809-L1809)*(100*G1809)+I1809))))))</f>
        <v/>
      </c>
      <c r="O1809" s="75" t="n"/>
      <c r="P1809" s="75" t="n"/>
      <c r="Q1809" s="75">
        <f>IF(ISBLANK(P1809),"",IF(D1809="Stock",P1809*G1809,IF(P1809=0,"0",G1809*P1809*100-(G1809*$AF$14))))</f>
        <v/>
      </c>
      <c r="R1809" s="79">
        <f>IF(P1809&lt;&gt;"", TODAY(), "")</f>
        <v/>
      </c>
      <c r="S1809" s="78">
        <f>IF(AND(K1809&lt;&gt;"", R1809&lt;&gt;""), R1809-K1809, "")</f>
        <v/>
      </c>
      <c r="T1809" s="78" t="n"/>
      <c r="U1809" s="92">
        <f>IF(ISBLANK(P1809),"",IF(C1809="Buy",Q1809-M1809+T1809, IF(C1809="Sell",M1809-Q1809-T1809, X)))</f>
        <v/>
      </c>
      <c r="V1809" s="81">
        <f>IF(ISBLANK(P1809),"",U1809/N1809)</f>
        <v/>
      </c>
      <c r="W1809" s="81">
        <f>IF(ISBLANK(P1809),"",IF(S1809=0,(365/0.5)*V1809,(365/S1809)*V1809))</f>
        <v/>
      </c>
      <c r="X1809" s="75" t="n"/>
      <c r="Y1809" s="77" t="n"/>
      <c r="Z1809" s="77" t="n"/>
      <c r="AA1809" s="75" t="n"/>
      <c r="AB1809" s="75" t="n"/>
      <c r="AC1809" s="6" t="n"/>
      <c r="AD1809" s="75" t="n"/>
      <c r="AE1809" s="75" t="n"/>
      <c r="AF1809" s="75" t="n"/>
    </row>
    <row r="1810" ht="15.75" customHeight="1" s="133">
      <c r="A1810" s="75" t="n"/>
      <c r="B1810" s="75" t="n"/>
      <c r="C1810" s="75" t="n"/>
      <c r="D1810" s="75" t="n"/>
      <c r="E1810" s="76" t="n"/>
      <c r="F1810" s="77" t="n"/>
      <c r="G1810" s="75" t="n"/>
      <c r="H1810" s="75">
        <f>IF(ISBLANK(E1810),"",IF(OR(D1810="Butterfly",D1810="Butterfly ",D1810="Iron Fly", D1810="Iron Fly "),LEN(E1810)-LEN(SUBSTITUTE(E1810,"/",""))+2,LEN(E1810)-LEN(SUBSTITUTE(E1810,"/",""))+1))</f>
        <v/>
      </c>
      <c r="I1810" s="78">
        <f>IF(ISBLANK(G1810),"",IF(D1810="Stock","0",Key!$A$3*H1810*G1810))</f>
        <v/>
      </c>
      <c r="J1810" s="78">
        <f>IF(ISBLANK(E1810),"",IF(ISNUMBER(SEARCH("/",E1810)), IF(LEN(E1810)-LEN(SUBSTITUTE(E1810,"/",""))=1,(RIGHT(E1810,LEN(E1810)-FIND("/",E1810)))-(LEFT(E1810,FIND("/",E1810)-1)),(MID(E1810, SEARCH("/",E1810) + 1, SEARCH("/",E1810, SEARCH("/",E1810)+1) - SEARCH("/",E1810) - 1))-(LEFT(E1810,FIND("/",E1810)-1))), "NA"))</f>
        <v/>
      </c>
      <c r="K1810" s="79">
        <f>IF(A1810&lt;&gt;"", IF(ISBLANK(L1810), TODAY(), K1810), "")</f>
        <v/>
      </c>
      <c r="L1810" s="78" t="n"/>
      <c r="M1810" s="78">
        <f>IF(ISBLANK(L1810),"",IF(D1810="Stock",IF(C1810="Buy",L1810*G1810,IF(C1810="Sell",(L1810*G1810)-I1810, X)),IF(C1810="Buy",(L1810*G1810*100)+I1810,IF(C1810="Sell",(L1810*G1810*100)-I1810, X))))</f>
        <v/>
      </c>
      <c r="N1810" s="78">
        <f>IF(ISBLANK(L1810),"",IF(AND(C1810="Sell",D1810="Stock"),M1810,IF(ISBLANK(L1810),"",IF(C1810="Buy",M1810, IF(AND(C1810="Sell",J1810="NA"),(E1810*G1810*100*0.1)+I1810, IF(C1810="Sell",(J1810-L1810)*(100*G1810)+I1810))))))</f>
        <v/>
      </c>
      <c r="O1810" s="75" t="n"/>
      <c r="P1810" s="75" t="n"/>
      <c r="Q1810" s="75">
        <f>IF(ISBLANK(P1810),"",IF(D1810="Stock",P1810*G1810,IF(P1810=0,"0",G1810*P1810*100-(G1810*$AF$14))))</f>
        <v/>
      </c>
      <c r="R1810" s="79">
        <f>IF(P1810&lt;&gt;"", TODAY(), "")</f>
        <v/>
      </c>
      <c r="S1810" s="78">
        <f>IF(AND(K1810&lt;&gt;"", R1810&lt;&gt;""), R1810-K1810, "")</f>
        <v/>
      </c>
      <c r="T1810" s="78" t="n"/>
      <c r="U1810" s="92">
        <f>IF(ISBLANK(P1810),"",IF(C1810="Buy",Q1810-M1810+T1810, IF(C1810="Sell",M1810-Q1810-T1810, X)))</f>
        <v/>
      </c>
      <c r="V1810" s="81">
        <f>IF(ISBLANK(P1810),"",U1810/N1810)</f>
        <v/>
      </c>
      <c r="W1810" s="81">
        <f>IF(ISBLANK(P1810),"",IF(S1810=0,(365/0.5)*V1810,(365/S1810)*V1810))</f>
        <v/>
      </c>
      <c r="X1810" s="75" t="n"/>
      <c r="Y1810" s="77" t="n"/>
      <c r="Z1810" s="77" t="n"/>
      <c r="AA1810" s="75" t="n"/>
      <c r="AB1810" s="75" t="n"/>
      <c r="AC1810" s="6" t="n"/>
      <c r="AD1810" s="75" t="n"/>
      <c r="AE1810" s="75" t="n"/>
      <c r="AF1810" s="75" t="n"/>
    </row>
    <row r="1811" ht="15.75" customHeight="1" s="133">
      <c r="A1811" s="75" t="n"/>
      <c r="B1811" s="75" t="n"/>
      <c r="C1811" s="75" t="n"/>
      <c r="D1811" s="75" t="n"/>
      <c r="E1811" s="76" t="n"/>
      <c r="F1811" s="77" t="n"/>
      <c r="G1811" s="75" t="n"/>
      <c r="H1811" s="75">
        <f>IF(ISBLANK(E1811),"",IF(OR(D1811="Butterfly",D1811="Butterfly ",D1811="Iron Fly", D1811="Iron Fly "),LEN(E1811)-LEN(SUBSTITUTE(E1811,"/",""))+2,LEN(E1811)-LEN(SUBSTITUTE(E1811,"/",""))+1))</f>
        <v/>
      </c>
      <c r="I1811" s="78">
        <f>IF(ISBLANK(G1811),"",IF(D1811="Stock","0",Key!$A$3*H1811*G1811))</f>
        <v/>
      </c>
      <c r="J1811" s="78">
        <f>IF(ISBLANK(E1811),"",IF(ISNUMBER(SEARCH("/",E1811)), IF(LEN(E1811)-LEN(SUBSTITUTE(E1811,"/",""))=1,(RIGHT(E1811,LEN(E1811)-FIND("/",E1811)))-(LEFT(E1811,FIND("/",E1811)-1)),(MID(E1811, SEARCH("/",E1811) + 1, SEARCH("/",E1811, SEARCH("/",E1811)+1) - SEARCH("/",E1811) - 1))-(LEFT(E1811,FIND("/",E1811)-1))), "NA"))</f>
        <v/>
      </c>
      <c r="K1811" s="79">
        <f>IF(A1811&lt;&gt;"", IF(ISBLANK(L1811), TODAY(), K1811), "")</f>
        <v/>
      </c>
      <c r="L1811" s="78" t="n"/>
      <c r="M1811" s="78">
        <f>IF(ISBLANK(L1811),"",IF(D1811="Stock",IF(C1811="Buy",L1811*G1811,IF(C1811="Sell",(L1811*G1811)-I1811, X)),IF(C1811="Buy",(L1811*G1811*100)+I1811,IF(C1811="Sell",(L1811*G1811*100)-I1811, X))))</f>
        <v/>
      </c>
      <c r="N1811" s="78">
        <f>IF(ISBLANK(L1811),"",IF(AND(C1811="Sell",D1811="Stock"),M1811,IF(ISBLANK(L1811),"",IF(C1811="Buy",M1811, IF(AND(C1811="Sell",J1811="NA"),(E1811*G1811*100*0.1)+I1811, IF(C1811="Sell",(J1811-L1811)*(100*G1811)+I1811))))))</f>
        <v/>
      </c>
      <c r="O1811" s="75" t="n"/>
      <c r="P1811" s="75" t="n"/>
      <c r="Q1811" s="75">
        <f>IF(ISBLANK(P1811),"",IF(D1811="Stock",P1811*G1811,IF(P1811=0,"0",G1811*P1811*100-(G1811*$AF$14))))</f>
        <v/>
      </c>
      <c r="R1811" s="79">
        <f>IF(P1811&lt;&gt;"", TODAY(), "")</f>
        <v/>
      </c>
      <c r="S1811" s="78">
        <f>IF(AND(K1811&lt;&gt;"", R1811&lt;&gt;""), R1811-K1811, "")</f>
        <v/>
      </c>
      <c r="T1811" s="78" t="n"/>
      <c r="U1811" s="92">
        <f>IF(ISBLANK(P1811),"",IF(C1811="Buy",Q1811-M1811+T1811, IF(C1811="Sell",M1811-Q1811-T1811, X)))</f>
        <v/>
      </c>
      <c r="V1811" s="81">
        <f>IF(ISBLANK(P1811),"",U1811/N1811)</f>
        <v/>
      </c>
      <c r="W1811" s="81">
        <f>IF(ISBLANK(P1811),"",IF(S1811=0,(365/0.5)*V1811,(365/S1811)*V1811))</f>
        <v/>
      </c>
      <c r="X1811" s="75" t="n"/>
      <c r="Y1811" s="77" t="n"/>
      <c r="Z1811" s="77" t="n"/>
      <c r="AA1811" s="75" t="n"/>
      <c r="AB1811" s="75" t="n"/>
      <c r="AC1811" s="6" t="n"/>
      <c r="AD1811" s="75" t="n"/>
      <c r="AE1811" s="75" t="n"/>
      <c r="AF1811" s="75" t="n"/>
    </row>
    <row r="1812" ht="15.75" customHeight="1" s="133">
      <c r="A1812" s="75" t="n"/>
      <c r="B1812" s="75" t="n"/>
      <c r="C1812" s="75" t="n"/>
      <c r="D1812" s="75" t="n"/>
      <c r="E1812" s="76" t="n"/>
      <c r="F1812" s="77" t="n"/>
      <c r="G1812" s="75" t="n"/>
      <c r="H1812" s="75">
        <f>IF(ISBLANK(E1812),"",IF(OR(D1812="Butterfly",D1812="Butterfly ",D1812="Iron Fly", D1812="Iron Fly "),LEN(E1812)-LEN(SUBSTITUTE(E1812,"/",""))+2,LEN(E1812)-LEN(SUBSTITUTE(E1812,"/",""))+1))</f>
        <v/>
      </c>
      <c r="I1812" s="78">
        <f>IF(ISBLANK(G1812),"",IF(D1812="Stock","0",Key!$A$3*H1812*G1812))</f>
        <v/>
      </c>
      <c r="J1812" s="78">
        <f>IF(ISBLANK(E1812),"",IF(ISNUMBER(SEARCH("/",E1812)), IF(LEN(E1812)-LEN(SUBSTITUTE(E1812,"/",""))=1,(RIGHT(E1812,LEN(E1812)-FIND("/",E1812)))-(LEFT(E1812,FIND("/",E1812)-1)),(MID(E1812, SEARCH("/",E1812) + 1, SEARCH("/",E1812, SEARCH("/",E1812)+1) - SEARCH("/",E1812) - 1))-(LEFT(E1812,FIND("/",E1812)-1))), "NA"))</f>
        <v/>
      </c>
      <c r="K1812" s="79">
        <f>IF(A1812&lt;&gt;"", IF(ISBLANK(L1812), TODAY(), K1812), "")</f>
        <v/>
      </c>
      <c r="L1812" s="78" t="n"/>
      <c r="M1812" s="78">
        <f>IF(ISBLANK(L1812),"",IF(D1812="Stock",IF(C1812="Buy",L1812*G1812,IF(C1812="Sell",(L1812*G1812)-I1812, X)),IF(C1812="Buy",(L1812*G1812*100)+I1812,IF(C1812="Sell",(L1812*G1812*100)-I1812, X))))</f>
        <v/>
      </c>
      <c r="N1812" s="78">
        <f>IF(ISBLANK(L1812),"",IF(AND(C1812="Sell",D1812="Stock"),M1812,IF(ISBLANK(L1812),"",IF(C1812="Buy",M1812, IF(AND(C1812="Sell",J1812="NA"),(E1812*G1812*100*0.1)+I1812, IF(C1812="Sell",(J1812-L1812)*(100*G1812)+I1812))))))</f>
        <v/>
      </c>
      <c r="O1812" s="75" t="n"/>
      <c r="P1812" s="75" t="n"/>
      <c r="Q1812" s="75">
        <f>IF(ISBLANK(P1812),"",IF(D1812="Stock",P1812*G1812,IF(P1812=0,"0",G1812*P1812*100-(G1812*$AF$14))))</f>
        <v/>
      </c>
      <c r="R1812" s="79">
        <f>IF(P1812&lt;&gt;"", TODAY(), "")</f>
        <v/>
      </c>
      <c r="S1812" s="78">
        <f>IF(AND(K1812&lt;&gt;"", R1812&lt;&gt;""), R1812-K1812, "")</f>
        <v/>
      </c>
      <c r="T1812" s="78" t="n"/>
      <c r="U1812" s="92">
        <f>IF(ISBLANK(P1812),"",IF(C1812="Buy",Q1812-M1812+T1812, IF(C1812="Sell",M1812-Q1812-T1812, X)))</f>
        <v/>
      </c>
      <c r="V1812" s="81">
        <f>IF(ISBLANK(P1812),"",U1812/N1812)</f>
        <v/>
      </c>
      <c r="W1812" s="81">
        <f>IF(ISBLANK(P1812),"",IF(S1812=0,(365/0.5)*V1812,(365/S1812)*V1812))</f>
        <v/>
      </c>
      <c r="X1812" s="75" t="n"/>
      <c r="Y1812" s="77" t="n"/>
      <c r="Z1812" s="77" t="n"/>
      <c r="AA1812" s="75" t="n"/>
      <c r="AB1812" s="75" t="n"/>
      <c r="AC1812" s="6" t="n"/>
      <c r="AD1812" s="75" t="n"/>
      <c r="AE1812" s="75" t="n"/>
      <c r="AF1812" s="75" t="n"/>
    </row>
    <row r="1813" ht="15.75" customHeight="1" s="133">
      <c r="A1813" s="75" t="n"/>
      <c r="B1813" s="75" t="n"/>
      <c r="C1813" s="75" t="n"/>
      <c r="D1813" s="75" t="n"/>
      <c r="E1813" s="76" t="n"/>
      <c r="F1813" s="77" t="n"/>
      <c r="G1813" s="75" t="n"/>
      <c r="H1813" s="75">
        <f>IF(ISBLANK(E1813),"",IF(OR(D1813="Butterfly",D1813="Butterfly ",D1813="Iron Fly", D1813="Iron Fly "),LEN(E1813)-LEN(SUBSTITUTE(E1813,"/",""))+2,LEN(E1813)-LEN(SUBSTITUTE(E1813,"/",""))+1))</f>
        <v/>
      </c>
      <c r="I1813" s="78">
        <f>IF(ISBLANK(G1813),"",IF(D1813="Stock","0",Key!$A$3*H1813*G1813))</f>
        <v/>
      </c>
      <c r="J1813" s="78">
        <f>IF(ISBLANK(E1813),"",IF(ISNUMBER(SEARCH("/",E1813)), IF(LEN(E1813)-LEN(SUBSTITUTE(E1813,"/",""))=1,(RIGHT(E1813,LEN(E1813)-FIND("/",E1813)))-(LEFT(E1813,FIND("/",E1813)-1)),(MID(E1813, SEARCH("/",E1813) + 1, SEARCH("/",E1813, SEARCH("/",E1813)+1) - SEARCH("/",E1813) - 1))-(LEFT(E1813,FIND("/",E1813)-1))), "NA"))</f>
        <v/>
      </c>
      <c r="K1813" s="79">
        <f>IF(A1813&lt;&gt;"", IF(ISBLANK(L1813), TODAY(), K1813), "")</f>
        <v/>
      </c>
      <c r="L1813" s="78" t="n"/>
      <c r="M1813" s="78">
        <f>IF(ISBLANK(L1813),"",IF(D1813="Stock",IF(C1813="Buy",L1813*G1813,IF(C1813="Sell",(L1813*G1813)-I1813, X)),IF(C1813="Buy",(L1813*G1813*100)+I1813,IF(C1813="Sell",(L1813*G1813*100)-I1813, X))))</f>
        <v/>
      </c>
      <c r="N1813" s="78">
        <f>IF(ISBLANK(L1813),"",IF(AND(C1813="Sell",D1813="Stock"),M1813,IF(ISBLANK(L1813),"",IF(C1813="Buy",M1813, IF(AND(C1813="Sell",J1813="NA"),(E1813*G1813*100*0.1)+I1813, IF(C1813="Sell",(J1813-L1813)*(100*G1813)+I1813))))))</f>
        <v/>
      </c>
      <c r="O1813" s="75" t="n"/>
      <c r="P1813" s="75" t="n"/>
      <c r="Q1813" s="75">
        <f>IF(ISBLANK(P1813),"",IF(D1813="Stock",P1813*G1813,IF(P1813=0,"0",G1813*P1813*100-(G1813*$AF$14))))</f>
        <v/>
      </c>
      <c r="R1813" s="79">
        <f>IF(P1813&lt;&gt;"", TODAY(), "")</f>
        <v/>
      </c>
      <c r="S1813" s="78">
        <f>IF(AND(K1813&lt;&gt;"", R1813&lt;&gt;""), R1813-K1813, "")</f>
        <v/>
      </c>
      <c r="T1813" s="78" t="n"/>
      <c r="U1813" s="92">
        <f>IF(ISBLANK(P1813),"",IF(C1813="Buy",Q1813-M1813+T1813, IF(C1813="Sell",M1813-Q1813-T1813, X)))</f>
        <v/>
      </c>
      <c r="V1813" s="81">
        <f>IF(ISBLANK(P1813),"",U1813/N1813)</f>
        <v/>
      </c>
      <c r="W1813" s="81">
        <f>IF(ISBLANK(P1813),"",IF(S1813=0,(365/0.5)*V1813,(365/S1813)*V1813))</f>
        <v/>
      </c>
      <c r="X1813" s="75" t="n"/>
      <c r="Y1813" s="77" t="n"/>
      <c r="Z1813" s="77" t="n"/>
      <c r="AA1813" s="75" t="n"/>
      <c r="AB1813" s="75" t="n"/>
      <c r="AC1813" s="6" t="n"/>
      <c r="AD1813" s="75" t="n"/>
      <c r="AE1813" s="75" t="n"/>
      <c r="AF1813" s="75" t="n"/>
    </row>
    <row r="1814" ht="15.75" customHeight="1" s="133">
      <c r="A1814" s="75" t="n"/>
      <c r="B1814" s="75" t="n"/>
      <c r="C1814" s="75" t="n"/>
      <c r="D1814" s="75" t="n"/>
      <c r="E1814" s="76" t="n"/>
      <c r="F1814" s="77" t="n"/>
      <c r="G1814" s="75" t="n"/>
      <c r="H1814" s="75">
        <f>IF(ISBLANK(E1814),"",IF(OR(D1814="Butterfly",D1814="Butterfly ",D1814="Iron Fly", D1814="Iron Fly "),LEN(E1814)-LEN(SUBSTITUTE(E1814,"/",""))+2,LEN(E1814)-LEN(SUBSTITUTE(E1814,"/",""))+1))</f>
        <v/>
      </c>
      <c r="I1814" s="78">
        <f>IF(ISBLANK(G1814),"",IF(D1814="Stock","0",Key!$A$3*H1814*G1814))</f>
        <v/>
      </c>
      <c r="J1814" s="78">
        <f>IF(ISBLANK(E1814),"",IF(ISNUMBER(SEARCH("/",E1814)), IF(LEN(E1814)-LEN(SUBSTITUTE(E1814,"/",""))=1,(RIGHT(E1814,LEN(E1814)-FIND("/",E1814)))-(LEFT(E1814,FIND("/",E1814)-1)),(MID(E1814, SEARCH("/",E1814) + 1, SEARCH("/",E1814, SEARCH("/",E1814)+1) - SEARCH("/",E1814) - 1))-(LEFT(E1814,FIND("/",E1814)-1))), "NA"))</f>
        <v/>
      </c>
      <c r="K1814" s="79">
        <f>IF(A1814&lt;&gt;"", IF(ISBLANK(L1814), TODAY(), K1814), "")</f>
        <v/>
      </c>
      <c r="L1814" s="78" t="n"/>
      <c r="M1814" s="78">
        <f>IF(ISBLANK(L1814),"",IF(D1814="Stock",IF(C1814="Buy",L1814*G1814,IF(C1814="Sell",(L1814*G1814)-I1814, X)),IF(C1814="Buy",(L1814*G1814*100)+I1814,IF(C1814="Sell",(L1814*G1814*100)-I1814, X))))</f>
        <v/>
      </c>
      <c r="N1814" s="78">
        <f>IF(ISBLANK(L1814),"",IF(AND(C1814="Sell",D1814="Stock"),M1814,IF(ISBLANK(L1814),"",IF(C1814="Buy",M1814, IF(AND(C1814="Sell",J1814="NA"),(E1814*G1814*100*0.1)+I1814, IF(C1814="Sell",(J1814-L1814)*(100*G1814)+I1814))))))</f>
        <v/>
      </c>
      <c r="O1814" s="75" t="n"/>
      <c r="P1814" s="75" t="n"/>
      <c r="Q1814" s="75">
        <f>IF(ISBLANK(P1814),"",IF(D1814="Stock",P1814*G1814,IF(P1814=0,"0",G1814*P1814*100-(G1814*$AF$14))))</f>
        <v/>
      </c>
      <c r="R1814" s="79">
        <f>IF(P1814&lt;&gt;"", TODAY(), "")</f>
        <v/>
      </c>
      <c r="S1814" s="78">
        <f>IF(AND(K1814&lt;&gt;"", R1814&lt;&gt;""), R1814-K1814, "")</f>
        <v/>
      </c>
      <c r="T1814" s="78" t="n"/>
      <c r="U1814" s="92">
        <f>IF(ISBLANK(P1814),"",IF(C1814="Buy",Q1814-M1814+T1814, IF(C1814="Sell",M1814-Q1814-T1814, X)))</f>
        <v/>
      </c>
      <c r="V1814" s="81">
        <f>IF(ISBLANK(P1814),"",U1814/N1814)</f>
        <v/>
      </c>
      <c r="W1814" s="81">
        <f>IF(ISBLANK(P1814),"",IF(S1814=0,(365/0.5)*V1814,(365/S1814)*V1814))</f>
        <v/>
      </c>
      <c r="X1814" s="75" t="n"/>
      <c r="Y1814" s="77" t="n"/>
      <c r="Z1814" s="77" t="n"/>
      <c r="AA1814" s="75" t="n"/>
      <c r="AB1814" s="75" t="n"/>
      <c r="AC1814" s="6" t="n"/>
      <c r="AD1814" s="75" t="n"/>
      <c r="AE1814" s="75" t="n"/>
      <c r="AF1814" s="75" t="n"/>
    </row>
    <row r="1815" ht="15.75" customHeight="1" s="133">
      <c r="A1815" s="75" t="n"/>
      <c r="B1815" s="75" t="n"/>
      <c r="C1815" s="75" t="n"/>
      <c r="D1815" s="75" t="n"/>
      <c r="E1815" s="76" t="n"/>
      <c r="F1815" s="77" t="n"/>
      <c r="G1815" s="75" t="n"/>
      <c r="H1815" s="75">
        <f>IF(ISBLANK(E1815),"",IF(OR(D1815="Butterfly",D1815="Butterfly ",D1815="Iron Fly", D1815="Iron Fly "),LEN(E1815)-LEN(SUBSTITUTE(E1815,"/",""))+2,LEN(E1815)-LEN(SUBSTITUTE(E1815,"/",""))+1))</f>
        <v/>
      </c>
      <c r="I1815" s="78">
        <f>IF(ISBLANK(G1815),"",IF(D1815="Stock","0",Key!$A$3*H1815*G1815))</f>
        <v/>
      </c>
      <c r="J1815" s="78">
        <f>IF(ISBLANK(E1815),"",IF(ISNUMBER(SEARCH("/",E1815)), IF(LEN(E1815)-LEN(SUBSTITUTE(E1815,"/",""))=1,(RIGHT(E1815,LEN(E1815)-FIND("/",E1815)))-(LEFT(E1815,FIND("/",E1815)-1)),(MID(E1815, SEARCH("/",E1815) + 1, SEARCH("/",E1815, SEARCH("/",E1815)+1) - SEARCH("/",E1815) - 1))-(LEFT(E1815,FIND("/",E1815)-1))), "NA"))</f>
        <v/>
      </c>
      <c r="K1815" s="79">
        <f>IF(A1815&lt;&gt;"", IF(ISBLANK(L1815), TODAY(), K1815), "")</f>
        <v/>
      </c>
      <c r="L1815" s="78" t="n"/>
      <c r="M1815" s="78">
        <f>IF(ISBLANK(L1815),"",IF(D1815="Stock",IF(C1815="Buy",L1815*G1815,IF(C1815="Sell",(L1815*G1815)-I1815, X)),IF(C1815="Buy",(L1815*G1815*100)+I1815,IF(C1815="Sell",(L1815*G1815*100)-I1815, X))))</f>
        <v/>
      </c>
      <c r="N1815" s="78">
        <f>IF(ISBLANK(L1815),"",IF(AND(C1815="Sell",D1815="Stock"),M1815,IF(ISBLANK(L1815),"",IF(C1815="Buy",M1815, IF(AND(C1815="Sell",J1815="NA"),(E1815*G1815*100*0.1)+I1815, IF(C1815="Sell",(J1815-L1815)*(100*G1815)+I1815))))))</f>
        <v/>
      </c>
      <c r="O1815" s="75" t="n"/>
      <c r="P1815" s="75" t="n"/>
      <c r="Q1815" s="75">
        <f>IF(ISBLANK(P1815),"",IF(D1815="Stock",P1815*G1815,IF(P1815=0,"0",G1815*P1815*100-(G1815*$AF$14))))</f>
        <v/>
      </c>
      <c r="R1815" s="79">
        <f>IF(P1815&lt;&gt;"", TODAY(), "")</f>
        <v/>
      </c>
      <c r="S1815" s="78">
        <f>IF(AND(K1815&lt;&gt;"", R1815&lt;&gt;""), R1815-K1815, "")</f>
        <v/>
      </c>
      <c r="T1815" s="78" t="n"/>
      <c r="U1815" s="92">
        <f>IF(ISBLANK(P1815),"",IF(C1815="Buy",Q1815-M1815+T1815, IF(C1815="Sell",M1815-Q1815-T1815, X)))</f>
        <v/>
      </c>
      <c r="V1815" s="81">
        <f>IF(ISBLANK(P1815),"",U1815/N1815)</f>
        <v/>
      </c>
      <c r="W1815" s="81">
        <f>IF(ISBLANK(P1815),"",IF(S1815=0,(365/0.5)*V1815,(365/S1815)*V1815))</f>
        <v/>
      </c>
      <c r="X1815" s="75" t="n"/>
      <c r="Y1815" s="77" t="n"/>
      <c r="Z1815" s="77" t="n"/>
      <c r="AA1815" s="75" t="n"/>
      <c r="AB1815" s="75" t="n"/>
      <c r="AC1815" s="6" t="n"/>
      <c r="AD1815" s="75" t="n"/>
      <c r="AE1815" s="75" t="n"/>
      <c r="AF1815" s="75" t="n"/>
    </row>
    <row r="1816" ht="15.75" customHeight="1" s="133">
      <c r="A1816" s="75" t="n"/>
      <c r="B1816" s="75" t="n"/>
      <c r="C1816" s="75" t="n"/>
      <c r="D1816" s="75" t="n"/>
      <c r="E1816" s="76" t="n"/>
      <c r="F1816" s="77" t="n"/>
      <c r="G1816" s="75" t="n"/>
      <c r="H1816" s="75">
        <f>IF(ISBLANK(E1816),"",IF(OR(D1816="Butterfly",D1816="Butterfly ",D1816="Iron Fly", D1816="Iron Fly "),LEN(E1816)-LEN(SUBSTITUTE(E1816,"/",""))+2,LEN(E1816)-LEN(SUBSTITUTE(E1816,"/",""))+1))</f>
        <v/>
      </c>
      <c r="I1816" s="78">
        <f>IF(ISBLANK(G1816),"",IF(D1816="Stock","0",Key!$A$3*H1816*G1816))</f>
        <v/>
      </c>
      <c r="J1816" s="78">
        <f>IF(ISBLANK(E1816),"",IF(ISNUMBER(SEARCH("/",E1816)), IF(LEN(E1816)-LEN(SUBSTITUTE(E1816,"/",""))=1,(RIGHT(E1816,LEN(E1816)-FIND("/",E1816)))-(LEFT(E1816,FIND("/",E1816)-1)),(MID(E1816, SEARCH("/",E1816) + 1, SEARCH("/",E1816, SEARCH("/",E1816)+1) - SEARCH("/",E1816) - 1))-(LEFT(E1816,FIND("/",E1816)-1))), "NA"))</f>
        <v/>
      </c>
      <c r="K1816" s="79">
        <f>IF(A1816&lt;&gt;"", IF(ISBLANK(L1816), TODAY(), K1816), "")</f>
        <v/>
      </c>
      <c r="L1816" s="78" t="n"/>
      <c r="M1816" s="78">
        <f>IF(ISBLANK(L1816),"",IF(D1816="Stock",IF(C1816="Buy",L1816*G1816,IF(C1816="Sell",(L1816*G1816)-I1816, X)),IF(C1816="Buy",(L1816*G1816*100)+I1816,IF(C1816="Sell",(L1816*G1816*100)-I1816, X))))</f>
        <v/>
      </c>
      <c r="N1816" s="78">
        <f>IF(ISBLANK(L1816),"",IF(AND(C1816="Sell",D1816="Stock"),M1816,IF(ISBLANK(L1816),"",IF(C1816="Buy",M1816, IF(AND(C1816="Sell",J1816="NA"),(E1816*G1816*100*0.1)+I1816, IF(C1816="Sell",(J1816-L1816)*(100*G1816)+I1816))))))</f>
        <v/>
      </c>
      <c r="O1816" s="75" t="n"/>
      <c r="P1816" s="75" t="n"/>
      <c r="Q1816" s="75">
        <f>IF(ISBLANK(P1816),"",IF(D1816="Stock",P1816*G1816,IF(P1816=0,"0",G1816*P1816*100-(G1816*$AF$14))))</f>
        <v/>
      </c>
      <c r="R1816" s="79">
        <f>IF(P1816&lt;&gt;"", TODAY(), "")</f>
        <v/>
      </c>
      <c r="S1816" s="78">
        <f>IF(AND(K1816&lt;&gt;"", R1816&lt;&gt;""), R1816-K1816, "")</f>
        <v/>
      </c>
      <c r="T1816" s="78" t="n"/>
      <c r="U1816" s="92">
        <f>IF(ISBLANK(P1816),"",IF(C1816="Buy",Q1816-M1816+T1816, IF(C1816="Sell",M1816-Q1816-T1816, X)))</f>
        <v/>
      </c>
      <c r="V1816" s="81">
        <f>IF(ISBLANK(P1816),"",U1816/N1816)</f>
        <v/>
      </c>
      <c r="W1816" s="81">
        <f>IF(ISBLANK(P1816),"",IF(S1816=0,(365/0.5)*V1816,(365/S1816)*V1816))</f>
        <v/>
      </c>
      <c r="X1816" s="75" t="n"/>
      <c r="Y1816" s="77" t="n"/>
      <c r="Z1816" s="77" t="n"/>
      <c r="AA1816" s="75" t="n"/>
      <c r="AB1816" s="75" t="n"/>
      <c r="AC1816" s="6" t="n"/>
      <c r="AD1816" s="75" t="n"/>
      <c r="AE1816" s="75" t="n"/>
      <c r="AF1816" s="75" t="n"/>
    </row>
    <row r="1817" ht="15.75" customHeight="1" s="133">
      <c r="A1817" s="75" t="n"/>
      <c r="B1817" s="75" t="n"/>
      <c r="C1817" s="75" t="n"/>
      <c r="D1817" s="75" t="n"/>
      <c r="E1817" s="76" t="n"/>
      <c r="F1817" s="77" t="n"/>
      <c r="G1817" s="75" t="n"/>
      <c r="H1817" s="75">
        <f>IF(ISBLANK(E1817),"",IF(OR(D1817="Butterfly",D1817="Butterfly ",D1817="Iron Fly", D1817="Iron Fly "),LEN(E1817)-LEN(SUBSTITUTE(E1817,"/",""))+2,LEN(E1817)-LEN(SUBSTITUTE(E1817,"/",""))+1))</f>
        <v/>
      </c>
      <c r="I1817" s="78">
        <f>IF(ISBLANK(G1817),"",IF(D1817="Stock","0",Key!$A$3*H1817*G1817))</f>
        <v/>
      </c>
      <c r="J1817" s="78">
        <f>IF(ISBLANK(E1817),"",IF(ISNUMBER(SEARCH("/",E1817)), IF(LEN(E1817)-LEN(SUBSTITUTE(E1817,"/",""))=1,(RIGHT(E1817,LEN(E1817)-FIND("/",E1817)))-(LEFT(E1817,FIND("/",E1817)-1)),(MID(E1817, SEARCH("/",E1817) + 1, SEARCH("/",E1817, SEARCH("/",E1817)+1) - SEARCH("/",E1817) - 1))-(LEFT(E1817,FIND("/",E1817)-1))), "NA"))</f>
        <v/>
      </c>
      <c r="K1817" s="79">
        <f>IF(A1817&lt;&gt;"", IF(ISBLANK(L1817), TODAY(), K1817), "")</f>
        <v/>
      </c>
      <c r="L1817" s="78" t="n"/>
      <c r="M1817" s="78">
        <f>IF(ISBLANK(L1817),"",IF(D1817="Stock",IF(C1817="Buy",L1817*G1817,IF(C1817="Sell",(L1817*G1817)-I1817, X)),IF(C1817="Buy",(L1817*G1817*100)+I1817,IF(C1817="Sell",(L1817*G1817*100)-I1817, X))))</f>
        <v/>
      </c>
      <c r="N1817" s="78">
        <f>IF(ISBLANK(L1817),"",IF(AND(C1817="Sell",D1817="Stock"),M1817,IF(ISBLANK(L1817),"",IF(C1817="Buy",M1817, IF(AND(C1817="Sell",J1817="NA"),(E1817*G1817*100*0.1)+I1817, IF(C1817="Sell",(J1817-L1817)*(100*G1817)+I1817))))))</f>
        <v/>
      </c>
      <c r="O1817" s="75" t="n"/>
      <c r="P1817" s="75" t="n"/>
      <c r="Q1817" s="75">
        <f>IF(ISBLANK(P1817),"",IF(D1817="Stock",P1817*G1817,IF(P1817=0,"0",G1817*P1817*100-(G1817*$AF$14))))</f>
        <v/>
      </c>
      <c r="R1817" s="79">
        <f>IF(P1817&lt;&gt;"", TODAY(), "")</f>
        <v/>
      </c>
      <c r="S1817" s="78">
        <f>IF(AND(K1817&lt;&gt;"", R1817&lt;&gt;""), R1817-K1817, "")</f>
        <v/>
      </c>
      <c r="T1817" s="78" t="n"/>
      <c r="U1817" s="92">
        <f>IF(ISBLANK(P1817),"",IF(C1817="Buy",Q1817-M1817+T1817, IF(C1817="Sell",M1817-Q1817-T1817, X)))</f>
        <v/>
      </c>
      <c r="V1817" s="81">
        <f>IF(ISBLANK(P1817),"",U1817/N1817)</f>
        <v/>
      </c>
      <c r="W1817" s="81">
        <f>IF(ISBLANK(P1817),"",IF(S1817=0,(365/0.5)*V1817,(365/S1817)*V1817))</f>
        <v/>
      </c>
      <c r="X1817" s="75" t="n"/>
      <c r="Y1817" s="77" t="n"/>
      <c r="Z1817" s="77" t="n"/>
      <c r="AA1817" s="75" t="n"/>
      <c r="AB1817" s="75" t="n"/>
      <c r="AC1817" s="6" t="n"/>
      <c r="AD1817" s="75" t="n"/>
      <c r="AE1817" s="75" t="n"/>
      <c r="AF1817" s="75" t="n"/>
    </row>
    <row r="1818" ht="15.75" customHeight="1" s="133">
      <c r="A1818" s="75" t="n"/>
      <c r="B1818" s="75" t="n"/>
      <c r="C1818" s="75" t="n"/>
      <c r="D1818" s="75" t="n"/>
      <c r="E1818" s="76" t="n"/>
      <c r="F1818" s="77" t="n"/>
      <c r="G1818" s="75" t="n"/>
      <c r="H1818" s="75">
        <f>IF(ISBLANK(E1818),"",IF(OR(D1818="Butterfly",D1818="Butterfly ",D1818="Iron Fly", D1818="Iron Fly "),LEN(E1818)-LEN(SUBSTITUTE(E1818,"/",""))+2,LEN(E1818)-LEN(SUBSTITUTE(E1818,"/",""))+1))</f>
        <v/>
      </c>
      <c r="I1818" s="78">
        <f>IF(ISBLANK(G1818),"",IF(D1818="Stock","0",Key!$A$3*H1818*G1818))</f>
        <v/>
      </c>
      <c r="J1818" s="78">
        <f>IF(ISBLANK(E1818),"",IF(ISNUMBER(SEARCH("/",E1818)), IF(LEN(E1818)-LEN(SUBSTITUTE(E1818,"/",""))=1,(RIGHT(E1818,LEN(E1818)-FIND("/",E1818)))-(LEFT(E1818,FIND("/",E1818)-1)),(MID(E1818, SEARCH("/",E1818) + 1, SEARCH("/",E1818, SEARCH("/",E1818)+1) - SEARCH("/",E1818) - 1))-(LEFT(E1818,FIND("/",E1818)-1))), "NA"))</f>
        <v/>
      </c>
      <c r="K1818" s="79">
        <f>IF(A1818&lt;&gt;"", IF(ISBLANK(L1818), TODAY(), K1818), "")</f>
        <v/>
      </c>
      <c r="L1818" s="78" t="n"/>
      <c r="M1818" s="78">
        <f>IF(ISBLANK(L1818),"",IF(D1818="Stock",IF(C1818="Buy",L1818*G1818,IF(C1818="Sell",(L1818*G1818)-I1818, X)),IF(C1818="Buy",(L1818*G1818*100)+I1818,IF(C1818="Sell",(L1818*G1818*100)-I1818, X))))</f>
        <v/>
      </c>
      <c r="N1818" s="78">
        <f>IF(ISBLANK(L1818),"",IF(AND(C1818="Sell",D1818="Stock"),M1818,IF(ISBLANK(L1818),"",IF(C1818="Buy",M1818, IF(AND(C1818="Sell",J1818="NA"),(E1818*G1818*100*0.1)+I1818, IF(C1818="Sell",(J1818-L1818)*(100*G1818)+I1818))))))</f>
        <v/>
      </c>
      <c r="O1818" s="75" t="n"/>
      <c r="P1818" s="75" t="n"/>
      <c r="Q1818" s="75">
        <f>IF(ISBLANK(P1818),"",IF(D1818="Stock",P1818*G1818,IF(P1818=0,"0",G1818*P1818*100-(G1818*$AF$14))))</f>
        <v/>
      </c>
      <c r="R1818" s="79">
        <f>IF(P1818&lt;&gt;"", TODAY(), "")</f>
        <v/>
      </c>
      <c r="S1818" s="78">
        <f>IF(AND(K1818&lt;&gt;"", R1818&lt;&gt;""), R1818-K1818, "")</f>
        <v/>
      </c>
      <c r="T1818" s="78" t="n"/>
      <c r="U1818" s="92">
        <f>IF(ISBLANK(P1818),"",IF(C1818="Buy",Q1818-M1818+T1818, IF(C1818="Sell",M1818-Q1818-T1818, X)))</f>
        <v/>
      </c>
      <c r="V1818" s="81">
        <f>IF(ISBLANK(P1818),"",U1818/N1818)</f>
        <v/>
      </c>
      <c r="W1818" s="81">
        <f>IF(ISBLANK(P1818),"",IF(S1818=0,(365/0.5)*V1818,(365/S1818)*V1818))</f>
        <v/>
      </c>
      <c r="X1818" s="75" t="n"/>
      <c r="Y1818" s="77" t="n"/>
      <c r="Z1818" s="77" t="n"/>
      <c r="AA1818" s="75" t="n"/>
      <c r="AB1818" s="75" t="n"/>
      <c r="AC1818" s="6" t="n"/>
      <c r="AD1818" s="75" t="n"/>
      <c r="AE1818" s="75" t="n"/>
      <c r="AF1818" s="75" t="n"/>
    </row>
    <row r="1819" ht="15.75" customHeight="1" s="133">
      <c r="A1819" s="75" t="n"/>
      <c r="B1819" s="75" t="n"/>
      <c r="C1819" s="75" t="n"/>
      <c r="D1819" s="75" t="n"/>
      <c r="E1819" s="76" t="n"/>
      <c r="F1819" s="77" t="n"/>
      <c r="G1819" s="75" t="n"/>
      <c r="H1819" s="75">
        <f>IF(ISBLANK(E1819),"",IF(OR(D1819="Butterfly",D1819="Butterfly ",D1819="Iron Fly", D1819="Iron Fly "),LEN(E1819)-LEN(SUBSTITUTE(E1819,"/",""))+2,LEN(E1819)-LEN(SUBSTITUTE(E1819,"/",""))+1))</f>
        <v/>
      </c>
      <c r="I1819" s="78">
        <f>IF(ISBLANK(G1819),"",IF(D1819="Stock","0",Key!$A$3*H1819*G1819))</f>
        <v/>
      </c>
      <c r="J1819" s="78">
        <f>IF(ISBLANK(E1819),"",IF(ISNUMBER(SEARCH("/",E1819)), IF(LEN(E1819)-LEN(SUBSTITUTE(E1819,"/",""))=1,(RIGHT(E1819,LEN(E1819)-FIND("/",E1819)))-(LEFT(E1819,FIND("/",E1819)-1)),(MID(E1819, SEARCH("/",E1819) + 1, SEARCH("/",E1819, SEARCH("/",E1819)+1) - SEARCH("/",E1819) - 1))-(LEFT(E1819,FIND("/",E1819)-1))), "NA"))</f>
        <v/>
      </c>
      <c r="K1819" s="79">
        <f>IF(A1819&lt;&gt;"", IF(ISBLANK(L1819), TODAY(), K1819), "")</f>
        <v/>
      </c>
      <c r="L1819" s="78" t="n"/>
      <c r="M1819" s="78">
        <f>IF(ISBLANK(L1819),"",IF(D1819="Stock",IF(C1819="Buy",L1819*G1819,IF(C1819="Sell",(L1819*G1819)-I1819, X)),IF(C1819="Buy",(L1819*G1819*100)+I1819,IF(C1819="Sell",(L1819*G1819*100)-I1819, X))))</f>
        <v/>
      </c>
      <c r="N1819" s="78">
        <f>IF(ISBLANK(L1819),"",IF(AND(C1819="Sell",D1819="Stock"),M1819,IF(ISBLANK(L1819),"",IF(C1819="Buy",M1819, IF(AND(C1819="Sell",J1819="NA"),(E1819*G1819*100*0.1)+I1819, IF(C1819="Sell",(J1819-L1819)*(100*G1819)+I1819))))))</f>
        <v/>
      </c>
      <c r="O1819" s="75" t="n"/>
      <c r="P1819" s="75" t="n"/>
      <c r="Q1819" s="75">
        <f>IF(ISBLANK(P1819),"",IF(D1819="Stock",P1819*G1819,IF(P1819=0,"0",G1819*P1819*100-(G1819*$AF$14))))</f>
        <v/>
      </c>
      <c r="R1819" s="79">
        <f>IF(P1819&lt;&gt;"", TODAY(), "")</f>
        <v/>
      </c>
      <c r="S1819" s="78">
        <f>IF(AND(K1819&lt;&gt;"", R1819&lt;&gt;""), R1819-K1819, "")</f>
        <v/>
      </c>
      <c r="T1819" s="78" t="n"/>
      <c r="U1819" s="92">
        <f>IF(ISBLANK(P1819),"",IF(C1819="Buy",Q1819-M1819+T1819, IF(C1819="Sell",M1819-Q1819-T1819, X)))</f>
        <v/>
      </c>
      <c r="V1819" s="81">
        <f>IF(ISBLANK(P1819),"",U1819/N1819)</f>
        <v/>
      </c>
      <c r="W1819" s="81">
        <f>IF(ISBLANK(P1819),"",IF(S1819=0,(365/0.5)*V1819,(365/S1819)*V1819))</f>
        <v/>
      </c>
      <c r="X1819" s="75" t="n"/>
      <c r="Y1819" s="77" t="n"/>
      <c r="Z1819" s="77" t="n"/>
      <c r="AA1819" s="75" t="n"/>
      <c r="AB1819" s="75" t="n"/>
      <c r="AC1819" s="6" t="n"/>
      <c r="AD1819" s="75" t="n"/>
      <c r="AE1819" s="75" t="n"/>
      <c r="AF1819" s="75" t="n"/>
    </row>
    <row r="1820" ht="15.75" customHeight="1" s="133">
      <c r="A1820" s="75" t="n"/>
      <c r="B1820" s="75" t="n"/>
      <c r="C1820" s="75" t="n"/>
      <c r="D1820" s="75" t="n"/>
      <c r="E1820" s="76" t="n"/>
      <c r="F1820" s="77" t="n"/>
      <c r="G1820" s="75" t="n"/>
      <c r="H1820" s="75">
        <f>IF(ISBLANK(E1820),"",IF(OR(D1820="Butterfly",D1820="Butterfly ",D1820="Iron Fly", D1820="Iron Fly "),LEN(E1820)-LEN(SUBSTITUTE(E1820,"/",""))+2,LEN(E1820)-LEN(SUBSTITUTE(E1820,"/",""))+1))</f>
        <v/>
      </c>
      <c r="I1820" s="78">
        <f>IF(ISBLANK(G1820),"",IF(D1820="Stock","0",Key!$A$3*H1820*G1820))</f>
        <v/>
      </c>
      <c r="J1820" s="78">
        <f>IF(ISBLANK(E1820),"",IF(ISNUMBER(SEARCH("/",E1820)), IF(LEN(E1820)-LEN(SUBSTITUTE(E1820,"/",""))=1,(RIGHT(E1820,LEN(E1820)-FIND("/",E1820)))-(LEFT(E1820,FIND("/",E1820)-1)),(MID(E1820, SEARCH("/",E1820) + 1, SEARCH("/",E1820, SEARCH("/",E1820)+1) - SEARCH("/",E1820) - 1))-(LEFT(E1820,FIND("/",E1820)-1))), "NA"))</f>
        <v/>
      </c>
      <c r="K1820" s="79">
        <f>IF(A1820&lt;&gt;"", IF(ISBLANK(L1820), TODAY(), K1820), "")</f>
        <v/>
      </c>
      <c r="L1820" s="78" t="n"/>
      <c r="M1820" s="78">
        <f>IF(ISBLANK(L1820),"",IF(D1820="Stock",IF(C1820="Buy",L1820*G1820,IF(C1820="Sell",(L1820*G1820)-I1820, X)),IF(C1820="Buy",(L1820*G1820*100)+I1820,IF(C1820="Sell",(L1820*G1820*100)-I1820, X))))</f>
        <v/>
      </c>
      <c r="N1820" s="78">
        <f>IF(ISBLANK(L1820),"",IF(AND(C1820="Sell",D1820="Stock"),M1820,IF(ISBLANK(L1820),"",IF(C1820="Buy",M1820, IF(AND(C1820="Sell",J1820="NA"),(E1820*G1820*100*0.1)+I1820, IF(C1820="Sell",(J1820-L1820)*(100*G1820)+I1820))))))</f>
        <v/>
      </c>
      <c r="O1820" s="75" t="n"/>
      <c r="P1820" s="75" t="n"/>
      <c r="Q1820" s="75">
        <f>IF(ISBLANK(P1820),"",IF(D1820="Stock",P1820*G1820,IF(P1820=0,"0",G1820*P1820*100-(G1820*$AF$14))))</f>
        <v/>
      </c>
      <c r="R1820" s="79">
        <f>IF(P1820&lt;&gt;"", TODAY(), "")</f>
        <v/>
      </c>
      <c r="S1820" s="78">
        <f>IF(AND(K1820&lt;&gt;"", R1820&lt;&gt;""), R1820-K1820, "")</f>
        <v/>
      </c>
      <c r="T1820" s="78" t="n"/>
      <c r="U1820" s="92">
        <f>IF(ISBLANK(P1820),"",IF(C1820="Buy",Q1820-M1820+T1820, IF(C1820="Sell",M1820-Q1820-T1820, X)))</f>
        <v/>
      </c>
      <c r="V1820" s="81">
        <f>IF(ISBLANK(P1820),"",U1820/N1820)</f>
        <v/>
      </c>
      <c r="W1820" s="81">
        <f>IF(ISBLANK(P1820),"",IF(S1820=0,(365/0.5)*V1820,(365/S1820)*V1820))</f>
        <v/>
      </c>
      <c r="X1820" s="75" t="n"/>
      <c r="Y1820" s="77" t="n"/>
      <c r="Z1820" s="77" t="n"/>
      <c r="AA1820" s="75" t="n"/>
      <c r="AB1820" s="75" t="n"/>
      <c r="AC1820" s="6" t="n"/>
      <c r="AD1820" s="75" t="n"/>
      <c r="AE1820" s="75" t="n"/>
      <c r="AF1820" s="75" t="n"/>
    </row>
    <row r="1821" ht="15.75" customHeight="1" s="133">
      <c r="A1821" s="75" t="n"/>
      <c r="B1821" s="75" t="n"/>
      <c r="C1821" s="75" t="n"/>
      <c r="D1821" s="75" t="n"/>
      <c r="E1821" s="76" t="n"/>
      <c r="F1821" s="77" t="n"/>
      <c r="G1821" s="75" t="n"/>
      <c r="H1821" s="75">
        <f>IF(ISBLANK(E1821),"",IF(OR(D1821="Butterfly",D1821="Butterfly ",D1821="Iron Fly", D1821="Iron Fly "),LEN(E1821)-LEN(SUBSTITUTE(E1821,"/",""))+2,LEN(E1821)-LEN(SUBSTITUTE(E1821,"/",""))+1))</f>
        <v/>
      </c>
      <c r="I1821" s="78">
        <f>IF(ISBLANK(G1821),"",IF(D1821="Stock","0",Key!$A$3*H1821*G1821))</f>
        <v/>
      </c>
      <c r="J1821" s="78">
        <f>IF(ISBLANK(E1821),"",IF(ISNUMBER(SEARCH("/",E1821)), IF(LEN(E1821)-LEN(SUBSTITUTE(E1821,"/",""))=1,(RIGHT(E1821,LEN(E1821)-FIND("/",E1821)))-(LEFT(E1821,FIND("/",E1821)-1)),(MID(E1821, SEARCH("/",E1821) + 1, SEARCH("/",E1821, SEARCH("/",E1821)+1) - SEARCH("/",E1821) - 1))-(LEFT(E1821,FIND("/",E1821)-1))), "NA"))</f>
        <v/>
      </c>
      <c r="K1821" s="79">
        <f>IF(A1821&lt;&gt;"", IF(ISBLANK(L1821), TODAY(), K1821), "")</f>
        <v/>
      </c>
      <c r="L1821" s="78" t="n"/>
      <c r="M1821" s="78">
        <f>IF(ISBLANK(L1821),"",IF(D1821="Stock",IF(C1821="Buy",L1821*G1821,IF(C1821="Sell",(L1821*G1821)-I1821, X)),IF(C1821="Buy",(L1821*G1821*100)+I1821,IF(C1821="Sell",(L1821*G1821*100)-I1821, X))))</f>
        <v/>
      </c>
      <c r="N1821" s="78">
        <f>IF(ISBLANK(L1821),"",IF(AND(C1821="Sell",D1821="Stock"),M1821,IF(ISBLANK(L1821),"",IF(C1821="Buy",M1821, IF(AND(C1821="Sell",J1821="NA"),(E1821*G1821*100*0.1)+I1821, IF(C1821="Sell",(J1821-L1821)*(100*G1821)+I1821))))))</f>
        <v/>
      </c>
      <c r="O1821" s="75" t="n"/>
      <c r="P1821" s="75" t="n"/>
      <c r="Q1821" s="75">
        <f>IF(ISBLANK(P1821),"",IF(D1821="Stock",P1821*G1821,IF(P1821=0,"0",G1821*P1821*100-(G1821*$AF$14))))</f>
        <v/>
      </c>
      <c r="R1821" s="79">
        <f>IF(P1821&lt;&gt;"", TODAY(), "")</f>
        <v/>
      </c>
      <c r="S1821" s="78">
        <f>IF(AND(K1821&lt;&gt;"", R1821&lt;&gt;""), R1821-K1821, "")</f>
        <v/>
      </c>
      <c r="T1821" s="78" t="n"/>
      <c r="U1821" s="92">
        <f>IF(ISBLANK(P1821),"",IF(C1821="Buy",Q1821-M1821+T1821, IF(C1821="Sell",M1821-Q1821-T1821, X)))</f>
        <v/>
      </c>
      <c r="V1821" s="81">
        <f>IF(ISBLANK(P1821),"",U1821/N1821)</f>
        <v/>
      </c>
      <c r="W1821" s="81">
        <f>IF(ISBLANK(P1821),"",IF(S1821=0,(365/0.5)*V1821,(365/S1821)*V1821))</f>
        <v/>
      </c>
      <c r="X1821" s="75" t="n"/>
      <c r="Y1821" s="77" t="n"/>
      <c r="Z1821" s="77" t="n"/>
      <c r="AA1821" s="75" t="n"/>
      <c r="AB1821" s="75" t="n"/>
      <c r="AC1821" s="6" t="n"/>
      <c r="AD1821" s="75" t="n"/>
      <c r="AE1821" s="75" t="n"/>
      <c r="AF1821" s="75" t="n"/>
    </row>
    <row r="1822" ht="15.75" customHeight="1" s="133">
      <c r="A1822" s="75" t="n"/>
      <c r="B1822" s="75" t="n"/>
      <c r="C1822" s="75" t="n"/>
      <c r="D1822" s="75" t="n"/>
      <c r="E1822" s="76" t="n"/>
      <c r="F1822" s="77" t="n"/>
      <c r="G1822" s="75" t="n"/>
      <c r="H1822" s="75">
        <f>IF(ISBLANK(E1822),"",IF(OR(D1822="Butterfly",D1822="Butterfly ",D1822="Iron Fly", D1822="Iron Fly "),LEN(E1822)-LEN(SUBSTITUTE(E1822,"/",""))+2,LEN(E1822)-LEN(SUBSTITUTE(E1822,"/",""))+1))</f>
        <v/>
      </c>
      <c r="I1822" s="78">
        <f>IF(ISBLANK(G1822),"",IF(D1822="Stock","0",Key!$A$3*H1822*G1822))</f>
        <v/>
      </c>
      <c r="J1822" s="78">
        <f>IF(ISBLANK(E1822),"",IF(ISNUMBER(SEARCH("/",E1822)), IF(LEN(E1822)-LEN(SUBSTITUTE(E1822,"/",""))=1,(RIGHT(E1822,LEN(E1822)-FIND("/",E1822)))-(LEFT(E1822,FIND("/",E1822)-1)),(MID(E1822, SEARCH("/",E1822) + 1, SEARCH("/",E1822, SEARCH("/",E1822)+1) - SEARCH("/",E1822) - 1))-(LEFT(E1822,FIND("/",E1822)-1))), "NA"))</f>
        <v/>
      </c>
      <c r="K1822" s="79">
        <f>IF(A1822&lt;&gt;"", IF(ISBLANK(L1822), TODAY(), K1822), "")</f>
        <v/>
      </c>
      <c r="L1822" s="78" t="n"/>
      <c r="M1822" s="78">
        <f>IF(ISBLANK(L1822),"",IF(D1822="Stock",IF(C1822="Buy",L1822*G1822,IF(C1822="Sell",(L1822*G1822)-I1822, X)),IF(C1822="Buy",(L1822*G1822*100)+I1822,IF(C1822="Sell",(L1822*G1822*100)-I1822, X))))</f>
        <v/>
      </c>
      <c r="N1822" s="78">
        <f>IF(ISBLANK(L1822),"",IF(AND(C1822="Sell",D1822="Stock"),M1822,IF(ISBLANK(L1822),"",IF(C1822="Buy",M1822, IF(AND(C1822="Sell",J1822="NA"),(E1822*G1822*100*0.1)+I1822, IF(C1822="Sell",(J1822-L1822)*(100*G1822)+I1822))))))</f>
        <v/>
      </c>
      <c r="O1822" s="75" t="n"/>
      <c r="P1822" s="75" t="n"/>
      <c r="Q1822" s="75">
        <f>IF(ISBLANK(P1822),"",IF(D1822="Stock",P1822*G1822,IF(P1822=0,"0",G1822*P1822*100-(G1822*$AF$14))))</f>
        <v/>
      </c>
      <c r="R1822" s="79">
        <f>IF(P1822&lt;&gt;"", TODAY(), "")</f>
        <v/>
      </c>
      <c r="S1822" s="78">
        <f>IF(AND(K1822&lt;&gt;"", R1822&lt;&gt;""), R1822-K1822, "")</f>
        <v/>
      </c>
      <c r="T1822" s="78" t="n"/>
      <c r="U1822" s="92">
        <f>IF(ISBLANK(P1822),"",IF(C1822="Buy",Q1822-M1822+T1822, IF(C1822="Sell",M1822-Q1822-T1822, X)))</f>
        <v/>
      </c>
      <c r="V1822" s="81">
        <f>IF(ISBLANK(P1822),"",U1822/N1822)</f>
        <v/>
      </c>
      <c r="W1822" s="81">
        <f>IF(ISBLANK(P1822),"",IF(S1822=0,(365/0.5)*V1822,(365/S1822)*V1822))</f>
        <v/>
      </c>
      <c r="X1822" s="75" t="n"/>
      <c r="Y1822" s="77" t="n"/>
      <c r="Z1822" s="77" t="n"/>
      <c r="AA1822" s="75" t="n"/>
      <c r="AB1822" s="75" t="n"/>
      <c r="AC1822" s="6" t="n"/>
      <c r="AD1822" s="75" t="n"/>
      <c r="AE1822" s="75" t="n"/>
      <c r="AF1822" s="75" t="n"/>
    </row>
    <row r="1823" ht="15.75" customHeight="1" s="133">
      <c r="A1823" s="75" t="n"/>
      <c r="B1823" s="75" t="n"/>
      <c r="C1823" s="75" t="n"/>
      <c r="D1823" s="75" t="n"/>
      <c r="E1823" s="76" t="n"/>
      <c r="F1823" s="77" t="n"/>
      <c r="G1823" s="75" t="n"/>
      <c r="H1823" s="75">
        <f>IF(ISBLANK(E1823),"",IF(OR(D1823="Butterfly",D1823="Butterfly ",D1823="Iron Fly", D1823="Iron Fly "),LEN(E1823)-LEN(SUBSTITUTE(E1823,"/",""))+2,LEN(E1823)-LEN(SUBSTITUTE(E1823,"/",""))+1))</f>
        <v/>
      </c>
      <c r="I1823" s="78">
        <f>IF(ISBLANK(G1823),"",IF(D1823="Stock","0",Key!$A$3*H1823*G1823))</f>
        <v/>
      </c>
      <c r="J1823" s="78">
        <f>IF(ISBLANK(E1823),"",IF(ISNUMBER(SEARCH("/",E1823)), IF(LEN(E1823)-LEN(SUBSTITUTE(E1823,"/",""))=1,(RIGHT(E1823,LEN(E1823)-FIND("/",E1823)))-(LEFT(E1823,FIND("/",E1823)-1)),(MID(E1823, SEARCH("/",E1823) + 1, SEARCH("/",E1823, SEARCH("/",E1823)+1) - SEARCH("/",E1823) - 1))-(LEFT(E1823,FIND("/",E1823)-1))), "NA"))</f>
        <v/>
      </c>
      <c r="K1823" s="79">
        <f>IF(A1823&lt;&gt;"", IF(ISBLANK(L1823), TODAY(), K1823), "")</f>
        <v/>
      </c>
      <c r="L1823" s="78" t="n"/>
      <c r="M1823" s="78">
        <f>IF(ISBLANK(L1823),"",IF(D1823="Stock",IF(C1823="Buy",L1823*G1823,IF(C1823="Sell",(L1823*G1823)-I1823, X)),IF(C1823="Buy",(L1823*G1823*100)+I1823,IF(C1823="Sell",(L1823*G1823*100)-I1823, X))))</f>
        <v/>
      </c>
      <c r="N1823" s="78">
        <f>IF(ISBLANK(L1823),"",IF(AND(C1823="Sell",D1823="Stock"),M1823,IF(ISBLANK(L1823),"",IF(C1823="Buy",M1823, IF(AND(C1823="Sell",J1823="NA"),(E1823*G1823*100*0.1)+I1823, IF(C1823="Sell",(J1823-L1823)*(100*G1823)+I1823))))))</f>
        <v/>
      </c>
      <c r="O1823" s="75" t="n"/>
      <c r="P1823" s="75" t="n"/>
      <c r="Q1823" s="75">
        <f>IF(ISBLANK(P1823),"",IF(D1823="Stock",P1823*G1823,IF(P1823=0,"0",G1823*P1823*100-(G1823*$AF$14))))</f>
        <v/>
      </c>
      <c r="R1823" s="79">
        <f>IF(P1823&lt;&gt;"", TODAY(), "")</f>
        <v/>
      </c>
      <c r="S1823" s="78">
        <f>IF(AND(K1823&lt;&gt;"", R1823&lt;&gt;""), R1823-K1823, "")</f>
        <v/>
      </c>
      <c r="T1823" s="78" t="n"/>
      <c r="U1823" s="92">
        <f>IF(ISBLANK(P1823),"",IF(C1823="Buy",Q1823-M1823+T1823, IF(C1823="Sell",M1823-Q1823-T1823, X)))</f>
        <v/>
      </c>
      <c r="V1823" s="81">
        <f>IF(ISBLANK(P1823),"",U1823/N1823)</f>
        <v/>
      </c>
      <c r="W1823" s="81">
        <f>IF(ISBLANK(P1823),"",IF(S1823=0,(365/0.5)*V1823,(365/S1823)*V1823))</f>
        <v/>
      </c>
      <c r="X1823" s="75" t="n"/>
      <c r="Y1823" s="77" t="n"/>
      <c r="Z1823" s="77" t="n"/>
      <c r="AA1823" s="75" t="n"/>
      <c r="AB1823" s="75" t="n"/>
      <c r="AC1823" s="6" t="n"/>
      <c r="AD1823" s="75" t="n"/>
      <c r="AE1823" s="75" t="n"/>
      <c r="AF1823" s="75" t="n"/>
    </row>
    <row r="1824" ht="15.75" customHeight="1" s="133">
      <c r="A1824" s="75" t="n"/>
      <c r="B1824" s="75" t="n"/>
      <c r="C1824" s="75" t="n"/>
      <c r="D1824" s="75" t="n"/>
      <c r="E1824" s="76" t="n"/>
      <c r="F1824" s="77" t="n"/>
      <c r="G1824" s="75" t="n"/>
      <c r="H1824" s="75">
        <f>IF(ISBLANK(E1824),"",IF(OR(D1824="Butterfly",D1824="Butterfly ",D1824="Iron Fly", D1824="Iron Fly "),LEN(E1824)-LEN(SUBSTITUTE(E1824,"/",""))+2,LEN(E1824)-LEN(SUBSTITUTE(E1824,"/",""))+1))</f>
        <v/>
      </c>
      <c r="I1824" s="78">
        <f>IF(ISBLANK(G1824),"",IF(D1824="Stock","0",Key!$A$3*H1824*G1824))</f>
        <v/>
      </c>
      <c r="J1824" s="78">
        <f>IF(ISBLANK(E1824),"",IF(ISNUMBER(SEARCH("/",E1824)), IF(LEN(E1824)-LEN(SUBSTITUTE(E1824,"/",""))=1,(RIGHT(E1824,LEN(E1824)-FIND("/",E1824)))-(LEFT(E1824,FIND("/",E1824)-1)),(MID(E1824, SEARCH("/",E1824) + 1, SEARCH("/",E1824, SEARCH("/",E1824)+1) - SEARCH("/",E1824) - 1))-(LEFT(E1824,FIND("/",E1824)-1))), "NA"))</f>
        <v/>
      </c>
      <c r="K1824" s="79">
        <f>IF(A1824&lt;&gt;"", IF(ISBLANK(L1824), TODAY(), K1824), "")</f>
        <v/>
      </c>
      <c r="L1824" s="78" t="n"/>
      <c r="M1824" s="78">
        <f>IF(ISBLANK(L1824),"",IF(D1824="Stock",IF(C1824="Buy",L1824*G1824,IF(C1824="Sell",(L1824*G1824)-I1824, X)),IF(C1824="Buy",(L1824*G1824*100)+I1824,IF(C1824="Sell",(L1824*G1824*100)-I1824, X))))</f>
        <v/>
      </c>
      <c r="N1824" s="78">
        <f>IF(ISBLANK(L1824),"",IF(AND(C1824="Sell",D1824="Stock"),M1824,IF(ISBLANK(L1824),"",IF(C1824="Buy",M1824, IF(AND(C1824="Sell",J1824="NA"),(E1824*G1824*100*0.1)+I1824, IF(C1824="Sell",(J1824-L1824)*(100*G1824)+I1824))))))</f>
        <v/>
      </c>
      <c r="O1824" s="75" t="n"/>
      <c r="P1824" s="75" t="n"/>
      <c r="Q1824" s="75">
        <f>IF(ISBLANK(P1824),"",IF(D1824="Stock",P1824*G1824,IF(P1824=0,"0",G1824*P1824*100-(G1824*$AF$14))))</f>
        <v/>
      </c>
      <c r="R1824" s="79">
        <f>IF(P1824&lt;&gt;"", TODAY(), "")</f>
        <v/>
      </c>
      <c r="S1824" s="78">
        <f>IF(AND(K1824&lt;&gt;"", R1824&lt;&gt;""), R1824-K1824, "")</f>
        <v/>
      </c>
      <c r="T1824" s="78" t="n"/>
      <c r="U1824" s="92">
        <f>IF(ISBLANK(P1824),"",IF(C1824="Buy",Q1824-M1824+T1824, IF(C1824="Sell",M1824-Q1824-T1824, X)))</f>
        <v/>
      </c>
      <c r="V1824" s="81">
        <f>IF(ISBLANK(P1824),"",U1824/N1824)</f>
        <v/>
      </c>
      <c r="W1824" s="81">
        <f>IF(ISBLANK(P1824),"",IF(S1824=0,(365/0.5)*V1824,(365/S1824)*V1824))</f>
        <v/>
      </c>
      <c r="X1824" s="75" t="n"/>
      <c r="Y1824" s="77" t="n"/>
      <c r="Z1824" s="77" t="n"/>
      <c r="AA1824" s="75" t="n"/>
      <c r="AB1824" s="75" t="n"/>
      <c r="AC1824" s="6" t="n"/>
      <c r="AD1824" s="75" t="n"/>
      <c r="AE1824" s="75" t="n"/>
      <c r="AF1824" s="75" t="n"/>
    </row>
    <row r="1825" ht="15.75" customHeight="1" s="133">
      <c r="A1825" s="75" t="n"/>
      <c r="B1825" s="75" t="n"/>
      <c r="C1825" s="75" t="n"/>
      <c r="D1825" s="75" t="n"/>
      <c r="E1825" s="76" t="n"/>
      <c r="F1825" s="77" t="n"/>
      <c r="G1825" s="75" t="n"/>
      <c r="H1825" s="75">
        <f>IF(ISBLANK(E1825),"",IF(OR(D1825="Butterfly",D1825="Butterfly ",D1825="Iron Fly", D1825="Iron Fly "),LEN(E1825)-LEN(SUBSTITUTE(E1825,"/",""))+2,LEN(E1825)-LEN(SUBSTITUTE(E1825,"/",""))+1))</f>
        <v/>
      </c>
      <c r="I1825" s="78">
        <f>IF(ISBLANK(G1825),"",IF(D1825="Stock","0",Key!$A$3*H1825*G1825))</f>
        <v/>
      </c>
      <c r="J1825" s="78">
        <f>IF(ISBLANK(E1825),"",IF(ISNUMBER(SEARCH("/",E1825)), IF(LEN(E1825)-LEN(SUBSTITUTE(E1825,"/",""))=1,(RIGHT(E1825,LEN(E1825)-FIND("/",E1825)))-(LEFT(E1825,FIND("/",E1825)-1)),(MID(E1825, SEARCH("/",E1825) + 1, SEARCH("/",E1825, SEARCH("/",E1825)+1) - SEARCH("/",E1825) - 1))-(LEFT(E1825,FIND("/",E1825)-1))), "NA"))</f>
        <v/>
      </c>
      <c r="K1825" s="79">
        <f>IF(A1825&lt;&gt;"", IF(ISBLANK(L1825), TODAY(), K1825), "")</f>
        <v/>
      </c>
      <c r="L1825" s="78" t="n"/>
      <c r="M1825" s="78">
        <f>IF(ISBLANK(L1825),"",IF(D1825="Stock",IF(C1825="Buy",L1825*G1825,IF(C1825="Sell",(L1825*G1825)-I1825, X)),IF(C1825="Buy",(L1825*G1825*100)+I1825,IF(C1825="Sell",(L1825*G1825*100)-I1825, X))))</f>
        <v/>
      </c>
      <c r="N1825" s="78">
        <f>IF(ISBLANK(L1825),"",IF(AND(C1825="Sell",D1825="Stock"),M1825,IF(ISBLANK(L1825),"",IF(C1825="Buy",M1825, IF(AND(C1825="Sell",J1825="NA"),(E1825*G1825*100*0.1)+I1825, IF(C1825="Sell",(J1825-L1825)*(100*G1825)+I1825))))))</f>
        <v/>
      </c>
      <c r="O1825" s="75" t="n"/>
      <c r="P1825" s="75" t="n"/>
      <c r="Q1825" s="75">
        <f>IF(ISBLANK(P1825),"",IF(D1825="Stock",P1825*G1825,IF(P1825=0,"0",G1825*P1825*100-(G1825*$AF$14))))</f>
        <v/>
      </c>
      <c r="R1825" s="79">
        <f>IF(P1825&lt;&gt;"", TODAY(), "")</f>
        <v/>
      </c>
      <c r="S1825" s="78">
        <f>IF(AND(K1825&lt;&gt;"", R1825&lt;&gt;""), R1825-K1825, "")</f>
        <v/>
      </c>
      <c r="T1825" s="78" t="n"/>
      <c r="U1825" s="92">
        <f>IF(ISBLANK(P1825),"",IF(C1825="Buy",Q1825-M1825+T1825, IF(C1825="Sell",M1825-Q1825-T1825, X)))</f>
        <v/>
      </c>
      <c r="V1825" s="81">
        <f>IF(ISBLANK(P1825),"",U1825/N1825)</f>
        <v/>
      </c>
      <c r="W1825" s="81">
        <f>IF(ISBLANK(P1825),"",IF(S1825=0,(365/0.5)*V1825,(365/S1825)*V1825))</f>
        <v/>
      </c>
      <c r="X1825" s="75" t="n"/>
      <c r="Y1825" s="77" t="n"/>
      <c r="Z1825" s="77" t="n"/>
      <c r="AA1825" s="75" t="n"/>
      <c r="AB1825" s="75" t="n"/>
      <c r="AC1825" s="6" t="n"/>
      <c r="AD1825" s="75" t="n"/>
      <c r="AE1825" s="75" t="n"/>
      <c r="AF1825" s="75" t="n"/>
    </row>
    <row r="1826" ht="15.75" customHeight="1" s="133">
      <c r="A1826" s="75" t="n"/>
      <c r="B1826" s="75" t="n"/>
      <c r="C1826" s="75" t="n"/>
      <c r="D1826" s="75" t="n"/>
      <c r="E1826" s="76" t="n"/>
      <c r="F1826" s="77" t="n"/>
      <c r="G1826" s="75" t="n"/>
      <c r="H1826" s="75">
        <f>IF(ISBLANK(E1826),"",IF(OR(D1826="Butterfly",D1826="Butterfly ",D1826="Iron Fly", D1826="Iron Fly "),LEN(E1826)-LEN(SUBSTITUTE(E1826,"/",""))+2,LEN(E1826)-LEN(SUBSTITUTE(E1826,"/",""))+1))</f>
        <v/>
      </c>
      <c r="I1826" s="78">
        <f>IF(ISBLANK(G1826),"",IF(D1826="Stock","0",Key!$A$3*H1826*G1826))</f>
        <v/>
      </c>
      <c r="J1826" s="78">
        <f>IF(ISBLANK(E1826),"",IF(ISNUMBER(SEARCH("/",E1826)), IF(LEN(E1826)-LEN(SUBSTITUTE(E1826,"/",""))=1,(RIGHT(E1826,LEN(E1826)-FIND("/",E1826)))-(LEFT(E1826,FIND("/",E1826)-1)),(MID(E1826, SEARCH("/",E1826) + 1, SEARCH("/",E1826, SEARCH("/",E1826)+1) - SEARCH("/",E1826) - 1))-(LEFT(E1826,FIND("/",E1826)-1))), "NA"))</f>
        <v/>
      </c>
      <c r="K1826" s="79">
        <f>IF(A1826&lt;&gt;"", IF(ISBLANK(L1826), TODAY(), K1826), "")</f>
        <v/>
      </c>
      <c r="L1826" s="78" t="n"/>
      <c r="M1826" s="78">
        <f>IF(ISBLANK(L1826),"",IF(D1826="Stock",IF(C1826="Buy",L1826*G1826,IF(C1826="Sell",(L1826*G1826)-I1826, X)),IF(C1826="Buy",(L1826*G1826*100)+I1826,IF(C1826="Sell",(L1826*G1826*100)-I1826, X))))</f>
        <v/>
      </c>
      <c r="N1826" s="78">
        <f>IF(ISBLANK(L1826),"",IF(AND(C1826="Sell",D1826="Stock"),M1826,IF(ISBLANK(L1826),"",IF(C1826="Buy",M1826, IF(AND(C1826="Sell",J1826="NA"),(E1826*G1826*100*0.1)+I1826, IF(C1826="Sell",(J1826-L1826)*(100*G1826)+I1826))))))</f>
        <v/>
      </c>
      <c r="O1826" s="75" t="n"/>
      <c r="P1826" s="75" t="n"/>
      <c r="Q1826" s="75">
        <f>IF(ISBLANK(P1826),"",IF(D1826="Stock",P1826*G1826,IF(P1826=0,"0",G1826*P1826*100-(G1826*$AF$14))))</f>
        <v/>
      </c>
      <c r="R1826" s="79">
        <f>IF(P1826&lt;&gt;"", TODAY(), "")</f>
        <v/>
      </c>
      <c r="S1826" s="78">
        <f>IF(AND(K1826&lt;&gt;"", R1826&lt;&gt;""), R1826-K1826, "")</f>
        <v/>
      </c>
      <c r="T1826" s="78" t="n"/>
      <c r="U1826" s="92">
        <f>IF(ISBLANK(P1826),"",IF(C1826="Buy",Q1826-M1826+T1826, IF(C1826="Sell",M1826-Q1826-T1826, X)))</f>
        <v/>
      </c>
      <c r="V1826" s="81">
        <f>IF(ISBLANK(P1826),"",U1826/N1826)</f>
        <v/>
      </c>
      <c r="W1826" s="81">
        <f>IF(ISBLANK(P1826),"",IF(S1826=0,(365/0.5)*V1826,(365/S1826)*V1826))</f>
        <v/>
      </c>
      <c r="X1826" s="75" t="n"/>
      <c r="Y1826" s="77" t="n"/>
      <c r="Z1826" s="77" t="n"/>
      <c r="AA1826" s="75" t="n"/>
      <c r="AB1826" s="75" t="n"/>
      <c r="AC1826" s="6" t="n"/>
      <c r="AD1826" s="75" t="n"/>
      <c r="AE1826" s="75" t="n"/>
      <c r="AF1826" s="75" t="n"/>
    </row>
    <row r="1827" ht="15.75" customHeight="1" s="133">
      <c r="A1827" s="75" t="n"/>
      <c r="B1827" s="75" t="n"/>
      <c r="C1827" s="75" t="n"/>
      <c r="D1827" s="75" t="n"/>
      <c r="E1827" s="76" t="n"/>
      <c r="F1827" s="77" t="n"/>
      <c r="G1827" s="75" t="n"/>
      <c r="H1827" s="75">
        <f>IF(ISBLANK(E1827),"",IF(OR(D1827="Butterfly",D1827="Butterfly ",D1827="Iron Fly", D1827="Iron Fly "),LEN(E1827)-LEN(SUBSTITUTE(E1827,"/",""))+2,LEN(E1827)-LEN(SUBSTITUTE(E1827,"/",""))+1))</f>
        <v/>
      </c>
      <c r="I1827" s="78">
        <f>IF(ISBLANK(G1827),"",IF(D1827="Stock","0",Key!$A$3*H1827*G1827))</f>
        <v/>
      </c>
      <c r="J1827" s="78">
        <f>IF(ISBLANK(E1827),"",IF(ISNUMBER(SEARCH("/",E1827)), IF(LEN(E1827)-LEN(SUBSTITUTE(E1827,"/",""))=1,(RIGHT(E1827,LEN(E1827)-FIND("/",E1827)))-(LEFT(E1827,FIND("/",E1827)-1)),(MID(E1827, SEARCH("/",E1827) + 1, SEARCH("/",E1827, SEARCH("/",E1827)+1) - SEARCH("/",E1827) - 1))-(LEFT(E1827,FIND("/",E1827)-1))), "NA"))</f>
        <v/>
      </c>
      <c r="K1827" s="79">
        <f>IF(A1827&lt;&gt;"", IF(ISBLANK(L1827), TODAY(), K1827), "")</f>
        <v/>
      </c>
      <c r="L1827" s="78" t="n"/>
      <c r="M1827" s="78">
        <f>IF(ISBLANK(L1827),"",IF(D1827="Stock",IF(C1827="Buy",L1827*G1827,IF(C1827="Sell",(L1827*G1827)-I1827, X)),IF(C1827="Buy",(L1827*G1827*100)+I1827,IF(C1827="Sell",(L1827*G1827*100)-I1827, X))))</f>
        <v/>
      </c>
      <c r="N1827" s="78">
        <f>IF(ISBLANK(L1827),"",IF(AND(C1827="Sell",D1827="Stock"),M1827,IF(ISBLANK(L1827),"",IF(C1827="Buy",M1827, IF(AND(C1827="Sell",J1827="NA"),(E1827*G1827*100*0.1)+I1827, IF(C1827="Sell",(J1827-L1827)*(100*G1827)+I1827))))))</f>
        <v/>
      </c>
      <c r="O1827" s="75" t="n"/>
      <c r="P1827" s="75" t="n"/>
      <c r="Q1827" s="75">
        <f>IF(ISBLANK(P1827),"",IF(D1827="Stock",P1827*G1827,IF(P1827=0,"0",G1827*P1827*100-(G1827*$AF$14))))</f>
        <v/>
      </c>
      <c r="R1827" s="79">
        <f>IF(P1827&lt;&gt;"", TODAY(), "")</f>
        <v/>
      </c>
      <c r="S1827" s="78">
        <f>IF(AND(K1827&lt;&gt;"", R1827&lt;&gt;""), R1827-K1827, "")</f>
        <v/>
      </c>
      <c r="T1827" s="78" t="n"/>
      <c r="U1827" s="92">
        <f>IF(ISBLANK(P1827),"",IF(C1827="Buy",Q1827-M1827+T1827, IF(C1827="Sell",M1827-Q1827-T1827, X)))</f>
        <v/>
      </c>
      <c r="V1827" s="81">
        <f>IF(ISBLANK(P1827),"",U1827/N1827)</f>
        <v/>
      </c>
      <c r="W1827" s="81">
        <f>IF(ISBLANK(P1827),"",IF(S1827=0,(365/0.5)*V1827,(365/S1827)*V1827))</f>
        <v/>
      </c>
      <c r="X1827" s="75" t="n"/>
      <c r="Y1827" s="77" t="n"/>
      <c r="Z1827" s="77" t="n"/>
      <c r="AA1827" s="75" t="n"/>
      <c r="AB1827" s="75" t="n"/>
      <c r="AC1827" s="6" t="n"/>
      <c r="AD1827" s="75" t="n"/>
      <c r="AE1827" s="75" t="n"/>
      <c r="AF1827" s="75" t="n"/>
    </row>
    <row r="1828" ht="15.75" customHeight="1" s="133">
      <c r="A1828" s="75" t="n"/>
      <c r="B1828" s="75" t="n"/>
      <c r="C1828" s="75" t="n"/>
      <c r="D1828" s="75" t="n"/>
      <c r="E1828" s="76" t="n"/>
      <c r="F1828" s="77" t="n"/>
      <c r="G1828" s="75" t="n"/>
      <c r="H1828" s="75">
        <f>IF(ISBLANK(E1828),"",IF(OR(D1828="Butterfly",D1828="Butterfly ",D1828="Iron Fly", D1828="Iron Fly "),LEN(E1828)-LEN(SUBSTITUTE(E1828,"/",""))+2,LEN(E1828)-LEN(SUBSTITUTE(E1828,"/",""))+1))</f>
        <v/>
      </c>
      <c r="I1828" s="78">
        <f>IF(ISBLANK(G1828),"",IF(D1828="Stock","0",Key!$A$3*H1828*G1828))</f>
        <v/>
      </c>
      <c r="J1828" s="78">
        <f>IF(ISBLANK(E1828),"",IF(ISNUMBER(SEARCH("/",E1828)), IF(LEN(E1828)-LEN(SUBSTITUTE(E1828,"/",""))=1,(RIGHT(E1828,LEN(E1828)-FIND("/",E1828)))-(LEFT(E1828,FIND("/",E1828)-1)),(MID(E1828, SEARCH("/",E1828) + 1, SEARCH("/",E1828, SEARCH("/",E1828)+1) - SEARCH("/",E1828) - 1))-(LEFT(E1828,FIND("/",E1828)-1))), "NA"))</f>
        <v/>
      </c>
      <c r="K1828" s="79">
        <f>IF(A1828&lt;&gt;"", IF(ISBLANK(L1828), TODAY(), K1828), "")</f>
        <v/>
      </c>
      <c r="L1828" s="78" t="n"/>
      <c r="M1828" s="78">
        <f>IF(ISBLANK(L1828),"",IF(D1828="Stock",IF(C1828="Buy",L1828*G1828,IF(C1828="Sell",(L1828*G1828)-I1828, X)),IF(C1828="Buy",(L1828*G1828*100)+I1828,IF(C1828="Sell",(L1828*G1828*100)-I1828, X))))</f>
        <v/>
      </c>
      <c r="N1828" s="78">
        <f>IF(ISBLANK(L1828),"",IF(AND(C1828="Sell",D1828="Stock"),M1828,IF(ISBLANK(L1828),"",IF(C1828="Buy",M1828, IF(AND(C1828="Sell",J1828="NA"),(E1828*G1828*100*0.1)+I1828, IF(C1828="Sell",(J1828-L1828)*(100*G1828)+I1828))))))</f>
        <v/>
      </c>
      <c r="O1828" s="75" t="n"/>
      <c r="P1828" s="75" t="n"/>
      <c r="Q1828" s="75">
        <f>IF(ISBLANK(P1828),"",IF(D1828="Stock",P1828*G1828,IF(P1828=0,"0",G1828*P1828*100-(G1828*$AF$14))))</f>
        <v/>
      </c>
      <c r="R1828" s="79">
        <f>IF(P1828&lt;&gt;"", TODAY(), "")</f>
        <v/>
      </c>
      <c r="S1828" s="78">
        <f>IF(AND(K1828&lt;&gt;"", R1828&lt;&gt;""), R1828-K1828, "")</f>
        <v/>
      </c>
      <c r="T1828" s="78" t="n"/>
      <c r="U1828" s="92">
        <f>IF(ISBLANK(P1828),"",IF(C1828="Buy",Q1828-M1828+T1828, IF(C1828="Sell",M1828-Q1828-T1828, X)))</f>
        <v/>
      </c>
      <c r="V1828" s="81">
        <f>IF(ISBLANK(P1828),"",U1828/N1828)</f>
        <v/>
      </c>
      <c r="W1828" s="81">
        <f>IF(ISBLANK(P1828),"",IF(S1828=0,(365/0.5)*V1828,(365/S1828)*V1828))</f>
        <v/>
      </c>
      <c r="X1828" s="75" t="n"/>
      <c r="Y1828" s="77" t="n"/>
      <c r="Z1828" s="77" t="n"/>
      <c r="AA1828" s="75" t="n"/>
      <c r="AB1828" s="75" t="n"/>
      <c r="AC1828" s="6" t="n"/>
      <c r="AD1828" s="75" t="n"/>
      <c r="AE1828" s="75" t="n"/>
      <c r="AF1828" s="75" t="n"/>
    </row>
    <row r="1829" ht="15.75" customHeight="1" s="133">
      <c r="A1829" s="75" t="n"/>
      <c r="B1829" s="75" t="n"/>
      <c r="C1829" s="75" t="n"/>
      <c r="D1829" s="75" t="n"/>
      <c r="E1829" s="76" t="n"/>
      <c r="F1829" s="77" t="n"/>
      <c r="G1829" s="75" t="n"/>
      <c r="H1829" s="75">
        <f>IF(ISBLANK(E1829),"",IF(OR(D1829="Butterfly",D1829="Butterfly ",D1829="Iron Fly", D1829="Iron Fly "),LEN(E1829)-LEN(SUBSTITUTE(E1829,"/",""))+2,LEN(E1829)-LEN(SUBSTITUTE(E1829,"/",""))+1))</f>
        <v/>
      </c>
      <c r="I1829" s="78">
        <f>IF(ISBLANK(G1829),"",IF(D1829="Stock","0",Key!$A$3*H1829*G1829))</f>
        <v/>
      </c>
      <c r="J1829" s="78">
        <f>IF(ISBLANK(E1829),"",IF(ISNUMBER(SEARCH("/",E1829)), IF(LEN(E1829)-LEN(SUBSTITUTE(E1829,"/",""))=1,(RIGHT(E1829,LEN(E1829)-FIND("/",E1829)))-(LEFT(E1829,FIND("/",E1829)-1)),(MID(E1829, SEARCH("/",E1829) + 1, SEARCH("/",E1829, SEARCH("/",E1829)+1) - SEARCH("/",E1829) - 1))-(LEFT(E1829,FIND("/",E1829)-1))), "NA"))</f>
        <v/>
      </c>
      <c r="K1829" s="79">
        <f>IF(A1829&lt;&gt;"", IF(ISBLANK(L1829), TODAY(), K1829), "")</f>
        <v/>
      </c>
      <c r="L1829" s="78" t="n"/>
      <c r="M1829" s="78">
        <f>IF(ISBLANK(L1829),"",IF(D1829="Stock",IF(C1829="Buy",L1829*G1829,IF(C1829="Sell",(L1829*G1829)-I1829, X)),IF(C1829="Buy",(L1829*G1829*100)+I1829,IF(C1829="Sell",(L1829*G1829*100)-I1829, X))))</f>
        <v/>
      </c>
      <c r="N1829" s="78">
        <f>IF(ISBLANK(L1829),"",IF(AND(C1829="Sell",D1829="Stock"),M1829,IF(ISBLANK(L1829),"",IF(C1829="Buy",M1829, IF(AND(C1829="Sell",J1829="NA"),(E1829*G1829*100*0.1)+I1829, IF(C1829="Sell",(J1829-L1829)*(100*G1829)+I1829))))))</f>
        <v/>
      </c>
      <c r="O1829" s="75" t="n"/>
      <c r="P1829" s="75" t="n"/>
      <c r="Q1829" s="75">
        <f>IF(ISBLANK(P1829),"",IF(D1829="Stock",P1829*G1829,IF(P1829=0,"0",G1829*P1829*100-(G1829*$AF$14))))</f>
        <v/>
      </c>
      <c r="R1829" s="79">
        <f>IF(P1829&lt;&gt;"", TODAY(), "")</f>
        <v/>
      </c>
      <c r="S1829" s="78">
        <f>IF(AND(K1829&lt;&gt;"", R1829&lt;&gt;""), R1829-K1829, "")</f>
        <v/>
      </c>
      <c r="T1829" s="78" t="n"/>
      <c r="U1829" s="92">
        <f>IF(ISBLANK(P1829),"",IF(C1829="Buy",Q1829-M1829+T1829, IF(C1829="Sell",M1829-Q1829-T1829, X)))</f>
        <v/>
      </c>
      <c r="V1829" s="81">
        <f>IF(ISBLANK(P1829),"",U1829/N1829)</f>
        <v/>
      </c>
      <c r="W1829" s="81">
        <f>IF(ISBLANK(P1829),"",IF(S1829=0,(365/0.5)*V1829,(365/S1829)*V1829))</f>
        <v/>
      </c>
      <c r="X1829" s="75" t="n"/>
      <c r="Y1829" s="77" t="n"/>
      <c r="Z1829" s="77" t="n"/>
      <c r="AA1829" s="75" t="n"/>
      <c r="AB1829" s="75" t="n"/>
      <c r="AC1829" s="6" t="n"/>
      <c r="AD1829" s="75" t="n"/>
      <c r="AE1829" s="75" t="n"/>
      <c r="AF1829" s="75" t="n"/>
    </row>
    <row r="1830" ht="15.75" customHeight="1" s="133">
      <c r="A1830" s="75" t="n"/>
      <c r="B1830" s="75" t="n"/>
      <c r="C1830" s="75" t="n"/>
      <c r="D1830" s="75" t="n"/>
      <c r="E1830" s="76" t="n"/>
      <c r="F1830" s="77" t="n"/>
      <c r="G1830" s="75" t="n"/>
      <c r="H1830" s="75">
        <f>IF(ISBLANK(E1830),"",IF(OR(D1830="Butterfly",D1830="Butterfly ",D1830="Iron Fly", D1830="Iron Fly "),LEN(E1830)-LEN(SUBSTITUTE(E1830,"/",""))+2,LEN(E1830)-LEN(SUBSTITUTE(E1830,"/",""))+1))</f>
        <v/>
      </c>
      <c r="I1830" s="78">
        <f>IF(ISBLANK(G1830),"",IF(D1830="Stock","0",Key!$A$3*H1830*G1830))</f>
        <v/>
      </c>
      <c r="J1830" s="78">
        <f>IF(ISBLANK(E1830),"",IF(ISNUMBER(SEARCH("/",E1830)), IF(LEN(E1830)-LEN(SUBSTITUTE(E1830,"/",""))=1,(RIGHT(E1830,LEN(E1830)-FIND("/",E1830)))-(LEFT(E1830,FIND("/",E1830)-1)),(MID(E1830, SEARCH("/",E1830) + 1, SEARCH("/",E1830, SEARCH("/",E1830)+1) - SEARCH("/",E1830) - 1))-(LEFT(E1830,FIND("/",E1830)-1))), "NA"))</f>
        <v/>
      </c>
      <c r="K1830" s="79">
        <f>IF(A1830&lt;&gt;"", IF(ISBLANK(L1830), TODAY(), K1830), "")</f>
        <v/>
      </c>
      <c r="L1830" s="78" t="n"/>
      <c r="M1830" s="78">
        <f>IF(ISBLANK(L1830),"",IF(D1830="Stock",IF(C1830="Buy",L1830*G1830,IF(C1830="Sell",(L1830*G1830)-I1830, X)),IF(C1830="Buy",(L1830*G1830*100)+I1830,IF(C1830="Sell",(L1830*G1830*100)-I1830, X))))</f>
        <v/>
      </c>
      <c r="N1830" s="78">
        <f>IF(ISBLANK(L1830),"",IF(AND(C1830="Sell",D1830="Stock"),M1830,IF(ISBLANK(L1830),"",IF(C1830="Buy",M1830, IF(AND(C1830="Sell",J1830="NA"),(E1830*G1830*100*0.1)+I1830, IF(C1830="Sell",(J1830-L1830)*(100*G1830)+I1830))))))</f>
        <v/>
      </c>
      <c r="O1830" s="75" t="n"/>
      <c r="P1830" s="75" t="n"/>
      <c r="Q1830" s="75">
        <f>IF(ISBLANK(P1830),"",IF(D1830="Stock",P1830*G1830,IF(P1830=0,"0",G1830*P1830*100-(G1830*$AF$14))))</f>
        <v/>
      </c>
      <c r="R1830" s="79">
        <f>IF(P1830&lt;&gt;"", TODAY(), "")</f>
        <v/>
      </c>
      <c r="S1830" s="78">
        <f>IF(AND(K1830&lt;&gt;"", R1830&lt;&gt;""), R1830-K1830, "")</f>
        <v/>
      </c>
      <c r="T1830" s="78" t="n"/>
      <c r="U1830" s="92">
        <f>IF(ISBLANK(P1830),"",IF(C1830="Buy",Q1830-M1830+T1830, IF(C1830="Sell",M1830-Q1830-T1830, X)))</f>
        <v/>
      </c>
      <c r="V1830" s="81">
        <f>IF(ISBLANK(P1830),"",U1830/N1830)</f>
        <v/>
      </c>
      <c r="W1830" s="81">
        <f>IF(ISBLANK(P1830),"",IF(S1830=0,(365/0.5)*V1830,(365/S1830)*V1830))</f>
        <v/>
      </c>
      <c r="X1830" s="75" t="n"/>
      <c r="Y1830" s="77" t="n"/>
      <c r="Z1830" s="77" t="n"/>
      <c r="AA1830" s="75" t="n"/>
      <c r="AB1830" s="75" t="n"/>
      <c r="AC1830" s="6" t="n"/>
      <c r="AD1830" s="75" t="n"/>
      <c r="AE1830" s="75" t="n"/>
      <c r="AF1830" s="75" t="n"/>
    </row>
    <row r="1831" ht="15.75" customHeight="1" s="133">
      <c r="A1831" s="75" t="n"/>
      <c r="B1831" s="75" t="n"/>
      <c r="C1831" s="75" t="n"/>
      <c r="D1831" s="75" t="n"/>
      <c r="E1831" s="76" t="n"/>
      <c r="F1831" s="77" t="n"/>
      <c r="G1831" s="75" t="n"/>
      <c r="H1831" s="75">
        <f>IF(ISBLANK(E1831),"",IF(OR(D1831="Butterfly",D1831="Butterfly ",D1831="Iron Fly", D1831="Iron Fly "),LEN(E1831)-LEN(SUBSTITUTE(E1831,"/",""))+2,LEN(E1831)-LEN(SUBSTITUTE(E1831,"/",""))+1))</f>
        <v/>
      </c>
      <c r="I1831" s="78">
        <f>IF(ISBLANK(G1831),"",IF(D1831="Stock","0",Key!$A$3*H1831*G1831))</f>
        <v/>
      </c>
      <c r="J1831" s="78">
        <f>IF(ISBLANK(E1831),"",IF(ISNUMBER(SEARCH("/",E1831)), IF(LEN(E1831)-LEN(SUBSTITUTE(E1831,"/",""))=1,(RIGHT(E1831,LEN(E1831)-FIND("/",E1831)))-(LEFT(E1831,FIND("/",E1831)-1)),(MID(E1831, SEARCH("/",E1831) + 1, SEARCH("/",E1831, SEARCH("/",E1831)+1) - SEARCH("/",E1831) - 1))-(LEFT(E1831,FIND("/",E1831)-1))), "NA"))</f>
        <v/>
      </c>
      <c r="K1831" s="79">
        <f>IF(A1831&lt;&gt;"", IF(ISBLANK(L1831), TODAY(), K1831), "")</f>
        <v/>
      </c>
      <c r="L1831" s="78" t="n"/>
      <c r="M1831" s="78">
        <f>IF(ISBLANK(L1831),"",IF(D1831="Stock",IF(C1831="Buy",L1831*G1831,IF(C1831="Sell",(L1831*G1831)-I1831, X)),IF(C1831="Buy",(L1831*G1831*100)+I1831,IF(C1831="Sell",(L1831*G1831*100)-I1831, X))))</f>
        <v/>
      </c>
      <c r="N1831" s="78">
        <f>IF(ISBLANK(L1831),"",IF(AND(C1831="Sell",D1831="Stock"),M1831,IF(ISBLANK(L1831),"",IF(C1831="Buy",M1831, IF(AND(C1831="Sell",J1831="NA"),(E1831*G1831*100*0.1)+I1831, IF(C1831="Sell",(J1831-L1831)*(100*G1831)+I1831))))))</f>
        <v/>
      </c>
      <c r="O1831" s="75" t="n"/>
      <c r="P1831" s="75" t="n"/>
      <c r="Q1831" s="75">
        <f>IF(ISBLANK(P1831),"",IF(D1831="Stock",P1831*G1831,IF(P1831=0,"0",G1831*P1831*100-(G1831*$AF$14))))</f>
        <v/>
      </c>
      <c r="R1831" s="79">
        <f>IF(P1831&lt;&gt;"", TODAY(), "")</f>
        <v/>
      </c>
      <c r="S1831" s="78">
        <f>IF(AND(K1831&lt;&gt;"", R1831&lt;&gt;""), R1831-K1831, "")</f>
        <v/>
      </c>
      <c r="T1831" s="78" t="n"/>
      <c r="U1831" s="92">
        <f>IF(ISBLANK(P1831),"",IF(C1831="Buy",Q1831-M1831+T1831, IF(C1831="Sell",M1831-Q1831-T1831, X)))</f>
        <v/>
      </c>
      <c r="V1831" s="81">
        <f>IF(ISBLANK(P1831),"",U1831/N1831)</f>
        <v/>
      </c>
      <c r="W1831" s="81">
        <f>IF(ISBLANK(P1831),"",IF(S1831=0,(365/0.5)*V1831,(365/S1831)*V1831))</f>
        <v/>
      </c>
      <c r="X1831" s="75" t="n"/>
      <c r="Y1831" s="77" t="n"/>
      <c r="Z1831" s="77" t="n"/>
      <c r="AA1831" s="75" t="n"/>
      <c r="AB1831" s="75" t="n"/>
      <c r="AC1831" s="6" t="n"/>
      <c r="AD1831" s="75" t="n"/>
      <c r="AE1831" s="75" t="n"/>
      <c r="AF1831" s="75" t="n"/>
    </row>
    <row r="1832" ht="15.75" customHeight="1" s="133">
      <c r="A1832" s="75" t="n"/>
      <c r="B1832" s="75" t="n"/>
      <c r="C1832" s="75" t="n"/>
      <c r="D1832" s="75" t="n"/>
      <c r="E1832" s="76" t="n"/>
      <c r="F1832" s="77" t="n"/>
      <c r="G1832" s="75" t="n"/>
      <c r="H1832" s="75">
        <f>IF(ISBLANK(E1832),"",IF(OR(D1832="Butterfly",D1832="Butterfly ",D1832="Iron Fly", D1832="Iron Fly "),LEN(E1832)-LEN(SUBSTITUTE(E1832,"/",""))+2,LEN(E1832)-LEN(SUBSTITUTE(E1832,"/",""))+1))</f>
        <v/>
      </c>
      <c r="I1832" s="78">
        <f>IF(ISBLANK(G1832),"",IF(D1832="Stock","0",Key!$A$3*H1832*G1832))</f>
        <v/>
      </c>
      <c r="J1832" s="78">
        <f>IF(ISBLANK(E1832),"",IF(ISNUMBER(SEARCH("/",E1832)), IF(LEN(E1832)-LEN(SUBSTITUTE(E1832,"/",""))=1,(RIGHT(E1832,LEN(E1832)-FIND("/",E1832)))-(LEFT(E1832,FIND("/",E1832)-1)),(MID(E1832, SEARCH("/",E1832) + 1, SEARCH("/",E1832, SEARCH("/",E1832)+1) - SEARCH("/",E1832) - 1))-(LEFT(E1832,FIND("/",E1832)-1))), "NA"))</f>
        <v/>
      </c>
      <c r="K1832" s="79">
        <f>IF(A1832&lt;&gt;"", IF(ISBLANK(L1832), TODAY(), K1832), "")</f>
        <v/>
      </c>
      <c r="L1832" s="78" t="n"/>
      <c r="M1832" s="78">
        <f>IF(ISBLANK(L1832),"",IF(D1832="Stock",IF(C1832="Buy",L1832*G1832,IF(C1832="Sell",(L1832*G1832)-I1832, X)),IF(C1832="Buy",(L1832*G1832*100)+I1832,IF(C1832="Sell",(L1832*G1832*100)-I1832, X))))</f>
        <v/>
      </c>
      <c r="N1832" s="78">
        <f>IF(ISBLANK(L1832),"",IF(AND(C1832="Sell",D1832="Stock"),M1832,IF(ISBLANK(L1832),"",IF(C1832="Buy",M1832, IF(AND(C1832="Sell",J1832="NA"),(E1832*G1832*100*0.1)+I1832, IF(C1832="Sell",(J1832-L1832)*(100*G1832)+I1832))))))</f>
        <v/>
      </c>
      <c r="O1832" s="75" t="n"/>
      <c r="P1832" s="75" t="n"/>
      <c r="Q1832" s="75">
        <f>IF(ISBLANK(P1832),"",IF(D1832="Stock",P1832*G1832,IF(P1832=0,"0",G1832*P1832*100-(G1832*$AF$14))))</f>
        <v/>
      </c>
      <c r="R1832" s="79">
        <f>IF(P1832&lt;&gt;"", TODAY(), "")</f>
        <v/>
      </c>
      <c r="S1832" s="78">
        <f>IF(AND(K1832&lt;&gt;"", R1832&lt;&gt;""), R1832-K1832, "")</f>
        <v/>
      </c>
      <c r="T1832" s="78" t="n"/>
      <c r="U1832" s="92">
        <f>IF(ISBLANK(P1832),"",IF(C1832="Buy",Q1832-M1832+T1832, IF(C1832="Sell",M1832-Q1832-T1832, X)))</f>
        <v/>
      </c>
      <c r="V1832" s="81">
        <f>IF(ISBLANK(P1832),"",U1832/N1832)</f>
        <v/>
      </c>
      <c r="W1832" s="81">
        <f>IF(ISBLANK(P1832),"",IF(S1832=0,(365/0.5)*V1832,(365/S1832)*V1832))</f>
        <v/>
      </c>
      <c r="X1832" s="75" t="n"/>
      <c r="Y1832" s="77" t="n"/>
      <c r="Z1832" s="77" t="n"/>
      <c r="AA1832" s="75" t="n"/>
      <c r="AB1832" s="75" t="n"/>
      <c r="AC1832" s="6" t="n"/>
      <c r="AD1832" s="75" t="n"/>
      <c r="AE1832" s="75" t="n"/>
      <c r="AF1832" s="75" t="n"/>
    </row>
    <row r="1833" ht="15.75" customHeight="1" s="133">
      <c r="A1833" s="75" t="n"/>
      <c r="B1833" s="75" t="n"/>
      <c r="C1833" s="75" t="n"/>
      <c r="D1833" s="75" t="n"/>
      <c r="E1833" s="76" t="n"/>
      <c r="F1833" s="77" t="n"/>
      <c r="G1833" s="75" t="n"/>
      <c r="H1833" s="75">
        <f>IF(ISBLANK(E1833),"",IF(OR(D1833="Butterfly",D1833="Butterfly ",D1833="Iron Fly", D1833="Iron Fly "),LEN(E1833)-LEN(SUBSTITUTE(E1833,"/",""))+2,LEN(E1833)-LEN(SUBSTITUTE(E1833,"/",""))+1))</f>
        <v/>
      </c>
      <c r="I1833" s="78">
        <f>IF(ISBLANK(G1833),"",IF(D1833="Stock","0",Key!$A$3*H1833*G1833))</f>
        <v/>
      </c>
      <c r="J1833" s="78">
        <f>IF(ISBLANK(E1833),"",IF(ISNUMBER(SEARCH("/",E1833)), IF(LEN(E1833)-LEN(SUBSTITUTE(E1833,"/",""))=1,(RIGHT(E1833,LEN(E1833)-FIND("/",E1833)))-(LEFT(E1833,FIND("/",E1833)-1)),(MID(E1833, SEARCH("/",E1833) + 1, SEARCH("/",E1833, SEARCH("/",E1833)+1) - SEARCH("/",E1833) - 1))-(LEFT(E1833,FIND("/",E1833)-1))), "NA"))</f>
        <v/>
      </c>
      <c r="K1833" s="79">
        <f>IF(A1833&lt;&gt;"", IF(ISBLANK(L1833), TODAY(), K1833), "")</f>
        <v/>
      </c>
      <c r="L1833" s="78" t="n"/>
      <c r="M1833" s="78">
        <f>IF(ISBLANK(L1833),"",IF(D1833="Stock",IF(C1833="Buy",L1833*G1833,IF(C1833="Sell",(L1833*G1833)-I1833, X)),IF(C1833="Buy",(L1833*G1833*100)+I1833,IF(C1833="Sell",(L1833*G1833*100)-I1833, X))))</f>
        <v/>
      </c>
      <c r="N1833" s="78">
        <f>IF(ISBLANK(L1833),"",IF(AND(C1833="Sell",D1833="Stock"),M1833,IF(ISBLANK(L1833),"",IF(C1833="Buy",M1833, IF(AND(C1833="Sell",J1833="NA"),(E1833*G1833*100*0.1)+I1833, IF(C1833="Sell",(J1833-L1833)*(100*G1833)+I1833))))))</f>
        <v/>
      </c>
      <c r="O1833" s="75" t="n"/>
      <c r="P1833" s="75" t="n"/>
      <c r="Q1833" s="75">
        <f>IF(ISBLANK(P1833),"",IF(D1833="Stock",P1833*G1833,IF(P1833=0,"0",G1833*P1833*100-(G1833*$AF$14))))</f>
        <v/>
      </c>
      <c r="R1833" s="79">
        <f>IF(P1833&lt;&gt;"", TODAY(), "")</f>
        <v/>
      </c>
      <c r="S1833" s="78">
        <f>IF(AND(K1833&lt;&gt;"", R1833&lt;&gt;""), R1833-K1833, "")</f>
        <v/>
      </c>
      <c r="T1833" s="78" t="n"/>
      <c r="U1833" s="92">
        <f>IF(ISBLANK(P1833),"",IF(C1833="Buy",Q1833-M1833+T1833, IF(C1833="Sell",M1833-Q1833-T1833, X)))</f>
        <v/>
      </c>
      <c r="V1833" s="81">
        <f>IF(ISBLANK(P1833),"",U1833/N1833)</f>
        <v/>
      </c>
      <c r="W1833" s="81">
        <f>IF(ISBLANK(P1833),"",IF(S1833=0,(365/0.5)*V1833,(365/S1833)*V1833))</f>
        <v/>
      </c>
      <c r="X1833" s="75" t="n"/>
      <c r="Y1833" s="77" t="n"/>
      <c r="Z1833" s="77" t="n"/>
      <c r="AA1833" s="75" t="n"/>
      <c r="AB1833" s="75" t="n"/>
      <c r="AC1833" s="6" t="n"/>
      <c r="AD1833" s="75" t="n"/>
      <c r="AE1833" s="75" t="n"/>
      <c r="AF1833" s="75" t="n"/>
    </row>
    <row r="1834" ht="15.75" customHeight="1" s="133">
      <c r="A1834" s="75" t="n"/>
      <c r="B1834" s="75" t="n"/>
      <c r="C1834" s="75" t="n"/>
      <c r="D1834" s="75" t="n"/>
      <c r="E1834" s="76" t="n"/>
      <c r="F1834" s="77" t="n"/>
      <c r="G1834" s="75" t="n"/>
      <c r="H1834" s="75">
        <f>IF(ISBLANK(E1834),"",IF(OR(D1834="Butterfly",D1834="Butterfly ",D1834="Iron Fly", D1834="Iron Fly "),LEN(E1834)-LEN(SUBSTITUTE(E1834,"/",""))+2,LEN(E1834)-LEN(SUBSTITUTE(E1834,"/",""))+1))</f>
        <v/>
      </c>
      <c r="I1834" s="78">
        <f>IF(ISBLANK(G1834),"",IF(D1834="Stock","0",Key!$A$3*H1834*G1834))</f>
        <v/>
      </c>
      <c r="J1834" s="78">
        <f>IF(ISBLANK(E1834),"",IF(ISNUMBER(SEARCH("/",E1834)), IF(LEN(E1834)-LEN(SUBSTITUTE(E1834,"/",""))=1,(RIGHT(E1834,LEN(E1834)-FIND("/",E1834)))-(LEFT(E1834,FIND("/",E1834)-1)),(MID(E1834, SEARCH("/",E1834) + 1, SEARCH("/",E1834, SEARCH("/",E1834)+1) - SEARCH("/",E1834) - 1))-(LEFT(E1834,FIND("/",E1834)-1))), "NA"))</f>
        <v/>
      </c>
      <c r="K1834" s="79">
        <f>IF(A1834&lt;&gt;"", IF(ISBLANK(L1834), TODAY(), K1834), "")</f>
        <v/>
      </c>
      <c r="L1834" s="78" t="n"/>
      <c r="M1834" s="78">
        <f>IF(ISBLANK(L1834),"",IF(D1834="Stock",IF(C1834="Buy",L1834*G1834,IF(C1834="Sell",(L1834*G1834)-I1834, X)),IF(C1834="Buy",(L1834*G1834*100)+I1834,IF(C1834="Sell",(L1834*G1834*100)-I1834, X))))</f>
        <v/>
      </c>
      <c r="N1834" s="78">
        <f>IF(ISBLANK(L1834),"",IF(AND(C1834="Sell",D1834="Stock"),M1834,IF(ISBLANK(L1834),"",IF(C1834="Buy",M1834, IF(AND(C1834="Sell",J1834="NA"),(E1834*G1834*100*0.1)+I1834, IF(C1834="Sell",(J1834-L1834)*(100*G1834)+I1834))))))</f>
        <v/>
      </c>
      <c r="O1834" s="75" t="n"/>
      <c r="P1834" s="75" t="n"/>
      <c r="Q1834" s="75">
        <f>IF(ISBLANK(P1834),"",IF(D1834="Stock",P1834*G1834,IF(P1834=0,"0",G1834*P1834*100-(G1834*$AF$14))))</f>
        <v/>
      </c>
      <c r="R1834" s="79">
        <f>IF(P1834&lt;&gt;"", TODAY(), "")</f>
        <v/>
      </c>
      <c r="S1834" s="78">
        <f>IF(AND(K1834&lt;&gt;"", R1834&lt;&gt;""), R1834-K1834, "")</f>
        <v/>
      </c>
      <c r="T1834" s="78" t="n"/>
      <c r="U1834" s="92">
        <f>IF(ISBLANK(P1834),"",IF(C1834="Buy",Q1834-M1834+T1834, IF(C1834="Sell",M1834-Q1834-T1834, X)))</f>
        <v/>
      </c>
      <c r="V1834" s="81">
        <f>IF(ISBLANK(P1834),"",U1834/N1834)</f>
        <v/>
      </c>
      <c r="W1834" s="81">
        <f>IF(ISBLANK(P1834),"",IF(S1834=0,(365/0.5)*V1834,(365/S1834)*V1834))</f>
        <v/>
      </c>
      <c r="X1834" s="75" t="n"/>
      <c r="Y1834" s="77" t="n"/>
      <c r="Z1834" s="77" t="n"/>
      <c r="AA1834" s="75" t="n"/>
      <c r="AB1834" s="75" t="n"/>
      <c r="AC1834" s="6" t="n"/>
      <c r="AD1834" s="75" t="n"/>
      <c r="AE1834" s="75" t="n"/>
      <c r="AF1834" s="75" t="n"/>
    </row>
    <row r="1835" ht="15.75" customHeight="1" s="133">
      <c r="A1835" s="75" t="n"/>
      <c r="B1835" s="75" t="n"/>
      <c r="C1835" s="75" t="n"/>
      <c r="D1835" s="75" t="n"/>
      <c r="E1835" s="76" t="n"/>
      <c r="F1835" s="77" t="n"/>
      <c r="G1835" s="75" t="n"/>
      <c r="H1835" s="75">
        <f>IF(ISBLANK(E1835),"",IF(OR(D1835="Butterfly",D1835="Butterfly ",D1835="Iron Fly", D1835="Iron Fly "),LEN(E1835)-LEN(SUBSTITUTE(E1835,"/",""))+2,LEN(E1835)-LEN(SUBSTITUTE(E1835,"/",""))+1))</f>
        <v/>
      </c>
      <c r="I1835" s="78">
        <f>IF(ISBLANK(G1835),"",IF(D1835="Stock","0",Key!$A$3*H1835*G1835))</f>
        <v/>
      </c>
      <c r="J1835" s="78">
        <f>IF(ISBLANK(E1835),"",IF(ISNUMBER(SEARCH("/",E1835)), IF(LEN(E1835)-LEN(SUBSTITUTE(E1835,"/",""))=1,(RIGHT(E1835,LEN(E1835)-FIND("/",E1835)))-(LEFT(E1835,FIND("/",E1835)-1)),(MID(E1835, SEARCH("/",E1835) + 1, SEARCH("/",E1835, SEARCH("/",E1835)+1) - SEARCH("/",E1835) - 1))-(LEFT(E1835,FIND("/",E1835)-1))), "NA"))</f>
        <v/>
      </c>
      <c r="K1835" s="79">
        <f>IF(A1835&lt;&gt;"", IF(ISBLANK(L1835), TODAY(), K1835), "")</f>
        <v/>
      </c>
      <c r="L1835" s="78" t="n"/>
      <c r="M1835" s="78">
        <f>IF(ISBLANK(L1835),"",IF(D1835="Stock",IF(C1835="Buy",L1835*G1835,IF(C1835="Sell",(L1835*G1835)-I1835, X)),IF(C1835="Buy",(L1835*G1835*100)+I1835,IF(C1835="Sell",(L1835*G1835*100)-I1835, X))))</f>
        <v/>
      </c>
      <c r="N1835" s="78">
        <f>IF(ISBLANK(L1835),"",IF(AND(C1835="Sell",D1835="Stock"),M1835,IF(ISBLANK(L1835),"",IF(C1835="Buy",M1835, IF(AND(C1835="Sell",J1835="NA"),(E1835*G1835*100*0.1)+I1835, IF(C1835="Sell",(J1835-L1835)*(100*G1835)+I1835))))))</f>
        <v/>
      </c>
      <c r="O1835" s="75" t="n"/>
      <c r="P1835" s="75" t="n"/>
      <c r="Q1835" s="75">
        <f>IF(ISBLANK(P1835),"",IF(D1835="Stock",P1835*G1835,IF(P1835=0,"0",G1835*P1835*100-(G1835*$AF$14))))</f>
        <v/>
      </c>
      <c r="R1835" s="79">
        <f>IF(P1835&lt;&gt;"", TODAY(), "")</f>
        <v/>
      </c>
      <c r="S1835" s="78">
        <f>IF(AND(K1835&lt;&gt;"", R1835&lt;&gt;""), R1835-K1835, "")</f>
        <v/>
      </c>
      <c r="T1835" s="78" t="n"/>
      <c r="U1835" s="92">
        <f>IF(ISBLANK(P1835),"",IF(C1835="Buy",Q1835-M1835+T1835, IF(C1835="Sell",M1835-Q1835-T1835, X)))</f>
        <v/>
      </c>
      <c r="V1835" s="81">
        <f>IF(ISBLANK(P1835),"",U1835/N1835)</f>
        <v/>
      </c>
      <c r="W1835" s="81">
        <f>IF(ISBLANK(P1835),"",IF(S1835=0,(365/0.5)*V1835,(365/S1835)*V1835))</f>
        <v/>
      </c>
      <c r="X1835" s="75" t="n"/>
      <c r="Y1835" s="77" t="n"/>
      <c r="Z1835" s="77" t="n"/>
      <c r="AA1835" s="75" t="n"/>
      <c r="AB1835" s="75" t="n"/>
      <c r="AC1835" s="6" t="n"/>
      <c r="AD1835" s="75" t="n"/>
      <c r="AE1835" s="75" t="n"/>
      <c r="AF1835" s="75" t="n"/>
    </row>
    <row r="1836" ht="15.75" customHeight="1" s="133">
      <c r="A1836" s="75" t="n"/>
      <c r="B1836" s="75" t="n"/>
      <c r="C1836" s="75" t="n"/>
      <c r="D1836" s="75" t="n"/>
      <c r="E1836" s="76" t="n"/>
      <c r="F1836" s="77" t="n"/>
      <c r="G1836" s="75" t="n"/>
      <c r="H1836" s="75">
        <f>IF(ISBLANK(E1836),"",IF(OR(D1836="Butterfly",D1836="Butterfly ",D1836="Iron Fly", D1836="Iron Fly "),LEN(E1836)-LEN(SUBSTITUTE(E1836,"/",""))+2,LEN(E1836)-LEN(SUBSTITUTE(E1836,"/",""))+1))</f>
        <v/>
      </c>
      <c r="I1836" s="78">
        <f>IF(ISBLANK(G1836),"",IF(D1836="Stock","0",Key!$A$3*H1836*G1836))</f>
        <v/>
      </c>
      <c r="J1836" s="78">
        <f>IF(ISBLANK(E1836),"",IF(ISNUMBER(SEARCH("/",E1836)), IF(LEN(E1836)-LEN(SUBSTITUTE(E1836,"/",""))=1,(RIGHT(E1836,LEN(E1836)-FIND("/",E1836)))-(LEFT(E1836,FIND("/",E1836)-1)),(MID(E1836, SEARCH("/",E1836) + 1, SEARCH("/",E1836, SEARCH("/",E1836)+1) - SEARCH("/",E1836) - 1))-(LEFT(E1836,FIND("/",E1836)-1))), "NA"))</f>
        <v/>
      </c>
      <c r="K1836" s="79">
        <f>IF(A1836&lt;&gt;"", IF(ISBLANK(L1836), TODAY(), K1836), "")</f>
        <v/>
      </c>
      <c r="L1836" s="78" t="n"/>
      <c r="M1836" s="78">
        <f>IF(ISBLANK(L1836),"",IF(D1836="Stock",IF(C1836="Buy",L1836*G1836,IF(C1836="Sell",(L1836*G1836)-I1836, X)),IF(C1836="Buy",(L1836*G1836*100)+I1836,IF(C1836="Sell",(L1836*G1836*100)-I1836, X))))</f>
        <v/>
      </c>
      <c r="N1836" s="78">
        <f>IF(ISBLANK(L1836),"",IF(AND(C1836="Sell",D1836="Stock"),M1836,IF(ISBLANK(L1836),"",IF(C1836="Buy",M1836, IF(AND(C1836="Sell",J1836="NA"),(E1836*G1836*100*0.1)+I1836, IF(C1836="Sell",(J1836-L1836)*(100*G1836)+I1836))))))</f>
        <v/>
      </c>
      <c r="O1836" s="75" t="n"/>
      <c r="P1836" s="75" t="n"/>
      <c r="Q1836" s="75">
        <f>IF(ISBLANK(P1836),"",IF(D1836="Stock",P1836*G1836,IF(P1836=0,"0",G1836*P1836*100-(G1836*$AF$14))))</f>
        <v/>
      </c>
      <c r="R1836" s="79">
        <f>IF(P1836&lt;&gt;"", TODAY(), "")</f>
        <v/>
      </c>
      <c r="S1836" s="78">
        <f>IF(AND(K1836&lt;&gt;"", R1836&lt;&gt;""), R1836-K1836, "")</f>
        <v/>
      </c>
      <c r="T1836" s="78" t="n"/>
      <c r="U1836" s="92">
        <f>IF(ISBLANK(P1836),"",IF(C1836="Buy",Q1836-M1836+T1836, IF(C1836="Sell",M1836-Q1836-T1836, X)))</f>
        <v/>
      </c>
      <c r="V1836" s="81">
        <f>IF(ISBLANK(P1836),"",U1836/N1836)</f>
        <v/>
      </c>
      <c r="W1836" s="81">
        <f>IF(ISBLANK(P1836),"",IF(S1836=0,(365/0.5)*V1836,(365/S1836)*V1836))</f>
        <v/>
      </c>
      <c r="X1836" s="75" t="n"/>
      <c r="Y1836" s="77" t="n"/>
      <c r="Z1836" s="77" t="n"/>
      <c r="AA1836" s="75" t="n"/>
      <c r="AB1836" s="75" t="n"/>
      <c r="AC1836" s="6" t="n"/>
      <c r="AD1836" s="75" t="n"/>
      <c r="AE1836" s="75" t="n"/>
      <c r="AF1836" s="75" t="n"/>
    </row>
    <row r="1837" ht="15.75" customHeight="1" s="133">
      <c r="A1837" s="75" t="n"/>
      <c r="B1837" s="75" t="n"/>
      <c r="C1837" s="75" t="n"/>
      <c r="D1837" s="75" t="n"/>
      <c r="E1837" s="76" t="n"/>
      <c r="F1837" s="77" t="n"/>
      <c r="G1837" s="75" t="n"/>
      <c r="H1837" s="75">
        <f>IF(ISBLANK(E1837),"",IF(OR(D1837="Butterfly",D1837="Butterfly ",D1837="Iron Fly", D1837="Iron Fly "),LEN(E1837)-LEN(SUBSTITUTE(E1837,"/",""))+2,LEN(E1837)-LEN(SUBSTITUTE(E1837,"/",""))+1))</f>
        <v/>
      </c>
      <c r="I1837" s="78">
        <f>IF(ISBLANK(G1837),"",IF(D1837="Stock","0",Key!$A$3*H1837*G1837))</f>
        <v/>
      </c>
      <c r="J1837" s="78">
        <f>IF(ISBLANK(E1837),"",IF(ISNUMBER(SEARCH("/",E1837)), IF(LEN(E1837)-LEN(SUBSTITUTE(E1837,"/",""))=1,(RIGHT(E1837,LEN(E1837)-FIND("/",E1837)))-(LEFT(E1837,FIND("/",E1837)-1)),(MID(E1837, SEARCH("/",E1837) + 1, SEARCH("/",E1837, SEARCH("/",E1837)+1) - SEARCH("/",E1837) - 1))-(LEFT(E1837,FIND("/",E1837)-1))), "NA"))</f>
        <v/>
      </c>
      <c r="K1837" s="79">
        <f>IF(A1837&lt;&gt;"", IF(ISBLANK(L1837), TODAY(), K1837), "")</f>
        <v/>
      </c>
      <c r="L1837" s="78" t="n"/>
      <c r="M1837" s="78">
        <f>IF(ISBLANK(L1837),"",IF(D1837="Stock",IF(C1837="Buy",L1837*G1837,IF(C1837="Sell",(L1837*G1837)-I1837, X)),IF(C1837="Buy",(L1837*G1837*100)+I1837,IF(C1837="Sell",(L1837*G1837*100)-I1837, X))))</f>
        <v/>
      </c>
      <c r="N1837" s="78">
        <f>IF(ISBLANK(L1837),"",IF(AND(C1837="Sell",D1837="Stock"),M1837,IF(ISBLANK(L1837),"",IF(C1837="Buy",M1837, IF(AND(C1837="Sell",J1837="NA"),(E1837*G1837*100*0.1)+I1837, IF(C1837="Sell",(J1837-L1837)*(100*G1837)+I1837))))))</f>
        <v/>
      </c>
      <c r="O1837" s="75" t="n"/>
      <c r="P1837" s="75" t="n"/>
      <c r="Q1837" s="75">
        <f>IF(ISBLANK(P1837),"",IF(D1837="Stock",P1837*G1837,IF(P1837=0,"0",G1837*P1837*100-(G1837*$AF$14))))</f>
        <v/>
      </c>
      <c r="R1837" s="79">
        <f>IF(P1837&lt;&gt;"", TODAY(), "")</f>
        <v/>
      </c>
      <c r="S1837" s="78">
        <f>IF(AND(K1837&lt;&gt;"", R1837&lt;&gt;""), R1837-K1837, "")</f>
        <v/>
      </c>
      <c r="T1837" s="78" t="n"/>
      <c r="U1837" s="92">
        <f>IF(ISBLANK(P1837),"",IF(C1837="Buy",Q1837-M1837+T1837, IF(C1837="Sell",M1837-Q1837-T1837, X)))</f>
        <v/>
      </c>
      <c r="V1837" s="81">
        <f>IF(ISBLANK(P1837),"",U1837/N1837)</f>
        <v/>
      </c>
      <c r="W1837" s="81">
        <f>IF(ISBLANK(P1837),"",IF(S1837=0,(365/0.5)*V1837,(365/S1837)*V1837))</f>
        <v/>
      </c>
      <c r="X1837" s="75" t="n"/>
      <c r="Y1837" s="77" t="n"/>
      <c r="Z1837" s="77" t="n"/>
      <c r="AA1837" s="75" t="n"/>
      <c r="AB1837" s="75" t="n"/>
      <c r="AC1837" s="6" t="n"/>
      <c r="AD1837" s="75" t="n"/>
      <c r="AE1837" s="75" t="n"/>
      <c r="AF1837" s="75" t="n"/>
    </row>
    <row r="1838" ht="15.75" customHeight="1" s="133">
      <c r="A1838" s="75" t="n"/>
      <c r="B1838" s="75" t="n"/>
      <c r="C1838" s="75" t="n"/>
      <c r="D1838" s="75" t="n"/>
      <c r="E1838" s="76" t="n"/>
      <c r="F1838" s="77" t="n"/>
      <c r="G1838" s="75" t="n"/>
      <c r="H1838" s="75">
        <f>IF(ISBLANK(E1838),"",IF(OR(D1838="Butterfly",D1838="Butterfly ",D1838="Iron Fly", D1838="Iron Fly "),LEN(E1838)-LEN(SUBSTITUTE(E1838,"/",""))+2,LEN(E1838)-LEN(SUBSTITUTE(E1838,"/",""))+1))</f>
        <v/>
      </c>
      <c r="I1838" s="78">
        <f>IF(ISBLANK(G1838),"",IF(D1838="Stock","0",Key!$A$3*H1838*G1838))</f>
        <v/>
      </c>
      <c r="J1838" s="78">
        <f>IF(ISBLANK(E1838),"",IF(ISNUMBER(SEARCH("/",E1838)), IF(LEN(E1838)-LEN(SUBSTITUTE(E1838,"/",""))=1,(RIGHT(E1838,LEN(E1838)-FIND("/",E1838)))-(LEFT(E1838,FIND("/",E1838)-1)),(MID(E1838, SEARCH("/",E1838) + 1, SEARCH("/",E1838, SEARCH("/",E1838)+1) - SEARCH("/",E1838) - 1))-(LEFT(E1838,FIND("/",E1838)-1))), "NA"))</f>
        <v/>
      </c>
      <c r="K1838" s="79">
        <f>IF(A1838&lt;&gt;"", IF(ISBLANK(L1838), TODAY(), K1838), "")</f>
        <v/>
      </c>
      <c r="L1838" s="78" t="n"/>
      <c r="M1838" s="78">
        <f>IF(ISBLANK(L1838),"",IF(D1838="Stock",IF(C1838="Buy",L1838*G1838,IF(C1838="Sell",(L1838*G1838)-I1838, X)),IF(C1838="Buy",(L1838*G1838*100)+I1838,IF(C1838="Sell",(L1838*G1838*100)-I1838, X))))</f>
        <v/>
      </c>
      <c r="N1838" s="78">
        <f>IF(ISBLANK(L1838),"",IF(AND(C1838="Sell",D1838="Stock"),M1838,IF(ISBLANK(L1838),"",IF(C1838="Buy",M1838, IF(AND(C1838="Sell",J1838="NA"),(E1838*G1838*100*0.1)+I1838, IF(C1838="Sell",(J1838-L1838)*(100*G1838)+I1838))))))</f>
        <v/>
      </c>
      <c r="O1838" s="75" t="n"/>
      <c r="P1838" s="75" t="n"/>
      <c r="Q1838" s="75">
        <f>IF(ISBLANK(P1838),"",IF(D1838="Stock",P1838*G1838,IF(P1838=0,"0",G1838*P1838*100-(G1838*$AF$14))))</f>
        <v/>
      </c>
      <c r="R1838" s="79">
        <f>IF(P1838&lt;&gt;"", TODAY(), "")</f>
        <v/>
      </c>
      <c r="S1838" s="78">
        <f>IF(AND(K1838&lt;&gt;"", R1838&lt;&gt;""), R1838-K1838, "")</f>
        <v/>
      </c>
      <c r="T1838" s="78" t="n"/>
      <c r="U1838" s="92">
        <f>IF(ISBLANK(P1838),"",IF(C1838="Buy",Q1838-M1838+T1838, IF(C1838="Sell",M1838-Q1838-T1838, X)))</f>
        <v/>
      </c>
      <c r="V1838" s="81">
        <f>IF(ISBLANK(P1838),"",U1838/N1838)</f>
        <v/>
      </c>
      <c r="W1838" s="81">
        <f>IF(ISBLANK(P1838),"",IF(S1838=0,(365/0.5)*V1838,(365/S1838)*V1838))</f>
        <v/>
      </c>
      <c r="X1838" s="75" t="n"/>
      <c r="Y1838" s="77" t="n"/>
      <c r="Z1838" s="77" t="n"/>
      <c r="AA1838" s="75" t="n"/>
      <c r="AB1838" s="75" t="n"/>
      <c r="AC1838" s="6" t="n"/>
      <c r="AD1838" s="75" t="n"/>
      <c r="AE1838" s="75" t="n"/>
      <c r="AF1838" s="75" t="n"/>
    </row>
    <row r="1839" ht="15.75" customHeight="1" s="133">
      <c r="A1839" s="75" t="n"/>
      <c r="B1839" s="75" t="n"/>
      <c r="C1839" s="75" t="n"/>
      <c r="D1839" s="75" t="n"/>
      <c r="E1839" s="76" t="n"/>
      <c r="F1839" s="77" t="n"/>
      <c r="G1839" s="75" t="n"/>
      <c r="H1839" s="75">
        <f>IF(ISBLANK(E1839),"",IF(OR(D1839="Butterfly",D1839="Butterfly ",D1839="Iron Fly", D1839="Iron Fly "),LEN(E1839)-LEN(SUBSTITUTE(E1839,"/",""))+2,LEN(E1839)-LEN(SUBSTITUTE(E1839,"/",""))+1))</f>
        <v/>
      </c>
      <c r="I1839" s="78">
        <f>IF(ISBLANK(G1839),"",IF(D1839="Stock","0",Key!$A$3*H1839*G1839))</f>
        <v/>
      </c>
      <c r="J1839" s="78">
        <f>IF(ISBLANK(E1839),"",IF(ISNUMBER(SEARCH("/",E1839)), IF(LEN(E1839)-LEN(SUBSTITUTE(E1839,"/",""))=1,(RIGHT(E1839,LEN(E1839)-FIND("/",E1839)))-(LEFT(E1839,FIND("/",E1839)-1)),(MID(E1839, SEARCH("/",E1839) + 1, SEARCH("/",E1839, SEARCH("/",E1839)+1) - SEARCH("/",E1839) - 1))-(LEFT(E1839,FIND("/",E1839)-1))), "NA"))</f>
        <v/>
      </c>
      <c r="K1839" s="79">
        <f>IF(A1839&lt;&gt;"", IF(ISBLANK(L1839), TODAY(), K1839), "")</f>
        <v/>
      </c>
      <c r="L1839" s="78" t="n"/>
      <c r="M1839" s="78">
        <f>IF(ISBLANK(L1839),"",IF(D1839="Stock",IF(C1839="Buy",L1839*G1839,IF(C1839="Sell",(L1839*G1839)-I1839, X)),IF(C1839="Buy",(L1839*G1839*100)+I1839,IF(C1839="Sell",(L1839*G1839*100)-I1839, X))))</f>
        <v/>
      </c>
      <c r="N1839" s="78">
        <f>IF(ISBLANK(L1839),"",IF(AND(C1839="Sell",D1839="Stock"),M1839,IF(ISBLANK(L1839),"",IF(C1839="Buy",M1839, IF(AND(C1839="Sell",J1839="NA"),(E1839*G1839*100*0.1)+I1839, IF(C1839="Sell",(J1839-L1839)*(100*G1839)+I1839))))))</f>
        <v/>
      </c>
      <c r="O1839" s="75" t="n"/>
      <c r="P1839" s="75" t="n"/>
      <c r="Q1839" s="75">
        <f>IF(ISBLANK(P1839),"",IF(D1839="Stock",P1839*G1839,IF(P1839=0,"0",G1839*P1839*100-(G1839*$AF$14))))</f>
        <v/>
      </c>
      <c r="R1839" s="79">
        <f>IF(P1839&lt;&gt;"", TODAY(), "")</f>
        <v/>
      </c>
      <c r="S1839" s="78">
        <f>IF(AND(K1839&lt;&gt;"", R1839&lt;&gt;""), R1839-K1839, "")</f>
        <v/>
      </c>
      <c r="T1839" s="78" t="n"/>
      <c r="U1839" s="92">
        <f>IF(ISBLANK(P1839),"",IF(C1839="Buy",Q1839-M1839+T1839, IF(C1839="Sell",M1839-Q1839-T1839, X)))</f>
        <v/>
      </c>
      <c r="V1839" s="81">
        <f>IF(ISBLANK(P1839),"",U1839/N1839)</f>
        <v/>
      </c>
      <c r="W1839" s="81">
        <f>IF(ISBLANK(P1839),"",IF(S1839=0,(365/0.5)*V1839,(365/S1839)*V1839))</f>
        <v/>
      </c>
      <c r="X1839" s="75" t="n"/>
      <c r="Y1839" s="77" t="n"/>
      <c r="Z1839" s="77" t="n"/>
      <c r="AA1839" s="75" t="n"/>
      <c r="AB1839" s="75" t="n"/>
      <c r="AC1839" s="6" t="n"/>
      <c r="AD1839" s="75" t="n"/>
      <c r="AE1839" s="75" t="n"/>
      <c r="AF1839" s="75" t="n"/>
    </row>
    <row r="1840" ht="15.75" customHeight="1" s="133">
      <c r="A1840" s="75" t="n"/>
      <c r="B1840" s="75" t="n"/>
      <c r="C1840" s="75" t="n"/>
      <c r="D1840" s="75" t="n"/>
      <c r="E1840" s="76" t="n"/>
      <c r="F1840" s="77" t="n"/>
      <c r="G1840" s="75" t="n"/>
      <c r="H1840" s="75">
        <f>IF(ISBLANK(E1840),"",IF(OR(D1840="Butterfly",D1840="Butterfly ",D1840="Iron Fly", D1840="Iron Fly "),LEN(E1840)-LEN(SUBSTITUTE(E1840,"/",""))+2,LEN(E1840)-LEN(SUBSTITUTE(E1840,"/",""))+1))</f>
        <v/>
      </c>
      <c r="I1840" s="78">
        <f>IF(ISBLANK(G1840),"",IF(D1840="Stock","0",Key!$A$3*H1840*G1840))</f>
        <v/>
      </c>
      <c r="J1840" s="78">
        <f>IF(ISBLANK(E1840),"",IF(ISNUMBER(SEARCH("/",E1840)), IF(LEN(E1840)-LEN(SUBSTITUTE(E1840,"/",""))=1,(RIGHT(E1840,LEN(E1840)-FIND("/",E1840)))-(LEFT(E1840,FIND("/",E1840)-1)),(MID(E1840, SEARCH("/",E1840) + 1, SEARCH("/",E1840, SEARCH("/",E1840)+1) - SEARCH("/",E1840) - 1))-(LEFT(E1840,FIND("/",E1840)-1))), "NA"))</f>
        <v/>
      </c>
      <c r="K1840" s="79">
        <f>IF(A1840&lt;&gt;"", IF(ISBLANK(L1840), TODAY(), K1840), "")</f>
        <v/>
      </c>
      <c r="L1840" s="78" t="n"/>
      <c r="M1840" s="78">
        <f>IF(ISBLANK(L1840),"",IF(D1840="Stock",IF(C1840="Buy",L1840*G1840,IF(C1840="Sell",(L1840*G1840)-I1840, X)),IF(C1840="Buy",(L1840*G1840*100)+I1840,IF(C1840="Sell",(L1840*G1840*100)-I1840, X))))</f>
        <v/>
      </c>
      <c r="N1840" s="78">
        <f>IF(ISBLANK(L1840),"",IF(AND(C1840="Sell",D1840="Stock"),M1840,IF(ISBLANK(L1840),"",IF(C1840="Buy",M1840, IF(AND(C1840="Sell",J1840="NA"),(E1840*G1840*100*0.1)+I1840, IF(C1840="Sell",(J1840-L1840)*(100*G1840)+I1840))))))</f>
        <v/>
      </c>
      <c r="O1840" s="75" t="n"/>
      <c r="P1840" s="75" t="n"/>
      <c r="Q1840" s="75">
        <f>IF(ISBLANK(P1840),"",IF(D1840="Stock",P1840*G1840,IF(P1840=0,"0",G1840*P1840*100-(G1840*$AF$14))))</f>
        <v/>
      </c>
      <c r="R1840" s="79">
        <f>IF(P1840&lt;&gt;"", TODAY(), "")</f>
        <v/>
      </c>
      <c r="S1840" s="78">
        <f>IF(AND(K1840&lt;&gt;"", R1840&lt;&gt;""), R1840-K1840, "")</f>
        <v/>
      </c>
      <c r="T1840" s="78" t="n"/>
      <c r="U1840" s="92">
        <f>IF(ISBLANK(P1840),"",IF(C1840="Buy",Q1840-M1840+T1840, IF(C1840="Sell",M1840-Q1840-T1840, X)))</f>
        <v/>
      </c>
      <c r="V1840" s="81">
        <f>IF(ISBLANK(P1840),"",U1840/N1840)</f>
        <v/>
      </c>
      <c r="W1840" s="81">
        <f>IF(ISBLANK(P1840),"",IF(S1840=0,(365/0.5)*V1840,(365/S1840)*V1840))</f>
        <v/>
      </c>
      <c r="X1840" s="75" t="n"/>
      <c r="Y1840" s="77" t="n"/>
      <c r="Z1840" s="77" t="n"/>
      <c r="AA1840" s="75" t="n"/>
      <c r="AB1840" s="75" t="n"/>
      <c r="AC1840" s="6" t="n"/>
      <c r="AD1840" s="75" t="n"/>
      <c r="AE1840" s="75" t="n"/>
      <c r="AF1840" s="75" t="n"/>
    </row>
    <row r="1841" ht="15.75" customHeight="1" s="133">
      <c r="A1841" s="75" t="n"/>
      <c r="B1841" s="75" t="n"/>
      <c r="C1841" s="75" t="n"/>
      <c r="D1841" s="75" t="n"/>
      <c r="E1841" s="76" t="n"/>
      <c r="F1841" s="77" t="n"/>
      <c r="G1841" s="75" t="n"/>
      <c r="H1841" s="75">
        <f>IF(ISBLANK(E1841),"",IF(OR(D1841="Butterfly",D1841="Butterfly ",D1841="Iron Fly", D1841="Iron Fly "),LEN(E1841)-LEN(SUBSTITUTE(E1841,"/",""))+2,LEN(E1841)-LEN(SUBSTITUTE(E1841,"/",""))+1))</f>
        <v/>
      </c>
      <c r="I1841" s="78">
        <f>IF(ISBLANK(G1841),"",IF(D1841="Stock","0",Key!$A$3*H1841*G1841))</f>
        <v/>
      </c>
      <c r="J1841" s="78">
        <f>IF(ISBLANK(E1841),"",IF(ISNUMBER(SEARCH("/",E1841)), IF(LEN(E1841)-LEN(SUBSTITUTE(E1841,"/",""))=1,(RIGHT(E1841,LEN(E1841)-FIND("/",E1841)))-(LEFT(E1841,FIND("/",E1841)-1)),(MID(E1841, SEARCH("/",E1841) + 1, SEARCH("/",E1841, SEARCH("/",E1841)+1) - SEARCH("/",E1841) - 1))-(LEFT(E1841,FIND("/",E1841)-1))), "NA"))</f>
        <v/>
      </c>
      <c r="K1841" s="79">
        <f>IF(A1841&lt;&gt;"", IF(ISBLANK(L1841), TODAY(), K1841), "")</f>
        <v/>
      </c>
      <c r="L1841" s="78" t="n"/>
      <c r="M1841" s="78">
        <f>IF(ISBLANK(L1841),"",IF(D1841="Stock",IF(C1841="Buy",L1841*G1841,IF(C1841="Sell",(L1841*G1841)-I1841, X)),IF(C1841="Buy",(L1841*G1841*100)+I1841,IF(C1841="Sell",(L1841*G1841*100)-I1841, X))))</f>
        <v/>
      </c>
      <c r="N1841" s="78">
        <f>IF(ISBLANK(L1841),"",IF(AND(C1841="Sell",D1841="Stock"),M1841,IF(ISBLANK(L1841),"",IF(C1841="Buy",M1841, IF(AND(C1841="Sell",J1841="NA"),(E1841*G1841*100*0.1)+I1841, IF(C1841="Sell",(J1841-L1841)*(100*G1841)+I1841))))))</f>
        <v/>
      </c>
      <c r="O1841" s="75" t="n"/>
      <c r="P1841" s="75" t="n"/>
      <c r="Q1841" s="75">
        <f>IF(ISBLANK(P1841),"",IF(D1841="Stock",P1841*G1841,IF(P1841=0,"0",G1841*P1841*100-(G1841*$AF$14))))</f>
        <v/>
      </c>
      <c r="R1841" s="79">
        <f>IF(P1841&lt;&gt;"", TODAY(), "")</f>
        <v/>
      </c>
      <c r="S1841" s="78">
        <f>IF(AND(K1841&lt;&gt;"", R1841&lt;&gt;""), R1841-K1841, "")</f>
        <v/>
      </c>
      <c r="T1841" s="78" t="n"/>
      <c r="U1841" s="92">
        <f>IF(ISBLANK(P1841),"",IF(C1841="Buy",Q1841-M1841+T1841, IF(C1841="Sell",M1841-Q1841-T1841, X)))</f>
        <v/>
      </c>
      <c r="V1841" s="81">
        <f>IF(ISBLANK(P1841),"",U1841/N1841)</f>
        <v/>
      </c>
      <c r="W1841" s="81">
        <f>IF(ISBLANK(P1841),"",IF(S1841=0,(365/0.5)*V1841,(365/S1841)*V1841))</f>
        <v/>
      </c>
      <c r="X1841" s="75" t="n"/>
      <c r="Y1841" s="77" t="n"/>
      <c r="Z1841" s="77" t="n"/>
      <c r="AA1841" s="75" t="n"/>
      <c r="AB1841" s="75" t="n"/>
      <c r="AC1841" s="6" t="n"/>
      <c r="AD1841" s="75" t="n"/>
      <c r="AE1841" s="75" t="n"/>
      <c r="AF1841" s="75" t="n"/>
    </row>
    <row r="1842" ht="15.75" customHeight="1" s="133">
      <c r="A1842" s="75" t="n"/>
      <c r="B1842" s="75" t="n"/>
      <c r="C1842" s="75" t="n"/>
      <c r="D1842" s="75" t="n"/>
      <c r="E1842" s="76" t="n"/>
      <c r="F1842" s="77" t="n"/>
      <c r="G1842" s="75" t="n"/>
      <c r="H1842" s="75">
        <f>IF(ISBLANK(E1842),"",IF(OR(D1842="Butterfly",D1842="Butterfly ",D1842="Iron Fly", D1842="Iron Fly "),LEN(E1842)-LEN(SUBSTITUTE(E1842,"/",""))+2,LEN(E1842)-LEN(SUBSTITUTE(E1842,"/",""))+1))</f>
        <v/>
      </c>
      <c r="I1842" s="78">
        <f>IF(ISBLANK(G1842),"",IF(D1842="Stock","0",Key!$A$3*H1842*G1842))</f>
        <v/>
      </c>
      <c r="J1842" s="78">
        <f>IF(ISBLANK(E1842),"",IF(ISNUMBER(SEARCH("/",E1842)), IF(LEN(E1842)-LEN(SUBSTITUTE(E1842,"/",""))=1,(RIGHT(E1842,LEN(E1842)-FIND("/",E1842)))-(LEFT(E1842,FIND("/",E1842)-1)),(MID(E1842, SEARCH("/",E1842) + 1, SEARCH("/",E1842, SEARCH("/",E1842)+1) - SEARCH("/",E1842) - 1))-(LEFT(E1842,FIND("/",E1842)-1))), "NA"))</f>
        <v/>
      </c>
      <c r="K1842" s="79">
        <f>IF(A1842&lt;&gt;"", IF(ISBLANK(L1842), TODAY(), K1842), "")</f>
        <v/>
      </c>
      <c r="L1842" s="78" t="n"/>
      <c r="M1842" s="78">
        <f>IF(ISBLANK(L1842),"",IF(D1842="Stock",IF(C1842="Buy",L1842*G1842,IF(C1842="Sell",(L1842*G1842)-I1842, X)),IF(C1842="Buy",(L1842*G1842*100)+I1842,IF(C1842="Sell",(L1842*G1842*100)-I1842, X))))</f>
        <v/>
      </c>
      <c r="N1842" s="78">
        <f>IF(ISBLANK(L1842),"",IF(AND(C1842="Sell",D1842="Stock"),M1842,IF(ISBLANK(L1842),"",IF(C1842="Buy",M1842, IF(AND(C1842="Sell",J1842="NA"),(E1842*G1842*100*0.1)+I1842, IF(C1842="Sell",(J1842-L1842)*(100*G1842)+I1842))))))</f>
        <v/>
      </c>
      <c r="O1842" s="75" t="n"/>
      <c r="P1842" s="75" t="n"/>
      <c r="Q1842" s="75">
        <f>IF(ISBLANK(P1842),"",IF(D1842="Stock",P1842*G1842,IF(P1842=0,"0",G1842*P1842*100-(G1842*$AF$14))))</f>
        <v/>
      </c>
      <c r="R1842" s="79">
        <f>IF(P1842&lt;&gt;"", TODAY(), "")</f>
        <v/>
      </c>
      <c r="S1842" s="78">
        <f>IF(AND(K1842&lt;&gt;"", R1842&lt;&gt;""), R1842-K1842, "")</f>
        <v/>
      </c>
      <c r="T1842" s="78" t="n"/>
      <c r="U1842" s="92">
        <f>IF(ISBLANK(P1842),"",IF(C1842="Buy",Q1842-M1842+T1842, IF(C1842="Sell",M1842-Q1842-T1842, X)))</f>
        <v/>
      </c>
      <c r="V1842" s="81">
        <f>IF(ISBLANK(P1842),"",U1842/N1842)</f>
        <v/>
      </c>
      <c r="W1842" s="81">
        <f>IF(ISBLANK(P1842),"",IF(S1842=0,(365/0.5)*V1842,(365/S1842)*V1842))</f>
        <v/>
      </c>
      <c r="X1842" s="75" t="n"/>
      <c r="Y1842" s="77" t="n"/>
      <c r="Z1842" s="77" t="n"/>
      <c r="AA1842" s="75" t="n"/>
      <c r="AB1842" s="75" t="n"/>
      <c r="AC1842" s="6" t="n"/>
      <c r="AD1842" s="75" t="n"/>
      <c r="AE1842" s="75" t="n"/>
      <c r="AF1842" s="75" t="n"/>
    </row>
    <row r="1843" ht="15.75" customHeight="1" s="133">
      <c r="A1843" s="75" t="n"/>
      <c r="B1843" s="75" t="n"/>
      <c r="C1843" s="75" t="n"/>
      <c r="D1843" s="75" t="n"/>
      <c r="E1843" s="76" t="n"/>
      <c r="F1843" s="77" t="n"/>
      <c r="G1843" s="75" t="n"/>
      <c r="H1843" s="75">
        <f>IF(ISBLANK(E1843),"",IF(OR(D1843="Butterfly",D1843="Butterfly ",D1843="Iron Fly", D1843="Iron Fly "),LEN(E1843)-LEN(SUBSTITUTE(E1843,"/",""))+2,LEN(E1843)-LEN(SUBSTITUTE(E1843,"/",""))+1))</f>
        <v/>
      </c>
      <c r="I1843" s="78">
        <f>IF(ISBLANK(G1843),"",IF(D1843="Stock","0",Key!$A$3*H1843*G1843))</f>
        <v/>
      </c>
      <c r="J1843" s="78">
        <f>IF(ISBLANK(E1843),"",IF(ISNUMBER(SEARCH("/",E1843)), IF(LEN(E1843)-LEN(SUBSTITUTE(E1843,"/",""))=1,(RIGHT(E1843,LEN(E1843)-FIND("/",E1843)))-(LEFT(E1843,FIND("/",E1843)-1)),(MID(E1843, SEARCH("/",E1843) + 1, SEARCH("/",E1843, SEARCH("/",E1843)+1) - SEARCH("/",E1843) - 1))-(LEFT(E1843,FIND("/",E1843)-1))), "NA"))</f>
        <v/>
      </c>
      <c r="K1843" s="79">
        <f>IF(A1843&lt;&gt;"", IF(ISBLANK(L1843), TODAY(), K1843), "")</f>
        <v/>
      </c>
      <c r="L1843" s="78" t="n"/>
      <c r="M1843" s="78">
        <f>IF(ISBLANK(L1843),"",IF(D1843="Stock",IF(C1843="Buy",L1843*G1843,IF(C1843="Sell",(L1843*G1843)-I1843, X)),IF(C1843="Buy",(L1843*G1843*100)+I1843,IF(C1843="Sell",(L1843*G1843*100)-I1843, X))))</f>
        <v/>
      </c>
      <c r="N1843" s="78">
        <f>IF(ISBLANK(L1843),"",IF(AND(C1843="Sell",D1843="Stock"),M1843,IF(ISBLANK(L1843),"",IF(C1843="Buy",M1843, IF(AND(C1843="Sell",J1843="NA"),(E1843*G1843*100*0.1)+I1843, IF(C1843="Sell",(J1843-L1843)*(100*G1843)+I1843))))))</f>
        <v/>
      </c>
      <c r="O1843" s="75" t="n"/>
      <c r="P1843" s="75" t="n"/>
      <c r="Q1843" s="75">
        <f>IF(ISBLANK(P1843),"",IF(D1843="Stock",P1843*G1843,IF(P1843=0,"0",G1843*P1843*100-(G1843*$AF$14))))</f>
        <v/>
      </c>
      <c r="R1843" s="79">
        <f>IF(P1843&lt;&gt;"", TODAY(), "")</f>
        <v/>
      </c>
      <c r="S1843" s="78">
        <f>IF(AND(K1843&lt;&gt;"", R1843&lt;&gt;""), R1843-K1843, "")</f>
        <v/>
      </c>
      <c r="T1843" s="78" t="n"/>
      <c r="U1843" s="92">
        <f>IF(ISBLANK(P1843),"",IF(C1843="Buy",Q1843-M1843+T1843, IF(C1843="Sell",M1843-Q1843-T1843, X)))</f>
        <v/>
      </c>
      <c r="V1843" s="81">
        <f>IF(ISBLANK(P1843),"",U1843/N1843)</f>
        <v/>
      </c>
      <c r="W1843" s="81">
        <f>IF(ISBLANK(P1843),"",IF(S1843=0,(365/0.5)*V1843,(365/S1843)*V1843))</f>
        <v/>
      </c>
      <c r="X1843" s="75" t="n"/>
      <c r="Y1843" s="77" t="n"/>
      <c r="Z1843" s="77" t="n"/>
      <c r="AA1843" s="75" t="n"/>
      <c r="AB1843" s="75" t="n"/>
      <c r="AC1843" s="6" t="n"/>
      <c r="AD1843" s="75" t="n"/>
      <c r="AE1843" s="75" t="n"/>
      <c r="AF1843" s="75" t="n"/>
    </row>
    <row r="1844" ht="15.75" customHeight="1" s="133">
      <c r="A1844" s="75" t="n"/>
      <c r="B1844" s="75" t="n"/>
      <c r="C1844" s="75" t="n"/>
      <c r="D1844" s="75" t="n"/>
      <c r="E1844" s="76" t="n"/>
      <c r="F1844" s="77" t="n"/>
      <c r="G1844" s="75" t="n"/>
      <c r="H1844" s="75">
        <f>IF(ISBLANK(E1844),"",IF(OR(D1844="Butterfly",D1844="Butterfly ",D1844="Iron Fly", D1844="Iron Fly "),LEN(E1844)-LEN(SUBSTITUTE(E1844,"/",""))+2,LEN(E1844)-LEN(SUBSTITUTE(E1844,"/",""))+1))</f>
        <v/>
      </c>
      <c r="I1844" s="78">
        <f>IF(ISBLANK(G1844),"",IF(D1844="Stock","0",Key!$A$3*H1844*G1844))</f>
        <v/>
      </c>
      <c r="J1844" s="78">
        <f>IF(ISBLANK(E1844),"",IF(ISNUMBER(SEARCH("/",E1844)), IF(LEN(E1844)-LEN(SUBSTITUTE(E1844,"/",""))=1,(RIGHT(E1844,LEN(E1844)-FIND("/",E1844)))-(LEFT(E1844,FIND("/",E1844)-1)),(MID(E1844, SEARCH("/",E1844) + 1, SEARCH("/",E1844, SEARCH("/",E1844)+1) - SEARCH("/",E1844) - 1))-(LEFT(E1844,FIND("/",E1844)-1))), "NA"))</f>
        <v/>
      </c>
      <c r="K1844" s="79">
        <f>IF(A1844&lt;&gt;"", IF(ISBLANK(L1844), TODAY(), K1844), "")</f>
        <v/>
      </c>
      <c r="L1844" s="78" t="n"/>
      <c r="M1844" s="78">
        <f>IF(ISBLANK(L1844),"",IF(D1844="Stock",IF(C1844="Buy",L1844*G1844,IF(C1844="Sell",(L1844*G1844)-I1844, X)),IF(C1844="Buy",(L1844*G1844*100)+I1844,IF(C1844="Sell",(L1844*G1844*100)-I1844, X))))</f>
        <v/>
      </c>
      <c r="N1844" s="78">
        <f>IF(ISBLANK(L1844),"",IF(AND(C1844="Sell",D1844="Stock"),M1844,IF(ISBLANK(L1844),"",IF(C1844="Buy",M1844, IF(AND(C1844="Sell",J1844="NA"),(E1844*G1844*100*0.1)+I1844, IF(C1844="Sell",(J1844-L1844)*(100*G1844)+I1844))))))</f>
        <v/>
      </c>
      <c r="O1844" s="75" t="n"/>
      <c r="P1844" s="75" t="n"/>
      <c r="Q1844" s="75">
        <f>IF(ISBLANK(P1844),"",IF(D1844="Stock",P1844*G1844,IF(P1844=0,"0",G1844*P1844*100-(G1844*$AF$14))))</f>
        <v/>
      </c>
      <c r="R1844" s="79">
        <f>IF(P1844&lt;&gt;"", TODAY(), "")</f>
        <v/>
      </c>
      <c r="S1844" s="78">
        <f>IF(AND(K1844&lt;&gt;"", R1844&lt;&gt;""), R1844-K1844, "")</f>
        <v/>
      </c>
      <c r="T1844" s="78" t="n"/>
      <c r="U1844" s="92">
        <f>IF(ISBLANK(P1844),"",IF(C1844="Buy",Q1844-M1844+T1844, IF(C1844="Sell",M1844-Q1844-T1844, X)))</f>
        <v/>
      </c>
      <c r="V1844" s="81">
        <f>IF(ISBLANK(P1844),"",U1844/N1844)</f>
        <v/>
      </c>
      <c r="W1844" s="81">
        <f>IF(ISBLANK(P1844),"",IF(S1844=0,(365/0.5)*V1844,(365/S1844)*V1844))</f>
        <v/>
      </c>
      <c r="X1844" s="75" t="n"/>
      <c r="Y1844" s="77" t="n"/>
      <c r="Z1844" s="77" t="n"/>
      <c r="AA1844" s="75" t="n"/>
      <c r="AB1844" s="75" t="n"/>
      <c r="AC1844" s="6" t="n"/>
      <c r="AD1844" s="75" t="n"/>
      <c r="AE1844" s="75" t="n"/>
      <c r="AF1844" s="75" t="n"/>
    </row>
    <row r="1845" ht="15.75" customHeight="1" s="133">
      <c r="A1845" s="75" t="n"/>
      <c r="B1845" s="75" t="n"/>
      <c r="C1845" s="75" t="n"/>
      <c r="D1845" s="75" t="n"/>
      <c r="E1845" s="76" t="n"/>
      <c r="F1845" s="77" t="n"/>
      <c r="G1845" s="75" t="n"/>
      <c r="H1845" s="75">
        <f>IF(ISBLANK(E1845),"",IF(OR(D1845="Butterfly",D1845="Butterfly ",D1845="Iron Fly", D1845="Iron Fly "),LEN(E1845)-LEN(SUBSTITUTE(E1845,"/",""))+2,LEN(E1845)-LEN(SUBSTITUTE(E1845,"/",""))+1))</f>
        <v/>
      </c>
      <c r="I1845" s="78">
        <f>IF(ISBLANK(G1845),"",IF(D1845="Stock","0",Key!$A$3*H1845*G1845))</f>
        <v/>
      </c>
      <c r="J1845" s="78">
        <f>IF(ISBLANK(E1845),"",IF(ISNUMBER(SEARCH("/",E1845)), IF(LEN(E1845)-LEN(SUBSTITUTE(E1845,"/",""))=1,(RIGHT(E1845,LEN(E1845)-FIND("/",E1845)))-(LEFT(E1845,FIND("/",E1845)-1)),(MID(E1845, SEARCH("/",E1845) + 1, SEARCH("/",E1845, SEARCH("/",E1845)+1) - SEARCH("/",E1845) - 1))-(LEFT(E1845,FIND("/",E1845)-1))), "NA"))</f>
        <v/>
      </c>
      <c r="K1845" s="79">
        <f>IF(A1845&lt;&gt;"", IF(ISBLANK(L1845), TODAY(), K1845), "")</f>
        <v/>
      </c>
      <c r="L1845" s="78" t="n"/>
      <c r="M1845" s="78">
        <f>IF(ISBLANK(L1845),"",IF(D1845="Stock",IF(C1845="Buy",L1845*G1845,IF(C1845="Sell",(L1845*G1845)-I1845, X)),IF(C1845="Buy",(L1845*G1845*100)+I1845,IF(C1845="Sell",(L1845*G1845*100)-I1845, X))))</f>
        <v/>
      </c>
      <c r="N1845" s="78">
        <f>IF(ISBLANK(L1845),"",IF(AND(C1845="Sell",D1845="Stock"),M1845,IF(ISBLANK(L1845),"",IF(C1845="Buy",M1845, IF(AND(C1845="Sell",J1845="NA"),(E1845*G1845*100*0.1)+I1845, IF(C1845="Sell",(J1845-L1845)*(100*G1845)+I1845))))))</f>
        <v/>
      </c>
      <c r="O1845" s="75" t="n"/>
      <c r="P1845" s="75" t="n"/>
      <c r="Q1845" s="75">
        <f>IF(ISBLANK(P1845),"",IF(D1845="Stock",P1845*G1845,IF(P1845=0,"0",G1845*P1845*100-(G1845*$AF$14))))</f>
        <v/>
      </c>
      <c r="R1845" s="79">
        <f>IF(P1845&lt;&gt;"", TODAY(), "")</f>
        <v/>
      </c>
      <c r="S1845" s="78">
        <f>IF(AND(K1845&lt;&gt;"", R1845&lt;&gt;""), R1845-K1845, "")</f>
        <v/>
      </c>
      <c r="T1845" s="78" t="n"/>
      <c r="U1845" s="92">
        <f>IF(ISBLANK(P1845),"",IF(C1845="Buy",Q1845-M1845+T1845, IF(C1845="Sell",M1845-Q1845-T1845, X)))</f>
        <v/>
      </c>
      <c r="V1845" s="81">
        <f>IF(ISBLANK(P1845),"",U1845/N1845)</f>
        <v/>
      </c>
      <c r="W1845" s="81">
        <f>IF(ISBLANK(P1845),"",IF(S1845=0,(365/0.5)*V1845,(365/S1845)*V1845))</f>
        <v/>
      </c>
      <c r="X1845" s="75" t="n"/>
      <c r="Y1845" s="77" t="n"/>
      <c r="Z1845" s="77" t="n"/>
      <c r="AA1845" s="75" t="n"/>
      <c r="AB1845" s="75" t="n"/>
      <c r="AC1845" s="6" t="n"/>
      <c r="AD1845" s="75" t="n"/>
      <c r="AE1845" s="75" t="n"/>
      <c r="AF1845" s="75" t="n"/>
    </row>
    <row r="1846" ht="15.75" customHeight="1" s="133">
      <c r="A1846" s="75" t="n"/>
      <c r="B1846" s="75" t="n"/>
      <c r="C1846" s="75" t="n"/>
      <c r="D1846" s="75" t="n"/>
      <c r="E1846" s="76" t="n"/>
      <c r="F1846" s="77" t="n"/>
      <c r="G1846" s="75" t="n"/>
      <c r="H1846" s="75">
        <f>IF(ISBLANK(E1846),"",IF(OR(D1846="Butterfly",D1846="Butterfly ",D1846="Iron Fly", D1846="Iron Fly "),LEN(E1846)-LEN(SUBSTITUTE(E1846,"/",""))+2,LEN(E1846)-LEN(SUBSTITUTE(E1846,"/",""))+1))</f>
        <v/>
      </c>
      <c r="I1846" s="78">
        <f>IF(ISBLANK(G1846),"",IF(D1846="Stock","0",Key!$A$3*H1846*G1846))</f>
        <v/>
      </c>
      <c r="J1846" s="78">
        <f>IF(ISBLANK(E1846),"",IF(ISNUMBER(SEARCH("/",E1846)), IF(LEN(E1846)-LEN(SUBSTITUTE(E1846,"/",""))=1,(RIGHT(E1846,LEN(E1846)-FIND("/",E1846)))-(LEFT(E1846,FIND("/",E1846)-1)),(MID(E1846, SEARCH("/",E1846) + 1, SEARCH("/",E1846, SEARCH("/",E1846)+1) - SEARCH("/",E1846) - 1))-(LEFT(E1846,FIND("/",E1846)-1))), "NA"))</f>
        <v/>
      </c>
      <c r="K1846" s="79">
        <f>IF(A1846&lt;&gt;"", IF(ISBLANK(L1846), TODAY(), K1846), "")</f>
        <v/>
      </c>
      <c r="L1846" s="78" t="n"/>
      <c r="M1846" s="78">
        <f>IF(ISBLANK(L1846),"",IF(D1846="Stock",IF(C1846="Buy",L1846*G1846,IF(C1846="Sell",(L1846*G1846)-I1846, X)),IF(C1846="Buy",(L1846*G1846*100)+I1846,IF(C1846="Sell",(L1846*G1846*100)-I1846, X))))</f>
        <v/>
      </c>
      <c r="N1846" s="78">
        <f>IF(ISBLANK(L1846),"",IF(AND(C1846="Sell",D1846="Stock"),M1846,IF(ISBLANK(L1846),"",IF(C1846="Buy",M1846, IF(AND(C1846="Sell",J1846="NA"),(E1846*G1846*100*0.1)+I1846, IF(C1846="Sell",(J1846-L1846)*(100*G1846)+I1846))))))</f>
        <v/>
      </c>
      <c r="O1846" s="75" t="n"/>
      <c r="P1846" s="75" t="n"/>
      <c r="Q1846" s="75">
        <f>IF(ISBLANK(P1846),"",IF(D1846="Stock",P1846*G1846,IF(P1846=0,"0",G1846*P1846*100-(G1846*$AF$14))))</f>
        <v/>
      </c>
      <c r="R1846" s="79">
        <f>IF(P1846&lt;&gt;"", TODAY(), "")</f>
        <v/>
      </c>
      <c r="S1846" s="78">
        <f>IF(AND(K1846&lt;&gt;"", R1846&lt;&gt;""), R1846-K1846, "")</f>
        <v/>
      </c>
      <c r="T1846" s="78" t="n"/>
      <c r="U1846" s="92">
        <f>IF(ISBLANK(P1846),"",IF(C1846="Buy",Q1846-M1846+T1846, IF(C1846="Sell",M1846-Q1846-T1846, X)))</f>
        <v/>
      </c>
      <c r="V1846" s="81">
        <f>IF(ISBLANK(P1846),"",U1846/N1846)</f>
        <v/>
      </c>
      <c r="W1846" s="81">
        <f>IF(ISBLANK(P1846),"",IF(S1846=0,(365/0.5)*V1846,(365/S1846)*V1846))</f>
        <v/>
      </c>
      <c r="X1846" s="75" t="n"/>
      <c r="Y1846" s="77" t="n"/>
      <c r="Z1846" s="77" t="n"/>
      <c r="AA1846" s="75" t="n"/>
      <c r="AB1846" s="75" t="n"/>
      <c r="AC1846" s="6" t="n"/>
      <c r="AD1846" s="75" t="n"/>
      <c r="AE1846" s="75" t="n"/>
      <c r="AF1846" s="75" t="n"/>
    </row>
    <row r="1847" ht="15.75" customHeight="1" s="133">
      <c r="A1847" s="75" t="n"/>
      <c r="B1847" s="75" t="n"/>
      <c r="C1847" s="75" t="n"/>
      <c r="D1847" s="75" t="n"/>
      <c r="E1847" s="76" t="n"/>
      <c r="F1847" s="77" t="n"/>
      <c r="G1847" s="75" t="n"/>
      <c r="H1847" s="75">
        <f>IF(ISBLANK(E1847),"",IF(OR(D1847="Butterfly",D1847="Butterfly ",D1847="Iron Fly", D1847="Iron Fly "),LEN(E1847)-LEN(SUBSTITUTE(E1847,"/",""))+2,LEN(E1847)-LEN(SUBSTITUTE(E1847,"/",""))+1))</f>
        <v/>
      </c>
      <c r="I1847" s="78">
        <f>IF(ISBLANK(G1847),"",IF(D1847="Stock","0",Key!$A$3*H1847*G1847))</f>
        <v/>
      </c>
      <c r="J1847" s="78">
        <f>IF(ISBLANK(E1847),"",IF(ISNUMBER(SEARCH("/",E1847)), IF(LEN(E1847)-LEN(SUBSTITUTE(E1847,"/",""))=1,(RIGHT(E1847,LEN(E1847)-FIND("/",E1847)))-(LEFT(E1847,FIND("/",E1847)-1)),(MID(E1847, SEARCH("/",E1847) + 1, SEARCH("/",E1847, SEARCH("/",E1847)+1) - SEARCH("/",E1847) - 1))-(LEFT(E1847,FIND("/",E1847)-1))), "NA"))</f>
        <v/>
      </c>
      <c r="K1847" s="79">
        <f>IF(A1847&lt;&gt;"", IF(ISBLANK(L1847), TODAY(), K1847), "")</f>
        <v/>
      </c>
      <c r="L1847" s="78" t="n"/>
      <c r="M1847" s="78">
        <f>IF(ISBLANK(L1847),"",IF(D1847="Stock",IF(C1847="Buy",L1847*G1847,IF(C1847="Sell",(L1847*G1847)-I1847, X)),IF(C1847="Buy",(L1847*G1847*100)+I1847,IF(C1847="Sell",(L1847*G1847*100)-I1847, X))))</f>
        <v/>
      </c>
      <c r="N1847" s="78">
        <f>IF(ISBLANK(L1847),"",IF(AND(C1847="Sell",D1847="Stock"),M1847,IF(ISBLANK(L1847),"",IF(C1847="Buy",M1847, IF(AND(C1847="Sell",J1847="NA"),(E1847*G1847*100*0.1)+I1847, IF(C1847="Sell",(J1847-L1847)*(100*G1847)+I1847))))))</f>
        <v/>
      </c>
      <c r="O1847" s="75" t="n"/>
      <c r="P1847" s="75" t="n"/>
      <c r="Q1847" s="75">
        <f>IF(ISBLANK(P1847),"",IF(D1847="Stock",P1847*G1847,IF(P1847=0,"0",G1847*P1847*100-(G1847*$AF$14))))</f>
        <v/>
      </c>
      <c r="R1847" s="79">
        <f>IF(P1847&lt;&gt;"", TODAY(), "")</f>
        <v/>
      </c>
      <c r="S1847" s="78">
        <f>IF(AND(K1847&lt;&gt;"", R1847&lt;&gt;""), R1847-K1847, "")</f>
        <v/>
      </c>
      <c r="T1847" s="78" t="n"/>
      <c r="U1847" s="92">
        <f>IF(ISBLANK(P1847),"",IF(C1847="Buy",Q1847-M1847+T1847, IF(C1847="Sell",M1847-Q1847-T1847, X)))</f>
        <v/>
      </c>
      <c r="V1847" s="81">
        <f>IF(ISBLANK(P1847),"",U1847/N1847)</f>
        <v/>
      </c>
      <c r="W1847" s="81">
        <f>IF(ISBLANK(P1847),"",IF(S1847=0,(365/0.5)*V1847,(365/S1847)*V1847))</f>
        <v/>
      </c>
      <c r="X1847" s="75" t="n"/>
      <c r="Y1847" s="77" t="n"/>
      <c r="Z1847" s="77" t="n"/>
      <c r="AA1847" s="75" t="n"/>
      <c r="AB1847" s="75" t="n"/>
      <c r="AC1847" s="6" t="n"/>
      <c r="AD1847" s="75" t="n"/>
      <c r="AE1847" s="75" t="n"/>
      <c r="AF1847" s="75" t="n"/>
    </row>
    <row r="1848" ht="15.75" customHeight="1" s="133">
      <c r="A1848" s="75" t="n"/>
      <c r="B1848" s="75" t="n"/>
      <c r="C1848" s="75" t="n"/>
      <c r="D1848" s="75" t="n"/>
      <c r="E1848" s="76" t="n"/>
      <c r="F1848" s="77" t="n"/>
      <c r="G1848" s="75" t="n"/>
      <c r="H1848" s="75">
        <f>IF(ISBLANK(E1848),"",IF(OR(D1848="Butterfly",D1848="Butterfly ",D1848="Iron Fly", D1848="Iron Fly "),LEN(E1848)-LEN(SUBSTITUTE(E1848,"/",""))+2,LEN(E1848)-LEN(SUBSTITUTE(E1848,"/",""))+1))</f>
        <v/>
      </c>
      <c r="I1848" s="78">
        <f>IF(ISBLANK(G1848),"",IF(D1848="Stock","0",Key!$A$3*H1848*G1848))</f>
        <v/>
      </c>
      <c r="J1848" s="78">
        <f>IF(ISBLANK(E1848),"",IF(ISNUMBER(SEARCH("/",E1848)), IF(LEN(E1848)-LEN(SUBSTITUTE(E1848,"/",""))=1,(RIGHT(E1848,LEN(E1848)-FIND("/",E1848)))-(LEFT(E1848,FIND("/",E1848)-1)),(MID(E1848, SEARCH("/",E1848) + 1, SEARCH("/",E1848, SEARCH("/",E1848)+1) - SEARCH("/",E1848) - 1))-(LEFT(E1848,FIND("/",E1848)-1))), "NA"))</f>
        <v/>
      </c>
      <c r="K1848" s="79">
        <f>IF(A1848&lt;&gt;"", IF(ISBLANK(L1848), TODAY(), K1848), "")</f>
        <v/>
      </c>
      <c r="L1848" s="78" t="n"/>
      <c r="M1848" s="78">
        <f>IF(ISBLANK(L1848),"",IF(D1848="Stock",IF(C1848="Buy",L1848*G1848,IF(C1848="Sell",(L1848*G1848)-I1848, X)),IF(C1848="Buy",(L1848*G1848*100)+I1848,IF(C1848="Sell",(L1848*G1848*100)-I1848, X))))</f>
        <v/>
      </c>
      <c r="N1848" s="78">
        <f>IF(ISBLANK(L1848),"",IF(AND(C1848="Sell",D1848="Stock"),M1848,IF(ISBLANK(L1848),"",IF(C1848="Buy",M1848, IF(AND(C1848="Sell",J1848="NA"),(E1848*G1848*100*0.1)+I1848, IF(C1848="Sell",(J1848-L1848)*(100*G1848)+I1848))))))</f>
        <v/>
      </c>
      <c r="O1848" s="75" t="n"/>
      <c r="P1848" s="75" t="n"/>
      <c r="Q1848" s="75">
        <f>IF(ISBLANK(P1848),"",IF(D1848="Stock",P1848*G1848,IF(P1848=0,"0",G1848*P1848*100-(G1848*$AF$14))))</f>
        <v/>
      </c>
      <c r="R1848" s="79">
        <f>IF(P1848&lt;&gt;"", TODAY(), "")</f>
        <v/>
      </c>
      <c r="S1848" s="78">
        <f>IF(AND(K1848&lt;&gt;"", R1848&lt;&gt;""), R1848-K1848, "")</f>
        <v/>
      </c>
      <c r="T1848" s="78" t="n"/>
      <c r="U1848" s="92">
        <f>IF(ISBLANK(P1848),"",IF(C1848="Buy",Q1848-M1848+T1848, IF(C1848="Sell",M1848-Q1848-T1848, X)))</f>
        <v/>
      </c>
      <c r="V1848" s="81">
        <f>IF(ISBLANK(P1848),"",U1848/N1848)</f>
        <v/>
      </c>
      <c r="W1848" s="81">
        <f>IF(ISBLANK(P1848),"",IF(S1848=0,(365/0.5)*V1848,(365/S1848)*V1848))</f>
        <v/>
      </c>
      <c r="X1848" s="75" t="n"/>
      <c r="Y1848" s="77" t="n"/>
      <c r="Z1848" s="77" t="n"/>
      <c r="AA1848" s="75" t="n"/>
      <c r="AB1848" s="75" t="n"/>
      <c r="AC1848" s="6" t="n"/>
      <c r="AD1848" s="75" t="n"/>
      <c r="AE1848" s="75" t="n"/>
      <c r="AF1848" s="75" t="n"/>
    </row>
    <row r="1849" ht="15.75" customHeight="1" s="133">
      <c r="A1849" s="75" t="n"/>
      <c r="B1849" s="75" t="n"/>
      <c r="C1849" s="75" t="n"/>
      <c r="D1849" s="75" t="n"/>
      <c r="E1849" s="76" t="n"/>
      <c r="F1849" s="77" t="n"/>
      <c r="G1849" s="75" t="n"/>
      <c r="H1849" s="75">
        <f>IF(ISBLANK(E1849),"",IF(OR(D1849="Butterfly",D1849="Butterfly ",D1849="Iron Fly", D1849="Iron Fly "),LEN(E1849)-LEN(SUBSTITUTE(E1849,"/",""))+2,LEN(E1849)-LEN(SUBSTITUTE(E1849,"/",""))+1))</f>
        <v/>
      </c>
      <c r="I1849" s="78">
        <f>IF(ISBLANK(G1849),"",IF(D1849="Stock","0",Key!$A$3*H1849*G1849))</f>
        <v/>
      </c>
      <c r="J1849" s="78">
        <f>IF(ISBLANK(E1849),"",IF(ISNUMBER(SEARCH("/",E1849)), IF(LEN(E1849)-LEN(SUBSTITUTE(E1849,"/",""))=1,(RIGHT(E1849,LEN(E1849)-FIND("/",E1849)))-(LEFT(E1849,FIND("/",E1849)-1)),(MID(E1849, SEARCH("/",E1849) + 1, SEARCH("/",E1849, SEARCH("/",E1849)+1) - SEARCH("/",E1849) - 1))-(LEFT(E1849,FIND("/",E1849)-1))), "NA"))</f>
        <v/>
      </c>
      <c r="K1849" s="79">
        <f>IF(A1849&lt;&gt;"", IF(ISBLANK(L1849), TODAY(), K1849), "")</f>
        <v/>
      </c>
      <c r="L1849" s="78" t="n"/>
      <c r="M1849" s="78">
        <f>IF(ISBLANK(L1849),"",IF(D1849="Stock",IF(C1849="Buy",L1849*G1849,IF(C1849="Sell",(L1849*G1849)-I1849, X)),IF(C1849="Buy",(L1849*G1849*100)+I1849,IF(C1849="Sell",(L1849*G1849*100)-I1849, X))))</f>
        <v/>
      </c>
      <c r="N1849" s="78">
        <f>IF(ISBLANK(L1849),"",IF(AND(C1849="Sell",D1849="Stock"),M1849,IF(ISBLANK(L1849),"",IF(C1849="Buy",M1849, IF(AND(C1849="Sell",J1849="NA"),(E1849*G1849*100*0.1)+I1849, IF(C1849="Sell",(J1849-L1849)*(100*G1849)+I1849))))))</f>
        <v/>
      </c>
      <c r="O1849" s="75" t="n"/>
      <c r="P1849" s="75" t="n"/>
      <c r="Q1849" s="75">
        <f>IF(ISBLANK(P1849),"",IF(D1849="Stock",P1849*G1849,IF(P1849=0,"0",G1849*P1849*100-(G1849*$AF$14))))</f>
        <v/>
      </c>
      <c r="R1849" s="79">
        <f>IF(P1849&lt;&gt;"", TODAY(), "")</f>
        <v/>
      </c>
      <c r="S1849" s="78">
        <f>IF(AND(K1849&lt;&gt;"", R1849&lt;&gt;""), R1849-K1849, "")</f>
        <v/>
      </c>
      <c r="T1849" s="78" t="n"/>
      <c r="U1849" s="92">
        <f>IF(ISBLANK(P1849),"",IF(C1849="Buy",Q1849-M1849+T1849, IF(C1849="Sell",M1849-Q1849-T1849, X)))</f>
        <v/>
      </c>
      <c r="V1849" s="81">
        <f>IF(ISBLANK(P1849),"",U1849/N1849)</f>
        <v/>
      </c>
      <c r="W1849" s="81">
        <f>IF(ISBLANK(P1849),"",IF(S1849=0,(365/0.5)*V1849,(365/S1849)*V1849))</f>
        <v/>
      </c>
      <c r="X1849" s="75" t="n"/>
      <c r="Y1849" s="77" t="n"/>
      <c r="Z1849" s="77" t="n"/>
      <c r="AA1849" s="75" t="n"/>
      <c r="AB1849" s="75" t="n"/>
      <c r="AC1849" s="6" t="n"/>
      <c r="AD1849" s="75" t="n"/>
      <c r="AE1849" s="75" t="n"/>
      <c r="AF1849" s="75" t="n"/>
    </row>
    <row r="1850" ht="15.75" customHeight="1" s="133">
      <c r="A1850" s="75" t="n"/>
      <c r="B1850" s="75" t="n"/>
      <c r="C1850" s="75" t="n"/>
      <c r="D1850" s="75" t="n"/>
      <c r="E1850" s="76" t="n"/>
      <c r="F1850" s="77" t="n"/>
      <c r="G1850" s="75" t="n"/>
      <c r="H1850" s="75">
        <f>IF(ISBLANK(E1850),"",IF(OR(D1850="Butterfly",D1850="Butterfly ",D1850="Iron Fly", D1850="Iron Fly "),LEN(E1850)-LEN(SUBSTITUTE(E1850,"/",""))+2,LEN(E1850)-LEN(SUBSTITUTE(E1850,"/",""))+1))</f>
        <v/>
      </c>
      <c r="I1850" s="78">
        <f>IF(ISBLANK(G1850),"",IF(D1850="Stock","0",Key!$A$3*H1850*G1850))</f>
        <v/>
      </c>
      <c r="J1850" s="78">
        <f>IF(ISBLANK(E1850),"",IF(ISNUMBER(SEARCH("/",E1850)), IF(LEN(E1850)-LEN(SUBSTITUTE(E1850,"/",""))=1,(RIGHT(E1850,LEN(E1850)-FIND("/",E1850)))-(LEFT(E1850,FIND("/",E1850)-1)),(MID(E1850, SEARCH("/",E1850) + 1, SEARCH("/",E1850, SEARCH("/",E1850)+1) - SEARCH("/",E1850) - 1))-(LEFT(E1850,FIND("/",E1850)-1))), "NA"))</f>
        <v/>
      </c>
      <c r="K1850" s="79">
        <f>IF(A1850&lt;&gt;"", IF(ISBLANK(L1850), TODAY(), K1850), "")</f>
        <v/>
      </c>
      <c r="L1850" s="78" t="n"/>
      <c r="M1850" s="78">
        <f>IF(ISBLANK(L1850),"",IF(D1850="Stock",IF(C1850="Buy",L1850*G1850,IF(C1850="Sell",(L1850*G1850)-I1850, X)),IF(C1850="Buy",(L1850*G1850*100)+I1850,IF(C1850="Sell",(L1850*G1850*100)-I1850, X))))</f>
        <v/>
      </c>
      <c r="N1850" s="78">
        <f>IF(ISBLANK(L1850),"",IF(AND(C1850="Sell",D1850="Stock"),M1850,IF(ISBLANK(L1850),"",IF(C1850="Buy",M1850, IF(AND(C1850="Sell",J1850="NA"),(E1850*G1850*100*0.1)+I1850, IF(C1850="Sell",(J1850-L1850)*(100*G1850)+I1850))))))</f>
        <v/>
      </c>
      <c r="O1850" s="75" t="n"/>
      <c r="P1850" s="75" t="n"/>
      <c r="Q1850" s="75">
        <f>IF(ISBLANK(P1850),"",IF(D1850="Stock",P1850*G1850,IF(P1850=0,"0",G1850*P1850*100-(G1850*$AF$14))))</f>
        <v/>
      </c>
      <c r="R1850" s="79">
        <f>IF(P1850&lt;&gt;"", TODAY(), "")</f>
        <v/>
      </c>
      <c r="S1850" s="78">
        <f>IF(AND(K1850&lt;&gt;"", R1850&lt;&gt;""), R1850-K1850, "")</f>
        <v/>
      </c>
      <c r="T1850" s="78" t="n"/>
      <c r="U1850" s="92">
        <f>IF(ISBLANK(P1850),"",IF(C1850="Buy",Q1850-M1850+T1850, IF(C1850="Sell",M1850-Q1850-T1850, X)))</f>
        <v/>
      </c>
      <c r="V1850" s="81">
        <f>IF(ISBLANK(P1850),"",U1850/N1850)</f>
        <v/>
      </c>
      <c r="W1850" s="81">
        <f>IF(ISBLANK(P1850),"",IF(S1850=0,(365/0.5)*V1850,(365/S1850)*V1850))</f>
        <v/>
      </c>
      <c r="X1850" s="75" t="n"/>
      <c r="Y1850" s="77" t="n"/>
      <c r="Z1850" s="77" t="n"/>
      <c r="AA1850" s="75" t="n"/>
      <c r="AB1850" s="75" t="n"/>
      <c r="AC1850" s="6" t="n"/>
      <c r="AD1850" s="75" t="n"/>
      <c r="AE1850" s="75" t="n"/>
      <c r="AF1850" s="75" t="n"/>
    </row>
    <row r="1851" ht="15.75" customHeight="1" s="133">
      <c r="A1851" s="75" t="n"/>
      <c r="B1851" s="75" t="n"/>
      <c r="C1851" s="75" t="n"/>
      <c r="D1851" s="75" t="n"/>
      <c r="E1851" s="76" t="n"/>
      <c r="F1851" s="77" t="n"/>
      <c r="G1851" s="75" t="n"/>
      <c r="H1851" s="75">
        <f>IF(ISBLANK(E1851),"",IF(OR(D1851="Butterfly",D1851="Butterfly ",D1851="Iron Fly", D1851="Iron Fly "),LEN(E1851)-LEN(SUBSTITUTE(E1851,"/",""))+2,LEN(E1851)-LEN(SUBSTITUTE(E1851,"/",""))+1))</f>
        <v/>
      </c>
      <c r="I1851" s="78">
        <f>IF(ISBLANK(G1851),"",IF(D1851="Stock","0",Key!$A$3*H1851*G1851))</f>
        <v/>
      </c>
      <c r="J1851" s="78">
        <f>IF(ISBLANK(E1851),"",IF(ISNUMBER(SEARCH("/",E1851)), IF(LEN(E1851)-LEN(SUBSTITUTE(E1851,"/",""))=1,(RIGHT(E1851,LEN(E1851)-FIND("/",E1851)))-(LEFT(E1851,FIND("/",E1851)-1)),(MID(E1851, SEARCH("/",E1851) + 1, SEARCH("/",E1851, SEARCH("/",E1851)+1) - SEARCH("/",E1851) - 1))-(LEFT(E1851,FIND("/",E1851)-1))), "NA"))</f>
        <v/>
      </c>
      <c r="K1851" s="79">
        <f>IF(A1851&lt;&gt;"", IF(ISBLANK(L1851), TODAY(), K1851), "")</f>
        <v/>
      </c>
      <c r="L1851" s="78" t="n"/>
      <c r="M1851" s="78">
        <f>IF(ISBLANK(L1851),"",IF(D1851="Stock",IF(C1851="Buy",L1851*G1851,IF(C1851="Sell",(L1851*G1851)-I1851, X)),IF(C1851="Buy",(L1851*G1851*100)+I1851,IF(C1851="Sell",(L1851*G1851*100)-I1851, X))))</f>
        <v/>
      </c>
      <c r="N1851" s="78">
        <f>IF(ISBLANK(L1851),"",IF(AND(C1851="Sell",D1851="Stock"),M1851,IF(ISBLANK(L1851),"",IF(C1851="Buy",M1851, IF(AND(C1851="Sell",J1851="NA"),(E1851*G1851*100*0.1)+I1851, IF(C1851="Sell",(J1851-L1851)*(100*G1851)+I1851))))))</f>
        <v/>
      </c>
      <c r="O1851" s="75" t="n"/>
      <c r="P1851" s="75" t="n"/>
      <c r="Q1851" s="75">
        <f>IF(ISBLANK(P1851),"",IF(D1851="Stock",P1851*G1851,IF(P1851=0,"0",G1851*P1851*100-(G1851*$AF$14))))</f>
        <v/>
      </c>
      <c r="R1851" s="79">
        <f>IF(P1851&lt;&gt;"", TODAY(), "")</f>
        <v/>
      </c>
      <c r="S1851" s="78">
        <f>IF(AND(K1851&lt;&gt;"", R1851&lt;&gt;""), R1851-K1851, "")</f>
        <v/>
      </c>
      <c r="T1851" s="78" t="n"/>
      <c r="U1851" s="92">
        <f>IF(ISBLANK(P1851),"",IF(C1851="Buy",Q1851-M1851+T1851, IF(C1851="Sell",M1851-Q1851-T1851, X)))</f>
        <v/>
      </c>
      <c r="V1851" s="81">
        <f>IF(ISBLANK(P1851),"",U1851/N1851)</f>
        <v/>
      </c>
      <c r="W1851" s="81">
        <f>IF(ISBLANK(P1851),"",IF(S1851=0,(365/0.5)*V1851,(365/S1851)*V1851))</f>
        <v/>
      </c>
      <c r="X1851" s="75" t="n"/>
      <c r="Y1851" s="77" t="n"/>
      <c r="Z1851" s="77" t="n"/>
      <c r="AA1851" s="75" t="n"/>
      <c r="AB1851" s="75" t="n"/>
      <c r="AC1851" s="6" t="n"/>
      <c r="AD1851" s="75" t="n"/>
      <c r="AE1851" s="75" t="n"/>
      <c r="AF1851" s="75" t="n"/>
    </row>
    <row r="1852" ht="15.75" customHeight="1" s="133">
      <c r="A1852" s="75" t="n"/>
      <c r="B1852" s="75" t="n"/>
      <c r="C1852" s="75" t="n"/>
      <c r="D1852" s="75" t="n"/>
      <c r="E1852" s="76" t="n"/>
      <c r="F1852" s="77" t="n"/>
      <c r="G1852" s="75" t="n"/>
      <c r="H1852" s="75">
        <f>IF(ISBLANK(E1852),"",IF(OR(D1852="Butterfly",D1852="Butterfly ",D1852="Iron Fly", D1852="Iron Fly "),LEN(E1852)-LEN(SUBSTITUTE(E1852,"/",""))+2,LEN(E1852)-LEN(SUBSTITUTE(E1852,"/",""))+1))</f>
        <v/>
      </c>
      <c r="I1852" s="78">
        <f>IF(ISBLANK(G1852),"",IF(D1852="Stock","0",Key!$A$3*H1852*G1852))</f>
        <v/>
      </c>
      <c r="J1852" s="78">
        <f>IF(ISBLANK(E1852),"",IF(ISNUMBER(SEARCH("/",E1852)), IF(LEN(E1852)-LEN(SUBSTITUTE(E1852,"/",""))=1,(RIGHT(E1852,LEN(E1852)-FIND("/",E1852)))-(LEFT(E1852,FIND("/",E1852)-1)),(MID(E1852, SEARCH("/",E1852) + 1, SEARCH("/",E1852, SEARCH("/",E1852)+1) - SEARCH("/",E1852) - 1))-(LEFT(E1852,FIND("/",E1852)-1))), "NA"))</f>
        <v/>
      </c>
      <c r="K1852" s="79">
        <f>IF(A1852&lt;&gt;"", IF(ISBLANK(L1852), TODAY(), K1852), "")</f>
        <v/>
      </c>
      <c r="L1852" s="78" t="n"/>
      <c r="M1852" s="78">
        <f>IF(ISBLANK(L1852),"",IF(D1852="Stock",IF(C1852="Buy",L1852*G1852,IF(C1852="Sell",(L1852*G1852)-I1852, X)),IF(C1852="Buy",(L1852*G1852*100)+I1852,IF(C1852="Sell",(L1852*G1852*100)-I1852, X))))</f>
        <v/>
      </c>
      <c r="N1852" s="78">
        <f>IF(ISBLANK(L1852),"",IF(AND(C1852="Sell",D1852="Stock"),M1852,IF(ISBLANK(L1852),"",IF(C1852="Buy",M1852, IF(AND(C1852="Sell",J1852="NA"),(E1852*G1852*100*0.1)+I1852, IF(C1852="Sell",(J1852-L1852)*(100*G1852)+I1852))))))</f>
        <v/>
      </c>
      <c r="O1852" s="75" t="n"/>
      <c r="P1852" s="75" t="n"/>
      <c r="Q1852" s="75">
        <f>IF(ISBLANK(P1852),"",IF(D1852="Stock",P1852*G1852,IF(P1852=0,"0",G1852*P1852*100-(G1852*$AF$14))))</f>
        <v/>
      </c>
      <c r="R1852" s="79">
        <f>IF(P1852&lt;&gt;"", TODAY(), "")</f>
        <v/>
      </c>
      <c r="S1852" s="78">
        <f>IF(AND(K1852&lt;&gt;"", R1852&lt;&gt;""), R1852-K1852, "")</f>
        <v/>
      </c>
      <c r="T1852" s="78" t="n"/>
      <c r="U1852" s="92">
        <f>IF(ISBLANK(P1852),"",IF(C1852="Buy",Q1852-M1852+T1852, IF(C1852="Sell",M1852-Q1852-T1852, X)))</f>
        <v/>
      </c>
      <c r="V1852" s="81">
        <f>IF(ISBLANK(P1852),"",U1852/N1852)</f>
        <v/>
      </c>
      <c r="W1852" s="81">
        <f>IF(ISBLANK(P1852),"",IF(S1852=0,(365/0.5)*V1852,(365/S1852)*V1852))</f>
        <v/>
      </c>
      <c r="X1852" s="75" t="n"/>
      <c r="Y1852" s="77" t="n"/>
      <c r="Z1852" s="77" t="n"/>
      <c r="AA1852" s="75" t="n"/>
      <c r="AB1852" s="75" t="n"/>
      <c r="AC1852" s="6" t="n"/>
      <c r="AD1852" s="75" t="n"/>
      <c r="AE1852" s="75" t="n"/>
      <c r="AF1852" s="75" t="n"/>
    </row>
    <row r="1853" ht="15.75" customHeight="1" s="133">
      <c r="A1853" s="75" t="n"/>
      <c r="B1853" s="75" t="n"/>
      <c r="C1853" s="75" t="n"/>
      <c r="D1853" s="75" t="n"/>
      <c r="E1853" s="76" t="n"/>
      <c r="F1853" s="77" t="n"/>
      <c r="G1853" s="75" t="n"/>
      <c r="H1853" s="75">
        <f>IF(ISBLANK(E1853),"",IF(OR(D1853="Butterfly",D1853="Butterfly ",D1853="Iron Fly", D1853="Iron Fly "),LEN(E1853)-LEN(SUBSTITUTE(E1853,"/",""))+2,LEN(E1853)-LEN(SUBSTITUTE(E1853,"/",""))+1))</f>
        <v/>
      </c>
      <c r="I1853" s="78">
        <f>IF(ISBLANK(G1853),"",IF(D1853="Stock","0",Key!$A$3*H1853*G1853))</f>
        <v/>
      </c>
      <c r="J1853" s="78">
        <f>IF(ISBLANK(E1853),"",IF(ISNUMBER(SEARCH("/",E1853)), IF(LEN(E1853)-LEN(SUBSTITUTE(E1853,"/",""))=1,(RIGHT(E1853,LEN(E1853)-FIND("/",E1853)))-(LEFT(E1853,FIND("/",E1853)-1)),(MID(E1853, SEARCH("/",E1853) + 1, SEARCH("/",E1853, SEARCH("/",E1853)+1) - SEARCH("/",E1853) - 1))-(LEFT(E1853,FIND("/",E1853)-1))), "NA"))</f>
        <v/>
      </c>
      <c r="K1853" s="79">
        <f>IF(A1853&lt;&gt;"", IF(ISBLANK(L1853), TODAY(), K1853), "")</f>
        <v/>
      </c>
      <c r="L1853" s="78" t="n"/>
      <c r="M1853" s="78">
        <f>IF(ISBLANK(L1853),"",IF(D1853="Stock",IF(C1853="Buy",L1853*G1853,IF(C1853="Sell",(L1853*G1853)-I1853, X)),IF(C1853="Buy",(L1853*G1853*100)+I1853,IF(C1853="Sell",(L1853*G1853*100)-I1853, X))))</f>
        <v/>
      </c>
      <c r="N1853" s="78">
        <f>IF(ISBLANK(L1853),"",IF(AND(C1853="Sell",D1853="Stock"),M1853,IF(ISBLANK(L1853),"",IF(C1853="Buy",M1853, IF(AND(C1853="Sell",J1853="NA"),(E1853*G1853*100*0.1)+I1853, IF(C1853="Sell",(J1853-L1853)*(100*G1853)+I1853))))))</f>
        <v/>
      </c>
      <c r="O1853" s="75" t="n"/>
      <c r="P1853" s="75" t="n"/>
      <c r="Q1853" s="75">
        <f>IF(ISBLANK(P1853),"",IF(D1853="Stock",P1853*G1853,IF(P1853=0,"0",G1853*P1853*100-(G1853*$AF$14))))</f>
        <v/>
      </c>
      <c r="R1853" s="79">
        <f>IF(P1853&lt;&gt;"", TODAY(), "")</f>
        <v/>
      </c>
      <c r="S1853" s="78">
        <f>IF(AND(K1853&lt;&gt;"", R1853&lt;&gt;""), R1853-K1853, "")</f>
        <v/>
      </c>
      <c r="T1853" s="78" t="n"/>
      <c r="U1853" s="92">
        <f>IF(ISBLANK(P1853),"",IF(C1853="Buy",Q1853-M1853+T1853, IF(C1853="Sell",M1853-Q1853-T1853, X)))</f>
        <v/>
      </c>
      <c r="V1853" s="81">
        <f>IF(ISBLANK(P1853),"",U1853/N1853)</f>
        <v/>
      </c>
      <c r="W1853" s="81">
        <f>IF(ISBLANK(P1853),"",IF(S1853=0,(365/0.5)*V1853,(365/S1853)*V1853))</f>
        <v/>
      </c>
      <c r="X1853" s="75" t="n"/>
      <c r="Y1853" s="77" t="n"/>
      <c r="Z1853" s="77" t="n"/>
      <c r="AA1853" s="75" t="n"/>
      <c r="AB1853" s="75" t="n"/>
      <c r="AC1853" s="6" t="n"/>
      <c r="AD1853" s="75" t="n"/>
      <c r="AE1853" s="75" t="n"/>
      <c r="AF1853" s="75" t="n"/>
    </row>
    <row r="1854" ht="15.75" customHeight="1" s="133">
      <c r="A1854" s="75" t="n"/>
      <c r="B1854" s="75" t="n"/>
      <c r="C1854" s="75" t="n"/>
      <c r="D1854" s="75" t="n"/>
      <c r="E1854" s="76" t="n"/>
      <c r="F1854" s="77" t="n"/>
      <c r="G1854" s="75" t="n"/>
      <c r="H1854" s="75">
        <f>IF(ISBLANK(E1854),"",IF(OR(D1854="Butterfly",D1854="Butterfly ",D1854="Iron Fly", D1854="Iron Fly "),LEN(E1854)-LEN(SUBSTITUTE(E1854,"/",""))+2,LEN(E1854)-LEN(SUBSTITUTE(E1854,"/",""))+1))</f>
        <v/>
      </c>
      <c r="I1854" s="78">
        <f>IF(ISBLANK(G1854),"",IF(D1854="Stock","0",Key!$A$3*H1854*G1854))</f>
        <v/>
      </c>
      <c r="J1854" s="78">
        <f>IF(ISBLANK(E1854),"",IF(ISNUMBER(SEARCH("/",E1854)), IF(LEN(E1854)-LEN(SUBSTITUTE(E1854,"/",""))=1,(RIGHT(E1854,LEN(E1854)-FIND("/",E1854)))-(LEFT(E1854,FIND("/",E1854)-1)),(MID(E1854, SEARCH("/",E1854) + 1, SEARCH("/",E1854, SEARCH("/",E1854)+1) - SEARCH("/",E1854) - 1))-(LEFT(E1854,FIND("/",E1854)-1))), "NA"))</f>
        <v/>
      </c>
      <c r="K1854" s="79">
        <f>IF(A1854&lt;&gt;"", IF(ISBLANK(L1854), TODAY(), K1854), "")</f>
        <v/>
      </c>
      <c r="L1854" s="78" t="n"/>
      <c r="M1854" s="78">
        <f>IF(ISBLANK(L1854),"",IF(D1854="Stock",IF(C1854="Buy",L1854*G1854,IF(C1854="Sell",(L1854*G1854)-I1854, X)),IF(C1854="Buy",(L1854*G1854*100)+I1854,IF(C1854="Sell",(L1854*G1854*100)-I1854, X))))</f>
        <v/>
      </c>
      <c r="N1854" s="78">
        <f>IF(ISBLANK(L1854),"",IF(AND(C1854="Sell",D1854="Stock"),M1854,IF(ISBLANK(L1854),"",IF(C1854="Buy",M1854, IF(AND(C1854="Sell",J1854="NA"),(E1854*G1854*100*0.1)+I1854, IF(C1854="Sell",(J1854-L1854)*(100*G1854)+I1854))))))</f>
        <v/>
      </c>
      <c r="O1854" s="75" t="n"/>
      <c r="P1854" s="75" t="n"/>
      <c r="Q1854" s="75">
        <f>IF(ISBLANK(P1854),"",IF(D1854="Stock",P1854*G1854,IF(P1854=0,"0",G1854*P1854*100-(G1854*$AF$14))))</f>
        <v/>
      </c>
      <c r="R1854" s="79">
        <f>IF(P1854&lt;&gt;"", TODAY(), "")</f>
        <v/>
      </c>
      <c r="S1854" s="78">
        <f>IF(AND(K1854&lt;&gt;"", R1854&lt;&gt;""), R1854-K1854, "")</f>
        <v/>
      </c>
      <c r="T1854" s="78" t="n"/>
      <c r="U1854" s="92">
        <f>IF(ISBLANK(P1854),"",IF(C1854="Buy",Q1854-M1854+T1854, IF(C1854="Sell",M1854-Q1854-T1854, X)))</f>
        <v/>
      </c>
      <c r="V1854" s="81">
        <f>IF(ISBLANK(P1854),"",U1854/N1854)</f>
        <v/>
      </c>
      <c r="W1854" s="81">
        <f>IF(ISBLANK(P1854),"",IF(S1854=0,(365/0.5)*V1854,(365/S1854)*V1854))</f>
        <v/>
      </c>
      <c r="X1854" s="75" t="n"/>
      <c r="Y1854" s="77" t="n"/>
      <c r="Z1854" s="77" t="n"/>
      <c r="AA1854" s="75" t="n"/>
      <c r="AB1854" s="75" t="n"/>
      <c r="AC1854" s="6" t="n"/>
      <c r="AD1854" s="75" t="n"/>
      <c r="AE1854" s="75" t="n"/>
      <c r="AF1854" s="75" t="n"/>
    </row>
    <row r="1855" ht="15.75" customHeight="1" s="133">
      <c r="A1855" s="75" t="n"/>
      <c r="B1855" s="75" t="n"/>
      <c r="C1855" s="75" t="n"/>
      <c r="D1855" s="75" t="n"/>
      <c r="E1855" s="76" t="n"/>
      <c r="F1855" s="77" t="n"/>
      <c r="G1855" s="75" t="n"/>
      <c r="H1855" s="75">
        <f>IF(ISBLANK(E1855),"",IF(OR(D1855="Butterfly",D1855="Butterfly ",D1855="Iron Fly", D1855="Iron Fly "),LEN(E1855)-LEN(SUBSTITUTE(E1855,"/",""))+2,LEN(E1855)-LEN(SUBSTITUTE(E1855,"/",""))+1))</f>
        <v/>
      </c>
      <c r="I1855" s="78">
        <f>IF(ISBLANK(G1855),"",IF(D1855="Stock","0",Key!$A$3*H1855*G1855))</f>
        <v/>
      </c>
      <c r="J1855" s="78">
        <f>IF(ISBLANK(E1855),"",IF(ISNUMBER(SEARCH("/",E1855)), IF(LEN(E1855)-LEN(SUBSTITUTE(E1855,"/",""))=1,(RIGHT(E1855,LEN(E1855)-FIND("/",E1855)))-(LEFT(E1855,FIND("/",E1855)-1)),(MID(E1855, SEARCH("/",E1855) + 1, SEARCH("/",E1855, SEARCH("/",E1855)+1) - SEARCH("/",E1855) - 1))-(LEFT(E1855,FIND("/",E1855)-1))), "NA"))</f>
        <v/>
      </c>
      <c r="K1855" s="79">
        <f>IF(A1855&lt;&gt;"", IF(ISBLANK(L1855), TODAY(), K1855), "")</f>
        <v/>
      </c>
      <c r="L1855" s="78" t="n"/>
      <c r="M1855" s="78">
        <f>IF(ISBLANK(L1855),"",IF(D1855="Stock",IF(C1855="Buy",L1855*G1855,IF(C1855="Sell",(L1855*G1855)-I1855, X)),IF(C1855="Buy",(L1855*G1855*100)+I1855,IF(C1855="Sell",(L1855*G1855*100)-I1855, X))))</f>
        <v/>
      </c>
      <c r="N1855" s="78">
        <f>IF(ISBLANK(L1855),"",IF(AND(C1855="Sell",D1855="Stock"),M1855,IF(ISBLANK(L1855),"",IF(C1855="Buy",M1855, IF(AND(C1855="Sell",J1855="NA"),(E1855*G1855*100*0.1)+I1855, IF(C1855="Sell",(J1855-L1855)*(100*G1855)+I1855))))))</f>
        <v/>
      </c>
      <c r="O1855" s="75" t="n"/>
      <c r="P1855" s="75" t="n"/>
      <c r="Q1855" s="75">
        <f>IF(ISBLANK(P1855),"",IF(D1855="Stock",P1855*G1855,IF(P1855=0,"0",G1855*P1855*100-(G1855*$AF$14))))</f>
        <v/>
      </c>
      <c r="R1855" s="79">
        <f>IF(P1855&lt;&gt;"", TODAY(), "")</f>
        <v/>
      </c>
      <c r="S1855" s="78">
        <f>IF(AND(K1855&lt;&gt;"", R1855&lt;&gt;""), R1855-K1855, "")</f>
        <v/>
      </c>
      <c r="T1855" s="78" t="n"/>
      <c r="U1855" s="92">
        <f>IF(ISBLANK(P1855),"",IF(C1855="Buy",Q1855-M1855+T1855, IF(C1855="Sell",M1855-Q1855-T1855, X)))</f>
        <v/>
      </c>
      <c r="V1855" s="81">
        <f>IF(ISBLANK(P1855),"",U1855/N1855)</f>
        <v/>
      </c>
      <c r="W1855" s="81">
        <f>IF(ISBLANK(P1855),"",IF(S1855=0,(365/0.5)*V1855,(365/S1855)*V1855))</f>
        <v/>
      </c>
      <c r="X1855" s="75" t="n"/>
      <c r="Y1855" s="77" t="n"/>
      <c r="Z1855" s="77" t="n"/>
      <c r="AA1855" s="75" t="n"/>
      <c r="AB1855" s="75" t="n"/>
      <c r="AC1855" s="6" t="n"/>
      <c r="AD1855" s="75" t="n"/>
      <c r="AE1855" s="75" t="n"/>
      <c r="AF1855" s="75" t="n"/>
    </row>
    <row r="1856" ht="15.75" customHeight="1" s="133">
      <c r="A1856" s="75" t="n"/>
      <c r="B1856" s="75" t="n"/>
      <c r="C1856" s="75" t="n"/>
      <c r="D1856" s="75" t="n"/>
      <c r="E1856" s="76" t="n"/>
      <c r="F1856" s="77" t="n"/>
      <c r="G1856" s="75" t="n"/>
      <c r="H1856" s="75">
        <f>IF(ISBLANK(E1856),"",IF(OR(D1856="Butterfly",D1856="Butterfly ",D1856="Iron Fly", D1856="Iron Fly "),LEN(E1856)-LEN(SUBSTITUTE(E1856,"/",""))+2,LEN(E1856)-LEN(SUBSTITUTE(E1856,"/",""))+1))</f>
        <v/>
      </c>
      <c r="I1856" s="78">
        <f>IF(ISBLANK(G1856),"",IF(D1856="Stock","0",Key!$A$3*H1856*G1856))</f>
        <v/>
      </c>
      <c r="J1856" s="78">
        <f>IF(ISBLANK(E1856),"",IF(ISNUMBER(SEARCH("/",E1856)), IF(LEN(E1856)-LEN(SUBSTITUTE(E1856,"/",""))=1,(RIGHT(E1856,LEN(E1856)-FIND("/",E1856)))-(LEFT(E1856,FIND("/",E1856)-1)),(MID(E1856, SEARCH("/",E1856) + 1, SEARCH("/",E1856, SEARCH("/",E1856)+1) - SEARCH("/",E1856) - 1))-(LEFT(E1856,FIND("/",E1856)-1))), "NA"))</f>
        <v/>
      </c>
      <c r="K1856" s="79">
        <f>IF(A1856&lt;&gt;"", IF(ISBLANK(L1856), TODAY(), K1856), "")</f>
        <v/>
      </c>
      <c r="L1856" s="78" t="n"/>
      <c r="M1856" s="78">
        <f>IF(ISBLANK(L1856),"",IF(D1856="Stock",IF(C1856="Buy",L1856*G1856,IF(C1856="Sell",(L1856*G1856)-I1856, X)),IF(C1856="Buy",(L1856*G1856*100)+I1856,IF(C1856="Sell",(L1856*G1856*100)-I1856, X))))</f>
        <v/>
      </c>
      <c r="N1856" s="78">
        <f>IF(ISBLANK(L1856),"",IF(AND(C1856="Sell",D1856="Stock"),M1856,IF(ISBLANK(L1856),"",IF(C1856="Buy",M1856, IF(AND(C1856="Sell",J1856="NA"),(E1856*G1856*100*0.1)+I1856, IF(C1856="Sell",(J1856-L1856)*(100*G1856)+I1856))))))</f>
        <v/>
      </c>
      <c r="O1856" s="75" t="n"/>
      <c r="P1856" s="75" t="n"/>
      <c r="Q1856" s="75">
        <f>IF(ISBLANK(P1856),"",IF(D1856="Stock",P1856*G1856,IF(P1856=0,"0",G1856*P1856*100-(G1856*$AF$14))))</f>
        <v/>
      </c>
      <c r="R1856" s="79">
        <f>IF(P1856&lt;&gt;"", TODAY(), "")</f>
        <v/>
      </c>
      <c r="S1856" s="78">
        <f>IF(AND(K1856&lt;&gt;"", R1856&lt;&gt;""), R1856-K1856, "")</f>
        <v/>
      </c>
      <c r="T1856" s="78" t="n"/>
      <c r="U1856" s="92">
        <f>IF(ISBLANK(P1856),"",IF(C1856="Buy",Q1856-M1856+T1856, IF(C1856="Sell",M1856-Q1856-T1856, X)))</f>
        <v/>
      </c>
      <c r="V1856" s="81">
        <f>IF(ISBLANK(P1856),"",U1856/N1856)</f>
        <v/>
      </c>
      <c r="W1856" s="81">
        <f>IF(ISBLANK(P1856),"",IF(S1856=0,(365/0.5)*V1856,(365/S1856)*V1856))</f>
        <v/>
      </c>
      <c r="X1856" s="75" t="n"/>
      <c r="Y1856" s="77" t="n"/>
      <c r="Z1856" s="77" t="n"/>
      <c r="AA1856" s="75" t="n"/>
      <c r="AB1856" s="75" t="n"/>
      <c r="AC1856" s="6" t="n"/>
      <c r="AD1856" s="75" t="n"/>
      <c r="AE1856" s="75" t="n"/>
      <c r="AF1856" s="75" t="n"/>
    </row>
    <row r="1857" ht="15.75" customHeight="1" s="133">
      <c r="A1857" s="75" t="n"/>
      <c r="B1857" s="75" t="n"/>
      <c r="C1857" s="75" t="n"/>
      <c r="D1857" s="75" t="n"/>
      <c r="E1857" s="76" t="n"/>
      <c r="F1857" s="77" t="n"/>
      <c r="G1857" s="75" t="n"/>
      <c r="H1857" s="75">
        <f>IF(ISBLANK(E1857),"",IF(OR(D1857="Butterfly",D1857="Butterfly ",D1857="Iron Fly", D1857="Iron Fly "),LEN(E1857)-LEN(SUBSTITUTE(E1857,"/",""))+2,LEN(E1857)-LEN(SUBSTITUTE(E1857,"/",""))+1))</f>
        <v/>
      </c>
      <c r="I1857" s="78">
        <f>IF(ISBLANK(G1857),"",IF(D1857="Stock","0",Key!$A$3*H1857*G1857))</f>
        <v/>
      </c>
      <c r="J1857" s="78">
        <f>IF(ISBLANK(E1857),"",IF(ISNUMBER(SEARCH("/",E1857)), IF(LEN(E1857)-LEN(SUBSTITUTE(E1857,"/",""))=1,(RIGHT(E1857,LEN(E1857)-FIND("/",E1857)))-(LEFT(E1857,FIND("/",E1857)-1)),(MID(E1857, SEARCH("/",E1857) + 1, SEARCH("/",E1857, SEARCH("/",E1857)+1) - SEARCH("/",E1857) - 1))-(LEFT(E1857,FIND("/",E1857)-1))), "NA"))</f>
        <v/>
      </c>
      <c r="K1857" s="79">
        <f>IF(A1857&lt;&gt;"", IF(ISBLANK(L1857), TODAY(), K1857), "")</f>
        <v/>
      </c>
      <c r="L1857" s="78" t="n"/>
      <c r="M1857" s="78">
        <f>IF(ISBLANK(L1857),"",IF(D1857="Stock",IF(C1857="Buy",L1857*G1857,IF(C1857="Sell",(L1857*G1857)-I1857, X)),IF(C1857="Buy",(L1857*G1857*100)+I1857,IF(C1857="Sell",(L1857*G1857*100)-I1857, X))))</f>
        <v/>
      </c>
      <c r="N1857" s="78">
        <f>IF(ISBLANK(L1857),"",IF(AND(C1857="Sell",D1857="Stock"),M1857,IF(ISBLANK(L1857),"",IF(C1857="Buy",M1857, IF(AND(C1857="Sell",J1857="NA"),(E1857*G1857*100*0.1)+I1857, IF(C1857="Sell",(J1857-L1857)*(100*G1857)+I1857))))))</f>
        <v/>
      </c>
      <c r="O1857" s="75" t="n"/>
      <c r="P1857" s="75" t="n"/>
      <c r="Q1857" s="75">
        <f>IF(ISBLANK(P1857),"",IF(D1857="Stock",P1857*G1857,IF(P1857=0,"0",G1857*P1857*100-(G1857*$AF$14))))</f>
        <v/>
      </c>
      <c r="R1857" s="79">
        <f>IF(P1857&lt;&gt;"", TODAY(), "")</f>
        <v/>
      </c>
      <c r="S1857" s="78">
        <f>IF(AND(K1857&lt;&gt;"", R1857&lt;&gt;""), R1857-K1857, "")</f>
        <v/>
      </c>
      <c r="T1857" s="78" t="n"/>
      <c r="U1857" s="92">
        <f>IF(ISBLANK(P1857),"",IF(C1857="Buy",Q1857-M1857+T1857, IF(C1857="Sell",M1857-Q1857-T1857, X)))</f>
        <v/>
      </c>
      <c r="V1857" s="81">
        <f>IF(ISBLANK(P1857),"",U1857/N1857)</f>
        <v/>
      </c>
      <c r="W1857" s="81">
        <f>IF(ISBLANK(P1857),"",IF(S1857=0,(365/0.5)*V1857,(365/S1857)*V1857))</f>
        <v/>
      </c>
      <c r="X1857" s="75" t="n"/>
      <c r="Y1857" s="77" t="n"/>
      <c r="Z1857" s="77" t="n"/>
      <c r="AA1857" s="75" t="n"/>
      <c r="AB1857" s="75" t="n"/>
      <c r="AC1857" s="6" t="n"/>
      <c r="AD1857" s="75" t="n"/>
      <c r="AE1857" s="75" t="n"/>
      <c r="AF1857" s="75" t="n"/>
    </row>
    <row r="1858" ht="15.75" customHeight="1" s="133">
      <c r="A1858" s="75" t="n"/>
      <c r="B1858" s="75" t="n"/>
      <c r="C1858" s="75" t="n"/>
      <c r="D1858" s="75" t="n"/>
      <c r="E1858" s="76" t="n"/>
      <c r="F1858" s="77" t="n"/>
      <c r="G1858" s="75" t="n"/>
      <c r="H1858" s="75">
        <f>IF(ISBLANK(E1858),"",IF(OR(D1858="Butterfly",D1858="Butterfly ",D1858="Iron Fly", D1858="Iron Fly "),LEN(E1858)-LEN(SUBSTITUTE(E1858,"/",""))+2,LEN(E1858)-LEN(SUBSTITUTE(E1858,"/",""))+1))</f>
        <v/>
      </c>
      <c r="I1858" s="78">
        <f>IF(ISBLANK(G1858),"",IF(D1858="Stock","0",Key!$A$3*H1858*G1858))</f>
        <v/>
      </c>
      <c r="J1858" s="78">
        <f>IF(ISBLANK(E1858),"",IF(ISNUMBER(SEARCH("/",E1858)), IF(LEN(E1858)-LEN(SUBSTITUTE(E1858,"/",""))=1,(RIGHT(E1858,LEN(E1858)-FIND("/",E1858)))-(LEFT(E1858,FIND("/",E1858)-1)),(MID(E1858, SEARCH("/",E1858) + 1, SEARCH("/",E1858, SEARCH("/",E1858)+1) - SEARCH("/",E1858) - 1))-(LEFT(E1858,FIND("/",E1858)-1))), "NA"))</f>
        <v/>
      </c>
      <c r="K1858" s="79">
        <f>IF(A1858&lt;&gt;"", IF(ISBLANK(L1858), TODAY(), K1858), "")</f>
        <v/>
      </c>
      <c r="L1858" s="78" t="n"/>
      <c r="M1858" s="78">
        <f>IF(ISBLANK(L1858),"",IF(D1858="Stock",IF(C1858="Buy",L1858*G1858,IF(C1858="Sell",(L1858*G1858)-I1858, X)),IF(C1858="Buy",(L1858*G1858*100)+I1858,IF(C1858="Sell",(L1858*G1858*100)-I1858, X))))</f>
        <v/>
      </c>
      <c r="N1858" s="78">
        <f>IF(ISBLANK(L1858),"",IF(AND(C1858="Sell",D1858="Stock"),M1858,IF(ISBLANK(L1858),"",IF(C1858="Buy",M1858, IF(AND(C1858="Sell",J1858="NA"),(E1858*G1858*100*0.1)+I1858, IF(C1858="Sell",(J1858-L1858)*(100*G1858)+I1858))))))</f>
        <v/>
      </c>
      <c r="O1858" s="75" t="n"/>
      <c r="P1858" s="75" t="n"/>
      <c r="Q1858" s="75">
        <f>IF(ISBLANK(P1858),"",IF(D1858="Stock",P1858*G1858,IF(P1858=0,"0",G1858*P1858*100-(G1858*$AF$14))))</f>
        <v/>
      </c>
      <c r="R1858" s="79">
        <f>IF(P1858&lt;&gt;"", TODAY(), "")</f>
        <v/>
      </c>
      <c r="S1858" s="78">
        <f>IF(AND(K1858&lt;&gt;"", R1858&lt;&gt;""), R1858-K1858, "")</f>
        <v/>
      </c>
      <c r="T1858" s="78" t="n"/>
      <c r="U1858" s="92">
        <f>IF(ISBLANK(P1858),"",IF(C1858="Buy",Q1858-M1858+T1858, IF(C1858="Sell",M1858-Q1858-T1858, X)))</f>
        <v/>
      </c>
      <c r="V1858" s="81">
        <f>IF(ISBLANK(P1858),"",U1858/N1858)</f>
        <v/>
      </c>
      <c r="W1858" s="81">
        <f>IF(ISBLANK(P1858),"",IF(S1858=0,(365/0.5)*V1858,(365/S1858)*V1858))</f>
        <v/>
      </c>
      <c r="X1858" s="75" t="n"/>
      <c r="Y1858" s="77" t="n"/>
      <c r="Z1858" s="77" t="n"/>
      <c r="AA1858" s="75" t="n"/>
      <c r="AB1858" s="75" t="n"/>
      <c r="AC1858" s="6" t="n"/>
      <c r="AD1858" s="75" t="n"/>
      <c r="AE1858" s="75" t="n"/>
      <c r="AF1858" s="75" t="n"/>
    </row>
    <row r="1859" ht="15.75" customHeight="1" s="133">
      <c r="A1859" s="75" t="n"/>
      <c r="B1859" s="75" t="n"/>
      <c r="C1859" s="75" t="n"/>
      <c r="D1859" s="75" t="n"/>
      <c r="E1859" s="76" t="n"/>
      <c r="F1859" s="77" t="n"/>
      <c r="G1859" s="75" t="n"/>
      <c r="H1859" s="75">
        <f>IF(ISBLANK(E1859),"",IF(OR(D1859="Butterfly",D1859="Butterfly ",D1859="Iron Fly", D1859="Iron Fly "),LEN(E1859)-LEN(SUBSTITUTE(E1859,"/",""))+2,LEN(E1859)-LEN(SUBSTITUTE(E1859,"/",""))+1))</f>
        <v/>
      </c>
      <c r="I1859" s="78">
        <f>IF(ISBLANK(G1859),"",IF(D1859="Stock","0",Key!$A$3*H1859*G1859))</f>
        <v/>
      </c>
      <c r="J1859" s="78">
        <f>IF(ISBLANK(E1859),"",IF(ISNUMBER(SEARCH("/",E1859)), IF(LEN(E1859)-LEN(SUBSTITUTE(E1859,"/",""))=1,(RIGHT(E1859,LEN(E1859)-FIND("/",E1859)))-(LEFT(E1859,FIND("/",E1859)-1)),(MID(E1859, SEARCH("/",E1859) + 1, SEARCH("/",E1859, SEARCH("/",E1859)+1) - SEARCH("/",E1859) - 1))-(LEFT(E1859,FIND("/",E1859)-1))), "NA"))</f>
        <v/>
      </c>
      <c r="K1859" s="79">
        <f>IF(A1859&lt;&gt;"", IF(ISBLANK(L1859), TODAY(), K1859), "")</f>
        <v/>
      </c>
      <c r="L1859" s="78" t="n"/>
      <c r="M1859" s="78">
        <f>IF(ISBLANK(L1859),"",IF(D1859="Stock",IF(C1859="Buy",L1859*G1859,IF(C1859="Sell",(L1859*G1859)-I1859, X)),IF(C1859="Buy",(L1859*G1859*100)+I1859,IF(C1859="Sell",(L1859*G1859*100)-I1859, X))))</f>
        <v/>
      </c>
      <c r="N1859" s="78">
        <f>IF(ISBLANK(L1859),"",IF(AND(C1859="Sell",D1859="Stock"),M1859,IF(ISBLANK(L1859),"",IF(C1859="Buy",M1859, IF(AND(C1859="Sell",J1859="NA"),(E1859*G1859*100*0.1)+I1859, IF(C1859="Sell",(J1859-L1859)*(100*G1859)+I1859))))))</f>
        <v/>
      </c>
      <c r="O1859" s="75" t="n"/>
      <c r="P1859" s="75" t="n"/>
      <c r="Q1859" s="75">
        <f>IF(ISBLANK(P1859),"",IF(D1859="Stock",P1859*G1859,IF(P1859=0,"0",G1859*P1859*100-(G1859*$AF$14))))</f>
        <v/>
      </c>
      <c r="R1859" s="79">
        <f>IF(P1859&lt;&gt;"", TODAY(), "")</f>
        <v/>
      </c>
      <c r="S1859" s="78">
        <f>IF(AND(K1859&lt;&gt;"", R1859&lt;&gt;""), R1859-K1859, "")</f>
        <v/>
      </c>
      <c r="T1859" s="78" t="n"/>
      <c r="U1859" s="92">
        <f>IF(ISBLANK(P1859),"",IF(C1859="Buy",Q1859-M1859+T1859, IF(C1859="Sell",M1859-Q1859-T1859, X)))</f>
        <v/>
      </c>
      <c r="V1859" s="81">
        <f>IF(ISBLANK(P1859),"",U1859/N1859)</f>
        <v/>
      </c>
      <c r="W1859" s="81">
        <f>IF(ISBLANK(P1859),"",IF(S1859=0,(365/0.5)*V1859,(365/S1859)*V1859))</f>
        <v/>
      </c>
      <c r="X1859" s="75" t="n"/>
      <c r="Y1859" s="77" t="n"/>
      <c r="Z1859" s="77" t="n"/>
      <c r="AA1859" s="75" t="n"/>
      <c r="AB1859" s="75" t="n"/>
      <c r="AC1859" s="6" t="n"/>
      <c r="AD1859" s="75" t="n"/>
      <c r="AE1859" s="75" t="n"/>
      <c r="AF1859" s="75" t="n"/>
    </row>
    <row r="1860" ht="15.75" customHeight="1" s="133">
      <c r="A1860" s="75" t="n"/>
      <c r="B1860" s="75" t="n"/>
      <c r="C1860" s="75" t="n"/>
      <c r="D1860" s="75" t="n"/>
      <c r="E1860" s="76" t="n"/>
      <c r="F1860" s="77" t="n"/>
      <c r="G1860" s="75" t="n"/>
      <c r="H1860" s="75">
        <f>IF(ISBLANK(E1860),"",IF(OR(D1860="Butterfly",D1860="Butterfly ",D1860="Iron Fly", D1860="Iron Fly "),LEN(E1860)-LEN(SUBSTITUTE(E1860,"/",""))+2,LEN(E1860)-LEN(SUBSTITUTE(E1860,"/",""))+1))</f>
        <v/>
      </c>
      <c r="I1860" s="78">
        <f>IF(ISBLANK(G1860),"",IF(D1860="Stock","0",Key!$A$3*H1860*G1860))</f>
        <v/>
      </c>
      <c r="J1860" s="78">
        <f>IF(ISBLANK(E1860),"",IF(ISNUMBER(SEARCH("/",E1860)), IF(LEN(E1860)-LEN(SUBSTITUTE(E1860,"/",""))=1,(RIGHT(E1860,LEN(E1860)-FIND("/",E1860)))-(LEFT(E1860,FIND("/",E1860)-1)),(MID(E1860, SEARCH("/",E1860) + 1, SEARCH("/",E1860, SEARCH("/",E1860)+1) - SEARCH("/",E1860) - 1))-(LEFT(E1860,FIND("/",E1860)-1))), "NA"))</f>
        <v/>
      </c>
      <c r="K1860" s="79">
        <f>IF(A1860&lt;&gt;"", IF(ISBLANK(L1860), TODAY(), K1860), "")</f>
        <v/>
      </c>
      <c r="L1860" s="78" t="n"/>
      <c r="M1860" s="78">
        <f>IF(ISBLANK(L1860),"",IF(D1860="Stock",IF(C1860="Buy",L1860*G1860,IF(C1860="Sell",(L1860*G1860)-I1860, X)),IF(C1860="Buy",(L1860*G1860*100)+I1860,IF(C1860="Sell",(L1860*G1860*100)-I1860, X))))</f>
        <v/>
      </c>
      <c r="N1860" s="78">
        <f>IF(ISBLANK(L1860),"",IF(AND(C1860="Sell",D1860="Stock"),M1860,IF(ISBLANK(L1860),"",IF(C1860="Buy",M1860, IF(AND(C1860="Sell",J1860="NA"),(E1860*G1860*100*0.1)+I1860, IF(C1860="Sell",(J1860-L1860)*(100*G1860)+I1860))))))</f>
        <v/>
      </c>
      <c r="O1860" s="75" t="n"/>
      <c r="P1860" s="75" t="n"/>
      <c r="Q1860" s="75">
        <f>IF(ISBLANK(P1860),"",IF(D1860="Stock",P1860*G1860,IF(P1860=0,"0",G1860*P1860*100-(G1860*$AF$14))))</f>
        <v/>
      </c>
      <c r="R1860" s="79">
        <f>IF(P1860&lt;&gt;"", TODAY(), "")</f>
        <v/>
      </c>
      <c r="S1860" s="78">
        <f>IF(AND(K1860&lt;&gt;"", R1860&lt;&gt;""), R1860-K1860, "")</f>
        <v/>
      </c>
      <c r="T1860" s="78" t="n"/>
      <c r="U1860" s="92">
        <f>IF(ISBLANK(P1860),"",IF(C1860="Buy",Q1860-M1860+T1860, IF(C1860="Sell",M1860-Q1860-T1860, X)))</f>
        <v/>
      </c>
      <c r="V1860" s="81">
        <f>IF(ISBLANK(P1860),"",U1860/N1860)</f>
        <v/>
      </c>
      <c r="W1860" s="81">
        <f>IF(ISBLANK(P1860),"",IF(S1860=0,(365/0.5)*V1860,(365/S1860)*V1860))</f>
        <v/>
      </c>
      <c r="X1860" s="75" t="n"/>
      <c r="Y1860" s="77" t="n"/>
      <c r="Z1860" s="77" t="n"/>
      <c r="AA1860" s="75" t="n"/>
      <c r="AB1860" s="75" t="n"/>
      <c r="AC1860" s="6" t="n"/>
      <c r="AD1860" s="75" t="n"/>
      <c r="AE1860" s="75" t="n"/>
      <c r="AF1860" s="75" t="n"/>
    </row>
    <row r="1861" ht="15.75" customHeight="1" s="133">
      <c r="A1861" s="75" t="n"/>
      <c r="B1861" s="75" t="n"/>
      <c r="C1861" s="75" t="n"/>
      <c r="D1861" s="75" t="n"/>
      <c r="E1861" s="76" t="n"/>
      <c r="F1861" s="77" t="n"/>
      <c r="G1861" s="75" t="n"/>
      <c r="H1861" s="75">
        <f>IF(ISBLANK(E1861),"",IF(OR(D1861="Butterfly",D1861="Butterfly ",D1861="Iron Fly", D1861="Iron Fly "),LEN(E1861)-LEN(SUBSTITUTE(E1861,"/",""))+2,LEN(E1861)-LEN(SUBSTITUTE(E1861,"/",""))+1))</f>
        <v/>
      </c>
      <c r="I1861" s="78">
        <f>IF(ISBLANK(G1861),"",IF(D1861="Stock","0",Key!$A$3*H1861*G1861))</f>
        <v/>
      </c>
      <c r="J1861" s="78">
        <f>IF(ISBLANK(E1861),"",IF(ISNUMBER(SEARCH("/",E1861)), IF(LEN(E1861)-LEN(SUBSTITUTE(E1861,"/",""))=1,(RIGHT(E1861,LEN(E1861)-FIND("/",E1861)))-(LEFT(E1861,FIND("/",E1861)-1)),(MID(E1861, SEARCH("/",E1861) + 1, SEARCH("/",E1861, SEARCH("/",E1861)+1) - SEARCH("/",E1861) - 1))-(LEFT(E1861,FIND("/",E1861)-1))), "NA"))</f>
        <v/>
      </c>
      <c r="K1861" s="79">
        <f>IF(A1861&lt;&gt;"", IF(ISBLANK(L1861), TODAY(), K1861), "")</f>
        <v/>
      </c>
      <c r="L1861" s="78" t="n"/>
      <c r="M1861" s="78">
        <f>IF(ISBLANK(L1861),"",IF(D1861="Stock",IF(C1861="Buy",L1861*G1861,IF(C1861="Sell",(L1861*G1861)-I1861, X)),IF(C1861="Buy",(L1861*G1861*100)+I1861,IF(C1861="Sell",(L1861*G1861*100)-I1861, X))))</f>
        <v/>
      </c>
      <c r="N1861" s="78">
        <f>IF(ISBLANK(L1861),"",IF(AND(C1861="Sell",D1861="Stock"),M1861,IF(ISBLANK(L1861),"",IF(C1861="Buy",M1861, IF(AND(C1861="Sell",J1861="NA"),(E1861*G1861*100*0.1)+I1861, IF(C1861="Sell",(J1861-L1861)*(100*G1861)+I1861))))))</f>
        <v/>
      </c>
      <c r="O1861" s="75" t="n"/>
      <c r="P1861" s="75" t="n"/>
      <c r="Q1861" s="75">
        <f>IF(ISBLANK(P1861),"",IF(D1861="Stock",P1861*G1861,IF(P1861=0,"0",G1861*P1861*100-(G1861*$AF$14))))</f>
        <v/>
      </c>
      <c r="R1861" s="79">
        <f>IF(P1861&lt;&gt;"", TODAY(), "")</f>
        <v/>
      </c>
      <c r="S1861" s="78">
        <f>IF(AND(K1861&lt;&gt;"", R1861&lt;&gt;""), R1861-K1861, "")</f>
        <v/>
      </c>
      <c r="T1861" s="78" t="n"/>
      <c r="U1861" s="92">
        <f>IF(ISBLANK(P1861),"",IF(C1861="Buy",Q1861-M1861+T1861, IF(C1861="Sell",M1861-Q1861-T1861, X)))</f>
        <v/>
      </c>
      <c r="V1861" s="81">
        <f>IF(ISBLANK(P1861),"",U1861/N1861)</f>
        <v/>
      </c>
      <c r="W1861" s="81">
        <f>IF(ISBLANK(P1861),"",IF(S1861=0,(365/0.5)*V1861,(365/S1861)*V1861))</f>
        <v/>
      </c>
      <c r="X1861" s="75" t="n"/>
      <c r="Y1861" s="77" t="n"/>
      <c r="Z1861" s="77" t="n"/>
      <c r="AA1861" s="75" t="n"/>
      <c r="AB1861" s="75" t="n"/>
      <c r="AC1861" s="6" t="n"/>
      <c r="AD1861" s="75" t="n"/>
      <c r="AE1861" s="75" t="n"/>
      <c r="AF1861" s="75" t="n"/>
    </row>
    <row r="1862" ht="15.75" customHeight="1" s="133">
      <c r="A1862" s="75" t="n"/>
      <c r="B1862" s="75" t="n"/>
      <c r="C1862" s="75" t="n"/>
      <c r="D1862" s="75" t="n"/>
      <c r="E1862" s="76" t="n"/>
      <c r="F1862" s="77" t="n"/>
      <c r="G1862" s="75" t="n"/>
      <c r="H1862" s="75">
        <f>IF(ISBLANK(E1862),"",IF(OR(D1862="Butterfly",D1862="Butterfly ",D1862="Iron Fly", D1862="Iron Fly "),LEN(E1862)-LEN(SUBSTITUTE(E1862,"/",""))+2,LEN(E1862)-LEN(SUBSTITUTE(E1862,"/",""))+1))</f>
        <v/>
      </c>
      <c r="I1862" s="78">
        <f>IF(ISBLANK(G1862),"",IF(D1862="Stock","0",Key!$A$3*H1862*G1862))</f>
        <v/>
      </c>
      <c r="J1862" s="78">
        <f>IF(ISBLANK(E1862),"",IF(ISNUMBER(SEARCH("/",E1862)), IF(LEN(E1862)-LEN(SUBSTITUTE(E1862,"/",""))=1,(RIGHT(E1862,LEN(E1862)-FIND("/",E1862)))-(LEFT(E1862,FIND("/",E1862)-1)),(MID(E1862, SEARCH("/",E1862) + 1, SEARCH("/",E1862, SEARCH("/",E1862)+1) - SEARCH("/",E1862) - 1))-(LEFT(E1862,FIND("/",E1862)-1))), "NA"))</f>
        <v/>
      </c>
      <c r="K1862" s="79">
        <f>IF(A1862&lt;&gt;"", IF(ISBLANK(L1862), TODAY(), K1862), "")</f>
        <v/>
      </c>
      <c r="L1862" s="78" t="n"/>
      <c r="M1862" s="78">
        <f>IF(ISBLANK(L1862),"",IF(D1862="Stock",IF(C1862="Buy",L1862*G1862,IF(C1862="Sell",(L1862*G1862)-I1862, X)),IF(C1862="Buy",(L1862*G1862*100)+I1862,IF(C1862="Sell",(L1862*G1862*100)-I1862, X))))</f>
        <v/>
      </c>
      <c r="N1862" s="78">
        <f>IF(ISBLANK(L1862),"",IF(AND(C1862="Sell",D1862="Stock"),M1862,IF(ISBLANK(L1862),"",IF(C1862="Buy",M1862, IF(AND(C1862="Sell",J1862="NA"),(E1862*G1862*100*0.1)+I1862, IF(C1862="Sell",(J1862-L1862)*(100*G1862)+I1862))))))</f>
        <v/>
      </c>
      <c r="O1862" s="75" t="n"/>
      <c r="P1862" s="75" t="n"/>
      <c r="Q1862" s="75">
        <f>IF(ISBLANK(P1862),"",IF(D1862="Stock",P1862*G1862,IF(P1862=0,"0",G1862*P1862*100-(G1862*$AF$14))))</f>
        <v/>
      </c>
      <c r="R1862" s="79">
        <f>IF(P1862&lt;&gt;"", TODAY(), "")</f>
        <v/>
      </c>
      <c r="S1862" s="78">
        <f>IF(AND(K1862&lt;&gt;"", R1862&lt;&gt;""), R1862-K1862, "")</f>
        <v/>
      </c>
      <c r="T1862" s="78" t="n"/>
      <c r="U1862" s="92">
        <f>IF(ISBLANK(P1862),"",IF(C1862="Buy",Q1862-M1862+T1862, IF(C1862="Sell",M1862-Q1862-T1862, X)))</f>
        <v/>
      </c>
      <c r="V1862" s="81">
        <f>IF(ISBLANK(P1862),"",U1862/N1862)</f>
        <v/>
      </c>
      <c r="W1862" s="81">
        <f>IF(ISBLANK(P1862),"",IF(S1862=0,(365/0.5)*V1862,(365/S1862)*V1862))</f>
        <v/>
      </c>
      <c r="X1862" s="75" t="n"/>
      <c r="Y1862" s="77" t="n"/>
      <c r="Z1862" s="77" t="n"/>
      <c r="AA1862" s="75" t="n"/>
      <c r="AB1862" s="75" t="n"/>
      <c r="AC1862" s="6" t="n"/>
      <c r="AD1862" s="75" t="n"/>
      <c r="AE1862" s="75" t="n"/>
      <c r="AF1862" s="75" t="n"/>
    </row>
    <row r="1863" ht="15.75" customHeight="1" s="133">
      <c r="A1863" s="75" t="n"/>
      <c r="B1863" s="75" t="n"/>
      <c r="C1863" s="75" t="n"/>
      <c r="D1863" s="75" t="n"/>
      <c r="E1863" s="76" t="n"/>
      <c r="F1863" s="77" t="n"/>
      <c r="G1863" s="75" t="n"/>
      <c r="H1863" s="75">
        <f>IF(ISBLANK(E1863),"",IF(OR(D1863="Butterfly",D1863="Butterfly ",D1863="Iron Fly", D1863="Iron Fly "),LEN(E1863)-LEN(SUBSTITUTE(E1863,"/",""))+2,LEN(E1863)-LEN(SUBSTITUTE(E1863,"/",""))+1))</f>
        <v/>
      </c>
      <c r="I1863" s="78">
        <f>IF(ISBLANK(G1863),"",IF(D1863="Stock","0",Key!$A$3*H1863*G1863))</f>
        <v/>
      </c>
      <c r="J1863" s="78">
        <f>IF(ISBLANK(E1863),"",IF(ISNUMBER(SEARCH("/",E1863)), IF(LEN(E1863)-LEN(SUBSTITUTE(E1863,"/",""))=1,(RIGHT(E1863,LEN(E1863)-FIND("/",E1863)))-(LEFT(E1863,FIND("/",E1863)-1)),(MID(E1863, SEARCH("/",E1863) + 1, SEARCH("/",E1863, SEARCH("/",E1863)+1) - SEARCH("/",E1863) - 1))-(LEFT(E1863,FIND("/",E1863)-1))), "NA"))</f>
        <v/>
      </c>
      <c r="K1863" s="79">
        <f>IF(A1863&lt;&gt;"", IF(ISBLANK(L1863), TODAY(), K1863), "")</f>
        <v/>
      </c>
      <c r="L1863" s="78" t="n"/>
      <c r="M1863" s="78">
        <f>IF(ISBLANK(L1863),"",IF(D1863="Stock",IF(C1863="Buy",L1863*G1863,IF(C1863="Sell",(L1863*G1863)-I1863, X)),IF(C1863="Buy",(L1863*G1863*100)+I1863,IF(C1863="Sell",(L1863*G1863*100)-I1863, X))))</f>
        <v/>
      </c>
      <c r="N1863" s="78">
        <f>IF(ISBLANK(L1863),"",IF(AND(C1863="Sell",D1863="Stock"),M1863,IF(ISBLANK(L1863),"",IF(C1863="Buy",M1863, IF(AND(C1863="Sell",J1863="NA"),(E1863*G1863*100*0.1)+I1863, IF(C1863="Sell",(J1863-L1863)*(100*G1863)+I1863))))))</f>
        <v/>
      </c>
      <c r="O1863" s="75" t="n"/>
      <c r="P1863" s="75" t="n"/>
      <c r="Q1863" s="75">
        <f>IF(ISBLANK(P1863),"",IF(D1863="Stock",P1863*G1863,IF(P1863=0,"0",G1863*P1863*100-(G1863*$AF$14))))</f>
        <v/>
      </c>
      <c r="R1863" s="79">
        <f>IF(P1863&lt;&gt;"", TODAY(), "")</f>
        <v/>
      </c>
      <c r="S1863" s="78">
        <f>IF(AND(K1863&lt;&gt;"", R1863&lt;&gt;""), R1863-K1863, "")</f>
        <v/>
      </c>
      <c r="T1863" s="78" t="n"/>
      <c r="U1863" s="92">
        <f>IF(ISBLANK(P1863),"",IF(C1863="Buy",Q1863-M1863+T1863, IF(C1863="Sell",M1863-Q1863-T1863, X)))</f>
        <v/>
      </c>
      <c r="V1863" s="81">
        <f>IF(ISBLANK(P1863),"",U1863/N1863)</f>
        <v/>
      </c>
      <c r="W1863" s="81">
        <f>IF(ISBLANK(P1863),"",IF(S1863=0,(365/0.5)*V1863,(365/S1863)*V1863))</f>
        <v/>
      </c>
      <c r="X1863" s="75" t="n"/>
      <c r="Y1863" s="77" t="n"/>
      <c r="Z1863" s="77" t="n"/>
      <c r="AA1863" s="75" t="n"/>
      <c r="AB1863" s="75" t="n"/>
      <c r="AC1863" s="6" t="n"/>
      <c r="AD1863" s="75" t="n"/>
      <c r="AE1863" s="75" t="n"/>
      <c r="AF1863" s="75" t="n"/>
    </row>
    <row r="1864" ht="15.75" customHeight="1" s="133">
      <c r="A1864" s="75" t="n"/>
      <c r="B1864" s="75" t="n"/>
      <c r="C1864" s="75" t="n"/>
      <c r="D1864" s="75" t="n"/>
      <c r="E1864" s="76" t="n"/>
      <c r="F1864" s="77" t="n"/>
      <c r="G1864" s="75" t="n"/>
      <c r="H1864" s="75">
        <f>IF(ISBLANK(E1864),"",IF(OR(D1864="Butterfly",D1864="Butterfly ",D1864="Iron Fly", D1864="Iron Fly "),LEN(E1864)-LEN(SUBSTITUTE(E1864,"/",""))+2,LEN(E1864)-LEN(SUBSTITUTE(E1864,"/",""))+1))</f>
        <v/>
      </c>
      <c r="I1864" s="78">
        <f>IF(ISBLANK(G1864),"",IF(D1864="Stock","0",Key!$A$3*H1864*G1864))</f>
        <v/>
      </c>
      <c r="J1864" s="78">
        <f>IF(ISBLANK(E1864),"",IF(ISNUMBER(SEARCH("/",E1864)), IF(LEN(E1864)-LEN(SUBSTITUTE(E1864,"/",""))=1,(RIGHT(E1864,LEN(E1864)-FIND("/",E1864)))-(LEFT(E1864,FIND("/",E1864)-1)),(MID(E1864, SEARCH("/",E1864) + 1, SEARCH("/",E1864, SEARCH("/",E1864)+1) - SEARCH("/",E1864) - 1))-(LEFT(E1864,FIND("/",E1864)-1))), "NA"))</f>
        <v/>
      </c>
      <c r="K1864" s="79">
        <f>IF(A1864&lt;&gt;"", IF(ISBLANK(L1864), TODAY(), K1864), "")</f>
        <v/>
      </c>
      <c r="L1864" s="78" t="n"/>
      <c r="M1864" s="78">
        <f>IF(ISBLANK(L1864),"",IF(D1864="Stock",IF(C1864="Buy",L1864*G1864,IF(C1864="Sell",(L1864*G1864)-I1864, X)),IF(C1864="Buy",(L1864*G1864*100)+I1864,IF(C1864="Sell",(L1864*G1864*100)-I1864, X))))</f>
        <v/>
      </c>
      <c r="N1864" s="78">
        <f>IF(ISBLANK(L1864),"",IF(AND(C1864="Sell",D1864="Stock"),M1864,IF(ISBLANK(L1864),"",IF(C1864="Buy",M1864, IF(AND(C1864="Sell",J1864="NA"),(E1864*G1864*100*0.1)+I1864, IF(C1864="Sell",(J1864-L1864)*(100*G1864)+I1864))))))</f>
        <v/>
      </c>
      <c r="O1864" s="75" t="n"/>
      <c r="P1864" s="75" t="n"/>
      <c r="Q1864" s="75">
        <f>IF(ISBLANK(P1864),"",IF(D1864="Stock",P1864*G1864,IF(P1864=0,"0",G1864*P1864*100-(G1864*$AF$14))))</f>
        <v/>
      </c>
      <c r="R1864" s="79">
        <f>IF(P1864&lt;&gt;"", TODAY(), "")</f>
        <v/>
      </c>
      <c r="S1864" s="78">
        <f>IF(AND(K1864&lt;&gt;"", R1864&lt;&gt;""), R1864-K1864, "")</f>
        <v/>
      </c>
      <c r="T1864" s="78" t="n"/>
      <c r="U1864" s="92">
        <f>IF(ISBLANK(P1864),"",IF(C1864="Buy",Q1864-M1864+T1864, IF(C1864="Sell",M1864-Q1864-T1864, X)))</f>
        <v/>
      </c>
      <c r="V1864" s="81">
        <f>IF(ISBLANK(P1864),"",U1864/N1864)</f>
        <v/>
      </c>
      <c r="W1864" s="81">
        <f>IF(ISBLANK(P1864),"",IF(S1864=0,(365/0.5)*V1864,(365/S1864)*V1864))</f>
        <v/>
      </c>
      <c r="X1864" s="75" t="n"/>
      <c r="Y1864" s="77" t="n"/>
      <c r="Z1864" s="77" t="n"/>
      <c r="AA1864" s="75" t="n"/>
      <c r="AB1864" s="75" t="n"/>
      <c r="AC1864" s="6" t="n"/>
      <c r="AD1864" s="75" t="n"/>
      <c r="AE1864" s="75" t="n"/>
      <c r="AF1864" s="75" t="n"/>
    </row>
    <row r="1865" ht="15.75" customHeight="1" s="133">
      <c r="A1865" s="75" t="n"/>
      <c r="B1865" s="75" t="n"/>
      <c r="C1865" s="75" t="n"/>
      <c r="D1865" s="75" t="n"/>
      <c r="E1865" s="76" t="n"/>
      <c r="F1865" s="77" t="n"/>
      <c r="G1865" s="75" t="n"/>
      <c r="H1865" s="75">
        <f>IF(ISBLANK(E1865),"",IF(OR(D1865="Butterfly",D1865="Butterfly ",D1865="Iron Fly", D1865="Iron Fly "),LEN(E1865)-LEN(SUBSTITUTE(E1865,"/",""))+2,LEN(E1865)-LEN(SUBSTITUTE(E1865,"/",""))+1))</f>
        <v/>
      </c>
      <c r="I1865" s="78">
        <f>IF(ISBLANK(G1865),"",IF(D1865="Stock","0",Key!$A$3*H1865*G1865))</f>
        <v/>
      </c>
      <c r="J1865" s="78">
        <f>IF(ISBLANK(E1865),"",IF(ISNUMBER(SEARCH("/",E1865)), IF(LEN(E1865)-LEN(SUBSTITUTE(E1865,"/",""))=1,(RIGHT(E1865,LEN(E1865)-FIND("/",E1865)))-(LEFT(E1865,FIND("/",E1865)-1)),(MID(E1865, SEARCH("/",E1865) + 1, SEARCH("/",E1865, SEARCH("/",E1865)+1) - SEARCH("/",E1865) - 1))-(LEFT(E1865,FIND("/",E1865)-1))), "NA"))</f>
        <v/>
      </c>
      <c r="K1865" s="79">
        <f>IF(A1865&lt;&gt;"", IF(ISBLANK(L1865), TODAY(), K1865), "")</f>
        <v/>
      </c>
      <c r="L1865" s="78" t="n"/>
      <c r="M1865" s="78">
        <f>IF(ISBLANK(L1865),"",IF(D1865="Stock",IF(C1865="Buy",L1865*G1865,IF(C1865="Sell",(L1865*G1865)-I1865, X)),IF(C1865="Buy",(L1865*G1865*100)+I1865,IF(C1865="Sell",(L1865*G1865*100)-I1865, X))))</f>
        <v/>
      </c>
      <c r="N1865" s="78">
        <f>IF(ISBLANK(L1865),"",IF(AND(C1865="Sell",D1865="Stock"),M1865,IF(ISBLANK(L1865),"",IF(C1865="Buy",M1865, IF(AND(C1865="Sell",J1865="NA"),(E1865*G1865*100*0.1)+I1865, IF(C1865="Sell",(J1865-L1865)*(100*G1865)+I1865))))))</f>
        <v/>
      </c>
      <c r="O1865" s="75" t="n"/>
      <c r="P1865" s="75" t="n"/>
      <c r="Q1865" s="75">
        <f>IF(ISBLANK(P1865),"",IF(D1865="Stock",P1865*G1865,IF(P1865=0,"0",G1865*P1865*100-(G1865*$AF$14))))</f>
        <v/>
      </c>
      <c r="R1865" s="79">
        <f>IF(P1865&lt;&gt;"", TODAY(), "")</f>
        <v/>
      </c>
      <c r="S1865" s="78">
        <f>IF(AND(K1865&lt;&gt;"", R1865&lt;&gt;""), R1865-K1865, "")</f>
        <v/>
      </c>
      <c r="T1865" s="78" t="n"/>
      <c r="U1865" s="92">
        <f>IF(ISBLANK(P1865),"",IF(C1865="Buy",Q1865-M1865+T1865, IF(C1865="Sell",M1865-Q1865-T1865, X)))</f>
        <v/>
      </c>
      <c r="V1865" s="81">
        <f>IF(ISBLANK(P1865),"",U1865/N1865)</f>
        <v/>
      </c>
      <c r="W1865" s="81">
        <f>IF(ISBLANK(P1865),"",IF(S1865=0,(365/0.5)*V1865,(365/S1865)*V1865))</f>
        <v/>
      </c>
      <c r="X1865" s="75" t="n"/>
      <c r="Y1865" s="77" t="n"/>
      <c r="Z1865" s="77" t="n"/>
      <c r="AA1865" s="75" t="n"/>
      <c r="AB1865" s="75" t="n"/>
      <c r="AC1865" s="6" t="n"/>
      <c r="AD1865" s="75" t="n"/>
      <c r="AE1865" s="75" t="n"/>
      <c r="AF1865" s="75" t="n"/>
    </row>
    <row r="1866" ht="15.75" customHeight="1" s="133">
      <c r="A1866" s="75" t="n"/>
      <c r="B1866" s="75" t="n"/>
      <c r="C1866" s="75" t="n"/>
      <c r="D1866" s="75" t="n"/>
      <c r="E1866" s="76" t="n"/>
      <c r="F1866" s="77" t="n"/>
      <c r="G1866" s="75" t="n"/>
      <c r="H1866" s="75">
        <f>IF(ISBLANK(E1866),"",IF(OR(D1866="Butterfly",D1866="Butterfly ",D1866="Iron Fly", D1866="Iron Fly "),LEN(E1866)-LEN(SUBSTITUTE(E1866,"/",""))+2,LEN(E1866)-LEN(SUBSTITUTE(E1866,"/",""))+1))</f>
        <v/>
      </c>
      <c r="I1866" s="78">
        <f>IF(ISBLANK(G1866),"",IF(D1866="Stock","0",Key!$A$3*H1866*G1866))</f>
        <v/>
      </c>
      <c r="J1866" s="78">
        <f>IF(ISBLANK(E1866),"",IF(ISNUMBER(SEARCH("/",E1866)), IF(LEN(E1866)-LEN(SUBSTITUTE(E1866,"/",""))=1,(RIGHT(E1866,LEN(E1866)-FIND("/",E1866)))-(LEFT(E1866,FIND("/",E1866)-1)),(MID(E1866, SEARCH("/",E1866) + 1, SEARCH("/",E1866, SEARCH("/",E1866)+1) - SEARCH("/",E1866) - 1))-(LEFT(E1866,FIND("/",E1866)-1))), "NA"))</f>
        <v/>
      </c>
      <c r="K1866" s="79">
        <f>IF(A1866&lt;&gt;"", IF(ISBLANK(L1866), TODAY(), K1866), "")</f>
        <v/>
      </c>
      <c r="L1866" s="78" t="n"/>
      <c r="M1866" s="78">
        <f>IF(ISBLANK(L1866),"",IF(D1866="Stock",IF(C1866="Buy",L1866*G1866,IF(C1866="Sell",(L1866*G1866)-I1866, X)),IF(C1866="Buy",(L1866*G1866*100)+I1866,IF(C1866="Sell",(L1866*G1866*100)-I1866, X))))</f>
        <v/>
      </c>
      <c r="N1866" s="78">
        <f>IF(ISBLANK(L1866),"",IF(AND(C1866="Sell",D1866="Stock"),M1866,IF(ISBLANK(L1866),"",IF(C1866="Buy",M1866, IF(AND(C1866="Sell",J1866="NA"),(E1866*G1866*100*0.1)+I1866, IF(C1866="Sell",(J1866-L1866)*(100*G1866)+I1866))))))</f>
        <v/>
      </c>
      <c r="O1866" s="75" t="n"/>
      <c r="P1866" s="75" t="n"/>
      <c r="Q1866" s="75">
        <f>IF(ISBLANK(P1866),"",IF(D1866="Stock",P1866*G1866,IF(P1866=0,"0",G1866*P1866*100-(G1866*$AF$14))))</f>
        <v/>
      </c>
      <c r="R1866" s="79">
        <f>IF(P1866&lt;&gt;"", TODAY(), "")</f>
        <v/>
      </c>
      <c r="S1866" s="78">
        <f>IF(AND(K1866&lt;&gt;"", R1866&lt;&gt;""), R1866-K1866, "")</f>
        <v/>
      </c>
      <c r="T1866" s="78" t="n"/>
      <c r="U1866" s="92">
        <f>IF(ISBLANK(P1866),"",IF(C1866="Buy",Q1866-M1866+T1866, IF(C1866="Sell",M1866-Q1866-T1866, X)))</f>
        <v/>
      </c>
      <c r="V1866" s="81">
        <f>IF(ISBLANK(P1866),"",U1866/N1866)</f>
        <v/>
      </c>
      <c r="W1866" s="81">
        <f>IF(ISBLANK(P1866),"",IF(S1866=0,(365/0.5)*V1866,(365/S1866)*V1866))</f>
        <v/>
      </c>
      <c r="X1866" s="75" t="n"/>
      <c r="Y1866" s="77" t="n"/>
      <c r="Z1866" s="77" t="n"/>
      <c r="AA1866" s="75" t="n"/>
      <c r="AB1866" s="75" t="n"/>
      <c r="AC1866" s="6" t="n"/>
      <c r="AD1866" s="75" t="n"/>
      <c r="AE1866" s="75" t="n"/>
      <c r="AF1866" s="75" t="n"/>
    </row>
    <row r="1867" ht="15.75" customHeight="1" s="133">
      <c r="A1867" s="75" t="n"/>
      <c r="B1867" s="75" t="n"/>
      <c r="C1867" s="75" t="n"/>
      <c r="D1867" s="75" t="n"/>
      <c r="E1867" s="76" t="n"/>
      <c r="F1867" s="77" t="n"/>
      <c r="G1867" s="75" t="n"/>
      <c r="H1867" s="75">
        <f>IF(ISBLANK(E1867),"",IF(OR(D1867="Butterfly",D1867="Butterfly ",D1867="Iron Fly", D1867="Iron Fly "),LEN(E1867)-LEN(SUBSTITUTE(E1867,"/",""))+2,LEN(E1867)-LEN(SUBSTITUTE(E1867,"/",""))+1))</f>
        <v/>
      </c>
      <c r="I1867" s="78">
        <f>IF(ISBLANK(G1867),"",IF(D1867="Stock","0",Key!$A$3*H1867*G1867))</f>
        <v/>
      </c>
      <c r="J1867" s="78">
        <f>IF(ISBLANK(E1867),"",IF(ISNUMBER(SEARCH("/",E1867)), IF(LEN(E1867)-LEN(SUBSTITUTE(E1867,"/",""))=1,(RIGHT(E1867,LEN(E1867)-FIND("/",E1867)))-(LEFT(E1867,FIND("/",E1867)-1)),(MID(E1867, SEARCH("/",E1867) + 1, SEARCH("/",E1867, SEARCH("/",E1867)+1) - SEARCH("/",E1867) - 1))-(LEFT(E1867,FIND("/",E1867)-1))), "NA"))</f>
        <v/>
      </c>
      <c r="K1867" s="79">
        <f>IF(A1867&lt;&gt;"", IF(ISBLANK(L1867), TODAY(), K1867), "")</f>
        <v/>
      </c>
      <c r="L1867" s="78" t="n"/>
      <c r="M1867" s="78">
        <f>IF(ISBLANK(L1867),"",IF(D1867="Stock",IF(C1867="Buy",L1867*G1867,IF(C1867="Sell",(L1867*G1867)-I1867, X)),IF(C1867="Buy",(L1867*G1867*100)+I1867,IF(C1867="Sell",(L1867*G1867*100)-I1867, X))))</f>
        <v/>
      </c>
      <c r="N1867" s="78">
        <f>IF(ISBLANK(L1867),"",IF(AND(C1867="Sell",D1867="Stock"),M1867,IF(ISBLANK(L1867),"",IF(C1867="Buy",M1867, IF(AND(C1867="Sell",J1867="NA"),(E1867*G1867*100*0.1)+I1867, IF(C1867="Sell",(J1867-L1867)*(100*G1867)+I1867))))))</f>
        <v/>
      </c>
      <c r="O1867" s="75" t="n"/>
      <c r="P1867" s="75" t="n"/>
      <c r="Q1867" s="75">
        <f>IF(ISBLANK(P1867),"",IF(D1867="Stock",P1867*G1867,IF(P1867=0,"0",G1867*P1867*100-(G1867*$AF$14))))</f>
        <v/>
      </c>
      <c r="R1867" s="79">
        <f>IF(P1867&lt;&gt;"", TODAY(), "")</f>
        <v/>
      </c>
      <c r="S1867" s="78">
        <f>IF(AND(K1867&lt;&gt;"", R1867&lt;&gt;""), R1867-K1867, "")</f>
        <v/>
      </c>
      <c r="T1867" s="78" t="n"/>
      <c r="U1867" s="92">
        <f>IF(ISBLANK(P1867),"",IF(C1867="Buy",Q1867-M1867+T1867, IF(C1867="Sell",M1867-Q1867-T1867, X)))</f>
        <v/>
      </c>
      <c r="V1867" s="81">
        <f>IF(ISBLANK(P1867),"",U1867/N1867)</f>
        <v/>
      </c>
      <c r="W1867" s="81">
        <f>IF(ISBLANK(P1867),"",IF(S1867=0,(365/0.5)*V1867,(365/S1867)*V1867))</f>
        <v/>
      </c>
      <c r="X1867" s="75" t="n"/>
      <c r="Y1867" s="77" t="n"/>
      <c r="Z1867" s="77" t="n"/>
      <c r="AA1867" s="75" t="n"/>
      <c r="AB1867" s="75" t="n"/>
      <c r="AC1867" s="6" t="n"/>
      <c r="AD1867" s="75" t="n"/>
      <c r="AE1867" s="75" t="n"/>
      <c r="AF1867" s="75" t="n"/>
    </row>
    <row r="1868" ht="15.75" customHeight="1" s="133">
      <c r="A1868" s="75" t="n"/>
      <c r="B1868" s="75" t="n"/>
      <c r="C1868" s="75" t="n"/>
      <c r="D1868" s="75" t="n"/>
      <c r="E1868" s="76" t="n"/>
      <c r="F1868" s="77" t="n"/>
      <c r="G1868" s="75" t="n"/>
      <c r="H1868" s="75">
        <f>IF(ISBLANK(E1868),"",IF(OR(D1868="Butterfly",D1868="Butterfly ",D1868="Iron Fly", D1868="Iron Fly "),LEN(E1868)-LEN(SUBSTITUTE(E1868,"/",""))+2,LEN(E1868)-LEN(SUBSTITUTE(E1868,"/",""))+1))</f>
        <v/>
      </c>
      <c r="I1868" s="78">
        <f>IF(ISBLANK(G1868),"",IF(D1868="Stock","0",Key!$A$3*H1868*G1868))</f>
        <v/>
      </c>
      <c r="J1868" s="78">
        <f>IF(ISBLANK(E1868),"",IF(ISNUMBER(SEARCH("/",E1868)), IF(LEN(E1868)-LEN(SUBSTITUTE(E1868,"/",""))=1,(RIGHT(E1868,LEN(E1868)-FIND("/",E1868)))-(LEFT(E1868,FIND("/",E1868)-1)),(MID(E1868, SEARCH("/",E1868) + 1, SEARCH("/",E1868, SEARCH("/",E1868)+1) - SEARCH("/",E1868) - 1))-(LEFT(E1868,FIND("/",E1868)-1))), "NA"))</f>
        <v/>
      </c>
      <c r="K1868" s="79">
        <f>IF(A1868&lt;&gt;"", IF(ISBLANK(L1868), TODAY(), K1868), "")</f>
        <v/>
      </c>
      <c r="L1868" s="78" t="n"/>
      <c r="M1868" s="78">
        <f>IF(ISBLANK(L1868),"",IF(D1868="Stock",IF(C1868="Buy",L1868*G1868,IF(C1868="Sell",(L1868*G1868)-I1868, X)),IF(C1868="Buy",(L1868*G1868*100)+I1868,IF(C1868="Sell",(L1868*G1868*100)-I1868, X))))</f>
        <v/>
      </c>
      <c r="N1868" s="78">
        <f>IF(ISBLANK(L1868),"",IF(AND(C1868="Sell",D1868="Stock"),M1868,IF(ISBLANK(L1868),"",IF(C1868="Buy",M1868, IF(AND(C1868="Sell",J1868="NA"),(E1868*G1868*100*0.1)+I1868, IF(C1868="Sell",(J1868-L1868)*(100*G1868)+I1868))))))</f>
        <v/>
      </c>
      <c r="O1868" s="75" t="n"/>
      <c r="P1868" s="75" t="n"/>
      <c r="Q1868" s="75">
        <f>IF(ISBLANK(P1868),"",IF(D1868="Stock",P1868*G1868,IF(P1868=0,"0",G1868*P1868*100-(G1868*$AF$14))))</f>
        <v/>
      </c>
      <c r="R1868" s="79">
        <f>IF(P1868&lt;&gt;"", TODAY(), "")</f>
        <v/>
      </c>
      <c r="S1868" s="78">
        <f>IF(AND(K1868&lt;&gt;"", R1868&lt;&gt;""), R1868-K1868, "")</f>
        <v/>
      </c>
      <c r="T1868" s="78" t="n"/>
      <c r="U1868" s="92">
        <f>IF(ISBLANK(P1868),"",IF(C1868="Buy",Q1868-M1868+T1868, IF(C1868="Sell",M1868-Q1868-T1868, X)))</f>
        <v/>
      </c>
      <c r="V1868" s="81">
        <f>IF(ISBLANK(P1868),"",U1868/N1868)</f>
        <v/>
      </c>
      <c r="W1868" s="81">
        <f>IF(ISBLANK(P1868),"",IF(S1868=0,(365/0.5)*V1868,(365/S1868)*V1868))</f>
        <v/>
      </c>
      <c r="X1868" s="75" t="n"/>
      <c r="Y1868" s="77" t="n"/>
      <c r="Z1868" s="77" t="n"/>
      <c r="AA1868" s="75" t="n"/>
      <c r="AB1868" s="75" t="n"/>
      <c r="AC1868" s="6" t="n"/>
      <c r="AD1868" s="75" t="n"/>
      <c r="AE1868" s="75" t="n"/>
      <c r="AF1868" s="75" t="n"/>
    </row>
    <row r="1869" ht="15.75" customHeight="1" s="133">
      <c r="A1869" s="75" t="n"/>
      <c r="B1869" s="75" t="n"/>
      <c r="C1869" s="75" t="n"/>
      <c r="D1869" s="75" t="n"/>
      <c r="E1869" s="76" t="n"/>
      <c r="F1869" s="77" t="n"/>
      <c r="G1869" s="75" t="n"/>
      <c r="H1869" s="75">
        <f>IF(ISBLANK(E1869),"",IF(OR(D1869="Butterfly",D1869="Butterfly ",D1869="Iron Fly", D1869="Iron Fly "),LEN(E1869)-LEN(SUBSTITUTE(E1869,"/",""))+2,LEN(E1869)-LEN(SUBSTITUTE(E1869,"/",""))+1))</f>
        <v/>
      </c>
      <c r="I1869" s="78">
        <f>IF(ISBLANK(G1869),"",IF(D1869="Stock","0",Key!$A$3*H1869*G1869))</f>
        <v/>
      </c>
      <c r="J1869" s="78">
        <f>IF(ISBLANK(E1869),"",IF(ISNUMBER(SEARCH("/",E1869)), IF(LEN(E1869)-LEN(SUBSTITUTE(E1869,"/",""))=1,(RIGHT(E1869,LEN(E1869)-FIND("/",E1869)))-(LEFT(E1869,FIND("/",E1869)-1)),(MID(E1869, SEARCH("/",E1869) + 1, SEARCH("/",E1869, SEARCH("/",E1869)+1) - SEARCH("/",E1869) - 1))-(LEFT(E1869,FIND("/",E1869)-1))), "NA"))</f>
        <v/>
      </c>
      <c r="K1869" s="79">
        <f>IF(A1869&lt;&gt;"", IF(ISBLANK(L1869), TODAY(), K1869), "")</f>
        <v/>
      </c>
      <c r="L1869" s="78" t="n"/>
      <c r="M1869" s="78">
        <f>IF(ISBLANK(L1869),"",IF(D1869="Stock",IF(C1869="Buy",L1869*G1869,IF(C1869="Sell",(L1869*G1869)-I1869, X)),IF(C1869="Buy",(L1869*G1869*100)+I1869,IF(C1869="Sell",(L1869*G1869*100)-I1869, X))))</f>
        <v/>
      </c>
      <c r="N1869" s="78">
        <f>IF(ISBLANK(L1869),"",IF(AND(C1869="Sell",D1869="Stock"),M1869,IF(ISBLANK(L1869),"",IF(C1869="Buy",M1869, IF(AND(C1869="Sell",J1869="NA"),(E1869*G1869*100*0.1)+I1869, IF(C1869="Sell",(J1869-L1869)*(100*G1869)+I1869))))))</f>
        <v/>
      </c>
      <c r="O1869" s="75" t="n"/>
      <c r="P1869" s="75" t="n"/>
      <c r="Q1869" s="75">
        <f>IF(ISBLANK(P1869),"",IF(D1869="Stock",P1869*G1869,IF(P1869=0,"0",G1869*P1869*100-(G1869*$AF$14))))</f>
        <v/>
      </c>
      <c r="R1869" s="79">
        <f>IF(P1869&lt;&gt;"", TODAY(), "")</f>
        <v/>
      </c>
      <c r="S1869" s="78">
        <f>IF(AND(K1869&lt;&gt;"", R1869&lt;&gt;""), R1869-K1869, "")</f>
        <v/>
      </c>
      <c r="T1869" s="78" t="n"/>
      <c r="U1869" s="92">
        <f>IF(ISBLANK(P1869),"",IF(C1869="Buy",Q1869-M1869+T1869, IF(C1869="Sell",M1869-Q1869-T1869, X)))</f>
        <v/>
      </c>
      <c r="V1869" s="81">
        <f>IF(ISBLANK(P1869),"",U1869/N1869)</f>
        <v/>
      </c>
      <c r="W1869" s="81">
        <f>IF(ISBLANK(P1869),"",IF(S1869=0,(365/0.5)*V1869,(365/S1869)*V1869))</f>
        <v/>
      </c>
      <c r="X1869" s="75" t="n"/>
      <c r="Y1869" s="77" t="n"/>
      <c r="Z1869" s="77" t="n"/>
      <c r="AA1869" s="75" t="n"/>
      <c r="AB1869" s="75" t="n"/>
      <c r="AC1869" s="6" t="n"/>
      <c r="AD1869" s="75" t="n"/>
      <c r="AE1869" s="75" t="n"/>
      <c r="AF1869" s="75" t="n"/>
    </row>
    <row r="1870" ht="15.75" customHeight="1" s="133">
      <c r="A1870" s="75" t="n"/>
      <c r="B1870" s="75" t="n"/>
      <c r="C1870" s="75" t="n"/>
      <c r="D1870" s="75" t="n"/>
      <c r="E1870" s="76" t="n"/>
      <c r="F1870" s="77" t="n"/>
      <c r="G1870" s="75" t="n"/>
      <c r="H1870" s="75">
        <f>IF(ISBLANK(E1870),"",IF(OR(D1870="Butterfly",D1870="Butterfly ",D1870="Iron Fly", D1870="Iron Fly "),LEN(E1870)-LEN(SUBSTITUTE(E1870,"/",""))+2,LEN(E1870)-LEN(SUBSTITUTE(E1870,"/",""))+1))</f>
        <v/>
      </c>
      <c r="I1870" s="78">
        <f>IF(ISBLANK(G1870),"",IF(D1870="Stock","0",Key!$A$3*H1870*G1870))</f>
        <v/>
      </c>
      <c r="J1870" s="78">
        <f>IF(ISBLANK(E1870),"",IF(ISNUMBER(SEARCH("/",E1870)), IF(LEN(E1870)-LEN(SUBSTITUTE(E1870,"/",""))=1,(RIGHT(E1870,LEN(E1870)-FIND("/",E1870)))-(LEFT(E1870,FIND("/",E1870)-1)),(MID(E1870, SEARCH("/",E1870) + 1, SEARCH("/",E1870, SEARCH("/",E1870)+1) - SEARCH("/",E1870) - 1))-(LEFT(E1870,FIND("/",E1870)-1))), "NA"))</f>
        <v/>
      </c>
      <c r="K1870" s="79">
        <f>IF(A1870&lt;&gt;"", IF(ISBLANK(L1870), TODAY(), K1870), "")</f>
        <v/>
      </c>
      <c r="L1870" s="78" t="n"/>
      <c r="M1870" s="78">
        <f>IF(ISBLANK(L1870),"",IF(D1870="Stock",IF(C1870="Buy",L1870*G1870,IF(C1870="Sell",(L1870*G1870)-I1870, X)),IF(C1870="Buy",(L1870*G1870*100)+I1870,IF(C1870="Sell",(L1870*G1870*100)-I1870, X))))</f>
        <v/>
      </c>
      <c r="N1870" s="78">
        <f>IF(ISBLANK(L1870),"",IF(AND(C1870="Sell",D1870="Stock"),M1870,IF(ISBLANK(L1870),"",IF(C1870="Buy",M1870, IF(AND(C1870="Sell",J1870="NA"),(E1870*G1870*100*0.1)+I1870, IF(C1870="Sell",(J1870-L1870)*(100*G1870)+I1870))))))</f>
        <v/>
      </c>
      <c r="O1870" s="75" t="n"/>
      <c r="P1870" s="75" t="n"/>
      <c r="Q1870" s="75">
        <f>IF(ISBLANK(P1870),"",IF(D1870="Stock",P1870*G1870,IF(P1870=0,"0",G1870*P1870*100-(G1870*$AF$14))))</f>
        <v/>
      </c>
      <c r="R1870" s="79">
        <f>IF(P1870&lt;&gt;"", TODAY(), "")</f>
        <v/>
      </c>
      <c r="S1870" s="78">
        <f>IF(AND(K1870&lt;&gt;"", R1870&lt;&gt;""), R1870-K1870, "")</f>
        <v/>
      </c>
      <c r="T1870" s="78" t="n"/>
      <c r="U1870" s="92">
        <f>IF(ISBLANK(P1870),"",IF(C1870="Buy",Q1870-M1870+T1870, IF(C1870="Sell",M1870-Q1870-T1870, X)))</f>
        <v/>
      </c>
      <c r="V1870" s="81">
        <f>IF(ISBLANK(P1870),"",U1870/N1870)</f>
        <v/>
      </c>
      <c r="W1870" s="81">
        <f>IF(ISBLANK(P1870),"",IF(S1870=0,(365/0.5)*V1870,(365/S1870)*V1870))</f>
        <v/>
      </c>
      <c r="X1870" s="75" t="n"/>
      <c r="Y1870" s="77" t="n"/>
      <c r="Z1870" s="77" t="n"/>
      <c r="AA1870" s="75" t="n"/>
      <c r="AB1870" s="75" t="n"/>
      <c r="AC1870" s="6" t="n"/>
      <c r="AD1870" s="75" t="n"/>
      <c r="AE1870" s="75" t="n"/>
      <c r="AF1870" s="75" t="n"/>
    </row>
    <row r="1871" ht="15.75" customHeight="1" s="133">
      <c r="A1871" s="75" t="n"/>
      <c r="B1871" s="75" t="n"/>
      <c r="C1871" s="75" t="n"/>
      <c r="D1871" s="75" t="n"/>
      <c r="E1871" s="76" t="n"/>
      <c r="F1871" s="77" t="n"/>
      <c r="G1871" s="75" t="n"/>
      <c r="H1871" s="75">
        <f>IF(ISBLANK(E1871),"",IF(OR(D1871="Butterfly",D1871="Butterfly ",D1871="Iron Fly", D1871="Iron Fly "),LEN(E1871)-LEN(SUBSTITUTE(E1871,"/",""))+2,LEN(E1871)-LEN(SUBSTITUTE(E1871,"/",""))+1))</f>
        <v/>
      </c>
      <c r="I1871" s="78">
        <f>IF(ISBLANK(G1871),"",IF(D1871="Stock","0",Key!$A$3*H1871*G1871))</f>
        <v/>
      </c>
      <c r="J1871" s="78">
        <f>IF(ISBLANK(E1871),"",IF(ISNUMBER(SEARCH("/",E1871)), IF(LEN(E1871)-LEN(SUBSTITUTE(E1871,"/",""))=1,(RIGHT(E1871,LEN(E1871)-FIND("/",E1871)))-(LEFT(E1871,FIND("/",E1871)-1)),(MID(E1871, SEARCH("/",E1871) + 1, SEARCH("/",E1871, SEARCH("/",E1871)+1) - SEARCH("/",E1871) - 1))-(LEFT(E1871,FIND("/",E1871)-1))), "NA"))</f>
        <v/>
      </c>
      <c r="K1871" s="79">
        <f>IF(A1871&lt;&gt;"", IF(ISBLANK(L1871), TODAY(), K1871), "")</f>
        <v/>
      </c>
      <c r="L1871" s="78" t="n"/>
      <c r="M1871" s="78">
        <f>IF(ISBLANK(L1871),"",IF(D1871="Stock",IF(C1871="Buy",L1871*G1871,IF(C1871="Sell",(L1871*G1871)-I1871, X)),IF(C1871="Buy",(L1871*G1871*100)+I1871,IF(C1871="Sell",(L1871*G1871*100)-I1871, X))))</f>
        <v/>
      </c>
      <c r="N1871" s="78">
        <f>IF(ISBLANK(L1871),"",IF(AND(C1871="Sell",D1871="Stock"),M1871,IF(ISBLANK(L1871),"",IF(C1871="Buy",M1871, IF(AND(C1871="Sell",J1871="NA"),(E1871*G1871*100*0.1)+I1871, IF(C1871="Sell",(J1871-L1871)*(100*G1871)+I1871))))))</f>
        <v/>
      </c>
      <c r="O1871" s="75" t="n"/>
      <c r="P1871" s="75" t="n"/>
      <c r="Q1871" s="75">
        <f>IF(ISBLANK(P1871),"",IF(D1871="Stock",P1871*G1871,IF(P1871=0,"0",G1871*P1871*100-(G1871*$AF$14))))</f>
        <v/>
      </c>
      <c r="R1871" s="79">
        <f>IF(P1871&lt;&gt;"", TODAY(), "")</f>
        <v/>
      </c>
      <c r="S1871" s="78">
        <f>IF(AND(K1871&lt;&gt;"", R1871&lt;&gt;""), R1871-K1871, "")</f>
        <v/>
      </c>
      <c r="T1871" s="78" t="n"/>
      <c r="U1871" s="92">
        <f>IF(ISBLANK(P1871),"",IF(C1871="Buy",Q1871-M1871+T1871, IF(C1871="Sell",M1871-Q1871-T1871, X)))</f>
        <v/>
      </c>
      <c r="V1871" s="81">
        <f>IF(ISBLANK(P1871),"",U1871/N1871)</f>
        <v/>
      </c>
      <c r="W1871" s="81">
        <f>IF(ISBLANK(P1871),"",IF(S1871=0,(365/0.5)*V1871,(365/S1871)*V1871))</f>
        <v/>
      </c>
      <c r="X1871" s="75" t="n"/>
      <c r="Y1871" s="77" t="n"/>
      <c r="Z1871" s="77" t="n"/>
      <c r="AA1871" s="75" t="n"/>
      <c r="AB1871" s="75" t="n"/>
      <c r="AC1871" s="6" t="n"/>
      <c r="AD1871" s="75" t="n"/>
      <c r="AE1871" s="75" t="n"/>
      <c r="AF1871" s="75" t="n"/>
    </row>
    <row r="1872" ht="15.75" customHeight="1" s="133">
      <c r="A1872" s="75" t="n"/>
      <c r="B1872" s="75" t="n"/>
      <c r="C1872" s="75" t="n"/>
      <c r="D1872" s="75" t="n"/>
      <c r="E1872" s="76" t="n"/>
      <c r="F1872" s="77" t="n"/>
      <c r="G1872" s="75" t="n"/>
      <c r="H1872" s="75">
        <f>IF(ISBLANK(E1872),"",IF(OR(D1872="Butterfly",D1872="Butterfly ",D1872="Iron Fly", D1872="Iron Fly "),LEN(E1872)-LEN(SUBSTITUTE(E1872,"/",""))+2,LEN(E1872)-LEN(SUBSTITUTE(E1872,"/",""))+1))</f>
        <v/>
      </c>
      <c r="I1872" s="78">
        <f>IF(ISBLANK(G1872),"",IF(D1872="Stock","0",Key!$A$3*H1872*G1872))</f>
        <v/>
      </c>
      <c r="J1872" s="78">
        <f>IF(ISBLANK(E1872),"",IF(ISNUMBER(SEARCH("/",E1872)), IF(LEN(E1872)-LEN(SUBSTITUTE(E1872,"/",""))=1,(RIGHT(E1872,LEN(E1872)-FIND("/",E1872)))-(LEFT(E1872,FIND("/",E1872)-1)),(MID(E1872, SEARCH("/",E1872) + 1, SEARCH("/",E1872, SEARCH("/",E1872)+1) - SEARCH("/",E1872) - 1))-(LEFT(E1872,FIND("/",E1872)-1))), "NA"))</f>
        <v/>
      </c>
      <c r="K1872" s="79">
        <f>IF(A1872&lt;&gt;"", IF(ISBLANK(L1872), TODAY(), K1872), "")</f>
        <v/>
      </c>
      <c r="L1872" s="78" t="n"/>
      <c r="M1872" s="78">
        <f>IF(ISBLANK(L1872),"",IF(D1872="Stock",IF(C1872="Buy",L1872*G1872,IF(C1872="Sell",(L1872*G1872)-I1872, X)),IF(C1872="Buy",(L1872*G1872*100)+I1872,IF(C1872="Sell",(L1872*G1872*100)-I1872, X))))</f>
        <v/>
      </c>
      <c r="N1872" s="78">
        <f>IF(ISBLANK(L1872),"",IF(AND(C1872="Sell",D1872="Stock"),M1872,IF(ISBLANK(L1872),"",IF(C1872="Buy",M1872, IF(AND(C1872="Sell",J1872="NA"),(E1872*G1872*100*0.1)+I1872, IF(C1872="Sell",(J1872-L1872)*(100*G1872)+I1872))))))</f>
        <v/>
      </c>
      <c r="O1872" s="75" t="n"/>
      <c r="P1872" s="75" t="n"/>
      <c r="Q1872" s="75">
        <f>IF(ISBLANK(P1872),"",IF(D1872="Stock",P1872*G1872,IF(P1872=0,"0",G1872*P1872*100-(G1872*$AF$14))))</f>
        <v/>
      </c>
      <c r="R1872" s="79">
        <f>IF(P1872&lt;&gt;"", TODAY(), "")</f>
        <v/>
      </c>
      <c r="S1872" s="78">
        <f>IF(AND(K1872&lt;&gt;"", R1872&lt;&gt;""), R1872-K1872, "")</f>
        <v/>
      </c>
      <c r="T1872" s="78" t="n"/>
      <c r="U1872" s="92">
        <f>IF(ISBLANK(P1872),"",IF(C1872="Buy",Q1872-M1872+T1872, IF(C1872="Sell",M1872-Q1872-T1872, X)))</f>
        <v/>
      </c>
      <c r="V1872" s="81">
        <f>IF(ISBLANK(P1872),"",U1872/N1872)</f>
        <v/>
      </c>
      <c r="W1872" s="81">
        <f>IF(ISBLANK(P1872),"",IF(S1872=0,(365/0.5)*V1872,(365/S1872)*V1872))</f>
        <v/>
      </c>
      <c r="X1872" s="75" t="n"/>
      <c r="Y1872" s="77" t="n"/>
      <c r="Z1872" s="77" t="n"/>
      <c r="AA1872" s="75" t="n"/>
      <c r="AB1872" s="75" t="n"/>
      <c r="AC1872" s="6" t="n"/>
      <c r="AD1872" s="75" t="n"/>
      <c r="AE1872" s="75" t="n"/>
      <c r="AF1872" s="75" t="n"/>
    </row>
    <row r="1873" ht="15.75" customHeight="1" s="133">
      <c r="A1873" s="75" t="n"/>
      <c r="B1873" s="75" t="n"/>
      <c r="C1873" s="75" t="n"/>
      <c r="D1873" s="75" t="n"/>
      <c r="E1873" s="76" t="n"/>
      <c r="F1873" s="77" t="n"/>
      <c r="G1873" s="75" t="n"/>
      <c r="H1873" s="75">
        <f>IF(ISBLANK(E1873),"",IF(OR(D1873="Butterfly",D1873="Butterfly ",D1873="Iron Fly", D1873="Iron Fly "),LEN(E1873)-LEN(SUBSTITUTE(E1873,"/",""))+2,LEN(E1873)-LEN(SUBSTITUTE(E1873,"/",""))+1))</f>
        <v/>
      </c>
      <c r="I1873" s="78">
        <f>IF(ISBLANK(G1873),"",IF(D1873="Stock","0",Key!$A$3*H1873*G1873))</f>
        <v/>
      </c>
      <c r="J1873" s="78">
        <f>IF(ISBLANK(E1873),"",IF(ISNUMBER(SEARCH("/",E1873)), IF(LEN(E1873)-LEN(SUBSTITUTE(E1873,"/",""))=1,(RIGHT(E1873,LEN(E1873)-FIND("/",E1873)))-(LEFT(E1873,FIND("/",E1873)-1)),(MID(E1873, SEARCH("/",E1873) + 1, SEARCH("/",E1873, SEARCH("/",E1873)+1) - SEARCH("/",E1873) - 1))-(LEFT(E1873,FIND("/",E1873)-1))), "NA"))</f>
        <v/>
      </c>
      <c r="K1873" s="79">
        <f>IF(A1873&lt;&gt;"", IF(ISBLANK(L1873), TODAY(), K1873), "")</f>
        <v/>
      </c>
      <c r="L1873" s="78" t="n"/>
      <c r="M1873" s="78">
        <f>IF(ISBLANK(L1873),"",IF(D1873="Stock",IF(C1873="Buy",L1873*G1873,IF(C1873="Sell",(L1873*G1873)-I1873, X)),IF(C1873="Buy",(L1873*G1873*100)+I1873,IF(C1873="Sell",(L1873*G1873*100)-I1873, X))))</f>
        <v/>
      </c>
      <c r="N1873" s="78">
        <f>IF(ISBLANK(L1873),"",IF(AND(C1873="Sell",D1873="Stock"),M1873,IF(ISBLANK(L1873),"",IF(C1873="Buy",M1873, IF(AND(C1873="Sell",J1873="NA"),(E1873*G1873*100*0.1)+I1873, IF(C1873="Sell",(J1873-L1873)*(100*G1873)+I1873))))))</f>
        <v/>
      </c>
      <c r="O1873" s="75" t="n"/>
      <c r="P1873" s="75" t="n"/>
      <c r="Q1873" s="75">
        <f>IF(ISBLANK(P1873),"",IF(D1873="Stock",P1873*G1873,IF(P1873=0,"0",G1873*P1873*100-(G1873*$AF$14))))</f>
        <v/>
      </c>
      <c r="R1873" s="79">
        <f>IF(P1873&lt;&gt;"", TODAY(), "")</f>
        <v/>
      </c>
      <c r="S1873" s="78">
        <f>IF(AND(K1873&lt;&gt;"", R1873&lt;&gt;""), R1873-K1873, "")</f>
        <v/>
      </c>
      <c r="T1873" s="78" t="n"/>
      <c r="U1873" s="92">
        <f>IF(ISBLANK(P1873),"",IF(C1873="Buy",Q1873-M1873+T1873, IF(C1873="Sell",M1873-Q1873-T1873, X)))</f>
        <v/>
      </c>
      <c r="V1873" s="81">
        <f>IF(ISBLANK(P1873),"",U1873/N1873)</f>
        <v/>
      </c>
      <c r="W1873" s="81">
        <f>IF(ISBLANK(P1873),"",IF(S1873=0,(365/0.5)*V1873,(365/S1873)*V1873))</f>
        <v/>
      </c>
      <c r="X1873" s="75" t="n"/>
      <c r="Y1873" s="77" t="n"/>
      <c r="Z1873" s="77" t="n"/>
      <c r="AA1873" s="75" t="n"/>
      <c r="AB1873" s="75" t="n"/>
      <c r="AC1873" s="6" t="n"/>
      <c r="AD1873" s="75" t="n"/>
      <c r="AE1873" s="75" t="n"/>
      <c r="AF1873" s="75" t="n"/>
    </row>
    <row r="1874" ht="15.75" customHeight="1" s="133">
      <c r="A1874" s="75" t="n"/>
      <c r="B1874" s="75" t="n"/>
      <c r="C1874" s="75" t="n"/>
      <c r="D1874" s="75" t="n"/>
      <c r="E1874" s="76" t="n"/>
      <c r="F1874" s="77" t="n"/>
      <c r="G1874" s="75" t="n"/>
      <c r="H1874" s="75">
        <f>IF(ISBLANK(E1874),"",IF(OR(D1874="Butterfly",D1874="Butterfly ",D1874="Iron Fly", D1874="Iron Fly "),LEN(E1874)-LEN(SUBSTITUTE(E1874,"/",""))+2,LEN(E1874)-LEN(SUBSTITUTE(E1874,"/",""))+1))</f>
        <v/>
      </c>
      <c r="I1874" s="78">
        <f>IF(ISBLANK(G1874),"",IF(D1874="Stock","0",Key!$A$3*H1874*G1874))</f>
        <v/>
      </c>
      <c r="J1874" s="78">
        <f>IF(ISBLANK(E1874),"",IF(ISNUMBER(SEARCH("/",E1874)), IF(LEN(E1874)-LEN(SUBSTITUTE(E1874,"/",""))=1,(RIGHT(E1874,LEN(E1874)-FIND("/",E1874)))-(LEFT(E1874,FIND("/",E1874)-1)),(MID(E1874, SEARCH("/",E1874) + 1, SEARCH("/",E1874, SEARCH("/",E1874)+1) - SEARCH("/",E1874) - 1))-(LEFT(E1874,FIND("/",E1874)-1))), "NA"))</f>
        <v/>
      </c>
      <c r="K1874" s="79">
        <f>IF(A1874&lt;&gt;"", IF(ISBLANK(L1874), TODAY(), K1874), "")</f>
        <v/>
      </c>
      <c r="L1874" s="78" t="n"/>
      <c r="M1874" s="78">
        <f>IF(ISBLANK(L1874),"",IF(D1874="Stock",IF(C1874="Buy",L1874*G1874,IF(C1874="Sell",(L1874*G1874)-I1874, X)),IF(C1874="Buy",(L1874*G1874*100)+I1874,IF(C1874="Sell",(L1874*G1874*100)-I1874, X))))</f>
        <v/>
      </c>
      <c r="N1874" s="78">
        <f>IF(ISBLANK(L1874),"",IF(AND(C1874="Sell",D1874="Stock"),M1874,IF(ISBLANK(L1874),"",IF(C1874="Buy",M1874, IF(AND(C1874="Sell",J1874="NA"),(E1874*G1874*100*0.1)+I1874, IF(C1874="Sell",(J1874-L1874)*(100*G1874)+I1874))))))</f>
        <v/>
      </c>
      <c r="O1874" s="75" t="n"/>
      <c r="P1874" s="75" t="n"/>
      <c r="Q1874" s="75">
        <f>IF(ISBLANK(P1874),"",IF(D1874="Stock",P1874*G1874,IF(P1874=0,"0",G1874*P1874*100-(G1874*$AF$14))))</f>
        <v/>
      </c>
      <c r="R1874" s="79">
        <f>IF(P1874&lt;&gt;"", TODAY(), "")</f>
        <v/>
      </c>
      <c r="S1874" s="78">
        <f>IF(AND(K1874&lt;&gt;"", R1874&lt;&gt;""), R1874-K1874, "")</f>
        <v/>
      </c>
      <c r="T1874" s="78" t="n"/>
      <c r="U1874" s="92">
        <f>IF(ISBLANK(P1874),"",IF(C1874="Buy",Q1874-M1874+T1874, IF(C1874="Sell",M1874-Q1874-T1874, X)))</f>
        <v/>
      </c>
      <c r="V1874" s="81">
        <f>IF(ISBLANK(P1874),"",U1874/N1874)</f>
        <v/>
      </c>
      <c r="W1874" s="81">
        <f>IF(ISBLANK(P1874),"",IF(S1874=0,(365/0.5)*V1874,(365/S1874)*V1874))</f>
        <v/>
      </c>
      <c r="X1874" s="75" t="n"/>
      <c r="Y1874" s="77" t="n"/>
      <c r="Z1874" s="77" t="n"/>
      <c r="AA1874" s="75" t="n"/>
      <c r="AB1874" s="75" t="n"/>
      <c r="AC1874" s="6" t="n"/>
      <c r="AD1874" s="75" t="n"/>
      <c r="AE1874" s="75" t="n"/>
      <c r="AF1874" s="75" t="n"/>
    </row>
    <row r="1875" ht="15.75" customHeight="1" s="133">
      <c r="A1875" s="75" t="n"/>
      <c r="B1875" s="75" t="n"/>
      <c r="C1875" s="75" t="n"/>
      <c r="D1875" s="75" t="n"/>
      <c r="E1875" s="76" t="n"/>
      <c r="F1875" s="77" t="n"/>
      <c r="G1875" s="75" t="n"/>
      <c r="H1875" s="75">
        <f>IF(ISBLANK(E1875),"",IF(OR(D1875="Butterfly",D1875="Butterfly ",D1875="Iron Fly", D1875="Iron Fly "),LEN(E1875)-LEN(SUBSTITUTE(E1875,"/",""))+2,LEN(E1875)-LEN(SUBSTITUTE(E1875,"/",""))+1))</f>
        <v/>
      </c>
      <c r="I1875" s="78">
        <f>IF(ISBLANK(G1875),"",IF(D1875="Stock","0",Key!$A$3*H1875*G1875))</f>
        <v/>
      </c>
      <c r="J1875" s="78">
        <f>IF(ISBLANK(E1875),"",IF(ISNUMBER(SEARCH("/",E1875)), IF(LEN(E1875)-LEN(SUBSTITUTE(E1875,"/",""))=1,(RIGHT(E1875,LEN(E1875)-FIND("/",E1875)))-(LEFT(E1875,FIND("/",E1875)-1)),(MID(E1875, SEARCH("/",E1875) + 1, SEARCH("/",E1875, SEARCH("/",E1875)+1) - SEARCH("/",E1875) - 1))-(LEFT(E1875,FIND("/",E1875)-1))), "NA"))</f>
        <v/>
      </c>
      <c r="K1875" s="79">
        <f>IF(A1875&lt;&gt;"", IF(ISBLANK(L1875), TODAY(), K1875), "")</f>
        <v/>
      </c>
      <c r="L1875" s="78" t="n"/>
      <c r="M1875" s="78">
        <f>IF(ISBLANK(L1875),"",IF(D1875="Stock",IF(C1875="Buy",L1875*G1875,IF(C1875="Sell",(L1875*G1875)-I1875, X)),IF(C1875="Buy",(L1875*G1875*100)+I1875,IF(C1875="Sell",(L1875*G1875*100)-I1875, X))))</f>
        <v/>
      </c>
      <c r="N1875" s="78">
        <f>IF(ISBLANK(L1875),"",IF(AND(C1875="Sell",D1875="Stock"),M1875,IF(ISBLANK(L1875),"",IF(C1875="Buy",M1875, IF(AND(C1875="Sell",J1875="NA"),(E1875*G1875*100*0.1)+I1875, IF(C1875="Sell",(J1875-L1875)*(100*G1875)+I1875))))))</f>
        <v/>
      </c>
      <c r="O1875" s="75" t="n"/>
      <c r="P1875" s="75" t="n"/>
      <c r="Q1875" s="75">
        <f>IF(ISBLANK(P1875),"",IF(D1875="Stock",P1875*G1875,IF(P1875=0,"0",G1875*P1875*100-(G1875*$AF$14))))</f>
        <v/>
      </c>
      <c r="R1875" s="79">
        <f>IF(P1875&lt;&gt;"", TODAY(), "")</f>
        <v/>
      </c>
      <c r="S1875" s="78">
        <f>IF(AND(K1875&lt;&gt;"", R1875&lt;&gt;""), R1875-K1875, "")</f>
        <v/>
      </c>
      <c r="T1875" s="78" t="n"/>
      <c r="U1875" s="92">
        <f>IF(ISBLANK(P1875),"",IF(C1875="Buy",Q1875-M1875+T1875, IF(C1875="Sell",M1875-Q1875-T1875, X)))</f>
        <v/>
      </c>
      <c r="V1875" s="81">
        <f>IF(ISBLANK(P1875),"",U1875/N1875)</f>
        <v/>
      </c>
      <c r="W1875" s="81">
        <f>IF(ISBLANK(P1875),"",IF(S1875=0,(365/0.5)*V1875,(365/S1875)*V1875))</f>
        <v/>
      </c>
      <c r="X1875" s="75" t="n"/>
      <c r="Y1875" s="77" t="n"/>
      <c r="Z1875" s="77" t="n"/>
      <c r="AA1875" s="75" t="n"/>
      <c r="AB1875" s="75" t="n"/>
      <c r="AC1875" s="6" t="n"/>
      <c r="AD1875" s="75" t="n"/>
      <c r="AE1875" s="75" t="n"/>
      <c r="AF1875" s="75" t="n"/>
    </row>
    <row r="1876" ht="15.75" customHeight="1" s="133">
      <c r="A1876" s="75" t="n"/>
      <c r="B1876" s="75" t="n"/>
      <c r="C1876" s="75" t="n"/>
      <c r="D1876" s="75" t="n"/>
      <c r="E1876" s="76" t="n"/>
      <c r="F1876" s="77" t="n"/>
      <c r="G1876" s="75" t="n"/>
      <c r="H1876" s="75">
        <f>IF(ISBLANK(E1876),"",IF(OR(D1876="Butterfly",D1876="Butterfly ",D1876="Iron Fly", D1876="Iron Fly "),LEN(E1876)-LEN(SUBSTITUTE(E1876,"/",""))+2,LEN(E1876)-LEN(SUBSTITUTE(E1876,"/",""))+1))</f>
        <v/>
      </c>
      <c r="I1876" s="78">
        <f>IF(ISBLANK(G1876),"",IF(D1876="Stock","0",Key!$A$3*H1876*G1876))</f>
        <v/>
      </c>
      <c r="J1876" s="78">
        <f>IF(ISBLANK(E1876),"",IF(ISNUMBER(SEARCH("/",E1876)), IF(LEN(E1876)-LEN(SUBSTITUTE(E1876,"/",""))=1,(RIGHT(E1876,LEN(E1876)-FIND("/",E1876)))-(LEFT(E1876,FIND("/",E1876)-1)),(MID(E1876, SEARCH("/",E1876) + 1, SEARCH("/",E1876, SEARCH("/",E1876)+1) - SEARCH("/",E1876) - 1))-(LEFT(E1876,FIND("/",E1876)-1))), "NA"))</f>
        <v/>
      </c>
      <c r="K1876" s="79">
        <f>IF(A1876&lt;&gt;"", IF(ISBLANK(L1876), TODAY(), K1876), "")</f>
        <v/>
      </c>
      <c r="L1876" s="78" t="n"/>
      <c r="M1876" s="78">
        <f>IF(ISBLANK(L1876),"",IF(D1876="Stock",IF(C1876="Buy",L1876*G1876,IF(C1876="Sell",(L1876*G1876)-I1876, X)),IF(C1876="Buy",(L1876*G1876*100)+I1876,IF(C1876="Sell",(L1876*G1876*100)-I1876, X))))</f>
        <v/>
      </c>
      <c r="N1876" s="78">
        <f>IF(ISBLANK(L1876),"",IF(AND(C1876="Sell",D1876="Stock"),M1876,IF(ISBLANK(L1876),"",IF(C1876="Buy",M1876, IF(AND(C1876="Sell",J1876="NA"),(E1876*G1876*100*0.1)+I1876, IF(C1876="Sell",(J1876-L1876)*(100*G1876)+I1876))))))</f>
        <v/>
      </c>
      <c r="O1876" s="75" t="n"/>
      <c r="P1876" s="75" t="n"/>
      <c r="Q1876" s="75">
        <f>IF(ISBLANK(P1876),"",IF(D1876="Stock",P1876*G1876,IF(P1876=0,"0",G1876*P1876*100-(G1876*$AF$14))))</f>
        <v/>
      </c>
      <c r="R1876" s="79">
        <f>IF(P1876&lt;&gt;"", TODAY(), "")</f>
        <v/>
      </c>
      <c r="S1876" s="78">
        <f>IF(AND(K1876&lt;&gt;"", R1876&lt;&gt;""), R1876-K1876, "")</f>
        <v/>
      </c>
      <c r="T1876" s="78" t="n"/>
      <c r="U1876" s="92">
        <f>IF(ISBLANK(P1876),"",IF(C1876="Buy",Q1876-M1876+T1876, IF(C1876="Sell",M1876-Q1876-T1876, X)))</f>
        <v/>
      </c>
      <c r="V1876" s="81">
        <f>IF(ISBLANK(P1876),"",U1876/N1876)</f>
        <v/>
      </c>
      <c r="W1876" s="81">
        <f>IF(ISBLANK(P1876),"",IF(S1876=0,(365/0.5)*V1876,(365/S1876)*V1876))</f>
        <v/>
      </c>
      <c r="X1876" s="75" t="n"/>
      <c r="Y1876" s="77" t="n"/>
      <c r="Z1876" s="77" t="n"/>
      <c r="AA1876" s="75" t="n"/>
      <c r="AB1876" s="75" t="n"/>
      <c r="AC1876" s="6" t="n"/>
      <c r="AD1876" s="75" t="n"/>
      <c r="AE1876" s="75" t="n"/>
      <c r="AF1876" s="75" t="n"/>
    </row>
    <row r="1877" ht="15.75" customHeight="1" s="133">
      <c r="A1877" s="75" t="n"/>
      <c r="B1877" s="75" t="n"/>
      <c r="C1877" s="75" t="n"/>
      <c r="D1877" s="75" t="n"/>
      <c r="E1877" s="76" t="n"/>
      <c r="F1877" s="77" t="n"/>
      <c r="G1877" s="75" t="n"/>
      <c r="H1877" s="75">
        <f>IF(ISBLANK(E1877),"",IF(OR(D1877="Butterfly",D1877="Butterfly ",D1877="Iron Fly", D1877="Iron Fly "),LEN(E1877)-LEN(SUBSTITUTE(E1877,"/",""))+2,LEN(E1877)-LEN(SUBSTITUTE(E1877,"/",""))+1))</f>
        <v/>
      </c>
      <c r="I1877" s="78">
        <f>IF(ISBLANK(G1877),"",IF(D1877="Stock","0",Key!$A$3*H1877*G1877))</f>
        <v/>
      </c>
      <c r="J1877" s="78">
        <f>IF(ISBLANK(E1877),"",IF(ISNUMBER(SEARCH("/",E1877)), IF(LEN(E1877)-LEN(SUBSTITUTE(E1877,"/",""))=1,(RIGHT(E1877,LEN(E1877)-FIND("/",E1877)))-(LEFT(E1877,FIND("/",E1877)-1)),(MID(E1877, SEARCH("/",E1877) + 1, SEARCH("/",E1877, SEARCH("/",E1877)+1) - SEARCH("/",E1877) - 1))-(LEFT(E1877,FIND("/",E1877)-1))), "NA"))</f>
        <v/>
      </c>
      <c r="K1877" s="79">
        <f>IF(A1877&lt;&gt;"", IF(ISBLANK(L1877), TODAY(), K1877), "")</f>
        <v/>
      </c>
      <c r="L1877" s="78" t="n"/>
      <c r="M1877" s="78">
        <f>IF(ISBLANK(L1877),"",IF(D1877="Stock",IF(C1877="Buy",L1877*G1877,IF(C1877="Sell",(L1877*G1877)-I1877, X)),IF(C1877="Buy",(L1877*G1877*100)+I1877,IF(C1877="Sell",(L1877*G1877*100)-I1877, X))))</f>
        <v/>
      </c>
      <c r="N1877" s="78">
        <f>IF(ISBLANK(L1877),"",IF(AND(C1877="Sell",D1877="Stock"),M1877,IF(ISBLANK(L1877),"",IF(C1877="Buy",M1877, IF(AND(C1877="Sell",J1877="NA"),(E1877*G1877*100*0.1)+I1877, IF(C1877="Sell",(J1877-L1877)*(100*G1877)+I1877))))))</f>
        <v/>
      </c>
      <c r="O1877" s="75" t="n"/>
      <c r="P1877" s="75" t="n"/>
      <c r="Q1877" s="75">
        <f>IF(ISBLANK(P1877),"",IF(D1877="Stock",P1877*G1877,IF(P1877=0,"0",G1877*P1877*100-(G1877*$AF$14))))</f>
        <v/>
      </c>
      <c r="R1877" s="79">
        <f>IF(P1877&lt;&gt;"", TODAY(), "")</f>
        <v/>
      </c>
      <c r="S1877" s="78">
        <f>IF(AND(K1877&lt;&gt;"", R1877&lt;&gt;""), R1877-K1877, "")</f>
        <v/>
      </c>
      <c r="T1877" s="78" t="n"/>
      <c r="U1877" s="92">
        <f>IF(ISBLANK(P1877),"",IF(C1877="Buy",Q1877-M1877+T1877, IF(C1877="Sell",M1877-Q1877-T1877, X)))</f>
        <v/>
      </c>
      <c r="V1877" s="81">
        <f>IF(ISBLANK(P1877),"",U1877/N1877)</f>
        <v/>
      </c>
      <c r="W1877" s="81">
        <f>IF(ISBLANK(P1877),"",IF(S1877=0,(365/0.5)*V1877,(365/S1877)*V1877))</f>
        <v/>
      </c>
      <c r="X1877" s="75" t="n"/>
      <c r="Y1877" s="77" t="n"/>
      <c r="Z1877" s="77" t="n"/>
      <c r="AA1877" s="75" t="n"/>
      <c r="AB1877" s="75" t="n"/>
      <c r="AC1877" s="6" t="n"/>
      <c r="AD1877" s="75" t="n"/>
      <c r="AE1877" s="75" t="n"/>
      <c r="AF1877" s="75" t="n"/>
    </row>
    <row r="1878" ht="15.75" customHeight="1" s="133">
      <c r="A1878" s="75" t="n"/>
      <c r="B1878" s="75" t="n"/>
      <c r="C1878" s="75" t="n"/>
      <c r="D1878" s="75" t="n"/>
      <c r="E1878" s="76" t="n"/>
      <c r="F1878" s="77" t="n"/>
      <c r="G1878" s="75" t="n"/>
      <c r="H1878" s="75">
        <f>IF(ISBLANK(E1878),"",IF(OR(D1878="Butterfly",D1878="Butterfly ",D1878="Iron Fly", D1878="Iron Fly "),LEN(E1878)-LEN(SUBSTITUTE(E1878,"/",""))+2,LEN(E1878)-LEN(SUBSTITUTE(E1878,"/",""))+1))</f>
        <v/>
      </c>
      <c r="I1878" s="78">
        <f>IF(ISBLANK(G1878),"",IF(D1878="Stock","0",Key!$A$3*H1878*G1878))</f>
        <v/>
      </c>
      <c r="J1878" s="78">
        <f>IF(ISBLANK(E1878),"",IF(ISNUMBER(SEARCH("/",E1878)), IF(LEN(E1878)-LEN(SUBSTITUTE(E1878,"/",""))=1,(RIGHT(E1878,LEN(E1878)-FIND("/",E1878)))-(LEFT(E1878,FIND("/",E1878)-1)),(MID(E1878, SEARCH("/",E1878) + 1, SEARCH("/",E1878, SEARCH("/",E1878)+1) - SEARCH("/",E1878) - 1))-(LEFT(E1878,FIND("/",E1878)-1))), "NA"))</f>
        <v/>
      </c>
      <c r="K1878" s="79">
        <f>IF(A1878&lt;&gt;"", IF(ISBLANK(L1878), TODAY(), K1878), "")</f>
        <v/>
      </c>
      <c r="L1878" s="78" t="n"/>
      <c r="M1878" s="78">
        <f>IF(ISBLANK(L1878),"",IF(D1878="Stock",IF(C1878="Buy",L1878*G1878,IF(C1878="Sell",(L1878*G1878)-I1878, X)),IF(C1878="Buy",(L1878*G1878*100)+I1878,IF(C1878="Sell",(L1878*G1878*100)-I1878, X))))</f>
        <v/>
      </c>
      <c r="N1878" s="78">
        <f>IF(ISBLANK(L1878),"",IF(AND(C1878="Sell",D1878="Stock"),M1878,IF(ISBLANK(L1878),"",IF(C1878="Buy",M1878, IF(AND(C1878="Sell",J1878="NA"),(E1878*G1878*100*0.1)+I1878, IF(C1878="Sell",(J1878-L1878)*(100*G1878)+I1878))))))</f>
        <v/>
      </c>
      <c r="O1878" s="75" t="n"/>
      <c r="P1878" s="75" t="n"/>
      <c r="Q1878" s="75">
        <f>IF(ISBLANK(P1878),"",IF(D1878="Stock",P1878*G1878,IF(P1878=0,"0",G1878*P1878*100-(G1878*$AF$14))))</f>
        <v/>
      </c>
      <c r="R1878" s="79">
        <f>IF(P1878&lt;&gt;"", TODAY(), "")</f>
        <v/>
      </c>
      <c r="S1878" s="78">
        <f>IF(AND(K1878&lt;&gt;"", R1878&lt;&gt;""), R1878-K1878, "")</f>
        <v/>
      </c>
      <c r="T1878" s="78" t="n"/>
      <c r="U1878" s="92">
        <f>IF(ISBLANK(P1878),"",IF(C1878="Buy",Q1878-M1878+T1878, IF(C1878="Sell",M1878-Q1878-T1878, X)))</f>
        <v/>
      </c>
      <c r="V1878" s="81">
        <f>IF(ISBLANK(P1878),"",U1878/N1878)</f>
        <v/>
      </c>
      <c r="W1878" s="81">
        <f>IF(ISBLANK(P1878),"",IF(S1878=0,(365/0.5)*V1878,(365/S1878)*V1878))</f>
        <v/>
      </c>
      <c r="X1878" s="75" t="n"/>
      <c r="Y1878" s="77" t="n"/>
      <c r="Z1878" s="77" t="n"/>
      <c r="AA1878" s="75" t="n"/>
      <c r="AB1878" s="75" t="n"/>
      <c r="AC1878" s="6" t="n"/>
      <c r="AD1878" s="75" t="n"/>
      <c r="AE1878" s="75" t="n"/>
      <c r="AF1878" s="75" t="n"/>
    </row>
    <row r="1879" ht="15.75" customHeight="1" s="133">
      <c r="A1879" s="75" t="n"/>
      <c r="B1879" s="75" t="n"/>
      <c r="C1879" s="75" t="n"/>
      <c r="D1879" s="75" t="n"/>
      <c r="E1879" s="76" t="n"/>
      <c r="F1879" s="77" t="n"/>
      <c r="G1879" s="75" t="n"/>
      <c r="H1879" s="75">
        <f>IF(ISBLANK(E1879),"",IF(OR(D1879="Butterfly",D1879="Butterfly ",D1879="Iron Fly", D1879="Iron Fly "),LEN(E1879)-LEN(SUBSTITUTE(E1879,"/",""))+2,LEN(E1879)-LEN(SUBSTITUTE(E1879,"/",""))+1))</f>
        <v/>
      </c>
      <c r="I1879" s="78">
        <f>IF(ISBLANK(G1879),"",IF(D1879="Stock","0",Key!$A$3*H1879*G1879))</f>
        <v/>
      </c>
      <c r="J1879" s="78">
        <f>IF(ISBLANK(E1879),"",IF(ISNUMBER(SEARCH("/",E1879)), IF(LEN(E1879)-LEN(SUBSTITUTE(E1879,"/",""))=1,(RIGHT(E1879,LEN(E1879)-FIND("/",E1879)))-(LEFT(E1879,FIND("/",E1879)-1)),(MID(E1879, SEARCH("/",E1879) + 1, SEARCH("/",E1879, SEARCH("/",E1879)+1) - SEARCH("/",E1879) - 1))-(LEFT(E1879,FIND("/",E1879)-1))), "NA"))</f>
        <v/>
      </c>
      <c r="K1879" s="79">
        <f>IF(A1879&lt;&gt;"", IF(ISBLANK(L1879), TODAY(), K1879), "")</f>
        <v/>
      </c>
      <c r="L1879" s="78" t="n"/>
      <c r="M1879" s="78">
        <f>IF(ISBLANK(L1879),"",IF(D1879="Stock",IF(C1879="Buy",L1879*G1879,IF(C1879="Sell",(L1879*G1879)-I1879, X)),IF(C1879="Buy",(L1879*G1879*100)+I1879,IF(C1879="Sell",(L1879*G1879*100)-I1879, X))))</f>
        <v/>
      </c>
      <c r="N1879" s="78">
        <f>IF(ISBLANK(L1879),"",IF(AND(C1879="Sell",D1879="Stock"),M1879,IF(ISBLANK(L1879),"",IF(C1879="Buy",M1879, IF(AND(C1879="Sell",J1879="NA"),(E1879*G1879*100*0.1)+I1879, IF(C1879="Sell",(J1879-L1879)*(100*G1879)+I1879))))))</f>
        <v/>
      </c>
      <c r="O1879" s="75" t="n"/>
      <c r="P1879" s="75" t="n"/>
      <c r="Q1879" s="75">
        <f>IF(ISBLANK(P1879),"",IF(D1879="Stock",P1879*G1879,IF(P1879=0,"0",G1879*P1879*100-(G1879*$AF$14))))</f>
        <v/>
      </c>
      <c r="R1879" s="79">
        <f>IF(P1879&lt;&gt;"", TODAY(), "")</f>
        <v/>
      </c>
      <c r="S1879" s="78">
        <f>IF(AND(K1879&lt;&gt;"", R1879&lt;&gt;""), R1879-K1879, "")</f>
        <v/>
      </c>
      <c r="T1879" s="78" t="n"/>
      <c r="U1879" s="92">
        <f>IF(ISBLANK(P1879),"",IF(C1879="Buy",Q1879-M1879+T1879, IF(C1879="Sell",M1879-Q1879-T1879, X)))</f>
        <v/>
      </c>
      <c r="V1879" s="81">
        <f>IF(ISBLANK(P1879),"",U1879/N1879)</f>
        <v/>
      </c>
      <c r="W1879" s="81">
        <f>IF(ISBLANK(P1879),"",IF(S1879=0,(365/0.5)*V1879,(365/S1879)*V1879))</f>
        <v/>
      </c>
      <c r="X1879" s="75" t="n"/>
      <c r="Y1879" s="77" t="n"/>
      <c r="Z1879" s="77" t="n"/>
      <c r="AA1879" s="75" t="n"/>
      <c r="AB1879" s="75" t="n"/>
      <c r="AC1879" s="6" t="n"/>
      <c r="AD1879" s="75" t="n"/>
      <c r="AE1879" s="75" t="n"/>
      <c r="AF1879" s="75" t="n"/>
    </row>
    <row r="1880" ht="15.75" customHeight="1" s="133">
      <c r="A1880" s="75" t="n"/>
      <c r="B1880" s="75" t="n"/>
      <c r="C1880" s="75" t="n"/>
      <c r="D1880" s="75" t="n"/>
      <c r="E1880" s="76" t="n"/>
      <c r="F1880" s="77" t="n"/>
      <c r="G1880" s="75" t="n"/>
      <c r="H1880" s="75">
        <f>IF(ISBLANK(E1880),"",IF(OR(D1880="Butterfly",D1880="Butterfly ",D1880="Iron Fly", D1880="Iron Fly "),LEN(E1880)-LEN(SUBSTITUTE(E1880,"/",""))+2,LEN(E1880)-LEN(SUBSTITUTE(E1880,"/",""))+1))</f>
        <v/>
      </c>
      <c r="I1880" s="78">
        <f>IF(ISBLANK(G1880),"",IF(D1880="Stock","0",Key!$A$3*H1880*G1880))</f>
        <v/>
      </c>
      <c r="J1880" s="78">
        <f>IF(ISBLANK(E1880),"",IF(ISNUMBER(SEARCH("/",E1880)), IF(LEN(E1880)-LEN(SUBSTITUTE(E1880,"/",""))=1,(RIGHT(E1880,LEN(E1880)-FIND("/",E1880)))-(LEFT(E1880,FIND("/",E1880)-1)),(MID(E1880, SEARCH("/",E1880) + 1, SEARCH("/",E1880, SEARCH("/",E1880)+1) - SEARCH("/",E1880) - 1))-(LEFT(E1880,FIND("/",E1880)-1))), "NA"))</f>
        <v/>
      </c>
      <c r="K1880" s="79">
        <f>IF(A1880&lt;&gt;"", IF(ISBLANK(L1880), TODAY(), K1880), "")</f>
        <v/>
      </c>
      <c r="L1880" s="78" t="n"/>
      <c r="M1880" s="78">
        <f>IF(ISBLANK(L1880),"",IF(D1880="Stock",IF(C1880="Buy",L1880*G1880,IF(C1880="Sell",(L1880*G1880)-I1880, X)),IF(C1880="Buy",(L1880*G1880*100)+I1880,IF(C1880="Sell",(L1880*G1880*100)-I1880, X))))</f>
        <v/>
      </c>
      <c r="N1880" s="78">
        <f>IF(ISBLANK(L1880),"",IF(AND(C1880="Sell",D1880="Stock"),M1880,IF(ISBLANK(L1880),"",IF(C1880="Buy",M1880, IF(AND(C1880="Sell",J1880="NA"),(E1880*G1880*100*0.1)+I1880, IF(C1880="Sell",(J1880-L1880)*(100*G1880)+I1880))))))</f>
        <v/>
      </c>
      <c r="O1880" s="75" t="n"/>
      <c r="P1880" s="75" t="n"/>
      <c r="Q1880" s="75">
        <f>IF(ISBLANK(P1880),"",IF(D1880="Stock",P1880*G1880,IF(P1880=0,"0",G1880*P1880*100-(G1880*$AF$14))))</f>
        <v/>
      </c>
      <c r="R1880" s="79">
        <f>IF(P1880&lt;&gt;"", TODAY(), "")</f>
        <v/>
      </c>
      <c r="S1880" s="78">
        <f>IF(AND(K1880&lt;&gt;"", R1880&lt;&gt;""), R1880-K1880, "")</f>
        <v/>
      </c>
      <c r="T1880" s="78" t="n"/>
      <c r="U1880" s="92">
        <f>IF(ISBLANK(P1880),"",IF(C1880="Buy",Q1880-M1880+T1880, IF(C1880="Sell",M1880-Q1880-T1880, X)))</f>
        <v/>
      </c>
      <c r="V1880" s="81">
        <f>IF(ISBLANK(P1880),"",U1880/N1880)</f>
        <v/>
      </c>
      <c r="W1880" s="81">
        <f>IF(ISBLANK(P1880),"",IF(S1880=0,(365/0.5)*V1880,(365/S1880)*V1880))</f>
        <v/>
      </c>
      <c r="X1880" s="75" t="n"/>
      <c r="Y1880" s="77" t="n"/>
      <c r="Z1880" s="77" t="n"/>
      <c r="AA1880" s="75" t="n"/>
      <c r="AB1880" s="75" t="n"/>
      <c r="AC1880" s="6" t="n"/>
      <c r="AD1880" s="75" t="n"/>
      <c r="AE1880" s="75" t="n"/>
      <c r="AF1880" s="75" t="n"/>
    </row>
    <row r="1881" ht="15.75" customHeight="1" s="133">
      <c r="A1881" s="75" t="n"/>
      <c r="B1881" s="75" t="n"/>
      <c r="C1881" s="75" t="n"/>
      <c r="D1881" s="75" t="n"/>
      <c r="E1881" s="76" t="n"/>
      <c r="F1881" s="77" t="n"/>
      <c r="G1881" s="75" t="n"/>
      <c r="H1881" s="75">
        <f>IF(ISBLANK(E1881),"",IF(OR(D1881="Butterfly",D1881="Butterfly ",D1881="Iron Fly", D1881="Iron Fly "),LEN(E1881)-LEN(SUBSTITUTE(E1881,"/",""))+2,LEN(E1881)-LEN(SUBSTITUTE(E1881,"/",""))+1))</f>
        <v/>
      </c>
      <c r="I1881" s="78">
        <f>IF(ISBLANK(G1881),"",IF(D1881="Stock","0",Key!$A$3*H1881*G1881))</f>
        <v/>
      </c>
      <c r="J1881" s="78">
        <f>IF(ISBLANK(E1881),"",IF(ISNUMBER(SEARCH("/",E1881)), IF(LEN(E1881)-LEN(SUBSTITUTE(E1881,"/",""))=1,(RIGHT(E1881,LEN(E1881)-FIND("/",E1881)))-(LEFT(E1881,FIND("/",E1881)-1)),(MID(E1881, SEARCH("/",E1881) + 1, SEARCH("/",E1881, SEARCH("/",E1881)+1) - SEARCH("/",E1881) - 1))-(LEFT(E1881,FIND("/",E1881)-1))), "NA"))</f>
        <v/>
      </c>
      <c r="K1881" s="79">
        <f>IF(A1881&lt;&gt;"", IF(ISBLANK(L1881), TODAY(), K1881), "")</f>
        <v/>
      </c>
      <c r="L1881" s="78" t="n"/>
      <c r="M1881" s="78">
        <f>IF(ISBLANK(L1881),"",IF(D1881="Stock",IF(C1881="Buy",L1881*G1881,IF(C1881="Sell",(L1881*G1881)-I1881, X)),IF(C1881="Buy",(L1881*G1881*100)+I1881,IF(C1881="Sell",(L1881*G1881*100)-I1881, X))))</f>
        <v/>
      </c>
      <c r="N1881" s="78">
        <f>IF(ISBLANK(L1881),"",IF(AND(C1881="Sell",D1881="Stock"),M1881,IF(ISBLANK(L1881),"",IF(C1881="Buy",M1881, IF(AND(C1881="Sell",J1881="NA"),(E1881*G1881*100*0.1)+I1881, IF(C1881="Sell",(J1881-L1881)*(100*G1881)+I1881))))))</f>
        <v/>
      </c>
      <c r="O1881" s="75" t="n"/>
      <c r="P1881" s="75" t="n"/>
      <c r="Q1881" s="75">
        <f>IF(ISBLANK(P1881),"",IF(D1881="Stock",P1881*G1881,IF(P1881=0,"0",G1881*P1881*100-(G1881*$AF$14))))</f>
        <v/>
      </c>
      <c r="R1881" s="79">
        <f>IF(P1881&lt;&gt;"", TODAY(), "")</f>
        <v/>
      </c>
      <c r="S1881" s="78">
        <f>IF(AND(K1881&lt;&gt;"", R1881&lt;&gt;""), R1881-K1881, "")</f>
        <v/>
      </c>
      <c r="T1881" s="78" t="n"/>
      <c r="U1881" s="92">
        <f>IF(ISBLANK(P1881),"",IF(C1881="Buy",Q1881-M1881+T1881, IF(C1881="Sell",M1881-Q1881-T1881, X)))</f>
        <v/>
      </c>
      <c r="V1881" s="81">
        <f>IF(ISBLANK(P1881),"",U1881/N1881)</f>
        <v/>
      </c>
      <c r="W1881" s="81">
        <f>IF(ISBLANK(P1881),"",IF(S1881=0,(365/0.5)*V1881,(365/S1881)*V1881))</f>
        <v/>
      </c>
      <c r="X1881" s="75" t="n"/>
      <c r="Y1881" s="77" t="n"/>
      <c r="Z1881" s="77" t="n"/>
      <c r="AA1881" s="75" t="n"/>
      <c r="AB1881" s="75" t="n"/>
      <c r="AC1881" s="6" t="n"/>
      <c r="AD1881" s="75" t="n"/>
      <c r="AE1881" s="75" t="n"/>
      <c r="AF1881" s="75" t="n"/>
    </row>
    <row r="1882" ht="15.75" customHeight="1" s="133">
      <c r="A1882" s="75" t="n"/>
      <c r="B1882" s="75" t="n"/>
      <c r="C1882" s="75" t="n"/>
      <c r="D1882" s="75" t="n"/>
      <c r="E1882" s="76" t="n"/>
      <c r="F1882" s="77" t="n"/>
      <c r="G1882" s="75" t="n"/>
      <c r="H1882" s="75">
        <f>IF(ISBLANK(E1882),"",IF(OR(D1882="Butterfly",D1882="Butterfly ",D1882="Iron Fly", D1882="Iron Fly "),LEN(E1882)-LEN(SUBSTITUTE(E1882,"/",""))+2,LEN(E1882)-LEN(SUBSTITUTE(E1882,"/",""))+1))</f>
        <v/>
      </c>
      <c r="I1882" s="78">
        <f>IF(ISBLANK(G1882),"",IF(D1882="Stock","0",Key!$A$3*H1882*G1882))</f>
        <v/>
      </c>
      <c r="J1882" s="78">
        <f>IF(ISBLANK(E1882),"",IF(ISNUMBER(SEARCH("/",E1882)), IF(LEN(E1882)-LEN(SUBSTITUTE(E1882,"/",""))=1,(RIGHT(E1882,LEN(E1882)-FIND("/",E1882)))-(LEFT(E1882,FIND("/",E1882)-1)),(MID(E1882, SEARCH("/",E1882) + 1, SEARCH("/",E1882, SEARCH("/",E1882)+1) - SEARCH("/",E1882) - 1))-(LEFT(E1882,FIND("/",E1882)-1))), "NA"))</f>
        <v/>
      </c>
      <c r="K1882" s="79">
        <f>IF(A1882&lt;&gt;"", IF(ISBLANK(L1882), TODAY(), K1882), "")</f>
        <v/>
      </c>
      <c r="L1882" s="78" t="n"/>
      <c r="M1882" s="78">
        <f>IF(ISBLANK(L1882),"",IF(D1882="Stock",IF(C1882="Buy",L1882*G1882,IF(C1882="Sell",(L1882*G1882)-I1882, X)),IF(C1882="Buy",(L1882*G1882*100)+I1882,IF(C1882="Sell",(L1882*G1882*100)-I1882, X))))</f>
        <v/>
      </c>
      <c r="N1882" s="78">
        <f>IF(ISBLANK(L1882),"",IF(AND(C1882="Sell",D1882="Stock"),M1882,IF(ISBLANK(L1882),"",IF(C1882="Buy",M1882, IF(AND(C1882="Sell",J1882="NA"),(E1882*G1882*100*0.1)+I1882, IF(C1882="Sell",(J1882-L1882)*(100*G1882)+I1882))))))</f>
        <v/>
      </c>
      <c r="O1882" s="75" t="n"/>
      <c r="P1882" s="75" t="n"/>
      <c r="Q1882" s="75">
        <f>IF(ISBLANK(P1882),"",IF(D1882="Stock",P1882*G1882,IF(P1882=0,"0",G1882*P1882*100-(G1882*$AF$14))))</f>
        <v/>
      </c>
      <c r="R1882" s="79">
        <f>IF(P1882&lt;&gt;"", TODAY(), "")</f>
        <v/>
      </c>
      <c r="S1882" s="78">
        <f>IF(AND(K1882&lt;&gt;"", R1882&lt;&gt;""), R1882-K1882, "")</f>
        <v/>
      </c>
      <c r="T1882" s="78" t="n"/>
      <c r="U1882" s="92">
        <f>IF(ISBLANK(P1882),"",IF(C1882="Buy",Q1882-M1882+T1882, IF(C1882="Sell",M1882-Q1882-T1882, X)))</f>
        <v/>
      </c>
      <c r="V1882" s="81">
        <f>IF(ISBLANK(P1882),"",U1882/N1882)</f>
        <v/>
      </c>
      <c r="W1882" s="81">
        <f>IF(ISBLANK(P1882),"",IF(S1882=0,(365/0.5)*V1882,(365/S1882)*V1882))</f>
        <v/>
      </c>
      <c r="X1882" s="75" t="n"/>
      <c r="Y1882" s="77" t="n"/>
      <c r="Z1882" s="77" t="n"/>
      <c r="AA1882" s="75" t="n"/>
      <c r="AB1882" s="75" t="n"/>
      <c r="AC1882" s="6" t="n"/>
      <c r="AD1882" s="75" t="n"/>
      <c r="AE1882" s="75" t="n"/>
      <c r="AF1882" s="75" t="n"/>
    </row>
    <row r="1883" ht="15.75" customHeight="1" s="133">
      <c r="A1883" s="75" t="n"/>
      <c r="B1883" s="75" t="n"/>
      <c r="C1883" s="75" t="n"/>
      <c r="D1883" s="75" t="n"/>
      <c r="E1883" s="76" t="n"/>
      <c r="F1883" s="77" t="n"/>
      <c r="G1883" s="75" t="n"/>
      <c r="H1883" s="75">
        <f>IF(ISBLANK(E1883),"",IF(OR(D1883="Butterfly",D1883="Butterfly ",D1883="Iron Fly", D1883="Iron Fly "),LEN(E1883)-LEN(SUBSTITUTE(E1883,"/",""))+2,LEN(E1883)-LEN(SUBSTITUTE(E1883,"/",""))+1))</f>
        <v/>
      </c>
      <c r="I1883" s="78">
        <f>IF(ISBLANK(G1883),"",IF(D1883="Stock","0",Key!$A$3*H1883*G1883))</f>
        <v/>
      </c>
      <c r="J1883" s="78">
        <f>IF(ISBLANK(E1883),"",IF(ISNUMBER(SEARCH("/",E1883)), IF(LEN(E1883)-LEN(SUBSTITUTE(E1883,"/",""))=1,(RIGHT(E1883,LEN(E1883)-FIND("/",E1883)))-(LEFT(E1883,FIND("/",E1883)-1)),(MID(E1883, SEARCH("/",E1883) + 1, SEARCH("/",E1883, SEARCH("/",E1883)+1) - SEARCH("/",E1883) - 1))-(LEFT(E1883,FIND("/",E1883)-1))), "NA"))</f>
        <v/>
      </c>
      <c r="K1883" s="79">
        <f>IF(A1883&lt;&gt;"", IF(ISBLANK(L1883), TODAY(), K1883), "")</f>
        <v/>
      </c>
      <c r="L1883" s="78" t="n"/>
      <c r="M1883" s="78">
        <f>IF(ISBLANK(L1883),"",IF(D1883="Stock",IF(C1883="Buy",L1883*G1883,IF(C1883="Sell",(L1883*G1883)-I1883, X)),IF(C1883="Buy",(L1883*G1883*100)+I1883,IF(C1883="Sell",(L1883*G1883*100)-I1883, X))))</f>
        <v/>
      </c>
      <c r="N1883" s="78">
        <f>IF(ISBLANK(L1883),"",IF(AND(C1883="Sell",D1883="Stock"),M1883,IF(ISBLANK(L1883),"",IF(C1883="Buy",M1883, IF(AND(C1883="Sell",J1883="NA"),(E1883*G1883*100*0.1)+I1883, IF(C1883="Sell",(J1883-L1883)*(100*G1883)+I1883))))))</f>
        <v/>
      </c>
      <c r="O1883" s="75" t="n"/>
      <c r="P1883" s="75" t="n"/>
      <c r="Q1883" s="75">
        <f>IF(ISBLANK(P1883),"",IF(D1883="Stock",P1883*G1883,IF(P1883=0,"0",G1883*P1883*100-(G1883*$AF$14))))</f>
        <v/>
      </c>
      <c r="R1883" s="79">
        <f>IF(P1883&lt;&gt;"", TODAY(), "")</f>
        <v/>
      </c>
      <c r="S1883" s="78">
        <f>IF(AND(K1883&lt;&gt;"", R1883&lt;&gt;""), R1883-K1883, "")</f>
        <v/>
      </c>
      <c r="T1883" s="78" t="n"/>
      <c r="U1883" s="92">
        <f>IF(ISBLANK(P1883),"",IF(C1883="Buy",Q1883-M1883+T1883, IF(C1883="Sell",M1883-Q1883-T1883, X)))</f>
        <v/>
      </c>
      <c r="V1883" s="81">
        <f>IF(ISBLANK(P1883),"",U1883/N1883)</f>
        <v/>
      </c>
      <c r="W1883" s="81">
        <f>IF(ISBLANK(P1883),"",IF(S1883=0,(365/0.5)*V1883,(365/S1883)*V1883))</f>
        <v/>
      </c>
      <c r="X1883" s="75" t="n"/>
      <c r="Y1883" s="77" t="n"/>
      <c r="Z1883" s="77" t="n"/>
      <c r="AA1883" s="75" t="n"/>
      <c r="AB1883" s="75" t="n"/>
      <c r="AC1883" s="6" t="n"/>
      <c r="AD1883" s="75" t="n"/>
      <c r="AE1883" s="75" t="n"/>
      <c r="AF1883" s="75" t="n"/>
    </row>
    <row r="1884" ht="15.75" customHeight="1" s="133">
      <c r="A1884" s="75" t="n"/>
      <c r="B1884" s="75" t="n"/>
      <c r="C1884" s="75" t="n"/>
      <c r="D1884" s="75" t="n"/>
      <c r="E1884" s="76" t="n"/>
      <c r="F1884" s="77" t="n"/>
      <c r="G1884" s="75" t="n"/>
      <c r="H1884" s="75">
        <f>IF(ISBLANK(E1884),"",IF(OR(D1884="Butterfly",D1884="Butterfly ",D1884="Iron Fly", D1884="Iron Fly "),LEN(E1884)-LEN(SUBSTITUTE(E1884,"/",""))+2,LEN(E1884)-LEN(SUBSTITUTE(E1884,"/",""))+1))</f>
        <v/>
      </c>
      <c r="I1884" s="78">
        <f>IF(ISBLANK(G1884),"",IF(D1884="Stock","0",Key!$A$3*H1884*G1884))</f>
        <v/>
      </c>
      <c r="J1884" s="78">
        <f>IF(ISBLANK(E1884),"",IF(ISNUMBER(SEARCH("/",E1884)), IF(LEN(E1884)-LEN(SUBSTITUTE(E1884,"/",""))=1,(RIGHT(E1884,LEN(E1884)-FIND("/",E1884)))-(LEFT(E1884,FIND("/",E1884)-1)),(MID(E1884, SEARCH("/",E1884) + 1, SEARCH("/",E1884, SEARCH("/",E1884)+1) - SEARCH("/",E1884) - 1))-(LEFT(E1884,FIND("/",E1884)-1))), "NA"))</f>
        <v/>
      </c>
      <c r="K1884" s="79">
        <f>IF(A1884&lt;&gt;"", IF(ISBLANK(L1884), TODAY(), K1884), "")</f>
        <v/>
      </c>
      <c r="L1884" s="78" t="n"/>
      <c r="M1884" s="78">
        <f>IF(ISBLANK(L1884),"",IF(D1884="Stock",IF(C1884="Buy",L1884*G1884,IF(C1884="Sell",(L1884*G1884)-I1884, X)),IF(C1884="Buy",(L1884*G1884*100)+I1884,IF(C1884="Sell",(L1884*G1884*100)-I1884, X))))</f>
        <v/>
      </c>
      <c r="N1884" s="78">
        <f>IF(ISBLANK(L1884),"",IF(AND(C1884="Sell",D1884="Stock"),M1884,IF(ISBLANK(L1884),"",IF(C1884="Buy",M1884, IF(AND(C1884="Sell",J1884="NA"),(E1884*G1884*100*0.1)+I1884, IF(C1884="Sell",(J1884-L1884)*(100*G1884)+I1884))))))</f>
        <v/>
      </c>
      <c r="O1884" s="75" t="n"/>
      <c r="P1884" s="75" t="n"/>
      <c r="Q1884" s="75">
        <f>IF(ISBLANK(P1884),"",IF(D1884="Stock",P1884*G1884,IF(P1884=0,"0",G1884*P1884*100-(G1884*$AF$14))))</f>
        <v/>
      </c>
      <c r="R1884" s="79">
        <f>IF(P1884&lt;&gt;"", TODAY(), "")</f>
        <v/>
      </c>
      <c r="S1884" s="78">
        <f>IF(AND(K1884&lt;&gt;"", R1884&lt;&gt;""), R1884-K1884, "")</f>
        <v/>
      </c>
      <c r="T1884" s="78" t="n"/>
      <c r="U1884" s="92">
        <f>IF(ISBLANK(P1884),"",IF(C1884="Buy",Q1884-M1884+T1884, IF(C1884="Sell",M1884-Q1884-T1884, X)))</f>
        <v/>
      </c>
      <c r="V1884" s="81">
        <f>IF(ISBLANK(P1884),"",U1884/N1884)</f>
        <v/>
      </c>
      <c r="W1884" s="81">
        <f>IF(ISBLANK(P1884),"",IF(S1884=0,(365/0.5)*V1884,(365/S1884)*V1884))</f>
        <v/>
      </c>
      <c r="X1884" s="75" t="n"/>
      <c r="Y1884" s="77" t="n"/>
      <c r="Z1884" s="77" t="n"/>
      <c r="AA1884" s="75" t="n"/>
      <c r="AB1884" s="75" t="n"/>
      <c r="AC1884" s="6" t="n"/>
      <c r="AD1884" s="75" t="n"/>
      <c r="AE1884" s="75" t="n"/>
      <c r="AF1884" s="75" t="n"/>
    </row>
    <row r="1885" ht="15.75" customHeight="1" s="133">
      <c r="A1885" s="75" t="n"/>
      <c r="B1885" s="75" t="n"/>
      <c r="C1885" s="75" t="n"/>
      <c r="D1885" s="75" t="n"/>
      <c r="E1885" s="76" t="n"/>
      <c r="F1885" s="77" t="n"/>
      <c r="G1885" s="75" t="n"/>
      <c r="H1885" s="75">
        <f>IF(ISBLANK(E1885),"",IF(OR(D1885="Butterfly",D1885="Butterfly ",D1885="Iron Fly", D1885="Iron Fly "),LEN(E1885)-LEN(SUBSTITUTE(E1885,"/",""))+2,LEN(E1885)-LEN(SUBSTITUTE(E1885,"/",""))+1))</f>
        <v/>
      </c>
      <c r="I1885" s="78">
        <f>IF(ISBLANK(G1885),"",IF(D1885="Stock","0",Key!$A$3*H1885*G1885))</f>
        <v/>
      </c>
      <c r="J1885" s="78">
        <f>IF(ISBLANK(E1885),"",IF(ISNUMBER(SEARCH("/",E1885)), IF(LEN(E1885)-LEN(SUBSTITUTE(E1885,"/",""))=1,(RIGHT(E1885,LEN(E1885)-FIND("/",E1885)))-(LEFT(E1885,FIND("/",E1885)-1)),(MID(E1885, SEARCH("/",E1885) + 1, SEARCH("/",E1885, SEARCH("/",E1885)+1) - SEARCH("/",E1885) - 1))-(LEFT(E1885,FIND("/",E1885)-1))), "NA"))</f>
        <v/>
      </c>
      <c r="K1885" s="79">
        <f>IF(A1885&lt;&gt;"", IF(ISBLANK(L1885), TODAY(), K1885), "")</f>
        <v/>
      </c>
      <c r="L1885" s="78" t="n"/>
      <c r="M1885" s="78">
        <f>IF(ISBLANK(L1885),"",IF(D1885="Stock",IF(C1885="Buy",L1885*G1885,IF(C1885="Sell",(L1885*G1885)-I1885, X)),IF(C1885="Buy",(L1885*G1885*100)+I1885,IF(C1885="Sell",(L1885*G1885*100)-I1885, X))))</f>
        <v/>
      </c>
      <c r="N1885" s="78">
        <f>IF(ISBLANK(L1885),"",IF(AND(C1885="Sell",D1885="Stock"),M1885,IF(ISBLANK(L1885),"",IF(C1885="Buy",M1885, IF(AND(C1885="Sell",J1885="NA"),(E1885*G1885*100*0.1)+I1885, IF(C1885="Sell",(J1885-L1885)*(100*G1885)+I1885))))))</f>
        <v/>
      </c>
      <c r="O1885" s="75" t="n"/>
      <c r="P1885" s="75" t="n"/>
      <c r="Q1885" s="75">
        <f>IF(ISBLANK(P1885),"",IF(D1885="Stock",P1885*G1885,IF(P1885=0,"0",G1885*P1885*100-(G1885*$AF$14))))</f>
        <v/>
      </c>
      <c r="R1885" s="79">
        <f>IF(P1885&lt;&gt;"", TODAY(), "")</f>
        <v/>
      </c>
      <c r="S1885" s="78">
        <f>IF(AND(K1885&lt;&gt;"", R1885&lt;&gt;""), R1885-K1885, "")</f>
        <v/>
      </c>
      <c r="T1885" s="78" t="n"/>
      <c r="U1885" s="92">
        <f>IF(ISBLANK(P1885),"",IF(C1885="Buy",Q1885-M1885+T1885, IF(C1885="Sell",M1885-Q1885-T1885, X)))</f>
        <v/>
      </c>
      <c r="V1885" s="81">
        <f>IF(ISBLANK(P1885),"",U1885/N1885)</f>
        <v/>
      </c>
      <c r="W1885" s="81">
        <f>IF(ISBLANK(P1885),"",IF(S1885=0,(365/0.5)*V1885,(365/S1885)*V1885))</f>
        <v/>
      </c>
      <c r="X1885" s="75" t="n"/>
      <c r="Y1885" s="77" t="n"/>
      <c r="Z1885" s="77" t="n"/>
      <c r="AA1885" s="75" t="n"/>
      <c r="AB1885" s="75" t="n"/>
      <c r="AC1885" s="6" t="n"/>
      <c r="AD1885" s="75" t="n"/>
      <c r="AE1885" s="75" t="n"/>
      <c r="AF1885" s="75" t="n"/>
    </row>
    <row r="1886" ht="15.75" customHeight="1" s="133">
      <c r="A1886" s="75" t="n"/>
      <c r="B1886" s="75" t="n"/>
      <c r="C1886" s="75" t="n"/>
      <c r="D1886" s="75" t="n"/>
      <c r="E1886" s="76" t="n"/>
      <c r="F1886" s="77" t="n"/>
      <c r="G1886" s="75" t="n"/>
      <c r="H1886" s="75">
        <f>IF(ISBLANK(E1886),"",IF(OR(D1886="Butterfly",D1886="Butterfly ",D1886="Iron Fly", D1886="Iron Fly "),LEN(E1886)-LEN(SUBSTITUTE(E1886,"/",""))+2,LEN(E1886)-LEN(SUBSTITUTE(E1886,"/",""))+1))</f>
        <v/>
      </c>
      <c r="I1886" s="78">
        <f>IF(ISBLANK(G1886),"",IF(D1886="Stock","0",Key!$A$3*H1886*G1886))</f>
        <v/>
      </c>
      <c r="J1886" s="78">
        <f>IF(ISBLANK(E1886),"",IF(ISNUMBER(SEARCH("/",E1886)), IF(LEN(E1886)-LEN(SUBSTITUTE(E1886,"/",""))=1,(RIGHT(E1886,LEN(E1886)-FIND("/",E1886)))-(LEFT(E1886,FIND("/",E1886)-1)),(MID(E1886, SEARCH("/",E1886) + 1, SEARCH("/",E1886, SEARCH("/",E1886)+1) - SEARCH("/",E1886) - 1))-(LEFT(E1886,FIND("/",E1886)-1))), "NA"))</f>
        <v/>
      </c>
      <c r="K1886" s="79">
        <f>IF(A1886&lt;&gt;"", IF(ISBLANK(L1886), TODAY(), K1886), "")</f>
        <v/>
      </c>
      <c r="L1886" s="78" t="n"/>
      <c r="M1886" s="78">
        <f>IF(ISBLANK(L1886),"",IF(D1886="Stock",IF(C1886="Buy",L1886*G1886,IF(C1886="Sell",(L1886*G1886)-I1886, X)),IF(C1886="Buy",(L1886*G1886*100)+I1886,IF(C1886="Sell",(L1886*G1886*100)-I1886, X))))</f>
        <v/>
      </c>
      <c r="N1886" s="78">
        <f>IF(ISBLANK(L1886),"",IF(AND(C1886="Sell",D1886="Stock"),M1886,IF(ISBLANK(L1886),"",IF(C1886="Buy",M1886, IF(AND(C1886="Sell",J1886="NA"),(E1886*G1886*100*0.1)+I1886, IF(C1886="Sell",(J1886-L1886)*(100*G1886)+I1886))))))</f>
        <v/>
      </c>
      <c r="O1886" s="75" t="n"/>
      <c r="P1886" s="75" t="n"/>
      <c r="Q1886" s="75">
        <f>IF(ISBLANK(P1886),"",IF(D1886="Stock",P1886*G1886,IF(P1886=0,"0",G1886*P1886*100-(G1886*$AF$14))))</f>
        <v/>
      </c>
      <c r="R1886" s="79">
        <f>IF(P1886&lt;&gt;"", TODAY(), "")</f>
        <v/>
      </c>
      <c r="S1886" s="78">
        <f>IF(AND(K1886&lt;&gt;"", R1886&lt;&gt;""), R1886-K1886, "")</f>
        <v/>
      </c>
      <c r="T1886" s="78" t="n"/>
      <c r="U1886" s="92">
        <f>IF(ISBLANK(P1886),"",IF(C1886="Buy",Q1886-M1886+T1886, IF(C1886="Sell",M1886-Q1886-T1886, X)))</f>
        <v/>
      </c>
      <c r="V1886" s="81">
        <f>IF(ISBLANK(P1886),"",U1886/N1886)</f>
        <v/>
      </c>
      <c r="W1886" s="81">
        <f>IF(ISBLANK(P1886),"",IF(S1886=0,(365/0.5)*V1886,(365/S1886)*V1886))</f>
        <v/>
      </c>
      <c r="X1886" s="75" t="n"/>
      <c r="Y1886" s="77" t="n"/>
      <c r="Z1886" s="77" t="n"/>
      <c r="AA1886" s="75" t="n"/>
      <c r="AB1886" s="75" t="n"/>
      <c r="AC1886" s="6" t="n"/>
      <c r="AD1886" s="75" t="n"/>
      <c r="AE1886" s="75" t="n"/>
      <c r="AF1886" s="75" t="n"/>
    </row>
    <row r="1887" ht="15.75" customHeight="1" s="133">
      <c r="A1887" s="75" t="n"/>
      <c r="B1887" s="75" t="n"/>
      <c r="C1887" s="75" t="n"/>
      <c r="D1887" s="75" t="n"/>
      <c r="E1887" s="76" t="n"/>
      <c r="F1887" s="77" t="n"/>
      <c r="G1887" s="75" t="n"/>
      <c r="H1887" s="75">
        <f>IF(ISBLANK(E1887),"",IF(OR(D1887="Butterfly",D1887="Butterfly ",D1887="Iron Fly", D1887="Iron Fly "),LEN(E1887)-LEN(SUBSTITUTE(E1887,"/",""))+2,LEN(E1887)-LEN(SUBSTITUTE(E1887,"/",""))+1))</f>
        <v/>
      </c>
      <c r="I1887" s="78">
        <f>IF(ISBLANK(G1887),"",IF(D1887="Stock","0",Key!$A$3*H1887*G1887))</f>
        <v/>
      </c>
      <c r="J1887" s="78">
        <f>IF(ISBLANK(E1887),"",IF(ISNUMBER(SEARCH("/",E1887)), IF(LEN(E1887)-LEN(SUBSTITUTE(E1887,"/",""))=1,(RIGHT(E1887,LEN(E1887)-FIND("/",E1887)))-(LEFT(E1887,FIND("/",E1887)-1)),(MID(E1887, SEARCH("/",E1887) + 1, SEARCH("/",E1887, SEARCH("/",E1887)+1) - SEARCH("/",E1887) - 1))-(LEFT(E1887,FIND("/",E1887)-1))), "NA"))</f>
        <v/>
      </c>
      <c r="K1887" s="79">
        <f>IF(A1887&lt;&gt;"", IF(ISBLANK(L1887), TODAY(), K1887), "")</f>
        <v/>
      </c>
      <c r="L1887" s="78" t="n"/>
      <c r="M1887" s="78">
        <f>IF(ISBLANK(L1887),"",IF(D1887="Stock",IF(C1887="Buy",L1887*G1887,IF(C1887="Sell",(L1887*G1887)-I1887, X)),IF(C1887="Buy",(L1887*G1887*100)+I1887,IF(C1887="Sell",(L1887*G1887*100)-I1887, X))))</f>
        <v/>
      </c>
      <c r="N1887" s="78">
        <f>IF(ISBLANK(L1887),"",IF(AND(C1887="Sell",D1887="Stock"),M1887,IF(ISBLANK(L1887),"",IF(C1887="Buy",M1887, IF(AND(C1887="Sell",J1887="NA"),(E1887*G1887*100*0.1)+I1887, IF(C1887="Sell",(J1887-L1887)*(100*G1887)+I1887))))))</f>
        <v/>
      </c>
      <c r="O1887" s="75" t="n"/>
      <c r="P1887" s="75" t="n"/>
      <c r="Q1887" s="75">
        <f>IF(ISBLANK(P1887),"",IF(D1887="Stock",P1887*G1887,IF(P1887=0,"0",G1887*P1887*100-(G1887*$AF$14))))</f>
        <v/>
      </c>
      <c r="R1887" s="79">
        <f>IF(P1887&lt;&gt;"", TODAY(), "")</f>
        <v/>
      </c>
      <c r="S1887" s="78">
        <f>IF(AND(K1887&lt;&gt;"", R1887&lt;&gt;""), R1887-K1887, "")</f>
        <v/>
      </c>
      <c r="T1887" s="78" t="n"/>
      <c r="U1887" s="92">
        <f>IF(ISBLANK(P1887),"",IF(C1887="Buy",Q1887-M1887+T1887, IF(C1887="Sell",M1887-Q1887-T1887, X)))</f>
        <v/>
      </c>
      <c r="V1887" s="81">
        <f>IF(ISBLANK(P1887),"",U1887/N1887)</f>
        <v/>
      </c>
      <c r="W1887" s="81">
        <f>IF(ISBLANK(P1887),"",IF(S1887=0,(365/0.5)*V1887,(365/S1887)*V1887))</f>
        <v/>
      </c>
      <c r="X1887" s="75" t="n"/>
      <c r="Y1887" s="77" t="n"/>
      <c r="Z1887" s="77" t="n"/>
      <c r="AA1887" s="75" t="n"/>
      <c r="AB1887" s="75" t="n"/>
      <c r="AC1887" s="6" t="n"/>
      <c r="AD1887" s="75" t="n"/>
      <c r="AE1887" s="75" t="n"/>
      <c r="AF1887" s="75" t="n"/>
    </row>
    <row r="1888" ht="15.75" customHeight="1" s="133">
      <c r="A1888" s="75" t="n"/>
      <c r="B1888" s="75" t="n"/>
      <c r="C1888" s="75" t="n"/>
      <c r="D1888" s="75" t="n"/>
      <c r="E1888" s="76" t="n"/>
      <c r="F1888" s="77" t="n"/>
      <c r="G1888" s="75" t="n"/>
      <c r="H1888" s="75">
        <f>IF(ISBLANK(E1888),"",IF(OR(D1888="Butterfly",D1888="Butterfly ",D1888="Iron Fly", D1888="Iron Fly "),LEN(E1888)-LEN(SUBSTITUTE(E1888,"/",""))+2,LEN(E1888)-LEN(SUBSTITUTE(E1888,"/",""))+1))</f>
        <v/>
      </c>
      <c r="I1888" s="78">
        <f>IF(ISBLANK(G1888),"",IF(D1888="Stock","0",Key!$A$3*H1888*G1888))</f>
        <v/>
      </c>
      <c r="J1888" s="78">
        <f>IF(ISBLANK(E1888),"",IF(ISNUMBER(SEARCH("/",E1888)), IF(LEN(E1888)-LEN(SUBSTITUTE(E1888,"/",""))=1,(RIGHT(E1888,LEN(E1888)-FIND("/",E1888)))-(LEFT(E1888,FIND("/",E1888)-1)),(MID(E1888, SEARCH("/",E1888) + 1, SEARCH("/",E1888, SEARCH("/",E1888)+1) - SEARCH("/",E1888) - 1))-(LEFT(E1888,FIND("/",E1888)-1))), "NA"))</f>
        <v/>
      </c>
      <c r="K1888" s="79">
        <f>IF(A1888&lt;&gt;"", IF(ISBLANK(L1888), TODAY(), K1888), "")</f>
        <v/>
      </c>
      <c r="L1888" s="78" t="n"/>
      <c r="M1888" s="78">
        <f>IF(ISBLANK(L1888),"",IF(D1888="Stock",IF(C1888="Buy",L1888*G1888,IF(C1888="Sell",(L1888*G1888)-I1888, X)),IF(C1888="Buy",(L1888*G1888*100)+I1888,IF(C1888="Sell",(L1888*G1888*100)-I1888, X))))</f>
        <v/>
      </c>
      <c r="N1888" s="78">
        <f>IF(ISBLANK(L1888),"",IF(AND(C1888="Sell",D1888="Stock"),M1888,IF(ISBLANK(L1888),"",IF(C1888="Buy",M1888, IF(AND(C1888="Sell",J1888="NA"),(E1888*G1888*100*0.1)+I1888, IF(C1888="Sell",(J1888-L1888)*(100*G1888)+I1888))))))</f>
        <v/>
      </c>
      <c r="O1888" s="75" t="n"/>
      <c r="P1888" s="75" t="n"/>
      <c r="Q1888" s="75">
        <f>IF(ISBLANK(P1888),"",IF(D1888="Stock",P1888*G1888,IF(P1888=0,"0",G1888*P1888*100-(G1888*$AF$14))))</f>
        <v/>
      </c>
      <c r="R1888" s="79">
        <f>IF(P1888&lt;&gt;"", TODAY(), "")</f>
        <v/>
      </c>
      <c r="S1888" s="78">
        <f>IF(AND(K1888&lt;&gt;"", R1888&lt;&gt;""), R1888-K1888, "")</f>
        <v/>
      </c>
      <c r="T1888" s="78" t="n"/>
      <c r="U1888" s="92">
        <f>IF(ISBLANK(P1888),"",IF(C1888="Buy",Q1888-M1888+T1888, IF(C1888="Sell",M1888-Q1888-T1888, X)))</f>
        <v/>
      </c>
      <c r="V1888" s="81">
        <f>IF(ISBLANK(P1888),"",U1888/N1888)</f>
        <v/>
      </c>
      <c r="W1888" s="81">
        <f>IF(ISBLANK(P1888),"",IF(S1888=0,(365/0.5)*V1888,(365/S1888)*V1888))</f>
        <v/>
      </c>
      <c r="X1888" s="75" t="n"/>
      <c r="Y1888" s="77" t="n"/>
      <c r="Z1888" s="77" t="n"/>
      <c r="AA1888" s="75" t="n"/>
      <c r="AB1888" s="75" t="n"/>
      <c r="AC1888" s="6" t="n"/>
      <c r="AD1888" s="75" t="n"/>
      <c r="AE1888" s="75" t="n"/>
      <c r="AF1888" s="75" t="n"/>
    </row>
    <row r="1889" ht="15.75" customHeight="1" s="133">
      <c r="A1889" s="75" t="n"/>
      <c r="B1889" s="75" t="n"/>
      <c r="C1889" s="75" t="n"/>
      <c r="D1889" s="75" t="n"/>
      <c r="E1889" s="76" t="n"/>
      <c r="F1889" s="77" t="n"/>
      <c r="G1889" s="75" t="n"/>
      <c r="H1889" s="75">
        <f>IF(ISBLANK(E1889),"",IF(OR(D1889="Butterfly",D1889="Butterfly ",D1889="Iron Fly", D1889="Iron Fly "),LEN(E1889)-LEN(SUBSTITUTE(E1889,"/",""))+2,LEN(E1889)-LEN(SUBSTITUTE(E1889,"/",""))+1))</f>
        <v/>
      </c>
      <c r="I1889" s="78">
        <f>IF(ISBLANK(G1889),"",IF(D1889="Stock","0",Key!$A$3*H1889*G1889))</f>
        <v/>
      </c>
      <c r="J1889" s="78">
        <f>IF(ISBLANK(E1889),"",IF(ISNUMBER(SEARCH("/",E1889)), IF(LEN(E1889)-LEN(SUBSTITUTE(E1889,"/",""))=1,(RIGHT(E1889,LEN(E1889)-FIND("/",E1889)))-(LEFT(E1889,FIND("/",E1889)-1)),(MID(E1889, SEARCH("/",E1889) + 1, SEARCH("/",E1889, SEARCH("/",E1889)+1) - SEARCH("/",E1889) - 1))-(LEFT(E1889,FIND("/",E1889)-1))), "NA"))</f>
        <v/>
      </c>
      <c r="K1889" s="79">
        <f>IF(A1889&lt;&gt;"", IF(ISBLANK(L1889), TODAY(), K1889), "")</f>
        <v/>
      </c>
      <c r="L1889" s="78" t="n"/>
      <c r="M1889" s="78">
        <f>IF(ISBLANK(L1889),"",IF(D1889="Stock",IF(C1889="Buy",L1889*G1889,IF(C1889="Sell",(L1889*G1889)-I1889, X)),IF(C1889="Buy",(L1889*G1889*100)+I1889,IF(C1889="Sell",(L1889*G1889*100)-I1889, X))))</f>
        <v/>
      </c>
      <c r="N1889" s="78">
        <f>IF(ISBLANK(L1889),"",IF(AND(C1889="Sell",D1889="Stock"),M1889,IF(ISBLANK(L1889),"",IF(C1889="Buy",M1889, IF(AND(C1889="Sell",J1889="NA"),(E1889*G1889*100*0.1)+I1889, IF(C1889="Sell",(J1889-L1889)*(100*G1889)+I1889))))))</f>
        <v/>
      </c>
      <c r="O1889" s="75" t="n"/>
      <c r="P1889" s="75" t="n"/>
      <c r="Q1889" s="75">
        <f>IF(ISBLANK(P1889),"",IF(D1889="Stock",P1889*G1889,IF(P1889=0,"0",G1889*P1889*100-(G1889*$AF$14))))</f>
        <v/>
      </c>
      <c r="R1889" s="79">
        <f>IF(P1889&lt;&gt;"", TODAY(), "")</f>
        <v/>
      </c>
      <c r="S1889" s="78">
        <f>IF(AND(K1889&lt;&gt;"", R1889&lt;&gt;""), R1889-K1889, "")</f>
        <v/>
      </c>
      <c r="T1889" s="78" t="n"/>
      <c r="U1889" s="92">
        <f>IF(ISBLANK(P1889),"",IF(C1889="Buy",Q1889-M1889+T1889, IF(C1889="Sell",M1889-Q1889-T1889, X)))</f>
        <v/>
      </c>
      <c r="V1889" s="81">
        <f>IF(ISBLANK(P1889),"",U1889/N1889)</f>
        <v/>
      </c>
      <c r="W1889" s="81">
        <f>IF(ISBLANK(P1889),"",IF(S1889=0,(365/0.5)*V1889,(365/S1889)*V1889))</f>
        <v/>
      </c>
      <c r="X1889" s="75" t="n"/>
      <c r="Y1889" s="77" t="n"/>
      <c r="Z1889" s="77" t="n"/>
      <c r="AA1889" s="75" t="n"/>
      <c r="AB1889" s="75" t="n"/>
      <c r="AC1889" s="6" t="n"/>
      <c r="AD1889" s="75" t="n"/>
      <c r="AE1889" s="75" t="n"/>
      <c r="AF1889" s="75" t="n"/>
    </row>
    <row r="1890" ht="15.75" customHeight="1" s="133">
      <c r="A1890" s="75" t="n"/>
      <c r="B1890" s="75" t="n"/>
      <c r="C1890" s="75" t="n"/>
      <c r="D1890" s="75" t="n"/>
      <c r="E1890" s="76" t="n"/>
      <c r="F1890" s="77" t="n"/>
      <c r="G1890" s="75" t="n"/>
      <c r="H1890" s="75">
        <f>IF(ISBLANK(E1890),"",IF(OR(D1890="Butterfly",D1890="Butterfly ",D1890="Iron Fly", D1890="Iron Fly "),LEN(E1890)-LEN(SUBSTITUTE(E1890,"/",""))+2,LEN(E1890)-LEN(SUBSTITUTE(E1890,"/",""))+1))</f>
        <v/>
      </c>
      <c r="I1890" s="78">
        <f>IF(ISBLANK(G1890),"",IF(D1890="Stock","0",Key!$A$3*H1890*G1890))</f>
        <v/>
      </c>
      <c r="J1890" s="78">
        <f>IF(ISBLANK(E1890),"",IF(ISNUMBER(SEARCH("/",E1890)), IF(LEN(E1890)-LEN(SUBSTITUTE(E1890,"/",""))=1,(RIGHT(E1890,LEN(E1890)-FIND("/",E1890)))-(LEFT(E1890,FIND("/",E1890)-1)),(MID(E1890, SEARCH("/",E1890) + 1, SEARCH("/",E1890, SEARCH("/",E1890)+1) - SEARCH("/",E1890) - 1))-(LEFT(E1890,FIND("/",E1890)-1))), "NA"))</f>
        <v/>
      </c>
      <c r="K1890" s="79">
        <f>IF(A1890&lt;&gt;"", IF(ISBLANK(L1890), TODAY(), K1890), "")</f>
        <v/>
      </c>
      <c r="L1890" s="78" t="n"/>
      <c r="M1890" s="78">
        <f>IF(ISBLANK(L1890),"",IF(D1890="Stock",IF(C1890="Buy",L1890*G1890,IF(C1890="Sell",(L1890*G1890)-I1890, X)),IF(C1890="Buy",(L1890*G1890*100)+I1890,IF(C1890="Sell",(L1890*G1890*100)-I1890, X))))</f>
        <v/>
      </c>
      <c r="N1890" s="78">
        <f>IF(ISBLANK(L1890),"",IF(AND(C1890="Sell",D1890="Stock"),M1890,IF(ISBLANK(L1890),"",IF(C1890="Buy",M1890, IF(AND(C1890="Sell",J1890="NA"),(E1890*G1890*100*0.1)+I1890, IF(C1890="Sell",(J1890-L1890)*(100*G1890)+I1890))))))</f>
        <v/>
      </c>
      <c r="O1890" s="75" t="n"/>
      <c r="P1890" s="75" t="n"/>
      <c r="Q1890" s="75">
        <f>IF(ISBLANK(P1890),"",IF(D1890="Stock",P1890*G1890,IF(P1890=0,"0",G1890*P1890*100-(G1890*$AF$14))))</f>
        <v/>
      </c>
      <c r="R1890" s="79">
        <f>IF(P1890&lt;&gt;"", TODAY(), "")</f>
        <v/>
      </c>
      <c r="S1890" s="78">
        <f>IF(AND(K1890&lt;&gt;"", R1890&lt;&gt;""), R1890-K1890, "")</f>
        <v/>
      </c>
      <c r="T1890" s="78" t="n"/>
      <c r="U1890" s="92">
        <f>IF(ISBLANK(P1890),"",IF(C1890="Buy",Q1890-M1890+T1890, IF(C1890="Sell",M1890-Q1890-T1890, X)))</f>
        <v/>
      </c>
      <c r="V1890" s="81">
        <f>IF(ISBLANK(P1890),"",U1890/N1890)</f>
        <v/>
      </c>
      <c r="W1890" s="81">
        <f>IF(ISBLANK(P1890),"",IF(S1890=0,(365/0.5)*V1890,(365/S1890)*V1890))</f>
        <v/>
      </c>
      <c r="X1890" s="75" t="n"/>
      <c r="Y1890" s="77" t="n"/>
      <c r="Z1890" s="77" t="n"/>
      <c r="AA1890" s="75" t="n"/>
      <c r="AB1890" s="75" t="n"/>
      <c r="AC1890" s="6" t="n"/>
      <c r="AD1890" s="75" t="n"/>
      <c r="AE1890" s="75" t="n"/>
      <c r="AF1890" s="75" t="n"/>
    </row>
    <row r="1891" ht="15.75" customHeight="1" s="133">
      <c r="A1891" s="75" t="n"/>
      <c r="B1891" s="75" t="n"/>
      <c r="C1891" s="75" t="n"/>
      <c r="D1891" s="75" t="n"/>
      <c r="E1891" s="76" t="n"/>
      <c r="F1891" s="77" t="n"/>
      <c r="G1891" s="75" t="n"/>
      <c r="H1891" s="75">
        <f>IF(ISBLANK(E1891),"",IF(OR(D1891="Butterfly",D1891="Butterfly ",D1891="Iron Fly", D1891="Iron Fly "),LEN(E1891)-LEN(SUBSTITUTE(E1891,"/",""))+2,LEN(E1891)-LEN(SUBSTITUTE(E1891,"/",""))+1))</f>
        <v/>
      </c>
      <c r="I1891" s="78">
        <f>IF(ISBLANK(G1891),"",IF(D1891="Stock","0",Key!$A$3*H1891*G1891))</f>
        <v/>
      </c>
      <c r="J1891" s="78">
        <f>IF(ISBLANK(E1891),"",IF(ISNUMBER(SEARCH("/",E1891)), IF(LEN(E1891)-LEN(SUBSTITUTE(E1891,"/",""))=1,(RIGHT(E1891,LEN(E1891)-FIND("/",E1891)))-(LEFT(E1891,FIND("/",E1891)-1)),(MID(E1891, SEARCH("/",E1891) + 1, SEARCH("/",E1891, SEARCH("/",E1891)+1) - SEARCH("/",E1891) - 1))-(LEFT(E1891,FIND("/",E1891)-1))), "NA"))</f>
        <v/>
      </c>
      <c r="K1891" s="79">
        <f>IF(A1891&lt;&gt;"", IF(ISBLANK(L1891), TODAY(), K1891), "")</f>
        <v/>
      </c>
      <c r="L1891" s="78" t="n"/>
      <c r="M1891" s="78">
        <f>IF(ISBLANK(L1891),"",IF(D1891="Stock",IF(C1891="Buy",L1891*G1891,IF(C1891="Sell",(L1891*G1891)-I1891, X)),IF(C1891="Buy",(L1891*G1891*100)+I1891,IF(C1891="Sell",(L1891*G1891*100)-I1891, X))))</f>
        <v/>
      </c>
      <c r="N1891" s="78">
        <f>IF(ISBLANK(L1891),"",IF(AND(C1891="Sell",D1891="Stock"),M1891,IF(ISBLANK(L1891),"",IF(C1891="Buy",M1891, IF(AND(C1891="Sell",J1891="NA"),(E1891*G1891*100*0.1)+I1891, IF(C1891="Sell",(J1891-L1891)*(100*G1891)+I1891))))))</f>
        <v/>
      </c>
      <c r="O1891" s="75" t="n"/>
      <c r="P1891" s="75" t="n"/>
      <c r="Q1891" s="75">
        <f>IF(ISBLANK(P1891),"",IF(D1891="Stock",P1891*G1891,IF(P1891=0,"0",G1891*P1891*100-(G1891*$AF$14))))</f>
        <v/>
      </c>
      <c r="R1891" s="79">
        <f>IF(P1891&lt;&gt;"", TODAY(), "")</f>
        <v/>
      </c>
      <c r="S1891" s="78">
        <f>IF(AND(K1891&lt;&gt;"", R1891&lt;&gt;""), R1891-K1891, "")</f>
        <v/>
      </c>
      <c r="T1891" s="78" t="n"/>
      <c r="U1891" s="92">
        <f>IF(ISBLANK(P1891),"",IF(C1891="Buy",Q1891-M1891+T1891, IF(C1891="Sell",M1891-Q1891-T1891, X)))</f>
        <v/>
      </c>
      <c r="V1891" s="81">
        <f>IF(ISBLANK(P1891),"",U1891/N1891)</f>
        <v/>
      </c>
      <c r="W1891" s="81">
        <f>IF(ISBLANK(P1891),"",IF(S1891=0,(365/0.5)*V1891,(365/S1891)*V1891))</f>
        <v/>
      </c>
      <c r="X1891" s="75" t="n"/>
      <c r="Y1891" s="77" t="n"/>
      <c r="Z1891" s="77" t="n"/>
      <c r="AA1891" s="75" t="n"/>
      <c r="AB1891" s="75" t="n"/>
      <c r="AC1891" s="6" t="n"/>
      <c r="AD1891" s="75" t="n"/>
      <c r="AE1891" s="75" t="n"/>
      <c r="AF1891" s="75" t="n"/>
    </row>
    <row r="1892" ht="15.75" customHeight="1" s="133">
      <c r="A1892" s="75" t="n"/>
      <c r="B1892" s="75" t="n"/>
      <c r="C1892" s="75" t="n"/>
      <c r="D1892" s="75" t="n"/>
      <c r="E1892" s="76" t="n"/>
      <c r="F1892" s="77" t="n"/>
      <c r="G1892" s="75" t="n"/>
      <c r="H1892" s="75">
        <f>IF(ISBLANK(E1892),"",IF(OR(D1892="Butterfly",D1892="Butterfly ",D1892="Iron Fly", D1892="Iron Fly "),LEN(E1892)-LEN(SUBSTITUTE(E1892,"/",""))+2,LEN(E1892)-LEN(SUBSTITUTE(E1892,"/",""))+1))</f>
        <v/>
      </c>
      <c r="I1892" s="78">
        <f>IF(ISBLANK(G1892),"",IF(D1892="Stock","0",Key!$A$3*H1892*G1892))</f>
        <v/>
      </c>
      <c r="J1892" s="78">
        <f>IF(ISBLANK(E1892),"",IF(ISNUMBER(SEARCH("/",E1892)), IF(LEN(E1892)-LEN(SUBSTITUTE(E1892,"/",""))=1,(RIGHT(E1892,LEN(E1892)-FIND("/",E1892)))-(LEFT(E1892,FIND("/",E1892)-1)),(MID(E1892, SEARCH("/",E1892) + 1, SEARCH("/",E1892, SEARCH("/",E1892)+1) - SEARCH("/",E1892) - 1))-(LEFT(E1892,FIND("/",E1892)-1))), "NA"))</f>
        <v/>
      </c>
      <c r="K1892" s="79">
        <f>IF(A1892&lt;&gt;"", IF(ISBLANK(L1892), TODAY(), K1892), "")</f>
        <v/>
      </c>
      <c r="L1892" s="78" t="n"/>
      <c r="M1892" s="78">
        <f>IF(ISBLANK(L1892),"",IF(D1892="Stock",IF(C1892="Buy",L1892*G1892,IF(C1892="Sell",(L1892*G1892)-I1892, X)),IF(C1892="Buy",(L1892*G1892*100)+I1892,IF(C1892="Sell",(L1892*G1892*100)-I1892, X))))</f>
        <v/>
      </c>
      <c r="N1892" s="78">
        <f>IF(ISBLANK(L1892),"",IF(AND(C1892="Sell",D1892="Stock"),M1892,IF(ISBLANK(L1892),"",IF(C1892="Buy",M1892, IF(AND(C1892="Sell",J1892="NA"),(E1892*G1892*100*0.1)+I1892, IF(C1892="Sell",(J1892-L1892)*(100*G1892)+I1892))))))</f>
        <v/>
      </c>
      <c r="O1892" s="75" t="n"/>
      <c r="P1892" s="75" t="n"/>
      <c r="Q1892" s="75">
        <f>IF(ISBLANK(P1892),"",IF(D1892="Stock",P1892*G1892,IF(P1892=0,"0",G1892*P1892*100-(G1892*$AF$14))))</f>
        <v/>
      </c>
      <c r="R1892" s="79">
        <f>IF(P1892&lt;&gt;"", TODAY(), "")</f>
        <v/>
      </c>
      <c r="S1892" s="78">
        <f>IF(AND(K1892&lt;&gt;"", R1892&lt;&gt;""), R1892-K1892, "")</f>
        <v/>
      </c>
      <c r="T1892" s="78" t="n"/>
      <c r="U1892" s="92">
        <f>IF(ISBLANK(P1892),"",IF(C1892="Buy",Q1892-M1892+T1892, IF(C1892="Sell",M1892-Q1892-T1892, X)))</f>
        <v/>
      </c>
      <c r="V1892" s="81">
        <f>IF(ISBLANK(P1892),"",U1892/N1892)</f>
        <v/>
      </c>
      <c r="W1892" s="81">
        <f>IF(ISBLANK(P1892),"",IF(S1892=0,(365/0.5)*V1892,(365/S1892)*V1892))</f>
        <v/>
      </c>
      <c r="X1892" s="75" t="n"/>
      <c r="Y1892" s="77" t="n"/>
      <c r="Z1892" s="77" t="n"/>
      <c r="AA1892" s="75" t="n"/>
      <c r="AB1892" s="75" t="n"/>
      <c r="AC1892" s="6" t="n"/>
      <c r="AD1892" s="75" t="n"/>
      <c r="AE1892" s="75" t="n"/>
      <c r="AF1892" s="75" t="n"/>
    </row>
    <row r="1893" ht="15.75" customHeight="1" s="133">
      <c r="A1893" s="75" t="n"/>
      <c r="B1893" s="75" t="n"/>
      <c r="C1893" s="75" t="n"/>
      <c r="D1893" s="75" t="n"/>
      <c r="E1893" s="76" t="n"/>
      <c r="F1893" s="77" t="n"/>
      <c r="G1893" s="75" t="n"/>
      <c r="H1893" s="75">
        <f>IF(ISBLANK(E1893),"",IF(OR(D1893="Butterfly",D1893="Butterfly ",D1893="Iron Fly", D1893="Iron Fly "),LEN(E1893)-LEN(SUBSTITUTE(E1893,"/",""))+2,LEN(E1893)-LEN(SUBSTITUTE(E1893,"/",""))+1))</f>
        <v/>
      </c>
      <c r="I1893" s="78">
        <f>IF(ISBLANK(G1893),"",IF(D1893="Stock","0",Key!$A$3*H1893*G1893))</f>
        <v/>
      </c>
      <c r="J1893" s="78">
        <f>IF(ISBLANK(E1893),"",IF(ISNUMBER(SEARCH("/",E1893)), IF(LEN(E1893)-LEN(SUBSTITUTE(E1893,"/",""))=1,(RIGHT(E1893,LEN(E1893)-FIND("/",E1893)))-(LEFT(E1893,FIND("/",E1893)-1)),(MID(E1893, SEARCH("/",E1893) + 1, SEARCH("/",E1893, SEARCH("/",E1893)+1) - SEARCH("/",E1893) - 1))-(LEFT(E1893,FIND("/",E1893)-1))), "NA"))</f>
        <v/>
      </c>
      <c r="K1893" s="79">
        <f>IF(A1893&lt;&gt;"", IF(ISBLANK(L1893), TODAY(), K1893), "")</f>
        <v/>
      </c>
      <c r="L1893" s="78" t="n"/>
      <c r="M1893" s="78">
        <f>IF(ISBLANK(L1893),"",IF(D1893="Stock",IF(C1893="Buy",L1893*G1893,IF(C1893="Sell",(L1893*G1893)-I1893, X)),IF(C1893="Buy",(L1893*G1893*100)+I1893,IF(C1893="Sell",(L1893*G1893*100)-I1893, X))))</f>
        <v/>
      </c>
      <c r="N1893" s="78">
        <f>IF(ISBLANK(L1893),"",IF(AND(C1893="Sell",D1893="Stock"),M1893,IF(ISBLANK(L1893),"",IF(C1893="Buy",M1893, IF(AND(C1893="Sell",J1893="NA"),(E1893*G1893*100*0.1)+I1893, IF(C1893="Sell",(J1893-L1893)*(100*G1893)+I1893))))))</f>
        <v/>
      </c>
      <c r="O1893" s="75" t="n"/>
      <c r="P1893" s="75" t="n"/>
      <c r="Q1893" s="75">
        <f>IF(ISBLANK(P1893),"",IF(D1893="Stock",P1893*G1893,IF(P1893=0,"0",G1893*P1893*100-(G1893*$AF$14))))</f>
        <v/>
      </c>
      <c r="R1893" s="79">
        <f>IF(P1893&lt;&gt;"", TODAY(), "")</f>
        <v/>
      </c>
      <c r="S1893" s="78">
        <f>IF(AND(K1893&lt;&gt;"", R1893&lt;&gt;""), R1893-K1893, "")</f>
        <v/>
      </c>
      <c r="T1893" s="78" t="n"/>
      <c r="U1893" s="92">
        <f>IF(ISBLANK(P1893),"",IF(C1893="Buy",Q1893-M1893+T1893, IF(C1893="Sell",M1893-Q1893-T1893, X)))</f>
        <v/>
      </c>
      <c r="V1893" s="81">
        <f>IF(ISBLANK(P1893),"",U1893/N1893)</f>
        <v/>
      </c>
      <c r="W1893" s="81">
        <f>IF(ISBLANK(P1893),"",IF(S1893=0,(365/0.5)*V1893,(365/S1893)*V1893))</f>
        <v/>
      </c>
      <c r="X1893" s="75" t="n"/>
      <c r="Y1893" s="77" t="n"/>
      <c r="Z1893" s="77" t="n"/>
      <c r="AA1893" s="75" t="n"/>
      <c r="AB1893" s="75" t="n"/>
      <c r="AC1893" s="6" t="n"/>
      <c r="AD1893" s="75" t="n"/>
      <c r="AE1893" s="75" t="n"/>
      <c r="AF1893" s="75" t="n"/>
    </row>
    <row r="1894" ht="15.75" customHeight="1" s="133">
      <c r="A1894" s="75" t="n"/>
      <c r="B1894" s="75" t="n"/>
      <c r="C1894" s="75" t="n"/>
      <c r="D1894" s="75" t="n"/>
      <c r="E1894" s="76" t="n"/>
      <c r="F1894" s="77" t="n"/>
      <c r="G1894" s="75" t="n"/>
      <c r="H1894" s="75">
        <f>IF(ISBLANK(E1894),"",IF(OR(D1894="Butterfly",D1894="Butterfly ",D1894="Iron Fly", D1894="Iron Fly "),LEN(E1894)-LEN(SUBSTITUTE(E1894,"/",""))+2,LEN(E1894)-LEN(SUBSTITUTE(E1894,"/",""))+1))</f>
        <v/>
      </c>
      <c r="I1894" s="78">
        <f>IF(ISBLANK(G1894),"",IF(D1894="Stock","0",Key!$A$3*H1894*G1894))</f>
        <v/>
      </c>
      <c r="J1894" s="78">
        <f>IF(ISBLANK(E1894),"",IF(ISNUMBER(SEARCH("/",E1894)), IF(LEN(E1894)-LEN(SUBSTITUTE(E1894,"/",""))=1,(RIGHT(E1894,LEN(E1894)-FIND("/",E1894)))-(LEFT(E1894,FIND("/",E1894)-1)),(MID(E1894, SEARCH("/",E1894) + 1, SEARCH("/",E1894, SEARCH("/",E1894)+1) - SEARCH("/",E1894) - 1))-(LEFT(E1894,FIND("/",E1894)-1))), "NA"))</f>
        <v/>
      </c>
      <c r="K1894" s="79">
        <f>IF(A1894&lt;&gt;"", IF(ISBLANK(L1894), TODAY(), K1894), "")</f>
        <v/>
      </c>
      <c r="L1894" s="78" t="n"/>
      <c r="M1894" s="78">
        <f>IF(ISBLANK(L1894),"",IF(D1894="Stock",IF(C1894="Buy",L1894*G1894,IF(C1894="Sell",(L1894*G1894)-I1894, X)),IF(C1894="Buy",(L1894*G1894*100)+I1894,IF(C1894="Sell",(L1894*G1894*100)-I1894, X))))</f>
        <v/>
      </c>
      <c r="N1894" s="78">
        <f>IF(ISBLANK(L1894),"",IF(AND(C1894="Sell",D1894="Stock"),M1894,IF(ISBLANK(L1894),"",IF(C1894="Buy",M1894, IF(AND(C1894="Sell",J1894="NA"),(E1894*G1894*100*0.1)+I1894, IF(C1894="Sell",(J1894-L1894)*(100*G1894)+I1894))))))</f>
        <v/>
      </c>
      <c r="O1894" s="75" t="n"/>
      <c r="P1894" s="75" t="n"/>
      <c r="Q1894" s="75">
        <f>IF(ISBLANK(P1894),"",IF(D1894="Stock",P1894*G1894,IF(P1894=0,"0",G1894*P1894*100-(G1894*$AF$14))))</f>
        <v/>
      </c>
      <c r="R1894" s="79">
        <f>IF(P1894&lt;&gt;"", TODAY(), "")</f>
        <v/>
      </c>
      <c r="S1894" s="78">
        <f>IF(AND(K1894&lt;&gt;"", R1894&lt;&gt;""), R1894-K1894, "")</f>
        <v/>
      </c>
      <c r="T1894" s="78" t="n"/>
      <c r="U1894" s="92">
        <f>IF(ISBLANK(P1894),"",IF(C1894="Buy",Q1894-M1894+T1894, IF(C1894="Sell",M1894-Q1894-T1894, X)))</f>
        <v/>
      </c>
      <c r="V1894" s="81">
        <f>IF(ISBLANK(P1894),"",U1894/N1894)</f>
        <v/>
      </c>
      <c r="W1894" s="81">
        <f>IF(ISBLANK(P1894),"",IF(S1894=0,(365/0.5)*V1894,(365/S1894)*V1894))</f>
        <v/>
      </c>
      <c r="X1894" s="75" t="n"/>
      <c r="Y1894" s="77" t="n"/>
      <c r="Z1894" s="77" t="n"/>
      <c r="AA1894" s="75" t="n"/>
      <c r="AB1894" s="75" t="n"/>
      <c r="AC1894" s="6" t="n"/>
      <c r="AD1894" s="75" t="n"/>
      <c r="AE1894" s="75" t="n"/>
      <c r="AF1894" s="75" t="n"/>
    </row>
    <row r="1895" ht="15.75" customHeight="1" s="133">
      <c r="A1895" s="75" t="n"/>
      <c r="B1895" s="75" t="n"/>
      <c r="C1895" s="75" t="n"/>
      <c r="D1895" s="75" t="n"/>
      <c r="E1895" s="76" t="n"/>
      <c r="F1895" s="77" t="n"/>
      <c r="G1895" s="75" t="n"/>
      <c r="H1895" s="75">
        <f>IF(ISBLANK(E1895),"",IF(OR(D1895="Butterfly",D1895="Butterfly ",D1895="Iron Fly", D1895="Iron Fly "),LEN(E1895)-LEN(SUBSTITUTE(E1895,"/",""))+2,LEN(E1895)-LEN(SUBSTITUTE(E1895,"/",""))+1))</f>
        <v/>
      </c>
      <c r="I1895" s="78">
        <f>IF(ISBLANK(G1895),"",IF(D1895="Stock","0",Key!$A$3*H1895*G1895))</f>
        <v/>
      </c>
      <c r="J1895" s="78">
        <f>IF(ISBLANK(E1895),"",IF(ISNUMBER(SEARCH("/",E1895)), IF(LEN(E1895)-LEN(SUBSTITUTE(E1895,"/",""))=1,(RIGHT(E1895,LEN(E1895)-FIND("/",E1895)))-(LEFT(E1895,FIND("/",E1895)-1)),(MID(E1895, SEARCH("/",E1895) + 1, SEARCH("/",E1895, SEARCH("/",E1895)+1) - SEARCH("/",E1895) - 1))-(LEFT(E1895,FIND("/",E1895)-1))), "NA"))</f>
        <v/>
      </c>
      <c r="K1895" s="79">
        <f>IF(A1895&lt;&gt;"", IF(ISBLANK(L1895), TODAY(), K1895), "")</f>
        <v/>
      </c>
      <c r="L1895" s="78" t="n"/>
      <c r="M1895" s="78">
        <f>IF(ISBLANK(L1895),"",IF(D1895="Stock",IF(C1895="Buy",L1895*G1895,IF(C1895="Sell",(L1895*G1895)-I1895, X)),IF(C1895="Buy",(L1895*G1895*100)+I1895,IF(C1895="Sell",(L1895*G1895*100)-I1895, X))))</f>
        <v/>
      </c>
      <c r="N1895" s="78">
        <f>IF(ISBLANK(L1895),"",IF(AND(C1895="Sell",D1895="Stock"),M1895,IF(ISBLANK(L1895),"",IF(C1895="Buy",M1895, IF(AND(C1895="Sell",J1895="NA"),(E1895*G1895*100*0.1)+I1895, IF(C1895="Sell",(J1895-L1895)*(100*G1895)+I1895))))))</f>
        <v/>
      </c>
      <c r="O1895" s="75" t="n"/>
      <c r="P1895" s="75" t="n"/>
      <c r="Q1895" s="75">
        <f>IF(ISBLANK(P1895),"",IF(D1895="Stock",P1895*G1895,IF(P1895=0,"0",G1895*P1895*100-(G1895*$AF$14))))</f>
        <v/>
      </c>
      <c r="R1895" s="79">
        <f>IF(P1895&lt;&gt;"", TODAY(), "")</f>
        <v/>
      </c>
      <c r="S1895" s="78">
        <f>IF(AND(K1895&lt;&gt;"", R1895&lt;&gt;""), R1895-K1895, "")</f>
        <v/>
      </c>
      <c r="T1895" s="78" t="n"/>
      <c r="U1895" s="92">
        <f>IF(ISBLANK(P1895),"",IF(C1895="Buy",Q1895-M1895+T1895, IF(C1895="Sell",M1895-Q1895-T1895, X)))</f>
        <v/>
      </c>
      <c r="V1895" s="81">
        <f>IF(ISBLANK(P1895),"",U1895/N1895)</f>
        <v/>
      </c>
      <c r="W1895" s="81">
        <f>IF(ISBLANK(P1895),"",IF(S1895=0,(365/0.5)*V1895,(365/S1895)*V1895))</f>
        <v/>
      </c>
      <c r="X1895" s="75" t="n"/>
      <c r="Y1895" s="77" t="n"/>
      <c r="Z1895" s="77" t="n"/>
      <c r="AA1895" s="75" t="n"/>
      <c r="AB1895" s="75" t="n"/>
      <c r="AC1895" s="6" t="n"/>
      <c r="AD1895" s="75" t="n"/>
      <c r="AE1895" s="75" t="n"/>
      <c r="AF1895" s="75" t="n"/>
    </row>
    <row r="1896" ht="15.75" customHeight="1" s="133">
      <c r="A1896" s="75" t="n"/>
      <c r="B1896" s="75" t="n"/>
      <c r="C1896" s="75" t="n"/>
      <c r="D1896" s="75" t="n"/>
      <c r="E1896" s="76" t="n"/>
      <c r="F1896" s="77" t="n"/>
      <c r="G1896" s="75" t="n"/>
      <c r="H1896" s="75">
        <f>IF(ISBLANK(E1896),"",IF(OR(D1896="Butterfly",D1896="Butterfly ",D1896="Iron Fly", D1896="Iron Fly "),LEN(E1896)-LEN(SUBSTITUTE(E1896,"/",""))+2,LEN(E1896)-LEN(SUBSTITUTE(E1896,"/",""))+1))</f>
        <v/>
      </c>
      <c r="I1896" s="78">
        <f>IF(ISBLANK(G1896),"",IF(D1896="Stock","0",Key!$A$3*H1896*G1896))</f>
        <v/>
      </c>
      <c r="J1896" s="78">
        <f>IF(ISBLANK(E1896),"",IF(ISNUMBER(SEARCH("/",E1896)), IF(LEN(E1896)-LEN(SUBSTITUTE(E1896,"/",""))=1,(RIGHT(E1896,LEN(E1896)-FIND("/",E1896)))-(LEFT(E1896,FIND("/",E1896)-1)),(MID(E1896, SEARCH("/",E1896) + 1, SEARCH("/",E1896, SEARCH("/",E1896)+1) - SEARCH("/",E1896) - 1))-(LEFT(E1896,FIND("/",E1896)-1))), "NA"))</f>
        <v/>
      </c>
      <c r="K1896" s="79">
        <f>IF(A1896&lt;&gt;"", IF(ISBLANK(L1896), TODAY(), K1896), "")</f>
        <v/>
      </c>
      <c r="L1896" s="78" t="n"/>
      <c r="M1896" s="78">
        <f>IF(ISBLANK(L1896),"",IF(D1896="Stock",IF(C1896="Buy",L1896*G1896,IF(C1896="Sell",(L1896*G1896)-I1896, X)),IF(C1896="Buy",(L1896*G1896*100)+I1896,IF(C1896="Sell",(L1896*G1896*100)-I1896, X))))</f>
        <v/>
      </c>
      <c r="N1896" s="78">
        <f>IF(ISBLANK(L1896),"",IF(AND(C1896="Sell",D1896="Stock"),M1896,IF(ISBLANK(L1896),"",IF(C1896="Buy",M1896, IF(AND(C1896="Sell",J1896="NA"),(E1896*G1896*100*0.1)+I1896, IF(C1896="Sell",(J1896-L1896)*(100*G1896)+I1896))))))</f>
        <v/>
      </c>
      <c r="O1896" s="75" t="n"/>
      <c r="P1896" s="75" t="n"/>
      <c r="Q1896" s="75">
        <f>IF(ISBLANK(P1896),"",IF(D1896="Stock",P1896*G1896,IF(P1896=0,"0",G1896*P1896*100-(G1896*$AF$14))))</f>
        <v/>
      </c>
      <c r="R1896" s="79">
        <f>IF(P1896&lt;&gt;"", TODAY(), "")</f>
        <v/>
      </c>
      <c r="S1896" s="78">
        <f>IF(AND(K1896&lt;&gt;"", R1896&lt;&gt;""), R1896-K1896, "")</f>
        <v/>
      </c>
      <c r="T1896" s="78" t="n"/>
      <c r="U1896" s="92">
        <f>IF(ISBLANK(P1896),"",IF(C1896="Buy",Q1896-M1896+T1896, IF(C1896="Sell",M1896-Q1896-T1896, X)))</f>
        <v/>
      </c>
      <c r="V1896" s="81">
        <f>IF(ISBLANK(P1896),"",U1896/N1896)</f>
        <v/>
      </c>
      <c r="W1896" s="81">
        <f>IF(ISBLANK(P1896),"",IF(S1896=0,(365/0.5)*V1896,(365/S1896)*V1896))</f>
        <v/>
      </c>
      <c r="X1896" s="75" t="n"/>
      <c r="Y1896" s="77" t="n"/>
      <c r="Z1896" s="77" t="n"/>
      <c r="AA1896" s="75" t="n"/>
      <c r="AB1896" s="75" t="n"/>
      <c r="AC1896" s="6" t="n"/>
      <c r="AD1896" s="75" t="n"/>
      <c r="AE1896" s="75" t="n"/>
      <c r="AF1896" s="75" t="n"/>
    </row>
    <row r="1897" ht="15.75" customHeight="1" s="133">
      <c r="A1897" s="75" t="n"/>
      <c r="B1897" s="75" t="n"/>
      <c r="C1897" s="75" t="n"/>
      <c r="D1897" s="75" t="n"/>
      <c r="E1897" s="76" t="n"/>
      <c r="F1897" s="77" t="n"/>
      <c r="G1897" s="75" t="n"/>
      <c r="H1897" s="75">
        <f>IF(ISBLANK(E1897),"",IF(OR(D1897="Butterfly",D1897="Butterfly ",D1897="Iron Fly", D1897="Iron Fly "),LEN(E1897)-LEN(SUBSTITUTE(E1897,"/",""))+2,LEN(E1897)-LEN(SUBSTITUTE(E1897,"/",""))+1))</f>
        <v/>
      </c>
      <c r="I1897" s="78">
        <f>IF(ISBLANK(G1897),"",IF(D1897="Stock","0",Key!$A$3*H1897*G1897))</f>
        <v/>
      </c>
      <c r="J1897" s="78">
        <f>IF(ISBLANK(E1897),"",IF(ISNUMBER(SEARCH("/",E1897)), IF(LEN(E1897)-LEN(SUBSTITUTE(E1897,"/",""))=1,(RIGHT(E1897,LEN(E1897)-FIND("/",E1897)))-(LEFT(E1897,FIND("/",E1897)-1)),(MID(E1897, SEARCH("/",E1897) + 1, SEARCH("/",E1897, SEARCH("/",E1897)+1) - SEARCH("/",E1897) - 1))-(LEFT(E1897,FIND("/",E1897)-1))), "NA"))</f>
        <v/>
      </c>
      <c r="K1897" s="79">
        <f>IF(A1897&lt;&gt;"", IF(ISBLANK(L1897), TODAY(), K1897), "")</f>
        <v/>
      </c>
      <c r="L1897" s="78" t="n"/>
      <c r="M1897" s="78">
        <f>IF(ISBLANK(L1897),"",IF(D1897="Stock",IF(C1897="Buy",L1897*G1897,IF(C1897="Sell",(L1897*G1897)-I1897, X)),IF(C1897="Buy",(L1897*G1897*100)+I1897,IF(C1897="Sell",(L1897*G1897*100)-I1897, X))))</f>
        <v/>
      </c>
      <c r="N1897" s="78">
        <f>IF(ISBLANK(L1897),"",IF(AND(C1897="Sell",D1897="Stock"),M1897,IF(ISBLANK(L1897),"",IF(C1897="Buy",M1897, IF(AND(C1897="Sell",J1897="NA"),(E1897*G1897*100*0.1)+I1897, IF(C1897="Sell",(J1897-L1897)*(100*G1897)+I1897))))))</f>
        <v/>
      </c>
      <c r="O1897" s="75" t="n"/>
      <c r="P1897" s="75" t="n"/>
      <c r="Q1897" s="75">
        <f>IF(ISBLANK(P1897),"",IF(D1897="Stock",P1897*G1897,IF(P1897=0,"0",G1897*P1897*100-(G1897*$AF$14))))</f>
        <v/>
      </c>
      <c r="R1897" s="79">
        <f>IF(P1897&lt;&gt;"", TODAY(), "")</f>
        <v/>
      </c>
      <c r="S1897" s="78">
        <f>IF(AND(K1897&lt;&gt;"", R1897&lt;&gt;""), R1897-K1897, "")</f>
        <v/>
      </c>
      <c r="T1897" s="78" t="n"/>
      <c r="U1897" s="92">
        <f>IF(ISBLANK(P1897),"",IF(C1897="Buy",Q1897-M1897+T1897, IF(C1897="Sell",M1897-Q1897-T1897, X)))</f>
        <v/>
      </c>
      <c r="V1897" s="81">
        <f>IF(ISBLANK(P1897),"",U1897/N1897)</f>
        <v/>
      </c>
      <c r="W1897" s="81">
        <f>IF(ISBLANK(P1897),"",IF(S1897=0,(365/0.5)*V1897,(365/S1897)*V1897))</f>
        <v/>
      </c>
      <c r="X1897" s="75" t="n"/>
      <c r="Y1897" s="77" t="n"/>
      <c r="Z1897" s="77" t="n"/>
      <c r="AA1897" s="75" t="n"/>
      <c r="AB1897" s="75" t="n"/>
      <c r="AC1897" s="6" t="n"/>
      <c r="AD1897" s="75" t="n"/>
      <c r="AE1897" s="75" t="n"/>
      <c r="AF1897" s="75" t="n"/>
    </row>
    <row r="1898" ht="15.75" customHeight="1" s="133">
      <c r="A1898" s="75" t="n"/>
      <c r="B1898" s="75" t="n"/>
      <c r="C1898" s="75" t="n"/>
      <c r="D1898" s="75" t="n"/>
      <c r="E1898" s="76" t="n"/>
      <c r="F1898" s="77" t="n"/>
      <c r="G1898" s="75" t="n"/>
      <c r="H1898" s="75">
        <f>IF(ISBLANK(E1898),"",IF(OR(D1898="Butterfly",D1898="Butterfly ",D1898="Iron Fly", D1898="Iron Fly "),LEN(E1898)-LEN(SUBSTITUTE(E1898,"/",""))+2,LEN(E1898)-LEN(SUBSTITUTE(E1898,"/",""))+1))</f>
        <v/>
      </c>
      <c r="I1898" s="78">
        <f>IF(ISBLANK(G1898),"",IF(D1898="Stock","0",Key!$A$3*H1898*G1898))</f>
        <v/>
      </c>
      <c r="J1898" s="78">
        <f>IF(ISBLANK(E1898),"",IF(ISNUMBER(SEARCH("/",E1898)), IF(LEN(E1898)-LEN(SUBSTITUTE(E1898,"/",""))=1,(RIGHT(E1898,LEN(E1898)-FIND("/",E1898)))-(LEFT(E1898,FIND("/",E1898)-1)),(MID(E1898, SEARCH("/",E1898) + 1, SEARCH("/",E1898, SEARCH("/",E1898)+1) - SEARCH("/",E1898) - 1))-(LEFT(E1898,FIND("/",E1898)-1))), "NA"))</f>
        <v/>
      </c>
      <c r="K1898" s="79">
        <f>IF(A1898&lt;&gt;"", IF(ISBLANK(L1898), TODAY(), K1898), "")</f>
        <v/>
      </c>
      <c r="L1898" s="78" t="n"/>
      <c r="M1898" s="78">
        <f>IF(ISBLANK(L1898),"",IF(D1898="Stock",IF(C1898="Buy",L1898*G1898,IF(C1898="Sell",(L1898*G1898)-I1898, X)),IF(C1898="Buy",(L1898*G1898*100)+I1898,IF(C1898="Sell",(L1898*G1898*100)-I1898, X))))</f>
        <v/>
      </c>
      <c r="N1898" s="78">
        <f>IF(ISBLANK(L1898),"",IF(AND(C1898="Sell",D1898="Stock"),M1898,IF(ISBLANK(L1898),"",IF(C1898="Buy",M1898, IF(AND(C1898="Sell",J1898="NA"),(E1898*G1898*100*0.1)+I1898, IF(C1898="Sell",(J1898-L1898)*(100*G1898)+I1898))))))</f>
        <v/>
      </c>
      <c r="O1898" s="75" t="n"/>
      <c r="P1898" s="75" t="n"/>
      <c r="Q1898" s="75">
        <f>IF(ISBLANK(P1898),"",IF(D1898="Stock",P1898*G1898,IF(P1898=0,"0",G1898*P1898*100-(G1898*$AF$14))))</f>
        <v/>
      </c>
      <c r="R1898" s="79">
        <f>IF(P1898&lt;&gt;"", TODAY(), "")</f>
        <v/>
      </c>
      <c r="S1898" s="78">
        <f>IF(AND(K1898&lt;&gt;"", R1898&lt;&gt;""), R1898-K1898, "")</f>
        <v/>
      </c>
      <c r="T1898" s="78" t="n"/>
      <c r="U1898" s="92">
        <f>IF(ISBLANK(P1898),"",IF(C1898="Buy",Q1898-M1898+T1898, IF(C1898="Sell",M1898-Q1898-T1898, X)))</f>
        <v/>
      </c>
      <c r="V1898" s="81">
        <f>IF(ISBLANK(P1898),"",U1898/N1898)</f>
        <v/>
      </c>
      <c r="W1898" s="81">
        <f>IF(ISBLANK(P1898),"",IF(S1898=0,(365/0.5)*V1898,(365/S1898)*V1898))</f>
        <v/>
      </c>
      <c r="X1898" s="75" t="n"/>
      <c r="Y1898" s="77" t="n"/>
      <c r="Z1898" s="77" t="n"/>
      <c r="AA1898" s="75" t="n"/>
      <c r="AB1898" s="75" t="n"/>
      <c r="AC1898" s="6" t="n"/>
      <c r="AD1898" s="75" t="n"/>
      <c r="AE1898" s="75" t="n"/>
      <c r="AF1898" s="75" t="n"/>
    </row>
    <row r="1899" ht="15.75" customHeight="1" s="133">
      <c r="A1899" s="75" t="n"/>
      <c r="B1899" s="75" t="n"/>
      <c r="C1899" s="75" t="n"/>
      <c r="D1899" s="75" t="n"/>
      <c r="E1899" s="76" t="n"/>
      <c r="F1899" s="77" t="n"/>
      <c r="G1899" s="75" t="n"/>
      <c r="H1899" s="75">
        <f>IF(ISBLANK(E1899),"",IF(OR(D1899="Butterfly",D1899="Butterfly ",D1899="Iron Fly", D1899="Iron Fly "),LEN(E1899)-LEN(SUBSTITUTE(E1899,"/",""))+2,LEN(E1899)-LEN(SUBSTITUTE(E1899,"/",""))+1))</f>
        <v/>
      </c>
      <c r="I1899" s="78">
        <f>IF(ISBLANK(G1899),"",IF(D1899="Stock","0",Key!$A$3*H1899*G1899))</f>
        <v/>
      </c>
      <c r="J1899" s="78">
        <f>IF(ISBLANK(E1899),"",IF(ISNUMBER(SEARCH("/",E1899)), IF(LEN(E1899)-LEN(SUBSTITUTE(E1899,"/",""))=1,(RIGHT(E1899,LEN(E1899)-FIND("/",E1899)))-(LEFT(E1899,FIND("/",E1899)-1)),(MID(E1899, SEARCH("/",E1899) + 1, SEARCH("/",E1899, SEARCH("/",E1899)+1) - SEARCH("/",E1899) - 1))-(LEFT(E1899,FIND("/",E1899)-1))), "NA"))</f>
        <v/>
      </c>
      <c r="K1899" s="79">
        <f>IF(A1899&lt;&gt;"", IF(ISBLANK(L1899), TODAY(), K1899), "")</f>
        <v/>
      </c>
      <c r="L1899" s="78" t="n"/>
      <c r="M1899" s="78">
        <f>IF(ISBLANK(L1899),"",IF(D1899="Stock",IF(C1899="Buy",L1899*G1899,IF(C1899="Sell",(L1899*G1899)-I1899, X)),IF(C1899="Buy",(L1899*G1899*100)+I1899,IF(C1899="Sell",(L1899*G1899*100)-I1899, X))))</f>
        <v/>
      </c>
      <c r="N1899" s="78">
        <f>IF(ISBLANK(L1899),"",IF(AND(C1899="Sell",D1899="Stock"),M1899,IF(ISBLANK(L1899),"",IF(C1899="Buy",M1899, IF(AND(C1899="Sell",J1899="NA"),(E1899*G1899*100*0.1)+I1899, IF(C1899="Sell",(J1899-L1899)*(100*G1899)+I1899))))))</f>
        <v/>
      </c>
      <c r="O1899" s="75" t="n"/>
      <c r="P1899" s="75" t="n"/>
      <c r="Q1899" s="75">
        <f>IF(ISBLANK(P1899),"",IF(D1899="Stock",P1899*G1899,IF(P1899=0,"0",G1899*P1899*100-(G1899*$AF$14))))</f>
        <v/>
      </c>
      <c r="R1899" s="79">
        <f>IF(P1899&lt;&gt;"", TODAY(), "")</f>
        <v/>
      </c>
      <c r="S1899" s="78">
        <f>IF(AND(K1899&lt;&gt;"", R1899&lt;&gt;""), R1899-K1899, "")</f>
        <v/>
      </c>
      <c r="T1899" s="78" t="n"/>
      <c r="U1899" s="92">
        <f>IF(ISBLANK(P1899),"",IF(C1899="Buy",Q1899-M1899+T1899, IF(C1899="Sell",M1899-Q1899-T1899, X)))</f>
        <v/>
      </c>
      <c r="V1899" s="81">
        <f>IF(ISBLANK(P1899),"",U1899/N1899)</f>
        <v/>
      </c>
      <c r="W1899" s="81">
        <f>IF(ISBLANK(P1899),"",IF(S1899=0,(365/0.5)*V1899,(365/S1899)*V1899))</f>
        <v/>
      </c>
      <c r="X1899" s="75" t="n"/>
      <c r="Y1899" s="77" t="n"/>
      <c r="Z1899" s="77" t="n"/>
      <c r="AA1899" s="75" t="n"/>
      <c r="AB1899" s="75" t="n"/>
      <c r="AC1899" s="6" t="n"/>
      <c r="AD1899" s="75" t="n"/>
      <c r="AE1899" s="75" t="n"/>
      <c r="AF1899" s="75" t="n"/>
    </row>
    <row r="1900" ht="15.75" customHeight="1" s="133">
      <c r="A1900" s="75" t="n"/>
      <c r="B1900" s="75" t="n"/>
      <c r="C1900" s="75" t="n"/>
      <c r="D1900" s="75" t="n"/>
      <c r="E1900" s="76" t="n"/>
      <c r="F1900" s="77" t="n"/>
      <c r="G1900" s="75" t="n"/>
      <c r="H1900" s="75">
        <f>IF(ISBLANK(E1900),"",IF(OR(D1900="Butterfly",D1900="Butterfly ",D1900="Iron Fly", D1900="Iron Fly "),LEN(E1900)-LEN(SUBSTITUTE(E1900,"/",""))+2,LEN(E1900)-LEN(SUBSTITUTE(E1900,"/",""))+1))</f>
        <v/>
      </c>
      <c r="I1900" s="78">
        <f>IF(ISBLANK(G1900),"",IF(D1900="Stock","0",Key!$A$3*H1900*G1900))</f>
        <v/>
      </c>
      <c r="J1900" s="78">
        <f>IF(ISBLANK(E1900),"",IF(ISNUMBER(SEARCH("/",E1900)), IF(LEN(E1900)-LEN(SUBSTITUTE(E1900,"/",""))=1,(RIGHT(E1900,LEN(E1900)-FIND("/",E1900)))-(LEFT(E1900,FIND("/",E1900)-1)),(MID(E1900, SEARCH("/",E1900) + 1, SEARCH("/",E1900, SEARCH("/",E1900)+1) - SEARCH("/",E1900) - 1))-(LEFT(E1900,FIND("/",E1900)-1))), "NA"))</f>
        <v/>
      </c>
      <c r="K1900" s="79">
        <f>IF(A1900&lt;&gt;"", IF(ISBLANK(L1900), TODAY(), K1900), "")</f>
        <v/>
      </c>
      <c r="L1900" s="78" t="n"/>
      <c r="M1900" s="78">
        <f>IF(ISBLANK(L1900),"",IF(D1900="Stock",IF(C1900="Buy",L1900*G1900,IF(C1900="Sell",(L1900*G1900)-I1900, X)),IF(C1900="Buy",(L1900*G1900*100)+I1900,IF(C1900="Sell",(L1900*G1900*100)-I1900, X))))</f>
        <v/>
      </c>
      <c r="N1900" s="78">
        <f>IF(ISBLANK(L1900),"",IF(AND(C1900="Sell",D1900="Stock"),M1900,IF(ISBLANK(L1900),"",IF(C1900="Buy",M1900, IF(AND(C1900="Sell",J1900="NA"),(E1900*G1900*100*0.1)+I1900, IF(C1900="Sell",(J1900-L1900)*(100*G1900)+I1900))))))</f>
        <v/>
      </c>
      <c r="O1900" s="75" t="n"/>
      <c r="P1900" s="75" t="n"/>
      <c r="Q1900" s="75">
        <f>IF(ISBLANK(P1900),"",IF(D1900="Stock",P1900*G1900,IF(P1900=0,"0",G1900*P1900*100-(G1900*$AF$14))))</f>
        <v/>
      </c>
      <c r="R1900" s="79">
        <f>IF(P1900&lt;&gt;"", TODAY(), "")</f>
        <v/>
      </c>
      <c r="S1900" s="78">
        <f>IF(AND(K1900&lt;&gt;"", R1900&lt;&gt;""), R1900-K1900, "")</f>
        <v/>
      </c>
      <c r="T1900" s="78" t="n"/>
      <c r="U1900" s="92">
        <f>IF(ISBLANK(P1900),"",IF(C1900="Buy",Q1900-M1900+T1900, IF(C1900="Sell",M1900-Q1900-T1900, X)))</f>
        <v/>
      </c>
      <c r="V1900" s="81">
        <f>IF(ISBLANK(P1900),"",U1900/N1900)</f>
        <v/>
      </c>
      <c r="W1900" s="81">
        <f>IF(ISBLANK(P1900),"",IF(S1900=0,(365/0.5)*V1900,(365/S1900)*V1900))</f>
        <v/>
      </c>
      <c r="X1900" s="75" t="n"/>
      <c r="Y1900" s="77" t="n"/>
      <c r="Z1900" s="77" t="n"/>
      <c r="AA1900" s="75" t="n"/>
      <c r="AB1900" s="75" t="n"/>
      <c r="AC1900" s="6" t="n"/>
      <c r="AD1900" s="75" t="n"/>
      <c r="AE1900" s="75" t="n"/>
      <c r="AF1900" s="75" t="n"/>
    </row>
    <row r="1901" ht="15.75" customHeight="1" s="133">
      <c r="A1901" s="75" t="n"/>
      <c r="B1901" s="75" t="n"/>
      <c r="C1901" s="75" t="n"/>
      <c r="D1901" s="75" t="n"/>
      <c r="E1901" s="76" t="n"/>
      <c r="F1901" s="77" t="n"/>
      <c r="G1901" s="75" t="n"/>
      <c r="H1901" s="75">
        <f>IF(ISBLANK(E1901),"",IF(OR(D1901="Butterfly",D1901="Butterfly ",D1901="Iron Fly", D1901="Iron Fly "),LEN(E1901)-LEN(SUBSTITUTE(E1901,"/",""))+2,LEN(E1901)-LEN(SUBSTITUTE(E1901,"/",""))+1))</f>
        <v/>
      </c>
      <c r="I1901" s="78">
        <f>IF(ISBLANK(G1901),"",IF(D1901="Stock","0",Key!$A$3*H1901*G1901))</f>
        <v/>
      </c>
      <c r="J1901" s="78">
        <f>IF(ISBLANK(E1901),"",IF(ISNUMBER(SEARCH("/",E1901)), IF(LEN(E1901)-LEN(SUBSTITUTE(E1901,"/",""))=1,(RIGHT(E1901,LEN(E1901)-FIND("/",E1901)))-(LEFT(E1901,FIND("/",E1901)-1)),(MID(E1901, SEARCH("/",E1901) + 1, SEARCH("/",E1901, SEARCH("/",E1901)+1) - SEARCH("/",E1901) - 1))-(LEFT(E1901,FIND("/",E1901)-1))), "NA"))</f>
        <v/>
      </c>
      <c r="K1901" s="79">
        <f>IF(A1901&lt;&gt;"", IF(ISBLANK(L1901), TODAY(), K1901), "")</f>
        <v/>
      </c>
      <c r="L1901" s="78" t="n"/>
      <c r="M1901" s="78">
        <f>IF(ISBLANK(L1901),"",IF(D1901="Stock",IF(C1901="Buy",L1901*G1901,IF(C1901="Sell",(L1901*G1901)-I1901, X)),IF(C1901="Buy",(L1901*G1901*100)+I1901,IF(C1901="Sell",(L1901*G1901*100)-I1901, X))))</f>
        <v/>
      </c>
      <c r="N1901" s="78">
        <f>IF(ISBLANK(L1901),"",IF(AND(C1901="Sell",D1901="Stock"),M1901,IF(ISBLANK(L1901),"",IF(C1901="Buy",M1901, IF(AND(C1901="Sell",J1901="NA"),(E1901*G1901*100*0.1)+I1901, IF(C1901="Sell",(J1901-L1901)*(100*G1901)+I1901))))))</f>
        <v/>
      </c>
      <c r="O1901" s="75" t="n"/>
      <c r="P1901" s="75" t="n"/>
      <c r="Q1901" s="75">
        <f>IF(ISBLANK(P1901),"",IF(D1901="Stock",P1901*G1901,IF(P1901=0,"0",G1901*P1901*100-(G1901*$AF$14))))</f>
        <v/>
      </c>
      <c r="R1901" s="79">
        <f>IF(P1901&lt;&gt;"", TODAY(), "")</f>
        <v/>
      </c>
      <c r="S1901" s="78">
        <f>IF(AND(K1901&lt;&gt;"", R1901&lt;&gt;""), R1901-K1901, "")</f>
        <v/>
      </c>
      <c r="T1901" s="78" t="n"/>
      <c r="U1901" s="92">
        <f>IF(ISBLANK(P1901),"",IF(C1901="Buy",Q1901-M1901+T1901, IF(C1901="Sell",M1901-Q1901-T1901, X)))</f>
        <v/>
      </c>
      <c r="V1901" s="81">
        <f>IF(ISBLANK(P1901),"",U1901/N1901)</f>
        <v/>
      </c>
      <c r="W1901" s="81">
        <f>IF(ISBLANK(P1901),"",IF(S1901=0,(365/0.5)*V1901,(365/S1901)*V1901))</f>
        <v/>
      </c>
      <c r="X1901" s="75" t="n"/>
      <c r="Y1901" s="77" t="n"/>
      <c r="Z1901" s="77" t="n"/>
      <c r="AA1901" s="75" t="n"/>
      <c r="AB1901" s="75" t="n"/>
      <c r="AC1901" s="6" t="n"/>
      <c r="AD1901" s="75" t="n"/>
      <c r="AE1901" s="75" t="n"/>
      <c r="AF1901" s="75" t="n"/>
    </row>
    <row r="1902" ht="15.75" customHeight="1" s="133">
      <c r="A1902" s="75" t="n"/>
      <c r="B1902" s="75" t="n"/>
      <c r="C1902" s="75" t="n"/>
      <c r="D1902" s="75" t="n"/>
      <c r="E1902" s="76" t="n"/>
      <c r="F1902" s="77" t="n"/>
      <c r="G1902" s="75" t="n"/>
      <c r="H1902" s="75">
        <f>IF(ISBLANK(E1902),"",IF(OR(D1902="Butterfly",D1902="Butterfly ",D1902="Iron Fly", D1902="Iron Fly "),LEN(E1902)-LEN(SUBSTITUTE(E1902,"/",""))+2,LEN(E1902)-LEN(SUBSTITUTE(E1902,"/",""))+1))</f>
        <v/>
      </c>
      <c r="I1902" s="78">
        <f>IF(ISBLANK(G1902),"",IF(D1902="Stock","0",Key!$A$3*H1902*G1902))</f>
        <v/>
      </c>
      <c r="J1902" s="78">
        <f>IF(ISBLANK(E1902),"",IF(ISNUMBER(SEARCH("/",E1902)), IF(LEN(E1902)-LEN(SUBSTITUTE(E1902,"/",""))=1,(RIGHT(E1902,LEN(E1902)-FIND("/",E1902)))-(LEFT(E1902,FIND("/",E1902)-1)),(MID(E1902, SEARCH("/",E1902) + 1, SEARCH("/",E1902, SEARCH("/",E1902)+1) - SEARCH("/",E1902) - 1))-(LEFT(E1902,FIND("/",E1902)-1))), "NA"))</f>
        <v/>
      </c>
      <c r="K1902" s="79">
        <f>IF(A1902&lt;&gt;"", IF(ISBLANK(L1902), TODAY(), K1902), "")</f>
        <v/>
      </c>
      <c r="L1902" s="78" t="n"/>
      <c r="M1902" s="78">
        <f>IF(ISBLANK(L1902),"",IF(D1902="Stock",IF(C1902="Buy",L1902*G1902,IF(C1902="Sell",(L1902*G1902)-I1902, X)),IF(C1902="Buy",(L1902*G1902*100)+I1902,IF(C1902="Sell",(L1902*G1902*100)-I1902, X))))</f>
        <v/>
      </c>
      <c r="N1902" s="78">
        <f>IF(ISBLANK(L1902),"",IF(AND(C1902="Sell",D1902="Stock"),M1902,IF(ISBLANK(L1902),"",IF(C1902="Buy",M1902, IF(AND(C1902="Sell",J1902="NA"),(E1902*G1902*100*0.1)+I1902, IF(C1902="Sell",(J1902-L1902)*(100*G1902)+I1902))))))</f>
        <v/>
      </c>
      <c r="O1902" s="75" t="n"/>
      <c r="P1902" s="75" t="n"/>
      <c r="Q1902" s="75">
        <f>IF(ISBLANK(P1902),"",IF(D1902="Stock",P1902*G1902,IF(P1902=0,"0",G1902*P1902*100-(G1902*$AF$14))))</f>
        <v/>
      </c>
      <c r="R1902" s="79">
        <f>IF(P1902&lt;&gt;"", TODAY(), "")</f>
        <v/>
      </c>
      <c r="S1902" s="78">
        <f>IF(AND(K1902&lt;&gt;"", R1902&lt;&gt;""), R1902-K1902, "")</f>
        <v/>
      </c>
      <c r="T1902" s="78" t="n"/>
      <c r="U1902" s="92">
        <f>IF(ISBLANK(P1902),"",IF(C1902="Buy",Q1902-M1902+T1902, IF(C1902="Sell",M1902-Q1902-T1902, X)))</f>
        <v/>
      </c>
      <c r="V1902" s="81">
        <f>IF(ISBLANK(P1902),"",U1902/N1902)</f>
        <v/>
      </c>
      <c r="W1902" s="81">
        <f>IF(ISBLANK(P1902),"",IF(S1902=0,(365/0.5)*V1902,(365/S1902)*V1902))</f>
        <v/>
      </c>
      <c r="X1902" s="75" t="n"/>
      <c r="Y1902" s="77" t="n"/>
      <c r="Z1902" s="77" t="n"/>
      <c r="AA1902" s="75" t="n"/>
      <c r="AB1902" s="75" t="n"/>
      <c r="AC1902" s="6" t="n"/>
      <c r="AD1902" s="75" t="n"/>
      <c r="AE1902" s="75" t="n"/>
      <c r="AF1902" s="75" t="n"/>
    </row>
    <row r="1903" ht="15.75" customHeight="1" s="133">
      <c r="A1903" s="75" t="n"/>
      <c r="B1903" s="75" t="n"/>
      <c r="C1903" s="75" t="n"/>
      <c r="D1903" s="75" t="n"/>
      <c r="E1903" s="76" t="n"/>
      <c r="F1903" s="77" t="n"/>
      <c r="G1903" s="75" t="n"/>
      <c r="H1903" s="75">
        <f>IF(ISBLANK(E1903),"",IF(OR(D1903="Butterfly",D1903="Butterfly ",D1903="Iron Fly", D1903="Iron Fly "),LEN(E1903)-LEN(SUBSTITUTE(E1903,"/",""))+2,LEN(E1903)-LEN(SUBSTITUTE(E1903,"/",""))+1))</f>
        <v/>
      </c>
      <c r="I1903" s="78">
        <f>IF(ISBLANK(G1903),"",IF(D1903="Stock","0",Key!$A$3*H1903*G1903))</f>
        <v/>
      </c>
      <c r="J1903" s="78">
        <f>IF(ISBLANK(E1903),"",IF(ISNUMBER(SEARCH("/",E1903)), IF(LEN(E1903)-LEN(SUBSTITUTE(E1903,"/",""))=1,(RIGHT(E1903,LEN(E1903)-FIND("/",E1903)))-(LEFT(E1903,FIND("/",E1903)-1)),(MID(E1903, SEARCH("/",E1903) + 1, SEARCH("/",E1903, SEARCH("/",E1903)+1) - SEARCH("/",E1903) - 1))-(LEFT(E1903,FIND("/",E1903)-1))), "NA"))</f>
        <v/>
      </c>
      <c r="K1903" s="79">
        <f>IF(A1903&lt;&gt;"", IF(ISBLANK(L1903), TODAY(), K1903), "")</f>
        <v/>
      </c>
      <c r="L1903" s="78" t="n"/>
      <c r="M1903" s="78">
        <f>IF(ISBLANK(L1903),"",IF(D1903="Stock",IF(C1903="Buy",L1903*G1903,IF(C1903="Sell",(L1903*G1903)-I1903, X)),IF(C1903="Buy",(L1903*G1903*100)+I1903,IF(C1903="Sell",(L1903*G1903*100)-I1903, X))))</f>
        <v/>
      </c>
      <c r="N1903" s="78">
        <f>IF(ISBLANK(L1903),"",IF(AND(C1903="Sell",D1903="Stock"),M1903,IF(ISBLANK(L1903),"",IF(C1903="Buy",M1903, IF(AND(C1903="Sell",J1903="NA"),(E1903*G1903*100*0.1)+I1903, IF(C1903="Sell",(J1903-L1903)*(100*G1903)+I1903))))))</f>
        <v/>
      </c>
      <c r="O1903" s="75" t="n"/>
      <c r="P1903" s="75" t="n"/>
      <c r="Q1903" s="75">
        <f>IF(ISBLANK(P1903),"",IF(D1903="Stock",P1903*G1903,IF(P1903=0,"0",G1903*P1903*100-(G1903*$AF$14))))</f>
        <v/>
      </c>
      <c r="R1903" s="79">
        <f>IF(P1903&lt;&gt;"", TODAY(), "")</f>
        <v/>
      </c>
      <c r="S1903" s="78">
        <f>IF(AND(K1903&lt;&gt;"", R1903&lt;&gt;""), R1903-K1903, "")</f>
        <v/>
      </c>
      <c r="T1903" s="78" t="n"/>
      <c r="U1903" s="92">
        <f>IF(ISBLANK(P1903),"",IF(C1903="Buy",Q1903-M1903+T1903, IF(C1903="Sell",M1903-Q1903-T1903, X)))</f>
        <v/>
      </c>
      <c r="V1903" s="81">
        <f>IF(ISBLANK(P1903),"",U1903/N1903)</f>
        <v/>
      </c>
      <c r="W1903" s="81">
        <f>IF(ISBLANK(P1903),"",IF(S1903=0,(365/0.5)*V1903,(365/S1903)*V1903))</f>
        <v/>
      </c>
      <c r="X1903" s="75" t="n"/>
      <c r="Y1903" s="77" t="n"/>
      <c r="Z1903" s="77" t="n"/>
      <c r="AA1903" s="75" t="n"/>
      <c r="AB1903" s="75" t="n"/>
      <c r="AC1903" s="6" t="n"/>
      <c r="AD1903" s="75" t="n"/>
      <c r="AE1903" s="75" t="n"/>
      <c r="AF1903" s="75" t="n"/>
    </row>
    <row r="1904" ht="15.75" customHeight="1" s="133">
      <c r="A1904" s="75" t="n"/>
      <c r="B1904" s="75" t="n"/>
      <c r="C1904" s="75" t="n"/>
      <c r="D1904" s="75" t="n"/>
      <c r="E1904" s="76" t="n"/>
      <c r="F1904" s="77" t="n"/>
      <c r="G1904" s="75" t="n"/>
      <c r="H1904" s="75">
        <f>IF(ISBLANK(E1904),"",IF(OR(D1904="Butterfly",D1904="Butterfly ",D1904="Iron Fly", D1904="Iron Fly "),LEN(E1904)-LEN(SUBSTITUTE(E1904,"/",""))+2,LEN(E1904)-LEN(SUBSTITUTE(E1904,"/",""))+1))</f>
        <v/>
      </c>
      <c r="I1904" s="78">
        <f>IF(ISBLANK(G1904),"",IF(D1904="Stock","0",Key!$A$3*H1904*G1904))</f>
        <v/>
      </c>
      <c r="J1904" s="78">
        <f>IF(ISBLANK(E1904),"",IF(ISNUMBER(SEARCH("/",E1904)), IF(LEN(E1904)-LEN(SUBSTITUTE(E1904,"/",""))=1,(RIGHT(E1904,LEN(E1904)-FIND("/",E1904)))-(LEFT(E1904,FIND("/",E1904)-1)),(MID(E1904, SEARCH("/",E1904) + 1, SEARCH("/",E1904, SEARCH("/",E1904)+1) - SEARCH("/",E1904) - 1))-(LEFT(E1904,FIND("/",E1904)-1))), "NA"))</f>
        <v/>
      </c>
      <c r="K1904" s="79">
        <f>IF(A1904&lt;&gt;"", IF(ISBLANK(L1904), TODAY(), K1904), "")</f>
        <v/>
      </c>
      <c r="L1904" s="78" t="n"/>
      <c r="M1904" s="78">
        <f>IF(ISBLANK(L1904),"",IF(D1904="Stock",IF(C1904="Buy",L1904*G1904,IF(C1904="Sell",(L1904*G1904)-I1904, X)),IF(C1904="Buy",(L1904*G1904*100)+I1904,IF(C1904="Sell",(L1904*G1904*100)-I1904, X))))</f>
        <v/>
      </c>
      <c r="N1904" s="78">
        <f>IF(ISBLANK(L1904),"",IF(AND(C1904="Sell",D1904="Stock"),M1904,IF(ISBLANK(L1904),"",IF(C1904="Buy",M1904, IF(AND(C1904="Sell",J1904="NA"),(E1904*G1904*100*0.1)+I1904, IF(C1904="Sell",(J1904-L1904)*(100*G1904)+I1904))))))</f>
        <v/>
      </c>
      <c r="O1904" s="75" t="n"/>
      <c r="P1904" s="75" t="n"/>
      <c r="Q1904" s="75">
        <f>IF(ISBLANK(P1904),"",IF(D1904="Stock",P1904*G1904,IF(P1904=0,"0",G1904*P1904*100-(G1904*$AF$14))))</f>
        <v/>
      </c>
      <c r="R1904" s="79">
        <f>IF(P1904&lt;&gt;"", TODAY(), "")</f>
        <v/>
      </c>
      <c r="S1904" s="78">
        <f>IF(AND(K1904&lt;&gt;"", R1904&lt;&gt;""), R1904-K1904, "")</f>
        <v/>
      </c>
      <c r="T1904" s="78" t="n"/>
      <c r="U1904" s="92">
        <f>IF(ISBLANK(P1904),"",IF(C1904="Buy",Q1904-M1904+T1904, IF(C1904="Sell",M1904-Q1904-T1904, X)))</f>
        <v/>
      </c>
      <c r="V1904" s="81">
        <f>IF(ISBLANK(P1904),"",U1904/N1904)</f>
        <v/>
      </c>
      <c r="W1904" s="81">
        <f>IF(ISBLANK(P1904),"",IF(S1904=0,(365/0.5)*V1904,(365/S1904)*V1904))</f>
        <v/>
      </c>
      <c r="X1904" s="75" t="n"/>
      <c r="Y1904" s="77" t="n"/>
      <c r="Z1904" s="77" t="n"/>
      <c r="AA1904" s="75" t="n"/>
      <c r="AB1904" s="75" t="n"/>
      <c r="AC1904" s="6" t="n"/>
      <c r="AD1904" s="75" t="n"/>
      <c r="AE1904" s="75" t="n"/>
      <c r="AF1904" s="75" t="n"/>
    </row>
    <row r="1905" ht="15.75" customHeight="1" s="133">
      <c r="A1905" s="75" t="n"/>
      <c r="B1905" s="75" t="n"/>
      <c r="C1905" s="75" t="n"/>
      <c r="D1905" s="75" t="n"/>
      <c r="E1905" s="76" t="n"/>
      <c r="F1905" s="77" t="n"/>
      <c r="G1905" s="75" t="n"/>
      <c r="H1905" s="75">
        <f>IF(ISBLANK(E1905),"",IF(OR(D1905="Butterfly",D1905="Butterfly ",D1905="Iron Fly", D1905="Iron Fly "),LEN(E1905)-LEN(SUBSTITUTE(E1905,"/",""))+2,LEN(E1905)-LEN(SUBSTITUTE(E1905,"/",""))+1))</f>
        <v/>
      </c>
      <c r="I1905" s="78">
        <f>IF(ISBLANK(G1905),"",IF(D1905="Stock","0",Key!$A$3*H1905*G1905))</f>
        <v/>
      </c>
      <c r="J1905" s="78">
        <f>IF(ISBLANK(E1905),"",IF(ISNUMBER(SEARCH("/",E1905)), IF(LEN(E1905)-LEN(SUBSTITUTE(E1905,"/",""))=1,(RIGHT(E1905,LEN(E1905)-FIND("/",E1905)))-(LEFT(E1905,FIND("/",E1905)-1)),(MID(E1905, SEARCH("/",E1905) + 1, SEARCH("/",E1905, SEARCH("/",E1905)+1) - SEARCH("/",E1905) - 1))-(LEFT(E1905,FIND("/",E1905)-1))), "NA"))</f>
        <v/>
      </c>
      <c r="K1905" s="79">
        <f>IF(A1905&lt;&gt;"", IF(ISBLANK(L1905), TODAY(), K1905), "")</f>
        <v/>
      </c>
      <c r="L1905" s="78" t="n"/>
      <c r="M1905" s="78">
        <f>IF(ISBLANK(L1905),"",IF(D1905="Stock",IF(C1905="Buy",L1905*G1905,IF(C1905="Sell",(L1905*G1905)-I1905, X)),IF(C1905="Buy",(L1905*G1905*100)+I1905,IF(C1905="Sell",(L1905*G1905*100)-I1905, X))))</f>
        <v/>
      </c>
      <c r="N1905" s="78">
        <f>IF(ISBLANK(L1905),"",IF(AND(C1905="Sell",D1905="Stock"),M1905,IF(ISBLANK(L1905),"",IF(C1905="Buy",M1905, IF(AND(C1905="Sell",J1905="NA"),(E1905*G1905*100*0.1)+I1905, IF(C1905="Sell",(J1905-L1905)*(100*G1905)+I1905))))))</f>
        <v/>
      </c>
      <c r="O1905" s="75" t="n"/>
      <c r="P1905" s="75" t="n"/>
      <c r="Q1905" s="75">
        <f>IF(ISBLANK(P1905),"",IF(D1905="Stock",P1905*G1905,IF(P1905=0,"0",G1905*P1905*100-(G1905*$AF$14))))</f>
        <v/>
      </c>
      <c r="R1905" s="79">
        <f>IF(P1905&lt;&gt;"", TODAY(), "")</f>
        <v/>
      </c>
      <c r="S1905" s="78">
        <f>IF(AND(K1905&lt;&gt;"", R1905&lt;&gt;""), R1905-K1905, "")</f>
        <v/>
      </c>
      <c r="T1905" s="78" t="n"/>
      <c r="U1905" s="92">
        <f>IF(ISBLANK(P1905),"",IF(C1905="Buy",Q1905-M1905+T1905, IF(C1905="Sell",M1905-Q1905-T1905, X)))</f>
        <v/>
      </c>
      <c r="V1905" s="81">
        <f>IF(ISBLANK(P1905),"",U1905/N1905)</f>
        <v/>
      </c>
      <c r="W1905" s="81">
        <f>IF(ISBLANK(P1905),"",IF(S1905=0,(365/0.5)*V1905,(365/S1905)*V1905))</f>
        <v/>
      </c>
      <c r="X1905" s="75" t="n"/>
      <c r="Y1905" s="77" t="n"/>
      <c r="Z1905" s="77" t="n"/>
      <c r="AA1905" s="75" t="n"/>
      <c r="AB1905" s="75" t="n"/>
      <c r="AC1905" s="6" t="n"/>
      <c r="AD1905" s="75" t="n"/>
      <c r="AE1905" s="75" t="n"/>
      <c r="AF1905" s="75" t="n"/>
    </row>
    <row r="1906" ht="15.75" customHeight="1" s="133">
      <c r="A1906" s="75" t="n"/>
      <c r="B1906" s="75" t="n"/>
      <c r="C1906" s="75" t="n"/>
      <c r="D1906" s="75" t="n"/>
      <c r="E1906" s="76" t="n"/>
      <c r="F1906" s="77" t="n"/>
      <c r="G1906" s="75" t="n"/>
      <c r="H1906" s="75">
        <f>IF(ISBLANK(E1906),"",IF(OR(D1906="Butterfly",D1906="Butterfly ",D1906="Iron Fly", D1906="Iron Fly "),LEN(E1906)-LEN(SUBSTITUTE(E1906,"/",""))+2,LEN(E1906)-LEN(SUBSTITUTE(E1906,"/",""))+1))</f>
        <v/>
      </c>
      <c r="I1906" s="78">
        <f>IF(ISBLANK(G1906),"",IF(D1906="Stock","0",Key!$A$3*H1906*G1906))</f>
        <v/>
      </c>
      <c r="J1906" s="78">
        <f>IF(ISBLANK(E1906),"",IF(ISNUMBER(SEARCH("/",E1906)), IF(LEN(E1906)-LEN(SUBSTITUTE(E1906,"/",""))=1,(RIGHT(E1906,LEN(E1906)-FIND("/",E1906)))-(LEFT(E1906,FIND("/",E1906)-1)),(MID(E1906, SEARCH("/",E1906) + 1, SEARCH("/",E1906, SEARCH("/",E1906)+1) - SEARCH("/",E1906) - 1))-(LEFT(E1906,FIND("/",E1906)-1))), "NA"))</f>
        <v/>
      </c>
      <c r="K1906" s="79">
        <f>IF(A1906&lt;&gt;"", IF(ISBLANK(L1906), TODAY(), K1906), "")</f>
        <v/>
      </c>
      <c r="L1906" s="78" t="n"/>
      <c r="M1906" s="78">
        <f>IF(ISBLANK(L1906),"",IF(D1906="Stock",IF(C1906="Buy",L1906*G1906,IF(C1906="Sell",(L1906*G1906)-I1906, X)),IF(C1906="Buy",(L1906*G1906*100)+I1906,IF(C1906="Sell",(L1906*G1906*100)-I1906, X))))</f>
        <v/>
      </c>
      <c r="N1906" s="78">
        <f>IF(ISBLANK(L1906),"",IF(AND(C1906="Sell",D1906="Stock"),M1906,IF(ISBLANK(L1906),"",IF(C1906="Buy",M1906, IF(AND(C1906="Sell",J1906="NA"),(E1906*G1906*100*0.1)+I1906, IF(C1906="Sell",(J1906-L1906)*(100*G1906)+I1906))))))</f>
        <v/>
      </c>
      <c r="O1906" s="75" t="n"/>
      <c r="P1906" s="75" t="n"/>
      <c r="Q1906" s="75">
        <f>IF(ISBLANK(P1906),"",IF(D1906="Stock",P1906*G1906,IF(P1906=0,"0",G1906*P1906*100-(G1906*$AF$14))))</f>
        <v/>
      </c>
      <c r="R1906" s="79">
        <f>IF(P1906&lt;&gt;"", TODAY(), "")</f>
        <v/>
      </c>
      <c r="S1906" s="78">
        <f>IF(AND(K1906&lt;&gt;"", R1906&lt;&gt;""), R1906-K1906, "")</f>
        <v/>
      </c>
      <c r="T1906" s="78" t="n"/>
      <c r="U1906" s="92">
        <f>IF(ISBLANK(P1906),"",IF(C1906="Buy",Q1906-M1906+T1906, IF(C1906="Sell",M1906-Q1906-T1906, X)))</f>
        <v/>
      </c>
      <c r="V1906" s="81">
        <f>IF(ISBLANK(P1906),"",U1906/N1906)</f>
        <v/>
      </c>
      <c r="W1906" s="81">
        <f>IF(ISBLANK(P1906),"",IF(S1906=0,(365/0.5)*V1906,(365/S1906)*V1906))</f>
        <v/>
      </c>
      <c r="X1906" s="75" t="n"/>
      <c r="Y1906" s="77" t="n"/>
      <c r="Z1906" s="77" t="n"/>
      <c r="AA1906" s="75" t="n"/>
      <c r="AB1906" s="75" t="n"/>
      <c r="AC1906" s="6" t="n"/>
      <c r="AD1906" s="75" t="n"/>
      <c r="AE1906" s="75" t="n"/>
      <c r="AF1906" s="75" t="n"/>
    </row>
    <row r="1907" ht="15.75" customHeight="1" s="133">
      <c r="A1907" s="75" t="n"/>
      <c r="B1907" s="75" t="n"/>
      <c r="C1907" s="75" t="n"/>
      <c r="D1907" s="75" t="n"/>
      <c r="E1907" s="76" t="n"/>
      <c r="F1907" s="77" t="n"/>
      <c r="G1907" s="75" t="n"/>
      <c r="H1907" s="75">
        <f>IF(ISBLANK(E1907),"",IF(OR(D1907="Butterfly",D1907="Butterfly ",D1907="Iron Fly", D1907="Iron Fly "),LEN(E1907)-LEN(SUBSTITUTE(E1907,"/",""))+2,LEN(E1907)-LEN(SUBSTITUTE(E1907,"/",""))+1))</f>
        <v/>
      </c>
      <c r="I1907" s="78">
        <f>IF(ISBLANK(G1907),"",IF(D1907="Stock","0",Key!$A$3*H1907*G1907))</f>
        <v/>
      </c>
      <c r="J1907" s="78">
        <f>IF(ISBLANK(E1907),"",IF(ISNUMBER(SEARCH("/",E1907)), IF(LEN(E1907)-LEN(SUBSTITUTE(E1907,"/",""))=1,(RIGHT(E1907,LEN(E1907)-FIND("/",E1907)))-(LEFT(E1907,FIND("/",E1907)-1)),(MID(E1907, SEARCH("/",E1907) + 1, SEARCH("/",E1907, SEARCH("/",E1907)+1) - SEARCH("/",E1907) - 1))-(LEFT(E1907,FIND("/",E1907)-1))), "NA"))</f>
        <v/>
      </c>
      <c r="K1907" s="79">
        <f>IF(A1907&lt;&gt;"", IF(ISBLANK(L1907), TODAY(), K1907), "")</f>
        <v/>
      </c>
      <c r="L1907" s="78" t="n"/>
      <c r="M1907" s="78">
        <f>IF(ISBLANK(L1907),"",IF(D1907="Stock",IF(C1907="Buy",L1907*G1907,IF(C1907="Sell",(L1907*G1907)-I1907, X)),IF(C1907="Buy",(L1907*G1907*100)+I1907,IF(C1907="Sell",(L1907*G1907*100)-I1907, X))))</f>
        <v/>
      </c>
      <c r="N1907" s="78">
        <f>IF(ISBLANK(L1907),"",IF(AND(C1907="Sell",D1907="Stock"),M1907,IF(ISBLANK(L1907),"",IF(C1907="Buy",M1907, IF(AND(C1907="Sell",J1907="NA"),(E1907*G1907*100*0.1)+I1907, IF(C1907="Sell",(J1907-L1907)*(100*G1907)+I1907))))))</f>
        <v/>
      </c>
      <c r="O1907" s="75" t="n"/>
      <c r="P1907" s="75" t="n"/>
      <c r="Q1907" s="75">
        <f>IF(ISBLANK(P1907),"",IF(D1907="Stock",P1907*G1907,IF(P1907=0,"0",G1907*P1907*100-(G1907*$AF$14))))</f>
        <v/>
      </c>
      <c r="R1907" s="79">
        <f>IF(P1907&lt;&gt;"", TODAY(), "")</f>
        <v/>
      </c>
      <c r="S1907" s="78">
        <f>IF(AND(K1907&lt;&gt;"", R1907&lt;&gt;""), R1907-K1907, "")</f>
        <v/>
      </c>
      <c r="T1907" s="78" t="n"/>
      <c r="U1907" s="92">
        <f>IF(ISBLANK(P1907),"",IF(C1907="Buy",Q1907-M1907+T1907, IF(C1907="Sell",M1907-Q1907-T1907, X)))</f>
        <v/>
      </c>
      <c r="V1907" s="81">
        <f>IF(ISBLANK(P1907),"",U1907/N1907)</f>
        <v/>
      </c>
      <c r="W1907" s="81">
        <f>IF(ISBLANK(P1907),"",IF(S1907=0,(365/0.5)*V1907,(365/S1907)*V1907))</f>
        <v/>
      </c>
      <c r="X1907" s="75" t="n"/>
      <c r="Y1907" s="77" t="n"/>
      <c r="Z1907" s="77" t="n"/>
      <c r="AA1907" s="75" t="n"/>
      <c r="AB1907" s="75" t="n"/>
      <c r="AC1907" s="6" t="n"/>
      <c r="AD1907" s="75" t="n"/>
      <c r="AE1907" s="75" t="n"/>
      <c r="AF1907" s="75" t="n"/>
    </row>
    <row r="1908" ht="15.75" customHeight="1" s="133">
      <c r="A1908" s="75" t="n"/>
      <c r="B1908" s="75" t="n"/>
      <c r="C1908" s="75" t="n"/>
      <c r="D1908" s="75" t="n"/>
      <c r="E1908" s="76" t="n"/>
      <c r="F1908" s="77" t="n"/>
      <c r="G1908" s="75" t="n"/>
      <c r="H1908" s="75">
        <f>IF(ISBLANK(E1908),"",IF(OR(D1908="Butterfly",D1908="Butterfly ",D1908="Iron Fly", D1908="Iron Fly "),LEN(E1908)-LEN(SUBSTITUTE(E1908,"/",""))+2,LEN(E1908)-LEN(SUBSTITUTE(E1908,"/",""))+1))</f>
        <v/>
      </c>
      <c r="I1908" s="78">
        <f>IF(ISBLANK(G1908),"",IF(D1908="Stock","0",Key!$A$3*H1908*G1908))</f>
        <v/>
      </c>
      <c r="J1908" s="78">
        <f>IF(ISBLANK(E1908),"",IF(ISNUMBER(SEARCH("/",E1908)), IF(LEN(E1908)-LEN(SUBSTITUTE(E1908,"/",""))=1,(RIGHT(E1908,LEN(E1908)-FIND("/",E1908)))-(LEFT(E1908,FIND("/",E1908)-1)),(MID(E1908, SEARCH("/",E1908) + 1, SEARCH("/",E1908, SEARCH("/",E1908)+1) - SEARCH("/",E1908) - 1))-(LEFT(E1908,FIND("/",E1908)-1))), "NA"))</f>
        <v/>
      </c>
      <c r="K1908" s="79">
        <f>IF(A1908&lt;&gt;"", IF(ISBLANK(L1908), TODAY(), K1908), "")</f>
        <v/>
      </c>
      <c r="L1908" s="78" t="n"/>
      <c r="M1908" s="78">
        <f>IF(ISBLANK(L1908),"",IF(D1908="Stock",IF(C1908="Buy",L1908*G1908,IF(C1908="Sell",(L1908*G1908)-I1908, X)),IF(C1908="Buy",(L1908*G1908*100)+I1908,IF(C1908="Sell",(L1908*G1908*100)-I1908, X))))</f>
        <v/>
      </c>
      <c r="N1908" s="78">
        <f>IF(ISBLANK(L1908),"",IF(AND(C1908="Sell",D1908="Stock"),M1908,IF(ISBLANK(L1908),"",IF(C1908="Buy",M1908, IF(AND(C1908="Sell",J1908="NA"),(E1908*G1908*100*0.1)+I1908, IF(C1908="Sell",(J1908-L1908)*(100*G1908)+I1908))))))</f>
        <v/>
      </c>
      <c r="O1908" s="75" t="n"/>
      <c r="P1908" s="75" t="n"/>
      <c r="Q1908" s="75">
        <f>IF(ISBLANK(P1908),"",IF(D1908="Stock",P1908*G1908,IF(P1908=0,"0",G1908*P1908*100-(G1908*$AF$14))))</f>
        <v/>
      </c>
      <c r="R1908" s="79">
        <f>IF(P1908&lt;&gt;"", TODAY(), "")</f>
        <v/>
      </c>
      <c r="S1908" s="78">
        <f>IF(AND(K1908&lt;&gt;"", R1908&lt;&gt;""), R1908-K1908, "")</f>
        <v/>
      </c>
      <c r="T1908" s="78" t="n"/>
      <c r="U1908" s="92">
        <f>IF(ISBLANK(P1908),"",IF(C1908="Buy",Q1908-M1908+T1908, IF(C1908="Sell",M1908-Q1908-T1908, X)))</f>
        <v/>
      </c>
      <c r="V1908" s="81">
        <f>IF(ISBLANK(P1908),"",U1908/N1908)</f>
        <v/>
      </c>
      <c r="W1908" s="81">
        <f>IF(ISBLANK(P1908),"",IF(S1908=0,(365/0.5)*V1908,(365/S1908)*V1908))</f>
        <v/>
      </c>
      <c r="X1908" s="75" t="n"/>
      <c r="Y1908" s="77" t="n"/>
      <c r="Z1908" s="77" t="n"/>
      <c r="AA1908" s="75" t="n"/>
      <c r="AB1908" s="75" t="n"/>
      <c r="AC1908" s="6" t="n"/>
      <c r="AD1908" s="75" t="n"/>
      <c r="AE1908" s="75" t="n"/>
      <c r="AF1908" s="75" t="n"/>
    </row>
    <row r="1909" ht="15.75" customHeight="1" s="133">
      <c r="A1909" s="75" t="n"/>
      <c r="B1909" s="75" t="n"/>
      <c r="C1909" s="75" t="n"/>
      <c r="D1909" s="75" t="n"/>
      <c r="E1909" s="76" t="n"/>
      <c r="F1909" s="77" t="n"/>
      <c r="G1909" s="75" t="n"/>
      <c r="H1909" s="75">
        <f>IF(ISBLANK(E1909),"",IF(OR(D1909="Butterfly",D1909="Butterfly ",D1909="Iron Fly", D1909="Iron Fly "),LEN(E1909)-LEN(SUBSTITUTE(E1909,"/",""))+2,LEN(E1909)-LEN(SUBSTITUTE(E1909,"/",""))+1))</f>
        <v/>
      </c>
      <c r="I1909" s="78">
        <f>IF(ISBLANK(G1909),"",IF(D1909="Stock","0",Key!$A$3*H1909*G1909))</f>
        <v/>
      </c>
      <c r="J1909" s="78">
        <f>IF(ISBLANK(E1909),"",IF(ISNUMBER(SEARCH("/",E1909)), IF(LEN(E1909)-LEN(SUBSTITUTE(E1909,"/",""))=1,(RIGHT(E1909,LEN(E1909)-FIND("/",E1909)))-(LEFT(E1909,FIND("/",E1909)-1)),(MID(E1909, SEARCH("/",E1909) + 1, SEARCH("/",E1909, SEARCH("/",E1909)+1) - SEARCH("/",E1909) - 1))-(LEFT(E1909,FIND("/",E1909)-1))), "NA"))</f>
        <v/>
      </c>
      <c r="K1909" s="79">
        <f>IF(A1909&lt;&gt;"", IF(ISBLANK(L1909), TODAY(), K1909), "")</f>
        <v/>
      </c>
      <c r="L1909" s="78" t="n"/>
      <c r="M1909" s="78">
        <f>IF(ISBLANK(L1909),"",IF(D1909="Stock",IF(C1909="Buy",L1909*G1909,IF(C1909="Sell",(L1909*G1909)-I1909, X)),IF(C1909="Buy",(L1909*G1909*100)+I1909,IF(C1909="Sell",(L1909*G1909*100)-I1909, X))))</f>
        <v/>
      </c>
      <c r="N1909" s="78">
        <f>IF(ISBLANK(L1909),"",IF(AND(C1909="Sell",D1909="Stock"),M1909,IF(ISBLANK(L1909),"",IF(C1909="Buy",M1909, IF(AND(C1909="Sell",J1909="NA"),(E1909*G1909*100*0.1)+I1909, IF(C1909="Sell",(J1909-L1909)*(100*G1909)+I1909))))))</f>
        <v/>
      </c>
      <c r="O1909" s="75" t="n"/>
      <c r="P1909" s="75" t="n"/>
      <c r="Q1909" s="75">
        <f>IF(ISBLANK(P1909),"",IF(D1909="Stock",P1909*G1909,IF(P1909=0,"0",G1909*P1909*100-(G1909*$AF$14))))</f>
        <v/>
      </c>
      <c r="R1909" s="79">
        <f>IF(P1909&lt;&gt;"", TODAY(), "")</f>
        <v/>
      </c>
      <c r="S1909" s="78">
        <f>IF(AND(K1909&lt;&gt;"", R1909&lt;&gt;""), R1909-K1909, "")</f>
        <v/>
      </c>
      <c r="T1909" s="78" t="n"/>
      <c r="U1909" s="92">
        <f>IF(ISBLANK(P1909),"",IF(C1909="Buy",Q1909-M1909+T1909, IF(C1909="Sell",M1909-Q1909-T1909, X)))</f>
        <v/>
      </c>
      <c r="V1909" s="81">
        <f>IF(ISBLANK(P1909),"",U1909/N1909)</f>
        <v/>
      </c>
      <c r="W1909" s="81">
        <f>IF(ISBLANK(P1909),"",IF(S1909=0,(365/0.5)*V1909,(365/S1909)*V1909))</f>
        <v/>
      </c>
      <c r="X1909" s="75" t="n"/>
      <c r="Y1909" s="77" t="n"/>
      <c r="Z1909" s="77" t="n"/>
      <c r="AA1909" s="75" t="n"/>
      <c r="AB1909" s="75" t="n"/>
      <c r="AC1909" s="6" t="n"/>
      <c r="AD1909" s="75" t="n"/>
      <c r="AE1909" s="75" t="n"/>
      <c r="AF1909" s="75" t="n"/>
    </row>
    <row r="1910" ht="15.75" customHeight="1" s="133">
      <c r="A1910" s="75" t="n"/>
      <c r="B1910" s="75" t="n"/>
      <c r="C1910" s="75" t="n"/>
      <c r="D1910" s="75" t="n"/>
      <c r="E1910" s="76" t="n"/>
      <c r="F1910" s="77" t="n"/>
      <c r="G1910" s="75" t="n"/>
      <c r="H1910" s="75">
        <f>IF(ISBLANK(E1910),"",IF(OR(D1910="Butterfly",D1910="Butterfly ",D1910="Iron Fly", D1910="Iron Fly "),LEN(E1910)-LEN(SUBSTITUTE(E1910,"/",""))+2,LEN(E1910)-LEN(SUBSTITUTE(E1910,"/",""))+1))</f>
        <v/>
      </c>
      <c r="I1910" s="78">
        <f>IF(ISBLANK(G1910),"",IF(D1910="Stock","0",Key!$A$3*H1910*G1910))</f>
        <v/>
      </c>
      <c r="J1910" s="78">
        <f>IF(ISBLANK(E1910),"",IF(ISNUMBER(SEARCH("/",E1910)), IF(LEN(E1910)-LEN(SUBSTITUTE(E1910,"/",""))=1,(RIGHT(E1910,LEN(E1910)-FIND("/",E1910)))-(LEFT(E1910,FIND("/",E1910)-1)),(MID(E1910, SEARCH("/",E1910) + 1, SEARCH("/",E1910, SEARCH("/",E1910)+1) - SEARCH("/",E1910) - 1))-(LEFT(E1910,FIND("/",E1910)-1))), "NA"))</f>
        <v/>
      </c>
      <c r="K1910" s="79">
        <f>IF(A1910&lt;&gt;"", IF(ISBLANK(L1910), TODAY(), K1910), "")</f>
        <v/>
      </c>
      <c r="L1910" s="78" t="n"/>
      <c r="M1910" s="78">
        <f>IF(ISBLANK(L1910),"",IF(D1910="Stock",IF(C1910="Buy",L1910*G1910,IF(C1910="Sell",(L1910*G1910)-I1910, X)),IF(C1910="Buy",(L1910*G1910*100)+I1910,IF(C1910="Sell",(L1910*G1910*100)-I1910, X))))</f>
        <v/>
      </c>
      <c r="N1910" s="78">
        <f>IF(ISBLANK(L1910),"",IF(AND(C1910="Sell",D1910="Stock"),M1910,IF(ISBLANK(L1910),"",IF(C1910="Buy",M1910, IF(AND(C1910="Sell",J1910="NA"),(E1910*G1910*100*0.1)+I1910, IF(C1910="Sell",(J1910-L1910)*(100*G1910)+I1910))))))</f>
        <v/>
      </c>
      <c r="O1910" s="75" t="n"/>
      <c r="P1910" s="75" t="n"/>
      <c r="Q1910" s="75">
        <f>IF(ISBLANK(P1910),"",IF(D1910="Stock",P1910*G1910,IF(P1910=0,"0",G1910*P1910*100-(G1910*$AF$14))))</f>
        <v/>
      </c>
      <c r="R1910" s="79">
        <f>IF(P1910&lt;&gt;"", TODAY(), "")</f>
        <v/>
      </c>
      <c r="S1910" s="78">
        <f>IF(AND(K1910&lt;&gt;"", R1910&lt;&gt;""), R1910-K1910, "")</f>
        <v/>
      </c>
      <c r="T1910" s="78" t="n"/>
      <c r="U1910" s="92">
        <f>IF(ISBLANK(P1910),"",IF(C1910="Buy",Q1910-M1910+T1910, IF(C1910="Sell",M1910-Q1910-T1910, X)))</f>
        <v/>
      </c>
      <c r="V1910" s="81">
        <f>IF(ISBLANK(P1910),"",U1910/N1910)</f>
        <v/>
      </c>
      <c r="W1910" s="81">
        <f>IF(ISBLANK(P1910),"",IF(S1910=0,(365/0.5)*V1910,(365/S1910)*V1910))</f>
        <v/>
      </c>
      <c r="X1910" s="75" t="n"/>
      <c r="Y1910" s="77" t="n"/>
      <c r="Z1910" s="77" t="n"/>
      <c r="AA1910" s="75" t="n"/>
      <c r="AB1910" s="75" t="n"/>
      <c r="AC1910" s="6" t="n"/>
      <c r="AD1910" s="75" t="n"/>
      <c r="AE1910" s="75" t="n"/>
      <c r="AF1910" s="75" t="n"/>
    </row>
    <row r="1911" ht="15.75" customHeight="1" s="133">
      <c r="A1911" s="75" t="n"/>
      <c r="B1911" s="75" t="n"/>
      <c r="C1911" s="75" t="n"/>
      <c r="D1911" s="75" t="n"/>
      <c r="E1911" s="76" t="n"/>
      <c r="F1911" s="77" t="n"/>
      <c r="G1911" s="75" t="n"/>
      <c r="H1911" s="75">
        <f>IF(ISBLANK(E1911),"",IF(OR(D1911="Butterfly",D1911="Butterfly ",D1911="Iron Fly", D1911="Iron Fly "),LEN(E1911)-LEN(SUBSTITUTE(E1911,"/",""))+2,LEN(E1911)-LEN(SUBSTITUTE(E1911,"/",""))+1))</f>
        <v/>
      </c>
      <c r="I1911" s="78">
        <f>IF(ISBLANK(G1911),"",IF(D1911="Stock","0",Key!$A$3*H1911*G1911))</f>
        <v/>
      </c>
      <c r="J1911" s="78">
        <f>IF(ISBLANK(E1911),"",IF(ISNUMBER(SEARCH("/",E1911)), IF(LEN(E1911)-LEN(SUBSTITUTE(E1911,"/",""))=1,(RIGHT(E1911,LEN(E1911)-FIND("/",E1911)))-(LEFT(E1911,FIND("/",E1911)-1)),(MID(E1911, SEARCH("/",E1911) + 1, SEARCH("/",E1911, SEARCH("/",E1911)+1) - SEARCH("/",E1911) - 1))-(LEFT(E1911,FIND("/",E1911)-1))), "NA"))</f>
        <v/>
      </c>
      <c r="K1911" s="79">
        <f>IF(A1911&lt;&gt;"", IF(ISBLANK(L1911), TODAY(), K1911), "")</f>
        <v/>
      </c>
      <c r="L1911" s="78" t="n"/>
      <c r="M1911" s="78">
        <f>IF(ISBLANK(L1911),"",IF(D1911="Stock",IF(C1911="Buy",L1911*G1911,IF(C1911="Sell",(L1911*G1911)-I1911, X)),IF(C1911="Buy",(L1911*G1911*100)+I1911,IF(C1911="Sell",(L1911*G1911*100)-I1911, X))))</f>
        <v/>
      </c>
      <c r="N1911" s="78">
        <f>IF(ISBLANK(L1911),"",IF(AND(C1911="Sell",D1911="Stock"),M1911,IF(ISBLANK(L1911),"",IF(C1911="Buy",M1911, IF(AND(C1911="Sell",J1911="NA"),(E1911*G1911*100*0.1)+I1911, IF(C1911="Sell",(J1911-L1911)*(100*G1911)+I1911))))))</f>
        <v/>
      </c>
      <c r="O1911" s="75" t="n"/>
      <c r="P1911" s="75" t="n"/>
      <c r="Q1911" s="75">
        <f>IF(ISBLANK(P1911),"",IF(D1911="Stock",P1911*G1911,IF(P1911=0,"0",G1911*P1911*100-(G1911*$AF$14))))</f>
        <v/>
      </c>
      <c r="R1911" s="79">
        <f>IF(P1911&lt;&gt;"", TODAY(), "")</f>
        <v/>
      </c>
      <c r="S1911" s="78">
        <f>IF(AND(K1911&lt;&gt;"", R1911&lt;&gt;""), R1911-K1911, "")</f>
        <v/>
      </c>
      <c r="T1911" s="78" t="n"/>
      <c r="U1911" s="92">
        <f>IF(ISBLANK(P1911),"",IF(C1911="Buy",Q1911-M1911+T1911, IF(C1911="Sell",M1911-Q1911-T1911, X)))</f>
        <v/>
      </c>
      <c r="V1911" s="81">
        <f>IF(ISBLANK(P1911),"",U1911/N1911)</f>
        <v/>
      </c>
      <c r="W1911" s="81">
        <f>IF(ISBLANK(P1911),"",IF(S1911=0,(365/0.5)*V1911,(365/S1911)*V1911))</f>
        <v/>
      </c>
      <c r="X1911" s="75" t="n"/>
      <c r="Y1911" s="77" t="n"/>
      <c r="Z1911" s="77" t="n"/>
      <c r="AA1911" s="75" t="n"/>
      <c r="AB1911" s="75" t="n"/>
      <c r="AC1911" s="6" t="n"/>
      <c r="AD1911" s="75" t="n"/>
      <c r="AE1911" s="75" t="n"/>
      <c r="AF1911" s="75" t="n"/>
    </row>
    <row r="1912" ht="15.75" customHeight="1" s="133">
      <c r="A1912" s="75" t="n"/>
      <c r="B1912" s="75" t="n"/>
      <c r="C1912" s="75" t="n"/>
      <c r="D1912" s="75" t="n"/>
      <c r="E1912" s="76" t="n"/>
      <c r="F1912" s="77" t="n"/>
      <c r="G1912" s="75" t="n"/>
      <c r="H1912" s="75">
        <f>IF(ISBLANK(E1912),"",IF(OR(D1912="Butterfly",D1912="Butterfly ",D1912="Iron Fly", D1912="Iron Fly "),LEN(E1912)-LEN(SUBSTITUTE(E1912,"/",""))+2,LEN(E1912)-LEN(SUBSTITUTE(E1912,"/",""))+1))</f>
        <v/>
      </c>
      <c r="I1912" s="78">
        <f>IF(ISBLANK(G1912),"",IF(D1912="Stock","0",Key!$A$3*H1912*G1912))</f>
        <v/>
      </c>
      <c r="J1912" s="78">
        <f>IF(ISBLANK(E1912),"",IF(ISNUMBER(SEARCH("/",E1912)), IF(LEN(E1912)-LEN(SUBSTITUTE(E1912,"/",""))=1,(RIGHT(E1912,LEN(E1912)-FIND("/",E1912)))-(LEFT(E1912,FIND("/",E1912)-1)),(MID(E1912, SEARCH("/",E1912) + 1, SEARCH("/",E1912, SEARCH("/",E1912)+1) - SEARCH("/",E1912) - 1))-(LEFT(E1912,FIND("/",E1912)-1))), "NA"))</f>
        <v/>
      </c>
      <c r="K1912" s="79">
        <f>IF(A1912&lt;&gt;"", IF(ISBLANK(L1912), TODAY(), K1912), "")</f>
        <v/>
      </c>
      <c r="L1912" s="78" t="n"/>
      <c r="M1912" s="78">
        <f>IF(ISBLANK(L1912),"",IF(D1912="Stock",IF(C1912="Buy",L1912*G1912,IF(C1912="Sell",(L1912*G1912)-I1912, X)),IF(C1912="Buy",(L1912*G1912*100)+I1912,IF(C1912="Sell",(L1912*G1912*100)-I1912, X))))</f>
        <v/>
      </c>
      <c r="N1912" s="78">
        <f>IF(ISBLANK(L1912),"",IF(AND(C1912="Sell",D1912="Stock"),M1912,IF(ISBLANK(L1912),"",IF(C1912="Buy",M1912, IF(AND(C1912="Sell",J1912="NA"),(E1912*G1912*100*0.1)+I1912, IF(C1912="Sell",(J1912-L1912)*(100*G1912)+I1912))))))</f>
        <v/>
      </c>
      <c r="O1912" s="75" t="n"/>
      <c r="P1912" s="75" t="n"/>
      <c r="Q1912" s="75">
        <f>IF(ISBLANK(P1912),"",IF(D1912="Stock",P1912*G1912,IF(P1912=0,"0",G1912*P1912*100-(G1912*$AF$14))))</f>
        <v/>
      </c>
      <c r="R1912" s="79">
        <f>IF(P1912&lt;&gt;"", TODAY(), "")</f>
        <v/>
      </c>
      <c r="S1912" s="78">
        <f>IF(AND(K1912&lt;&gt;"", R1912&lt;&gt;""), R1912-K1912, "")</f>
        <v/>
      </c>
      <c r="T1912" s="78" t="n"/>
      <c r="U1912" s="92">
        <f>IF(ISBLANK(P1912),"",IF(C1912="Buy",Q1912-M1912+T1912, IF(C1912="Sell",M1912-Q1912-T1912, X)))</f>
        <v/>
      </c>
      <c r="V1912" s="81">
        <f>IF(ISBLANK(P1912),"",U1912/N1912)</f>
        <v/>
      </c>
      <c r="W1912" s="81">
        <f>IF(ISBLANK(P1912),"",IF(S1912=0,(365/0.5)*V1912,(365/S1912)*V1912))</f>
        <v/>
      </c>
      <c r="X1912" s="75" t="n"/>
      <c r="Y1912" s="77" t="n"/>
      <c r="Z1912" s="77" t="n"/>
      <c r="AA1912" s="75" t="n"/>
      <c r="AB1912" s="75" t="n"/>
      <c r="AC1912" s="6" t="n"/>
      <c r="AD1912" s="75" t="n"/>
      <c r="AE1912" s="75" t="n"/>
      <c r="AF1912" s="75" t="n"/>
    </row>
    <row r="1913" ht="15.75" customHeight="1" s="133">
      <c r="A1913" s="75" t="n"/>
      <c r="B1913" s="75" t="n"/>
      <c r="C1913" s="75" t="n"/>
      <c r="D1913" s="75" t="n"/>
      <c r="E1913" s="76" t="n"/>
      <c r="F1913" s="77" t="n"/>
      <c r="G1913" s="75" t="n"/>
      <c r="H1913" s="75">
        <f>IF(ISBLANK(E1913),"",IF(OR(D1913="Butterfly",D1913="Butterfly ",D1913="Iron Fly", D1913="Iron Fly "),LEN(E1913)-LEN(SUBSTITUTE(E1913,"/",""))+2,LEN(E1913)-LEN(SUBSTITUTE(E1913,"/",""))+1))</f>
        <v/>
      </c>
      <c r="I1913" s="78">
        <f>IF(ISBLANK(G1913),"",IF(D1913="Stock","0",Key!$A$3*H1913*G1913))</f>
        <v/>
      </c>
      <c r="J1913" s="78">
        <f>IF(ISBLANK(E1913),"",IF(ISNUMBER(SEARCH("/",E1913)), IF(LEN(E1913)-LEN(SUBSTITUTE(E1913,"/",""))=1,(RIGHT(E1913,LEN(E1913)-FIND("/",E1913)))-(LEFT(E1913,FIND("/",E1913)-1)),(MID(E1913, SEARCH("/",E1913) + 1, SEARCH("/",E1913, SEARCH("/",E1913)+1) - SEARCH("/",E1913) - 1))-(LEFT(E1913,FIND("/",E1913)-1))), "NA"))</f>
        <v/>
      </c>
      <c r="K1913" s="79">
        <f>IF(A1913&lt;&gt;"", IF(ISBLANK(L1913), TODAY(), K1913), "")</f>
        <v/>
      </c>
      <c r="L1913" s="78" t="n"/>
      <c r="M1913" s="78">
        <f>IF(ISBLANK(L1913),"",IF(D1913="Stock",IF(C1913="Buy",L1913*G1913,IF(C1913="Sell",(L1913*G1913)-I1913, X)),IF(C1913="Buy",(L1913*G1913*100)+I1913,IF(C1913="Sell",(L1913*G1913*100)-I1913, X))))</f>
        <v/>
      </c>
      <c r="N1913" s="78">
        <f>IF(ISBLANK(L1913),"",IF(AND(C1913="Sell",D1913="Stock"),M1913,IF(ISBLANK(L1913),"",IF(C1913="Buy",M1913, IF(AND(C1913="Sell",J1913="NA"),(E1913*G1913*100*0.1)+I1913, IF(C1913="Sell",(J1913-L1913)*(100*G1913)+I1913))))))</f>
        <v/>
      </c>
      <c r="O1913" s="75" t="n"/>
      <c r="P1913" s="75" t="n"/>
      <c r="Q1913" s="75">
        <f>IF(ISBLANK(P1913),"",IF(D1913="Stock",P1913*G1913,IF(P1913=0,"0",G1913*P1913*100-(G1913*$AF$14))))</f>
        <v/>
      </c>
      <c r="R1913" s="79">
        <f>IF(P1913&lt;&gt;"", TODAY(), "")</f>
        <v/>
      </c>
      <c r="S1913" s="78">
        <f>IF(AND(K1913&lt;&gt;"", R1913&lt;&gt;""), R1913-K1913, "")</f>
        <v/>
      </c>
      <c r="T1913" s="78" t="n"/>
      <c r="U1913" s="92">
        <f>IF(ISBLANK(P1913),"",IF(C1913="Buy",Q1913-M1913+T1913, IF(C1913="Sell",M1913-Q1913-T1913, X)))</f>
        <v/>
      </c>
      <c r="V1913" s="81">
        <f>IF(ISBLANK(P1913),"",U1913/N1913)</f>
        <v/>
      </c>
      <c r="W1913" s="81">
        <f>IF(ISBLANK(P1913),"",IF(S1913=0,(365/0.5)*V1913,(365/S1913)*V1913))</f>
        <v/>
      </c>
      <c r="X1913" s="75" t="n"/>
      <c r="Y1913" s="77" t="n"/>
      <c r="Z1913" s="77" t="n"/>
      <c r="AA1913" s="75" t="n"/>
      <c r="AB1913" s="75" t="n"/>
      <c r="AC1913" s="6" t="n"/>
      <c r="AD1913" s="75" t="n"/>
      <c r="AE1913" s="75" t="n"/>
      <c r="AF1913" s="75" t="n"/>
    </row>
    <row r="1914" ht="15.75" customHeight="1" s="133">
      <c r="A1914" s="75" t="n"/>
      <c r="B1914" s="75" t="n"/>
      <c r="C1914" s="75" t="n"/>
      <c r="D1914" s="75" t="n"/>
      <c r="E1914" s="76" t="n"/>
      <c r="F1914" s="77" t="n"/>
      <c r="G1914" s="75" t="n"/>
      <c r="H1914" s="75">
        <f>IF(ISBLANK(E1914),"",IF(OR(D1914="Butterfly",D1914="Butterfly ",D1914="Iron Fly", D1914="Iron Fly "),LEN(E1914)-LEN(SUBSTITUTE(E1914,"/",""))+2,LEN(E1914)-LEN(SUBSTITUTE(E1914,"/",""))+1))</f>
        <v/>
      </c>
      <c r="I1914" s="78">
        <f>IF(ISBLANK(G1914),"",IF(D1914="Stock","0",Key!$A$3*H1914*G1914))</f>
        <v/>
      </c>
      <c r="J1914" s="78">
        <f>IF(ISBLANK(E1914),"",IF(ISNUMBER(SEARCH("/",E1914)), IF(LEN(E1914)-LEN(SUBSTITUTE(E1914,"/",""))=1,(RIGHT(E1914,LEN(E1914)-FIND("/",E1914)))-(LEFT(E1914,FIND("/",E1914)-1)),(MID(E1914, SEARCH("/",E1914) + 1, SEARCH("/",E1914, SEARCH("/",E1914)+1) - SEARCH("/",E1914) - 1))-(LEFT(E1914,FIND("/",E1914)-1))), "NA"))</f>
        <v/>
      </c>
      <c r="K1914" s="79">
        <f>IF(A1914&lt;&gt;"", IF(ISBLANK(L1914), TODAY(), K1914), "")</f>
        <v/>
      </c>
      <c r="L1914" s="78" t="n"/>
      <c r="M1914" s="78">
        <f>IF(ISBLANK(L1914),"",IF(D1914="Stock",IF(C1914="Buy",L1914*G1914,IF(C1914="Sell",(L1914*G1914)-I1914, X)),IF(C1914="Buy",(L1914*G1914*100)+I1914,IF(C1914="Sell",(L1914*G1914*100)-I1914, X))))</f>
        <v/>
      </c>
      <c r="N1914" s="78">
        <f>IF(ISBLANK(L1914),"",IF(AND(C1914="Sell",D1914="Stock"),M1914,IF(ISBLANK(L1914),"",IF(C1914="Buy",M1914, IF(AND(C1914="Sell",J1914="NA"),(E1914*G1914*100*0.1)+I1914, IF(C1914="Sell",(J1914-L1914)*(100*G1914)+I1914))))))</f>
        <v/>
      </c>
      <c r="O1914" s="75" t="n"/>
      <c r="P1914" s="75" t="n"/>
      <c r="Q1914" s="75">
        <f>IF(ISBLANK(P1914),"",IF(D1914="Stock",P1914*G1914,IF(P1914=0,"0",G1914*P1914*100-(G1914*$AF$14))))</f>
        <v/>
      </c>
      <c r="R1914" s="79">
        <f>IF(P1914&lt;&gt;"", TODAY(), "")</f>
        <v/>
      </c>
      <c r="S1914" s="78">
        <f>IF(AND(K1914&lt;&gt;"", R1914&lt;&gt;""), R1914-K1914, "")</f>
        <v/>
      </c>
      <c r="T1914" s="78" t="n"/>
      <c r="U1914" s="92">
        <f>IF(ISBLANK(P1914),"",IF(C1914="Buy",Q1914-M1914+T1914, IF(C1914="Sell",M1914-Q1914-T1914, X)))</f>
        <v/>
      </c>
      <c r="V1914" s="81">
        <f>IF(ISBLANK(P1914),"",U1914/N1914)</f>
        <v/>
      </c>
      <c r="W1914" s="81">
        <f>IF(ISBLANK(P1914),"",IF(S1914=0,(365/0.5)*V1914,(365/S1914)*V1914))</f>
        <v/>
      </c>
      <c r="X1914" s="75" t="n"/>
      <c r="Y1914" s="77" t="n"/>
      <c r="Z1914" s="77" t="n"/>
      <c r="AA1914" s="75" t="n"/>
      <c r="AB1914" s="75" t="n"/>
      <c r="AC1914" s="6" t="n"/>
      <c r="AD1914" s="75" t="n"/>
      <c r="AE1914" s="75" t="n"/>
      <c r="AF1914" s="75" t="n"/>
    </row>
    <row r="1915" ht="15.75" customHeight="1" s="133">
      <c r="A1915" s="75" t="n"/>
      <c r="B1915" s="75" t="n"/>
      <c r="C1915" s="75" t="n"/>
      <c r="D1915" s="75" t="n"/>
      <c r="E1915" s="76" t="n"/>
      <c r="F1915" s="77" t="n"/>
      <c r="G1915" s="75" t="n"/>
      <c r="H1915" s="75">
        <f>IF(ISBLANK(E1915),"",IF(OR(D1915="Butterfly",D1915="Butterfly ",D1915="Iron Fly", D1915="Iron Fly "),LEN(E1915)-LEN(SUBSTITUTE(E1915,"/",""))+2,LEN(E1915)-LEN(SUBSTITUTE(E1915,"/",""))+1))</f>
        <v/>
      </c>
      <c r="I1915" s="78">
        <f>IF(ISBLANK(G1915),"",IF(D1915="Stock","0",Key!$A$3*H1915*G1915))</f>
        <v/>
      </c>
      <c r="J1915" s="78">
        <f>IF(ISBLANK(E1915),"",IF(ISNUMBER(SEARCH("/",E1915)), IF(LEN(E1915)-LEN(SUBSTITUTE(E1915,"/",""))=1,(RIGHT(E1915,LEN(E1915)-FIND("/",E1915)))-(LEFT(E1915,FIND("/",E1915)-1)),(MID(E1915, SEARCH("/",E1915) + 1, SEARCH("/",E1915, SEARCH("/",E1915)+1) - SEARCH("/",E1915) - 1))-(LEFT(E1915,FIND("/",E1915)-1))), "NA"))</f>
        <v/>
      </c>
      <c r="K1915" s="79">
        <f>IF(A1915&lt;&gt;"", IF(ISBLANK(L1915), TODAY(), K1915), "")</f>
        <v/>
      </c>
      <c r="L1915" s="78" t="n"/>
      <c r="M1915" s="78">
        <f>IF(ISBLANK(L1915),"",IF(D1915="Stock",IF(C1915="Buy",L1915*G1915,IF(C1915="Sell",(L1915*G1915)-I1915, X)),IF(C1915="Buy",(L1915*G1915*100)+I1915,IF(C1915="Sell",(L1915*G1915*100)-I1915, X))))</f>
        <v/>
      </c>
      <c r="N1915" s="78">
        <f>IF(ISBLANK(L1915),"",IF(AND(C1915="Sell",D1915="Stock"),M1915,IF(ISBLANK(L1915),"",IF(C1915="Buy",M1915, IF(AND(C1915="Sell",J1915="NA"),(E1915*G1915*100*0.1)+I1915, IF(C1915="Sell",(J1915-L1915)*(100*G1915)+I1915))))))</f>
        <v/>
      </c>
      <c r="O1915" s="75" t="n"/>
      <c r="P1915" s="75" t="n"/>
      <c r="Q1915" s="75">
        <f>IF(ISBLANK(P1915),"",IF(D1915="Stock",P1915*G1915,IF(P1915=0,"0",G1915*P1915*100-(G1915*$AF$14))))</f>
        <v/>
      </c>
      <c r="R1915" s="79">
        <f>IF(P1915&lt;&gt;"", TODAY(), "")</f>
        <v/>
      </c>
      <c r="S1915" s="78">
        <f>IF(AND(K1915&lt;&gt;"", R1915&lt;&gt;""), R1915-K1915, "")</f>
        <v/>
      </c>
      <c r="T1915" s="78" t="n"/>
      <c r="U1915" s="92">
        <f>IF(ISBLANK(P1915),"",IF(C1915="Buy",Q1915-M1915+T1915, IF(C1915="Sell",M1915-Q1915-T1915, X)))</f>
        <v/>
      </c>
      <c r="V1915" s="81">
        <f>IF(ISBLANK(P1915),"",U1915/N1915)</f>
        <v/>
      </c>
      <c r="W1915" s="81">
        <f>IF(ISBLANK(P1915),"",IF(S1915=0,(365/0.5)*V1915,(365/S1915)*V1915))</f>
        <v/>
      </c>
      <c r="X1915" s="75" t="n"/>
      <c r="Y1915" s="77" t="n"/>
      <c r="Z1915" s="77" t="n"/>
      <c r="AA1915" s="75" t="n"/>
      <c r="AB1915" s="75" t="n"/>
      <c r="AC1915" s="6" t="n"/>
      <c r="AD1915" s="75" t="n"/>
      <c r="AE1915" s="75" t="n"/>
      <c r="AF1915" s="75" t="n"/>
    </row>
    <row r="1916" ht="15.75" customHeight="1" s="133">
      <c r="A1916" s="75" t="n"/>
      <c r="B1916" s="75" t="n"/>
      <c r="C1916" s="75" t="n"/>
      <c r="D1916" s="75" t="n"/>
      <c r="E1916" s="76" t="n"/>
      <c r="F1916" s="77" t="n"/>
      <c r="G1916" s="75" t="n"/>
      <c r="H1916" s="75">
        <f>IF(ISBLANK(E1916),"",IF(OR(D1916="Butterfly",D1916="Butterfly ",D1916="Iron Fly", D1916="Iron Fly "),LEN(E1916)-LEN(SUBSTITUTE(E1916,"/",""))+2,LEN(E1916)-LEN(SUBSTITUTE(E1916,"/",""))+1))</f>
        <v/>
      </c>
      <c r="I1916" s="78">
        <f>IF(ISBLANK(G1916),"",IF(D1916="Stock","0",Key!$A$3*H1916*G1916))</f>
        <v/>
      </c>
      <c r="J1916" s="78">
        <f>IF(ISBLANK(E1916),"",IF(ISNUMBER(SEARCH("/",E1916)), IF(LEN(E1916)-LEN(SUBSTITUTE(E1916,"/",""))=1,(RIGHT(E1916,LEN(E1916)-FIND("/",E1916)))-(LEFT(E1916,FIND("/",E1916)-1)),(MID(E1916, SEARCH("/",E1916) + 1, SEARCH("/",E1916, SEARCH("/",E1916)+1) - SEARCH("/",E1916) - 1))-(LEFT(E1916,FIND("/",E1916)-1))), "NA"))</f>
        <v/>
      </c>
      <c r="K1916" s="79">
        <f>IF(A1916&lt;&gt;"", IF(ISBLANK(L1916), TODAY(), K1916), "")</f>
        <v/>
      </c>
      <c r="L1916" s="78" t="n"/>
      <c r="M1916" s="78">
        <f>IF(ISBLANK(L1916),"",IF(D1916="Stock",IF(C1916="Buy",L1916*G1916,IF(C1916="Sell",(L1916*G1916)-I1916, X)),IF(C1916="Buy",(L1916*G1916*100)+I1916,IF(C1916="Sell",(L1916*G1916*100)-I1916, X))))</f>
        <v/>
      </c>
      <c r="N1916" s="78">
        <f>IF(ISBLANK(L1916),"",IF(AND(C1916="Sell",D1916="Stock"),M1916,IF(ISBLANK(L1916),"",IF(C1916="Buy",M1916, IF(AND(C1916="Sell",J1916="NA"),(E1916*G1916*100*0.1)+I1916, IF(C1916="Sell",(J1916-L1916)*(100*G1916)+I1916))))))</f>
        <v/>
      </c>
      <c r="O1916" s="75" t="n"/>
      <c r="P1916" s="75" t="n"/>
      <c r="Q1916" s="75">
        <f>IF(ISBLANK(P1916),"",IF(D1916="Stock",P1916*G1916,IF(P1916=0,"0",G1916*P1916*100-(G1916*$AF$14))))</f>
        <v/>
      </c>
      <c r="R1916" s="79">
        <f>IF(P1916&lt;&gt;"", TODAY(), "")</f>
        <v/>
      </c>
      <c r="S1916" s="78">
        <f>IF(AND(K1916&lt;&gt;"", R1916&lt;&gt;""), R1916-K1916, "")</f>
        <v/>
      </c>
      <c r="T1916" s="78" t="n"/>
      <c r="U1916" s="92">
        <f>IF(ISBLANK(P1916),"",IF(C1916="Buy",Q1916-M1916+T1916, IF(C1916="Sell",M1916-Q1916-T1916, X)))</f>
        <v/>
      </c>
      <c r="V1916" s="81">
        <f>IF(ISBLANK(P1916),"",U1916/N1916)</f>
        <v/>
      </c>
      <c r="W1916" s="81">
        <f>IF(ISBLANK(P1916),"",IF(S1916=0,(365/0.5)*V1916,(365/S1916)*V1916))</f>
        <v/>
      </c>
      <c r="X1916" s="75" t="n"/>
      <c r="Y1916" s="77" t="n"/>
      <c r="Z1916" s="77" t="n"/>
      <c r="AA1916" s="75" t="n"/>
      <c r="AB1916" s="75" t="n"/>
      <c r="AC1916" s="6" t="n"/>
      <c r="AD1916" s="75" t="n"/>
      <c r="AE1916" s="75" t="n"/>
      <c r="AF1916" s="75" t="n"/>
    </row>
    <row r="1917" ht="15.75" customHeight="1" s="133">
      <c r="A1917" s="75" t="n"/>
      <c r="B1917" s="75" t="n"/>
      <c r="C1917" s="75" t="n"/>
      <c r="D1917" s="75" t="n"/>
      <c r="E1917" s="76" t="n"/>
      <c r="F1917" s="77" t="n"/>
      <c r="G1917" s="75" t="n"/>
      <c r="H1917" s="75">
        <f>IF(ISBLANK(E1917),"",IF(OR(D1917="Butterfly",D1917="Butterfly ",D1917="Iron Fly", D1917="Iron Fly "),LEN(E1917)-LEN(SUBSTITUTE(E1917,"/",""))+2,LEN(E1917)-LEN(SUBSTITUTE(E1917,"/",""))+1))</f>
        <v/>
      </c>
      <c r="I1917" s="78">
        <f>IF(ISBLANK(G1917),"",IF(D1917="Stock","0",Key!$A$3*H1917*G1917))</f>
        <v/>
      </c>
      <c r="J1917" s="78">
        <f>IF(ISBLANK(E1917),"",IF(ISNUMBER(SEARCH("/",E1917)), IF(LEN(E1917)-LEN(SUBSTITUTE(E1917,"/",""))=1,(RIGHT(E1917,LEN(E1917)-FIND("/",E1917)))-(LEFT(E1917,FIND("/",E1917)-1)),(MID(E1917, SEARCH("/",E1917) + 1, SEARCH("/",E1917, SEARCH("/",E1917)+1) - SEARCH("/",E1917) - 1))-(LEFT(E1917,FIND("/",E1917)-1))), "NA"))</f>
        <v/>
      </c>
      <c r="K1917" s="79">
        <f>IF(A1917&lt;&gt;"", IF(ISBLANK(L1917), TODAY(), K1917), "")</f>
        <v/>
      </c>
      <c r="L1917" s="78" t="n"/>
      <c r="M1917" s="78">
        <f>IF(ISBLANK(L1917),"",IF(D1917="Stock",IF(C1917="Buy",L1917*G1917,IF(C1917="Sell",(L1917*G1917)-I1917, X)),IF(C1917="Buy",(L1917*G1917*100)+I1917,IF(C1917="Sell",(L1917*G1917*100)-I1917, X))))</f>
        <v/>
      </c>
      <c r="N1917" s="78">
        <f>IF(ISBLANK(L1917),"",IF(AND(C1917="Sell",D1917="Stock"),M1917,IF(ISBLANK(L1917),"",IF(C1917="Buy",M1917, IF(AND(C1917="Sell",J1917="NA"),(E1917*G1917*100*0.1)+I1917, IF(C1917="Sell",(J1917-L1917)*(100*G1917)+I1917))))))</f>
        <v/>
      </c>
      <c r="O1917" s="75" t="n"/>
      <c r="P1917" s="75" t="n"/>
      <c r="Q1917" s="75">
        <f>IF(ISBLANK(P1917),"",IF(D1917="Stock",P1917*G1917,IF(P1917=0,"0",G1917*P1917*100-(G1917*$AF$14))))</f>
        <v/>
      </c>
      <c r="R1917" s="79">
        <f>IF(P1917&lt;&gt;"", TODAY(), "")</f>
        <v/>
      </c>
      <c r="S1917" s="78">
        <f>IF(AND(K1917&lt;&gt;"", R1917&lt;&gt;""), R1917-K1917, "")</f>
        <v/>
      </c>
      <c r="T1917" s="78" t="n"/>
      <c r="U1917" s="92">
        <f>IF(ISBLANK(P1917),"",IF(C1917="Buy",Q1917-M1917+T1917, IF(C1917="Sell",M1917-Q1917-T1917, X)))</f>
        <v/>
      </c>
      <c r="V1917" s="81">
        <f>IF(ISBLANK(P1917),"",U1917/N1917)</f>
        <v/>
      </c>
      <c r="W1917" s="81">
        <f>IF(ISBLANK(P1917),"",IF(S1917=0,(365/0.5)*V1917,(365/S1917)*V1917))</f>
        <v/>
      </c>
      <c r="X1917" s="75" t="n"/>
      <c r="Y1917" s="77" t="n"/>
      <c r="Z1917" s="77" t="n"/>
      <c r="AA1917" s="75" t="n"/>
      <c r="AB1917" s="75" t="n"/>
      <c r="AC1917" s="6" t="n"/>
      <c r="AD1917" s="75" t="n"/>
      <c r="AE1917" s="75" t="n"/>
      <c r="AF1917" s="75" t="n"/>
    </row>
    <row r="1918" ht="15.75" customHeight="1" s="133">
      <c r="A1918" s="75" t="n"/>
      <c r="B1918" s="75" t="n"/>
      <c r="C1918" s="75" t="n"/>
      <c r="D1918" s="75" t="n"/>
      <c r="E1918" s="76" t="n"/>
      <c r="F1918" s="77" t="n"/>
      <c r="G1918" s="75" t="n"/>
      <c r="H1918" s="75">
        <f>IF(ISBLANK(E1918),"",IF(OR(D1918="Butterfly",D1918="Butterfly ",D1918="Iron Fly", D1918="Iron Fly "),LEN(E1918)-LEN(SUBSTITUTE(E1918,"/",""))+2,LEN(E1918)-LEN(SUBSTITUTE(E1918,"/",""))+1))</f>
        <v/>
      </c>
      <c r="I1918" s="78">
        <f>IF(ISBLANK(G1918),"",IF(D1918="Stock","0",Key!$A$3*H1918*G1918))</f>
        <v/>
      </c>
      <c r="J1918" s="78">
        <f>IF(ISBLANK(E1918),"",IF(ISNUMBER(SEARCH("/",E1918)), IF(LEN(E1918)-LEN(SUBSTITUTE(E1918,"/",""))=1,(RIGHT(E1918,LEN(E1918)-FIND("/",E1918)))-(LEFT(E1918,FIND("/",E1918)-1)),(MID(E1918, SEARCH("/",E1918) + 1, SEARCH("/",E1918, SEARCH("/",E1918)+1) - SEARCH("/",E1918) - 1))-(LEFT(E1918,FIND("/",E1918)-1))), "NA"))</f>
        <v/>
      </c>
      <c r="K1918" s="79">
        <f>IF(A1918&lt;&gt;"", IF(ISBLANK(L1918), TODAY(), K1918), "")</f>
        <v/>
      </c>
      <c r="L1918" s="78" t="n"/>
      <c r="M1918" s="78">
        <f>IF(ISBLANK(L1918),"",IF(D1918="Stock",IF(C1918="Buy",L1918*G1918,IF(C1918="Sell",(L1918*G1918)-I1918, X)),IF(C1918="Buy",(L1918*G1918*100)+I1918,IF(C1918="Sell",(L1918*G1918*100)-I1918, X))))</f>
        <v/>
      </c>
      <c r="N1918" s="78">
        <f>IF(ISBLANK(L1918),"",IF(AND(C1918="Sell",D1918="Stock"),M1918,IF(ISBLANK(L1918),"",IF(C1918="Buy",M1918, IF(AND(C1918="Sell",J1918="NA"),(E1918*G1918*100*0.1)+I1918, IF(C1918="Sell",(J1918-L1918)*(100*G1918)+I1918))))))</f>
        <v/>
      </c>
      <c r="O1918" s="75" t="n"/>
      <c r="P1918" s="75" t="n"/>
      <c r="Q1918" s="75">
        <f>IF(ISBLANK(P1918),"",IF(D1918="Stock",P1918*G1918,IF(P1918=0,"0",G1918*P1918*100-(G1918*$AF$14))))</f>
        <v/>
      </c>
      <c r="R1918" s="79">
        <f>IF(P1918&lt;&gt;"", TODAY(), "")</f>
        <v/>
      </c>
      <c r="S1918" s="78">
        <f>IF(AND(K1918&lt;&gt;"", R1918&lt;&gt;""), R1918-K1918, "")</f>
        <v/>
      </c>
      <c r="T1918" s="78" t="n"/>
      <c r="U1918" s="92">
        <f>IF(ISBLANK(P1918),"",IF(C1918="Buy",Q1918-M1918+T1918, IF(C1918="Sell",M1918-Q1918-T1918, X)))</f>
        <v/>
      </c>
      <c r="V1918" s="81">
        <f>IF(ISBLANK(P1918),"",U1918/N1918)</f>
        <v/>
      </c>
      <c r="W1918" s="81">
        <f>IF(ISBLANK(P1918),"",IF(S1918=0,(365/0.5)*V1918,(365/S1918)*V1918))</f>
        <v/>
      </c>
      <c r="X1918" s="75" t="n"/>
      <c r="Y1918" s="77" t="n"/>
      <c r="Z1918" s="77" t="n"/>
      <c r="AA1918" s="75" t="n"/>
      <c r="AB1918" s="75" t="n"/>
      <c r="AC1918" s="6" t="n"/>
      <c r="AD1918" s="75" t="n"/>
      <c r="AE1918" s="75" t="n"/>
      <c r="AF1918" s="75" t="n"/>
    </row>
    <row r="1919" ht="15.75" customHeight="1" s="133">
      <c r="A1919" s="75" t="n"/>
      <c r="B1919" s="75" t="n"/>
      <c r="C1919" s="75" t="n"/>
      <c r="D1919" s="75" t="n"/>
      <c r="E1919" s="76" t="n"/>
      <c r="F1919" s="77" t="n"/>
      <c r="G1919" s="75" t="n"/>
      <c r="H1919" s="75">
        <f>IF(ISBLANK(E1919),"",IF(OR(D1919="Butterfly",D1919="Butterfly ",D1919="Iron Fly", D1919="Iron Fly "),LEN(E1919)-LEN(SUBSTITUTE(E1919,"/",""))+2,LEN(E1919)-LEN(SUBSTITUTE(E1919,"/",""))+1))</f>
        <v/>
      </c>
      <c r="I1919" s="78">
        <f>IF(ISBLANK(G1919),"",IF(D1919="Stock","0",Key!$A$3*H1919*G1919))</f>
        <v/>
      </c>
      <c r="J1919" s="78">
        <f>IF(ISBLANK(E1919),"",IF(ISNUMBER(SEARCH("/",E1919)), IF(LEN(E1919)-LEN(SUBSTITUTE(E1919,"/",""))=1,(RIGHT(E1919,LEN(E1919)-FIND("/",E1919)))-(LEFT(E1919,FIND("/",E1919)-1)),(MID(E1919, SEARCH("/",E1919) + 1, SEARCH("/",E1919, SEARCH("/",E1919)+1) - SEARCH("/",E1919) - 1))-(LEFT(E1919,FIND("/",E1919)-1))), "NA"))</f>
        <v/>
      </c>
      <c r="K1919" s="79">
        <f>IF(A1919&lt;&gt;"", IF(ISBLANK(L1919), TODAY(), K1919), "")</f>
        <v/>
      </c>
      <c r="L1919" s="78" t="n"/>
      <c r="M1919" s="78">
        <f>IF(ISBLANK(L1919),"",IF(D1919="Stock",IF(C1919="Buy",L1919*G1919,IF(C1919="Sell",(L1919*G1919)-I1919, X)),IF(C1919="Buy",(L1919*G1919*100)+I1919,IF(C1919="Sell",(L1919*G1919*100)-I1919, X))))</f>
        <v/>
      </c>
      <c r="N1919" s="78">
        <f>IF(ISBLANK(L1919),"",IF(AND(C1919="Sell",D1919="Stock"),M1919,IF(ISBLANK(L1919),"",IF(C1919="Buy",M1919, IF(AND(C1919="Sell",J1919="NA"),(E1919*G1919*100*0.1)+I1919, IF(C1919="Sell",(J1919-L1919)*(100*G1919)+I1919))))))</f>
        <v/>
      </c>
      <c r="O1919" s="75" t="n"/>
      <c r="P1919" s="75" t="n"/>
      <c r="Q1919" s="75">
        <f>IF(ISBLANK(P1919),"",IF(D1919="Stock",P1919*G1919,IF(P1919=0,"0",G1919*P1919*100-(G1919*$AF$14))))</f>
        <v/>
      </c>
      <c r="R1919" s="79">
        <f>IF(P1919&lt;&gt;"", TODAY(), "")</f>
        <v/>
      </c>
      <c r="S1919" s="78">
        <f>IF(AND(K1919&lt;&gt;"", R1919&lt;&gt;""), R1919-K1919, "")</f>
        <v/>
      </c>
      <c r="T1919" s="78" t="n"/>
      <c r="U1919" s="92">
        <f>IF(ISBLANK(P1919),"",IF(C1919="Buy",Q1919-M1919+T1919, IF(C1919="Sell",M1919-Q1919-T1919, X)))</f>
        <v/>
      </c>
      <c r="V1919" s="81">
        <f>IF(ISBLANK(P1919),"",U1919/N1919)</f>
        <v/>
      </c>
      <c r="W1919" s="81">
        <f>IF(ISBLANK(P1919),"",IF(S1919=0,(365/0.5)*V1919,(365/S1919)*V1919))</f>
        <v/>
      </c>
      <c r="X1919" s="75" t="n"/>
      <c r="Y1919" s="77" t="n"/>
      <c r="Z1919" s="77" t="n"/>
      <c r="AA1919" s="75" t="n"/>
      <c r="AB1919" s="75" t="n"/>
      <c r="AC1919" s="6" t="n"/>
      <c r="AD1919" s="75" t="n"/>
      <c r="AE1919" s="75" t="n"/>
      <c r="AF1919" s="75" t="n"/>
    </row>
    <row r="1920" ht="15.75" customHeight="1" s="133">
      <c r="A1920" s="75" t="n"/>
      <c r="B1920" s="75" t="n"/>
      <c r="C1920" s="75" t="n"/>
      <c r="D1920" s="75" t="n"/>
      <c r="E1920" s="76" t="n"/>
      <c r="F1920" s="77" t="n"/>
      <c r="G1920" s="75" t="n"/>
      <c r="H1920" s="75">
        <f>IF(ISBLANK(E1920),"",IF(OR(D1920="Butterfly",D1920="Butterfly ",D1920="Iron Fly", D1920="Iron Fly "),LEN(E1920)-LEN(SUBSTITUTE(E1920,"/",""))+2,LEN(E1920)-LEN(SUBSTITUTE(E1920,"/",""))+1))</f>
        <v/>
      </c>
      <c r="I1920" s="78">
        <f>IF(ISBLANK(G1920),"",IF(D1920="Stock","0",Key!$A$3*H1920*G1920))</f>
        <v/>
      </c>
      <c r="J1920" s="78">
        <f>IF(ISBLANK(E1920),"",IF(ISNUMBER(SEARCH("/",E1920)), IF(LEN(E1920)-LEN(SUBSTITUTE(E1920,"/",""))=1,(RIGHT(E1920,LEN(E1920)-FIND("/",E1920)))-(LEFT(E1920,FIND("/",E1920)-1)),(MID(E1920, SEARCH("/",E1920) + 1, SEARCH("/",E1920, SEARCH("/",E1920)+1) - SEARCH("/",E1920) - 1))-(LEFT(E1920,FIND("/",E1920)-1))), "NA"))</f>
        <v/>
      </c>
      <c r="K1920" s="79">
        <f>IF(A1920&lt;&gt;"", IF(ISBLANK(L1920), TODAY(), K1920), "")</f>
        <v/>
      </c>
      <c r="L1920" s="78" t="n"/>
      <c r="M1920" s="78">
        <f>IF(ISBLANK(L1920),"",IF(D1920="Stock",IF(C1920="Buy",L1920*G1920,IF(C1920="Sell",(L1920*G1920)-I1920, X)),IF(C1920="Buy",(L1920*G1920*100)+I1920,IF(C1920="Sell",(L1920*G1920*100)-I1920, X))))</f>
        <v/>
      </c>
      <c r="N1920" s="78">
        <f>IF(ISBLANK(L1920),"",IF(AND(C1920="Sell",D1920="Stock"),M1920,IF(ISBLANK(L1920),"",IF(C1920="Buy",M1920, IF(AND(C1920="Sell",J1920="NA"),(E1920*G1920*100*0.1)+I1920, IF(C1920="Sell",(J1920-L1920)*(100*G1920)+I1920))))))</f>
        <v/>
      </c>
      <c r="O1920" s="75" t="n"/>
      <c r="P1920" s="75" t="n"/>
      <c r="Q1920" s="75">
        <f>IF(ISBLANK(P1920),"",IF(D1920="Stock",P1920*G1920,IF(P1920=0,"0",G1920*P1920*100-(G1920*$AF$14))))</f>
        <v/>
      </c>
      <c r="R1920" s="79">
        <f>IF(P1920&lt;&gt;"", TODAY(), "")</f>
        <v/>
      </c>
      <c r="S1920" s="78">
        <f>IF(AND(K1920&lt;&gt;"", R1920&lt;&gt;""), R1920-K1920, "")</f>
        <v/>
      </c>
      <c r="T1920" s="78" t="n"/>
      <c r="U1920" s="92">
        <f>IF(ISBLANK(P1920),"",IF(C1920="Buy",Q1920-M1920+T1920, IF(C1920="Sell",M1920-Q1920-T1920, X)))</f>
        <v/>
      </c>
      <c r="V1920" s="81">
        <f>IF(ISBLANK(P1920),"",U1920/N1920)</f>
        <v/>
      </c>
      <c r="W1920" s="81">
        <f>IF(ISBLANK(P1920),"",IF(S1920=0,(365/0.5)*V1920,(365/S1920)*V1920))</f>
        <v/>
      </c>
      <c r="X1920" s="75" t="n"/>
      <c r="Y1920" s="77" t="n"/>
      <c r="Z1920" s="77" t="n"/>
      <c r="AA1920" s="75" t="n"/>
      <c r="AB1920" s="75" t="n"/>
      <c r="AC1920" s="6" t="n"/>
      <c r="AD1920" s="75" t="n"/>
      <c r="AE1920" s="75" t="n"/>
      <c r="AF1920" s="75" t="n"/>
    </row>
    <row r="1921" ht="15.75" customHeight="1" s="133">
      <c r="A1921" s="75" t="n"/>
      <c r="B1921" s="75" t="n"/>
      <c r="C1921" s="75" t="n"/>
      <c r="D1921" s="75" t="n"/>
      <c r="E1921" s="76" t="n"/>
      <c r="F1921" s="77" t="n"/>
      <c r="G1921" s="75" t="n"/>
      <c r="H1921" s="75">
        <f>IF(ISBLANK(E1921),"",IF(OR(D1921="Butterfly",D1921="Butterfly ",D1921="Iron Fly", D1921="Iron Fly "),LEN(E1921)-LEN(SUBSTITUTE(E1921,"/",""))+2,LEN(E1921)-LEN(SUBSTITUTE(E1921,"/",""))+1))</f>
        <v/>
      </c>
      <c r="I1921" s="78">
        <f>IF(ISBLANK(G1921),"",IF(D1921="Stock","0",Key!$A$3*H1921*G1921))</f>
        <v/>
      </c>
      <c r="J1921" s="78">
        <f>IF(ISBLANK(E1921),"",IF(ISNUMBER(SEARCH("/",E1921)), IF(LEN(E1921)-LEN(SUBSTITUTE(E1921,"/",""))=1,(RIGHT(E1921,LEN(E1921)-FIND("/",E1921)))-(LEFT(E1921,FIND("/",E1921)-1)),(MID(E1921, SEARCH("/",E1921) + 1, SEARCH("/",E1921, SEARCH("/",E1921)+1) - SEARCH("/",E1921) - 1))-(LEFT(E1921,FIND("/",E1921)-1))), "NA"))</f>
        <v/>
      </c>
      <c r="K1921" s="79">
        <f>IF(A1921&lt;&gt;"", IF(ISBLANK(L1921), TODAY(), K1921), "")</f>
        <v/>
      </c>
      <c r="L1921" s="78" t="n"/>
      <c r="M1921" s="78">
        <f>IF(ISBLANK(L1921),"",IF(D1921="Stock",IF(C1921="Buy",L1921*G1921,IF(C1921="Sell",(L1921*G1921)-I1921, X)),IF(C1921="Buy",(L1921*G1921*100)+I1921,IF(C1921="Sell",(L1921*G1921*100)-I1921, X))))</f>
        <v/>
      </c>
      <c r="N1921" s="78">
        <f>IF(ISBLANK(L1921),"",IF(AND(C1921="Sell",D1921="Stock"),M1921,IF(ISBLANK(L1921),"",IF(C1921="Buy",M1921, IF(AND(C1921="Sell",J1921="NA"),(E1921*G1921*100*0.1)+I1921, IF(C1921="Sell",(J1921-L1921)*(100*G1921)+I1921))))))</f>
        <v/>
      </c>
      <c r="O1921" s="75" t="n"/>
      <c r="P1921" s="75" t="n"/>
      <c r="Q1921" s="75">
        <f>IF(ISBLANK(P1921),"",IF(D1921="Stock",P1921*G1921,IF(P1921=0,"0",G1921*P1921*100-(G1921*$AF$14))))</f>
        <v/>
      </c>
      <c r="R1921" s="79">
        <f>IF(P1921&lt;&gt;"", TODAY(), "")</f>
        <v/>
      </c>
      <c r="S1921" s="78">
        <f>IF(AND(K1921&lt;&gt;"", R1921&lt;&gt;""), R1921-K1921, "")</f>
        <v/>
      </c>
      <c r="T1921" s="78" t="n"/>
      <c r="U1921" s="92">
        <f>IF(ISBLANK(P1921),"",IF(C1921="Buy",Q1921-M1921+T1921, IF(C1921="Sell",M1921-Q1921-T1921, X)))</f>
        <v/>
      </c>
      <c r="V1921" s="81">
        <f>IF(ISBLANK(P1921),"",U1921/N1921)</f>
        <v/>
      </c>
      <c r="W1921" s="81">
        <f>IF(ISBLANK(P1921),"",IF(S1921=0,(365/0.5)*V1921,(365/S1921)*V1921))</f>
        <v/>
      </c>
      <c r="X1921" s="75" t="n"/>
      <c r="Y1921" s="77" t="n"/>
      <c r="Z1921" s="77" t="n"/>
      <c r="AA1921" s="75" t="n"/>
      <c r="AB1921" s="75" t="n"/>
      <c r="AC1921" s="6" t="n"/>
      <c r="AD1921" s="75" t="n"/>
      <c r="AE1921" s="75" t="n"/>
      <c r="AF1921" s="75" t="n"/>
    </row>
    <row r="1922" ht="15.75" customHeight="1" s="133">
      <c r="A1922" s="75" t="n"/>
      <c r="B1922" s="75" t="n"/>
      <c r="C1922" s="75" t="n"/>
      <c r="D1922" s="75" t="n"/>
      <c r="E1922" s="76" t="n"/>
      <c r="F1922" s="77" t="n"/>
      <c r="G1922" s="75" t="n"/>
      <c r="H1922" s="75">
        <f>IF(ISBLANK(E1922),"",IF(OR(D1922="Butterfly",D1922="Butterfly ",D1922="Iron Fly", D1922="Iron Fly "),LEN(E1922)-LEN(SUBSTITUTE(E1922,"/",""))+2,LEN(E1922)-LEN(SUBSTITUTE(E1922,"/",""))+1))</f>
        <v/>
      </c>
      <c r="I1922" s="78">
        <f>IF(ISBLANK(G1922),"",IF(D1922="Stock","0",Key!$A$3*H1922*G1922))</f>
        <v/>
      </c>
      <c r="J1922" s="78">
        <f>IF(ISBLANK(E1922),"",IF(ISNUMBER(SEARCH("/",E1922)), IF(LEN(E1922)-LEN(SUBSTITUTE(E1922,"/",""))=1,(RIGHT(E1922,LEN(E1922)-FIND("/",E1922)))-(LEFT(E1922,FIND("/",E1922)-1)),(MID(E1922, SEARCH("/",E1922) + 1, SEARCH("/",E1922, SEARCH("/",E1922)+1) - SEARCH("/",E1922) - 1))-(LEFT(E1922,FIND("/",E1922)-1))), "NA"))</f>
        <v/>
      </c>
      <c r="K1922" s="79">
        <f>IF(A1922&lt;&gt;"", IF(ISBLANK(L1922), TODAY(), K1922), "")</f>
        <v/>
      </c>
      <c r="L1922" s="78" t="n"/>
      <c r="M1922" s="78">
        <f>IF(ISBLANK(L1922),"",IF(D1922="Stock",IF(C1922="Buy",L1922*G1922,IF(C1922="Sell",(L1922*G1922)-I1922, X)),IF(C1922="Buy",(L1922*G1922*100)+I1922,IF(C1922="Sell",(L1922*G1922*100)-I1922, X))))</f>
        <v/>
      </c>
      <c r="N1922" s="78">
        <f>IF(ISBLANK(L1922),"",IF(AND(C1922="Sell",D1922="Stock"),M1922,IF(ISBLANK(L1922),"",IF(C1922="Buy",M1922, IF(AND(C1922="Sell",J1922="NA"),(E1922*G1922*100*0.1)+I1922, IF(C1922="Sell",(J1922-L1922)*(100*G1922)+I1922))))))</f>
        <v/>
      </c>
      <c r="O1922" s="75" t="n"/>
      <c r="P1922" s="75" t="n"/>
      <c r="Q1922" s="75">
        <f>IF(ISBLANK(P1922),"",IF(D1922="Stock",P1922*G1922,IF(P1922=0,"0",G1922*P1922*100-(G1922*$AF$14))))</f>
        <v/>
      </c>
      <c r="R1922" s="79">
        <f>IF(P1922&lt;&gt;"", TODAY(), "")</f>
        <v/>
      </c>
      <c r="S1922" s="78">
        <f>IF(AND(K1922&lt;&gt;"", R1922&lt;&gt;""), R1922-K1922, "")</f>
        <v/>
      </c>
      <c r="T1922" s="78" t="n"/>
      <c r="U1922" s="92">
        <f>IF(ISBLANK(P1922),"",IF(C1922="Buy",Q1922-M1922+T1922, IF(C1922="Sell",M1922-Q1922-T1922, X)))</f>
        <v/>
      </c>
      <c r="V1922" s="81">
        <f>IF(ISBLANK(P1922),"",U1922/N1922)</f>
        <v/>
      </c>
      <c r="W1922" s="81">
        <f>IF(ISBLANK(P1922),"",IF(S1922=0,(365/0.5)*V1922,(365/S1922)*V1922))</f>
        <v/>
      </c>
      <c r="X1922" s="75" t="n"/>
      <c r="Y1922" s="77" t="n"/>
      <c r="Z1922" s="77" t="n"/>
      <c r="AA1922" s="75" t="n"/>
      <c r="AB1922" s="75" t="n"/>
      <c r="AC1922" s="6" t="n"/>
      <c r="AD1922" s="75" t="n"/>
      <c r="AE1922" s="75" t="n"/>
      <c r="AF1922" s="75" t="n"/>
    </row>
    <row r="1923" ht="15.75" customHeight="1" s="133">
      <c r="A1923" s="75" t="n"/>
      <c r="B1923" s="75" t="n"/>
      <c r="C1923" s="75" t="n"/>
      <c r="D1923" s="75" t="n"/>
      <c r="E1923" s="76" t="n"/>
      <c r="F1923" s="77" t="n"/>
      <c r="G1923" s="75" t="n"/>
      <c r="H1923" s="75">
        <f>IF(ISBLANK(E1923),"",IF(OR(D1923="Butterfly",D1923="Butterfly ",D1923="Iron Fly", D1923="Iron Fly "),LEN(E1923)-LEN(SUBSTITUTE(E1923,"/",""))+2,LEN(E1923)-LEN(SUBSTITUTE(E1923,"/",""))+1))</f>
        <v/>
      </c>
      <c r="I1923" s="78">
        <f>IF(ISBLANK(G1923),"",IF(D1923="Stock","0",Key!$A$3*H1923*G1923))</f>
        <v/>
      </c>
      <c r="J1923" s="78">
        <f>IF(ISBLANK(E1923),"",IF(ISNUMBER(SEARCH("/",E1923)), IF(LEN(E1923)-LEN(SUBSTITUTE(E1923,"/",""))=1,(RIGHT(E1923,LEN(E1923)-FIND("/",E1923)))-(LEFT(E1923,FIND("/",E1923)-1)),(MID(E1923, SEARCH("/",E1923) + 1, SEARCH("/",E1923, SEARCH("/",E1923)+1) - SEARCH("/",E1923) - 1))-(LEFT(E1923,FIND("/",E1923)-1))), "NA"))</f>
        <v/>
      </c>
      <c r="K1923" s="79">
        <f>IF(A1923&lt;&gt;"", IF(ISBLANK(L1923), TODAY(), K1923), "")</f>
        <v/>
      </c>
      <c r="L1923" s="78" t="n"/>
      <c r="M1923" s="78">
        <f>IF(ISBLANK(L1923),"",IF(D1923="Stock",IF(C1923="Buy",L1923*G1923,IF(C1923="Sell",(L1923*G1923)-I1923, X)),IF(C1923="Buy",(L1923*G1923*100)+I1923,IF(C1923="Sell",(L1923*G1923*100)-I1923, X))))</f>
        <v/>
      </c>
      <c r="N1923" s="78">
        <f>IF(ISBLANK(L1923),"",IF(AND(C1923="Sell",D1923="Stock"),M1923,IF(ISBLANK(L1923),"",IF(C1923="Buy",M1923, IF(AND(C1923="Sell",J1923="NA"),(E1923*G1923*100*0.1)+I1923, IF(C1923="Sell",(J1923-L1923)*(100*G1923)+I1923))))))</f>
        <v/>
      </c>
      <c r="O1923" s="75" t="n"/>
      <c r="P1923" s="75" t="n"/>
      <c r="Q1923" s="75">
        <f>IF(ISBLANK(P1923),"",IF(D1923="Stock",P1923*G1923,IF(P1923=0,"0",G1923*P1923*100-(G1923*$AF$14))))</f>
        <v/>
      </c>
      <c r="R1923" s="79">
        <f>IF(P1923&lt;&gt;"", TODAY(), "")</f>
        <v/>
      </c>
      <c r="S1923" s="78">
        <f>IF(AND(K1923&lt;&gt;"", R1923&lt;&gt;""), R1923-K1923, "")</f>
        <v/>
      </c>
      <c r="T1923" s="78" t="n"/>
      <c r="U1923" s="92">
        <f>IF(ISBLANK(P1923),"",IF(C1923="Buy",Q1923-M1923+T1923, IF(C1923="Sell",M1923-Q1923-T1923, X)))</f>
        <v/>
      </c>
      <c r="V1923" s="81">
        <f>IF(ISBLANK(P1923),"",U1923/N1923)</f>
        <v/>
      </c>
      <c r="W1923" s="81">
        <f>IF(ISBLANK(P1923),"",IF(S1923=0,(365/0.5)*V1923,(365/S1923)*V1923))</f>
        <v/>
      </c>
      <c r="X1923" s="75" t="n"/>
      <c r="Y1923" s="77" t="n"/>
      <c r="Z1923" s="77" t="n"/>
      <c r="AA1923" s="75" t="n"/>
      <c r="AB1923" s="75" t="n"/>
      <c r="AC1923" s="6" t="n"/>
      <c r="AD1923" s="75" t="n"/>
      <c r="AE1923" s="75" t="n"/>
      <c r="AF1923" s="75" t="n"/>
    </row>
    <row r="1924" ht="15.75" customHeight="1" s="133">
      <c r="A1924" s="75" t="n"/>
      <c r="B1924" s="75" t="n"/>
      <c r="C1924" s="75" t="n"/>
      <c r="D1924" s="75" t="n"/>
      <c r="E1924" s="76" t="n"/>
      <c r="F1924" s="77" t="n"/>
      <c r="G1924" s="75" t="n"/>
      <c r="H1924" s="75">
        <f>IF(ISBLANK(E1924),"",IF(OR(D1924="Butterfly",D1924="Butterfly ",D1924="Iron Fly", D1924="Iron Fly "),LEN(E1924)-LEN(SUBSTITUTE(E1924,"/",""))+2,LEN(E1924)-LEN(SUBSTITUTE(E1924,"/",""))+1))</f>
        <v/>
      </c>
      <c r="I1924" s="78">
        <f>IF(ISBLANK(G1924),"",IF(D1924="Stock","0",Key!$A$3*H1924*G1924))</f>
        <v/>
      </c>
      <c r="J1924" s="78">
        <f>IF(ISBLANK(E1924),"",IF(ISNUMBER(SEARCH("/",E1924)), IF(LEN(E1924)-LEN(SUBSTITUTE(E1924,"/",""))=1,(RIGHT(E1924,LEN(E1924)-FIND("/",E1924)))-(LEFT(E1924,FIND("/",E1924)-1)),(MID(E1924, SEARCH("/",E1924) + 1, SEARCH("/",E1924, SEARCH("/",E1924)+1) - SEARCH("/",E1924) - 1))-(LEFT(E1924,FIND("/",E1924)-1))), "NA"))</f>
        <v/>
      </c>
      <c r="K1924" s="79">
        <f>IF(A1924&lt;&gt;"", IF(ISBLANK(L1924), TODAY(), K1924), "")</f>
        <v/>
      </c>
      <c r="L1924" s="78" t="n"/>
      <c r="M1924" s="78">
        <f>IF(ISBLANK(L1924),"",IF(D1924="Stock",IF(C1924="Buy",L1924*G1924,IF(C1924="Sell",(L1924*G1924)-I1924, X)),IF(C1924="Buy",(L1924*G1924*100)+I1924,IF(C1924="Sell",(L1924*G1924*100)-I1924, X))))</f>
        <v/>
      </c>
      <c r="N1924" s="78">
        <f>IF(ISBLANK(L1924),"",IF(AND(C1924="Sell",D1924="Stock"),M1924,IF(ISBLANK(L1924),"",IF(C1924="Buy",M1924, IF(AND(C1924="Sell",J1924="NA"),(E1924*G1924*100*0.1)+I1924, IF(C1924="Sell",(J1924-L1924)*(100*G1924)+I1924))))))</f>
        <v/>
      </c>
      <c r="O1924" s="75" t="n"/>
      <c r="P1924" s="75" t="n"/>
      <c r="Q1924" s="75">
        <f>IF(ISBLANK(P1924),"",IF(D1924="Stock",P1924*G1924,IF(P1924=0,"0",G1924*P1924*100-(G1924*$AF$14))))</f>
        <v/>
      </c>
      <c r="R1924" s="79">
        <f>IF(P1924&lt;&gt;"", TODAY(), "")</f>
        <v/>
      </c>
      <c r="S1924" s="78">
        <f>IF(AND(K1924&lt;&gt;"", R1924&lt;&gt;""), R1924-K1924, "")</f>
        <v/>
      </c>
      <c r="T1924" s="78" t="n"/>
      <c r="U1924" s="92">
        <f>IF(ISBLANK(P1924),"",IF(C1924="Buy",Q1924-M1924+T1924, IF(C1924="Sell",M1924-Q1924-T1924, X)))</f>
        <v/>
      </c>
      <c r="V1924" s="81">
        <f>IF(ISBLANK(P1924),"",U1924/N1924)</f>
        <v/>
      </c>
      <c r="W1924" s="81">
        <f>IF(ISBLANK(P1924),"",IF(S1924=0,(365/0.5)*V1924,(365/S1924)*V1924))</f>
        <v/>
      </c>
      <c r="X1924" s="75" t="n"/>
      <c r="Y1924" s="77" t="n"/>
      <c r="Z1924" s="77" t="n"/>
      <c r="AA1924" s="75" t="n"/>
      <c r="AB1924" s="75" t="n"/>
      <c r="AC1924" s="6" t="n"/>
      <c r="AD1924" s="75" t="n"/>
      <c r="AE1924" s="75" t="n"/>
      <c r="AF1924" s="75" t="n"/>
    </row>
    <row r="1925" ht="15.75" customHeight="1" s="133">
      <c r="A1925" s="75" t="n"/>
      <c r="B1925" s="75" t="n"/>
      <c r="C1925" s="75" t="n"/>
      <c r="D1925" s="75" t="n"/>
      <c r="E1925" s="76" t="n"/>
      <c r="F1925" s="77" t="n"/>
      <c r="G1925" s="75" t="n"/>
      <c r="H1925" s="75">
        <f>IF(ISBLANK(E1925),"",IF(OR(D1925="Butterfly",D1925="Butterfly ",D1925="Iron Fly", D1925="Iron Fly "),LEN(E1925)-LEN(SUBSTITUTE(E1925,"/",""))+2,LEN(E1925)-LEN(SUBSTITUTE(E1925,"/",""))+1))</f>
        <v/>
      </c>
      <c r="I1925" s="78">
        <f>IF(ISBLANK(G1925),"",IF(D1925="Stock","0",Key!$A$3*H1925*G1925))</f>
        <v/>
      </c>
      <c r="J1925" s="78">
        <f>IF(ISBLANK(E1925),"",IF(ISNUMBER(SEARCH("/",E1925)), IF(LEN(E1925)-LEN(SUBSTITUTE(E1925,"/",""))=1,(RIGHT(E1925,LEN(E1925)-FIND("/",E1925)))-(LEFT(E1925,FIND("/",E1925)-1)),(MID(E1925, SEARCH("/",E1925) + 1, SEARCH("/",E1925, SEARCH("/",E1925)+1) - SEARCH("/",E1925) - 1))-(LEFT(E1925,FIND("/",E1925)-1))), "NA"))</f>
        <v/>
      </c>
      <c r="K1925" s="79">
        <f>IF(A1925&lt;&gt;"", IF(ISBLANK(L1925), TODAY(), K1925), "")</f>
        <v/>
      </c>
      <c r="L1925" s="78" t="n"/>
      <c r="M1925" s="78">
        <f>IF(ISBLANK(L1925),"",IF(D1925="Stock",IF(C1925="Buy",L1925*G1925,IF(C1925="Sell",(L1925*G1925)-I1925, X)),IF(C1925="Buy",(L1925*G1925*100)+I1925,IF(C1925="Sell",(L1925*G1925*100)-I1925, X))))</f>
        <v/>
      </c>
      <c r="N1925" s="78">
        <f>IF(ISBLANK(L1925),"",IF(AND(C1925="Sell",D1925="Stock"),M1925,IF(ISBLANK(L1925),"",IF(C1925="Buy",M1925, IF(AND(C1925="Sell",J1925="NA"),(E1925*G1925*100*0.1)+I1925, IF(C1925="Sell",(J1925-L1925)*(100*G1925)+I1925))))))</f>
        <v/>
      </c>
      <c r="O1925" s="75" t="n"/>
      <c r="P1925" s="75" t="n"/>
      <c r="Q1925" s="75">
        <f>IF(ISBLANK(P1925),"",IF(D1925="Stock",P1925*G1925,IF(P1925=0,"0",G1925*P1925*100-(G1925*$AF$14))))</f>
        <v/>
      </c>
      <c r="R1925" s="79">
        <f>IF(P1925&lt;&gt;"", TODAY(), "")</f>
        <v/>
      </c>
      <c r="S1925" s="78">
        <f>IF(AND(K1925&lt;&gt;"", R1925&lt;&gt;""), R1925-K1925, "")</f>
        <v/>
      </c>
      <c r="T1925" s="78" t="n"/>
      <c r="U1925" s="92">
        <f>IF(ISBLANK(P1925),"",IF(C1925="Buy",Q1925-M1925+T1925, IF(C1925="Sell",M1925-Q1925-T1925, X)))</f>
        <v/>
      </c>
      <c r="V1925" s="81">
        <f>IF(ISBLANK(P1925),"",U1925/N1925)</f>
        <v/>
      </c>
      <c r="W1925" s="81">
        <f>IF(ISBLANK(P1925),"",IF(S1925=0,(365/0.5)*V1925,(365/S1925)*V1925))</f>
        <v/>
      </c>
      <c r="X1925" s="75" t="n"/>
      <c r="Y1925" s="77" t="n"/>
      <c r="Z1925" s="77" t="n"/>
      <c r="AA1925" s="75" t="n"/>
      <c r="AB1925" s="75" t="n"/>
      <c r="AC1925" s="6" t="n"/>
      <c r="AD1925" s="75" t="n"/>
      <c r="AE1925" s="75" t="n"/>
      <c r="AF1925" s="75" t="n"/>
    </row>
    <row r="1926" ht="15.75" customHeight="1" s="133">
      <c r="A1926" s="75" t="n"/>
      <c r="B1926" s="75" t="n"/>
      <c r="C1926" s="75" t="n"/>
      <c r="D1926" s="75" t="n"/>
      <c r="E1926" s="76" t="n"/>
      <c r="F1926" s="77" t="n"/>
      <c r="G1926" s="75" t="n"/>
      <c r="H1926" s="75">
        <f>IF(ISBLANK(E1926),"",IF(OR(D1926="Butterfly",D1926="Butterfly ",D1926="Iron Fly", D1926="Iron Fly "),LEN(E1926)-LEN(SUBSTITUTE(E1926,"/",""))+2,LEN(E1926)-LEN(SUBSTITUTE(E1926,"/",""))+1))</f>
        <v/>
      </c>
      <c r="I1926" s="78">
        <f>IF(ISBLANK(G1926),"",IF(D1926="Stock","0",Key!$A$3*H1926*G1926))</f>
        <v/>
      </c>
      <c r="J1926" s="78">
        <f>IF(ISBLANK(E1926),"",IF(ISNUMBER(SEARCH("/",E1926)), IF(LEN(E1926)-LEN(SUBSTITUTE(E1926,"/",""))=1,(RIGHT(E1926,LEN(E1926)-FIND("/",E1926)))-(LEFT(E1926,FIND("/",E1926)-1)),(MID(E1926, SEARCH("/",E1926) + 1, SEARCH("/",E1926, SEARCH("/",E1926)+1) - SEARCH("/",E1926) - 1))-(LEFT(E1926,FIND("/",E1926)-1))), "NA"))</f>
        <v/>
      </c>
      <c r="K1926" s="79">
        <f>IF(A1926&lt;&gt;"", IF(ISBLANK(L1926), TODAY(), K1926), "")</f>
        <v/>
      </c>
      <c r="L1926" s="78" t="n"/>
      <c r="M1926" s="78">
        <f>IF(ISBLANK(L1926),"",IF(D1926="Stock",IF(C1926="Buy",L1926*G1926,IF(C1926="Sell",(L1926*G1926)-I1926, X)),IF(C1926="Buy",(L1926*G1926*100)+I1926,IF(C1926="Sell",(L1926*G1926*100)-I1926, X))))</f>
        <v/>
      </c>
      <c r="N1926" s="78">
        <f>IF(ISBLANK(L1926),"",IF(AND(C1926="Sell",D1926="Stock"),M1926,IF(ISBLANK(L1926),"",IF(C1926="Buy",M1926, IF(AND(C1926="Sell",J1926="NA"),(E1926*G1926*100*0.1)+I1926, IF(C1926="Sell",(J1926-L1926)*(100*G1926)+I1926))))))</f>
        <v/>
      </c>
      <c r="O1926" s="75" t="n"/>
      <c r="P1926" s="75" t="n"/>
      <c r="Q1926" s="75">
        <f>IF(ISBLANK(P1926),"",IF(D1926="Stock",P1926*G1926,IF(P1926=0,"0",G1926*P1926*100-(G1926*$AF$14))))</f>
        <v/>
      </c>
      <c r="R1926" s="79">
        <f>IF(P1926&lt;&gt;"", TODAY(), "")</f>
        <v/>
      </c>
      <c r="S1926" s="78">
        <f>IF(AND(K1926&lt;&gt;"", R1926&lt;&gt;""), R1926-K1926, "")</f>
        <v/>
      </c>
      <c r="T1926" s="78" t="n"/>
      <c r="U1926" s="92">
        <f>IF(ISBLANK(P1926),"",IF(C1926="Buy",Q1926-M1926+T1926, IF(C1926="Sell",M1926-Q1926-T1926, X)))</f>
        <v/>
      </c>
      <c r="V1926" s="81">
        <f>IF(ISBLANK(P1926),"",U1926/N1926)</f>
        <v/>
      </c>
      <c r="W1926" s="81">
        <f>IF(ISBLANK(P1926),"",IF(S1926=0,(365/0.5)*V1926,(365/S1926)*V1926))</f>
        <v/>
      </c>
      <c r="X1926" s="75" t="n"/>
      <c r="Y1926" s="77" t="n"/>
      <c r="Z1926" s="77" t="n"/>
      <c r="AA1926" s="75" t="n"/>
      <c r="AB1926" s="75" t="n"/>
      <c r="AC1926" s="6" t="n"/>
      <c r="AD1926" s="75" t="n"/>
      <c r="AE1926" s="75" t="n"/>
      <c r="AF1926" s="75" t="n"/>
    </row>
    <row r="1927" ht="15.75" customHeight="1" s="133">
      <c r="A1927" s="75" t="n"/>
      <c r="B1927" s="75" t="n"/>
      <c r="C1927" s="75" t="n"/>
      <c r="D1927" s="75" t="n"/>
      <c r="E1927" s="76" t="n"/>
      <c r="F1927" s="77" t="n"/>
      <c r="G1927" s="75" t="n"/>
      <c r="H1927" s="75">
        <f>IF(ISBLANK(E1927),"",IF(OR(D1927="Butterfly",D1927="Butterfly ",D1927="Iron Fly", D1927="Iron Fly "),LEN(E1927)-LEN(SUBSTITUTE(E1927,"/",""))+2,LEN(E1927)-LEN(SUBSTITUTE(E1927,"/",""))+1))</f>
        <v/>
      </c>
      <c r="I1927" s="78">
        <f>IF(ISBLANK(G1927),"",IF(D1927="Stock","0",Key!$A$3*H1927*G1927))</f>
        <v/>
      </c>
      <c r="J1927" s="78">
        <f>IF(ISBLANK(E1927),"",IF(ISNUMBER(SEARCH("/",E1927)), IF(LEN(E1927)-LEN(SUBSTITUTE(E1927,"/",""))=1,(RIGHT(E1927,LEN(E1927)-FIND("/",E1927)))-(LEFT(E1927,FIND("/",E1927)-1)),(MID(E1927, SEARCH("/",E1927) + 1, SEARCH("/",E1927, SEARCH("/",E1927)+1) - SEARCH("/",E1927) - 1))-(LEFT(E1927,FIND("/",E1927)-1))), "NA"))</f>
        <v/>
      </c>
      <c r="K1927" s="79">
        <f>IF(A1927&lt;&gt;"", IF(ISBLANK(L1927), TODAY(), K1927), "")</f>
        <v/>
      </c>
      <c r="L1927" s="78" t="n"/>
      <c r="M1927" s="78">
        <f>IF(ISBLANK(L1927),"",IF(D1927="Stock",IF(C1927="Buy",L1927*G1927,IF(C1927="Sell",(L1927*G1927)-I1927, X)),IF(C1927="Buy",(L1927*G1927*100)+I1927,IF(C1927="Sell",(L1927*G1927*100)-I1927, X))))</f>
        <v/>
      </c>
      <c r="N1927" s="78">
        <f>IF(ISBLANK(L1927),"",IF(AND(C1927="Sell",D1927="Stock"),M1927,IF(ISBLANK(L1927),"",IF(C1927="Buy",M1927, IF(AND(C1927="Sell",J1927="NA"),(E1927*G1927*100*0.1)+I1927, IF(C1927="Sell",(J1927-L1927)*(100*G1927)+I1927))))))</f>
        <v/>
      </c>
      <c r="O1927" s="75" t="n"/>
      <c r="P1927" s="75" t="n"/>
      <c r="Q1927" s="75">
        <f>IF(ISBLANK(P1927),"",IF(D1927="Stock",P1927*G1927,IF(P1927=0,"0",G1927*P1927*100-(G1927*$AF$14))))</f>
        <v/>
      </c>
      <c r="R1927" s="79">
        <f>IF(P1927&lt;&gt;"", TODAY(), "")</f>
        <v/>
      </c>
      <c r="S1927" s="78">
        <f>IF(AND(K1927&lt;&gt;"", R1927&lt;&gt;""), R1927-K1927, "")</f>
        <v/>
      </c>
      <c r="T1927" s="78" t="n"/>
      <c r="U1927" s="92">
        <f>IF(ISBLANK(P1927),"",IF(C1927="Buy",Q1927-M1927+T1927, IF(C1927="Sell",M1927-Q1927-T1927, X)))</f>
        <v/>
      </c>
      <c r="V1927" s="81">
        <f>IF(ISBLANK(P1927),"",U1927/N1927)</f>
        <v/>
      </c>
      <c r="W1927" s="81">
        <f>IF(ISBLANK(P1927),"",IF(S1927=0,(365/0.5)*V1927,(365/S1927)*V1927))</f>
        <v/>
      </c>
      <c r="X1927" s="75" t="n"/>
      <c r="Y1927" s="77" t="n"/>
      <c r="Z1927" s="77" t="n"/>
      <c r="AA1927" s="75" t="n"/>
      <c r="AB1927" s="75" t="n"/>
      <c r="AC1927" s="6" t="n"/>
      <c r="AD1927" s="75" t="n"/>
      <c r="AE1927" s="75" t="n"/>
      <c r="AF1927" s="75" t="n"/>
    </row>
    <row r="1928" ht="15.75" customHeight="1" s="133">
      <c r="A1928" s="75" t="n"/>
      <c r="B1928" s="75" t="n"/>
      <c r="C1928" s="75" t="n"/>
      <c r="D1928" s="75" t="n"/>
      <c r="E1928" s="76" t="n"/>
      <c r="F1928" s="77" t="n"/>
      <c r="G1928" s="75" t="n"/>
      <c r="H1928" s="75">
        <f>IF(ISBLANK(E1928),"",IF(OR(D1928="Butterfly",D1928="Butterfly ",D1928="Iron Fly", D1928="Iron Fly "),LEN(E1928)-LEN(SUBSTITUTE(E1928,"/",""))+2,LEN(E1928)-LEN(SUBSTITUTE(E1928,"/",""))+1))</f>
        <v/>
      </c>
      <c r="I1928" s="78">
        <f>IF(ISBLANK(G1928),"",IF(D1928="Stock","0",Key!$A$3*H1928*G1928))</f>
        <v/>
      </c>
      <c r="J1928" s="78">
        <f>IF(ISBLANK(E1928),"",IF(ISNUMBER(SEARCH("/",E1928)), IF(LEN(E1928)-LEN(SUBSTITUTE(E1928,"/",""))=1,(RIGHT(E1928,LEN(E1928)-FIND("/",E1928)))-(LEFT(E1928,FIND("/",E1928)-1)),(MID(E1928, SEARCH("/",E1928) + 1, SEARCH("/",E1928, SEARCH("/",E1928)+1) - SEARCH("/",E1928) - 1))-(LEFT(E1928,FIND("/",E1928)-1))), "NA"))</f>
        <v/>
      </c>
      <c r="K1928" s="79">
        <f>IF(A1928&lt;&gt;"", IF(ISBLANK(L1928), TODAY(), K1928), "")</f>
        <v/>
      </c>
      <c r="L1928" s="78" t="n"/>
      <c r="M1928" s="78">
        <f>IF(ISBLANK(L1928),"",IF(D1928="Stock",IF(C1928="Buy",L1928*G1928,IF(C1928="Sell",(L1928*G1928)-I1928, X)),IF(C1928="Buy",(L1928*G1928*100)+I1928,IF(C1928="Sell",(L1928*G1928*100)-I1928, X))))</f>
        <v/>
      </c>
      <c r="N1928" s="78">
        <f>IF(ISBLANK(L1928),"",IF(AND(C1928="Sell",D1928="Stock"),M1928,IF(ISBLANK(L1928),"",IF(C1928="Buy",M1928, IF(AND(C1928="Sell",J1928="NA"),(E1928*G1928*100*0.1)+I1928, IF(C1928="Sell",(J1928-L1928)*(100*G1928)+I1928))))))</f>
        <v/>
      </c>
      <c r="O1928" s="75" t="n"/>
      <c r="P1928" s="75" t="n"/>
      <c r="Q1928" s="75">
        <f>IF(ISBLANK(P1928),"",IF(D1928="Stock",P1928*G1928,IF(P1928=0,"0",G1928*P1928*100-(G1928*$AF$14))))</f>
        <v/>
      </c>
      <c r="R1928" s="79">
        <f>IF(P1928&lt;&gt;"", TODAY(), "")</f>
        <v/>
      </c>
      <c r="S1928" s="78">
        <f>IF(AND(K1928&lt;&gt;"", R1928&lt;&gt;""), R1928-K1928, "")</f>
        <v/>
      </c>
      <c r="T1928" s="78" t="n"/>
      <c r="U1928" s="92">
        <f>IF(ISBLANK(P1928),"",IF(C1928="Buy",Q1928-M1928+T1928, IF(C1928="Sell",M1928-Q1928-T1928, X)))</f>
        <v/>
      </c>
      <c r="V1928" s="81">
        <f>IF(ISBLANK(P1928),"",U1928/N1928)</f>
        <v/>
      </c>
      <c r="W1928" s="81">
        <f>IF(ISBLANK(P1928),"",IF(S1928=0,(365/0.5)*V1928,(365/S1928)*V1928))</f>
        <v/>
      </c>
      <c r="X1928" s="75" t="n"/>
      <c r="Y1928" s="77" t="n"/>
      <c r="Z1928" s="77" t="n"/>
      <c r="AA1928" s="75" t="n"/>
      <c r="AB1928" s="75" t="n"/>
      <c r="AC1928" s="6" t="n"/>
      <c r="AD1928" s="75" t="n"/>
      <c r="AE1928" s="75" t="n"/>
      <c r="AF1928" s="75" t="n"/>
    </row>
    <row r="1929" ht="15.75" customHeight="1" s="133">
      <c r="A1929" s="75" t="n"/>
      <c r="B1929" s="75" t="n"/>
      <c r="C1929" s="75" t="n"/>
      <c r="D1929" s="75" t="n"/>
      <c r="E1929" s="76" t="n"/>
      <c r="F1929" s="77" t="n"/>
      <c r="G1929" s="75" t="n"/>
      <c r="H1929" s="75">
        <f>IF(ISBLANK(E1929),"",IF(OR(D1929="Butterfly",D1929="Butterfly ",D1929="Iron Fly", D1929="Iron Fly "),LEN(E1929)-LEN(SUBSTITUTE(E1929,"/",""))+2,LEN(E1929)-LEN(SUBSTITUTE(E1929,"/",""))+1))</f>
        <v/>
      </c>
      <c r="I1929" s="78">
        <f>IF(ISBLANK(G1929),"",IF(D1929="Stock","0",Key!$A$3*H1929*G1929))</f>
        <v/>
      </c>
      <c r="J1929" s="78">
        <f>IF(ISBLANK(E1929),"",IF(ISNUMBER(SEARCH("/",E1929)), IF(LEN(E1929)-LEN(SUBSTITUTE(E1929,"/",""))=1,(RIGHT(E1929,LEN(E1929)-FIND("/",E1929)))-(LEFT(E1929,FIND("/",E1929)-1)),(MID(E1929, SEARCH("/",E1929) + 1, SEARCH("/",E1929, SEARCH("/",E1929)+1) - SEARCH("/",E1929) - 1))-(LEFT(E1929,FIND("/",E1929)-1))), "NA"))</f>
        <v/>
      </c>
      <c r="K1929" s="79">
        <f>IF(A1929&lt;&gt;"", IF(ISBLANK(L1929), TODAY(), K1929), "")</f>
        <v/>
      </c>
      <c r="L1929" s="78" t="n"/>
      <c r="M1929" s="78">
        <f>IF(ISBLANK(L1929),"",IF(D1929="Stock",IF(C1929="Buy",L1929*G1929,IF(C1929="Sell",(L1929*G1929)-I1929, X)),IF(C1929="Buy",(L1929*G1929*100)+I1929,IF(C1929="Sell",(L1929*G1929*100)-I1929, X))))</f>
        <v/>
      </c>
      <c r="N1929" s="78">
        <f>IF(ISBLANK(L1929),"",IF(AND(C1929="Sell",D1929="Stock"),M1929,IF(ISBLANK(L1929),"",IF(C1929="Buy",M1929, IF(AND(C1929="Sell",J1929="NA"),(E1929*G1929*100*0.1)+I1929, IF(C1929="Sell",(J1929-L1929)*(100*G1929)+I1929))))))</f>
        <v/>
      </c>
      <c r="O1929" s="75" t="n"/>
      <c r="P1929" s="75" t="n"/>
      <c r="Q1929" s="75">
        <f>IF(ISBLANK(P1929),"",IF(D1929="Stock",P1929*G1929,IF(P1929=0,"0",G1929*P1929*100-(G1929*$AF$14))))</f>
        <v/>
      </c>
      <c r="R1929" s="79">
        <f>IF(P1929&lt;&gt;"", TODAY(), "")</f>
        <v/>
      </c>
      <c r="S1929" s="78">
        <f>IF(AND(K1929&lt;&gt;"", R1929&lt;&gt;""), R1929-K1929, "")</f>
        <v/>
      </c>
      <c r="T1929" s="78" t="n"/>
      <c r="U1929" s="92">
        <f>IF(ISBLANK(P1929),"",IF(C1929="Buy",Q1929-M1929+T1929, IF(C1929="Sell",M1929-Q1929-T1929, X)))</f>
        <v/>
      </c>
      <c r="V1929" s="81">
        <f>IF(ISBLANK(P1929),"",U1929/N1929)</f>
        <v/>
      </c>
      <c r="W1929" s="81">
        <f>IF(ISBLANK(P1929),"",IF(S1929=0,(365/0.5)*V1929,(365/S1929)*V1929))</f>
        <v/>
      </c>
      <c r="X1929" s="75" t="n"/>
      <c r="Y1929" s="77" t="n"/>
      <c r="Z1929" s="77" t="n"/>
      <c r="AA1929" s="75" t="n"/>
      <c r="AB1929" s="75" t="n"/>
      <c r="AC1929" s="6" t="n"/>
      <c r="AD1929" s="75" t="n"/>
      <c r="AE1929" s="75" t="n"/>
      <c r="AF1929" s="75" t="n"/>
    </row>
    <row r="1930" ht="15.75" customHeight="1" s="133">
      <c r="A1930" s="75" t="n"/>
      <c r="B1930" s="75" t="n"/>
      <c r="C1930" s="75" t="n"/>
      <c r="D1930" s="75" t="n"/>
      <c r="E1930" s="76" t="n"/>
      <c r="F1930" s="77" t="n"/>
      <c r="G1930" s="75" t="n"/>
      <c r="H1930" s="75">
        <f>IF(ISBLANK(E1930),"",IF(OR(D1930="Butterfly",D1930="Butterfly ",D1930="Iron Fly", D1930="Iron Fly "),LEN(E1930)-LEN(SUBSTITUTE(E1930,"/",""))+2,LEN(E1930)-LEN(SUBSTITUTE(E1930,"/",""))+1))</f>
        <v/>
      </c>
      <c r="I1930" s="78">
        <f>IF(ISBLANK(G1930),"",IF(D1930="Stock","0",Key!$A$3*H1930*G1930))</f>
        <v/>
      </c>
      <c r="J1930" s="78">
        <f>IF(ISBLANK(E1930),"",IF(ISNUMBER(SEARCH("/",E1930)), IF(LEN(E1930)-LEN(SUBSTITUTE(E1930,"/",""))=1,(RIGHT(E1930,LEN(E1930)-FIND("/",E1930)))-(LEFT(E1930,FIND("/",E1930)-1)),(MID(E1930, SEARCH("/",E1930) + 1, SEARCH("/",E1930, SEARCH("/",E1930)+1) - SEARCH("/",E1930) - 1))-(LEFT(E1930,FIND("/",E1930)-1))), "NA"))</f>
        <v/>
      </c>
      <c r="K1930" s="79">
        <f>IF(A1930&lt;&gt;"", IF(ISBLANK(L1930), TODAY(), K1930), "")</f>
        <v/>
      </c>
      <c r="L1930" s="78" t="n"/>
      <c r="M1930" s="78">
        <f>IF(ISBLANK(L1930),"",IF(D1930="Stock",IF(C1930="Buy",L1930*G1930,IF(C1930="Sell",(L1930*G1930)-I1930, X)),IF(C1930="Buy",(L1930*G1930*100)+I1930,IF(C1930="Sell",(L1930*G1930*100)-I1930, X))))</f>
        <v/>
      </c>
      <c r="N1930" s="78">
        <f>IF(ISBLANK(L1930),"",IF(AND(C1930="Sell",D1930="Stock"),M1930,IF(ISBLANK(L1930),"",IF(C1930="Buy",M1930, IF(AND(C1930="Sell",J1930="NA"),(E1930*G1930*100*0.1)+I1930, IF(C1930="Sell",(J1930-L1930)*(100*G1930)+I1930))))))</f>
        <v/>
      </c>
      <c r="O1930" s="75" t="n"/>
      <c r="P1930" s="75" t="n"/>
      <c r="Q1930" s="75">
        <f>IF(ISBLANK(P1930),"",IF(D1930="Stock",P1930*G1930,IF(P1930=0,"0",G1930*P1930*100-(G1930*$AF$14))))</f>
        <v/>
      </c>
      <c r="R1930" s="79">
        <f>IF(P1930&lt;&gt;"", TODAY(), "")</f>
        <v/>
      </c>
      <c r="S1930" s="78">
        <f>IF(AND(K1930&lt;&gt;"", R1930&lt;&gt;""), R1930-K1930, "")</f>
        <v/>
      </c>
      <c r="T1930" s="78" t="n"/>
      <c r="U1930" s="92">
        <f>IF(ISBLANK(P1930),"",IF(C1930="Buy",Q1930-M1930+T1930, IF(C1930="Sell",M1930-Q1930-T1930, X)))</f>
        <v/>
      </c>
      <c r="V1930" s="81">
        <f>IF(ISBLANK(P1930),"",U1930/N1930)</f>
        <v/>
      </c>
      <c r="W1930" s="81">
        <f>IF(ISBLANK(P1930),"",IF(S1930=0,(365/0.5)*V1930,(365/S1930)*V1930))</f>
        <v/>
      </c>
      <c r="X1930" s="75" t="n"/>
      <c r="Y1930" s="77" t="n"/>
      <c r="Z1930" s="77" t="n"/>
      <c r="AA1930" s="75" t="n"/>
      <c r="AB1930" s="75" t="n"/>
      <c r="AC1930" s="6" t="n"/>
      <c r="AD1930" s="75" t="n"/>
      <c r="AE1930" s="75" t="n"/>
      <c r="AF1930" s="75" t="n"/>
    </row>
    <row r="1931" ht="15.75" customHeight="1" s="133">
      <c r="A1931" s="75" t="n"/>
      <c r="B1931" s="75" t="n"/>
      <c r="C1931" s="75" t="n"/>
      <c r="D1931" s="75" t="n"/>
      <c r="E1931" s="76" t="n"/>
      <c r="F1931" s="77" t="n"/>
      <c r="G1931" s="75" t="n"/>
      <c r="H1931" s="75">
        <f>IF(ISBLANK(E1931),"",IF(OR(D1931="Butterfly",D1931="Butterfly ",D1931="Iron Fly", D1931="Iron Fly "),LEN(E1931)-LEN(SUBSTITUTE(E1931,"/",""))+2,LEN(E1931)-LEN(SUBSTITUTE(E1931,"/",""))+1))</f>
        <v/>
      </c>
      <c r="I1931" s="78">
        <f>IF(ISBLANK(G1931),"",IF(D1931="Stock","0",Key!$A$3*H1931*G1931))</f>
        <v/>
      </c>
      <c r="J1931" s="78">
        <f>IF(ISBLANK(E1931),"",IF(ISNUMBER(SEARCH("/",E1931)), IF(LEN(E1931)-LEN(SUBSTITUTE(E1931,"/",""))=1,(RIGHT(E1931,LEN(E1931)-FIND("/",E1931)))-(LEFT(E1931,FIND("/",E1931)-1)),(MID(E1931, SEARCH("/",E1931) + 1, SEARCH("/",E1931, SEARCH("/",E1931)+1) - SEARCH("/",E1931) - 1))-(LEFT(E1931,FIND("/",E1931)-1))), "NA"))</f>
        <v/>
      </c>
      <c r="K1931" s="79">
        <f>IF(A1931&lt;&gt;"", IF(ISBLANK(L1931), TODAY(), K1931), "")</f>
        <v/>
      </c>
      <c r="L1931" s="78" t="n"/>
      <c r="M1931" s="78">
        <f>IF(ISBLANK(L1931),"",IF(D1931="Stock",IF(C1931="Buy",L1931*G1931,IF(C1931="Sell",(L1931*G1931)-I1931, X)),IF(C1931="Buy",(L1931*G1931*100)+I1931,IF(C1931="Sell",(L1931*G1931*100)-I1931, X))))</f>
        <v/>
      </c>
      <c r="N1931" s="78">
        <f>IF(ISBLANK(L1931),"",IF(AND(C1931="Sell",D1931="Stock"),M1931,IF(ISBLANK(L1931),"",IF(C1931="Buy",M1931, IF(AND(C1931="Sell",J1931="NA"),(E1931*G1931*100*0.1)+I1931, IF(C1931="Sell",(J1931-L1931)*(100*G1931)+I1931))))))</f>
        <v/>
      </c>
      <c r="O1931" s="75" t="n"/>
      <c r="P1931" s="75" t="n"/>
      <c r="Q1931" s="75">
        <f>IF(ISBLANK(P1931),"",IF(D1931="Stock",P1931*G1931,IF(P1931=0,"0",G1931*P1931*100-(G1931*$AF$14))))</f>
        <v/>
      </c>
      <c r="R1931" s="79">
        <f>IF(P1931&lt;&gt;"", TODAY(), "")</f>
        <v/>
      </c>
      <c r="S1931" s="78">
        <f>IF(AND(K1931&lt;&gt;"", R1931&lt;&gt;""), R1931-K1931, "")</f>
        <v/>
      </c>
      <c r="T1931" s="78" t="n"/>
      <c r="U1931" s="92">
        <f>IF(ISBLANK(P1931),"",IF(C1931="Buy",Q1931-M1931+T1931, IF(C1931="Sell",M1931-Q1931-T1931, X)))</f>
        <v/>
      </c>
      <c r="V1931" s="81">
        <f>IF(ISBLANK(P1931),"",U1931/N1931)</f>
        <v/>
      </c>
      <c r="W1931" s="81">
        <f>IF(ISBLANK(P1931),"",IF(S1931=0,(365/0.5)*V1931,(365/S1931)*V1931))</f>
        <v/>
      </c>
      <c r="X1931" s="75" t="n"/>
      <c r="Y1931" s="77" t="n"/>
      <c r="Z1931" s="77" t="n"/>
      <c r="AA1931" s="75" t="n"/>
      <c r="AB1931" s="75" t="n"/>
      <c r="AC1931" s="6" t="n"/>
      <c r="AD1931" s="75" t="n"/>
      <c r="AE1931" s="75" t="n"/>
      <c r="AF1931" s="75" t="n"/>
    </row>
    <row r="1932" ht="15.75" customHeight="1" s="133">
      <c r="A1932" s="75" t="n"/>
      <c r="B1932" s="75" t="n"/>
      <c r="C1932" s="75" t="n"/>
      <c r="D1932" s="75" t="n"/>
      <c r="E1932" s="76" t="n"/>
      <c r="F1932" s="77" t="n"/>
      <c r="G1932" s="75" t="n"/>
      <c r="H1932" s="75">
        <f>IF(ISBLANK(E1932),"",IF(OR(D1932="Butterfly",D1932="Butterfly ",D1932="Iron Fly", D1932="Iron Fly "),LEN(E1932)-LEN(SUBSTITUTE(E1932,"/",""))+2,LEN(E1932)-LEN(SUBSTITUTE(E1932,"/",""))+1))</f>
        <v/>
      </c>
      <c r="I1932" s="78">
        <f>IF(ISBLANK(G1932),"",IF(D1932="Stock","0",Key!$A$3*H1932*G1932))</f>
        <v/>
      </c>
      <c r="J1932" s="78">
        <f>IF(ISBLANK(E1932),"",IF(ISNUMBER(SEARCH("/",E1932)), IF(LEN(E1932)-LEN(SUBSTITUTE(E1932,"/",""))=1,(RIGHT(E1932,LEN(E1932)-FIND("/",E1932)))-(LEFT(E1932,FIND("/",E1932)-1)),(MID(E1932, SEARCH("/",E1932) + 1, SEARCH("/",E1932, SEARCH("/",E1932)+1) - SEARCH("/",E1932) - 1))-(LEFT(E1932,FIND("/",E1932)-1))), "NA"))</f>
        <v/>
      </c>
      <c r="K1932" s="79">
        <f>IF(A1932&lt;&gt;"", IF(ISBLANK(L1932), TODAY(), K1932), "")</f>
        <v/>
      </c>
      <c r="L1932" s="78" t="n"/>
      <c r="M1932" s="78">
        <f>IF(ISBLANK(L1932),"",IF(D1932="Stock",IF(C1932="Buy",L1932*G1932,IF(C1932="Sell",(L1932*G1932)-I1932, X)),IF(C1932="Buy",(L1932*G1932*100)+I1932,IF(C1932="Sell",(L1932*G1932*100)-I1932, X))))</f>
        <v/>
      </c>
      <c r="N1932" s="78">
        <f>IF(ISBLANK(L1932),"",IF(AND(C1932="Sell",D1932="Stock"),M1932,IF(ISBLANK(L1932),"",IF(C1932="Buy",M1932, IF(AND(C1932="Sell",J1932="NA"),(E1932*G1932*100*0.1)+I1932, IF(C1932="Sell",(J1932-L1932)*(100*G1932)+I1932))))))</f>
        <v/>
      </c>
      <c r="O1932" s="75" t="n"/>
      <c r="P1932" s="75" t="n"/>
      <c r="Q1932" s="75">
        <f>IF(ISBLANK(P1932),"",IF(D1932="Stock",P1932*G1932,IF(P1932=0,"0",G1932*P1932*100-(G1932*$AF$14))))</f>
        <v/>
      </c>
      <c r="R1932" s="79">
        <f>IF(P1932&lt;&gt;"", TODAY(), "")</f>
        <v/>
      </c>
      <c r="S1932" s="78">
        <f>IF(AND(K1932&lt;&gt;"", R1932&lt;&gt;""), R1932-K1932, "")</f>
        <v/>
      </c>
      <c r="T1932" s="78" t="n"/>
      <c r="U1932" s="92">
        <f>IF(ISBLANK(P1932),"",IF(C1932="Buy",Q1932-M1932+T1932, IF(C1932="Sell",M1932-Q1932-T1932, X)))</f>
        <v/>
      </c>
      <c r="V1932" s="81">
        <f>IF(ISBLANK(P1932),"",U1932/N1932)</f>
        <v/>
      </c>
      <c r="W1932" s="81">
        <f>IF(ISBLANK(P1932),"",IF(S1932=0,(365/0.5)*V1932,(365/S1932)*V1932))</f>
        <v/>
      </c>
      <c r="X1932" s="75" t="n"/>
      <c r="Y1932" s="77" t="n"/>
      <c r="Z1932" s="77" t="n"/>
      <c r="AA1932" s="75" t="n"/>
      <c r="AB1932" s="75" t="n"/>
      <c r="AC1932" s="6" t="n"/>
      <c r="AD1932" s="75" t="n"/>
      <c r="AE1932" s="75" t="n"/>
      <c r="AF1932" s="75" t="n"/>
    </row>
    <row r="1933" ht="15.75" customHeight="1" s="133">
      <c r="A1933" s="75" t="n"/>
      <c r="B1933" s="75" t="n"/>
      <c r="C1933" s="75" t="n"/>
      <c r="D1933" s="75" t="n"/>
      <c r="E1933" s="76" t="n"/>
      <c r="F1933" s="77" t="n"/>
      <c r="G1933" s="75" t="n"/>
      <c r="H1933" s="75">
        <f>IF(ISBLANK(E1933),"",IF(OR(D1933="Butterfly",D1933="Butterfly ",D1933="Iron Fly", D1933="Iron Fly "),LEN(E1933)-LEN(SUBSTITUTE(E1933,"/",""))+2,LEN(E1933)-LEN(SUBSTITUTE(E1933,"/",""))+1))</f>
        <v/>
      </c>
      <c r="I1933" s="78">
        <f>IF(ISBLANK(G1933),"",IF(D1933="Stock","0",Key!$A$3*H1933*G1933))</f>
        <v/>
      </c>
      <c r="J1933" s="78">
        <f>IF(ISBLANK(E1933),"",IF(ISNUMBER(SEARCH("/",E1933)), IF(LEN(E1933)-LEN(SUBSTITUTE(E1933,"/",""))=1,(RIGHT(E1933,LEN(E1933)-FIND("/",E1933)))-(LEFT(E1933,FIND("/",E1933)-1)),(MID(E1933, SEARCH("/",E1933) + 1, SEARCH("/",E1933, SEARCH("/",E1933)+1) - SEARCH("/",E1933) - 1))-(LEFT(E1933,FIND("/",E1933)-1))), "NA"))</f>
        <v/>
      </c>
      <c r="K1933" s="79">
        <f>IF(A1933&lt;&gt;"", IF(ISBLANK(L1933), TODAY(), K1933), "")</f>
        <v/>
      </c>
      <c r="L1933" s="78" t="n"/>
      <c r="M1933" s="78">
        <f>IF(ISBLANK(L1933),"",IF(D1933="Stock",IF(C1933="Buy",L1933*G1933,IF(C1933="Sell",(L1933*G1933)-I1933, X)),IF(C1933="Buy",(L1933*G1933*100)+I1933,IF(C1933="Sell",(L1933*G1933*100)-I1933, X))))</f>
        <v/>
      </c>
      <c r="N1933" s="78">
        <f>IF(ISBLANK(L1933),"",IF(AND(C1933="Sell",D1933="Stock"),M1933,IF(ISBLANK(L1933),"",IF(C1933="Buy",M1933, IF(AND(C1933="Sell",J1933="NA"),(E1933*G1933*100*0.1)+I1933, IF(C1933="Sell",(J1933-L1933)*(100*G1933)+I1933))))))</f>
        <v/>
      </c>
      <c r="O1933" s="75" t="n"/>
      <c r="P1933" s="75" t="n"/>
      <c r="Q1933" s="75">
        <f>IF(ISBLANK(P1933),"",IF(D1933="Stock",P1933*G1933,IF(P1933=0,"0",G1933*P1933*100-(G1933*$AF$14))))</f>
        <v/>
      </c>
      <c r="R1933" s="79">
        <f>IF(P1933&lt;&gt;"", TODAY(), "")</f>
        <v/>
      </c>
      <c r="S1933" s="78">
        <f>IF(AND(K1933&lt;&gt;"", R1933&lt;&gt;""), R1933-K1933, "")</f>
        <v/>
      </c>
      <c r="T1933" s="78" t="n"/>
      <c r="U1933" s="92">
        <f>IF(ISBLANK(P1933),"",IF(C1933="Buy",Q1933-M1933+T1933, IF(C1933="Sell",M1933-Q1933-T1933, X)))</f>
        <v/>
      </c>
      <c r="V1933" s="81">
        <f>IF(ISBLANK(P1933),"",U1933/N1933)</f>
        <v/>
      </c>
      <c r="W1933" s="81">
        <f>IF(ISBLANK(P1933),"",IF(S1933=0,(365/0.5)*V1933,(365/S1933)*V1933))</f>
        <v/>
      </c>
      <c r="X1933" s="75" t="n"/>
      <c r="Y1933" s="77" t="n"/>
      <c r="Z1933" s="77" t="n"/>
      <c r="AA1933" s="75" t="n"/>
      <c r="AB1933" s="75" t="n"/>
      <c r="AC1933" s="6" t="n"/>
      <c r="AD1933" s="75" t="n"/>
      <c r="AE1933" s="75" t="n"/>
      <c r="AF1933" s="75" t="n"/>
    </row>
    <row r="1934" ht="15.75" customHeight="1" s="133">
      <c r="A1934" s="75" t="n"/>
      <c r="B1934" s="75" t="n"/>
      <c r="C1934" s="75" t="n"/>
      <c r="D1934" s="75" t="n"/>
      <c r="E1934" s="76" t="n"/>
      <c r="F1934" s="77" t="n"/>
      <c r="G1934" s="75" t="n"/>
      <c r="H1934" s="75">
        <f>IF(ISBLANK(E1934),"",IF(OR(D1934="Butterfly",D1934="Butterfly ",D1934="Iron Fly", D1934="Iron Fly "),LEN(E1934)-LEN(SUBSTITUTE(E1934,"/",""))+2,LEN(E1934)-LEN(SUBSTITUTE(E1934,"/",""))+1))</f>
        <v/>
      </c>
      <c r="I1934" s="78">
        <f>IF(ISBLANK(G1934),"",IF(D1934="Stock","0",Key!$A$3*H1934*G1934))</f>
        <v/>
      </c>
      <c r="J1934" s="78">
        <f>IF(ISBLANK(E1934),"",IF(ISNUMBER(SEARCH("/",E1934)), IF(LEN(E1934)-LEN(SUBSTITUTE(E1934,"/",""))=1,(RIGHT(E1934,LEN(E1934)-FIND("/",E1934)))-(LEFT(E1934,FIND("/",E1934)-1)),(MID(E1934, SEARCH("/",E1934) + 1, SEARCH("/",E1934, SEARCH("/",E1934)+1) - SEARCH("/",E1934) - 1))-(LEFT(E1934,FIND("/",E1934)-1))), "NA"))</f>
        <v/>
      </c>
      <c r="K1934" s="79">
        <f>IF(A1934&lt;&gt;"", IF(ISBLANK(L1934), TODAY(), K1934), "")</f>
        <v/>
      </c>
      <c r="L1934" s="78" t="n"/>
      <c r="M1934" s="78">
        <f>IF(ISBLANK(L1934),"",IF(D1934="Stock",IF(C1934="Buy",L1934*G1934,IF(C1934="Sell",(L1934*G1934)-I1934, X)),IF(C1934="Buy",(L1934*G1934*100)+I1934,IF(C1934="Sell",(L1934*G1934*100)-I1934, X))))</f>
        <v/>
      </c>
      <c r="N1934" s="78">
        <f>IF(ISBLANK(L1934),"",IF(AND(C1934="Sell",D1934="Stock"),M1934,IF(ISBLANK(L1934),"",IF(C1934="Buy",M1934, IF(AND(C1934="Sell",J1934="NA"),(E1934*G1934*100*0.1)+I1934, IF(C1934="Sell",(J1934-L1934)*(100*G1934)+I1934))))))</f>
        <v/>
      </c>
      <c r="O1934" s="75" t="n"/>
      <c r="P1934" s="75" t="n"/>
      <c r="Q1934" s="75">
        <f>IF(ISBLANK(P1934),"",IF(D1934="Stock",P1934*G1934,IF(P1934=0,"0",G1934*P1934*100-(G1934*$AF$14))))</f>
        <v/>
      </c>
      <c r="R1934" s="79">
        <f>IF(P1934&lt;&gt;"", TODAY(), "")</f>
        <v/>
      </c>
      <c r="S1934" s="78">
        <f>IF(AND(K1934&lt;&gt;"", R1934&lt;&gt;""), R1934-K1934, "")</f>
        <v/>
      </c>
      <c r="T1934" s="78" t="n"/>
      <c r="U1934" s="92">
        <f>IF(ISBLANK(P1934),"",IF(C1934="Buy",Q1934-M1934+T1934, IF(C1934="Sell",M1934-Q1934-T1934, X)))</f>
        <v/>
      </c>
      <c r="V1934" s="81">
        <f>IF(ISBLANK(P1934),"",U1934/N1934)</f>
        <v/>
      </c>
      <c r="W1934" s="81">
        <f>IF(ISBLANK(P1934),"",IF(S1934=0,(365/0.5)*V1934,(365/S1934)*V1934))</f>
        <v/>
      </c>
      <c r="X1934" s="75" t="n"/>
      <c r="Y1934" s="77" t="n"/>
      <c r="Z1934" s="77" t="n"/>
      <c r="AA1934" s="75" t="n"/>
      <c r="AB1934" s="75" t="n"/>
      <c r="AC1934" s="6" t="n"/>
      <c r="AD1934" s="75" t="n"/>
      <c r="AE1934" s="75" t="n"/>
      <c r="AF1934" s="75" t="n"/>
    </row>
    <row r="1935" ht="15.75" customHeight="1" s="133">
      <c r="A1935" s="75" t="n"/>
      <c r="B1935" s="75" t="n"/>
      <c r="C1935" s="75" t="n"/>
      <c r="D1935" s="75" t="n"/>
      <c r="E1935" s="76" t="n"/>
      <c r="F1935" s="77" t="n"/>
      <c r="G1935" s="75" t="n"/>
      <c r="H1935" s="75">
        <f>IF(ISBLANK(E1935),"",IF(OR(D1935="Butterfly",D1935="Butterfly ",D1935="Iron Fly", D1935="Iron Fly "),LEN(E1935)-LEN(SUBSTITUTE(E1935,"/",""))+2,LEN(E1935)-LEN(SUBSTITUTE(E1935,"/",""))+1))</f>
        <v/>
      </c>
      <c r="I1935" s="78">
        <f>IF(ISBLANK(G1935),"",IF(D1935="Stock","0",Key!$A$3*H1935*G1935))</f>
        <v/>
      </c>
      <c r="J1935" s="78">
        <f>IF(ISBLANK(E1935),"",IF(ISNUMBER(SEARCH("/",E1935)), IF(LEN(E1935)-LEN(SUBSTITUTE(E1935,"/",""))=1,(RIGHT(E1935,LEN(E1935)-FIND("/",E1935)))-(LEFT(E1935,FIND("/",E1935)-1)),(MID(E1935, SEARCH("/",E1935) + 1, SEARCH("/",E1935, SEARCH("/",E1935)+1) - SEARCH("/",E1935) - 1))-(LEFT(E1935,FIND("/",E1935)-1))), "NA"))</f>
        <v/>
      </c>
      <c r="K1935" s="79">
        <f>IF(A1935&lt;&gt;"", IF(ISBLANK(L1935), TODAY(), K1935), "")</f>
        <v/>
      </c>
      <c r="L1935" s="78" t="n"/>
      <c r="M1935" s="78">
        <f>IF(ISBLANK(L1935),"",IF(D1935="Stock",IF(C1935="Buy",L1935*G1935,IF(C1935="Sell",(L1935*G1935)-I1935, X)),IF(C1935="Buy",(L1935*G1935*100)+I1935,IF(C1935="Sell",(L1935*G1935*100)-I1935, X))))</f>
        <v/>
      </c>
      <c r="N1935" s="78">
        <f>IF(ISBLANK(L1935),"",IF(AND(C1935="Sell",D1935="Stock"),M1935,IF(ISBLANK(L1935),"",IF(C1935="Buy",M1935, IF(AND(C1935="Sell",J1935="NA"),(E1935*G1935*100*0.1)+I1935, IF(C1935="Sell",(J1935-L1935)*(100*G1935)+I1935))))))</f>
        <v/>
      </c>
      <c r="O1935" s="75" t="n"/>
      <c r="P1935" s="75" t="n"/>
      <c r="Q1935" s="75">
        <f>IF(ISBLANK(P1935),"",IF(D1935="Stock",P1935*G1935,IF(P1935=0,"0",G1935*P1935*100-(G1935*$AF$14))))</f>
        <v/>
      </c>
      <c r="R1935" s="79">
        <f>IF(P1935&lt;&gt;"", TODAY(), "")</f>
        <v/>
      </c>
      <c r="S1935" s="78">
        <f>IF(AND(K1935&lt;&gt;"", R1935&lt;&gt;""), R1935-K1935, "")</f>
        <v/>
      </c>
      <c r="T1935" s="78" t="n"/>
      <c r="U1935" s="92">
        <f>IF(ISBLANK(P1935),"",IF(C1935="Buy",Q1935-M1935+T1935, IF(C1935="Sell",M1935-Q1935-T1935, X)))</f>
        <v/>
      </c>
      <c r="V1935" s="81">
        <f>IF(ISBLANK(P1935),"",U1935/N1935)</f>
        <v/>
      </c>
      <c r="W1935" s="81">
        <f>IF(ISBLANK(P1935),"",IF(S1935=0,(365/0.5)*V1935,(365/S1935)*V1935))</f>
        <v/>
      </c>
      <c r="X1935" s="75" t="n"/>
      <c r="Y1935" s="77" t="n"/>
      <c r="Z1935" s="77" t="n"/>
      <c r="AA1935" s="75" t="n"/>
      <c r="AB1935" s="75" t="n"/>
      <c r="AC1935" s="6" t="n"/>
      <c r="AD1935" s="75" t="n"/>
      <c r="AE1935" s="75" t="n"/>
      <c r="AF1935" s="75" t="n"/>
    </row>
    <row r="1936" ht="15.75" customHeight="1" s="133">
      <c r="A1936" s="75" t="n"/>
      <c r="B1936" s="75" t="n"/>
      <c r="C1936" s="75" t="n"/>
      <c r="D1936" s="75" t="n"/>
      <c r="E1936" s="76" t="n"/>
      <c r="F1936" s="77" t="n"/>
      <c r="G1936" s="75" t="n"/>
      <c r="H1936" s="75">
        <f>IF(ISBLANK(E1936),"",IF(OR(D1936="Butterfly",D1936="Butterfly ",D1936="Iron Fly", D1936="Iron Fly "),LEN(E1936)-LEN(SUBSTITUTE(E1936,"/",""))+2,LEN(E1936)-LEN(SUBSTITUTE(E1936,"/",""))+1))</f>
        <v/>
      </c>
      <c r="I1936" s="78">
        <f>IF(ISBLANK(G1936),"",IF(D1936="Stock","0",Key!$A$3*H1936*G1936))</f>
        <v/>
      </c>
      <c r="J1936" s="78">
        <f>IF(ISBLANK(E1936),"",IF(ISNUMBER(SEARCH("/",E1936)), IF(LEN(E1936)-LEN(SUBSTITUTE(E1936,"/",""))=1,(RIGHT(E1936,LEN(E1936)-FIND("/",E1936)))-(LEFT(E1936,FIND("/",E1936)-1)),(MID(E1936, SEARCH("/",E1936) + 1, SEARCH("/",E1936, SEARCH("/",E1936)+1) - SEARCH("/",E1936) - 1))-(LEFT(E1936,FIND("/",E1936)-1))), "NA"))</f>
        <v/>
      </c>
      <c r="K1936" s="79">
        <f>IF(A1936&lt;&gt;"", IF(ISBLANK(L1936), TODAY(), K1936), "")</f>
        <v/>
      </c>
      <c r="L1936" s="78" t="n"/>
      <c r="M1936" s="78">
        <f>IF(ISBLANK(L1936),"",IF(D1936="Stock",IF(C1936="Buy",L1936*G1936,IF(C1936="Sell",(L1936*G1936)-I1936, X)),IF(C1936="Buy",(L1936*G1936*100)+I1936,IF(C1936="Sell",(L1936*G1936*100)-I1936, X))))</f>
        <v/>
      </c>
      <c r="N1936" s="78">
        <f>IF(ISBLANK(L1936),"",IF(AND(C1936="Sell",D1936="Stock"),M1936,IF(ISBLANK(L1936),"",IF(C1936="Buy",M1936, IF(AND(C1936="Sell",J1936="NA"),(E1936*G1936*100*0.1)+I1936, IF(C1936="Sell",(J1936-L1936)*(100*G1936)+I1936))))))</f>
        <v/>
      </c>
      <c r="O1936" s="75" t="n"/>
      <c r="P1936" s="75" t="n"/>
      <c r="Q1936" s="75">
        <f>IF(ISBLANK(P1936),"",IF(D1936="Stock",P1936*G1936,IF(P1936=0,"0",G1936*P1936*100-(G1936*$AF$14))))</f>
        <v/>
      </c>
      <c r="R1936" s="79">
        <f>IF(P1936&lt;&gt;"", TODAY(), "")</f>
        <v/>
      </c>
      <c r="S1936" s="78">
        <f>IF(AND(K1936&lt;&gt;"", R1936&lt;&gt;""), R1936-K1936, "")</f>
        <v/>
      </c>
      <c r="T1936" s="78" t="n"/>
      <c r="U1936" s="92">
        <f>IF(ISBLANK(P1936),"",IF(C1936="Buy",Q1936-M1936+T1936, IF(C1936="Sell",M1936-Q1936-T1936, X)))</f>
        <v/>
      </c>
      <c r="V1936" s="81">
        <f>IF(ISBLANK(P1936),"",U1936/N1936)</f>
        <v/>
      </c>
      <c r="W1936" s="81">
        <f>IF(ISBLANK(P1936),"",IF(S1936=0,(365/0.5)*V1936,(365/S1936)*V1936))</f>
        <v/>
      </c>
      <c r="X1936" s="75" t="n"/>
      <c r="Y1936" s="77" t="n"/>
      <c r="Z1936" s="77" t="n"/>
      <c r="AA1936" s="75" t="n"/>
      <c r="AB1936" s="75" t="n"/>
      <c r="AC1936" s="6" t="n"/>
      <c r="AD1936" s="75" t="n"/>
      <c r="AE1936" s="75" t="n"/>
      <c r="AF1936" s="75" t="n"/>
    </row>
    <row r="1937" ht="15.75" customHeight="1" s="133">
      <c r="A1937" s="75" t="n"/>
      <c r="B1937" s="75" t="n"/>
      <c r="C1937" s="75" t="n"/>
      <c r="D1937" s="75" t="n"/>
      <c r="E1937" s="76" t="n"/>
      <c r="F1937" s="77" t="n"/>
      <c r="G1937" s="75" t="n"/>
      <c r="H1937" s="75">
        <f>IF(ISBLANK(E1937),"",IF(OR(D1937="Butterfly",D1937="Butterfly ",D1937="Iron Fly", D1937="Iron Fly "),LEN(E1937)-LEN(SUBSTITUTE(E1937,"/",""))+2,LEN(E1937)-LEN(SUBSTITUTE(E1937,"/",""))+1))</f>
        <v/>
      </c>
      <c r="I1937" s="78">
        <f>IF(ISBLANK(G1937),"",IF(D1937="Stock","0",Key!$A$3*H1937*G1937))</f>
        <v/>
      </c>
      <c r="J1937" s="78">
        <f>IF(ISBLANK(E1937),"",IF(ISNUMBER(SEARCH("/",E1937)), IF(LEN(E1937)-LEN(SUBSTITUTE(E1937,"/",""))=1,(RIGHT(E1937,LEN(E1937)-FIND("/",E1937)))-(LEFT(E1937,FIND("/",E1937)-1)),(MID(E1937, SEARCH("/",E1937) + 1, SEARCH("/",E1937, SEARCH("/",E1937)+1) - SEARCH("/",E1937) - 1))-(LEFT(E1937,FIND("/",E1937)-1))), "NA"))</f>
        <v/>
      </c>
      <c r="K1937" s="79">
        <f>IF(A1937&lt;&gt;"", IF(ISBLANK(L1937), TODAY(), K1937), "")</f>
        <v/>
      </c>
      <c r="L1937" s="78" t="n"/>
      <c r="M1937" s="78">
        <f>IF(ISBLANK(L1937),"",IF(D1937="Stock",IF(C1937="Buy",L1937*G1937,IF(C1937="Sell",(L1937*G1937)-I1937, X)),IF(C1937="Buy",(L1937*G1937*100)+I1937,IF(C1937="Sell",(L1937*G1937*100)-I1937, X))))</f>
        <v/>
      </c>
      <c r="N1937" s="78">
        <f>IF(ISBLANK(L1937),"",IF(AND(C1937="Sell",D1937="Stock"),M1937,IF(ISBLANK(L1937),"",IF(C1937="Buy",M1937, IF(AND(C1937="Sell",J1937="NA"),(E1937*G1937*100*0.1)+I1937, IF(C1937="Sell",(J1937-L1937)*(100*G1937)+I1937))))))</f>
        <v/>
      </c>
      <c r="O1937" s="75" t="n"/>
      <c r="P1937" s="75" t="n"/>
      <c r="Q1937" s="75">
        <f>IF(ISBLANK(P1937),"",IF(D1937="Stock",P1937*G1937,IF(P1937=0,"0",G1937*P1937*100-(G1937*$AF$14))))</f>
        <v/>
      </c>
      <c r="R1937" s="79">
        <f>IF(P1937&lt;&gt;"", TODAY(), "")</f>
        <v/>
      </c>
      <c r="S1937" s="78">
        <f>IF(AND(K1937&lt;&gt;"", R1937&lt;&gt;""), R1937-K1937, "")</f>
        <v/>
      </c>
      <c r="T1937" s="78" t="n"/>
      <c r="U1937" s="92">
        <f>IF(ISBLANK(P1937),"",IF(C1937="Buy",Q1937-M1937+T1937, IF(C1937="Sell",M1937-Q1937-T1937, X)))</f>
        <v/>
      </c>
      <c r="V1937" s="81">
        <f>IF(ISBLANK(P1937),"",U1937/N1937)</f>
        <v/>
      </c>
      <c r="W1937" s="81">
        <f>IF(ISBLANK(P1937),"",IF(S1937=0,(365/0.5)*V1937,(365/S1937)*V1937))</f>
        <v/>
      </c>
      <c r="X1937" s="75" t="n"/>
      <c r="Y1937" s="77" t="n"/>
      <c r="Z1937" s="77" t="n"/>
      <c r="AA1937" s="75" t="n"/>
      <c r="AB1937" s="75" t="n"/>
      <c r="AC1937" s="6" t="n"/>
      <c r="AD1937" s="75" t="n"/>
      <c r="AE1937" s="75" t="n"/>
      <c r="AF1937" s="75" t="n"/>
    </row>
    <row r="1938" ht="15.75" customHeight="1" s="133">
      <c r="A1938" s="75" t="n"/>
      <c r="B1938" s="75" t="n"/>
      <c r="C1938" s="75" t="n"/>
      <c r="D1938" s="75" t="n"/>
      <c r="E1938" s="76" t="n"/>
      <c r="F1938" s="77" t="n"/>
      <c r="G1938" s="75" t="n"/>
      <c r="H1938" s="75">
        <f>IF(ISBLANK(E1938),"",IF(OR(D1938="Butterfly",D1938="Butterfly ",D1938="Iron Fly", D1938="Iron Fly "),LEN(E1938)-LEN(SUBSTITUTE(E1938,"/",""))+2,LEN(E1938)-LEN(SUBSTITUTE(E1938,"/",""))+1))</f>
        <v/>
      </c>
      <c r="I1938" s="78">
        <f>IF(ISBLANK(G1938),"",IF(D1938="Stock","0",Key!$A$3*H1938*G1938))</f>
        <v/>
      </c>
      <c r="J1938" s="78">
        <f>IF(ISBLANK(E1938),"",IF(ISNUMBER(SEARCH("/",E1938)), IF(LEN(E1938)-LEN(SUBSTITUTE(E1938,"/",""))=1,(RIGHT(E1938,LEN(E1938)-FIND("/",E1938)))-(LEFT(E1938,FIND("/",E1938)-1)),(MID(E1938, SEARCH("/",E1938) + 1, SEARCH("/",E1938, SEARCH("/",E1938)+1) - SEARCH("/",E1938) - 1))-(LEFT(E1938,FIND("/",E1938)-1))), "NA"))</f>
        <v/>
      </c>
      <c r="K1938" s="79">
        <f>IF(A1938&lt;&gt;"", IF(ISBLANK(L1938), TODAY(), K1938), "")</f>
        <v/>
      </c>
      <c r="L1938" s="78" t="n"/>
      <c r="M1938" s="78">
        <f>IF(ISBLANK(L1938),"",IF(D1938="Stock",IF(C1938="Buy",L1938*G1938,IF(C1938="Sell",(L1938*G1938)-I1938, X)),IF(C1938="Buy",(L1938*G1938*100)+I1938,IF(C1938="Sell",(L1938*G1938*100)-I1938, X))))</f>
        <v/>
      </c>
      <c r="N1938" s="78">
        <f>IF(ISBLANK(L1938),"",IF(AND(C1938="Sell",D1938="Stock"),M1938,IF(ISBLANK(L1938),"",IF(C1938="Buy",M1938, IF(AND(C1938="Sell",J1938="NA"),(E1938*G1938*100*0.1)+I1938, IF(C1938="Sell",(J1938-L1938)*(100*G1938)+I1938))))))</f>
        <v/>
      </c>
      <c r="O1938" s="75" t="n"/>
      <c r="P1938" s="75" t="n"/>
      <c r="Q1938" s="75">
        <f>IF(ISBLANK(P1938),"",IF(D1938="Stock",P1938*G1938,IF(P1938=0,"0",G1938*P1938*100-(G1938*$AF$14))))</f>
        <v/>
      </c>
      <c r="R1938" s="79">
        <f>IF(P1938&lt;&gt;"", TODAY(), "")</f>
        <v/>
      </c>
      <c r="S1938" s="78">
        <f>IF(AND(K1938&lt;&gt;"", R1938&lt;&gt;""), R1938-K1938, "")</f>
        <v/>
      </c>
      <c r="T1938" s="78" t="n"/>
      <c r="U1938" s="92">
        <f>IF(ISBLANK(P1938),"",IF(C1938="Buy",Q1938-M1938+T1938, IF(C1938="Sell",M1938-Q1938-T1938, X)))</f>
        <v/>
      </c>
      <c r="V1938" s="81">
        <f>IF(ISBLANK(P1938),"",U1938/N1938)</f>
        <v/>
      </c>
      <c r="W1938" s="81">
        <f>IF(ISBLANK(P1938),"",IF(S1938=0,(365/0.5)*V1938,(365/S1938)*V1938))</f>
        <v/>
      </c>
      <c r="X1938" s="75" t="n"/>
      <c r="Y1938" s="77" t="n"/>
      <c r="Z1938" s="77" t="n"/>
      <c r="AA1938" s="75" t="n"/>
      <c r="AB1938" s="75" t="n"/>
      <c r="AC1938" s="6" t="n"/>
      <c r="AD1938" s="75" t="n"/>
      <c r="AE1938" s="75" t="n"/>
      <c r="AF1938" s="75" t="n"/>
    </row>
    <row r="1939" ht="15.75" customHeight="1" s="133">
      <c r="A1939" s="75" t="n"/>
      <c r="B1939" s="75" t="n"/>
      <c r="C1939" s="75" t="n"/>
      <c r="D1939" s="75" t="n"/>
      <c r="E1939" s="76" t="n"/>
      <c r="F1939" s="77" t="n"/>
      <c r="G1939" s="75" t="n"/>
      <c r="H1939" s="75">
        <f>IF(ISBLANK(E1939),"",IF(OR(D1939="Butterfly",D1939="Butterfly ",D1939="Iron Fly", D1939="Iron Fly "),LEN(E1939)-LEN(SUBSTITUTE(E1939,"/",""))+2,LEN(E1939)-LEN(SUBSTITUTE(E1939,"/",""))+1))</f>
        <v/>
      </c>
      <c r="I1939" s="78">
        <f>IF(ISBLANK(G1939),"",IF(D1939="Stock","0",Key!$A$3*H1939*G1939))</f>
        <v/>
      </c>
      <c r="J1939" s="78">
        <f>IF(ISBLANK(E1939),"",IF(ISNUMBER(SEARCH("/",E1939)), IF(LEN(E1939)-LEN(SUBSTITUTE(E1939,"/",""))=1,(RIGHT(E1939,LEN(E1939)-FIND("/",E1939)))-(LEFT(E1939,FIND("/",E1939)-1)),(MID(E1939, SEARCH("/",E1939) + 1, SEARCH("/",E1939, SEARCH("/",E1939)+1) - SEARCH("/",E1939) - 1))-(LEFT(E1939,FIND("/",E1939)-1))), "NA"))</f>
        <v/>
      </c>
      <c r="K1939" s="79">
        <f>IF(A1939&lt;&gt;"", IF(ISBLANK(L1939), TODAY(), K1939), "")</f>
        <v/>
      </c>
      <c r="L1939" s="78" t="n"/>
      <c r="M1939" s="78">
        <f>IF(ISBLANK(L1939),"",IF(D1939="Stock",IF(C1939="Buy",L1939*G1939,IF(C1939="Sell",(L1939*G1939)-I1939, X)),IF(C1939="Buy",(L1939*G1939*100)+I1939,IF(C1939="Sell",(L1939*G1939*100)-I1939, X))))</f>
        <v/>
      </c>
      <c r="N1939" s="78">
        <f>IF(ISBLANK(L1939),"",IF(AND(C1939="Sell",D1939="Stock"),M1939,IF(ISBLANK(L1939),"",IF(C1939="Buy",M1939, IF(AND(C1939="Sell",J1939="NA"),(E1939*G1939*100*0.1)+I1939, IF(C1939="Sell",(J1939-L1939)*(100*G1939)+I1939))))))</f>
        <v/>
      </c>
      <c r="O1939" s="75" t="n"/>
      <c r="P1939" s="75" t="n"/>
      <c r="Q1939" s="75">
        <f>IF(ISBLANK(P1939),"",IF(D1939="Stock",P1939*G1939,IF(P1939=0,"0",G1939*P1939*100-(G1939*$AF$14))))</f>
        <v/>
      </c>
      <c r="R1939" s="79">
        <f>IF(P1939&lt;&gt;"", TODAY(), "")</f>
        <v/>
      </c>
      <c r="S1939" s="78">
        <f>IF(AND(K1939&lt;&gt;"", R1939&lt;&gt;""), R1939-K1939, "")</f>
        <v/>
      </c>
      <c r="T1939" s="78" t="n"/>
      <c r="U1939" s="92">
        <f>IF(ISBLANK(P1939),"",IF(C1939="Buy",Q1939-M1939+T1939, IF(C1939="Sell",M1939-Q1939-T1939, X)))</f>
        <v/>
      </c>
      <c r="V1939" s="81">
        <f>IF(ISBLANK(P1939),"",U1939/N1939)</f>
        <v/>
      </c>
      <c r="W1939" s="81">
        <f>IF(ISBLANK(P1939),"",IF(S1939=0,(365/0.5)*V1939,(365/S1939)*V1939))</f>
        <v/>
      </c>
      <c r="X1939" s="75" t="n"/>
      <c r="Y1939" s="77" t="n"/>
      <c r="Z1939" s="77" t="n"/>
      <c r="AA1939" s="75" t="n"/>
      <c r="AB1939" s="75" t="n"/>
      <c r="AC1939" s="6" t="n"/>
      <c r="AD1939" s="75" t="n"/>
      <c r="AE1939" s="75" t="n"/>
      <c r="AF1939" s="75" t="n"/>
    </row>
    <row r="1940" ht="15.75" customHeight="1" s="133">
      <c r="A1940" s="75" t="n"/>
      <c r="B1940" s="75" t="n"/>
      <c r="C1940" s="75" t="n"/>
      <c r="D1940" s="75" t="n"/>
      <c r="E1940" s="76" t="n"/>
      <c r="F1940" s="77" t="n"/>
      <c r="G1940" s="75" t="n"/>
      <c r="H1940" s="75">
        <f>IF(ISBLANK(E1940),"",IF(OR(D1940="Butterfly",D1940="Butterfly ",D1940="Iron Fly", D1940="Iron Fly "),LEN(E1940)-LEN(SUBSTITUTE(E1940,"/",""))+2,LEN(E1940)-LEN(SUBSTITUTE(E1940,"/",""))+1))</f>
        <v/>
      </c>
      <c r="I1940" s="78">
        <f>IF(ISBLANK(G1940),"",IF(D1940="Stock","0",Key!$A$3*H1940*G1940))</f>
        <v/>
      </c>
      <c r="J1940" s="78">
        <f>IF(ISBLANK(E1940),"",IF(ISNUMBER(SEARCH("/",E1940)), IF(LEN(E1940)-LEN(SUBSTITUTE(E1940,"/",""))=1,(RIGHT(E1940,LEN(E1940)-FIND("/",E1940)))-(LEFT(E1940,FIND("/",E1940)-1)),(MID(E1940, SEARCH("/",E1940) + 1, SEARCH("/",E1940, SEARCH("/",E1940)+1) - SEARCH("/",E1940) - 1))-(LEFT(E1940,FIND("/",E1940)-1))), "NA"))</f>
        <v/>
      </c>
      <c r="K1940" s="79">
        <f>IF(A1940&lt;&gt;"", IF(ISBLANK(L1940), TODAY(), K1940), "")</f>
        <v/>
      </c>
      <c r="L1940" s="78" t="n"/>
      <c r="M1940" s="78">
        <f>IF(ISBLANK(L1940),"",IF(D1940="Stock",IF(C1940="Buy",L1940*G1940,IF(C1940="Sell",(L1940*G1940)-I1940, X)),IF(C1940="Buy",(L1940*G1940*100)+I1940,IF(C1940="Sell",(L1940*G1940*100)-I1940, X))))</f>
        <v/>
      </c>
      <c r="N1940" s="78">
        <f>IF(ISBLANK(L1940),"",IF(AND(C1940="Sell",D1940="Stock"),M1940,IF(ISBLANK(L1940),"",IF(C1940="Buy",M1940, IF(AND(C1940="Sell",J1940="NA"),(E1940*G1940*100*0.1)+I1940, IF(C1940="Sell",(J1940-L1940)*(100*G1940)+I1940))))))</f>
        <v/>
      </c>
      <c r="O1940" s="75" t="n"/>
      <c r="P1940" s="75" t="n"/>
      <c r="Q1940" s="75">
        <f>IF(ISBLANK(P1940),"",IF(D1940="Stock",P1940*G1940,IF(P1940=0,"0",G1940*P1940*100-(G1940*$AF$14))))</f>
        <v/>
      </c>
      <c r="R1940" s="79">
        <f>IF(P1940&lt;&gt;"", TODAY(), "")</f>
        <v/>
      </c>
      <c r="S1940" s="78">
        <f>IF(AND(K1940&lt;&gt;"", R1940&lt;&gt;""), R1940-K1940, "")</f>
        <v/>
      </c>
      <c r="T1940" s="78" t="n"/>
      <c r="U1940" s="92">
        <f>IF(ISBLANK(P1940),"",IF(C1940="Buy",Q1940-M1940+T1940, IF(C1940="Sell",M1940-Q1940-T1940, X)))</f>
        <v/>
      </c>
      <c r="V1940" s="81">
        <f>IF(ISBLANK(P1940),"",U1940/N1940)</f>
        <v/>
      </c>
      <c r="W1940" s="81">
        <f>IF(ISBLANK(P1940),"",IF(S1940=0,(365/0.5)*V1940,(365/S1940)*V1940))</f>
        <v/>
      </c>
      <c r="X1940" s="75" t="n"/>
      <c r="Y1940" s="77" t="n"/>
      <c r="Z1940" s="77" t="n"/>
      <c r="AA1940" s="75" t="n"/>
      <c r="AB1940" s="75" t="n"/>
      <c r="AC1940" s="6" t="n"/>
      <c r="AD1940" s="75" t="n"/>
      <c r="AE1940" s="75" t="n"/>
      <c r="AF1940" s="75" t="n"/>
    </row>
    <row r="1941" ht="15.75" customHeight="1" s="133">
      <c r="A1941" s="75" t="n"/>
      <c r="B1941" s="75" t="n"/>
      <c r="C1941" s="75" t="n"/>
      <c r="D1941" s="75" t="n"/>
      <c r="E1941" s="76" t="n"/>
      <c r="F1941" s="77" t="n"/>
      <c r="G1941" s="75" t="n"/>
      <c r="H1941" s="75">
        <f>IF(ISBLANK(E1941),"",IF(OR(D1941="Butterfly",D1941="Butterfly ",D1941="Iron Fly", D1941="Iron Fly "),LEN(E1941)-LEN(SUBSTITUTE(E1941,"/",""))+2,LEN(E1941)-LEN(SUBSTITUTE(E1941,"/",""))+1))</f>
        <v/>
      </c>
      <c r="I1941" s="78">
        <f>IF(ISBLANK(G1941),"",IF(D1941="Stock","0",Key!$A$3*H1941*G1941))</f>
        <v/>
      </c>
      <c r="J1941" s="78">
        <f>IF(ISBLANK(E1941),"",IF(ISNUMBER(SEARCH("/",E1941)), IF(LEN(E1941)-LEN(SUBSTITUTE(E1941,"/",""))=1,(RIGHT(E1941,LEN(E1941)-FIND("/",E1941)))-(LEFT(E1941,FIND("/",E1941)-1)),(MID(E1941, SEARCH("/",E1941) + 1, SEARCH("/",E1941, SEARCH("/",E1941)+1) - SEARCH("/",E1941) - 1))-(LEFT(E1941,FIND("/",E1941)-1))), "NA"))</f>
        <v/>
      </c>
      <c r="K1941" s="79">
        <f>IF(A1941&lt;&gt;"", IF(ISBLANK(L1941), TODAY(), K1941), "")</f>
        <v/>
      </c>
      <c r="L1941" s="78" t="n"/>
      <c r="M1941" s="78">
        <f>IF(ISBLANK(L1941),"",IF(D1941="Stock",IF(C1941="Buy",L1941*G1941,IF(C1941="Sell",(L1941*G1941)-I1941, X)),IF(C1941="Buy",(L1941*G1941*100)+I1941,IF(C1941="Sell",(L1941*G1941*100)-I1941, X))))</f>
        <v/>
      </c>
      <c r="N1941" s="78">
        <f>IF(ISBLANK(L1941),"",IF(AND(C1941="Sell",D1941="Stock"),M1941,IF(ISBLANK(L1941),"",IF(C1941="Buy",M1941, IF(AND(C1941="Sell",J1941="NA"),(E1941*G1941*100*0.1)+I1941, IF(C1941="Sell",(J1941-L1941)*(100*G1941)+I1941))))))</f>
        <v/>
      </c>
      <c r="O1941" s="75" t="n"/>
      <c r="P1941" s="75" t="n"/>
      <c r="Q1941" s="75">
        <f>IF(ISBLANK(P1941),"",IF(D1941="Stock",P1941*G1941,IF(P1941=0,"0",G1941*P1941*100-(G1941*$AF$14))))</f>
        <v/>
      </c>
      <c r="R1941" s="79">
        <f>IF(P1941&lt;&gt;"", TODAY(), "")</f>
        <v/>
      </c>
      <c r="S1941" s="78">
        <f>IF(AND(K1941&lt;&gt;"", R1941&lt;&gt;""), R1941-K1941, "")</f>
        <v/>
      </c>
      <c r="T1941" s="78" t="n"/>
      <c r="U1941" s="92">
        <f>IF(ISBLANK(P1941),"",IF(C1941="Buy",Q1941-M1941+T1941, IF(C1941="Sell",M1941-Q1941-T1941, X)))</f>
        <v/>
      </c>
      <c r="V1941" s="81">
        <f>IF(ISBLANK(P1941),"",U1941/N1941)</f>
        <v/>
      </c>
      <c r="W1941" s="81">
        <f>IF(ISBLANK(P1941),"",IF(S1941=0,(365/0.5)*V1941,(365/S1941)*V1941))</f>
        <v/>
      </c>
      <c r="X1941" s="75" t="n"/>
      <c r="Y1941" s="77" t="n"/>
      <c r="Z1941" s="77" t="n"/>
      <c r="AA1941" s="75" t="n"/>
      <c r="AB1941" s="75" t="n"/>
      <c r="AC1941" s="6" t="n"/>
      <c r="AD1941" s="75" t="n"/>
      <c r="AE1941" s="75" t="n"/>
      <c r="AF1941" s="75" t="n"/>
    </row>
    <row r="1942" ht="15.75" customHeight="1" s="133">
      <c r="A1942" s="75" t="n"/>
      <c r="B1942" s="75" t="n"/>
      <c r="C1942" s="75" t="n"/>
      <c r="D1942" s="75" t="n"/>
      <c r="E1942" s="76" t="n"/>
      <c r="F1942" s="77" t="n"/>
      <c r="G1942" s="75" t="n"/>
      <c r="H1942" s="75">
        <f>IF(ISBLANK(E1942),"",IF(OR(D1942="Butterfly",D1942="Butterfly ",D1942="Iron Fly", D1942="Iron Fly "),LEN(E1942)-LEN(SUBSTITUTE(E1942,"/",""))+2,LEN(E1942)-LEN(SUBSTITUTE(E1942,"/",""))+1))</f>
        <v/>
      </c>
      <c r="I1942" s="78">
        <f>IF(ISBLANK(G1942),"",IF(D1942="Stock","0",Key!$A$3*H1942*G1942))</f>
        <v/>
      </c>
      <c r="J1942" s="78">
        <f>IF(ISBLANK(E1942),"",IF(ISNUMBER(SEARCH("/",E1942)), IF(LEN(E1942)-LEN(SUBSTITUTE(E1942,"/",""))=1,(RIGHT(E1942,LEN(E1942)-FIND("/",E1942)))-(LEFT(E1942,FIND("/",E1942)-1)),(MID(E1942, SEARCH("/",E1942) + 1, SEARCH("/",E1942, SEARCH("/",E1942)+1) - SEARCH("/",E1942) - 1))-(LEFT(E1942,FIND("/",E1942)-1))), "NA"))</f>
        <v/>
      </c>
      <c r="K1942" s="79">
        <f>IF(A1942&lt;&gt;"", IF(ISBLANK(L1942), TODAY(), K1942), "")</f>
        <v/>
      </c>
      <c r="L1942" s="78" t="n"/>
      <c r="M1942" s="78">
        <f>IF(ISBLANK(L1942),"",IF(D1942="Stock",IF(C1942="Buy",L1942*G1942,IF(C1942="Sell",(L1942*G1942)-I1942, X)),IF(C1942="Buy",(L1942*G1942*100)+I1942,IF(C1942="Sell",(L1942*G1942*100)-I1942, X))))</f>
        <v/>
      </c>
      <c r="N1942" s="78">
        <f>IF(ISBLANK(L1942),"",IF(AND(C1942="Sell",D1942="Stock"),M1942,IF(ISBLANK(L1942),"",IF(C1942="Buy",M1942, IF(AND(C1942="Sell",J1942="NA"),(E1942*G1942*100*0.1)+I1942, IF(C1942="Sell",(J1942-L1942)*(100*G1942)+I1942))))))</f>
        <v/>
      </c>
      <c r="O1942" s="75" t="n"/>
      <c r="P1942" s="75" t="n"/>
      <c r="Q1942" s="75">
        <f>IF(ISBLANK(P1942),"",IF(D1942="Stock",P1942*G1942,IF(P1942=0,"0",G1942*P1942*100-(G1942*$AF$14))))</f>
        <v/>
      </c>
      <c r="R1942" s="79">
        <f>IF(P1942&lt;&gt;"", TODAY(), "")</f>
        <v/>
      </c>
      <c r="S1942" s="78">
        <f>IF(AND(K1942&lt;&gt;"", R1942&lt;&gt;""), R1942-K1942, "")</f>
        <v/>
      </c>
      <c r="T1942" s="78" t="n"/>
      <c r="U1942" s="92">
        <f>IF(ISBLANK(P1942),"",IF(C1942="Buy",Q1942-M1942+T1942, IF(C1942="Sell",M1942-Q1942-T1942, X)))</f>
        <v/>
      </c>
      <c r="V1942" s="81">
        <f>IF(ISBLANK(P1942),"",U1942/N1942)</f>
        <v/>
      </c>
      <c r="W1942" s="81">
        <f>IF(ISBLANK(P1942),"",IF(S1942=0,(365/0.5)*V1942,(365/S1942)*V1942))</f>
        <v/>
      </c>
      <c r="X1942" s="75" t="n"/>
      <c r="Y1942" s="77" t="n"/>
      <c r="Z1942" s="77" t="n"/>
      <c r="AA1942" s="75" t="n"/>
      <c r="AB1942" s="75" t="n"/>
      <c r="AC1942" s="6" t="n"/>
      <c r="AD1942" s="75" t="n"/>
      <c r="AE1942" s="75" t="n"/>
      <c r="AF1942" s="75" t="n"/>
    </row>
    <row r="1943" ht="15.75" customHeight="1" s="133">
      <c r="A1943" s="75" t="n"/>
      <c r="B1943" s="75" t="n"/>
      <c r="C1943" s="75" t="n"/>
      <c r="D1943" s="75" t="n"/>
      <c r="E1943" s="76" t="n"/>
      <c r="F1943" s="77" t="n"/>
      <c r="G1943" s="75" t="n"/>
      <c r="H1943" s="75">
        <f>IF(ISBLANK(E1943),"",IF(OR(D1943="Butterfly",D1943="Butterfly ",D1943="Iron Fly", D1943="Iron Fly "),LEN(E1943)-LEN(SUBSTITUTE(E1943,"/",""))+2,LEN(E1943)-LEN(SUBSTITUTE(E1943,"/",""))+1))</f>
        <v/>
      </c>
      <c r="I1943" s="78">
        <f>IF(ISBLANK(G1943),"",IF(D1943="Stock","0",Key!$A$3*H1943*G1943))</f>
        <v/>
      </c>
      <c r="J1943" s="78">
        <f>IF(ISBLANK(E1943),"",IF(ISNUMBER(SEARCH("/",E1943)), IF(LEN(E1943)-LEN(SUBSTITUTE(E1943,"/",""))=1,(RIGHT(E1943,LEN(E1943)-FIND("/",E1943)))-(LEFT(E1943,FIND("/",E1943)-1)),(MID(E1943, SEARCH("/",E1943) + 1, SEARCH("/",E1943, SEARCH("/",E1943)+1) - SEARCH("/",E1943) - 1))-(LEFT(E1943,FIND("/",E1943)-1))), "NA"))</f>
        <v/>
      </c>
      <c r="K1943" s="79">
        <f>IF(A1943&lt;&gt;"", IF(ISBLANK(L1943), TODAY(), K1943), "")</f>
        <v/>
      </c>
      <c r="L1943" s="78" t="n"/>
      <c r="M1943" s="78">
        <f>IF(ISBLANK(L1943),"",IF(D1943="Stock",IF(C1943="Buy",L1943*G1943,IF(C1943="Sell",(L1943*G1943)-I1943, X)),IF(C1943="Buy",(L1943*G1943*100)+I1943,IF(C1943="Sell",(L1943*G1943*100)-I1943, X))))</f>
        <v/>
      </c>
      <c r="N1943" s="78">
        <f>IF(ISBLANK(L1943),"",IF(AND(C1943="Sell",D1943="Stock"),M1943,IF(ISBLANK(L1943),"",IF(C1943="Buy",M1943, IF(AND(C1943="Sell",J1943="NA"),(E1943*G1943*100*0.1)+I1943, IF(C1943="Sell",(J1943-L1943)*(100*G1943)+I1943))))))</f>
        <v/>
      </c>
      <c r="O1943" s="75" t="n"/>
      <c r="P1943" s="75" t="n"/>
      <c r="Q1943" s="75">
        <f>IF(ISBLANK(P1943),"",IF(D1943="Stock",P1943*G1943,IF(P1943=0,"0",G1943*P1943*100-(G1943*$AF$14))))</f>
        <v/>
      </c>
      <c r="R1943" s="79">
        <f>IF(P1943&lt;&gt;"", TODAY(), "")</f>
        <v/>
      </c>
      <c r="S1943" s="78">
        <f>IF(AND(K1943&lt;&gt;"", R1943&lt;&gt;""), R1943-K1943, "")</f>
        <v/>
      </c>
      <c r="T1943" s="78" t="n"/>
      <c r="U1943" s="92">
        <f>IF(ISBLANK(P1943),"",IF(C1943="Buy",Q1943-M1943+T1943, IF(C1943="Sell",M1943-Q1943-T1943, X)))</f>
        <v/>
      </c>
      <c r="V1943" s="81">
        <f>IF(ISBLANK(P1943),"",U1943/N1943)</f>
        <v/>
      </c>
      <c r="W1943" s="81">
        <f>IF(ISBLANK(P1943),"",IF(S1943=0,(365/0.5)*V1943,(365/S1943)*V1943))</f>
        <v/>
      </c>
      <c r="X1943" s="75" t="n"/>
      <c r="Y1943" s="77" t="n"/>
      <c r="Z1943" s="77" t="n"/>
      <c r="AA1943" s="75" t="n"/>
      <c r="AB1943" s="75" t="n"/>
      <c r="AC1943" s="6" t="n"/>
      <c r="AD1943" s="75" t="n"/>
      <c r="AE1943" s="75" t="n"/>
      <c r="AF1943" s="75" t="n"/>
    </row>
    <row r="1944" ht="15.75" customHeight="1" s="133">
      <c r="A1944" s="75" t="n"/>
      <c r="B1944" s="75" t="n"/>
      <c r="C1944" s="75" t="n"/>
      <c r="D1944" s="75" t="n"/>
      <c r="E1944" s="76" t="n"/>
      <c r="F1944" s="77" t="n"/>
      <c r="G1944" s="75" t="n"/>
      <c r="H1944" s="75">
        <f>IF(ISBLANK(E1944),"",IF(OR(D1944="Butterfly",D1944="Butterfly ",D1944="Iron Fly", D1944="Iron Fly "),LEN(E1944)-LEN(SUBSTITUTE(E1944,"/",""))+2,LEN(E1944)-LEN(SUBSTITUTE(E1944,"/",""))+1))</f>
        <v/>
      </c>
      <c r="I1944" s="78">
        <f>IF(ISBLANK(G1944),"",IF(D1944="Stock","0",Key!$A$3*H1944*G1944))</f>
        <v/>
      </c>
      <c r="J1944" s="78">
        <f>IF(ISBLANK(E1944),"",IF(ISNUMBER(SEARCH("/",E1944)), IF(LEN(E1944)-LEN(SUBSTITUTE(E1944,"/",""))=1,(RIGHT(E1944,LEN(E1944)-FIND("/",E1944)))-(LEFT(E1944,FIND("/",E1944)-1)),(MID(E1944, SEARCH("/",E1944) + 1, SEARCH("/",E1944, SEARCH("/",E1944)+1) - SEARCH("/",E1944) - 1))-(LEFT(E1944,FIND("/",E1944)-1))), "NA"))</f>
        <v/>
      </c>
      <c r="K1944" s="79">
        <f>IF(A1944&lt;&gt;"", IF(ISBLANK(L1944), TODAY(), K1944), "")</f>
        <v/>
      </c>
      <c r="L1944" s="78" t="n"/>
      <c r="M1944" s="78">
        <f>IF(ISBLANK(L1944),"",IF(D1944="Stock",IF(C1944="Buy",L1944*G1944,IF(C1944="Sell",(L1944*G1944)-I1944, X)),IF(C1944="Buy",(L1944*G1944*100)+I1944,IF(C1944="Sell",(L1944*G1944*100)-I1944, X))))</f>
        <v/>
      </c>
      <c r="N1944" s="78">
        <f>IF(ISBLANK(L1944),"",IF(AND(C1944="Sell",D1944="Stock"),M1944,IF(ISBLANK(L1944),"",IF(C1944="Buy",M1944, IF(AND(C1944="Sell",J1944="NA"),(E1944*G1944*100*0.1)+I1944, IF(C1944="Sell",(J1944-L1944)*(100*G1944)+I1944))))))</f>
        <v/>
      </c>
      <c r="O1944" s="75" t="n"/>
      <c r="P1944" s="75" t="n"/>
      <c r="Q1944" s="75">
        <f>IF(ISBLANK(P1944),"",IF(D1944="Stock",P1944*G1944,IF(P1944=0,"0",G1944*P1944*100-(G1944*$AF$14))))</f>
        <v/>
      </c>
      <c r="R1944" s="79">
        <f>IF(P1944&lt;&gt;"", TODAY(), "")</f>
        <v/>
      </c>
      <c r="S1944" s="78">
        <f>IF(AND(K1944&lt;&gt;"", R1944&lt;&gt;""), R1944-K1944, "")</f>
        <v/>
      </c>
      <c r="T1944" s="78" t="n"/>
      <c r="U1944" s="92">
        <f>IF(ISBLANK(P1944),"",IF(C1944="Buy",Q1944-M1944+T1944, IF(C1944="Sell",M1944-Q1944-T1944, X)))</f>
        <v/>
      </c>
      <c r="V1944" s="81">
        <f>IF(ISBLANK(P1944),"",U1944/N1944)</f>
        <v/>
      </c>
      <c r="W1944" s="81">
        <f>IF(ISBLANK(P1944),"",IF(S1944=0,(365/0.5)*V1944,(365/S1944)*V1944))</f>
        <v/>
      </c>
      <c r="X1944" s="75" t="n"/>
      <c r="Y1944" s="77" t="n"/>
      <c r="Z1944" s="77" t="n"/>
      <c r="AA1944" s="75" t="n"/>
      <c r="AB1944" s="75" t="n"/>
      <c r="AC1944" s="6" t="n"/>
      <c r="AD1944" s="75" t="n"/>
      <c r="AE1944" s="75" t="n"/>
      <c r="AF1944" s="75" t="n"/>
    </row>
    <row r="1945" ht="15.75" customHeight="1" s="133">
      <c r="A1945" s="75" t="n"/>
      <c r="B1945" s="75" t="n"/>
      <c r="C1945" s="75" t="n"/>
      <c r="D1945" s="75" t="n"/>
      <c r="E1945" s="76" t="n"/>
      <c r="F1945" s="77" t="n"/>
      <c r="G1945" s="75" t="n"/>
      <c r="H1945" s="75">
        <f>IF(ISBLANK(E1945),"",IF(OR(D1945="Butterfly",D1945="Butterfly ",D1945="Iron Fly", D1945="Iron Fly "),LEN(E1945)-LEN(SUBSTITUTE(E1945,"/",""))+2,LEN(E1945)-LEN(SUBSTITUTE(E1945,"/",""))+1))</f>
        <v/>
      </c>
      <c r="I1945" s="78">
        <f>IF(ISBLANK(G1945),"",IF(D1945="Stock","0",Key!$A$3*H1945*G1945))</f>
        <v/>
      </c>
      <c r="J1945" s="78">
        <f>IF(ISBLANK(E1945),"",IF(ISNUMBER(SEARCH("/",E1945)), IF(LEN(E1945)-LEN(SUBSTITUTE(E1945,"/",""))=1,(RIGHT(E1945,LEN(E1945)-FIND("/",E1945)))-(LEFT(E1945,FIND("/",E1945)-1)),(MID(E1945, SEARCH("/",E1945) + 1, SEARCH("/",E1945, SEARCH("/",E1945)+1) - SEARCH("/",E1945) - 1))-(LEFT(E1945,FIND("/",E1945)-1))), "NA"))</f>
        <v/>
      </c>
      <c r="K1945" s="79">
        <f>IF(A1945&lt;&gt;"", IF(ISBLANK(L1945), TODAY(), K1945), "")</f>
        <v/>
      </c>
      <c r="L1945" s="78" t="n"/>
      <c r="M1945" s="78">
        <f>IF(ISBLANK(L1945),"",IF(D1945="Stock",IF(C1945="Buy",L1945*G1945,IF(C1945="Sell",(L1945*G1945)-I1945, X)),IF(C1945="Buy",(L1945*G1945*100)+I1945,IF(C1945="Sell",(L1945*G1945*100)-I1945, X))))</f>
        <v/>
      </c>
      <c r="N1945" s="78">
        <f>IF(ISBLANK(L1945),"",IF(AND(C1945="Sell",D1945="Stock"),M1945,IF(ISBLANK(L1945),"",IF(C1945="Buy",M1945, IF(AND(C1945="Sell",J1945="NA"),(E1945*G1945*100*0.1)+I1945, IF(C1945="Sell",(J1945-L1945)*(100*G1945)+I1945))))))</f>
        <v/>
      </c>
      <c r="O1945" s="75" t="n"/>
      <c r="P1945" s="75" t="n"/>
      <c r="Q1945" s="75">
        <f>IF(ISBLANK(P1945),"",IF(D1945="Stock",P1945*G1945,IF(P1945=0,"0",G1945*P1945*100-(G1945*$AF$14))))</f>
        <v/>
      </c>
      <c r="R1945" s="79">
        <f>IF(P1945&lt;&gt;"", TODAY(), "")</f>
        <v/>
      </c>
      <c r="S1945" s="78">
        <f>IF(AND(K1945&lt;&gt;"", R1945&lt;&gt;""), R1945-K1945, "")</f>
        <v/>
      </c>
      <c r="T1945" s="78" t="n"/>
      <c r="U1945" s="92">
        <f>IF(ISBLANK(P1945),"",IF(C1945="Buy",Q1945-M1945+T1945, IF(C1945="Sell",M1945-Q1945-T1945, X)))</f>
        <v/>
      </c>
      <c r="V1945" s="81">
        <f>IF(ISBLANK(P1945),"",U1945/N1945)</f>
        <v/>
      </c>
      <c r="W1945" s="81">
        <f>IF(ISBLANK(P1945),"",IF(S1945=0,(365/0.5)*V1945,(365/S1945)*V1945))</f>
        <v/>
      </c>
      <c r="X1945" s="75" t="n"/>
      <c r="Y1945" s="77" t="n"/>
      <c r="Z1945" s="77" t="n"/>
      <c r="AA1945" s="75" t="n"/>
      <c r="AB1945" s="75" t="n"/>
      <c r="AC1945" s="6" t="n"/>
      <c r="AD1945" s="75" t="n"/>
      <c r="AE1945" s="75" t="n"/>
      <c r="AF1945" s="75" t="n"/>
    </row>
    <row r="1946" ht="15.75" customHeight="1" s="133">
      <c r="A1946" s="75" t="n"/>
      <c r="B1946" s="75" t="n"/>
      <c r="C1946" s="75" t="n"/>
      <c r="D1946" s="75" t="n"/>
      <c r="E1946" s="76" t="n"/>
      <c r="F1946" s="77" t="n"/>
      <c r="G1946" s="75" t="n"/>
      <c r="H1946" s="75">
        <f>IF(ISBLANK(E1946),"",IF(OR(D1946="Butterfly",D1946="Butterfly ",D1946="Iron Fly", D1946="Iron Fly "),LEN(E1946)-LEN(SUBSTITUTE(E1946,"/",""))+2,LEN(E1946)-LEN(SUBSTITUTE(E1946,"/",""))+1))</f>
        <v/>
      </c>
      <c r="I1946" s="78">
        <f>IF(ISBLANK(G1946),"",IF(D1946="Stock","0",Key!$A$3*H1946*G1946))</f>
        <v/>
      </c>
      <c r="J1946" s="78">
        <f>IF(ISBLANK(E1946),"",IF(ISNUMBER(SEARCH("/",E1946)), IF(LEN(E1946)-LEN(SUBSTITUTE(E1946,"/",""))=1,(RIGHT(E1946,LEN(E1946)-FIND("/",E1946)))-(LEFT(E1946,FIND("/",E1946)-1)),(MID(E1946, SEARCH("/",E1946) + 1, SEARCH("/",E1946, SEARCH("/",E1946)+1) - SEARCH("/",E1946) - 1))-(LEFT(E1946,FIND("/",E1946)-1))), "NA"))</f>
        <v/>
      </c>
      <c r="K1946" s="79">
        <f>IF(A1946&lt;&gt;"", IF(ISBLANK(L1946), TODAY(), K1946), "")</f>
        <v/>
      </c>
      <c r="L1946" s="78" t="n"/>
      <c r="M1946" s="78">
        <f>IF(ISBLANK(L1946),"",IF(D1946="Stock",IF(C1946="Buy",L1946*G1946,IF(C1946="Sell",(L1946*G1946)-I1946, X)),IF(C1946="Buy",(L1946*G1946*100)+I1946,IF(C1946="Sell",(L1946*G1946*100)-I1946, X))))</f>
        <v/>
      </c>
      <c r="N1946" s="78">
        <f>IF(ISBLANK(L1946),"",IF(AND(C1946="Sell",D1946="Stock"),M1946,IF(ISBLANK(L1946),"",IF(C1946="Buy",M1946, IF(AND(C1946="Sell",J1946="NA"),(E1946*G1946*100*0.1)+I1946, IF(C1946="Sell",(J1946-L1946)*(100*G1946)+I1946))))))</f>
        <v/>
      </c>
      <c r="O1946" s="75" t="n"/>
      <c r="P1946" s="75" t="n"/>
      <c r="Q1946" s="75">
        <f>IF(ISBLANK(P1946),"",IF(D1946="Stock",P1946*G1946,IF(P1946=0,"0",G1946*P1946*100-(G1946*$AF$14))))</f>
        <v/>
      </c>
      <c r="R1946" s="79">
        <f>IF(P1946&lt;&gt;"", TODAY(), "")</f>
        <v/>
      </c>
      <c r="S1946" s="78">
        <f>IF(AND(K1946&lt;&gt;"", R1946&lt;&gt;""), R1946-K1946, "")</f>
        <v/>
      </c>
      <c r="T1946" s="78" t="n"/>
      <c r="U1946" s="92">
        <f>IF(ISBLANK(P1946),"",IF(C1946="Buy",Q1946-M1946+T1946, IF(C1946="Sell",M1946-Q1946-T1946, X)))</f>
        <v/>
      </c>
      <c r="V1946" s="81">
        <f>IF(ISBLANK(P1946),"",U1946/N1946)</f>
        <v/>
      </c>
      <c r="W1946" s="81">
        <f>IF(ISBLANK(P1946),"",IF(S1946=0,(365/0.5)*V1946,(365/S1946)*V1946))</f>
        <v/>
      </c>
      <c r="X1946" s="75" t="n"/>
      <c r="Y1946" s="77" t="n"/>
      <c r="Z1946" s="77" t="n"/>
      <c r="AA1946" s="75" t="n"/>
      <c r="AB1946" s="75" t="n"/>
      <c r="AC1946" s="6" t="n"/>
      <c r="AD1946" s="75" t="n"/>
      <c r="AE1946" s="75" t="n"/>
      <c r="AF1946" s="75" t="n"/>
    </row>
    <row r="1947" ht="15.75" customHeight="1" s="133">
      <c r="A1947" s="75" t="n"/>
      <c r="B1947" s="75" t="n"/>
      <c r="C1947" s="75" t="n"/>
      <c r="D1947" s="75" t="n"/>
      <c r="E1947" s="76" t="n"/>
      <c r="F1947" s="77" t="n"/>
      <c r="G1947" s="75" t="n"/>
      <c r="H1947" s="75">
        <f>IF(ISBLANK(E1947),"",IF(OR(D1947="Butterfly",D1947="Butterfly ",D1947="Iron Fly", D1947="Iron Fly "),LEN(E1947)-LEN(SUBSTITUTE(E1947,"/",""))+2,LEN(E1947)-LEN(SUBSTITUTE(E1947,"/",""))+1))</f>
        <v/>
      </c>
      <c r="I1947" s="78">
        <f>IF(ISBLANK(G1947),"",IF(D1947="Stock","0",Key!$A$3*H1947*G1947))</f>
        <v/>
      </c>
      <c r="J1947" s="78">
        <f>IF(ISBLANK(E1947),"",IF(ISNUMBER(SEARCH("/",E1947)), IF(LEN(E1947)-LEN(SUBSTITUTE(E1947,"/",""))=1,(RIGHT(E1947,LEN(E1947)-FIND("/",E1947)))-(LEFT(E1947,FIND("/",E1947)-1)),(MID(E1947, SEARCH("/",E1947) + 1, SEARCH("/",E1947, SEARCH("/",E1947)+1) - SEARCH("/",E1947) - 1))-(LEFT(E1947,FIND("/",E1947)-1))), "NA"))</f>
        <v/>
      </c>
      <c r="K1947" s="79">
        <f>IF(A1947&lt;&gt;"", IF(ISBLANK(L1947), TODAY(), K1947), "")</f>
        <v/>
      </c>
      <c r="L1947" s="78" t="n"/>
      <c r="M1947" s="78">
        <f>IF(ISBLANK(L1947),"",IF(D1947="Stock",IF(C1947="Buy",L1947*G1947,IF(C1947="Sell",(L1947*G1947)-I1947, X)),IF(C1947="Buy",(L1947*G1947*100)+I1947,IF(C1947="Sell",(L1947*G1947*100)-I1947, X))))</f>
        <v/>
      </c>
      <c r="N1947" s="78">
        <f>IF(ISBLANK(L1947),"",IF(AND(C1947="Sell",D1947="Stock"),M1947,IF(ISBLANK(L1947),"",IF(C1947="Buy",M1947, IF(AND(C1947="Sell",J1947="NA"),(E1947*G1947*100*0.1)+I1947, IF(C1947="Sell",(J1947-L1947)*(100*G1947)+I1947))))))</f>
        <v/>
      </c>
      <c r="O1947" s="75" t="n"/>
      <c r="P1947" s="75" t="n"/>
      <c r="Q1947" s="75">
        <f>IF(ISBLANK(P1947),"",IF(D1947="Stock",P1947*G1947,IF(P1947=0,"0",G1947*P1947*100-(G1947*$AF$14))))</f>
        <v/>
      </c>
      <c r="R1947" s="79">
        <f>IF(P1947&lt;&gt;"", TODAY(), "")</f>
        <v/>
      </c>
      <c r="S1947" s="78">
        <f>IF(AND(K1947&lt;&gt;"", R1947&lt;&gt;""), R1947-K1947, "")</f>
        <v/>
      </c>
      <c r="T1947" s="78" t="n"/>
      <c r="U1947" s="92">
        <f>IF(ISBLANK(P1947),"",IF(C1947="Buy",Q1947-M1947+T1947, IF(C1947="Sell",M1947-Q1947-T1947, X)))</f>
        <v/>
      </c>
      <c r="V1947" s="81">
        <f>IF(ISBLANK(P1947),"",U1947/N1947)</f>
        <v/>
      </c>
      <c r="W1947" s="81">
        <f>IF(ISBLANK(P1947),"",IF(S1947=0,(365/0.5)*V1947,(365/S1947)*V1947))</f>
        <v/>
      </c>
      <c r="X1947" s="75" t="n"/>
      <c r="Y1947" s="77" t="n"/>
      <c r="Z1947" s="77" t="n"/>
      <c r="AA1947" s="75" t="n"/>
      <c r="AB1947" s="75" t="n"/>
      <c r="AC1947" s="6" t="n"/>
      <c r="AD1947" s="75" t="n"/>
      <c r="AE1947" s="75" t="n"/>
      <c r="AF1947" s="75" t="n"/>
    </row>
    <row r="1948" ht="15.75" customHeight="1" s="133">
      <c r="A1948" s="75" t="n"/>
      <c r="B1948" s="75" t="n"/>
      <c r="C1948" s="75" t="n"/>
      <c r="D1948" s="75" t="n"/>
      <c r="E1948" s="76" t="n"/>
      <c r="F1948" s="77" t="n"/>
      <c r="G1948" s="75" t="n"/>
      <c r="H1948" s="75">
        <f>IF(ISBLANK(E1948),"",IF(OR(D1948="Butterfly",D1948="Butterfly ",D1948="Iron Fly", D1948="Iron Fly "),LEN(E1948)-LEN(SUBSTITUTE(E1948,"/",""))+2,LEN(E1948)-LEN(SUBSTITUTE(E1948,"/",""))+1))</f>
        <v/>
      </c>
      <c r="I1948" s="78">
        <f>IF(ISBLANK(G1948),"",IF(D1948="Stock","0",Key!$A$3*H1948*G1948))</f>
        <v/>
      </c>
      <c r="J1948" s="78">
        <f>IF(ISBLANK(E1948),"",IF(ISNUMBER(SEARCH("/",E1948)), IF(LEN(E1948)-LEN(SUBSTITUTE(E1948,"/",""))=1,(RIGHT(E1948,LEN(E1948)-FIND("/",E1948)))-(LEFT(E1948,FIND("/",E1948)-1)),(MID(E1948, SEARCH("/",E1948) + 1, SEARCH("/",E1948, SEARCH("/",E1948)+1) - SEARCH("/",E1948) - 1))-(LEFT(E1948,FIND("/",E1948)-1))), "NA"))</f>
        <v/>
      </c>
      <c r="K1948" s="79">
        <f>IF(A1948&lt;&gt;"", IF(ISBLANK(L1948), TODAY(), K1948), "")</f>
        <v/>
      </c>
      <c r="L1948" s="78" t="n"/>
      <c r="M1948" s="78">
        <f>IF(ISBLANK(L1948),"",IF(D1948="Stock",IF(C1948="Buy",L1948*G1948,IF(C1948="Sell",(L1948*G1948)-I1948, X)),IF(C1948="Buy",(L1948*G1948*100)+I1948,IF(C1948="Sell",(L1948*G1948*100)-I1948, X))))</f>
        <v/>
      </c>
      <c r="N1948" s="78">
        <f>IF(ISBLANK(L1948),"",IF(AND(C1948="Sell",D1948="Stock"),M1948,IF(ISBLANK(L1948),"",IF(C1948="Buy",M1948, IF(AND(C1948="Sell",J1948="NA"),(E1948*G1948*100*0.1)+I1948, IF(C1948="Sell",(J1948-L1948)*(100*G1948)+I1948))))))</f>
        <v/>
      </c>
      <c r="O1948" s="75" t="n"/>
      <c r="P1948" s="75" t="n"/>
      <c r="Q1948" s="75">
        <f>IF(ISBLANK(P1948),"",IF(D1948="Stock",P1948*G1948,IF(P1948=0,"0",G1948*P1948*100-(G1948*$AF$14))))</f>
        <v/>
      </c>
      <c r="R1948" s="79">
        <f>IF(P1948&lt;&gt;"", TODAY(), "")</f>
        <v/>
      </c>
      <c r="S1948" s="78">
        <f>IF(AND(K1948&lt;&gt;"", R1948&lt;&gt;""), R1948-K1948, "")</f>
        <v/>
      </c>
      <c r="T1948" s="78" t="n"/>
      <c r="U1948" s="92">
        <f>IF(ISBLANK(P1948),"",IF(C1948="Buy",Q1948-M1948+T1948, IF(C1948="Sell",M1948-Q1948-T1948, X)))</f>
        <v/>
      </c>
      <c r="V1948" s="81">
        <f>IF(ISBLANK(P1948),"",U1948/N1948)</f>
        <v/>
      </c>
      <c r="W1948" s="81">
        <f>IF(ISBLANK(P1948),"",IF(S1948=0,(365/0.5)*V1948,(365/S1948)*V1948))</f>
        <v/>
      </c>
      <c r="X1948" s="75" t="n"/>
      <c r="Y1948" s="77" t="n"/>
      <c r="Z1948" s="77" t="n"/>
      <c r="AA1948" s="75" t="n"/>
      <c r="AB1948" s="75" t="n"/>
      <c r="AC1948" s="6" t="n"/>
      <c r="AD1948" s="75" t="n"/>
      <c r="AE1948" s="75" t="n"/>
      <c r="AF1948" s="75" t="n"/>
    </row>
    <row r="1949" ht="15.75" customHeight="1" s="133">
      <c r="A1949" s="75" t="n"/>
      <c r="B1949" s="75" t="n"/>
      <c r="C1949" s="75" t="n"/>
      <c r="D1949" s="75" t="n"/>
      <c r="E1949" s="76" t="n"/>
      <c r="F1949" s="77" t="n"/>
      <c r="G1949" s="75" t="n"/>
      <c r="H1949" s="75">
        <f>IF(ISBLANK(E1949),"",IF(OR(D1949="Butterfly",D1949="Butterfly ",D1949="Iron Fly", D1949="Iron Fly "),LEN(E1949)-LEN(SUBSTITUTE(E1949,"/",""))+2,LEN(E1949)-LEN(SUBSTITUTE(E1949,"/",""))+1))</f>
        <v/>
      </c>
      <c r="I1949" s="78">
        <f>IF(ISBLANK(G1949),"",IF(D1949="Stock","0",Key!$A$3*H1949*G1949))</f>
        <v/>
      </c>
      <c r="J1949" s="78">
        <f>IF(ISBLANK(E1949),"",IF(ISNUMBER(SEARCH("/",E1949)), IF(LEN(E1949)-LEN(SUBSTITUTE(E1949,"/",""))=1,(RIGHT(E1949,LEN(E1949)-FIND("/",E1949)))-(LEFT(E1949,FIND("/",E1949)-1)),(MID(E1949, SEARCH("/",E1949) + 1, SEARCH("/",E1949, SEARCH("/",E1949)+1) - SEARCH("/",E1949) - 1))-(LEFT(E1949,FIND("/",E1949)-1))), "NA"))</f>
        <v/>
      </c>
      <c r="K1949" s="79">
        <f>IF(A1949&lt;&gt;"", IF(ISBLANK(L1949), TODAY(), K1949), "")</f>
        <v/>
      </c>
      <c r="L1949" s="78" t="n"/>
      <c r="M1949" s="78">
        <f>IF(ISBLANK(L1949),"",IF(D1949="Stock",IF(C1949="Buy",L1949*G1949,IF(C1949="Sell",(L1949*G1949)-I1949, X)),IF(C1949="Buy",(L1949*G1949*100)+I1949,IF(C1949="Sell",(L1949*G1949*100)-I1949, X))))</f>
        <v/>
      </c>
      <c r="N1949" s="78">
        <f>IF(ISBLANK(L1949),"",IF(AND(C1949="Sell",D1949="Stock"),M1949,IF(ISBLANK(L1949),"",IF(C1949="Buy",M1949, IF(AND(C1949="Sell",J1949="NA"),(E1949*G1949*100*0.1)+I1949, IF(C1949="Sell",(J1949-L1949)*(100*G1949)+I1949))))))</f>
        <v/>
      </c>
      <c r="O1949" s="75" t="n"/>
      <c r="P1949" s="75" t="n"/>
      <c r="Q1949" s="75">
        <f>IF(ISBLANK(P1949),"",IF(D1949="Stock",P1949*G1949,IF(P1949=0,"0",G1949*P1949*100-(G1949*$AF$14))))</f>
        <v/>
      </c>
      <c r="R1949" s="79">
        <f>IF(P1949&lt;&gt;"", TODAY(), "")</f>
        <v/>
      </c>
      <c r="S1949" s="78">
        <f>IF(AND(K1949&lt;&gt;"", R1949&lt;&gt;""), R1949-K1949, "")</f>
        <v/>
      </c>
      <c r="T1949" s="78" t="n"/>
      <c r="U1949" s="92">
        <f>IF(ISBLANK(P1949),"",IF(C1949="Buy",Q1949-M1949+T1949, IF(C1949="Sell",M1949-Q1949-T1949, X)))</f>
        <v/>
      </c>
      <c r="V1949" s="81">
        <f>IF(ISBLANK(P1949),"",U1949/N1949)</f>
        <v/>
      </c>
      <c r="W1949" s="81">
        <f>IF(ISBLANK(P1949),"",IF(S1949=0,(365/0.5)*V1949,(365/S1949)*V1949))</f>
        <v/>
      </c>
      <c r="X1949" s="75" t="n"/>
      <c r="Y1949" s="77" t="n"/>
      <c r="Z1949" s="77" t="n"/>
      <c r="AA1949" s="75" t="n"/>
      <c r="AB1949" s="75" t="n"/>
      <c r="AC1949" s="6" t="n"/>
      <c r="AD1949" s="75" t="n"/>
      <c r="AE1949" s="75" t="n"/>
      <c r="AF1949" s="75" t="n"/>
    </row>
    <row r="1950" ht="15.75" customHeight="1" s="133">
      <c r="A1950" s="75" t="n"/>
      <c r="B1950" s="75" t="n"/>
      <c r="C1950" s="75" t="n"/>
      <c r="D1950" s="75" t="n"/>
      <c r="E1950" s="76" t="n"/>
      <c r="F1950" s="77" t="n"/>
      <c r="G1950" s="75" t="n"/>
      <c r="H1950" s="75">
        <f>IF(ISBLANK(E1950),"",IF(OR(D1950="Butterfly",D1950="Butterfly ",D1950="Iron Fly", D1950="Iron Fly "),LEN(E1950)-LEN(SUBSTITUTE(E1950,"/",""))+2,LEN(E1950)-LEN(SUBSTITUTE(E1950,"/",""))+1))</f>
        <v/>
      </c>
      <c r="I1950" s="78">
        <f>IF(ISBLANK(G1950),"",IF(D1950="Stock","0",Key!$A$3*H1950*G1950))</f>
        <v/>
      </c>
      <c r="J1950" s="78">
        <f>IF(ISBLANK(E1950),"",IF(ISNUMBER(SEARCH("/",E1950)), IF(LEN(E1950)-LEN(SUBSTITUTE(E1950,"/",""))=1,(RIGHT(E1950,LEN(E1950)-FIND("/",E1950)))-(LEFT(E1950,FIND("/",E1950)-1)),(MID(E1950, SEARCH("/",E1950) + 1, SEARCH("/",E1950, SEARCH("/",E1950)+1) - SEARCH("/",E1950) - 1))-(LEFT(E1950,FIND("/",E1950)-1))), "NA"))</f>
        <v/>
      </c>
      <c r="K1950" s="79">
        <f>IF(A1950&lt;&gt;"", IF(ISBLANK(L1950), TODAY(), K1950), "")</f>
        <v/>
      </c>
      <c r="L1950" s="78" t="n"/>
      <c r="M1950" s="78">
        <f>IF(ISBLANK(L1950),"",IF(D1950="Stock",IF(C1950="Buy",L1950*G1950,IF(C1950="Sell",(L1950*G1950)-I1950, X)),IF(C1950="Buy",(L1950*G1950*100)+I1950,IF(C1950="Sell",(L1950*G1950*100)-I1950, X))))</f>
        <v/>
      </c>
      <c r="N1950" s="78">
        <f>IF(ISBLANK(L1950),"",IF(AND(C1950="Sell",D1950="Stock"),M1950,IF(ISBLANK(L1950),"",IF(C1950="Buy",M1950, IF(AND(C1950="Sell",J1950="NA"),(E1950*G1950*100*0.1)+I1950, IF(C1950="Sell",(J1950-L1950)*(100*G1950)+I1950))))))</f>
        <v/>
      </c>
      <c r="O1950" s="75" t="n"/>
      <c r="P1950" s="75" t="n"/>
      <c r="Q1950" s="75">
        <f>IF(ISBLANK(P1950),"",IF(D1950="Stock",P1950*G1950,IF(P1950=0,"0",G1950*P1950*100-(G1950*$AF$14))))</f>
        <v/>
      </c>
      <c r="R1950" s="79">
        <f>IF(P1950&lt;&gt;"", TODAY(), "")</f>
        <v/>
      </c>
      <c r="S1950" s="78">
        <f>IF(AND(K1950&lt;&gt;"", R1950&lt;&gt;""), R1950-K1950, "")</f>
        <v/>
      </c>
      <c r="T1950" s="78" t="n"/>
      <c r="U1950" s="92">
        <f>IF(ISBLANK(P1950),"",IF(C1950="Buy",Q1950-M1950+T1950, IF(C1950="Sell",M1950-Q1950-T1950, X)))</f>
        <v/>
      </c>
      <c r="V1950" s="81">
        <f>IF(ISBLANK(P1950),"",U1950/N1950)</f>
        <v/>
      </c>
      <c r="W1950" s="81">
        <f>IF(ISBLANK(P1950),"",IF(S1950=0,(365/0.5)*V1950,(365/S1950)*V1950))</f>
        <v/>
      </c>
      <c r="X1950" s="75" t="n"/>
      <c r="Y1950" s="77" t="n"/>
      <c r="Z1950" s="77" t="n"/>
      <c r="AA1950" s="75" t="n"/>
      <c r="AB1950" s="75" t="n"/>
      <c r="AC1950" s="6" t="n"/>
      <c r="AD1950" s="75" t="n"/>
      <c r="AE1950" s="75" t="n"/>
      <c r="AF1950" s="75" t="n"/>
    </row>
    <row r="1951" ht="15.75" customHeight="1" s="133">
      <c r="A1951" s="75" t="n"/>
      <c r="B1951" s="75" t="n"/>
      <c r="C1951" s="75" t="n"/>
      <c r="D1951" s="75" t="n"/>
      <c r="E1951" s="76" t="n"/>
      <c r="F1951" s="77" t="n"/>
      <c r="G1951" s="75" t="n"/>
      <c r="H1951" s="75">
        <f>IF(ISBLANK(E1951),"",IF(OR(D1951="Butterfly",D1951="Butterfly ",D1951="Iron Fly", D1951="Iron Fly "),LEN(E1951)-LEN(SUBSTITUTE(E1951,"/",""))+2,LEN(E1951)-LEN(SUBSTITUTE(E1951,"/",""))+1))</f>
        <v/>
      </c>
      <c r="I1951" s="78">
        <f>IF(ISBLANK(G1951),"",IF(D1951="Stock","0",Key!$A$3*H1951*G1951))</f>
        <v/>
      </c>
      <c r="J1951" s="78">
        <f>IF(ISBLANK(E1951),"",IF(ISNUMBER(SEARCH("/",E1951)), IF(LEN(E1951)-LEN(SUBSTITUTE(E1951,"/",""))=1,(RIGHT(E1951,LEN(E1951)-FIND("/",E1951)))-(LEFT(E1951,FIND("/",E1951)-1)),(MID(E1951, SEARCH("/",E1951) + 1, SEARCH("/",E1951, SEARCH("/",E1951)+1) - SEARCH("/",E1951) - 1))-(LEFT(E1951,FIND("/",E1951)-1))), "NA"))</f>
        <v/>
      </c>
      <c r="K1951" s="79">
        <f>IF(A1951&lt;&gt;"", IF(ISBLANK(L1951), TODAY(), K1951), "")</f>
        <v/>
      </c>
      <c r="L1951" s="78" t="n"/>
      <c r="M1951" s="78">
        <f>IF(ISBLANK(L1951),"",IF(D1951="Stock",IF(C1951="Buy",L1951*G1951,IF(C1951="Sell",(L1951*G1951)-I1951, X)),IF(C1951="Buy",(L1951*G1951*100)+I1951,IF(C1951="Sell",(L1951*G1951*100)-I1951, X))))</f>
        <v/>
      </c>
      <c r="N1951" s="78">
        <f>IF(ISBLANK(L1951),"",IF(AND(C1951="Sell",D1951="Stock"),M1951,IF(ISBLANK(L1951),"",IF(C1951="Buy",M1951, IF(AND(C1951="Sell",J1951="NA"),(E1951*G1951*100*0.1)+I1951, IF(C1951="Sell",(J1951-L1951)*(100*G1951)+I1951))))))</f>
        <v/>
      </c>
      <c r="O1951" s="75" t="n"/>
      <c r="P1951" s="75" t="n"/>
      <c r="Q1951" s="75">
        <f>IF(ISBLANK(P1951),"",IF(D1951="Stock",P1951*G1951,IF(P1951=0,"0",G1951*P1951*100-(G1951*$AF$14))))</f>
        <v/>
      </c>
      <c r="R1951" s="79">
        <f>IF(P1951&lt;&gt;"", TODAY(), "")</f>
        <v/>
      </c>
      <c r="S1951" s="78">
        <f>IF(AND(K1951&lt;&gt;"", R1951&lt;&gt;""), R1951-K1951, "")</f>
        <v/>
      </c>
      <c r="T1951" s="78" t="n"/>
      <c r="U1951" s="92">
        <f>IF(ISBLANK(P1951),"",IF(C1951="Buy",Q1951-M1951+T1951, IF(C1951="Sell",M1951-Q1951-T1951, X)))</f>
        <v/>
      </c>
      <c r="V1951" s="81">
        <f>IF(ISBLANK(P1951),"",U1951/N1951)</f>
        <v/>
      </c>
      <c r="W1951" s="81">
        <f>IF(ISBLANK(P1951),"",IF(S1951=0,(365/0.5)*V1951,(365/S1951)*V1951))</f>
        <v/>
      </c>
      <c r="X1951" s="75" t="n"/>
      <c r="Y1951" s="77" t="n"/>
      <c r="Z1951" s="77" t="n"/>
      <c r="AA1951" s="75" t="n"/>
      <c r="AB1951" s="75" t="n"/>
      <c r="AC1951" s="6" t="n"/>
      <c r="AD1951" s="75" t="n"/>
      <c r="AE1951" s="75" t="n"/>
      <c r="AF1951" s="75" t="n"/>
    </row>
    <row r="1952" ht="15.75" customHeight="1" s="133">
      <c r="A1952" s="75" t="n"/>
      <c r="B1952" s="75" t="n"/>
      <c r="C1952" s="75" t="n"/>
      <c r="D1952" s="75" t="n"/>
      <c r="E1952" s="76" t="n"/>
      <c r="F1952" s="77" t="n"/>
      <c r="G1952" s="75" t="n"/>
      <c r="H1952" s="75">
        <f>IF(ISBLANK(E1952),"",IF(OR(D1952="Butterfly",D1952="Butterfly ",D1952="Iron Fly", D1952="Iron Fly "),LEN(E1952)-LEN(SUBSTITUTE(E1952,"/",""))+2,LEN(E1952)-LEN(SUBSTITUTE(E1952,"/",""))+1))</f>
        <v/>
      </c>
      <c r="I1952" s="78">
        <f>IF(ISBLANK(G1952),"",IF(D1952="Stock","0",Key!$A$3*H1952*G1952))</f>
        <v/>
      </c>
      <c r="J1952" s="78">
        <f>IF(ISBLANK(E1952),"",IF(ISNUMBER(SEARCH("/",E1952)), IF(LEN(E1952)-LEN(SUBSTITUTE(E1952,"/",""))=1,(RIGHT(E1952,LEN(E1952)-FIND("/",E1952)))-(LEFT(E1952,FIND("/",E1952)-1)),(MID(E1952, SEARCH("/",E1952) + 1, SEARCH("/",E1952, SEARCH("/",E1952)+1) - SEARCH("/",E1952) - 1))-(LEFT(E1952,FIND("/",E1952)-1))), "NA"))</f>
        <v/>
      </c>
      <c r="K1952" s="79">
        <f>IF(A1952&lt;&gt;"", IF(ISBLANK(L1952), TODAY(), K1952), "")</f>
        <v/>
      </c>
      <c r="L1952" s="78" t="n"/>
      <c r="M1952" s="78">
        <f>IF(ISBLANK(L1952),"",IF(D1952="Stock",IF(C1952="Buy",L1952*G1952,IF(C1952="Sell",(L1952*G1952)-I1952, X)),IF(C1952="Buy",(L1952*G1952*100)+I1952,IF(C1952="Sell",(L1952*G1952*100)-I1952, X))))</f>
        <v/>
      </c>
      <c r="N1952" s="78">
        <f>IF(ISBLANK(L1952),"",IF(AND(C1952="Sell",D1952="Stock"),M1952,IF(ISBLANK(L1952),"",IF(C1952="Buy",M1952, IF(AND(C1952="Sell",J1952="NA"),(E1952*G1952*100*0.1)+I1952, IF(C1952="Sell",(J1952-L1952)*(100*G1952)+I1952))))))</f>
        <v/>
      </c>
      <c r="O1952" s="75" t="n"/>
      <c r="P1952" s="75" t="n"/>
      <c r="Q1952" s="75">
        <f>IF(ISBLANK(P1952),"",IF(D1952="Stock",P1952*G1952,IF(P1952=0,"0",G1952*P1952*100-(G1952*$AF$14))))</f>
        <v/>
      </c>
      <c r="R1952" s="79">
        <f>IF(P1952&lt;&gt;"", TODAY(), "")</f>
        <v/>
      </c>
      <c r="S1952" s="78">
        <f>IF(AND(K1952&lt;&gt;"", R1952&lt;&gt;""), R1952-K1952, "")</f>
        <v/>
      </c>
      <c r="T1952" s="78" t="n"/>
      <c r="U1952" s="92">
        <f>IF(ISBLANK(P1952),"",IF(C1952="Buy",Q1952-M1952+T1952, IF(C1952="Sell",M1952-Q1952-T1952, X)))</f>
        <v/>
      </c>
      <c r="V1952" s="81">
        <f>IF(ISBLANK(P1952),"",U1952/N1952)</f>
        <v/>
      </c>
      <c r="W1952" s="81">
        <f>IF(ISBLANK(P1952),"",IF(S1952=0,(365/0.5)*V1952,(365/S1952)*V1952))</f>
        <v/>
      </c>
      <c r="X1952" s="75" t="n"/>
      <c r="Y1952" s="77" t="n"/>
      <c r="Z1952" s="77" t="n"/>
      <c r="AA1952" s="75" t="n"/>
      <c r="AB1952" s="75" t="n"/>
      <c r="AC1952" s="6" t="n"/>
      <c r="AD1952" s="75" t="n"/>
      <c r="AE1952" s="75" t="n"/>
      <c r="AF1952" s="75" t="n"/>
    </row>
    <row r="1953" ht="15.75" customHeight="1" s="133">
      <c r="A1953" s="75" t="n"/>
      <c r="B1953" s="75" t="n"/>
      <c r="C1953" s="75" t="n"/>
      <c r="D1953" s="75" t="n"/>
      <c r="E1953" s="76" t="n"/>
      <c r="F1953" s="77" t="n"/>
      <c r="G1953" s="75" t="n"/>
      <c r="H1953" s="75">
        <f>IF(ISBLANK(E1953),"",IF(OR(D1953="Butterfly",D1953="Butterfly ",D1953="Iron Fly", D1953="Iron Fly "),LEN(E1953)-LEN(SUBSTITUTE(E1953,"/",""))+2,LEN(E1953)-LEN(SUBSTITUTE(E1953,"/",""))+1))</f>
        <v/>
      </c>
      <c r="I1953" s="78">
        <f>IF(ISBLANK(G1953),"",IF(D1953="Stock","0",Key!$A$3*H1953*G1953))</f>
        <v/>
      </c>
      <c r="J1953" s="78">
        <f>IF(ISBLANK(E1953),"",IF(ISNUMBER(SEARCH("/",E1953)), IF(LEN(E1953)-LEN(SUBSTITUTE(E1953,"/",""))=1,(RIGHT(E1953,LEN(E1953)-FIND("/",E1953)))-(LEFT(E1953,FIND("/",E1953)-1)),(MID(E1953, SEARCH("/",E1953) + 1, SEARCH("/",E1953, SEARCH("/",E1953)+1) - SEARCH("/",E1953) - 1))-(LEFT(E1953,FIND("/",E1953)-1))), "NA"))</f>
        <v/>
      </c>
      <c r="K1953" s="79">
        <f>IF(A1953&lt;&gt;"", IF(ISBLANK(L1953), TODAY(), K1953), "")</f>
        <v/>
      </c>
      <c r="L1953" s="78" t="n"/>
      <c r="M1953" s="78">
        <f>IF(ISBLANK(L1953),"",IF(D1953="Stock",IF(C1953="Buy",L1953*G1953,IF(C1953="Sell",(L1953*G1953)-I1953, X)),IF(C1953="Buy",(L1953*G1953*100)+I1953,IF(C1953="Sell",(L1953*G1953*100)-I1953, X))))</f>
        <v/>
      </c>
      <c r="N1953" s="78">
        <f>IF(ISBLANK(L1953),"",IF(AND(C1953="Sell",D1953="Stock"),M1953,IF(ISBLANK(L1953),"",IF(C1953="Buy",M1953, IF(AND(C1953="Sell",J1953="NA"),(E1953*G1953*100*0.1)+I1953, IF(C1953="Sell",(J1953-L1953)*(100*G1953)+I1953))))))</f>
        <v/>
      </c>
      <c r="O1953" s="75" t="n"/>
      <c r="P1953" s="75" t="n"/>
      <c r="Q1953" s="75">
        <f>IF(ISBLANK(P1953),"",IF(D1953="Stock",P1953*G1953,IF(P1953=0,"0",G1953*P1953*100-(G1953*$AF$14))))</f>
        <v/>
      </c>
      <c r="R1953" s="79">
        <f>IF(P1953&lt;&gt;"", TODAY(), "")</f>
        <v/>
      </c>
      <c r="S1953" s="78">
        <f>IF(AND(K1953&lt;&gt;"", R1953&lt;&gt;""), R1953-K1953, "")</f>
        <v/>
      </c>
      <c r="T1953" s="78" t="n"/>
      <c r="U1953" s="92">
        <f>IF(ISBLANK(P1953),"",IF(C1953="Buy",Q1953-M1953+T1953, IF(C1953="Sell",M1953-Q1953-T1953, X)))</f>
        <v/>
      </c>
      <c r="V1953" s="81">
        <f>IF(ISBLANK(P1953),"",U1953/N1953)</f>
        <v/>
      </c>
      <c r="W1953" s="81">
        <f>IF(ISBLANK(P1953),"",IF(S1953=0,(365/0.5)*V1953,(365/S1953)*V1953))</f>
        <v/>
      </c>
      <c r="X1953" s="75" t="n"/>
      <c r="Y1953" s="77" t="n"/>
      <c r="Z1953" s="77" t="n"/>
      <c r="AA1953" s="75" t="n"/>
      <c r="AB1953" s="75" t="n"/>
      <c r="AC1953" s="6" t="n"/>
      <c r="AD1953" s="75" t="n"/>
      <c r="AE1953" s="75" t="n"/>
      <c r="AF1953" s="75" t="n"/>
    </row>
    <row r="1954" ht="15.75" customHeight="1" s="133">
      <c r="A1954" s="75" t="n"/>
      <c r="B1954" s="75" t="n"/>
      <c r="C1954" s="75" t="n"/>
      <c r="D1954" s="75" t="n"/>
      <c r="E1954" s="76" t="n"/>
      <c r="F1954" s="77" t="n"/>
      <c r="G1954" s="75" t="n"/>
      <c r="H1954" s="75">
        <f>IF(ISBLANK(E1954),"",IF(OR(D1954="Butterfly",D1954="Butterfly ",D1954="Iron Fly", D1954="Iron Fly "),LEN(E1954)-LEN(SUBSTITUTE(E1954,"/",""))+2,LEN(E1954)-LEN(SUBSTITUTE(E1954,"/",""))+1))</f>
        <v/>
      </c>
      <c r="I1954" s="78">
        <f>IF(ISBLANK(G1954),"",IF(D1954="Stock","0",Key!$A$3*H1954*G1954))</f>
        <v/>
      </c>
      <c r="J1954" s="78">
        <f>IF(ISBLANK(E1954),"",IF(ISNUMBER(SEARCH("/",E1954)), IF(LEN(E1954)-LEN(SUBSTITUTE(E1954,"/",""))=1,(RIGHT(E1954,LEN(E1954)-FIND("/",E1954)))-(LEFT(E1954,FIND("/",E1954)-1)),(MID(E1954, SEARCH("/",E1954) + 1, SEARCH("/",E1954, SEARCH("/",E1954)+1) - SEARCH("/",E1954) - 1))-(LEFT(E1954,FIND("/",E1954)-1))), "NA"))</f>
        <v/>
      </c>
      <c r="K1954" s="79">
        <f>IF(A1954&lt;&gt;"", IF(ISBLANK(L1954), TODAY(), K1954), "")</f>
        <v/>
      </c>
      <c r="L1954" s="78" t="n"/>
      <c r="M1954" s="78">
        <f>IF(ISBLANK(L1954),"",IF(D1954="Stock",IF(C1954="Buy",L1954*G1954,IF(C1954="Sell",(L1954*G1954)-I1954, X)),IF(C1954="Buy",(L1954*G1954*100)+I1954,IF(C1954="Sell",(L1954*G1954*100)-I1954, X))))</f>
        <v/>
      </c>
      <c r="N1954" s="78">
        <f>IF(ISBLANK(L1954),"",IF(AND(C1954="Sell",D1954="Stock"),M1954,IF(ISBLANK(L1954),"",IF(C1954="Buy",M1954, IF(AND(C1954="Sell",J1954="NA"),(E1954*G1954*100*0.1)+I1954, IF(C1954="Sell",(J1954-L1954)*(100*G1954)+I1954))))))</f>
        <v/>
      </c>
      <c r="O1954" s="75" t="n"/>
      <c r="P1954" s="75" t="n"/>
      <c r="Q1954" s="75">
        <f>IF(ISBLANK(P1954),"",IF(D1954="Stock",P1954*G1954,IF(P1954=0,"0",G1954*P1954*100-(G1954*$AF$14))))</f>
        <v/>
      </c>
      <c r="R1954" s="79">
        <f>IF(P1954&lt;&gt;"", TODAY(), "")</f>
        <v/>
      </c>
      <c r="S1954" s="78">
        <f>IF(AND(K1954&lt;&gt;"", R1954&lt;&gt;""), R1954-K1954, "")</f>
        <v/>
      </c>
      <c r="T1954" s="78" t="n"/>
      <c r="U1954" s="92">
        <f>IF(ISBLANK(P1954),"",IF(C1954="Buy",Q1954-M1954+T1954, IF(C1954="Sell",M1954-Q1954-T1954, X)))</f>
        <v/>
      </c>
      <c r="V1954" s="81">
        <f>IF(ISBLANK(P1954),"",U1954/N1954)</f>
        <v/>
      </c>
      <c r="W1954" s="81">
        <f>IF(ISBLANK(P1954),"",IF(S1954=0,(365/0.5)*V1954,(365/S1954)*V1954))</f>
        <v/>
      </c>
      <c r="X1954" s="75" t="n"/>
      <c r="Y1954" s="77" t="n"/>
      <c r="Z1954" s="77" t="n"/>
      <c r="AA1954" s="75" t="n"/>
      <c r="AB1954" s="75" t="n"/>
      <c r="AC1954" s="6" t="n"/>
      <c r="AD1954" s="75" t="n"/>
      <c r="AE1954" s="75" t="n"/>
      <c r="AF1954" s="75" t="n"/>
    </row>
    <row r="1955" ht="15.75" customHeight="1" s="133">
      <c r="A1955" s="75" t="n"/>
      <c r="B1955" s="75" t="n"/>
      <c r="C1955" s="75" t="n"/>
      <c r="D1955" s="75" t="n"/>
      <c r="E1955" s="76" t="n"/>
      <c r="F1955" s="77" t="n"/>
      <c r="G1955" s="75" t="n"/>
      <c r="H1955" s="75">
        <f>IF(ISBLANK(E1955),"",IF(OR(D1955="Butterfly",D1955="Butterfly ",D1955="Iron Fly", D1955="Iron Fly "),LEN(E1955)-LEN(SUBSTITUTE(E1955,"/",""))+2,LEN(E1955)-LEN(SUBSTITUTE(E1955,"/",""))+1))</f>
        <v/>
      </c>
      <c r="I1955" s="78">
        <f>IF(ISBLANK(G1955),"",IF(D1955="Stock","0",Key!$A$3*H1955*G1955))</f>
        <v/>
      </c>
      <c r="J1955" s="78">
        <f>IF(ISBLANK(E1955),"",IF(ISNUMBER(SEARCH("/",E1955)), IF(LEN(E1955)-LEN(SUBSTITUTE(E1955,"/",""))=1,(RIGHT(E1955,LEN(E1955)-FIND("/",E1955)))-(LEFT(E1955,FIND("/",E1955)-1)),(MID(E1955, SEARCH("/",E1955) + 1, SEARCH("/",E1955, SEARCH("/",E1955)+1) - SEARCH("/",E1955) - 1))-(LEFT(E1955,FIND("/",E1955)-1))), "NA"))</f>
        <v/>
      </c>
      <c r="K1955" s="79">
        <f>IF(A1955&lt;&gt;"", IF(ISBLANK(L1955), TODAY(), K1955), "")</f>
        <v/>
      </c>
      <c r="L1955" s="78" t="n"/>
      <c r="M1955" s="78">
        <f>IF(ISBLANK(L1955),"",IF(D1955="Stock",IF(C1955="Buy",L1955*G1955,IF(C1955="Sell",(L1955*G1955)-I1955, X)),IF(C1955="Buy",(L1955*G1955*100)+I1955,IF(C1955="Sell",(L1955*G1955*100)-I1955, X))))</f>
        <v/>
      </c>
      <c r="N1955" s="78">
        <f>IF(ISBLANK(L1955),"",IF(AND(C1955="Sell",D1955="Stock"),M1955,IF(ISBLANK(L1955),"",IF(C1955="Buy",M1955, IF(AND(C1955="Sell",J1955="NA"),(E1955*G1955*100*0.1)+I1955, IF(C1955="Sell",(J1955-L1955)*(100*G1955)+I1955))))))</f>
        <v/>
      </c>
      <c r="O1955" s="75" t="n"/>
      <c r="P1955" s="75" t="n"/>
      <c r="Q1955" s="75">
        <f>IF(ISBLANK(P1955),"",IF(D1955="Stock",P1955*G1955,IF(P1955=0,"0",G1955*P1955*100-(G1955*$AF$14))))</f>
        <v/>
      </c>
      <c r="R1955" s="79">
        <f>IF(P1955&lt;&gt;"", TODAY(), "")</f>
        <v/>
      </c>
      <c r="S1955" s="78">
        <f>IF(AND(K1955&lt;&gt;"", R1955&lt;&gt;""), R1955-K1955, "")</f>
        <v/>
      </c>
      <c r="T1955" s="78" t="n"/>
      <c r="U1955" s="92">
        <f>IF(ISBLANK(P1955),"",IF(C1955="Buy",Q1955-M1955+T1955, IF(C1955="Sell",M1955-Q1955-T1955, X)))</f>
        <v/>
      </c>
      <c r="V1955" s="81">
        <f>IF(ISBLANK(P1955),"",U1955/N1955)</f>
        <v/>
      </c>
      <c r="W1955" s="81">
        <f>IF(ISBLANK(P1955),"",IF(S1955=0,(365/0.5)*V1955,(365/S1955)*V1955))</f>
        <v/>
      </c>
      <c r="X1955" s="75" t="n"/>
      <c r="Y1955" s="77" t="n"/>
      <c r="Z1955" s="77" t="n"/>
      <c r="AA1955" s="75" t="n"/>
      <c r="AB1955" s="75" t="n"/>
      <c r="AC1955" s="6" t="n"/>
      <c r="AD1955" s="75" t="n"/>
      <c r="AE1955" s="75" t="n"/>
      <c r="AF1955" s="75" t="n"/>
    </row>
    <row r="1956" ht="15.75" customHeight="1" s="133">
      <c r="A1956" s="75" t="n"/>
      <c r="B1956" s="75" t="n"/>
      <c r="C1956" s="75" t="n"/>
      <c r="D1956" s="75" t="n"/>
      <c r="E1956" s="76" t="n"/>
      <c r="F1956" s="77" t="n"/>
      <c r="G1956" s="75" t="n"/>
      <c r="H1956" s="75">
        <f>IF(ISBLANK(E1956),"",IF(OR(D1956="Butterfly",D1956="Butterfly ",D1956="Iron Fly", D1956="Iron Fly "),LEN(E1956)-LEN(SUBSTITUTE(E1956,"/",""))+2,LEN(E1956)-LEN(SUBSTITUTE(E1956,"/",""))+1))</f>
        <v/>
      </c>
      <c r="I1956" s="78">
        <f>IF(ISBLANK(G1956),"",IF(D1956="Stock","0",Key!$A$3*H1956*G1956))</f>
        <v/>
      </c>
      <c r="J1956" s="78">
        <f>IF(ISBLANK(E1956),"",IF(ISNUMBER(SEARCH("/",E1956)), IF(LEN(E1956)-LEN(SUBSTITUTE(E1956,"/",""))=1,(RIGHT(E1956,LEN(E1956)-FIND("/",E1956)))-(LEFT(E1956,FIND("/",E1956)-1)),(MID(E1956, SEARCH("/",E1956) + 1, SEARCH("/",E1956, SEARCH("/",E1956)+1) - SEARCH("/",E1956) - 1))-(LEFT(E1956,FIND("/",E1956)-1))), "NA"))</f>
        <v/>
      </c>
      <c r="K1956" s="79">
        <f>IF(A1956&lt;&gt;"", IF(ISBLANK(L1956), TODAY(), K1956), "")</f>
        <v/>
      </c>
      <c r="L1956" s="78" t="n"/>
      <c r="M1956" s="78">
        <f>IF(ISBLANK(L1956),"",IF(D1956="Stock",IF(C1956="Buy",L1956*G1956,IF(C1956="Sell",(L1956*G1956)-I1956, X)),IF(C1956="Buy",(L1956*G1956*100)+I1956,IF(C1956="Sell",(L1956*G1956*100)-I1956, X))))</f>
        <v/>
      </c>
      <c r="N1956" s="78">
        <f>IF(ISBLANK(L1956),"",IF(AND(C1956="Sell",D1956="Stock"),M1956,IF(ISBLANK(L1956),"",IF(C1956="Buy",M1956, IF(AND(C1956="Sell",J1956="NA"),(E1956*G1956*100*0.1)+I1956, IF(C1956="Sell",(J1956-L1956)*(100*G1956)+I1956))))))</f>
        <v/>
      </c>
      <c r="O1956" s="75" t="n"/>
      <c r="P1956" s="75" t="n"/>
      <c r="Q1956" s="75">
        <f>IF(ISBLANK(P1956),"",IF(D1956="Stock",P1956*G1956,IF(P1956=0,"0",G1956*P1956*100-(G1956*$AF$14))))</f>
        <v/>
      </c>
      <c r="R1956" s="79">
        <f>IF(P1956&lt;&gt;"", TODAY(), "")</f>
        <v/>
      </c>
      <c r="S1956" s="78">
        <f>IF(AND(K1956&lt;&gt;"", R1956&lt;&gt;""), R1956-K1956, "")</f>
        <v/>
      </c>
      <c r="T1956" s="78" t="n"/>
      <c r="U1956" s="92">
        <f>IF(ISBLANK(P1956),"",IF(C1956="Buy",Q1956-M1956+T1956, IF(C1956="Sell",M1956-Q1956-T1956, X)))</f>
        <v/>
      </c>
      <c r="V1956" s="81">
        <f>IF(ISBLANK(P1956),"",U1956/N1956)</f>
        <v/>
      </c>
      <c r="W1956" s="81">
        <f>IF(ISBLANK(P1956),"",IF(S1956=0,(365/0.5)*V1956,(365/S1956)*V1956))</f>
        <v/>
      </c>
      <c r="X1956" s="75" t="n"/>
      <c r="Y1956" s="77" t="n"/>
      <c r="Z1956" s="77" t="n"/>
      <c r="AA1956" s="75" t="n"/>
      <c r="AB1956" s="75" t="n"/>
      <c r="AC1956" s="6" t="n"/>
      <c r="AD1956" s="75" t="n"/>
      <c r="AE1956" s="75" t="n"/>
      <c r="AF1956" s="75" t="n"/>
    </row>
    <row r="1957" ht="15.75" customHeight="1" s="133">
      <c r="A1957" s="75" t="n"/>
      <c r="B1957" s="75" t="n"/>
      <c r="C1957" s="75" t="n"/>
      <c r="D1957" s="75" t="n"/>
      <c r="E1957" s="76" t="n"/>
      <c r="F1957" s="77" t="n"/>
      <c r="G1957" s="75" t="n"/>
      <c r="H1957" s="75">
        <f>IF(ISBLANK(E1957),"",IF(OR(D1957="Butterfly",D1957="Butterfly ",D1957="Iron Fly", D1957="Iron Fly "),LEN(E1957)-LEN(SUBSTITUTE(E1957,"/",""))+2,LEN(E1957)-LEN(SUBSTITUTE(E1957,"/",""))+1))</f>
        <v/>
      </c>
      <c r="I1957" s="78">
        <f>IF(ISBLANK(G1957),"",IF(D1957="Stock","0",Key!$A$3*H1957*G1957))</f>
        <v/>
      </c>
      <c r="J1957" s="78">
        <f>IF(ISBLANK(E1957),"",IF(ISNUMBER(SEARCH("/",E1957)), IF(LEN(E1957)-LEN(SUBSTITUTE(E1957,"/",""))=1,(RIGHT(E1957,LEN(E1957)-FIND("/",E1957)))-(LEFT(E1957,FIND("/",E1957)-1)),(MID(E1957, SEARCH("/",E1957) + 1, SEARCH("/",E1957, SEARCH("/",E1957)+1) - SEARCH("/",E1957) - 1))-(LEFT(E1957,FIND("/",E1957)-1))), "NA"))</f>
        <v/>
      </c>
      <c r="K1957" s="79">
        <f>IF(A1957&lt;&gt;"", IF(ISBLANK(L1957), TODAY(), K1957), "")</f>
        <v/>
      </c>
      <c r="L1957" s="78" t="n"/>
      <c r="M1957" s="78">
        <f>IF(ISBLANK(L1957),"",IF(D1957="Stock",IF(C1957="Buy",L1957*G1957,IF(C1957="Sell",(L1957*G1957)-I1957, X)),IF(C1957="Buy",(L1957*G1957*100)+I1957,IF(C1957="Sell",(L1957*G1957*100)-I1957, X))))</f>
        <v/>
      </c>
      <c r="N1957" s="78">
        <f>IF(ISBLANK(L1957),"",IF(AND(C1957="Sell",D1957="Stock"),M1957,IF(ISBLANK(L1957),"",IF(C1957="Buy",M1957, IF(AND(C1957="Sell",J1957="NA"),(E1957*G1957*100*0.1)+I1957, IF(C1957="Sell",(J1957-L1957)*(100*G1957)+I1957))))))</f>
        <v/>
      </c>
      <c r="O1957" s="75" t="n"/>
      <c r="P1957" s="75" t="n"/>
      <c r="Q1957" s="75">
        <f>IF(ISBLANK(P1957),"",IF(D1957="Stock",P1957*G1957,IF(P1957=0,"0",G1957*P1957*100-(G1957*$AF$14))))</f>
        <v/>
      </c>
      <c r="R1957" s="79">
        <f>IF(P1957&lt;&gt;"", TODAY(), "")</f>
        <v/>
      </c>
      <c r="S1957" s="78">
        <f>IF(AND(K1957&lt;&gt;"", R1957&lt;&gt;""), R1957-K1957, "")</f>
        <v/>
      </c>
      <c r="T1957" s="78" t="n"/>
      <c r="U1957" s="92">
        <f>IF(ISBLANK(P1957),"",IF(C1957="Buy",Q1957-M1957+T1957, IF(C1957="Sell",M1957-Q1957-T1957, X)))</f>
        <v/>
      </c>
      <c r="V1957" s="81">
        <f>IF(ISBLANK(P1957),"",U1957/N1957)</f>
        <v/>
      </c>
      <c r="W1957" s="81">
        <f>IF(ISBLANK(P1957),"",IF(S1957=0,(365/0.5)*V1957,(365/S1957)*V1957))</f>
        <v/>
      </c>
      <c r="X1957" s="75" t="n"/>
      <c r="Y1957" s="77" t="n"/>
      <c r="Z1957" s="77" t="n"/>
      <c r="AA1957" s="75" t="n"/>
      <c r="AB1957" s="75" t="n"/>
      <c r="AC1957" s="6" t="n"/>
      <c r="AD1957" s="75" t="n"/>
      <c r="AE1957" s="75" t="n"/>
      <c r="AF1957" s="75" t="n"/>
    </row>
    <row r="1958" ht="15.75" customHeight="1" s="133">
      <c r="A1958" s="75" t="n"/>
      <c r="B1958" s="75" t="n"/>
      <c r="C1958" s="75" t="n"/>
      <c r="D1958" s="75" t="n"/>
      <c r="E1958" s="76" t="n"/>
      <c r="F1958" s="77" t="n"/>
      <c r="G1958" s="75" t="n"/>
      <c r="H1958" s="75">
        <f>IF(ISBLANK(E1958),"",IF(OR(D1958="Butterfly",D1958="Butterfly ",D1958="Iron Fly", D1958="Iron Fly "),LEN(E1958)-LEN(SUBSTITUTE(E1958,"/",""))+2,LEN(E1958)-LEN(SUBSTITUTE(E1958,"/",""))+1))</f>
        <v/>
      </c>
      <c r="I1958" s="78">
        <f>IF(ISBLANK(G1958),"",IF(D1958="Stock","0",Key!$A$3*H1958*G1958))</f>
        <v/>
      </c>
      <c r="J1958" s="78">
        <f>IF(ISBLANK(E1958),"",IF(ISNUMBER(SEARCH("/",E1958)), IF(LEN(E1958)-LEN(SUBSTITUTE(E1958,"/",""))=1,(RIGHT(E1958,LEN(E1958)-FIND("/",E1958)))-(LEFT(E1958,FIND("/",E1958)-1)),(MID(E1958, SEARCH("/",E1958) + 1, SEARCH("/",E1958, SEARCH("/",E1958)+1) - SEARCH("/",E1958) - 1))-(LEFT(E1958,FIND("/",E1958)-1))), "NA"))</f>
        <v/>
      </c>
      <c r="K1958" s="79">
        <f>IF(A1958&lt;&gt;"", IF(ISBLANK(L1958), TODAY(), K1958), "")</f>
        <v/>
      </c>
      <c r="L1958" s="78" t="n"/>
      <c r="M1958" s="78">
        <f>IF(ISBLANK(L1958),"",IF(D1958="Stock",IF(C1958="Buy",L1958*G1958,IF(C1958="Sell",(L1958*G1958)-I1958, X)),IF(C1958="Buy",(L1958*G1958*100)+I1958,IF(C1958="Sell",(L1958*G1958*100)-I1958, X))))</f>
        <v/>
      </c>
      <c r="N1958" s="78">
        <f>IF(ISBLANK(L1958),"",IF(AND(C1958="Sell",D1958="Stock"),M1958,IF(ISBLANK(L1958),"",IF(C1958="Buy",M1958, IF(AND(C1958="Sell",J1958="NA"),(E1958*G1958*100*0.1)+I1958, IF(C1958="Sell",(J1958-L1958)*(100*G1958)+I1958))))))</f>
        <v/>
      </c>
      <c r="O1958" s="75" t="n"/>
      <c r="P1958" s="75" t="n"/>
      <c r="Q1958" s="75">
        <f>IF(ISBLANK(P1958),"",IF(D1958="Stock",P1958*G1958,IF(P1958=0,"0",G1958*P1958*100-(G1958*$AF$14))))</f>
        <v/>
      </c>
      <c r="R1958" s="79">
        <f>IF(P1958&lt;&gt;"", TODAY(), "")</f>
        <v/>
      </c>
      <c r="S1958" s="78">
        <f>IF(AND(K1958&lt;&gt;"", R1958&lt;&gt;""), R1958-K1958, "")</f>
        <v/>
      </c>
      <c r="T1958" s="78" t="n"/>
      <c r="U1958" s="92">
        <f>IF(ISBLANK(P1958),"",IF(C1958="Buy",Q1958-M1958+T1958, IF(C1958="Sell",M1958-Q1958-T1958, X)))</f>
        <v/>
      </c>
      <c r="V1958" s="81">
        <f>IF(ISBLANK(P1958),"",U1958/N1958)</f>
        <v/>
      </c>
      <c r="W1958" s="81">
        <f>IF(ISBLANK(P1958),"",IF(S1958=0,(365/0.5)*V1958,(365/S1958)*V1958))</f>
        <v/>
      </c>
      <c r="X1958" s="75" t="n"/>
      <c r="Y1958" s="77" t="n"/>
      <c r="Z1958" s="77" t="n"/>
      <c r="AA1958" s="75" t="n"/>
      <c r="AB1958" s="75" t="n"/>
      <c r="AC1958" s="6" t="n"/>
      <c r="AD1958" s="75" t="n"/>
      <c r="AE1958" s="75" t="n"/>
      <c r="AF1958" s="75" t="n"/>
    </row>
    <row r="1959" ht="15.75" customHeight="1" s="133">
      <c r="A1959" s="75" t="n"/>
      <c r="B1959" s="75" t="n"/>
      <c r="C1959" s="75" t="n"/>
      <c r="D1959" s="75" t="n"/>
      <c r="E1959" s="76" t="n"/>
      <c r="F1959" s="77" t="n"/>
      <c r="G1959" s="75" t="n"/>
      <c r="H1959" s="75">
        <f>IF(ISBLANK(E1959),"",IF(OR(D1959="Butterfly",D1959="Butterfly ",D1959="Iron Fly", D1959="Iron Fly "),LEN(E1959)-LEN(SUBSTITUTE(E1959,"/",""))+2,LEN(E1959)-LEN(SUBSTITUTE(E1959,"/",""))+1))</f>
        <v/>
      </c>
      <c r="I1959" s="78">
        <f>IF(ISBLANK(G1959),"",IF(D1959="Stock","0",Key!$A$3*H1959*G1959))</f>
        <v/>
      </c>
      <c r="J1959" s="78">
        <f>IF(ISBLANK(E1959),"",IF(ISNUMBER(SEARCH("/",E1959)), IF(LEN(E1959)-LEN(SUBSTITUTE(E1959,"/",""))=1,(RIGHT(E1959,LEN(E1959)-FIND("/",E1959)))-(LEFT(E1959,FIND("/",E1959)-1)),(MID(E1959, SEARCH("/",E1959) + 1, SEARCH("/",E1959, SEARCH("/",E1959)+1) - SEARCH("/",E1959) - 1))-(LEFT(E1959,FIND("/",E1959)-1))), "NA"))</f>
        <v/>
      </c>
      <c r="K1959" s="79">
        <f>IF(A1959&lt;&gt;"", IF(ISBLANK(L1959), TODAY(), K1959), "")</f>
        <v/>
      </c>
      <c r="L1959" s="78" t="n"/>
      <c r="M1959" s="78">
        <f>IF(ISBLANK(L1959),"",IF(D1959="Stock",IF(C1959="Buy",L1959*G1959,IF(C1959="Sell",(L1959*G1959)-I1959, X)),IF(C1959="Buy",(L1959*G1959*100)+I1959,IF(C1959="Sell",(L1959*G1959*100)-I1959, X))))</f>
        <v/>
      </c>
      <c r="N1959" s="78">
        <f>IF(ISBLANK(L1959),"",IF(AND(C1959="Sell",D1959="Stock"),M1959,IF(ISBLANK(L1959),"",IF(C1959="Buy",M1959, IF(AND(C1959="Sell",J1959="NA"),(E1959*G1959*100*0.1)+I1959, IF(C1959="Sell",(J1959-L1959)*(100*G1959)+I1959))))))</f>
        <v/>
      </c>
      <c r="O1959" s="75" t="n"/>
      <c r="P1959" s="75" t="n"/>
      <c r="Q1959" s="75">
        <f>IF(ISBLANK(P1959),"",IF(D1959="Stock",P1959*G1959,IF(P1959=0,"0",G1959*P1959*100-(G1959*$AF$14))))</f>
        <v/>
      </c>
      <c r="R1959" s="79">
        <f>IF(P1959&lt;&gt;"", TODAY(), "")</f>
        <v/>
      </c>
      <c r="S1959" s="78">
        <f>IF(AND(K1959&lt;&gt;"", R1959&lt;&gt;""), R1959-K1959, "")</f>
        <v/>
      </c>
      <c r="T1959" s="78" t="n"/>
      <c r="U1959" s="92">
        <f>IF(ISBLANK(P1959),"",IF(C1959="Buy",Q1959-M1959+T1959, IF(C1959="Sell",M1959-Q1959-T1959, X)))</f>
        <v/>
      </c>
      <c r="V1959" s="81">
        <f>IF(ISBLANK(P1959),"",U1959/N1959)</f>
        <v/>
      </c>
      <c r="W1959" s="81">
        <f>IF(ISBLANK(P1959),"",IF(S1959=0,(365/0.5)*V1959,(365/S1959)*V1959))</f>
        <v/>
      </c>
      <c r="X1959" s="75" t="n"/>
      <c r="Y1959" s="77" t="n"/>
      <c r="Z1959" s="77" t="n"/>
      <c r="AA1959" s="75" t="n"/>
      <c r="AB1959" s="75" t="n"/>
      <c r="AC1959" s="6" t="n"/>
      <c r="AD1959" s="75" t="n"/>
      <c r="AE1959" s="75" t="n"/>
      <c r="AF1959" s="75" t="n"/>
    </row>
    <row r="1960" ht="15.75" customHeight="1" s="133">
      <c r="A1960" s="75" t="n"/>
      <c r="B1960" s="75" t="n"/>
      <c r="C1960" s="75" t="n"/>
      <c r="D1960" s="75" t="n"/>
      <c r="E1960" s="76" t="n"/>
      <c r="F1960" s="77" t="n"/>
      <c r="G1960" s="75" t="n"/>
      <c r="H1960" s="75">
        <f>IF(ISBLANK(E1960),"",IF(OR(D1960="Butterfly",D1960="Butterfly ",D1960="Iron Fly", D1960="Iron Fly "),LEN(E1960)-LEN(SUBSTITUTE(E1960,"/",""))+2,LEN(E1960)-LEN(SUBSTITUTE(E1960,"/",""))+1))</f>
        <v/>
      </c>
      <c r="I1960" s="78">
        <f>IF(ISBLANK(G1960),"",IF(D1960="Stock","0",Key!$A$3*H1960*G1960))</f>
        <v/>
      </c>
      <c r="J1960" s="78">
        <f>IF(ISBLANK(E1960),"",IF(ISNUMBER(SEARCH("/",E1960)), IF(LEN(E1960)-LEN(SUBSTITUTE(E1960,"/",""))=1,(RIGHT(E1960,LEN(E1960)-FIND("/",E1960)))-(LEFT(E1960,FIND("/",E1960)-1)),(MID(E1960, SEARCH("/",E1960) + 1, SEARCH("/",E1960, SEARCH("/",E1960)+1) - SEARCH("/",E1960) - 1))-(LEFT(E1960,FIND("/",E1960)-1))), "NA"))</f>
        <v/>
      </c>
      <c r="K1960" s="79">
        <f>IF(A1960&lt;&gt;"", IF(ISBLANK(L1960), TODAY(), K1960), "")</f>
        <v/>
      </c>
      <c r="L1960" s="78" t="n"/>
      <c r="M1960" s="78">
        <f>IF(ISBLANK(L1960),"",IF(D1960="Stock",IF(C1960="Buy",L1960*G1960,IF(C1960="Sell",(L1960*G1960)-I1960, X)),IF(C1960="Buy",(L1960*G1960*100)+I1960,IF(C1960="Sell",(L1960*G1960*100)-I1960, X))))</f>
        <v/>
      </c>
      <c r="N1960" s="78">
        <f>IF(ISBLANK(L1960),"",IF(AND(C1960="Sell",D1960="Stock"),M1960,IF(ISBLANK(L1960),"",IF(C1960="Buy",M1960, IF(AND(C1960="Sell",J1960="NA"),(E1960*G1960*100*0.1)+I1960, IF(C1960="Sell",(J1960-L1960)*(100*G1960)+I1960))))))</f>
        <v/>
      </c>
      <c r="O1960" s="75" t="n"/>
      <c r="P1960" s="75" t="n"/>
      <c r="Q1960" s="75">
        <f>IF(ISBLANK(P1960),"",IF(D1960="Stock",P1960*G1960,IF(P1960=0,"0",G1960*P1960*100-(G1960*$AF$14))))</f>
        <v/>
      </c>
      <c r="R1960" s="79">
        <f>IF(P1960&lt;&gt;"", TODAY(), "")</f>
        <v/>
      </c>
      <c r="S1960" s="78">
        <f>IF(AND(K1960&lt;&gt;"", R1960&lt;&gt;""), R1960-K1960, "")</f>
        <v/>
      </c>
      <c r="T1960" s="78" t="n"/>
      <c r="U1960" s="92">
        <f>IF(ISBLANK(P1960),"",IF(C1960="Buy",Q1960-M1960+T1960, IF(C1960="Sell",M1960-Q1960-T1960, X)))</f>
        <v/>
      </c>
      <c r="V1960" s="81">
        <f>IF(ISBLANK(P1960),"",U1960/N1960)</f>
        <v/>
      </c>
      <c r="W1960" s="81">
        <f>IF(ISBLANK(P1960),"",IF(S1960=0,(365/0.5)*V1960,(365/S1960)*V1960))</f>
        <v/>
      </c>
      <c r="X1960" s="75" t="n"/>
      <c r="Y1960" s="77" t="n"/>
      <c r="Z1960" s="77" t="n"/>
      <c r="AA1960" s="75" t="n"/>
      <c r="AB1960" s="75" t="n"/>
      <c r="AC1960" s="6" t="n"/>
      <c r="AD1960" s="75" t="n"/>
      <c r="AE1960" s="75" t="n"/>
      <c r="AF1960" s="75" t="n"/>
    </row>
    <row r="1961" ht="15.75" customHeight="1" s="133">
      <c r="A1961" s="75" t="n"/>
      <c r="B1961" s="75" t="n"/>
      <c r="C1961" s="75" t="n"/>
      <c r="D1961" s="75" t="n"/>
      <c r="E1961" s="76" t="n"/>
      <c r="F1961" s="77" t="n"/>
      <c r="G1961" s="75" t="n"/>
      <c r="H1961" s="75">
        <f>IF(ISBLANK(E1961),"",IF(OR(D1961="Butterfly",D1961="Butterfly ",D1961="Iron Fly", D1961="Iron Fly "),LEN(E1961)-LEN(SUBSTITUTE(E1961,"/",""))+2,LEN(E1961)-LEN(SUBSTITUTE(E1961,"/",""))+1))</f>
        <v/>
      </c>
      <c r="I1961" s="78">
        <f>IF(ISBLANK(G1961),"",IF(D1961="Stock","0",Key!$A$3*H1961*G1961))</f>
        <v/>
      </c>
      <c r="J1961" s="78">
        <f>IF(ISBLANK(E1961),"",IF(ISNUMBER(SEARCH("/",E1961)), IF(LEN(E1961)-LEN(SUBSTITUTE(E1961,"/",""))=1,(RIGHT(E1961,LEN(E1961)-FIND("/",E1961)))-(LEFT(E1961,FIND("/",E1961)-1)),(MID(E1961, SEARCH("/",E1961) + 1, SEARCH("/",E1961, SEARCH("/",E1961)+1) - SEARCH("/",E1961) - 1))-(LEFT(E1961,FIND("/",E1961)-1))), "NA"))</f>
        <v/>
      </c>
      <c r="K1961" s="79">
        <f>IF(A1961&lt;&gt;"", IF(ISBLANK(L1961), TODAY(), K1961), "")</f>
        <v/>
      </c>
      <c r="L1961" s="78" t="n"/>
      <c r="M1961" s="78">
        <f>IF(ISBLANK(L1961),"",IF(D1961="Stock",IF(C1961="Buy",L1961*G1961,IF(C1961="Sell",(L1961*G1961)-I1961, X)),IF(C1961="Buy",(L1961*G1961*100)+I1961,IF(C1961="Sell",(L1961*G1961*100)-I1961, X))))</f>
        <v/>
      </c>
      <c r="N1961" s="78">
        <f>IF(ISBLANK(L1961),"",IF(AND(C1961="Sell",D1961="Stock"),M1961,IF(ISBLANK(L1961),"",IF(C1961="Buy",M1961, IF(AND(C1961="Sell",J1961="NA"),(E1961*G1961*100*0.1)+I1961, IF(C1961="Sell",(J1961-L1961)*(100*G1961)+I1961))))))</f>
        <v/>
      </c>
      <c r="O1961" s="75" t="n"/>
      <c r="P1961" s="75" t="n"/>
      <c r="Q1961" s="75">
        <f>IF(ISBLANK(P1961),"",IF(D1961="Stock",P1961*G1961,IF(P1961=0,"0",G1961*P1961*100-(G1961*$AF$14))))</f>
        <v/>
      </c>
      <c r="R1961" s="79">
        <f>IF(P1961&lt;&gt;"", TODAY(), "")</f>
        <v/>
      </c>
      <c r="S1961" s="78">
        <f>IF(AND(K1961&lt;&gt;"", R1961&lt;&gt;""), R1961-K1961, "")</f>
        <v/>
      </c>
      <c r="T1961" s="78" t="n"/>
      <c r="U1961" s="92">
        <f>IF(ISBLANK(P1961),"",IF(C1961="Buy",Q1961-M1961+T1961, IF(C1961="Sell",M1961-Q1961-T1961, X)))</f>
        <v/>
      </c>
      <c r="V1961" s="81">
        <f>IF(ISBLANK(P1961),"",U1961/N1961)</f>
        <v/>
      </c>
      <c r="W1961" s="81">
        <f>IF(ISBLANK(P1961),"",IF(S1961=0,(365/0.5)*V1961,(365/S1961)*V1961))</f>
        <v/>
      </c>
      <c r="X1961" s="75" t="n"/>
      <c r="Y1961" s="77" t="n"/>
      <c r="Z1961" s="77" t="n"/>
      <c r="AA1961" s="75" t="n"/>
      <c r="AB1961" s="75" t="n"/>
      <c r="AC1961" s="6" t="n"/>
      <c r="AD1961" s="75" t="n"/>
      <c r="AE1961" s="75" t="n"/>
      <c r="AF1961" s="75" t="n"/>
    </row>
    <row r="1962" ht="15.75" customHeight="1" s="133">
      <c r="A1962" s="75" t="n"/>
      <c r="B1962" s="75" t="n"/>
      <c r="C1962" s="75" t="n"/>
      <c r="D1962" s="75" t="n"/>
      <c r="E1962" s="76" t="n"/>
      <c r="F1962" s="77" t="n"/>
      <c r="G1962" s="75" t="n"/>
      <c r="H1962" s="75">
        <f>IF(ISBLANK(E1962),"",IF(OR(D1962="Butterfly",D1962="Butterfly ",D1962="Iron Fly", D1962="Iron Fly "),LEN(E1962)-LEN(SUBSTITUTE(E1962,"/",""))+2,LEN(E1962)-LEN(SUBSTITUTE(E1962,"/",""))+1))</f>
        <v/>
      </c>
      <c r="I1962" s="78">
        <f>IF(ISBLANK(G1962),"",IF(D1962="Stock","0",Key!$A$3*H1962*G1962))</f>
        <v/>
      </c>
      <c r="J1962" s="78">
        <f>IF(ISBLANK(E1962),"",IF(ISNUMBER(SEARCH("/",E1962)), IF(LEN(E1962)-LEN(SUBSTITUTE(E1962,"/",""))=1,(RIGHT(E1962,LEN(E1962)-FIND("/",E1962)))-(LEFT(E1962,FIND("/",E1962)-1)),(MID(E1962, SEARCH("/",E1962) + 1, SEARCH("/",E1962, SEARCH("/",E1962)+1) - SEARCH("/",E1962) - 1))-(LEFT(E1962,FIND("/",E1962)-1))), "NA"))</f>
        <v/>
      </c>
      <c r="K1962" s="79">
        <f>IF(A1962&lt;&gt;"", IF(ISBLANK(L1962), TODAY(), K1962), "")</f>
        <v/>
      </c>
      <c r="L1962" s="78" t="n"/>
      <c r="M1962" s="78">
        <f>IF(ISBLANK(L1962),"",IF(D1962="Stock",IF(C1962="Buy",L1962*G1962,IF(C1962="Sell",(L1962*G1962)-I1962, X)),IF(C1962="Buy",(L1962*G1962*100)+I1962,IF(C1962="Sell",(L1962*G1962*100)-I1962, X))))</f>
        <v/>
      </c>
      <c r="N1962" s="78">
        <f>IF(ISBLANK(L1962),"",IF(AND(C1962="Sell",D1962="Stock"),M1962,IF(ISBLANK(L1962),"",IF(C1962="Buy",M1962, IF(AND(C1962="Sell",J1962="NA"),(E1962*G1962*100*0.1)+I1962, IF(C1962="Sell",(J1962-L1962)*(100*G1962)+I1962))))))</f>
        <v/>
      </c>
      <c r="O1962" s="75" t="n"/>
      <c r="P1962" s="75" t="n"/>
      <c r="Q1962" s="75">
        <f>IF(ISBLANK(P1962),"",IF(D1962="Stock",P1962*G1962,IF(P1962=0,"0",G1962*P1962*100-(G1962*$AF$14))))</f>
        <v/>
      </c>
      <c r="R1962" s="79">
        <f>IF(P1962&lt;&gt;"", TODAY(), "")</f>
        <v/>
      </c>
      <c r="S1962" s="78">
        <f>IF(AND(K1962&lt;&gt;"", R1962&lt;&gt;""), R1962-K1962, "")</f>
        <v/>
      </c>
      <c r="T1962" s="78" t="n"/>
      <c r="U1962" s="92">
        <f>IF(ISBLANK(P1962),"",IF(C1962="Buy",Q1962-M1962+T1962, IF(C1962="Sell",M1962-Q1962-T1962, X)))</f>
        <v/>
      </c>
      <c r="V1962" s="81">
        <f>IF(ISBLANK(P1962),"",U1962/N1962)</f>
        <v/>
      </c>
      <c r="W1962" s="81">
        <f>IF(ISBLANK(P1962),"",IF(S1962=0,(365/0.5)*V1962,(365/S1962)*V1962))</f>
        <v/>
      </c>
      <c r="X1962" s="75" t="n"/>
      <c r="Y1962" s="77" t="n"/>
      <c r="Z1962" s="77" t="n"/>
      <c r="AA1962" s="75" t="n"/>
      <c r="AB1962" s="75" t="n"/>
      <c r="AC1962" s="6" t="n"/>
      <c r="AD1962" s="75" t="n"/>
      <c r="AE1962" s="75" t="n"/>
      <c r="AF1962" s="75" t="n"/>
    </row>
    <row r="1963" ht="15.75" customHeight="1" s="133">
      <c r="A1963" s="75" t="n"/>
      <c r="B1963" s="75" t="n"/>
      <c r="C1963" s="75" t="n"/>
      <c r="D1963" s="75" t="n"/>
      <c r="E1963" s="76" t="n"/>
      <c r="F1963" s="77" t="n"/>
      <c r="G1963" s="75" t="n"/>
      <c r="H1963" s="75">
        <f>IF(ISBLANK(E1963),"",IF(OR(D1963="Butterfly",D1963="Butterfly ",D1963="Iron Fly", D1963="Iron Fly "),LEN(E1963)-LEN(SUBSTITUTE(E1963,"/",""))+2,LEN(E1963)-LEN(SUBSTITUTE(E1963,"/",""))+1))</f>
        <v/>
      </c>
      <c r="I1963" s="78">
        <f>IF(ISBLANK(G1963),"",IF(D1963="Stock","0",Key!$A$3*H1963*G1963))</f>
        <v/>
      </c>
      <c r="J1963" s="78">
        <f>IF(ISBLANK(E1963),"",IF(ISNUMBER(SEARCH("/",E1963)), IF(LEN(E1963)-LEN(SUBSTITUTE(E1963,"/",""))=1,(RIGHT(E1963,LEN(E1963)-FIND("/",E1963)))-(LEFT(E1963,FIND("/",E1963)-1)),(MID(E1963, SEARCH("/",E1963) + 1, SEARCH("/",E1963, SEARCH("/",E1963)+1) - SEARCH("/",E1963) - 1))-(LEFT(E1963,FIND("/",E1963)-1))), "NA"))</f>
        <v/>
      </c>
      <c r="K1963" s="79">
        <f>IF(A1963&lt;&gt;"", IF(ISBLANK(L1963), TODAY(), K1963), "")</f>
        <v/>
      </c>
      <c r="L1963" s="78" t="n"/>
      <c r="M1963" s="78">
        <f>IF(ISBLANK(L1963),"",IF(D1963="Stock",IF(C1963="Buy",L1963*G1963,IF(C1963="Sell",(L1963*G1963)-I1963, X)),IF(C1963="Buy",(L1963*G1963*100)+I1963,IF(C1963="Sell",(L1963*G1963*100)-I1963, X))))</f>
        <v/>
      </c>
      <c r="N1963" s="78">
        <f>IF(ISBLANK(L1963),"",IF(AND(C1963="Sell",D1963="Stock"),M1963,IF(ISBLANK(L1963),"",IF(C1963="Buy",M1963, IF(AND(C1963="Sell",J1963="NA"),(E1963*G1963*100*0.1)+I1963, IF(C1963="Sell",(J1963-L1963)*(100*G1963)+I1963))))))</f>
        <v/>
      </c>
      <c r="O1963" s="75" t="n"/>
      <c r="P1963" s="75" t="n"/>
      <c r="Q1963" s="75">
        <f>IF(ISBLANK(P1963),"",IF(D1963="Stock",P1963*G1963,IF(P1963=0,"0",G1963*P1963*100-(G1963*$AF$14))))</f>
        <v/>
      </c>
      <c r="R1963" s="79">
        <f>IF(P1963&lt;&gt;"", TODAY(), "")</f>
        <v/>
      </c>
      <c r="S1963" s="78">
        <f>IF(AND(K1963&lt;&gt;"", R1963&lt;&gt;""), R1963-K1963, "")</f>
        <v/>
      </c>
      <c r="T1963" s="78" t="n"/>
      <c r="U1963" s="92">
        <f>IF(ISBLANK(P1963),"",IF(C1963="Buy",Q1963-M1963+T1963, IF(C1963="Sell",M1963-Q1963-T1963, X)))</f>
        <v/>
      </c>
      <c r="V1963" s="81">
        <f>IF(ISBLANK(P1963),"",U1963/N1963)</f>
        <v/>
      </c>
      <c r="W1963" s="81">
        <f>IF(ISBLANK(P1963),"",IF(S1963=0,(365/0.5)*V1963,(365/S1963)*V1963))</f>
        <v/>
      </c>
      <c r="X1963" s="75" t="n"/>
      <c r="Y1963" s="77" t="n"/>
      <c r="Z1963" s="77" t="n"/>
      <c r="AA1963" s="75" t="n"/>
      <c r="AB1963" s="75" t="n"/>
      <c r="AC1963" s="6" t="n"/>
      <c r="AD1963" s="75" t="n"/>
      <c r="AE1963" s="75" t="n"/>
      <c r="AF1963" s="75" t="n"/>
    </row>
    <row r="1964" ht="15.75" customHeight="1" s="133">
      <c r="A1964" s="75" t="n"/>
      <c r="B1964" s="75" t="n"/>
      <c r="C1964" s="75" t="n"/>
      <c r="D1964" s="75" t="n"/>
      <c r="E1964" s="76" t="n"/>
      <c r="F1964" s="77" t="n"/>
      <c r="G1964" s="75" t="n"/>
      <c r="H1964" s="75">
        <f>IF(ISBLANK(E1964),"",IF(OR(D1964="Butterfly",D1964="Butterfly ",D1964="Iron Fly", D1964="Iron Fly "),LEN(E1964)-LEN(SUBSTITUTE(E1964,"/",""))+2,LEN(E1964)-LEN(SUBSTITUTE(E1964,"/",""))+1))</f>
        <v/>
      </c>
      <c r="I1964" s="78">
        <f>IF(ISBLANK(G1964),"",IF(D1964="Stock","0",Key!$A$3*H1964*G1964))</f>
        <v/>
      </c>
      <c r="J1964" s="78">
        <f>IF(ISBLANK(E1964),"",IF(ISNUMBER(SEARCH("/",E1964)), IF(LEN(E1964)-LEN(SUBSTITUTE(E1964,"/",""))=1,(RIGHT(E1964,LEN(E1964)-FIND("/",E1964)))-(LEFT(E1964,FIND("/",E1964)-1)),(MID(E1964, SEARCH("/",E1964) + 1, SEARCH("/",E1964, SEARCH("/",E1964)+1) - SEARCH("/",E1964) - 1))-(LEFT(E1964,FIND("/",E1964)-1))), "NA"))</f>
        <v/>
      </c>
      <c r="K1964" s="79">
        <f>IF(A1964&lt;&gt;"", IF(ISBLANK(L1964), TODAY(), K1964), "")</f>
        <v/>
      </c>
      <c r="L1964" s="78" t="n"/>
      <c r="M1964" s="78">
        <f>IF(ISBLANK(L1964),"",IF(D1964="Stock",IF(C1964="Buy",L1964*G1964,IF(C1964="Sell",(L1964*G1964)-I1964, X)),IF(C1964="Buy",(L1964*G1964*100)+I1964,IF(C1964="Sell",(L1964*G1964*100)-I1964, X))))</f>
        <v/>
      </c>
      <c r="N1964" s="78">
        <f>IF(ISBLANK(L1964),"",IF(AND(C1964="Sell",D1964="Stock"),M1964,IF(ISBLANK(L1964),"",IF(C1964="Buy",M1964, IF(AND(C1964="Sell",J1964="NA"),(E1964*G1964*100*0.1)+I1964, IF(C1964="Sell",(J1964-L1964)*(100*G1964)+I1964))))))</f>
        <v/>
      </c>
      <c r="O1964" s="75" t="n"/>
      <c r="P1964" s="75" t="n"/>
      <c r="Q1964" s="75">
        <f>IF(ISBLANK(P1964),"",IF(D1964="Stock",P1964*G1964,IF(P1964=0,"0",G1964*P1964*100-(G1964*$AF$14))))</f>
        <v/>
      </c>
      <c r="R1964" s="79">
        <f>IF(P1964&lt;&gt;"", TODAY(), "")</f>
        <v/>
      </c>
      <c r="S1964" s="78">
        <f>IF(AND(K1964&lt;&gt;"", R1964&lt;&gt;""), R1964-K1964, "")</f>
        <v/>
      </c>
      <c r="T1964" s="78" t="n"/>
      <c r="U1964" s="92">
        <f>IF(ISBLANK(P1964),"",IF(C1964="Buy",Q1964-M1964+T1964, IF(C1964="Sell",M1964-Q1964-T1964, X)))</f>
        <v/>
      </c>
      <c r="V1964" s="81">
        <f>IF(ISBLANK(P1964),"",U1964/N1964)</f>
        <v/>
      </c>
      <c r="W1964" s="81">
        <f>IF(ISBLANK(P1964),"",IF(S1964=0,(365/0.5)*V1964,(365/S1964)*V1964))</f>
        <v/>
      </c>
      <c r="X1964" s="75" t="n"/>
      <c r="Y1964" s="77" t="n"/>
      <c r="Z1964" s="77" t="n"/>
      <c r="AA1964" s="75" t="n"/>
      <c r="AB1964" s="75" t="n"/>
      <c r="AC1964" s="6" t="n"/>
      <c r="AD1964" s="75" t="n"/>
      <c r="AE1964" s="75" t="n"/>
      <c r="AF1964" s="75" t="n"/>
    </row>
    <row r="1965" ht="15.75" customHeight="1" s="133">
      <c r="A1965" s="75" t="n"/>
      <c r="B1965" s="75" t="n"/>
      <c r="C1965" s="75" t="n"/>
      <c r="D1965" s="75" t="n"/>
      <c r="E1965" s="76" t="n"/>
      <c r="F1965" s="77" t="n"/>
      <c r="G1965" s="75" t="n"/>
      <c r="H1965" s="75">
        <f>IF(ISBLANK(E1965),"",IF(OR(D1965="Butterfly",D1965="Butterfly ",D1965="Iron Fly", D1965="Iron Fly "),LEN(E1965)-LEN(SUBSTITUTE(E1965,"/",""))+2,LEN(E1965)-LEN(SUBSTITUTE(E1965,"/",""))+1))</f>
        <v/>
      </c>
      <c r="I1965" s="78">
        <f>IF(ISBLANK(G1965),"",IF(D1965="Stock","0",Key!$A$3*H1965*G1965))</f>
        <v/>
      </c>
      <c r="J1965" s="78">
        <f>IF(ISBLANK(E1965),"",IF(ISNUMBER(SEARCH("/",E1965)), IF(LEN(E1965)-LEN(SUBSTITUTE(E1965,"/",""))=1,(RIGHT(E1965,LEN(E1965)-FIND("/",E1965)))-(LEFT(E1965,FIND("/",E1965)-1)),(MID(E1965, SEARCH("/",E1965) + 1, SEARCH("/",E1965, SEARCH("/",E1965)+1) - SEARCH("/",E1965) - 1))-(LEFT(E1965,FIND("/",E1965)-1))), "NA"))</f>
        <v/>
      </c>
      <c r="K1965" s="79">
        <f>IF(A1965&lt;&gt;"", IF(ISBLANK(L1965), TODAY(), K1965), "")</f>
        <v/>
      </c>
      <c r="L1965" s="78" t="n"/>
      <c r="M1965" s="78">
        <f>IF(ISBLANK(L1965),"",IF(D1965="Stock",IF(C1965="Buy",L1965*G1965,IF(C1965="Sell",(L1965*G1965)-I1965, X)),IF(C1965="Buy",(L1965*G1965*100)+I1965,IF(C1965="Sell",(L1965*G1965*100)-I1965, X))))</f>
        <v/>
      </c>
      <c r="N1965" s="78">
        <f>IF(ISBLANK(L1965),"",IF(AND(C1965="Sell",D1965="Stock"),M1965,IF(ISBLANK(L1965),"",IF(C1965="Buy",M1965, IF(AND(C1965="Sell",J1965="NA"),(E1965*G1965*100*0.1)+I1965, IF(C1965="Sell",(J1965-L1965)*(100*G1965)+I1965))))))</f>
        <v/>
      </c>
      <c r="O1965" s="75" t="n"/>
      <c r="P1965" s="75" t="n"/>
      <c r="Q1965" s="75">
        <f>IF(ISBLANK(P1965),"",IF(D1965="Stock",P1965*G1965,IF(P1965=0,"0",G1965*P1965*100-(G1965*$AF$14))))</f>
        <v/>
      </c>
      <c r="R1965" s="79">
        <f>IF(P1965&lt;&gt;"", TODAY(), "")</f>
        <v/>
      </c>
      <c r="S1965" s="78">
        <f>IF(AND(K1965&lt;&gt;"", R1965&lt;&gt;""), R1965-K1965, "")</f>
        <v/>
      </c>
      <c r="T1965" s="78" t="n"/>
      <c r="U1965" s="92">
        <f>IF(ISBLANK(P1965),"",IF(C1965="Buy",Q1965-M1965+T1965, IF(C1965="Sell",M1965-Q1965-T1965, X)))</f>
        <v/>
      </c>
      <c r="V1965" s="81">
        <f>IF(ISBLANK(P1965),"",U1965/N1965)</f>
        <v/>
      </c>
      <c r="W1965" s="81">
        <f>IF(ISBLANK(P1965),"",IF(S1965=0,(365/0.5)*V1965,(365/S1965)*V1965))</f>
        <v/>
      </c>
      <c r="X1965" s="75" t="n"/>
      <c r="Y1965" s="77" t="n"/>
      <c r="Z1965" s="77" t="n"/>
      <c r="AA1965" s="75" t="n"/>
      <c r="AB1965" s="75" t="n"/>
      <c r="AC1965" s="6" t="n"/>
      <c r="AD1965" s="75" t="n"/>
      <c r="AE1965" s="75" t="n"/>
      <c r="AF1965" s="75" t="n"/>
    </row>
    <row r="1966" ht="15.75" customHeight="1" s="133">
      <c r="A1966" s="75" t="n"/>
      <c r="B1966" s="75" t="n"/>
      <c r="C1966" s="75" t="n"/>
      <c r="D1966" s="75" t="n"/>
      <c r="E1966" s="76" t="n"/>
      <c r="F1966" s="77" t="n"/>
      <c r="G1966" s="75" t="n"/>
      <c r="H1966" s="75">
        <f>IF(ISBLANK(E1966),"",IF(OR(D1966="Butterfly",D1966="Butterfly ",D1966="Iron Fly", D1966="Iron Fly "),LEN(E1966)-LEN(SUBSTITUTE(E1966,"/",""))+2,LEN(E1966)-LEN(SUBSTITUTE(E1966,"/",""))+1))</f>
        <v/>
      </c>
      <c r="I1966" s="78">
        <f>IF(ISBLANK(G1966),"",IF(D1966="Stock","0",Key!$A$3*H1966*G1966))</f>
        <v/>
      </c>
      <c r="J1966" s="78">
        <f>IF(ISBLANK(E1966),"",IF(ISNUMBER(SEARCH("/",E1966)), IF(LEN(E1966)-LEN(SUBSTITUTE(E1966,"/",""))=1,(RIGHT(E1966,LEN(E1966)-FIND("/",E1966)))-(LEFT(E1966,FIND("/",E1966)-1)),(MID(E1966, SEARCH("/",E1966) + 1, SEARCH("/",E1966, SEARCH("/",E1966)+1) - SEARCH("/",E1966) - 1))-(LEFT(E1966,FIND("/",E1966)-1))), "NA"))</f>
        <v/>
      </c>
      <c r="K1966" s="79">
        <f>IF(A1966&lt;&gt;"", IF(ISBLANK(L1966), TODAY(), K1966), "")</f>
        <v/>
      </c>
      <c r="L1966" s="78" t="n"/>
      <c r="M1966" s="78">
        <f>IF(ISBLANK(L1966),"",IF(D1966="Stock",IF(C1966="Buy",L1966*G1966,IF(C1966="Sell",(L1966*G1966)-I1966, X)),IF(C1966="Buy",(L1966*G1966*100)+I1966,IF(C1966="Sell",(L1966*G1966*100)-I1966, X))))</f>
        <v/>
      </c>
      <c r="N1966" s="78">
        <f>IF(ISBLANK(L1966),"",IF(AND(C1966="Sell",D1966="Stock"),M1966,IF(ISBLANK(L1966),"",IF(C1966="Buy",M1966, IF(AND(C1966="Sell",J1966="NA"),(E1966*G1966*100*0.1)+I1966, IF(C1966="Sell",(J1966-L1966)*(100*G1966)+I1966))))))</f>
        <v/>
      </c>
      <c r="O1966" s="75" t="n"/>
      <c r="P1966" s="75" t="n"/>
      <c r="Q1966" s="75">
        <f>IF(ISBLANK(P1966),"",IF(D1966="Stock",P1966*G1966,IF(P1966=0,"0",G1966*P1966*100-(G1966*$AF$14))))</f>
        <v/>
      </c>
      <c r="R1966" s="79">
        <f>IF(P1966&lt;&gt;"", TODAY(), "")</f>
        <v/>
      </c>
      <c r="S1966" s="78">
        <f>IF(AND(K1966&lt;&gt;"", R1966&lt;&gt;""), R1966-K1966, "")</f>
        <v/>
      </c>
      <c r="T1966" s="78" t="n"/>
      <c r="U1966" s="92">
        <f>IF(ISBLANK(P1966),"",IF(C1966="Buy",Q1966-M1966+T1966, IF(C1966="Sell",M1966-Q1966-T1966, X)))</f>
        <v/>
      </c>
      <c r="V1966" s="81">
        <f>IF(ISBLANK(P1966),"",U1966/N1966)</f>
        <v/>
      </c>
      <c r="W1966" s="81">
        <f>IF(ISBLANK(P1966),"",IF(S1966=0,(365/0.5)*V1966,(365/S1966)*V1966))</f>
        <v/>
      </c>
      <c r="X1966" s="75" t="n"/>
      <c r="Y1966" s="77" t="n"/>
      <c r="Z1966" s="77" t="n"/>
      <c r="AA1966" s="75" t="n"/>
      <c r="AB1966" s="75" t="n"/>
      <c r="AC1966" s="6" t="n"/>
      <c r="AD1966" s="75" t="n"/>
      <c r="AE1966" s="75" t="n"/>
      <c r="AF1966" s="75" t="n"/>
    </row>
    <row r="1967" ht="15.75" customHeight="1" s="133">
      <c r="A1967" s="75" t="n"/>
      <c r="B1967" s="75" t="n"/>
      <c r="C1967" s="75" t="n"/>
      <c r="D1967" s="75" t="n"/>
      <c r="E1967" s="76" t="n"/>
      <c r="F1967" s="77" t="n"/>
      <c r="G1967" s="75" t="n"/>
      <c r="H1967" s="75">
        <f>IF(ISBLANK(E1967),"",IF(OR(D1967="Butterfly",D1967="Butterfly ",D1967="Iron Fly", D1967="Iron Fly "),LEN(E1967)-LEN(SUBSTITUTE(E1967,"/",""))+2,LEN(E1967)-LEN(SUBSTITUTE(E1967,"/",""))+1))</f>
        <v/>
      </c>
      <c r="I1967" s="78">
        <f>IF(ISBLANK(G1967),"",IF(D1967="Stock","0",Key!$A$3*H1967*G1967))</f>
        <v/>
      </c>
      <c r="J1967" s="78">
        <f>IF(ISBLANK(E1967),"",IF(ISNUMBER(SEARCH("/",E1967)), IF(LEN(E1967)-LEN(SUBSTITUTE(E1967,"/",""))=1,(RIGHT(E1967,LEN(E1967)-FIND("/",E1967)))-(LEFT(E1967,FIND("/",E1967)-1)),(MID(E1967, SEARCH("/",E1967) + 1, SEARCH("/",E1967, SEARCH("/",E1967)+1) - SEARCH("/",E1967) - 1))-(LEFT(E1967,FIND("/",E1967)-1))), "NA"))</f>
        <v/>
      </c>
      <c r="K1967" s="79">
        <f>IF(A1967&lt;&gt;"", IF(ISBLANK(L1967), TODAY(), K1967), "")</f>
        <v/>
      </c>
      <c r="L1967" s="78" t="n"/>
      <c r="M1967" s="78">
        <f>IF(ISBLANK(L1967),"",IF(D1967="Stock",IF(C1967="Buy",L1967*G1967,IF(C1967="Sell",(L1967*G1967)-I1967, X)),IF(C1967="Buy",(L1967*G1967*100)+I1967,IF(C1967="Sell",(L1967*G1967*100)-I1967, X))))</f>
        <v/>
      </c>
      <c r="N1967" s="78">
        <f>IF(ISBLANK(L1967),"",IF(AND(C1967="Sell",D1967="Stock"),M1967,IF(ISBLANK(L1967),"",IF(C1967="Buy",M1967, IF(AND(C1967="Sell",J1967="NA"),(E1967*G1967*100*0.1)+I1967, IF(C1967="Sell",(J1967-L1967)*(100*G1967)+I1967))))))</f>
        <v/>
      </c>
      <c r="O1967" s="75" t="n"/>
      <c r="P1967" s="75" t="n"/>
      <c r="Q1967" s="75">
        <f>IF(ISBLANK(P1967),"",IF(D1967="Stock",P1967*G1967,IF(P1967=0,"0",G1967*P1967*100-(G1967*$AF$14))))</f>
        <v/>
      </c>
      <c r="R1967" s="79">
        <f>IF(P1967&lt;&gt;"", TODAY(), "")</f>
        <v/>
      </c>
      <c r="S1967" s="78">
        <f>IF(AND(K1967&lt;&gt;"", R1967&lt;&gt;""), R1967-K1967, "")</f>
        <v/>
      </c>
      <c r="T1967" s="78" t="n"/>
      <c r="U1967" s="92">
        <f>IF(ISBLANK(P1967),"",IF(C1967="Buy",Q1967-M1967+T1967, IF(C1967="Sell",M1967-Q1967-T1967, X)))</f>
        <v/>
      </c>
      <c r="V1967" s="81">
        <f>IF(ISBLANK(P1967),"",U1967/N1967)</f>
        <v/>
      </c>
      <c r="W1967" s="81">
        <f>IF(ISBLANK(P1967),"",IF(S1967=0,(365/0.5)*V1967,(365/S1967)*V1967))</f>
        <v/>
      </c>
      <c r="X1967" s="75" t="n"/>
      <c r="Y1967" s="77" t="n"/>
      <c r="Z1967" s="77" t="n"/>
      <c r="AA1967" s="75" t="n"/>
      <c r="AB1967" s="75" t="n"/>
      <c r="AC1967" s="6" t="n"/>
      <c r="AD1967" s="75" t="n"/>
      <c r="AE1967" s="75" t="n"/>
      <c r="AF1967" s="75" t="n"/>
    </row>
    <row r="1968" ht="15.75" customHeight="1" s="133">
      <c r="A1968" s="75" t="n"/>
      <c r="B1968" s="75" t="n"/>
      <c r="C1968" s="75" t="n"/>
      <c r="D1968" s="75" t="n"/>
      <c r="E1968" s="76" t="n"/>
      <c r="F1968" s="77" t="n"/>
      <c r="G1968" s="75" t="n"/>
      <c r="H1968" s="75">
        <f>IF(ISBLANK(E1968),"",IF(OR(D1968="Butterfly",D1968="Butterfly ",D1968="Iron Fly", D1968="Iron Fly "),LEN(E1968)-LEN(SUBSTITUTE(E1968,"/",""))+2,LEN(E1968)-LEN(SUBSTITUTE(E1968,"/",""))+1))</f>
        <v/>
      </c>
      <c r="I1968" s="78">
        <f>IF(ISBLANK(G1968),"",IF(D1968="Stock","0",Key!$A$3*H1968*G1968))</f>
        <v/>
      </c>
      <c r="J1968" s="78">
        <f>IF(ISBLANK(E1968),"",IF(ISNUMBER(SEARCH("/",E1968)), IF(LEN(E1968)-LEN(SUBSTITUTE(E1968,"/",""))=1,(RIGHT(E1968,LEN(E1968)-FIND("/",E1968)))-(LEFT(E1968,FIND("/",E1968)-1)),(MID(E1968, SEARCH("/",E1968) + 1, SEARCH("/",E1968, SEARCH("/",E1968)+1) - SEARCH("/",E1968) - 1))-(LEFT(E1968,FIND("/",E1968)-1))), "NA"))</f>
        <v/>
      </c>
      <c r="K1968" s="79">
        <f>IF(A1968&lt;&gt;"", IF(ISBLANK(L1968), TODAY(), K1968), "")</f>
        <v/>
      </c>
      <c r="L1968" s="78" t="n"/>
      <c r="M1968" s="78">
        <f>IF(ISBLANK(L1968),"",IF(D1968="Stock",IF(C1968="Buy",L1968*G1968,IF(C1968="Sell",(L1968*G1968)-I1968, X)),IF(C1968="Buy",(L1968*G1968*100)+I1968,IF(C1968="Sell",(L1968*G1968*100)-I1968, X))))</f>
        <v/>
      </c>
      <c r="N1968" s="78">
        <f>IF(ISBLANK(L1968),"",IF(AND(C1968="Sell",D1968="Stock"),M1968,IF(ISBLANK(L1968),"",IF(C1968="Buy",M1968, IF(AND(C1968="Sell",J1968="NA"),(E1968*G1968*100*0.1)+I1968, IF(C1968="Sell",(J1968-L1968)*(100*G1968)+I1968))))))</f>
        <v/>
      </c>
      <c r="O1968" s="75" t="n"/>
      <c r="P1968" s="75" t="n"/>
      <c r="Q1968" s="75">
        <f>IF(ISBLANK(P1968),"",IF(D1968="Stock",P1968*G1968,IF(P1968=0,"0",G1968*P1968*100-(G1968*$AF$14))))</f>
        <v/>
      </c>
      <c r="R1968" s="79">
        <f>IF(P1968&lt;&gt;"", TODAY(), "")</f>
        <v/>
      </c>
      <c r="S1968" s="78">
        <f>IF(AND(K1968&lt;&gt;"", R1968&lt;&gt;""), R1968-K1968, "")</f>
        <v/>
      </c>
      <c r="T1968" s="78" t="n"/>
      <c r="U1968" s="92">
        <f>IF(ISBLANK(P1968),"",IF(C1968="Buy",Q1968-M1968+T1968, IF(C1968="Sell",M1968-Q1968-T1968, X)))</f>
        <v/>
      </c>
      <c r="V1968" s="81">
        <f>IF(ISBLANK(P1968),"",U1968/N1968)</f>
        <v/>
      </c>
      <c r="W1968" s="81">
        <f>IF(ISBLANK(P1968),"",IF(S1968=0,(365/0.5)*V1968,(365/S1968)*V1968))</f>
        <v/>
      </c>
      <c r="X1968" s="75" t="n"/>
      <c r="Y1968" s="77" t="n"/>
      <c r="Z1968" s="77" t="n"/>
      <c r="AA1968" s="75" t="n"/>
      <c r="AB1968" s="75" t="n"/>
      <c r="AC1968" s="6" t="n"/>
      <c r="AD1968" s="75" t="n"/>
      <c r="AE1968" s="75" t="n"/>
      <c r="AF1968" s="75" t="n"/>
    </row>
    <row r="1969" ht="15.75" customHeight="1" s="133">
      <c r="A1969" s="75" t="n"/>
      <c r="B1969" s="75" t="n"/>
      <c r="C1969" s="75" t="n"/>
      <c r="D1969" s="75" t="n"/>
      <c r="E1969" s="76" t="n"/>
      <c r="F1969" s="77" t="n"/>
      <c r="G1969" s="75" t="n"/>
      <c r="H1969" s="75">
        <f>IF(ISBLANK(E1969),"",IF(OR(D1969="Butterfly",D1969="Butterfly ",D1969="Iron Fly", D1969="Iron Fly "),LEN(E1969)-LEN(SUBSTITUTE(E1969,"/",""))+2,LEN(E1969)-LEN(SUBSTITUTE(E1969,"/",""))+1))</f>
        <v/>
      </c>
      <c r="I1969" s="78">
        <f>IF(ISBLANK(G1969),"",IF(D1969="Stock","0",Key!$A$3*H1969*G1969))</f>
        <v/>
      </c>
      <c r="J1969" s="78">
        <f>IF(ISBLANK(E1969),"",IF(ISNUMBER(SEARCH("/",E1969)), IF(LEN(E1969)-LEN(SUBSTITUTE(E1969,"/",""))=1,(RIGHT(E1969,LEN(E1969)-FIND("/",E1969)))-(LEFT(E1969,FIND("/",E1969)-1)),(MID(E1969, SEARCH("/",E1969) + 1, SEARCH("/",E1969, SEARCH("/",E1969)+1) - SEARCH("/",E1969) - 1))-(LEFT(E1969,FIND("/",E1969)-1))), "NA"))</f>
        <v/>
      </c>
      <c r="K1969" s="79">
        <f>IF(A1969&lt;&gt;"", IF(ISBLANK(L1969), TODAY(), K1969), "")</f>
        <v/>
      </c>
      <c r="L1969" s="78" t="n"/>
      <c r="M1969" s="78">
        <f>IF(ISBLANK(L1969),"",IF(D1969="Stock",IF(C1969="Buy",L1969*G1969,IF(C1969="Sell",(L1969*G1969)-I1969, X)),IF(C1969="Buy",(L1969*G1969*100)+I1969,IF(C1969="Sell",(L1969*G1969*100)-I1969, X))))</f>
        <v/>
      </c>
      <c r="N1969" s="78">
        <f>IF(ISBLANK(L1969),"",IF(AND(C1969="Sell",D1969="Stock"),M1969,IF(ISBLANK(L1969),"",IF(C1969="Buy",M1969, IF(AND(C1969="Sell",J1969="NA"),(E1969*G1969*100*0.1)+I1969, IF(C1969="Sell",(J1969-L1969)*(100*G1969)+I1969))))))</f>
        <v/>
      </c>
      <c r="O1969" s="75" t="n"/>
      <c r="P1969" s="75" t="n"/>
      <c r="Q1969" s="75">
        <f>IF(ISBLANK(P1969),"",IF(D1969="Stock",P1969*G1969,IF(P1969=0,"0",G1969*P1969*100-(G1969*$AF$14))))</f>
        <v/>
      </c>
      <c r="R1969" s="79">
        <f>IF(P1969&lt;&gt;"", TODAY(), "")</f>
        <v/>
      </c>
      <c r="S1969" s="78">
        <f>IF(AND(K1969&lt;&gt;"", R1969&lt;&gt;""), R1969-K1969, "")</f>
        <v/>
      </c>
      <c r="T1969" s="78" t="n"/>
      <c r="U1969" s="92">
        <f>IF(ISBLANK(P1969),"",IF(C1969="Buy",Q1969-M1969+T1969, IF(C1969="Sell",M1969-Q1969-T1969, X)))</f>
        <v/>
      </c>
      <c r="V1969" s="81">
        <f>IF(ISBLANK(P1969),"",U1969/N1969)</f>
        <v/>
      </c>
      <c r="W1969" s="81">
        <f>IF(ISBLANK(P1969),"",IF(S1969=0,(365/0.5)*V1969,(365/S1969)*V1969))</f>
        <v/>
      </c>
      <c r="X1969" s="75" t="n"/>
      <c r="Y1969" s="77" t="n"/>
      <c r="Z1969" s="77" t="n"/>
      <c r="AA1969" s="75" t="n"/>
      <c r="AB1969" s="75" t="n"/>
      <c r="AC1969" s="6" t="n"/>
      <c r="AD1969" s="75" t="n"/>
      <c r="AE1969" s="75" t="n"/>
      <c r="AF1969" s="75" t="n"/>
    </row>
    <row r="1970" ht="15.75" customHeight="1" s="133">
      <c r="A1970" s="75" t="n"/>
      <c r="B1970" s="75" t="n"/>
      <c r="C1970" s="75" t="n"/>
      <c r="D1970" s="75" t="n"/>
      <c r="E1970" s="76" t="n"/>
      <c r="F1970" s="77" t="n"/>
      <c r="G1970" s="75" t="n"/>
      <c r="H1970" s="75">
        <f>IF(ISBLANK(E1970),"",IF(OR(D1970="Butterfly",D1970="Butterfly ",D1970="Iron Fly", D1970="Iron Fly "),LEN(E1970)-LEN(SUBSTITUTE(E1970,"/",""))+2,LEN(E1970)-LEN(SUBSTITUTE(E1970,"/",""))+1))</f>
        <v/>
      </c>
      <c r="I1970" s="78">
        <f>IF(ISBLANK(G1970),"",IF(D1970="Stock","0",Key!$A$3*H1970*G1970))</f>
        <v/>
      </c>
      <c r="J1970" s="78">
        <f>IF(ISBLANK(E1970),"",IF(ISNUMBER(SEARCH("/",E1970)), IF(LEN(E1970)-LEN(SUBSTITUTE(E1970,"/",""))=1,(RIGHT(E1970,LEN(E1970)-FIND("/",E1970)))-(LEFT(E1970,FIND("/",E1970)-1)),(MID(E1970, SEARCH("/",E1970) + 1, SEARCH("/",E1970, SEARCH("/",E1970)+1) - SEARCH("/",E1970) - 1))-(LEFT(E1970,FIND("/",E1970)-1))), "NA"))</f>
        <v/>
      </c>
      <c r="K1970" s="79">
        <f>IF(A1970&lt;&gt;"", IF(ISBLANK(L1970), TODAY(), K1970), "")</f>
        <v/>
      </c>
      <c r="L1970" s="78" t="n"/>
      <c r="M1970" s="78">
        <f>IF(ISBLANK(L1970),"",IF(D1970="Stock",IF(C1970="Buy",L1970*G1970,IF(C1970="Sell",(L1970*G1970)-I1970, X)),IF(C1970="Buy",(L1970*G1970*100)+I1970,IF(C1970="Sell",(L1970*G1970*100)-I1970, X))))</f>
        <v/>
      </c>
      <c r="N1970" s="78">
        <f>IF(ISBLANK(L1970),"",IF(AND(C1970="Sell",D1970="Stock"),M1970,IF(ISBLANK(L1970),"",IF(C1970="Buy",M1970, IF(AND(C1970="Sell",J1970="NA"),(E1970*G1970*100*0.1)+I1970, IF(C1970="Sell",(J1970-L1970)*(100*G1970)+I1970))))))</f>
        <v/>
      </c>
      <c r="O1970" s="75" t="n"/>
      <c r="P1970" s="75" t="n"/>
      <c r="Q1970" s="75">
        <f>IF(ISBLANK(P1970),"",IF(D1970="Stock",P1970*G1970,IF(P1970=0,"0",G1970*P1970*100-(G1970*$AF$14))))</f>
        <v/>
      </c>
      <c r="R1970" s="79">
        <f>IF(P1970&lt;&gt;"", TODAY(), "")</f>
        <v/>
      </c>
      <c r="S1970" s="78">
        <f>IF(AND(K1970&lt;&gt;"", R1970&lt;&gt;""), R1970-K1970, "")</f>
        <v/>
      </c>
      <c r="T1970" s="78" t="n"/>
      <c r="U1970" s="92">
        <f>IF(ISBLANK(P1970),"",IF(C1970="Buy",Q1970-M1970+T1970, IF(C1970="Sell",M1970-Q1970-T1970, X)))</f>
        <v/>
      </c>
      <c r="V1970" s="81">
        <f>IF(ISBLANK(P1970),"",U1970/N1970)</f>
        <v/>
      </c>
      <c r="W1970" s="81">
        <f>IF(ISBLANK(P1970),"",IF(S1970=0,(365/0.5)*V1970,(365/S1970)*V1970))</f>
        <v/>
      </c>
      <c r="X1970" s="75" t="n"/>
      <c r="Y1970" s="77" t="n"/>
      <c r="Z1970" s="77" t="n"/>
      <c r="AA1970" s="75" t="n"/>
      <c r="AB1970" s="75" t="n"/>
      <c r="AC1970" s="6" t="n"/>
      <c r="AD1970" s="75" t="n"/>
      <c r="AE1970" s="75" t="n"/>
      <c r="AF1970" s="75" t="n"/>
    </row>
    <row r="1971" ht="15.75" customHeight="1" s="133">
      <c r="A1971" s="75" t="n"/>
      <c r="B1971" s="75" t="n"/>
      <c r="C1971" s="75" t="n"/>
      <c r="D1971" s="75" t="n"/>
      <c r="E1971" s="76" t="n"/>
      <c r="F1971" s="77" t="n"/>
      <c r="G1971" s="75" t="n"/>
      <c r="H1971" s="75">
        <f>IF(ISBLANK(E1971),"",IF(OR(D1971="Butterfly",D1971="Butterfly ",D1971="Iron Fly", D1971="Iron Fly "),LEN(E1971)-LEN(SUBSTITUTE(E1971,"/",""))+2,LEN(E1971)-LEN(SUBSTITUTE(E1971,"/",""))+1))</f>
        <v/>
      </c>
      <c r="I1971" s="78">
        <f>IF(ISBLANK(G1971),"",IF(D1971="Stock","0",Key!$A$3*H1971*G1971))</f>
        <v/>
      </c>
      <c r="J1971" s="78">
        <f>IF(ISBLANK(E1971),"",IF(ISNUMBER(SEARCH("/",E1971)), IF(LEN(E1971)-LEN(SUBSTITUTE(E1971,"/",""))=1,(RIGHT(E1971,LEN(E1971)-FIND("/",E1971)))-(LEFT(E1971,FIND("/",E1971)-1)),(MID(E1971, SEARCH("/",E1971) + 1, SEARCH("/",E1971, SEARCH("/",E1971)+1) - SEARCH("/",E1971) - 1))-(LEFT(E1971,FIND("/",E1971)-1))), "NA"))</f>
        <v/>
      </c>
      <c r="K1971" s="79">
        <f>IF(A1971&lt;&gt;"", IF(ISBLANK(L1971), TODAY(), K1971), "")</f>
        <v/>
      </c>
      <c r="L1971" s="78" t="n"/>
      <c r="M1971" s="78">
        <f>IF(ISBLANK(L1971),"",IF(D1971="Stock",IF(C1971="Buy",L1971*G1971,IF(C1971="Sell",(L1971*G1971)-I1971, X)),IF(C1971="Buy",(L1971*G1971*100)+I1971,IF(C1971="Sell",(L1971*G1971*100)-I1971, X))))</f>
        <v/>
      </c>
      <c r="N1971" s="78">
        <f>IF(ISBLANK(L1971),"",IF(AND(C1971="Sell",D1971="Stock"),M1971,IF(ISBLANK(L1971),"",IF(C1971="Buy",M1971, IF(AND(C1971="Sell",J1971="NA"),(E1971*G1971*100*0.1)+I1971, IF(C1971="Sell",(J1971-L1971)*(100*G1971)+I1971))))))</f>
        <v/>
      </c>
      <c r="O1971" s="75" t="n"/>
      <c r="P1971" s="75" t="n"/>
      <c r="Q1971" s="75">
        <f>IF(ISBLANK(P1971),"",IF(D1971="Stock",P1971*G1971,IF(P1971=0,"0",G1971*P1971*100-(G1971*$AF$14))))</f>
        <v/>
      </c>
      <c r="R1971" s="79">
        <f>IF(P1971&lt;&gt;"", TODAY(), "")</f>
        <v/>
      </c>
      <c r="S1971" s="78">
        <f>IF(AND(K1971&lt;&gt;"", R1971&lt;&gt;""), R1971-K1971, "")</f>
        <v/>
      </c>
      <c r="T1971" s="78" t="n"/>
      <c r="U1971" s="92">
        <f>IF(ISBLANK(P1971),"",IF(C1971="Buy",Q1971-M1971+T1971, IF(C1971="Sell",M1971-Q1971-T1971, X)))</f>
        <v/>
      </c>
      <c r="V1971" s="81">
        <f>IF(ISBLANK(P1971),"",U1971/N1971)</f>
        <v/>
      </c>
      <c r="W1971" s="81">
        <f>IF(ISBLANK(P1971),"",IF(S1971=0,(365/0.5)*V1971,(365/S1971)*V1971))</f>
        <v/>
      </c>
      <c r="X1971" s="75" t="n"/>
      <c r="Y1971" s="77" t="n"/>
      <c r="Z1971" s="77" t="n"/>
      <c r="AA1971" s="75" t="n"/>
      <c r="AB1971" s="75" t="n"/>
      <c r="AC1971" s="6" t="n"/>
      <c r="AD1971" s="75" t="n"/>
      <c r="AE1971" s="75" t="n"/>
      <c r="AF1971" s="75" t="n"/>
    </row>
    <row r="1972" ht="15.75" customHeight="1" s="133">
      <c r="A1972" s="75" t="n"/>
      <c r="B1972" s="75" t="n"/>
      <c r="C1972" s="75" t="n"/>
      <c r="D1972" s="75" t="n"/>
      <c r="E1972" s="76" t="n"/>
      <c r="F1972" s="77" t="n"/>
      <c r="G1972" s="75" t="n"/>
      <c r="H1972" s="75">
        <f>IF(ISBLANK(E1972),"",IF(OR(D1972="Butterfly",D1972="Butterfly ",D1972="Iron Fly", D1972="Iron Fly "),LEN(E1972)-LEN(SUBSTITUTE(E1972,"/",""))+2,LEN(E1972)-LEN(SUBSTITUTE(E1972,"/",""))+1))</f>
        <v/>
      </c>
      <c r="I1972" s="78">
        <f>IF(ISBLANK(G1972),"",IF(D1972="Stock","0",Key!$A$3*H1972*G1972))</f>
        <v/>
      </c>
      <c r="J1972" s="78">
        <f>IF(ISBLANK(E1972),"",IF(ISNUMBER(SEARCH("/",E1972)), IF(LEN(E1972)-LEN(SUBSTITUTE(E1972,"/",""))=1,(RIGHT(E1972,LEN(E1972)-FIND("/",E1972)))-(LEFT(E1972,FIND("/",E1972)-1)),(MID(E1972, SEARCH("/",E1972) + 1, SEARCH("/",E1972, SEARCH("/",E1972)+1) - SEARCH("/",E1972) - 1))-(LEFT(E1972,FIND("/",E1972)-1))), "NA"))</f>
        <v/>
      </c>
      <c r="K1972" s="79">
        <f>IF(A1972&lt;&gt;"", IF(ISBLANK(L1972), TODAY(), K1972), "")</f>
        <v/>
      </c>
      <c r="L1972" s="78" t="n"/>
      <c r="M1972" s="78">
        <f>IF(ISBLANK(L1972),"",IF(D1972="Stock",IF(C1972="Buy",L1972*G1972,IF(C1972="Sell",(L1972*G1972)-I1972, X)),IF(C1972="Buy",(L1972*G1972*100)+I1972,IF(C1972="Sell",(L1972*G1972*100)-I1972, X))))</f>
        <v/>
      </c>
      <c r="N1972" s="78">
        <f>IF(ISBLANK(L1972),"",IF(AND(C1972="Sell",D1972="Stock"),M1972,IF(ISBLANK(L1972),"",IF(C1972="Buy",M1972, IF(AND(C1972="Sell",J1972="NA"),(E1972*G1972*100*0.1)+I1972, IF(C1972="Sell",(J1972-L1972)*(100*G1972)+I1972))))))</f>
        <v/>
      </c>
      <c r="O1972" s="75" t="n"/>
      <c r="P1972" s="75" t="n"/>
      <c r="Q1972" s="75">
        <f>IF(ISBLANK(P1972),"",IF(D1972="Stock",P1972*G1972,IF(P1972=0,"0",G1972*P1972*100-(G1972*$AF$14))))</f>
        <v/>
      </c>
      <c r="R1972" s="79">
        <f>IF(P1972&lt;&gt;"", TODAY(), "")</f>
        <v/>
      </c>
      <c r="S1972" s="78">
        <f>IF(AND(K1972&lt;&gt;"", R1972&lt;&gt;""), R1972-K1972, "")</f>
        <v/>
      </c>
      <c r="T1972" s="78" t="n"/>
      <c r="U1972" s="92">
        <f>IF(ISBLANK(P1972),"",IF(C1972="Buy",Q1972-M1972+T1972, IF(C1972="Sell",M1972-Q1972-T1972, X)))</f>
        <v/>
      </c>
      <c r="V1972" s="81">
        <f>IF(ISBLANK(P1972),"",U1972/N1972)</f>
        <v/>
      </c>
      <c r="W1972" s="81">
        <f>IF(ISBLANK(P1972),"",IF(S1972=0,(365/0.5)*V1972,(365/S1972)*V1972))</f>
        <v/>
      </c>
      <c r="X1972" s="75" t="n"/>
      <c r="Y1972" s="77" t="n"/>
      <c r="Z1972" s="77" t="n"/>
      <c r="AA1972" s="75" t="n"/>
      <c r="AB1972" s="75" t="n"/>
      <c r="AC1972" s="6" t="n"/>
      <c r="AD1972" s="75" t="n"/>
      <c r="AE1972" s="75" t="n"/>
      <c r="AF1972" s="75" t="n"/>
    </row>
    <row r="1973" ht="15.75" customHeight="1" s="133">
      <c r="A1973" s="75" t="n"/>
      <c r="B1973" s="75" t="n"/>
      <c r="C1973" s="75" t="n"/>
      <c r="D1973" s="75" t="n"/>
      <c r="E1973" s="76" t="n"/>
      <c r="F1973" s="77" t="n"/>
      <c r="G1973" s="75" t="n"/>
      <c r="H1973" s="75">
        <f>IF(ISBLANK(E1973),"",IF(OR(D1973="Butterfly",D1973="Butterfly ",D1973="Iron Fly", D1973="Iron Fly "),LEN(E1973)-LEN(SUBSTITUTE(E1973,"/",""))+2,LEN(E1973)-LEN(SUBSTITUTE(E1973,"/",""))+1))</f>
        <v/>
      </c>
      <c r="I1973" s="78">
        <f>IF(ISBLANK(G1973),"",IF(D1973="Stock","0",Key!$A$3*H1973*G1973))</f>
        <v/>
      </c>
      <c r="J1973" s="78">
        <f>IF(ISBLANK(E1973),"",IF(ISNUMBER(SEARCH("/",E1973)), IF(LEN(E1973)-LEN(SUBSTITUTE(E1973,"/",""))=1,(RIGHT(E1973,LEN(E1973)-FIND("/",E1973)))-(LEFT(E1973,FIND("/",E1973)-1)),(MID(E1973, SEARCH("/",E1973) + 1, SEARCH("/",E1973, SEARCH("/",E1973)+1) - SEARCH("/",E1973) - 1))-(LEFT(E1973,FIND("/",E1973)-1))), "NA"))</f>
        <v/>
      </c>
      <c r="K1973" s="79">
        <f>IF(A1973&lt;&gt;"", IF(ISBLANK(L1973), TODAY(), K1973), "")</f>
        <v/>
      </c>
      <c r="L1973" s="78" t="n"/>
      <c r="M1973" s="78">
        <f>IF(ISBLANK(L1973),"",IF(D1973="Stock",IF(C1973="Buy",L1973*G1973,IF(C1973="Sell",(L1973*G1973)-I1973, X)),IF(C1973="Buy",(L1973*G1973*100)+I1973,IF(C1973="Sell",(L1973*G1973*100)-I1973, X))))</f>
        <v/>
      </c>
      <c r="N1973" s="78">
        <f>IF(ISBLANK(L1973),"",IF(AND(C1973="Sell",D1973="Stock"),M1973,IF(ISBLANK(L1973),"",IF(C1973="Buy",M1973, IF(AND(C1973="Sell",J1973="NA"),(E1973*G1973*100*0.1)+I1973, IF(C1973="Sell",(J1973-L1973)*(100*G1973)+I1973))))))</f>
        <v/>
      </c>
      <c r="O1973" s="75" t="n"/>
      <c r="P1973" s="75" t="n"/>
      <c r="Q1973" s="75">
        <f>IF(ISBLANK(P1973),"",IF(D1973="Stock",P1973*G1973,IF(P1973=0,"0",G1973*P1973*100-(G1973*$AF$14))))</f>
        <v/>
      </c>
      <c r="R1973" s="79">
        <f>IF(P1973&lt;&gt;"", TODAY(), "")</f>
        <v/>
      </c>
      <c r="S1973" s="78">
        <f>IF(AND(K1973&lt;&gt;"", R1973&lt;&gt;""), R1973-K1973, "")</f>
        <v/>
      </c>
      <c r="T1973" s="78" t="n"/>
      <c r="U1973" s="92">
        <f>IF(ISBLANK(P1973),"",IF(C1973="Buy",Q1973-M1973+T1973, IF(C1973="Sell",M1973-Q1973-T1973, X)))</f>
        <v/>
      </c>
      <c r="V1973" s="81">
        <f>IF(ISBLANK(P1973),"",U1973/N1973)</f>
        <v/>
      </c>
      <c r="W1973" s="81">
        <f>IF(ISBLANK(P1973),"",IF(S1973=0,(365/0.5)*V1973,(365/S1973)*V1973))</f>
        <v/>
      </c>
      <c r="X1973" s="75" t="n"/>
      <c r="Y1973" s="77" t="n"/>
      <c r="Z1973" s="77" t="n"/>
      <c r="AA1973" s="75" t="n"/>
      <c r="AB1973" s="75" t="n"/>
      <c r="AC1973" s="6" t="n"/>
      <c r="AD1973" s="75" t="n"/>
      <c r="AE1973" s="75" t="n"/>
      <c r="AF1973" s="75" t="n"/>
    </row>
    <row r="1974" ht="15.75" customHeight="1" s="133">
      <c r="A1974" s="75" t="n"/>
      <c r="B1974" s="75" t="n"/>
      <c r="C1974" s="75" t="n"/>
      <c r="D1974" s="75" t="n"/>
      <c r="E1974" s="76" t="n"/>
      <c r="F1974" s="77" t="n"/>
      <c r="G1974" s="75" t="n"/>
      <c r="H1974" s="75">
        <f>IF(ISBLANK(E1974),"",IF(OR(D1974="Butterfly",D1974="Butterfly ",D1974="Iron Fly", D1974="Iron Fly "),LEN(E1974)-LEN(SUBSTITUTE(E1974,"/",""))+2,LEN(E1974)-LEN(SUBSTITUTE(E1974,"/",""))+1))</f>
        <v/>
      </c>
      <c r="I1974" s="78">
        <f>IF(ISBLANK(G1974),"",IF(D1974="Stock","0",Key!$A$3*H1974*G1974))</f>
        <v/>
      </c>
      <c r="J1974" s="78">
        <f>IF(ISBLANK(E1974),"",IF(ISNUMBER(SEARCH("/",E1974)), IF(LEN(E1974)-LEN(SUBSTITUTE(E1974,"/",""))=1,(RIGHT(E1974,LEN(E1974)-FIND("/",E1974)))-(LEFT(E1974,FIND("/",E1974)-1)),(MID(E1974, SEARCH("/",E1974) + 1, SEARCH("/",E1974, SEARCH("/",E1974)+1) - SEARCH("/",E1974) - 1))-(LEFT(E1974,FIND("/",E1974)-1))), "NA"))</f>
        <v/>
      </c>
      <c r="K1974" s="79">
        <f>IF(A1974&lt;&gt;"", IF(ISBLANK(L1974), TODAY(), K1974), "")</f>
        <v/>
      </c>
      <c r="L1974" s="78" t="n"/>
      <c r="M1974" s="78">
        <f>IF(ISBLANK(L1974),"",IF(D1974="Stock",IF(C1974="Buy",L1974*G1974,IF(C1974="Sell",(L1974*G1974)-I1974, X)),IF(C1974="Buy",(L1974*G1974*100)+I1974,IF(C1974="Sell",(L1974*G1974*100)-I1974, X))))</f>
        <v/>
      </c>
      <c r="N1974" s="78">
        <f>IF(ISBLANK(L1974),"",IF(AND(C1974="Sell",D1974="Stock"),M1974,IF(ISBLANK(L1974),"",IF(C1974="Buy",M1974, IF(AND(C1974="Sell",J1974="NA"),(E1974*G1974*100*0.1)+I1974, IF(C1974="Sell",(J1974-L1974)*(100*G1974)+I1974))))))</f>
        <v/>
      </c>
      <c r="O1974" s="75" t="n"/>
      <c r="P1974" s="75" t="n"/>
      <c r="Q1974" s="75">
        <f>IF(ISBLANK(P1974),"",IF(D1974="Stock",P1974*G1974,IF(P1974=0,"0",G1974*P1974*100-(G1974*$AF$14))))</f>
        <v/>
      </c>
      <c r="R1974" s="79">
        <f>IF(P1974&lt;&gt;"", TODAY(), "")</f>
        <v/>
      </c>
      <c r="S1974" s="78">
        <f>IF(AND(K1974&lt;&gt;"", R1974&lt;&gt;""), R1974-K1974, "")</f>
        <v/>
      </c>
      <c r="T1974" s="78" t="n"/>
      <c r="U1974" s="92">
        <f>IF(ISBLANK(P1974),"",IF(C1974="Buy",Q1974-M1974+T1974, IF(C1974="Sell",M1974-Q1974-T1974, X)))</f>
        <v/>
      </c>
      <c r="V1974" s="81">
        <f>IF(ISBLANK(P1974),"",U1974/N1974)</f>
        <v/>
      </c>
      <c r="W1974" s="81">
        <f>IF(ISBLANK(P1974),"",IF(S1974=0,(365/0.5)*V1974,(365/S1974)*V1974))</f>
        <v/>
      </c>
      <c r="X1974" s="75" t="n"/>
      <c r="Y1974" s="77" t="n"/>
      <c r="Z1974" s="77" t="n"/>
      <c r="AA1974" s="75" t="n"/>
      <c r="AB1974" s="75" t="n"/>
      <c r="AC1974" s="6" t="n"/>
      <c r="AD1974" s="75" t="n"/>
      <c r="AE1974" s="75" t="n"/>
      <c r="AF1974" s="75" t="n"/>
    </row>
    <row r="1975" ht="15.75" customHeight="1" s="133">
      <c r="A1975" s="75" t="n"/>
      <c r="B1975" s="75" t="n"/>
      <c r="C1975" s="75" t="n"/>
      <c r="D1975" s="75" t="n"/>
      <c r="E1975" s="76" t="n"/>
      <c r="F1975" s="77" t="n"/>
      <c r="G1975" s="75" t="n"/>
      <c r="H1975" s="75">
        <f>IF(ISBLANK(E1975),"",IF(OR(D1975="Butterfly",D1975="Butterfly ",D1975="Iron Fly", D1975="Iron Fly "),LEN(E1975)-LEN(SUBSTITUTE(E1975,"/",""))+2,LEN(E1975)-LEN(SUBSTITUTE(E1975,"/",""))+1))</f>
        <v/>
      </c>
      <c r="I1975" s="78">
        <f>IF(ISBLANK(G1975),"",IF(D1975="Stock","0",Key!$A$3*H1975*G1975))</f>
        <v/>
      </c>
      <c r="J1975" s="78">
        <f>IF(ISBLANK(E1975),"",IF(ISNUMBER(SEARCH("/",E1975)), IF(LEN(E1975)-LEN(SUBSTITUTE(E1975,"/",""))=1,(RIGHT(E1975,LEN(E1975)-FIND("/",E1975)))-(LEFT(E1975,FIND("/",E1975)-1)),(MID(E1975, SEARCH("/",E1975) + 1, SEARCH("/",E1975, SEARCH("/",E1975)+1) - SEARCH("/",E1975) - 1))-(LEFT(E1975,FIND("/",E1975)-1))), "NA"))</f>
        <v/>
      </c>
      <c r="K1975" s="79">
        <f>IF(A1975&lt;&gt;"", IF(ISBLANK(L1975), TODAY(), K1975), "")</f>
        <v/>
      </c>
      <c r="L1975" s="78" t="n"/>
      <c r="M1975" s="78">
        <f>IF(ISBLANK(L1975),"",IF(D1975="Stock",IF(C1975="Buy",L1975*G1975,IF(C1975="Sell",(L1975*G1975)-I1975, X)),IF(C1975="Buy",(L1975*G1975*100)+I1975,IF(C1975="Sell",(L1975*G1975*100)-I1975, X))))</f>
        <v/>
      </c>
      <c r="N1975" s="78">
        <f>IF(ISBLANK(L1975),"",IF(AND(C1975="Sell",D1975="Stock"),M1975,IF(ISBLANK(L1975),"",IF(C1975="Buy",M1975, IF(AND(C1975="Sell",J1975="NA"),(E1975*G1975*100*0.1)+I1975, IF(C1975="Sell",(J1975-L1975)*(100*G1975)+I1975))))))</f>
        <v/>
      </c>
      <c r="O1975" s="75" t="n"/>
      <c r="P1975" s="75" t="n"/>
      <c r="Q1975" s="75">
        <f>IF(ISBLANK(P1975),"",IF(D1975="Stock",P1975*G1975,IF(P1975=0,"0",G1975*P1975*100-(G1975*$AF$14))))</f>
        <v/>
      </c>
      <c r="R1975" s="79">
        <f>IF(P1975&lt;&gt;"", TODAY(), "")</f>
        <v/>
      </c>
      <c r="S1975" s="78">
        <f>IF(AND(K1975&lt;&gt;"", R1975&lt;&gt;""), R1975-K1975, "")</f>
        <v/>
      </c>
      <c r="T1975" s="78" t="n"/>
      <c r="U1975" s="92">
        <f>IF(ISBLANK(P1975),"",IF(C1975="Buy",Q1975-M1975+T1975, IF(C1975="Sell",M1975-Q1975-T1975, X)))</f>
        <v/>
      </c>
      <c r="V1975" s="81">
        <f>IF(ISBLANK(P1975),"",U1975/N1975)</f>
        <v/>
      </c>
      <c r="W1975" s="81">
        <f>IF(ISBLANK(P1975),"",IF(S1975=0,(365/0.5)*V1975,(365/S1975)*V1975))</f>
        <v/>
      </c>
      <c r="X1975" s="75" t="n"/>
      <c r="Y1975" s="77" t="n"/>
      <c r="Z1975" s="77" t="n"/>
      <c r="AA1975" s="75" t="n"/>
      <c r="AB1975" s="75" t="n"/>
      <c r="AC1975" s="6" t="n"/>
      <c r="AD1975" s="75" t="n"/>
      <c r="AE1975" s="75" t="n"/>
      <c r="AF1975" s="75" t="n"/>
    </row>
    <row r="1976" ht="15.75" customHeight="1" s="133">
      <c r="A1976" s="75" t="n"/>
      <c r="B1976" s="75" t="n"/>
      <c r="C1976" s="75" t="n"/>
      <c r="D1976" s="75" t="n"/>
      <c r="E1976" s="76" t="n"/>
      <c r="F1976" s="77" t="n"/>
      <c r="G1976" s="75" t="n"/>
      <c r="H1976" s="75">
        <f>IF(ISBLANK(E1976),"",IF(OR(D1976="Butterfly",D1976="Butterfly ",D1976="Iron Fly", D1976="Iron Fly "),LEN(E1976)-LEN(SUBSTITUTE(E1976,"/",""))+2,LEN(E1976)-LEN(SUBSTITUTE(E1976,"/",""))+1))</f>
        <v/>
      </c>
      <c r="I1976" s="78">
        <f>IF(ISBLANK(G1976),"",IF(D1976="Stock","0",Key!$A$3*H1976*G1976))</f>
        <v/>
      </c>
      <c r="J1976" s="78">
        <f>IF(ISBLANK(E1976),"",IF(ISNUMBER(SEARCH("/",E1976)), IF(LEN(E1976)-LEN(SUBSTITUTE(E1976,"/",""))=1,(RIGHT(E1976,LEN(E1976)-FIND("/",E1976)))-(LEFT(E1976,FIND("/",E1976)-1)),(MID(E1976, SEARCH("/",E1976) + 1, SEARCH("/",E1976, SEARCH("/",E1976)+1) - SEARCH("/",E1976) - 1))-(LEFT(E1976,FIND("/",E1976)-1))), "NA"))</f>
        <v/>
      </c>
      <c r="K1976" s="79">
        <f>IF(A1976&lt;&gt;"", IF(ISBLANK(L1976), TODAY(), K1976), "")</f>
        <v/>
      </c>
      <c r="L1976" s="78" t="n"/>
      <c r="M1976" s="78">
        <f>IF(ISBLANK(L1976),"",IF(D1976="Stock",IF(C1976="Buy",L1976*G1976,IF(C1976="Sell",(L1976*G1976)-I1976, X)),IF(C1976="Buy",(L1976*G1976*100)+I1976,IF(C1976="Sell",(L1976*G1976*100)-I1976, X))))</f>
        <v/>
      </c>
      <c r="N1976" s="78">
        <f>IF(ISBLANK(L1976),"",IF(AND(C1976="Sell",D1976="Stock"),M1976,IF(ISBLANK(L1976),"",IF(C1976="Buy",M1976, IF(AND(C1976="Sell",J1976="NA"),(E1976*G1976*100*0.1)+I1976, IF(C1976="Sell",(J1976-L1976)*(100*G1976)+I1976))))))</f>
        <v/>
      </c>
      <c r="O1976" s="75" t="n"/>
      <c r="P1976" s="75" t="n"/>
      <c r="Q1976" s="75">
        <f>IF(ISBLANK(P1976),"",IF(D1976="Stock",P1976*G1976,IF(P1976=0,"0",G1976*P1976*100-(G1976*$AF$14))))</f>
        <v/>
      </c>
      <c r="R1976" s="79">
        <f>IF(P1976&lt;&gt;"", TODAY(), "")</f>
        <v/>
      </c>
      <c r="S1976" s="78">
        <f>IF(AND(K1976&lt;&gt;"", R1976&lt;&gt;""), R1976-K1976, "")</f>
        <v/>
      </c>
      <c r="T1976" s="78" t="n"/>
      <c r="U1976" s="92">
        <f>IF(ISBLANK(P1976),"",IF(C1976="Buy",Q1976-M1976+T1976, IF(C1976="Sell",M1976-Q1976-T1976, X)))</f>
        <v/>
      </c>
      <c r="V1976" s="81">
        <f>IF(ISBLANK(P1976),"",U1976/N1976)</f>
        <v/>
      </c>
      <c r="W1976" s="81">
        <f>IF(ISBLANK(P1976),"",IF(S1976=0,(365/0.5)*V1976,(365/S1976)*V1976))</f>
        <v/>
      </c>
      <c r="X1976" s="75" t="n"/>
      <c r="Y1976" s="77" t="n"/>
      <c r="Z1976" s="77" t="n"/>
      <c r="AA1976" s="75" t="n"/>
      <c r="AB1976" s="75" t="n"/>
      <c r="AC1976" s="6" t="n"/>
      <c r="AD1976" s="75" t="n"/>
      <c r="AE1976" s="75" t="n"/>
      <c r="AF1976" s="75" t="n"/>
    </row>
    <row r="1977" ht="15.75" customHeight="1" s="133">
      <c r="A1977" s="75" t="n"/>
      <c r="B1977" s="75" t="n"/>
      <c r="C1977" s="75" t="n"/>
      <c r="D1977" s="75" t="n"/>
      <c r="E1977" s="76" t="n"/>
      <c r="F1977" s="77" t="n"/>
      <c r="G1977" s="75" t="n"/>
      <c r="H1977" s="75">
        <f>IF(ISBLANK(E1977),"",IF(OR(D1977="Butterfly",D1977="Butterfly ",D1977="Iron Fly", D1977="Iron Fly "),LEN(E1977)-LEN(SUBSTITUTE(E1977,"/",""))+2,LEN(E1977)-LEN(SUBSTITUTE(E1977,"/",""))+1))</f>
        <v/>
      </c>
      <c r="I1977" s="78">
        <f>IF(ISBLANK(G1977),"",IF(D1977="Stock","0",Key!$A$3*H1977*G1977))</f>
        <v/>
      </c>
      <c r="J1977" s="78">
        <f>IF(ISBLANK(E1977),"",IF(ISNUMBER(SEARCH("/",E1977)), IF(LEN(E1977)-LEN(SUBSTITUTE(E1977,"/",""))=1,(RIGHT(E1977,LEN(E1977)-FIND("/",E1977)))-(LEFT(E1977,FIND("/",E1977)-1)),(MID(E1977, SEARCH("/",E1977) + 1, SEARCH("/",E1977, SEARCH("/",E1977)+1) - SEARCH("/",E1977) - 1))-(LEFT(E1977,FIND("/",E1977)-1))), "NA"))</f>
        <v/>
      </c>
      <c r="K1977" s="79">
        <f>IF(A1977&lt;&gt;"", IF(ISBLANK(L1977), TODAY(), K1977), "")</f>
        <v/>
      </c>
      <c r="L1977" s="78" t="n"/>
      <c r="M1977" s="78">
        <f>IF(ISBLANK(L1977),"",IF(D1977="Stock",IF(C1977="Buy",L1977*G1977,IF(C1977="Sell",(L1977*G1977)-I1977, X)),IF(C1977="Buy",(L1977*G1977*100)+I1977,IF(C1977="Sell",(L1977*G1977*100)-I1977, X))))</f>
        <v/>
      </c>
      <c r="N1977" s="78">
        <f>IF(ISBLANK(L1977),"",IF(AND(C1977="Sell",D1977="Stock"),M1977,IF(ISBLANK(L1977),"",IF(C1977="Buy",M1977, IF(AND(C1977="Sell",J1977="NA"),(E1977*G1977*100*0.1)+I1977, IF(C1977="Sell",(J1977-L1977)*(100*G1977)+I1977))))))</f>
        <v/>
      </c>
      <c r="O1977" s="75" t="n"/>
      <c r="P1977" s="75" t="n"/>
      <c r="Q1977" s="75">
        <f>IF(ISBLANK(P1977),"",IF(D1977="Stock",P1977*G1977,IF(P1977=0,"0",G1977*P1977*100-(G1977*$AF$14))))</f>
        <v/>
      </c>
      <c r="R1977" s="79">
        <f>IF(P1977&lt;&gt;"", TODAY(), "")</f>
        <v/>
      </c>
      <c r="S1977" s="78">
        <f>IF(AND(K1977&lt;&gt;"", R1977&lt;&gt;""), R1977-K1977, "")</f>
        <v/>
      </c>
      <c r="T1977" s="78" t="n"/>
      <c r="U1977" s="92">
        <f>IF(ISBLANK(P1977),"",IF(C1977="Buy",Q1977-M1977+T1977, IF(C1977="Sell",M1977-Q1977-T1977, X)))</f>
        <v/>
      </c>
      <c r="V1977" s="81">
        <f>IF(ISBLANK(P1977),"",U1977/N1977)</f>
        <v/>
      </c>
      <c r="W1977" s="81">
        <f>IF(ISBLANK(P1977),"",IF(S1977=0,(365/0.5)*V1977,(365/S1977)*V1977))</f>
        <v/>
      </c>
      <c r="X1977" s="75" t="n"/>
      <c r="Y1977" s="77" t="n"/>
      <c r="Z1977" s="77" t="n"/>
      <c r="AA1977" s="75" t="n"/>
      <c r="AB1977" s="75" t="n"/>
      <c r="AC1977" s="6" t="n"/>
      <c r="AD1977" s="75" t="n"/>
      <c r="AE1977" s="75" t="n"/>
      <c r="AF1977" s="75" t="n"/>
    </row>
    <row r="1978" ht="15.75" customHeight="1" s="133">
      <c r="A1978" s="75" t="n"/>
      <c r="B1978" s="75" t="n"/>
      <c r="C1978" s="75" t="n"/>
      <c r="D1978" s="75" t="n"/>
      <c r="E1978" s="76" t="n"/>
      <c r="F1978" s="77" t="n"/>
      <c r="G1978" s="75" t="n"/>
      <c r="H1978" s="75">
        <f>IF(ISBLANK(E1978),"",IF(OR(D1978="Butterfly",D1978="Butterfly ",D1978="Iron Fly", D1978="Iron Fly "),LEN(E1978)-LEN(SUBSTITUTE(E1978,"/",""))+2,LEN(E1978)-LEN(SUBSTITUTE(E1978,"/",""))+1))</f>
        <v/>
      </c>
      <c r="I1978" s="78">
        <f>IF(ISBLANK(G1978),"",IF(D1978="Stock","0",Key!$A$3*H1978*G1978))</f>
        <v/>
      </c>
      <c r="J1978" s="78">
        <f>IF(ISBLANK(E1978),"",IF(ISNUMBER(SEARCH("/",E1978)), IF(LEN(E1978)-LEN(SUBSTITUTE(E1978,"/",""))=1,(RIGHT(E1978,LEN(E1978)-FIND("/",E1978)))-(LEFT(E1978,FIND("/",E1978)-1)),(MID(E1978, SEARCH("/",E1978) + 1, SEARCH("/",E1978, SEARCH("/",E1978)+1) - SEARCH("/",E1978) - 1))-(LEFT(E1978,FIND("/",E1978)-1))), "NA"))</f>
        <v/>
      </c>
      <c r="K1978" s="79">
        <f>IF(A1978&lt;&gt;"", IF(ISBLANK(L1978), TODAY(), K1978), "")</f>
        <v/>
      </c>
      <c r="L1978" s="78" t="n"/>
      <c r="M1978" s="78">
        <f>IF(ISBLANK(L1978),"",IF(D1978="Stock",IF(C1978="Buy",L1978*G1978,IF(C1978="Sell",(L1978*G1978)-I1978, X)),IF(C1978="Buy",(L1978*G1978*100)+I1978,IF(C1978="Sell",(L1978*G1978*100)-I1978, X))))</f>
        <v/>
      </c>
      <c r="N1978" s="78">
        <f>IF(ISBLANK(L1978),"",IF(AND(C1978="Sell",D1978="Stock"),M1978,IF(ISBLANK(L1978),"",IF(C1978="Buy",M1978, IF(AND(C1978="Sell",J1978="NA"),(E1978*G1978*100*0.1)+I1978, IF(C1978="Sell",(J1978-L1978)*(100*G1978)+I1978))))))</f>
        <v/>
      </c>
      <c r="O1978" s="75" t="n"/>
      <c r="P1978" s="75" t="n"/>
      <c r="Q1978" s="75">
        <f>IF(ISBLANK(P1978),"",IF(D1978="Stock",P1978*G1978,IF(P1978=0,"0",G1978*P1978*100-(G1978*$AF$14))))</f>
        <v/>
      </c>
      <c r="R1978" s="79">
        <f>IF(P1978&lt;&gt;"", TODAY(), "")</f>
        <v/>
      </c>
      <c r="S1978" s="78">
        <f>IF(AND(K1978&lt;&gt;"", R1978&lt;&gt;""), R1978-K1978, "")</f>
        <v/>
      </c>
      <c r="T1978" s="78" t="n"/>
      <c r="U1978" s="92">
        <f>IF(ISBLANK(P1978),"",IF(C1978="Buy",Q1978-M1978+T1978, IF(C1978="Sell",M1978-Q1978-T1978, X)))</f>
        <v/>
      </c>
      <c r="V1978" s="81">
        <f>IF(ISBLANK(P1978),"",U1978/N1978)</f>
        <v/>
      </c>
      <c r="W1978" s="81">
        <f>IF(ISBLANK(P1978),"",IF(S1978=0,(365/0.5)*V1978,(365/S1978)*V1978))</f>
        <v/>
      </c>
      <c r="X1978" s="75" t="n"/>
      <c r="Y1978" s="77" t="n"/>
      <c r="Z1978" s="77" t="n"/>
      <c r="AA1978" s="75" t="n"/>
      <c r="AB1978" s="75" t="n"/>
      <c r="AC1978" s="6" t="n"/>
      <c r="AD1978" s="75" t="n"/>
      <c r="AE1978" s="75" t="n"/>
      <c r="AF1978" s="75" t="n"/>
    </row>
    <row r="1979" ht="15.75" customHeight="1" s="133">
      <c r="A1979" s="75" t="n"/>
      <c r="B1979" s="75" t="n"/>
      <c r="C1979" s="75" t="n"/>
      <c r="D1979" s="75" t="n"/>
      <c r="E1979" s="76" t="n"/>
      <c r="F1979" s="77" t="n"/>
      <c r="G1979" s="75" t="n"/>
      <c r="H1979" s="75">
        <f>IF(ISBLANK(E1979),"",IF(OR(D1979="Butterfly",D1979="Butterfly ",D1979="Iron Fly", D1979="Iron Fly "),LEN(E1979)-LEN(SUBSTITUTE(E1979,"/",""))+2,LEN(E1979)-LEN(SUBSTITUTE(E1979,"/",""))+1))</f>
        <v/>
      </c>
      <c r="I1979" s="78">
        <f>IF(ISBLANK(G1979),"",IF(D1979="Stock","0",Key!$A$3*H1979*G1979))</f>
        <v/>
      </c>
      <c r="J1979" s="78">
        <f>IF(ISBLANK(E1979),"",IF(ISNUMBER(SEARCH("/",E1979)), IF(LEN(E1979)-LEN(SUBSTITUTE(E1979,"/",""))=1,(RIGHT(E1979,LEN(E1979)-FIND("/",E1979)))-(LEFT(E1979,FIND("/",E1979)-1)),(MID(E1979, SEARCH("/",E1979) + 1, SEARCH("/",E1979, SEARCH("/",E1979)+1) - SEARCH("/",E1979) - 1))-(LEFT(E1979,FIND("/",E1979)-1))), "NA"))</f>
        <v/>
      </c>
      <c r="K1979" s="79">
        <f>IF(A1979&lt;&gt;"", IF(ISBLANK(L1979), TODAY(), K1979), "")</f>
        <v/>
      </c>
      <c r="L1979" s="78" t="n"/>
      <c r="M1979" s="78">
        <f>IF(ISBLANK(L1979),"",IF(D1979="Stock",IF(C1979="Buy",L1979*G1979,IF(C1979="Sell",(L1979*G1979)-I1979, X)),IF(C1979="Buy",(L1979*G1979*100)+I1979,IF(C1979="Sell",(L1979*G1979*100)-I1979, X))))</f>
        <v/>
      </c>
      <c r="N1979" s="78">
        <f>IF(ISBLANK(L1979),"",IF(AND(C1979="Sell",D1979="Stock"),M1979,IF(ISBLANK(L1979),"",IF(C1979="Buy",M1979, IF(AND(C1979="Sell",J1979="NA"),(E1979*G1979*100*0.1)+I1979, IF(C1979="Sell",(J1979-L1979)*(100*G1979)+I1979))))))</f>
        <v/>
      </c>
      <c r="O1979" s="75" t="n"/>
      <c r="P1979" s="75" t="n"/>
      <c r="Q1979" s="75">
        <f>IF(ISBLANK(P1979),"",IF(D1979="Stock",P1979*G1979,IF(P1979=0,"0",G1979*P1979*100-(G1979*$AF$14))))</f>
        <v/>
      </c>
      <c r="R1979" s="79">
        <f>IF(P1979&lt;&gt;"", TODAY(), "")</f>
        <v/>
      </c>
      <c r="S1979" s="78">
        <f>IF(AND(K1979&lt;&gt;"", R1979&lt;&gt;""), R1979-K1979, "")</f>
        <v/>
      </c>
      <c r="T1979" s="78" t="n"/>
      <c r="U1979" s="92">
        <f>IF(ISBLANK(P1979),"",IF(C1979="Buy",Q1979-M1979+T1979, IF(C1979="Sell",M1979-Q1979-T1979, X)))</f>
        <v/>
      </c>
      <c r="V1979" s="81">
        <f>IF(ISBLANK(P1979),"",U1979/N1979)</f>
        <v/>
      </c>
      <c r="W1979" s="81">
        <f>IF(ISBLANK(P1979),"",IF(S1979=0,(365/0.5)*V1979,(365/S1979)*V1979))</f>
        <v/>
      </c>
      <c r="X1979" s="75" t="n"/>
      <c r="Y1979" s="77" t="n"/>
      <c r="Z1979" s="77" t="n"/>
      <c r="AA1979" s="75" t="n"/>
      <c r="AB1979" s="75" t="n"/>
      <c r="AC1979" s="6" t="n"/>
      <c r="AD1979" s="75" t="n"/>
      <c r="AE1979" s="75" t="n"/>
      <c r="AF1979" s="75" t="n"/>
    </row>
    <row r="1980" ht="15.75" customHeight="1" s="133">
      <c r="A1980" s="75" t="n"/>
      <c r="B1980" s="75" t="n"/>
      <c r="C1980" s="75" t="n"/>
      <c r="D1980" s="75" t="n"/>
      <c r="E1980" s="76" t="n"/>
      <c r="F1980" s="77" t="n"/>
      <c r="G1980" s="75" t="n"/>
      <c r="H1980" s="75">
        <f>IF(ISBLANK(E1980),"",IF(OR(D1980="Butterfly",D1980="Butterfly ",D1980="Iron Fly", D1980="Iron Fly "),LEN(E1980)-LEN(SUBSTITUTE(E1980,"/",""))+2,LEN(E1980)-LEN(SUBSTITUTE(E1980,"/",""))+1))</f>
        <v/>
      </c>
      <c r="I1980" s="78">
        <f>IF(ISBLANK(G1980),"",IF(D1980="Stock","0",Key!$A$3*H1980*G1980))</f>
        <v/>
      </c>
      <c r="J1980" s="78">
        <f>IF(ISBLANK(E1980),"",IF(ISNUMBER(SEARCH("/",E1980)), IF(LEN(E1980)-LEN(SUBSTITUTE(E1980,"/",""))=1,(RIGHT(E1980,LEN(E1980)-FIND("/",E1980)))-(LEFT(E1980,FIND("/",E1980)-1)),(MID(E1980, SEARCH("/",E1980) + 1, SEARCH("/",E1980, SEARCH("/",E1980)+1) - SEARCH("/",E1980) - 1))-(LEFT(E1980,FIND("/",E1980)-1))), "NA"))</f>
        <v/>
      </c>
      <c r="K1980" s="79">
        <f>IF(A1980&lt;&gt;"", IF(ISBLANK(L1980), TODAY(), K1980), "")</f>
        <v/>
      </c>
      <c r="L1980" s="78" t="n"/>
      <c r="M1980" s="78">
        <f>IF(ISBLANK(L1980),"",IF(D1980="Stock",IF(C1980="Buy",L1980*G1980,IF(C1980="Sell",(L1980*G1980)-I1980, X)),IF(C1980="Buy",(L1980*G1980*100)+I1980,IF(C1980="Sell",(L1980*G1980*100)-I1980, X))))</f>
        <v/>
      </c>
      <c r="N1980" s="78">
        <f>IF(ISBLANK(L1980),"",IF(AND(C1980="Sell",D1980="Stock"),M1980,IF(ISBLANK(L1980),"",IF(C1980="Buy",M1980, IF(AND(C1980="Sell",J1980="NA"),(E1980*G1980*100*0.1)+I1980, IF(C1980="Sell",(J1980-L1980)*(100*G1980)+I1980))))))</f>
        <v/>
      </c>
      <c r="O1980" s="75" t="n"/>
      <c r="P1980" s="75" t="n"/>
      <c r="Q1980" s="75">
        <f>IF(ISBLANK(P1980),"",IF(D1980="Stock",P1980*G1980,IF(P1980=0,"0",G1980*P1980*100-(G1980*$AF$14))))</f>
        <v/>
      </c>
      <c r="R1980" s="79">
        <f>IF(P1980&lt;&gt;"", TODAY(), "")</f>
        <v/>
      </c>
      <c r="S1980" s="78">
        <f>IF(AND(K1980&lt;&gt;"", R1980&lt;&gt;""), R1980-K1980, "")</f>
        <v/>
      </c>
      <c r="T1980" s="78" t="n"/>
      <c r="U1980" s="92">
        <f>IF(ISBLANK(P1980),"",IF(C1980="Buy",Q1980-M1980+T1980, IF(C1980="Sell",M1980-Q1980-T1980, X)))</f>
        <v/>
      </c>
      <c r="V1980" s="81">
        <f>IF(ISBLANK(P1980),"",U1980/N1980)</f>
        <v/>
      </c>
      <c r="W1980" s="81">
        <f>IF(ISBLANK(P1980),"",IF(S1980=0,(365/0.5)*V1980,(365/S1980)*V1980))</f>
        <v/>
      </c>
      <c r="X1980" s="75" t="n"/>
      <c r="Y1980" s="77" t="n"/>
      <c r="Z1980" s="77" t="n"/>
      <c r="AA1980" s="75" t="n"/>
      <c r="AB1980" s="75" t="n"/>
      <c r="AC1980" s="6" t="n"/>
      <c r="AD1980" s="75" t="n"/>
      <c r="AE1980" s="75" t="n"/>
      <c r="AF1980" s="75" t="n"/>
    </row>
    <row r="1981" ht="15.75" customHeight="1" s="133">
      <c r="A1981" s="75" t="n"/>
      <c r="B1981" s="75" t="n"/>
      <c r="C1981" s="75" t="n"/>
      <c r="D1981" s="75" t="n"/>
      <c r="E1981" s="76" t="n"/>
      <c r="F1981" s="77" t="n"/>
      <c r="G1981" s="75" t="n"/>
      <c r="H1981" s="75">
        <f>IF(ISBLANK(E1981),"",IF(OR(D1981="Butterfly",D1981="Butterfly ",D1981="Iron Fly", D1981="Iron Fly "),LEN(E1981)-LEN(SUBSTITUTE(E1981,"/",""))+2,LEN(E1981)-LEN(SUBSTITUTE(E1981,"/",""))+1))</f>
        <v/>
      </c>
      <c r="I1981" s="78">
        <f>IF(ISBLANK(G1981),"",IF(D1981="Stock","0",Key!$A$3*H1981*G1981))</f>
        <v/>
      </c>
      <c r="J1981" s="78">
        <f>IF(ISBLANK(E1981),"",IF(ISNUMBER(SEARCH("/",E1981)), IF(LEN(E1981)-LEN(SUBSTITUTE(E1981,"/",""))=1,(RIGHT(E1981,LEN(E1981)-FIND("/",E1981)))-(LEFT(E1981,FIND("/",E1981)-1)),(MID(E1981, SEARCH("/",E1981) + 1, SEARCH("/",E1981, SEARCH("/",E1981)+1) - SEARCH("/",E1981) - 1))-(LEFT(E1981,FIND("/",E1981)-1))), "NA"))</f>
        <v/>
      </c>
      <c r="K1981" s="79">
        <f>IF(A1981&lt;&gt;"", IF(ISBLANK(L1981), TODAY(), K1981), "")</f>
        <v/>
      </c>
      <c r="L1981" s="78" t="n"/>
      <c r="M1981" s="78">
        <f>IF(ISBLANK(L1981),"",IF(D1981="Stock",IF(C1981="Buy",L1981*G1981,IF(C1981="Sell",(L1981*G1981)-I1981, X)),IF(C1981="Buy",(L1981*G1981*100)+I1981,IF(C1981="Sell",(L1981*G1981*100)-I1981, X))))</f>
        <v/>
      </c>
      <c r="N1981" s="78">
        <f>IF(ISBLANK(L1981),"",IF(AND(C1981="Sell",D1981="Stock"),M1981,IF(ISBLANK(L1981),"",IF(C1981="Buy",M1981, IF(AND(C1981="Sell",J1981="NA"),(E1981*G1981*100*0.1)+I1981, IF(C1981="Sell",(J1981-L1981)*(100*G1981)+I1981))))))</f>
        <v/>
      </c>
      <c r="O1981" s="75" t="n"/>
      <c r="P1981" s="75" t="n"/>
      <c r="Q1981" s="75">
        <f>IF(ISBLANK(P1981),"",IF(D1981="Stock",P1981*G1981,IF(P1981=0,"0",G1981*P1981*100-(G1981*$AF$14))))</f>
        <v/>
      </c>
      <c r="R1981" s="79">
        <f>IF(P1981&lt;&gt;"", TODAY(), "")</f>
        <v/>
      </c>
      <c r="S1981" s="78">
        <f>IF(AND(K1981&lt;&gt;"", R1981&lt;&gt;""), R1981-K1981, "")</f>
        <v/>
      </c>
      <c r="T1981" s="78" t="n"/>
      <c r="U1981" s="92">
        <f>IF(ISBLANK(P1981),"",IF(C1981="Buy",Q1981-M1981+T1981, IF(C1981="Sell",M1981-Q1981-T1981, X)))</f>
        <v/>
      </c>
      <c r="V1981" s="81">
        <f>IF(ISBLANK(P1981),"",U1981/N1981)</f>
        <v/>
      </c>
      <c r="W1981" s="81">
        <f>IF(ISBLANK(P1981),"",IF(S1981=0,(365/0.5)*V1981,(365/S1981)*V1981))</f>
        <v/>
      </c>
      <c r="X1981" s="75" t="n"/>
      <c r="Y1981" s="77" t="n"/>
      <c r="Z1981" s="77" t="n"/>
      <c r="AA1981" s="75" t="n"/>
      <c r="AB1981" s="75" t="n"/>
      <c r="AC1981" s="6" t="n"/>
      <c r="AD1981" s="75" t="n"/>
      <c r="AE1981" s="75" t="n"/>
      <c r="AF1981" s="75" t="n"/>
    </row>
    <row r="1982" ht="15.75" customHeight="1" s="133">
      <c r="A1982" s="75" t="n"/>
      <c r="B1982" s="75" t="n"/>
      <c r="C1982" s="75" t="n"/>
      <c r="D1982" s="75" t="n"/>
      <c r="E1982" s="76" t="n"/>
      <c r="F1982" s="77" t="n"/>
      <c r="G1982" s="75" t="n"/>
      <c r="H1982" s="75">
        <f>IF(ISBLANK(E1982),"",IF(OR(D1982="Butterfly",D1982="Butterfly ",D1982="Iron Fly", D1982="Iron Fly "),LEN(E1982)-LEN(SUBSTITUTE(E1982,"/",""))+2,LEN(E1982)-LEN(SUBSTITUTE(E1982,"/",""))+1))</f>
        <v/>
      </c>
      <c r="I1982" s="78">
        <f>IF(ISBLANK(G1982),"",IF(D1982="Stock","0",Key!$A$3*H1982*G1982))</f>
        <v/>
      </c>
      <c r="J1982" s="78">
        <f>IF(ISBLANK(E1982),"",IF(ISNUMBER(SEARCH("/",E1982)), IF(LEN(E1982)-LEN(SUBSTITUTE(E1982,"/",""))=1,(RIGHT(E1982,LEN(E1982)-FIND("/",E1982)))-(LEFT(E1982,FIND("/",E1982)-1)),(MID(E1982, SEARCH("/",E1982) + 1, SEARCH("/",E1982, SEARCH("/",E1982)+1) - SEARCH("/",E1982) - 1))-(LEFT(E1982,FIND("/",E1982)-1))), "NA"))</f>
        <v/>
      </c>
      <c r="K1982" s="79">
        <f>IF(A1982&lt;&gt;"", IF(ISBLANK(L1982), TODAY(), K1982), "")</f>
        <v/>
      </c>
      <c r="L1982" s="78" t="n"/>
      <c r="M1982" s="78">
        <f>IF(ISBLANK(L1982),"",IF(D1982="Stock",IF(C1982="Buy",L1982*G1982,IF(C1982="Sell",(L1982*G1982)-I1982, X)),IF(C1982="Buy",(L1982*G1982*100)+I1982,IF(C1982="Sell",(L1982*G1982*100)-I1982, X))))</f>
        <v/>
      </c>
      <c r="N1982" s="78">
        <f>IF(ISBLANK(L1982),"",IF(AND(C1982="Sell",D1982="Stock"),M1982,IF(ISBLANK(L1982),"",IF(C1982="Buy",M1982, IF(AND(C1982="Sell",J1982="NA"),(E1982*G1982*100*0.1)+I1982, IF(C1982="Sell",(J1982-L1982)*(100*G1982)+I1982))))))</f>
        <v/>
      </c>
      <c r="O1982" s="75" t="n"/>
      <c r="P1982" s="75" t="n"/>
      <c r="Q1982" s="75">
        <f>IF(ISBLANK(P1982),"",IF(D1982="Stock",P1982*G1982,IF(P1982=0,"0",G1982*P1982*100-(G1982*$AF$14))))</f>
        <v/>
      </c>
      <c r="R1982" s="79">
        <f>IF(P1982&lt;&gt;"", TODAY(), "")</f>
        <v/>
      </c>
      <c r="S1982" s="78">
        <f>IF(AND(K1982&lt;&gt;"", R1982&lt;&gt;""), R1982-K1982, "")</f>
        <v/>
      </c>
      <c r="T1982" s="78" t="n"/>
      <c r="U1982" s="92">
        <f>IF(ISBLANK(P1982),"",IF(C1982="Buy",Q1982-M1982+T1982, IF(C1982="Sell",M1982-Q1982-T1982, X)))</f>
        <v/>
      </c>
      <c r="V1982" s="81">
        <f>IF(ISBLANK(P1982),"",U1982/N1982)</f>
        <v/>
      </c>
      <c r="W1982" s="81">
        <f>IF(ISBLANK(P1982),"",IF(S1982=0,(365/0.5)*V1982,(365/S1982)*V1982))</f>
        <v/>
      </c>
      <c r="X1982" s="75" t="n"/>
      <c r="Y1982" s="77" t="n"/>
      <c r="Z1982" s="77" t="n"/>
      <c r="AA1982" s="75" t="n"/>
      <c r="AB1982" s="75" t="n"/>
      <c r="AC1982" s="6" t="n"/>
      <c r="AD1982" s="75" t="n"/>
      <c r="AE1982" s="75" t="n"/>
      <c r="AF1982" s="75" t="n"/>
    </row>
    <row r="1983" ht="15.75" customHeight="1" s="133">
      <c r="A1983" s="75" t="n"/>
      <c r="B1983" s="75" t="n"/>
      <c r="C1983" s="75" t="n"/>
      <c r="D1983" s="75" t="n"/>
      <c r="E1983" s="76" t="n"/>
      <c r="F1983" s="77" t="n"/>
      <c r="G1983" s="75" t="n"/>
      <c r="H1983" s="75">
        <f>IF(ISBLANK(E1983),"",IF(OR(D1983="Butterfly",D1983="Butterfly ",D1983="Iron Fly", D1983="Iron Fly "),LEN(E1983)-LEN(SUBSTITUTE(E1983,"/",""))+2,LEN(E1983)-LEN(SUBSTITUTE(E1983,"/",""))+1))</f>
        <v/>
      </c>
      <c r="I1983" s="78">
        <f>IF(ISBLANK(G1983),"",IF(D1983="Stock","0",Key!$A$3*H1983*G1983))</f>
        <v/>
      </c>
      <c r="J1983" s="78">
        <f>IF(ISBLANK(E1983),"",IF(ISNUMBER(SEARCH("/",E1983)), IF(LEN(E1983)-LEN(SUBSTITUTE(E1983,"/",""))=1,(RIGHT(E1983,LEN(E1983)-FIND("/",E1983)))-(LEFT(E1983,FIND("/",E1983)-1)),(MID(E1983, SEARCH("/",E1983) + 1, SEARCH("/",E1983, SEARCH("/",E1983)+1) - SEARCH("/",E1983) - 1))-(LEFT(E1983,FIND("/",E1983)-1))), "NA"))</f>
        <v/>
      </c>
      <c r="K1983" s="79">
        <f>IF(A1983&lt;&gt;"", IF(ISBLANK(L1983), TODAY(), K1983), "")</f>
        <v/>
      </c>
      <c r="L1983" s="78" t="n"/>
      <c r="M1983" s="78">
        <f>IF(ISBLANK(L1983),"",IF(D1983="Stock",IF(C1983="Buy",L1983*G1983,IF(C1983="Sell",(L1983*G1983)-I1983, X)),IF(C1983="Buy",(L1983*G1983*100)+I1983,IF(C1983="Sell",(L1983*G1983*100)-I1983, X))))</f>
        <v/>
      </c>
      <c r="N1983" s="78">
        <f>IF(ISBLANK(L1983),"",IF(AND(C1983="Sell",D1983="Stock"),M1983,IF(ISBLANK(L1983),"",IF(C1983="Buy",M1983, IF(AND(C1983="Sell",J1983="NA"),(E1983*G1983*100*0.1)+I1983, IF(C1983="Sell",(J1983-L1983)*(100*G1983)+I1983))))))</f>
        <v/>
      </c>
      <c r="O1983" s="75" t="n"/>
      <c r="P1983" s="75" t="n"/>
      <c r="Q1983" s="75">
        <f>IF(ISBLANK(P1983),"",IF(D1983="Stock",P1983*G1983,IF(P1983=0,"0",G1983*P1983*100-(G1983*$AF$14))))</f>
        <v/>
      </c>
      <c r="R1983" s="79">
        <f>IF(P1983&lt;&gt;"", TODAY(), "")</f>
        <v/>
      </c>
      <c r="S1983" s="78">
        <f>IF(AND(K1983&lt;&gt;"", R1983&lt;&gt;""), R1983-K1983, "")</f>
        <v/>
      </c>
      <c r="T1983" s="78" t="n"/>
      <c r="U1983" s="92">
        <f>IF(ISBLANK(P1983),"",IF(C1983="Buy",Q1983-M1983+T1983, IF(C1983="Sell",M1983-Q1983-T1983, X)))</f>
        <v/>
      </c>
      <c r="V1983" s="81">
        <f>IF(ISBLANK(P1983),"",U1983/N1983)</f>
        <v/>
      </c>
      <c r="W1983" s="81">
        <f>IF(ISBLANK(P1983),"",IF(S1983=0,(365/0.5)*V1983,(365/S1983)*V1983))</f>
        <v/>
      </c>
      <c r="X1983" s="75" t="n"/>
      <c r="Y1983" s="77" t="n"/>
      <c r="Z1983" s="77" t="n"/>
      <c r="AA1983" s="75" t="n"/>
      <c r="AB1983" s="75" t="n"/>
      <c r="AC1983" s="6" t="n"/>
      <c r="AD1983" s="75" t="n"/>
      <c r="AE1983" s="75" t="n"/>
      <c r="AF1983" s="75" t="n"/>
    </row>
    <row r="1984" ht="15.75" customHeight="1" s="133">
      <c r="A1984" s="75" t="n"/>
      <c r="B1984" s="75" t="n"/>
      <c r="C1984" s="75" t="n"/>
      <c r="D1984" s="75" t="n"/>
      <c r="E1984" s="76" t="n"/>
      <c r="F1984" s="77" t="n"/>
      <c r="G1984" s="75" t="n"/>
      <c r="H1984" s="75">
        <f>IF(ISBLANK(E1984),"",IF(OR(D1984="Butterfly",D1984="Butterfly ",D1984="Iron Fly", D1984="Iron Fly "),LEN(E1984)-LEN(SUBSTITUTE(E1984,"/",""))+2,LEN(E1984)-LEN(SUBSTITUTE(E1984,"/",""))+1))</f>
        <v/>
      </c>
      <c r="I1984" s="78">
        <f>IF(ISBLANK(G1984),"",IF(D1984="Stock","0",Key!$A$3*H1984*G1984))</f>
        <v/>
      </c>
      <c r="J1984" s="78">
        <f>IF(ISBLANK(E1984),"",IF(ISNUMBER(SEARCH("/",E1984)), IF(LEN(E1984)-LEN(SUBSTITUTE(E1984,"/",""))=1,(RIGHT(E1984,LEN(E1984)-FIND("/",E1984)))-(LEFT(E1984,FIND("/",E1984)-1)),(MID(E1984, SEARCH("/",E1984) + 1, SEARCH("/",E1984, SEARCH("/",E1984)+1) - SEARCH("/",E1984) - 1))-(LEFT(E1984,FIND("/",E1984)-1))), "NA"))</f>
        <v/>
      </c>
      <c r="K1984" s="79">
        <f>IF(A1984&lt;&gt;"", IF(ISBLANK(L1984), TODAY(), K1984), "")</f>
        <v/>
      </c>
      <c r="L1984" s="78" t="n"/>
      <c r="M1984" s="78">
        <f>IF(ISBLANK(L1984),"",IF(D1984="Stock",IF(C1984="Buy",L1984*G1984,IF(C1984="Sell",(L1984*G1984)-I1984, X)),IF(C1984="Buy",(L1984*G1984*100)+I1984,IF(C1984="Sell",(L1984*G1984*100)-I1984, X))))</f>
        <v/>
      </c>
      <c r="N1984" s="78">
        <f>IF(ISBLANK(L1984),"",IF(AND(C1984="Sell",D1984="Stock"),M1984,IF(ISBLANK(L1984),"",IF(C1984="Buy",M1984, IF(AND(C1984="Sell",J1984="NA"),(E1984*G1984*100*0.1)+I1984, IF(C1984="Sell",(J1984-L1984)*(100*G1984)+I1984))))))</f>
        <v/>
      </c>
      <c r="O1984" s="75" t="n"/>
      <c r="P1984" s="75" t="n"/>
      <c r="Q1984" s="75">
        <f>IF(ISBLANK(P1984),"",IF(D1984="Stock",P1984*G1984,IF(P1984=0,"0",G1984*P1984*100-(G1984*$AF$14))))</f>
        <v/>
      </c>
      <c r="R1984" s="79">
        <f>IF(P1984&lt;&gt;"", TODAY(), "")</f>
        <v/>
      </c>
      <c r="S1984" s="78">
        <f>IF(AND(K1984&lt;&gt;"", R1984&lt;&gt;""), R1984-K1984, "")</f>
        <v/>
      </c>
      <c r="T1984" s="78" t="n"/>
      <c r="U1984" s="92">
        <f>IF(ISBLANK(P1984),"",IF(C1984="Buy",Q1984-M1984+T1984, IF(C1984="Sell",M1984-Q1984-T1984, X)))</f>
        <v/>
      </c>
      <c r="V1984" s="81">
        <f>IF(ISBLANK(P1984),"",U1984/N1984)</f>
        <v/>
      </c>
      <c r="W1984" s="81">
        <f>IF(ISBLANK(P1984),"",IF(S1984=0,(365/0.5)*V1984,(365/S1984)*V1984))</f>
        <v/>
      </c>
      <c r="X1984" s="75" t="n"/>
      <c r="Y1984" s="77" t="n"/>
      <c r="Z1984" s="77" t="n"/>
      <c r="AA1984" s="75" t="n"/>
      <c r="AB1984" s="75" t="n"/>
      <c r="AC1984" s="6" t="n"/>
      <c r="AD1984" s="75" t="n"/>
      <c r="AE1984" s="75" t="n"/>
      <c r="AF1984" s="75" t="n"/>
    </row>
    <row r="1985" ht="15.75" customHeight="1" s="133">
      <c r="A1985" s="75" t="n"/>
      <c r="B1985" s="75" t="n"/>
      <c r="C1985" s="75" t="n"/>
      <c r="D1985" s="75" t="n"/>
      <c r="E1985" s="76" t="n"/>
      <c r="F1985" s="77" t="n"/>
      <c r="G1985" s="75" t="n"/>
      <c r="H1985" s="75">
        <f>IF(ISBLANK(E1985),"",IF(OR(D1985="Butterfly",D1985="Butterfly ",D1985="Iron Fly", D1985="Iron Fly "),LEN(E1985)-LEN(SUBSTITUTE(E1985,"/",""))+2,LEN(E1985)-LEN(SUBSTITUTE(E1985,"/",""))+1))</f>
        <v/>
      </c>
      <c r="I1985" s="78">
        <f>IF(ISBLANK(G1985),"",IF(D1985="Stock","0",Key!$A$3*H1985*G1985))</f>
        <v/>
      </c>
      <c r="J1985" s="78">
        <f>IF(ISBLANK(E1985),"",IF(ISNUMBER(SEARCH("/",E1985)), IF(LEN(E1985)-LEN(SUBSTITUTE(E1985,"/",""))=1,(RIGHT(E1985,LEN(E1985)-FIND("/",E1985)))-(LEFT(E1985,FIND("/",E1985)-1)),(MID(E1985, SEARCH("/",E1985) + 1, SEARCH("/",E1985, SEARCH("/",E1985)+1) - SEARCH("/",E1985) - 1))-(LEFT(E1985,FIND("/",E1985)-1))), "NA"))</f>
        <v/>
      </c>
      <c r="K1985" s="79">
        <f>IF(A1985&lt;&gt;"", IF(ISBLANK(L1985), TODAY(), K1985), "")</f>
        <v/>
      </c>
      <c r="L1985" s="78" t="n"/>
      <c r="M1985" s="78">
        <f>IF(ISBLANK(L1985),"",IF(D1985="Stock",IF(C1985="Buy",L1985*G1985,IF(C1985="Sell",(L1985*G1985)-I1985, X)),IF(C1985="Buy",(L1985*G1985*100)+I1985,IF(C1985="Sell",(L1985*G1985*100)-I1985, X))))</f>
        <v/>
      </c>
      <c r="N1985" s="78">
        <f>IF(ISBLANK(L1985),"",IF(AND(C1985="Sell",D1985="Stock"),M1985,IF(ISBLANK(L1985),"",IF(C1985="Buy",M1985, IF(AND(C1985="Sell",J1985="NA"),(E1985*G1985*100*0.1)+I1985, IF(C1985="Sell",(J1985-L1985)*(100*G1985)+I1985))))))</f>
        <v/>
      </c>
      <c r="O1985" s="75" t="n"/>
      <c r="P1985" s="75" t="n"/>
      <c r="Q1985" s="75">
        <f>IF(ISBLANK(P1985),"",IF(D1985="Stock",P1985*G1985,IF(P1985=0,"0",G1985*P1985*100-(G1985*$AF$14))))</f>
        <v/>
      </c>
      <c r="R1985" s="79">
        <f>IF(P1985&lt;&gt;"", TODAY(), "")</f>
        <v/>
      </c>
      <c r="S1985" s="78">
        <f>IF(AND(K1985&lt;&gt;"", R1985&lt;&gt;""), R1985-K1985, "")</f>
        <v/>
      </c>
      <c r="T1985" s="78" t="n"/>
      <c r="U1985" s="92">
        <f>IF(ISBLANK(P1985),"",IF(C1985="Buy",Q1985-M1985+T1985, IF(C1985="Sell",M1985-Q1985-T1985, X)))</f>
        <v/>
      </c>
      <c r="V1985" s="81">
        <f>IF(ISBLANK(P1985),"",U1985/N1985)</f>
        <v/>
      </c>
      <c r="W1985" s="81">
        <f>IF(ISBLANK(P1985),"",IF(S1985=0,(365/0.5)*V1985,(365/S1985)*V1985))</f>
        <v/>
      </c>
      <c r="X1985" s="75" t="n"/>
      <c r="Y1985" s="77" t="n"/>
      <c r="Z1985" s="77" t="n"/>
      <c r="AA1985" s="75" t="n"/>
      <c r="AB1985" s="75" t="n"/>
      <c r="AC1985" s="6" t="n"/>
      <c r="AD1985" s="75" t="n"/>
      <c r="AE1985" s="75" t="n"/>
      <c r="AF1985" s="75" t="n"/>
    </row>
    <row r="1986" ht="15.75" customHeight="1" s="133">
      <c r="A1986" s="75" t="n"/>
      <c r="B1986" s="75" t="n"/>
      <c r="C1986" s="75" t="n"/>
      <c r="D1986" s="75" t="n"/>
      <c r="E1986" s="76" t="n"/>
      <c r="F1986" s="77" t="n"/>
      <c r="G1986" s="75" t="n"/>
      <c r="H1986" s="75">
        <f>IF(ISBLANK(E1986),"",IF(OR(D1986="Butterfly",D1986="Butterfly ",D1986="Iron Fly", D1986="Iron Fly "),LEN(E1986)-LEN(SUBSTITUTE(E1986,"/",""))+2,LEN(E1986)-LEN(SUBSTITUTE(E1986,"/",""))+1))</f>
        <v/>
      </c>
      <c r="I1986" s="78">
        <f>IF(ISBLANK(G1986),"",IF(D1986="Stock","0",Key!$A$3*H1986*G1986))</f>
        <v/>
      </c>
      <c r="J1986" s="78">
        <f>IF(ISBLANK(E1986),"",IF(ISNUMBER(SEARCH("/",E1986)), IF(LEN(E1986)-LEN(SUBSTITUTE(E1986,"/",""))=1,(RIGHT(E1986,LEN(E1986)-FIND("/",E1986)))-(LEFT(E1986,FIND("/",E1986)-1)),(MID(E1986, SEARCH("/",E1986) + 1, SEARCH("/",E1986, SEARCH("/",E1986)+1) - SEARCH("/",E1986) - 1))-(LEFT(E1986,FIND("/",E1986)-1))), "NA"))</f>
        <v/>
      </c>
      <c r="K1986" s="79">
        <f>IF(A1986&lt;&gt;"", IF(ISBLANK(L1986), TODAY(), K1986), "")</f>
        <v/>
      </c>
      <c r="L1986" s="78" t="n"/>
      <c r="M1986" s="78">
        <f>IF(ISBLANK(L1986),"",IF(D1986="Stock",IF(C1986="Buy",L1986*G1986,IF(C1986="Sell",(L1986*G1986)-I1986, X)),IF(C1986="Buy",(L1986*G1986*100)+I1986,IF(C1986="Sell",(L1986*G1986*100)-I1986, X))))</f>
        <v/>
      </c>
      <c r="N1986" s="78">
        <f>IF(ISBLANK(L1986),"",IF(AND(C1986="Sell",D1986="Stock"),M1986,IF(ISBLANK(L1986),"",IF(C1986="Buy",M1986, IF(AND(C1986="Sell",J1986="NA"),(E1986*G1986*100*0.1)+I1986, IF(C1986="Sell",(J1986-L1986)*(100*G1986)+I1986))))))</f>
        <v/>
      </c>
      <c r="O1986" s="75" t="n"/>
      <c r="P1986" s="75" t="n"/>
      <c r="Q1986" s="75">
        <f>IF(ISBLANK(P1986),"",IF(D1986="Stock",P1986*G1986,IF(P1986=0,"0",G1986*P1986*100-(G1986*$AF$14))))</f>
        <v/>
      </c>
      <c r="R1986" s="79">
        <f>IF(P1986&lt;&gt;"", TODAY(), "")</f>
        <v/>
      </c>
      <c r="S1986" s="78">
        <f>IF(AND(K1986&lt;&gt;"", R1986&lt;&gt;""), R1986-K1986, "")</f>
        <v/>
      </c>
      <c r="T1986" s="78" t="n"/>
      <c r="U1986" s="92">
        <f>IF(ISBLANK(P1986),"",IF(C1986="Buy",Q1986-M1986+T1986, IF(C1986="Sell",M1986-Q1986-T1986, X)))</f>
        <v/>
      </c>
      <c r="V1986" s="81">
        <f>IF(ISBLANK(P1986),"",U1986/N1986)</f>
        <v/>
      </c>
      <c r="W1986" s="81">
        <f>IF(ISBLANK(P1986),"",IF(S1986=0,(365/0.5)*V1986,(365/S1986)*V1986))</f>
        <v/>
      </c>
      <c r="X1986" s="75" t="n"/>
      <c r="Y1986" s="77" t="n"/>
      <c r="Z1986" s="77" t="n"/>
      <c r="AA1986" s="75" t="n"/>
      <c r="AB1986" s="75" t="n"/>
      <c r="AC1986" s="6" t="n"/>
      <c r="AD1986" s="75" t="n"/>
      <c r="AE1986" s="75" t="n"/>
      <c r="AF1986" s="75" t="n"/>
    </row>
    <row r="1987" ht="15.75" customHeight="1" s="133">
      <c r="A1987" s="75" t="n"/>
      <c r="B1987" s="75" t="n"/>
      <c r="C1987" s="75" t="n"/>
      <c r="D1987" s="75" t="n"/>
      <c r="E1987" s="76" t="n"/>
      <c r="F1987" s="77" t="n"/>
      <c r="G1987" s="75" t="n"/>
      <c r="H1987" s="75">
        <f>IF(ISBLANK(E1987),"",IF(OR(D1987="Butterfly",D1987="Butterfly ",D1987="Iron Fly", D1987="Iron Fly "),LEN(E1987)-LEN(SUBSTITUTE(E1987,"/",""))+2,LEN(E1987)-LEN(SUBSTITUTE(E1987,"/",""))+1))</f>
        <v/>
      </c>
      <c r="I1987" s="78">
        <f>IF(ISBLANK(G1987),"",IF(D1987="Stock","0",Key!$A$3*H1987*G1987))</f>
        <v/>
      </c>
      <c r="J1987" s="78">
        <f>IF(ISBLANK(E1987),"",IF(ISNUMBER(SEARCH("/",E1987)), IF(LEN(E1987)-LEN(SUBSTITUTE(E1987,"/",""))=1,(RIGHT(E1987,LEN(E1987)-FIND("/",E1987)))-(LEFT(E1987,FIND("/",E1987)-1)),(MID(E1987, SEARCH("/",E1987) + 1, SEARCH("/",E1987, SEARCH("/",E1987)+1) - SEARCH("/",E1987) - 1))-(LEFT(E1987,FIND("/",E1987)-1))), "NA"))</f>
        <v/>
      </c>
      <c r="K1987" s="79">
        <f>IF(A1987&lt;&gt;"", IF(ISBLANK(L1987), TODAY(), K1987), "")</f>
        <v/>
      </c>
      <c r="L1987" s="78" t="n"/>
      <c r="M1987" s="78">
        <f>IF(ISBLANK(L1987),"",IF(D1987="Stock",IF(C1987="Buy",L1987*G1987,IF(C1987="Sell",(L1987*G1987)-I1987, X)),IF(C1987="Buy",(L1987*G1987*100)+I1987,IF(C1987="Sell",(L1987*G1987*100)-I1987, X))))</f>
        <v/>
      </c>
      <c r="N1987" s="78">
        <f>IF(ISBLANK(L1987),"",IF(AND(C1987="Sell",D1987="Stock"),M1987,IF(ISBLANK(L1987),"",IF(C1987="Buy",M1987, IF(AND(C1987="Sell",J1987="NA"),(E1987*G1987*100*0.1)+I1987, IF(C1987="Sell",(J1987-L1987)*(100*G1987)+I1987))))))</f>
        <v/>
      </c>
      <c r="O1987" s="75" t="n"/>
      <c r="P1987" s="75" t="n"/>
      <c r="Q1987" s="75">
        <f>IF(ISBLANK(P1987),"",IF(D1987="Stock",P1987*G1987,IF(P1987=0,"0",G1987*P1987*100-(G1987*$AF$14))))</f>
        <v/>
      </c>
      <c r="R1987" s="79">
        <f>IF(P1987&lt;&gt;"", TODAY(), "")</f>
        <v/>
      </c>
      <c r="S1987" s="78">
        <f>IF(AND(K1987&lt;&gt;"", R1987&lt;&gt;""), R1987-K1987, "")</f>
        <v/>
      </c>
      <c r="T1987" s="78" t="n"/>
      <c r="U1987" s="92">
        <f>IF(ISBLANK(P1987),"",IF(C1987="Buy",Q1987-M1987+T1987, IF(C1987="Sell",M1987-Q1987-T1987, X)))</f>
        <v/>
      </c>
      <c r="V1987" s="81">
        <f>IF(ISBLANK(P1987),"",U1987/N1987)</f>
        <v/>
      </c>
      <c r="W1987" s="81">
        <f>IF(ISBLANK(P1987),"",IF(S1987=0,(365/0.5)*V1987,(365/S1987)*V1987))</f>
        <v/>
      </c>
      <c r="X1987" s="75" t="n"/>
      <c r="Y1987" s="77" t="n"/>
      <c r="Z1987" s="77" t="n"/>
      <c r="AA1987" s="75" t="n"/>
      <c r="AB1987" s="75" t="n"/>
      <c r="AC1987" s="6" t="n"/>
      <c r="AD1987" s="75" t="n"/>
      <c r="AE1987" s="75" t="n"/>
      <c r="AF1987" s="75" t="n"/>
    </row>
    <row r="1988" ht="15.75" customHeight="1" s="133">
      <c r="A1988" s="75" t="n"/>
      <c r="B1988" s="75" t="n"/>
      <c r="C1988" s="75" t="n"/>
      <c r="D1988" s="75" t="n"/>
      <c r="E1988" s="76" t="n"/>
      <c r="F1988" s="77" t="n"/>
      <c r="G1988" s="75" t="n"/>
      <c r="H1988" s="75">
        <f>IF(ISBLANK(E1988),"",IF(OR(D1988="Butterfly",D1988="Butterfly ",D1988="Iron Fly", D1988="Iron Fly "),LEN(E1988)-LEN(SUBSTITUTE(E1988,"/",""))+2,LEN(E1988)-LEN(SUBSTITUTE(E1988,"/",""))+1))</f>
        <v/>
      </c>
      <c r="I1988" s="78">
        <f>IF(ISBLANK(G1988),"",IF(D1988="Stock","0",Key!$A$3*H1988*G1988))</f>
        <v/>
      </c>
      <c r="J1988" s="78">
        <f>IF(ISBLANK(E1988),"",IF(ISNUMBER(SEARCH("/",E1988)), IF(LEN(E1988)-LEN(SUBSTITUTE(E1988,"/",""))=1,(RIGHT(E1988,LEN(E1988)-FIND("/",E1988)))-(LEFT(E1988,FIND("/",E1988)-1)),(MID(E1988, SEARCH("/",E1988) + 1, SEARCH("/",E1988, SEARCH("/",E1988)+1) - SEARCH("/",E1988) - 1))-(LEFT(E1988,FIND("/",E1988)-1))), "NA"))</f>
        <v/>
      </c>
      <c r="K1988" s="79">
        <f>IF(A1988&lt;&gt;"", IF(ISBLANK(L1988), TODAY(), K1988), "")</f>
        <v/>
      </c>
      <c r="L1988" s="78" t="n"/>
      <c r="M1988" s="78">
        <f>IF(ISBLANK(L1988),"",IF(D1988="Stock",IF(C1988="Buy",L1988*G1988,IF(C1988="Sell",(L1988*G1988)-I1988, X)),IF(C1988="Buy",(L1988*G1988*100)+I1988,IF(C1988="Sell",(L1988*G1988*100)-I1988, X))))</f>
        <v/>
      </c>
      <c r="N1988" s="78">
        <f>IF(ISBLANK(L1988),"",IF(AND(C1988="Sell",D1988="Stock"),M1988,IF(ISBLANK(L1988),"",IF(C1988="Buy",M1988, IF(AND(C1988="Sell",J1988="NA"),(E1988*G1988*100*0.1)+I1988, IF(C1988="Sell",(J1988-L1988)*(100*G1988)+I1988))))))</f>
        <v/>
      </c>
      <c r="O1988" s="75" t="n"/>
      <c r="P1988" s="75" t="n"/>
      <c r="Q1988" s="75">
        <f>IF(ISBLANK(P1988),"",IF(D1988="Stock",P1988*G1988,IF(P1988=0,"0",G1988*P1988*100-(G1988*$AF$14))))</f>
        <v/>
      </c>
      <c r="R1988" s="79">
        <f>IF(P1988&lt;&gt;"", TODAY(), "")</f>
        <v/>
      </c>
      <c r="S1988" s="78">
        <f>IF(AND(K1988&lt;&gt;"", R1988&lt;&gt;""), R1988-K1988, "")</f>
        <v/>
      </c>
      <c r="T1988" s="78" t="n"/>
      <c r="U1988" s="92">
        <f>IF(ISBLANK(P1988),"",IF(C1988="Buy",Q1988-M1988+T1988, IF(C1988="Sell",M1988-Q1988-T1988, X)))</f>
        <v/>
      </c>
      <c r="V1988" s="81">
        <f>IF(ISBLANK(P1988),"",U1988/N1988)</f>
        <v/>
      </c>
      <c r="W1988" s="81">
        <f>IF(ISBLANK(P1988),"",IF(S1988=0,(365/0.5)*V1988,(365/S1988)*V1988))</f>
        <v/>
      </c>
      <c r="X1988" s="75" t="n"/>
      <c r="Y1988" s="77" t="n"/>
      <c r="Z1988" s="77" t="n"/>
      <c r="AA1988" s="75" t="n"/>
      <c r="AB1988" s="75" t="n"/>
      <c r="AC1988" s="6" t="n"/>
      <c r="AD1988" s="75" t="n"/>
      <c r="AE1988" s="75" t="n"/>
      <c r="AF1988" s="75" t="n"/>
    </row>
    <row r="1989" ht="15.75" customHeight="1" s="133">
      <c r="A1989" s="75" t="n"/>
      <c r="B1989" s="75" t="n"/>
      <c r="C1989" s="75" t="n"/>
      <c r="D1989" s="75" t="n"/>
      <c r="E1989" s="76" t="n"/>
      <c r="F1989" s="77" t="n"/>
      <c r="G1989" s="75" t="n"/>
      <c r="H1989" s="75">
        <f>IF(ISBLANK(E1989),"",IF(OR(D1989="Butterfly",D1989="Butterfly ",D1989="Iron Fly", D1989="Iron Fly "),LEN(E1989)-LEN(SUBSTITUTE(E1989,"/",""))+2,LEN(E1989)-LEN(SUBSTITUTE(E1989,"/",""))+1))</f>
        <v/>
      </c>
      <c r="I1989" s="78">
        <f>IF(ISBLANK(G1989),"",IF(D1989="Stock","0",Key!$A$3*H1989*G1989))</f>
        <v/>
      </c>
      <c r="J1989" s="78">
        <f>IF(ISBLANK(E1989),"",IF(ISNUMBER(SEARCH("/",E1989)), IF(LEN(E1989)-LEN(SUBSTITUTE(E1989,"/",""))=1,(RIGHT(E1989,LEN(E1989)-FIND("/",E1989)))-(LEFT(E1989,FIND("/",E1989)-1)),(MID(E1989, SEARCH("/",E1989) + 1, SEARCH("/",E1989, SEARCH("/",E1989)+1) - SEARCH("/",E1989) - 1))-(LEFT(E1989,FIND("/",E1989)-1))), "NA"))</f>
        <v/>
      </c>
      <c r="K1989" s="79">
        <f>IF(A1989&lt;&gt;"", IF(ISBLANK(L1989), TODAY(), K1989), "")</f>
        <v/>
      </c>
      <c r="L1989" s="78" t="n"/>
      <c r="M1989" s="78">
        <f>IF(ISBLANK(L1989),"",IF(D1989="Stock",IF(C1989="Buy",L1989*G1989,IF(C1989="Sell",(L1989*G1989)-I1989, X)),IF(C1989="Buy",(L1989*G1989*100)+I1989,IF(C1989="Sell",(L1989*G1989*100)-I1989, X))))</f>
        <v/>
      </c>
      <c r="N1989" s="78">
        <f>IF(ISBLANK(L1989),"",IF(AND(C1989="Sell",D1989="Stock"),M1989,IF(ISBLANK(L1989),"",IF(C1989="Buy",M1989, IF(AND(C1989="Sell",J1989="NA"),(E1989*G1989*100*0.1)+I1989, IF(C1989="Sell",(J1989-L1989)*(100*G1989)+I1989))))))</f>
        <v/>
      </c>
      <c r="O1989" s="75" t="n"/>
      <c r="P1989" s="75" t="n"/>
      <c r="Q1989" s="75">
        <f>IF(ISBLANK(P1989),"",IF(D1989="Stock",P1989*G1989,IF(P1989=0,"0",G1989*P1989*100-(G1989*$AF$14))))</f>
        <v/>
      </c>
      <c r="R1989" s="79">
        <f>IF(P1989&lt;&gt;"", TODAY(), "")</f>
        <v/>
      </c>
      <c r="S1989" s="78">
        <f>IF(AND(K1989&lt;&gt;"", R1989&lt;&gt;""), R1989-K1989, "")</f>
        <v/>
      </c>
      <c r="T1989" s="78" t="n"/>
      <c r="U1989" s="92">
        <f>IF(ISBLANK(P1989),"",IF(C1989="Buy",Q1989-M1989+T1989, IF(C1989="Sell",M1989-Q1989-T1989, X)))</f>
        <v/>
      </c>
      <c r="V1989" s="81">
        <f>IF(ISBLANK(P1989),"",U1989/N1989)</f>
        <v/>
      </c>
      <c r="W1989" s="81">
        <f>IF(ISBLANK(P1989),"",IF(S1989=0,(365/0.5)*V1989,(365/S1989)*V1989))</f>
        <v/>
      </c>
      <c r="X1989" s="75" t="n"/>
      <c r="Y1989" s="77" t="n"/>
      <c r="Z1989" s="77" t="n"/>
      <c r="AA1989" s="75" t="n"/>
      <c r="AB1989" s="75" t="n"/>
      <c r="AC1989" s="6" t="n"/>
      <c r="AD1989" s="75" t="n"/>
      <c r="AE1989" s="75" t="n"/>
      <c r="AF1989" s="75" t="n"/>
    </row>
    <row r="1990" ht="15.75" customHeight="1" s="133">
      <c r="A1990" s="75" t="n"/>
      <c r="B1990" s="75" t="n"/>
      <c r="C1990" s="75" t="n"/>
      <c r="D1990" s="75" t="n"/>
      <c r="E1990" s="76" t="n"/>
      <c r="F1990" s="77" t="n"/>
      <c r="G1990" s="75" t="n"/>
      <c r="H1990" s="75">
        <f>IF(ISBLANK(E1990),"",IF(OR(D1990="Butterfly",D1990="Butterfly ",D1990="Iron Fly", D1990="Iron Fly "),LEN(E1990)-LEN(SUBSTITUTE(E1990,"/",""))+2,LEN(E1990)-LEN(SUBSTITUTE(E1990,"/",""))+1))</f>
        <v/>
      </c>
      <c r="I1990" s="78">
        <f>IF(ISBLANK(G1990),"",IF(D1990="Stock","0",Key!$A$3*H1990*G1990))</f>
        <v/>
      </c>
      <c r="J1990" s="78">
        <f>IF(ISBLANK(E1990),"",IF(ISNUMBER(SEARCH("/",E1990)), IF(LEN(E1990)-LEN(SUBSTITUTE(E1990,"/",""))=1,(RIGHT(E1990,LEN(E1990)-FIND("/",E1990)))-(LEFT(E1990,FIND("/",E1990)-1)),(MID(E1990, SEARCH("/",E1990) + 1, SEARCH("/",E1990, SEARCH("/",E1990)+1) - SEARCH("/",E1990) - 1))-(LEFT(E1990,FIND("/",E1990)-1))), "NA"))</f>
        <v/>
      </c>
      <c r="K1990" s="79">
        <f>IF(A1990&lt;&gt;"", IF(ISBLANK(L1990), TODAY(), K1990), "")</f>
        <v/>
      </c>
      <c r="L1990" s="78" t="n"/>
      <c r="M1990" s="78">
        <f>IF(ISBLANK(L1990),"",IF(D1990="Stock",IF(C1990="Buy",L1990*G1990,IF(C1990="Sell",(L1990*G1990)-I1990, X)),IF(C1990="Buy",(L1990*G1990*100)+I1990,IF(C1990="Sell",(L1990*G1990*100)-I1990, X))))</f>
        <v/>
      </c>
      <c r="N1990" s="78">
        <f>IF(ISBLANK(L1990),"",IF(AND(C1990="Sell",D1990="Stock"),M1990,IF(ISBLANK(L1990),"",IF(C1990="Buy",M1990, IF(AND(C1990="Sell",J1990="NA"),(E1990*G1990*100*0.1)+I1990, IF(C1990="Sell",(J1990-L1990)*(100*G1990)+I1990))))))</f>
        <v/>
      </c>
      <c r="O1990" s="75" t="n"/>
      <c r="P1990" s="75" t="n"/>
      <c r="Q1990" s="75">
        <f>IF(ISBLANK(P1990),"",IF(D1990="Stock",P1990*G1990,IF(P1990=0,"0",G1990*P1990*100-(G1990*$AF$14))))</f>
        <v/>
      </c>
      <c r="R1990" s="79">
        <f>IF(P1990&lt;&gt;"", TODAY(), "")</f>
        <v/>
      </c>
      <c r="S1990" s="78">
        <f>IF(AND(K1990&lt;&gt;"", R1990&lt;&gt;""), R1990-K1990, "")</f>
        <v/>
      </c>
      <c r="T1990" s="78" t="n"/>
      <c r="U1990" s="92">
        <f>IF(ISBLANK(P1990),"",IF(C1990="Buy",Q1990-M1990+T1990, IF(C1990="Sell",M1990-Q1990-T1990, X)))</f>
        <v/>
      </c>
      <c r="V1990" s="81">
        <f>IF(ISBLANK(P1990),"",U1990/N1990)</f>
        <v/>
      </c>
      <c r="W1990" s="81">
        <f>IF(ISBLANK(P1990),"",IF(S1990=0,(365/0.5)*V1990,(365/S1990)*V1990))</f>
        <v/>
      </c>
      <c r="X1990" s="75" t="n"/>
      <c r="Y1990" s="77" t="n"/>
      <c r="Z1990" s="77" t="n"/>
      <c r="AA1990" s="75" t="n"/>
      <c r="AB1990" s="75" t="n"/>
      <c r="AC1990" s="6" t="n"/>
      <c r="AD1990" s="75" t="n"/>
      <c r="AE1990" s="75" t="n"/>
      <c r="AF1990" s="75" t="n"/>
    </row>
    <row r="1991" ht="15.75" customHeight="1" s="133">
      <c r="A1991" s="75" t="n"/>
      <c r="B1991" s="75" t="n"/>
      <c r="C1991" s="75" t="n"/>
      <c r="D1991" s="75" t="n"/>
      <c r="E1991" s="76" t="n"/>
      <c r="F1991" s="77" t="n"/>
      <c r="G1991" s="75" t="n"/>
      <c r="H1991" s="75">
        <f>IF(ISBLANK(E1991),"",IF(OR(D1991="Butterfly",D1991="Butterfly ",D1991="Iron Fly", D1991="Iron Fly "),LEN(E1991)-LEN(SUBSTITUTE(E1991,"/",""))+2,LEN(E1991)-LEN(SUBSTITUTE(E1991,"/",""))+1))</f>
        <v/>
      </c>
      <c r="I1991" s="78">
        <f>IF(ISBLANK(G1991),"",IF(D1991="Stock","0",Key!$A$3*H1991*G1991))</f>
        <v/>
      </c>
      <c r="J1991" s="78">
        <f>IF(ISBLANK(E1991),"",IF(ISNUMBER(SEARCH("/",E1991)), IF(LEN(E1991)-LEN(SUBSTITUTE(E1991,"/",""))=1,(RIGHT(E1991,LEN(E1991)-FIND("/",E1991)))-(LEFT(E1991,FIND("/",E1991)-1)),(MID(E1991, SEARCH("/",E1991) + 1, SEARCH("/",E1991, SEARCH("/",E1991)+1) - SEARCH("/",E1991) - 1))-(LEFT(E1991,FIND("/",E1991)-1))), "NA"))</f>
        <v/>
      </c>
      <c r="K1991" s="79">
        <f>IF(A1991&lt;&gt;"", IF(ISBLANK(L1991), TODAY(), K1991), "")</f>
        <v/>
      </c>
      <c r="L1991" s="78" t="n"/>
      <c r="M1991" s="78">
        <f>IF(ISBLANK(L1991),"",IF(D1991="Stock",IF(C1991="Buy",L1991*G1991,IF(C1991="Sell",(L1991*G1991)-I1991, X)),IF(C1991="Buy",(L1991*G1991*100)+I1991,IF(C1991="Sell",(L1991*G1991*100)-I1991, X))))</f>
        <v/>
      </c>
      <c r="N1991" s="78">
        <f>IF(ISBLANK(L1991),"",IF(AND(C1991="Sell",D1991="Stock"),M1991,IF(ISBLANK(L1991),"",IF(C1991="Buy",M1991, IF(AND(C1991="Sell",J1991="NA"),(E1991*G1991*100*0.1)+I1991, IF(C1991="Sell",(J1991-L1991)*(100*G1991)+I1991))))))</f>
        <v/>
      </c>
      <c r="O1991" s="75" t="n"/>
      <c r="P1991" s="75" t="n"/>
      <c r="Q1991" s="75">
        <f>IF(ISBLANK(P1991),"",IF(D1991="Stock",P1991*G1991,IF(P1991=0,"0",G1991*P1991*100-(G1991*$AF$14))))</f>
        <v/>
      </c>
      <c r="R1991" s="79">
        <f>IF(P1991&lt;&gt;"", TODAY(), "")</f>
        <v/>
      </c>
      <c r="S1991" s="78">
        <f>IF(AND(K1991&lt;&gt;"", R1991&lt;&gt;""), R1991-K1991, "")</f>
        <v/>
      </c>
      <c r="T1991" s="78" t="n"/>
      <c r="U1991" s="92">
        <f>IF(ISBLANK(P1991),"",IF(C1991="Buy",Q1991-M1991+T1991, IF(C1991="Sell",M1991-Q1991-T1991, X)))</f>
        <v/>
      </c>
      <c r="V1991" s="81">
        <f>IF(ISBLANK(P1991),"",U1991/N1991)</f>
        <v/>
      </c>
      <c r="W1991" s="81">
        <f>IF(ISBLANK(P1991),"",IF(S1991=0,(365/0.5)*V1991,(365/S1991)*V1991))</f>
        <v/>
      </c>
      <c r="X1991" s="75" t="n"/>
      <c r="Y1991" s="77" t="n"/>
      <c r="Z1991" s="77" t="n"/>
      <c r="AA1991" s="75" t="n"/>
      <c r="AB1991" s="75" t="n"/>
      <c r="AC1991" s="6" t="n"/>
      <c r="AD1991" s="75" t="n"/>
      <c r="AE1991" s="75" t="n"/>
      <c r="AF1991" s="75" t="n"/>
    </row>
    <row r="1992" ht="15.75" customHeight="1" s="133">
      <c r="A1992" s="75" t="n"/>
      <c r="B1992" s="75" t="n"/>
      <c r="C1992" s="75" t="n"/>
      <c r="D1992" s="75" t="n"/>
      <c r="E1992" s="76" t="n"/>
      <c r="F1992" s="77" t="n"/>
      <c r="G1992" s="75" t="n"/>
      <c r="H1992" s="75">
        <f>IF(ISBLANK(E1992),"",IF(OR(D1992="Butterfly",D1992="Butterfly ",D1992="Iron Fly", D1992="Iron Fly "),LEN(E1992)-LEN(SUBSTITUTE(E1992,"/",""))+2,LEN(E1992)-LEN(SUBSTITUTE(E1992,"/",""))+1))</f>
        <v/>
      </c>
      <c r="I1992" s="78">
        <f>IF(ISBLANK(G1992),"",IF(D1992="Stock","0",Key!$A$3*H1992*G1992))</f>
        <v/>
      </c>
      <c r="J1992" s="78">
        <f>IF(ISBLANK(E1992),"",IF(ISNUMBER(SEARCH("/",E1992)), IF(LEN(E1992)-LEN(SUBSTITUTE(E1992,"/",""))=1,(RIGHT(E1992,LEN(E1992)-FIND("/",E1992)))-(LEFT(E1992,FIND("/",E1992)-1)),(MID(E1992, SEARCH("/",E1992) + 1, SEARCH("/",E1992, SEARCH("/",E1992)+1) - SEARCH("/",E1992) - 1))-(LEFT(E1992,FIND("/",E1992)-1))), "NA"))</f>
        <v/>
      </c>
      <c r="K1992" s="79">
        <f>IF(A1992&lt;&gt;"", IF(ISBLANK(L1992), TODAY(), K1992), "")</f>
        <v/>
      </c>
      <c r="L1992" s="78" t="n"/>
      <c r="M1992" s="78">
        <f>IF(ISBLANK(L1992),"",IF(D1992="Stock",IF(C1992="Buy",L1992*G1992,IF(C1992="Sell",(L1992*G1992)-I1992, X)),IF(C1992="Buy",(L1992*G1992*100)+I1992,IF(C1992="Sell",(L1992*G1992*100)-I1992, X))))</f>
        <v/>
      </c>
      <c r="N1992" s="78">
        <f>IF(ISBLANK(L1992),"",IF(AND(C1992="Sell",D1992="Stock"),M1992,IF(ISBLANK(L1992),"",IF(C1992="Buy",M1992, IF(AND(C1992="Sell",J1992="NA"),(E1992*G1992*100*0.1)+I1992, IF(C1992="Sell",(J1992-L1992)*(100*G1992)+I1992))))))</f>
        <v/>
      </c>
      <c r="O1992" s="75" t="n"/>
      <c r="P1992" s="75" t="n"/>
      <c r="Q1992" s="75">
        <f>IF(ISBLANK(P1992),"",IF(D1992="Stock",P1992*G1992,IF(P1992=0,"0",G1992*P1992*100-(G1992*$AF$14))))</f>
        <v/>
      </c>
      <c r="R1992" s="79">
        <f>IF(P1992&lt;&gt;"", TODAY(), "")</f>
        <v/>
      </c>
      <c r="S1992" s="78">
        <f>IF(AND(K1992&lt;&gt;"", R1992&lt;&gt;""), R1992-K1992, "")</f>
        <v/>
      </c>
      <c r="T1992" s="78" t="n"/>
      <c r="U1992" s="92">
        <f>IF(ISBLANK(P1992),"",IF(C1992="Buy",Q1992-M1992+T1992, IF(C1992="Sell",M1992-Q1992-T1992, X)))</f>
        <v/>
      </c>
      <c r="V1992" s="81">
        <f>IF(ISBLANK(P1992),"",U1992/N1992)</f>
        <v/>
      </c>
      <c r="W1992" s="81">
        <f>IF(ISBLANK(P1992),"",IF(S1992=0,(365/0.5)*V1992,(365/S1992)*V1992))</f>
        <v/>
      </c>
      <c r="X1992" s="75" t="n"/>
      <c r="Y1992" s="77" t="n"/>
      <c r="Z1992" s="77" t="n"/>
      <c r="AA1992" s="75" t="n"/>
      <c r="AB1992" s="75" t="n"/>
      <c r="AC1992" s="6" t="n"/>
      <c r="AD1992" s="75" t="n"/>
      <c r="AE1992" s="75" t="n"/>
      <c r="AF1992" s="75" t="n"/>
    </row>
    <row r="1993" ht="15.75" customHeight="1" s="133">
      <c r="A1993" s="75" t="n"/>
      <c r="B1993" s="75" t="n"/>
      <c r="C1993" s="75" t="n"/>
      <c r="D1993" s="75" t="n"/>
      <c r="E1993" s="76" t="n"/>
      <c r="F1993" s="77" t="n"/>
      <c r="G1993" s="75" t="n"/>
      <c r="H1993" s="75">
        <f>IF(ISBLANK(E1993),"",IF(OR(D1993="Butterfly",D1993="Butterfly ",D1993="Iron Fly", D1993="Iron Fly "),LEN(E1993)-LEN(SUBSTITUTE(E1993,"/",""))+2,LEN(E1993)-LEN(SUBSTITUTE(E1993,"/",""))+1))</f>
        <v/>
      </c>
      <c r="I1993" s="78">
        <f>IF(ISBLANK(G1993),"",IF(D1993="Stock","0",Key!$A$3*H1993*G1993))</f>
        <v/>
      </c>
      <c r="J1993" s="78">
        <f>IF(ISBLANK(E1993),"",IF(ISNUMBER(SEARCH("/",E1993)), IF(LEN(E1993)-LEN(SUBSTITUTE(E1993,"/",""))=1,(RIGHT(E1993,LEN(E1993)-FIND("/",E1993)))-(LEFT(E1993,FIND("/",E1993)-1)),(MID(E1993, SEARCH("/",E1993) + 1, SEARCH("/",E1993, SEARCH("/",E1993)+1) - SEARCH("/",E1993) - 1))-(LEFT(E1993,FIND("/",E1993)-1))), "NA"))</f>
        <v/>
      </c>
      <c r="K1993" s="79">
        <f>IF(A1993&lt;&gt;"", IF(ISBLANK(L1993), TODAY(), K1993), "")</f>
        <v/>
      </c>
      <c r="L1993" s="78" t="n"/>
      <c r="M1993" s="78">
        <f>IF(ISBLANK(L1993),"",IF(D1993="Stock",IF(C1993="Buy",L1993*G1993,IF(C1993="Sell",(L1993*G1993)-I1993, X)),IF(C1993="Buy",(L1993*G1993*100)+I1993,IF(C1993="Sell",(L1993*G1993*100)-I1993, X))))</f>
        <v/>
      </c>
      <c r="N1993" s="78">
        <f>IF(ISBLANK(L1993),"",IF(AND(C1993="Sell",D1993="Stock"),M1993,IF(ISBLANK(L1993),"",IF(C1993="Buy",M1993, IF(AND(C1993="Sell",J1993="NA"),(E1993*G1993*100*0.1)+I1993, IF(C1993="Sell",(J1993-L1993)*(100*G1993)+I1993))))))</f>
        <v/>
      </c>
      <c r="O1993" s="75" t="n"/>
      <c r="P1993" s="75" t="n"/>
      <c r="Q1993" s="75">
        <f>IF(ISBLANK(P1993),"",IF(D1993="Stock",P1993*G1993,IF(P1993=0,"0",G1993*P1993*100-(G1993*$AF$14))))</f>
        <v/>
      </c>
      <c r="R1993" s="79">
        <f>IF(P1993&lt;&gt;"", TODAY(), "")</f>
        <v/>
      </c>
      <c r="S1993" s="78">
        <f>IF(AND(K1993&lt;&gt;"", R1993&lt;&gt;""), R1993-K1993, "")</f>
        <v/>
      </c>
      <c r="T1993" s="78" t="n"/>
      <c r="U1993" s="92">
        <f>IF(ISBLANK(P1993),"",IF(C1993="Buy",Q1993-M1993+T1993, IF(C1993="Sell",M1993-Q1993-T1993, X)))</f>
        <v/>
      </c>
      <c r="V1993" s="81">
        <f>IF(ISBLANK(P1993),"",U1993/N1993)</f>
        <v/>
      </c>
      <c r="W1993" s="81">
        <f>IF(ISBLANK(P1993),"",IF(S1993=0,(365/0.5)*V1993,(365/S1993)*V1993))</f>
        <v/>
      </c>
      <c r="X1993" s="75" t="n"/>
      <c r="Y1993" s="77" t="n"/>
      <c r="Z1993" s="77" t="n"/>
      <c r="AA1993" s="75" t="n"/>
      <c r="AB1993" s="75" t="n"/>
      <c r="AC1993" s="6" t="n"/>
      <c r="AD1993" s="75" t="n"/>
      <c r="AE1993" s="75" t="n"/>
      <c r="AF1993" s="75" t="n"/>
    </row>
    <row r="1994" ht="15.75" customHeight="1" s="133">
      <c r="A1994" s="75" t="n"/>
      <c r="B1994" s="75" t="n"/>
      <c r="C1994" s="75" t="n"/>
      <c r="D1994" s="75" t="n"/>
      <c r="E1994" s="76" t="n"/>
      <c r="F1994" s="77" t="n"/>
      <c r="G1994" s="75" t="n"/>
      <c r="H1994" s="75">
        <f>IF(ISBLANK(E1994),"",IF(OR(D1994="Butterfly",D1994="Butterfly ",D1994="Iron Fly", D1994="Iron Fly "),LEN(E1994)-LEN(SUBSTITUTE(E1994,"/",""))+2,LEN(E1994)-LEN(SUBSTITUTE(E1994,"/",""))+1))</f>
        <v/>
      </c>
      <c r="I1994" s="78">
        <f>IF(ISBLANK(G1994),"",IF(D1994="Stock","0",Key!$A$3*H1994*G1994))</f>
        <v/>
      </c>
      <c r="J1994" s="78">
        <f>IF(ISBLANK(E1994),"",IF(ISNUMBER(SEARCH("/",E1994)), IF(LEN(E1994)-LEN(SUBSTITUTE(E1994,"/",""))=1,(RIGHT(E1994,LEN(E1994)-FIND("/",E1994)))-(LEFT(E1994,FIND("/",E1994)-1)),(MID(E1994, SEARCH("/",E1994) + 1, SEARCH("/",E1994, SEARCH("/",E1994)+1) - SEARCH("/",E1994) - 1))-(LEFT(E1994,FIND("/",E1994)-1))), "NA"))</f>
        <v/>
      </c>
      <c r="K1994" s="79">
        <f>IF(A1994&lt;&gt;"", IF(ISBLANK(L1994), TODAY(), K1994), "")</f>
        <v/>
      </c>
      <c r="L1994" s="78" t="n"/>
      <c r="M1994" s="78">
        <f>IF(ISBLANK(L1994),"",IF(D1994="Stock",IF(C1994="Buy",L1994*G1994,IF(C1994="Sell",(L1994*G1994)-I1994, X)),IF(C1994="Buy",(L1994*G1994*100)+I1994,IF(C1994="Sell",(L1994*G1994*100)-I1994, X))))</f>
        <v/>
      </c>
      <c r="N1994" s="78">
        <f>IF(ISBLANK(L1994),"",IF(AND(C1994="Sell",D1994="Stock"),M1994,IF(ISBLANK(L1994),"",IF(C1994="Buy",M1994, IF(AND(C1994="Sell",J1994="NA"),(E1994*G1994*100*0.1)+I1994, IF(C1994="Sell",(J1994-L1994)*(100*G1994)+I1994))))))</f>
        <v/>
      </c>
      <c r="O1994" s="75" t="n"/>
      <c r="P1994" s="75" t="n"/>
      <c r="Q1994" s="75">
        <f>IF(ISBLANK(P1994),"",IF(D1994="Stock",P1994*G1994,IF(P1994=0,"0",G1994*P1994*100-(G1994*$AF$14))))</f>
        <v/>
      </c>
      <c r="R1994" s="79">
        <f>IF(P1994&lt;&gt;"", TODAY(), "")</f>
        <v/>
      </c>
      <c r="S1994" s="78">
        <f>IF(AND(K1994&lt;&gt;"", R1994&lt;&gt;""), R1994-K1994, "")</f>
        <v/>
      </c>
      <c r="T1994" s="78" t="n"/>
      <c r="U1994" s="92">
        <f>IF(ISBLANK(P1994),"",IF(C1994="Buy",Q1994-M1994+T1994, IF(C1994="Sell",M1994-Q1994-T1994, X)))</f>
        <v/>
      </c>
      <c r="V1994" s="81">
        <f>IF(ISBLANK(P1994),"",U1994/N1994)</f>
        <v/>
      </c>
      <c r="W1994" s="81">
        <f>IF(ISBLANK(P1994),"",IF(S1994=0,(365/0.5)*V1994,(365/S1994)*V1994))</f>
        <v/>
      </c>
      <c r="X1994" s="75" t="n"/>
      <c r="Y1994" s="77" t="n"/>
      <c r="Z1994" s="77" t="n"/>
      <c r="AA1994" s="75" t="n"/>
      <c r="AB1994" s="75" t="n"/>
      <c r="AC1994" s="6" t="n"/>
      <c r="AD1994" s="75" t="n"/>
      <c r="AE1994" s="75" t="n"/>
      <c r="AF1994" s="75" t="n"/>
    </row>
    <row r="1995" ht="15.75" customHeight="1" s="133">
      <c r="A1995" s="75" t="n"/>
      <c r="B1995" s="75" t="n"/>
      <c r="C1995" s="75" t="n"/>
      <c r="D1995" s="75" t="n"/>
      <c r="E1995" s="76" t="n"/>
      <c r="F1995" s="77" t="n"/>
      <c r="G1995" s="75" t="n"/>
      <c r="H1995" s="75">
        <f>IF(ISBLANK(E1995),"",IF(OR(D1995="Butterfly",D1995="Butterfly ",D1995="Iron Fly", D1995="Iron Fly "),LEN(E1995)-LEN(SUBSTITUTE(E1995,"/",""))+2,LEN(E1995)-LEN(SUBSTITUTE(E1995,"/",""))+1))</f>
        <v/>
      </c>
      <c r="I1995" s="78">
        <f>IF(ISBLANK(G1995),"",IF(D1995="Stock","0",Key!$A$3*H1995*G1995))</f>
        <v/>
      </c>
      <c r="J1995" s="78">
        <f>IF(ISBLANK(E1995),"",IF(ISNUMBER(SEARCH("/",E1995)), IF(LEN(E1995)-LEN(SUBSTITUTE(E1995,"/",""))=1,(RIGHT(E1995,LEN(E1995)-FIND("/",E1995)))-(LEFT(E1995,FIND("/",E1995)-1)),(MID(E1995, SEARCH("/",E1995) + 1, SEARCH("/",E1995, SEARCH("/",E1995)+1) - SEARCH("/",E1995) - 1))-(LEFT(E1995,FIND("/",E1995)-1))), "NA"))</f>
        <v/>
      </c>
      <c r="K1995" s="79">
        <f>IF(A1995&lt;&gt;"", IF(ISBLANK(L1995), TODAY(), K1995), "")</f>
        <v/>
      </c>
      <c r="L1995" s="78" t="n"/>
      <c r="M1995" s="78">
        <f>IF(ISBLANK(L1995),"",IF(D1995="Stock",IF(C1995="Buy",L1995*G1995,IF(C1995="Sell",(L1995*G1995)-I1995, X)),IF(C1995="Buy",(L1995*G1995*100)+I1995,IF(C1995="Sell",(L1995*G1995*100)-I1995, X))))</f>
        <v/>
      </c>
      <c r="N1995" s="78">
        <f>IF(ISBLANK(L1995),"",IF(AND(C1995="Sell",D1995="Stock"),M1995,IF(ISBLANK(L1995),"",IF(C1995="Buy",M1995, IF(AND(C1995="Sell",J1995="NA"),(E1995*G1995*100*0.1)+I1995, IF(C1995="Sell",(J1995-L1995)*(100*G1995)+I1995))))))</f>
        <v/>
      </c>
      <c r="O1995" s="75" t="n"/>
      <c r="P1995" s="75" t="n"/>
      <c r="Q1995" s="75">
        <f>IF(ISBLANK(P1995),"",IF(D1995="Stock",P1995*G1995,IF(P1995=0,"0",G1995*P1995*100-(G1995*$AF$14))))</f>
        <v/>
      </c>
      <c r="R1995" s="79">
        <f>IF(P1995&lt;&gt;"", TODAY(), "")</f>
        <v/>
      </c>
      <c r="S1995" s="78">
        <f>IF(AND(K1995&lt;&gt;"", R1995&lt;&gt;""), R1995-K1995, "")</f>
        <v/>
      </c>
      <c r="T1995" s="78" t="n"/>
      <c r="U1995" s="92">
        <f>IF(ISBLANK(P1995),"",IF(C1995="Buy",Q1995-M1995+T1995, IF(C1995="Sell",M1995-Q1995-T1995, X)))</f>
        <v/>
      </c>
      <c r="V1995" s="81">
        <f>IF(ISBLANK(P1995),"",U1995/N1995)</f>
        <v/>
      </c>
      <c r="W1995" s="81">
        <f>IF(ISBLANK(P1995),"",IF(S1995=0,(365/0.5)*V1995,(365/S1995)*V1995))</f>
        <v/>
      </c>
      <c r="X1995" s="75" t="n"/>
      <c r="Y1995" s="77" t="n"/>
      <c r="Z1995" s="77" t="n"/>
      <c r="AA1995" s="75" t="n"/>
      <c r="AB1995" s="75" t="n"/>
      <c r="AC1995" s="6" t="n"/>
      <c r="AD1995" s="75" t="n"/>
      <c r="AE1995" s="75" t="n"/>
      <c r="AF1995" s="75" t="n"/>
    </row>
    <row r="1996" ht="15.75" customHeight="1" s="133">
      <c r="A1996" s="75" t="n"/>
      <c r="B1996" s="75" t="n"/>
      <c r="C1996" s="75" t="n"/>
      <c r="D1996" s="75" t="n"/>
      <c r="E1996" s="76" t="n"/>
      <c r="F1996" s="77" t="n"/>
      <c r="G1996" s="75" t="n"/>
      <c r="H1996" s="75">
        <f>IF(ISBLANK(E1996),"",IF(OR(D1996="Butterfly",D1996="Butterfly ",D1996="Iron Fly", D1996="Iron Fly "),LEN(E1996)-LEN(SUBSTITUTE(E1996,"/",""))+2,LEN(E1996)-LEN(SUBSTITUTE(E1996,"/",""))+1))</f>
        <v/>
      </c>
      <c r="I1996" s="78">
        <f>IF(ISBLANK(G1996),"",IF(D1996="Stock","0",Key!$A$3*H1996*G1996))</f>
        <v/>
      </c>
      <c r="J1996" s="78">
        <f>IF(ISBLANK(E1996),"",IF(ISNUMBER(SEARCH("/",E1996)), IF(LEN(E1996)-LEN(SUBSTITUTE(E1996,"/",""))=1,(RIGHT(E1996,LEN(E1996)-FIND("/",E1996)))-(LEFT(E1996,FIND("/",E1996)-1)),(MID(E1996, SEARCH("/",E1996) + 1, SEARCH("/",E1996, SEARCH("/",E1996)+1) - SEARCH("/",E1996) - 1))-(LEFT(E1996,FIND("/",E1996)-1))), "NA"))</f>
        <v/>
      </c>
      <c r="K1996" s="79">
        <f>IF(A1996&lt;&gt;"", IF(ISBLANK(L1996), TODAY(), K1996), "")</f>
        <v/>
      </c>
      <c r="L1996" s="78" t="n"/>
      <c r="M1996" s="78">
        <f>IF(ISBLANK(L1996),"",IF(D1996="Stock",IF(C1996="Buy",L1996*G1996,IF(C1996="Sell",(L1996*G1996)-I1996, X)),IF(C1996="Buy",(L1996*G1996*100)+I1996,IF(C1996="Sell",(L1996*G1996*100)-I1996, X))))</f>
        <v/>
      </c>
      <c r="N1996" s="78">
        <f>IF(ISBLANK(L1996),"",IF(AND(C1996="Sell",D1996="Stock"),M1996,IF(ISBLANK(L1996),"",IF(C1996="Buy",M1996, IF(AND(C1996="Sell",J1996="NA"),(E1996*G1996*100*0.1)+I1996, IF(C1996="Sell",(J1996-L1996)*(100*G1996)+I1996))))))</f>
        <v/>
      </c>
      <c r="O1996" s="75" t="n"/>
      <c r="P1996" s="75" t="n"/>
      <c r="Q1996" s="75">
        <f>IF(ISBLANK(P1996),"",IF(D1996="Stock",P1996*G1996,IF(P1996=0,"0",G1996*P1996*100-(G1996*$AF$14))))</f>
        <v/>
      </c>
      <c r="R1996" s="79">
        <f>IF(P1996&lt;&gt;"", TODAY(), "")</f>
        <v/>
      </c>
      <c r="S1996" s="78">
        <f>IF(AND(K1996&lt;&gt;"", R1996&lt;&gt;""), R1996-K1996, "")</f>
        <v/>
      </c>
      <c r="T1996" s="78" t="n"/>
      <c r="U1996" s="92">
        <f>IF(ISBLANK(P1996),"",IF(C1996="Buy",Q1996-M1996+T1996, IF(C1996="Sell",M1996-Q1996-T1996, X)))</f>
        <v/>
      </c>
      <c r="V1996" s="81">
        <f>IF(ISBLANK(P1996),"",U1996/N1996)</f>
        <v/>
      </c>
      <c r="W1996" s="81">
        <f>IF(ISBLANK(P1996),"",IF(S1996=0,(365/0.5)*V1996,(365/S1996)*V1996))</f>
        <v/>
      </c>
      <c r="X1996" s="75" t="n"/>
      <c r="Y1996" s="77" t="n"/>
      <c r="Z1996" s="77" t="n"/>
      <c r="AA1996" s="75" t="n"/>
      <c r="AB1996" s="75" t="n"/>
      <c r="AC1996" s="6" t="n"/>
      <c r="AD1996" s="75" t="n"/>
      <c r="AE1996" s="75" t="n"/>
      <c r="AF1996" s="75" t="n"/>
    </row>
    <row r="1997" ht="15.75" customHeight="1" s="133">
      <c r="A1997" s="75" t="n"/>
      <c r="B1997" s="75" t="n"/>
      <c r="C1997" s="75" t="n"/>
      <c r="D1997" s="75" t="n"/>
      <c r="E1997" s="76" t="n"/>
      <c r="F1997" s="77" t="n"/>
      <c r="G1997" s="75" t="n"/>
      <c r="H1997" s="75">
        <f>IF(ISBLANK(E1997),"",IF(OR(D1997="Butterfly",D1997="Butterfly ",D1997="Iron Fly", D1997="Iron Fly "),LEN(E1997)-LEN(SUBSTITUTE(E1997,"/",""))+2,LEN(E1997)-LEN(SUBSTITUTE(E1997,"/",""))+1))</f>
        <v/>
      </c>
      <c r="I1997" s="78">
        <f>IF(ISBLANK(G1997),"",IF(D1997="Stock","0",Key!$A$3*H1997*G1997))</f>
        <v/>
      </c>
      <c r="J1997" s="78">
        <f>IF(ISBLANK(E1997),"",IF(ISNUMBER(SEARCH("/",E1997)), IF(LEN(E1997)-LEN(SUBSTITUTE(E1997,"/",""))=1,(RIGHT(E1997,LEN(E1997)-FIND("/",E1997)))-(LEFT(E1997,FIND("/",E1997)-1)),(MID(E1997, SEARCH("/",E1997) + 1, SEARCH("/",E1997, SEARCH("/",E1997)+1) - SEARCH("/",E1997) - 1))-(LEFT(E1997,FIND("/",E1997)-1))), "NA"))</f>
        <v/>
      </c>
      <c r="K1997" s="79">
        <f>IF(A1997&lt;&gt;"", IF(ISBLANK(L1997), TODAY(), K1997), "")</f>
        <v/>
      </c>
      <c r="L1997" s="78" t="n"/>
      <c r="M1997" s="78">
        <f>IF(ISBLANK(L1997),"",IF(D1997="Stock",IF(C1997="Buy",L1997*G1997,IF(C1997="Sell",(L1997*G1997)-I1997, X)),IF(C1997="Buy",(L1997*G1997*100)+I1997,IF(C1997="Sell",(L1997*G1997*100)-I1997, X))))</f>
        <v/>
      </c>
      <c r="N1997" s="78">
        <f>IF(ISBLANK(L1997),"",IF(AND(C1997="Sell",D1997="Stock"),M1997,IF(ISBLANK(L1997),"",IF(C1997="Buy",M1997, IF(AND(C1997="Sell",J1997="NA"),(E1997*G1997*100*0.1)+I1997, IF(C1997="Sell",(J1997-L1997)*(100*G1997)+I1997))))))</f>
        <v/>
      </c>
      <c r="O1997" s="75" t="n"/>
      <c r="P1997" s="75" t="n"/>
      <c r="Q1997" s="75">
        <f>IF(ISBLANK(P1997),"",IF(D1997="Stock",P1997*G1997,IF(P1997=0,"0",G1997*P1997*100-(G1997*$AF$14))))</f>
        <v/>
      </c>
      <c r="R1997" s="79">
        <f>IF(P1997&lt;&gt;"", TODAY(), "")</f>
        <v/>
      </c>
      <c r="S1997" s="78">
        <f>IF(AND(K1997&lt;&gt;"", R1997&lt;&gt;""), R1997-K1997, "")</f>
        <v/>
      </c>
      <c r="T1997" s="78" t="n"/>
      <c r="U1997" s="92">
        <f>IF(ISBLANK(P1997),"",IF(C1997="Buy",Q1997-M1997+T1997, IF(C1997="Sell",M1997-Q1997-T1997, X)))</f>
        <v/>
      </c>
      <c r="V1997" s="81">
        <f>IF(ISBLANK(P1997),"",U1997/N1997)</f>
        <v/>
      </c>
      <c r="W1997" s="81">
        <f>IF(ISBLANK(P1997),"",IF(S1997=0,(365/0.5)*V1997,(365/S1997)*V1997))</f>
        <v/>
      </c>
      <c r="X1997" s="75" t="n"/>
      <c r="Y1997" s="77" t="n"/>
      <c r="Z1997" s="77" t="n"/>
      <c r="AA1997" s="75" t="n"/>
      <c r="AB1997" s="75" t="n"/>
      <c r="AC1997" s="6" t="n"/>
      <c r="AD1997" s="75" t="n"/>
      <c r="AE1997" s="75" t="n"/>
      <c r="AF1997" s="75" t="n"/>
    </row>
    <row r="1998" ht="15.75" customHeight="1" s="133">
      <c r="A1998" s="75" t="n"/>
      <c r="B1998" s="75" t="n"/>
      <c r="C1998" s="75" t="n"/>
      <c r="D1998" s="75" t="n"/>
      <c r="E1998" s="76" t="n"/>
      <c r="F1998" s="77" t="n"/>
      <c r="G1998" s="75" t="n"/>
      <c r="H1998" s="75">
        <f>IF(ISBLANK(E1998),"",IF(OR(D1998="Butterfly",D1998="Butterfly ",D1998="Iron Fly", D1998="Iron Fly "),LEN(E1998)-LEN(SUBSTITUTE(E1998,"/",""))+2,LEN(E1998)-LEN(SUBSTITUTE(E1998,"/",""))+1))</f>
        <v/>
      </c>
      <c r="I1998" s="78">
        <f>IF(ISBLANK(G1998),"",IF(D1998="Stock","0",Key!$A$3*H1998*G1998))</f>
        <v/>
      </c>
      <c r="J1998" s="78">
        <f>IF(ISBLANK(E1998),"",IF(ISNUMBER(SEARCH("/",E1998)), IF(LEN(E1998)-LEN(SUBSTITUTE(E1998,"/",""))=1,(RIGHT(E1998,LEN(E1998)-FIND("/",E1998)))-(LEFT(E1998,FIND("/",E1998)-1)),(MID(E1998, SEARCH("/",E1998) + 1, SEARCH("/",E1998, SEARCH("/",E1998)+1) - SEARCH("/",E1998) - 1))-(LEFT(E1998,FIND("/",E1998)-1))), "NA"))</f>
        <v/>
      </c>
      <c r="K1998" s="79">
        <f>IF(A1998&lt;&gt;"", IF(ISBLANK(L1998), TODAY(), K1998), "")</f>
        <v/>
      </c>
      <c r="L1998" s="78" t="n"/>
      <c r="M1998" s="78">
        <f>IF(ISBLANK(L1998),"",IF(D1998="Stock",IF(C1998="Buy",L1998*G1998,IF(C1998="Sell",(L1998*G1998)-I1998, X)),IF(C1998="Buy",(L1998*G1998*100)+I1998,IF(C1998="Sell",(L1998*G1998*100)-I1998, X))))</f>
        <v/>
      </c>
      <c r="N1998" s="78">
        <f>IF(ISBLANK(L1998),"",IF(AND(C1998="Sell",D1998="Stock"),M1998,IF(ISBLANK(L1998),"",IF(C1998="Buy",M1998, IF(AND(C1998="Sell",J1998="NA"),(E1998*G1998*100*0.1)+I1998, IF(C1998="Sell",(J1998-L1998)*(100*G1998)+I1998))))))</f>
        <v/>
      </c>
      <c r="O1998" s="75" t="n"/>
      <c r="P1998" s="75" t="n"/>
      <c r="Q1998" s="75">
        <f>IF(ISBLANK(P1998),"",IF(D1998="Stock",P1998*G1998,IF(P1998=0,"0",G1998*P1998*100-(G1998*$AF$14))))</f>
        <v/>
      </c>
      <c r="R1998" s="79">
        <f>IF(P1998&lt;&gt;"", TODAY(), "")</f>
        <v/>
      </c>
      <c r="S1998" s="78">
        <f>IF(AND(K1998&lt;&gt;"", R1998&lt;&gt;""), R1998-K1998, "")</f>
        <v/>
      </c>
      <c r="T1998" s="78" t="n"/>
      <c r="U1998" s="92">
        <f>IF(ISBLANK(P1998),"",IF(C1998="Buy",Q1998-M1998+T1998, IF(C1998="Sell",M1998-Q1998-T1998, X)))</f>
        <v/>
      </c>
      <c r="V1998" s="81">
        <f>IF(ISBLANK(P1998),"",U1998/N1998)</f>
        <v/>
      </c>
      <c r="W1998" s="81">
        <f>IF(ISBLANK(P1998),"",IF(S1998=0,(365/0.5)*V1998,(365/S1998)*V1998))</f>
        <v/>
      </c>
      <c r="X1998" s="75" t="n"/>
      <c r="Y1998" s="77" t="n"/>
      <c r="Z1998" s="77" t="n"/>
      <c r="AA1998" s="75" t="n"/>
      <c r="AB1998" s="75" t="n"/>
      <c r="AC1998" s="6" t="n"/>
      <c r="AD1998" s="75" t="n"/>
      <c r="AE1998" s="75" t="n"/>
      <c r="AF1998" s="75" t="n"/>
    </row>
    <row r="1999" ht="15.75" customHeight="1" s="133">
      <c r="A1999" s="75" t="n"/>
      <c r="B1999" s="75" t="n"/>
      <c r="C1999" s="75" t="n"/>
      <c r="D1999" s="75" t="n"/>
      <c r="E1999" s="76" t="n"/>
      <c r="F1999" s="77" t="n"/>
      <c r="G1999" s="75" t="n"/>
      <c r="H1999" s="75">
        <f>IF(ISBLANK(E1999),"",IF(OR(D1999="Butterfly",D1999="Butterfly ",D1999="Iron Fly", D1999="Iron Fly "),LEN(E1999)-LEN(SUBSTITUTE(E1999,"/",""))+2,LEN(E1999)-LEN(SUBSTITUTE(E1999,"/",""))+1))</f>
        <v/>
      </c>
      <c r="I1999" s="78">
        <f>IF(ISBLANK(G1999),"",IF(D1999="Stock","0",Key!$A$3*H1999*G1999))</f>
        <v/>
      </c>
      <c r="J1999" s="78">
        <f>IF(ISBLANK(E1999),"",IF(ISNUMBER(SEARCH("/",E1999)), IF(LEN(E1999)-LEN(SUBSTITUTE(E1999,"/",""))=1,(RIGHT(E1999,LEN(E1999)-FIND("/",E1999)))-(LEFT(E1999,FIND("/",E1999)-1)),(MID(E1999, SEARCH("/",E1999) + 1, SEARCH("/",E1999, SEARCH("/",E1999)+1) - SEARCH("/",E1999) - 1))-(LEFT(E1999,FIND("/",E1999)-1))), "NA"))</f>
        <v/>
      </c>
      <c r="K1999" s="79">
        <f>IF(A1999&lt;&gt;"", IF(ISBLANK(L1999), TODAY(), K1999), "")</f>
        <v/>
      </c>
      <c r="L1999" s="78" t="n"/>
      <c r="M1999" s="78">
        <f>IF(ISBLANK(L1999),"",IF(D1999="Stock",IF(C1999="Buy",L1999*G1999,IF(C1999="Sell",(L1999*G1999)-I1999, X)),IF(C1999="Buy",(L1999*G1999*100)+I1999,IF(C1999="Sell",(L1999*G1999*100)-I1999, X))))</f>
        <v/>
      </c>
      <c r="N1999" s="78">
        <f>IF(ISBLANK(L1999),"",IF(AND(C1999="Sell",D1999="Stock"),M1999,IF(ISBLANK(L1999),"",IF(C1999="Buy",M1999, IF(AND(C1999="Sell",J1999="NA"),(E1999*G1999*100*0.1)+I1999, IF(C1999="Sell",(J1999-L1999)*(100*G1999)+I1999))))))</f>
        <v/>
      </c>
      <c r="O1999" s="75" t="n"/>
      <c r="P1999" s="75" t="n"/>
      <c r="Q1999" s="75">
        <f>IF(ISBLANK(P1999),"",IF(D1999="Stock",P1999*G1999,IF(P1999=0,"0",G1999*P1999*100-(G1999*$AF$14))))</f>
        <v/>
      </c>
      <c r="R1999" s="79">
        <f>IF(P1999&lt;&gt;"", TODAY(), "")</f>
        <v/>
      </c>
      <c r="S1999" s="78">
        <f>IF(AND(K1999&lt;&gt;"", R1999&lt;&gt;""), R1999-K1999, "")</f>
        <v/>
      </c>
      <c r="T1999" s="78" t="n"/>
      <c r="U1999" s="92">
        <f>IF(ISBLANK(P1999),"",IF(C1999="Buy",Q1999-M1999+T1999, IF(C1999="Sell",M1999-Q1999-T1999, X)))</f>
        <v/>
      </c>
      <c r="V1999" s="81">
        <f>IF(ISBLANK(P1999),"",U1999/N1999)</f>
        <v/>
      </c>
      <c r="W1999" s="81">
        <f>IF(ISBLANK(P1999),"",IF(S1999=0,(365/0.5)*V1999,(365/S1999)*V1999))</f>
        <v/>
      </c>
      <c r="X1999" s="75" t="n"/>
      <c r="Y1999" s="77" t="n"/>
      <c r="Z1999" s="77" t="n"/>
      <c r="AA1999" s="75" t="n"/>
      <c r="AB1999" s="75" t="n"/>
      <c r="AC1999" s="6" t="n"/>
      <c r="AD1999" s="75" t="n"/>
      <c r="AE1999" s="75" t="n"/>
      <c r="AF1999" s="75" t="n"/>
    </row>
    <row r="2000" ht="15.75" customHeight="1" s="133">
      <c r="A2000" s="75" t="n"/>
      <c r="B2000" s="75" t="n"/>
      <c r="C2000" s="75" t="n"/>
      <c r="D2000" s="75" t="n"/>
      <c r="E2000" s="76" t="n"/>
      <c r="F2000" s="77" t="n"/>
      <c r="G2000" s="75" t="n"/>
      <c r="H2000" s="75">
        <f>IF(ISBLANK(E2000),"",IF(OR(D2000="Butterfly",D2000="Butterfly ",D2000="Iron Fly", D2000="Iron Fly "),LEN(E2000)-LEN(SUBSTITUTE(E2000,"/",""))+2,LEN(E2000)-LEN(SUBSTITUTE(E2000,"/",""))+1))</f>
        <v/>
      </c>
      <c r="I2000" s="78">
        <f>IF(ISBLANK(G2000),"",IF(D2000="Stock","0",Key!$A$3*H2000*G2000))</f>
        <v/>
      </c>
      <c r="J2000" s="78">
        <f>IF(ISBLANK(E2000),"",IF(ISNUMBER(SEARCH("/",E2000)), IF(LEN(E2000)-LEN(SUBSTITUTE(E2000,"/",""))=1,(RIGHT(E2000,LEN(E2000)-FIND("/",E2000)))-(LEFT(E2000,FIND("/",E2000)-1)),(MID(E2000, SEARCH("/",E2000) + 1, SEARCH("/",E2000, SEARCH("/",E2000)+1) - SEARCH("/",E2000) - 1))-(LEFT(E2000,FIND("/",E2000)-1))), "NA"))</f>
        <v/>
      </c>
      <c r="K2000" s="79">
        <f>IF(A2000&lt;&gt;"", IF(ISBLANK(L2000), TODAY(), K2000), "")</f>
        <v/>
      </c>
      <c r="L2000" s="78" t="n"/>
      <c r="M2000" s="78">
        <f>IF(ISBLANK(L2000),"",IF(D2000="Stock",IF(C2000="Buy",L2000*G2000,IF(C2000="Sell",(L2000*G2000)-I2000, X)),IF(C2000="Buy",(L2000*G2000*100)+I2000,IF(C2000="Sell",(L2000*G2000*100)-I2000, X))))</f>
        <v/>
      </c>
      <c r="N2000" s="78">
        <f>IF(ISBLANK(L2000),"",IF(AND(C2000="Sell",D2000="Stock"),M2000,IF(ISBLANK(L2000),"",IF(C2000="Buy",M2000, IF(AND(C2000="Sell",J2000="NA"),(E2000*G2000*100*0.1)+I2000, IF(C2000="Sell",(J2000-L2000)*(100*G2000)+I2000))))))</f>
        <v/>
      </c>
      <c r="O2000" s="75" t="n"/>
      <c r="P2000" s="75" t="n"/>
      <c r="Q2000" s="75">
        <f>IF(ISBLANK(P2000),"",IF(D2000="Stock",P2000*G2000,IF(P2000=0,"0",G2000*P2000*100-(G2000*$AF$14))))</f>
        <v/>
      </c>
      <c r="R2000" s="79">
        <f>IF(P2000&lt;&gt;"", TODAY(), "")</f>
        <v/>
      </c>
      <c r="S2000" s="78">
        <f>IF(AND(K2000&lt;&gt;"", R2000&lt;&gt;""), R2000-K2000, "")</f>
        <v/>
      </c>
      <c r="T2000" s="78" t="n"/>
      <c r="U2000" s="92">
        <f>IF(ISBLANK(P2000),"",IF(C2000="Buy",Q2000-M2000+T2000, IF(C2000="Sell",M2000-Q2000-T2000, X)))</f>
        <v/>
      </c>
      <c r="V2000" s="81">
        <f>IF(ISBLANK(P2000),"",U2000/N2000)</f>
        <v/>
      </c>
      <c r="W2000" s="81">
        <f>IF(ISBLANK(P2000),"",IF(S2000=0,(365/0.5)*V2000,(365/S2000)*V2000))</f>
        <v/>
      </c>
      <c r="X2000" s="75" t="n"/>
      <c r="Y2000" s="77" t="n"/>
      <c r="Z2000" s="77" t="n"/>
      <c r="AA2000" s="75" t="n"/>
      <c r="AB2000" s="75" t="n"/>
      <c r="AC2000" s="6" t="n"/>
      <c r="AD2000" s="75" t="n"/>
      <c r="AE2000" s="75" t="n"/>
      <c r="AF2000" s="75" t="n"/>
    </row>
    <row r="2001" ht="15.75" customHeight="1" s="133">
      <c r="A2001" s="75" t="n"/>
      <c r="B2001" s="75" t="n"/>
      <c r="C2001" s="75" t="n"/>
      <c r="D2001" s="75" t="n"/>
      <c r="E2001" s="76" t="n"/>
      <c r="F2001" s="77" t="n"/>
      <c r="G2001" s="75" t="n"/>
      <c r="H2001" s="75">
        <f>IF(ISBLANK(E2001),"",IF(OR(D2001="Butterfly",D2001="Butterfly ",D2001="Iron Fly", D2001="Iron Fly "),LEN(E2001)-LEN(SUBSTITUTE(E2001,"/",""))+2,LEN(E2001)-LEN(SUBSTITUTE(E2001,"/",""))+1))</f>
        <v/>
      </c>
      <c r="I2001" s="78">
        <f>IF(ISBLANK(G2001),"",IF(D2001="Stock","0",Key!$A$3*H2001*G2001))</f>
        <v/>
      </c>
      <c r="J2001" s="78">
        <f>IF(ISBLANK(E2001),"",IF(ISNUMBER(SEARCH("/",E2001)), IF(LEN(E2001)-LEN(SUBSTITUTE(E2001,"/",""))=1,(RIGHT(E2001,LEN(E2001)-FIND("/",E2001)))-(LEFT(E2001,FIND("/",E2001)-1)),(MID(E2001, SEARCH("/",E2001) + 1, SEARCH("/",E2001, SEARCH("/",E2001)+1) - SEARCH("/",E2001) - 1))-(LEFT(E2001,FIND("/",E2001)-1))), "NA"))</f>
        <v/>
      </c>
      <c r="K2001" s="79">
        <f>IF(A2001&lt;&gt;"", IF(ISBLANK(L2001), TODAY(), K2001), "")</f>
        <v/>
      </c>
      <c r="L2001" s="78" t="n"/>
      <c r="M2001" s="78">
        <f>IF(ISBLANK(L2001),"",IF(D2001="Stock",IF(C2001="Buy",L2001*G2001,IF(C2001="Sell",(L2001*G2001)-I2001, X)),IF(C2001="Buy",(L2001*G2001*100)+I2001,IF(C2001="Sell",(L2001*G2001*100)-I2001, X))))</f>
        <v/>
      </c>
      <c r="N2001" s="78">
        <f>IF(ISBLANK(L2001),"",IF(AND(C2001="Sell",D2001="Stock"),M2001,IF(ISBLANK(L2001),"",IF(C2001="Buy",M2001, IF(AND(C2001="Sell",J2001="NA"),(E2001*G2001*100*0.1)+I2001, IF(C2001="Sell",(J2001-L2001)*(100*G2001)+I2001))))))</f>
        <v/>
      </c>
      <c r="O2001" s="75" t="n"/>
      <c r="P2001" s="75" t="n"/>
      <c r="Q2001" s="75">
        <f>IF(ISBLANK(P2001),"",IF(D2001="Stock",P2001*G2001,IF(P2001=0,"0",G2001*P2001*100-(G2001*$AF$14))))</f>
        <v/>
      </c>
      <c r="R2001" s="79">
        <f>IF(P2001&lt;&gt;"", TODAY(), "")</f>
        <v/>
      </c>
      <c r="S2001" s="78">
        <f>IF(AND(K2001&lt;&gt;"", R2001&lt;&gt;""), R2001-K2001, "")</f>
        <v/>
      </c>
      <c r="T2001" s="78" t="n"/>
      <c r="U2001" s="92">
        <f>IF(ISBLANK(P2001),"",IF(C2001="Buy",Q2001-M2001+T2001, IF(C2001="Sell",M2001-Q2001-T2001, X)))</f>
        <v/>
      </c>
      <c r="V2001" s="81">
        <f>IF(ISBLANK(P2001),"",U2001/N2001)</f>
        <v/>
      </c>
      <c r="W2001" s="81">
        <f>IF(ISBLANK(P2001),"",IF(S2001=0,(365/0.5)*V2001,(365/S2001)*V2001))</f>
        <v/>
      </c>
      <c r="X2001" s="75" t="n"/>
      <c r="Y2001" s="77" t="n"/>
      <c r="Z2001" s="77" t="n"/>
      <c r="AA2001" s="75" t="n"/>
      <c r="AB2001" s="75" t="n"/>
      <c r="AC2001" s="6" t="n"/>
      <c r="AD2001" s="75" t="n"/>
      <c r="AE2001" s="75" t="n"/>
      <c r="AF2001" s="75" t="n"/>
    </row>
    <row r="2002" ht="15.75" customHeight="1" s="133">
      <c r="A2002" s="75" t="n"/>
      <c r="B2002" s="75" t="n"/>
      <c r="C2002" s="75" t="n"/>
      <c r="D2002" s="75" t="n"/>
      <c r="E2002" s="76" t="n"/>
      <c r="F2002" s="77" t="n"/>
      <c r="G2002" s="75" t="n"/>
      <c r="H2002" s="75">
        <f>IF(ISBLANK(E2002),"",IF(OR(D2002="Butterfly",D2002="Butterfly ",D2002="Iron Fly", D2002="Iron Fly "),LEN(E2002)-LEN(SUBSTITUTE(E2002,"/",""))+2,LEN(E2002)-LEN(SUBSTITUTE(E2002,"/",""))+1))</f>
        <v/>
      </c>
      <c r="I2002" s="78">
        <f>IF(ISBLANK(G2002),"",IF(D2002="Stock","0",Key!$A$3*H2002*G2002))</f>
        <v/>
      </c>
      <c r="J2002" s="78">
        <f>IF(ISBLANK(E2002),"",IF(ISNUMBER(SEARCH("/",E2002)), IF(LEN(E2002)-LEN(SUBSTITUTE(E2002,"/",""))=1,(RIGHT(E2002,LEN(E2002)-FIND("/",E2002)))-(LEFT(E2002,FIND("/",E2002)-1)),(MID(E2002, SEARCH("/",E2002) + 1, SEARCH("/",E2002, SEARCH("/",E2002)+1) - SEARCH("/",E2002) - 1))-(LEFT(E2002,FIND("/",E2002)-1))), "NA"))</f>
        <v/>
      </c>
      <c r="K2002" s="79">
        <f>IF(A2002&lt;&gt;"", IF(ISBLANK(L2002), TODAY(), K2002), "")</f>
        <v/>
      </c>
      <c r="L2002" s="78" t="n"/>
      <c r="M2002" s="78">
        <f>IF(ISBLANK(L2002),"",IF(D2002="Stock",IF(C2002="Buy",L2002*G2002,IF(C2002="Sell",(L2002*G2002)-I2002, X)),IF(C2002="Buy",(L2002*G2002*100)+I2002,IF(C2002="Sell",(L2002*G2002*100)-I2002, X))))</f>
        <v/>
      </c>
      <c r="N2002" s="78">
        <f>IF(ISBLANK(L2002),"",IF(AND(C2002="Sell",D2002="Stock"),M2002,IF(ISBLANK(L2002),"",IF(C2002="Buy",M2002, IF(AND(C2002="Sell",J2002="NA"),(E2002*G2002*100*0.1)+I2002, IF(C2002="Sell",(J2002-L2002)*(100*G2002)+I2002))))))</f>
        <v/>
      </c>
      <c r="O2002" s="75" t="n"/>
      <c r="P2002" s="75" t="n"/>
      <c r="Q2002" s="75">
        <f>IF(ISBLANK(P2002),"",IF(D2002="Stock",P2002*G2002,IF(P2002=0,"0",G2002*P2002*100-(G2002*$AF$14))))</f>
        <v/>
      </c>
      <c r="R2002" s="79">
        <f>IF(P2002&lt;&gt;"", TODAY(), "")</f>
        <v/>
      </c>
      <c r="S2002" s="78">
        <f>IF(AND(K2002&lt;&gt;"", R2002&lt;&gt;""), R2002-K2002, "")</f>
        <v/>
      </c>
      <c r="T2002" s="78" t="n"/>
      <c r="U2002" s="92">
        <f>IF(ISBLANK(P2002),"",IF(C2002="Buy",Q2002-M2002+T2002, IF(C2002="Sell",M2002-Q2002-T2002, X)))</f>
        <v/>
      </c>
      <c r="V2002" s="81">
        <f>IF(ISBLANK(P2002),"",U2002/N2002)</f>
        <v/>
      </c>
      <c r="W2002" s="81">
        <f>IF(ISBLANK(P2002),"",IF(S2002=0,(365/0.5)*V2002,(365/S2002)*V2002))</f>
        <v/>
      </c>
      <c r="X2002" s="75" t="n"/>
      <c r="Y2002" s="77" t="n"/>
      <c r="Z2002" s="77" t="n"/>
      <c r="AA2002" s="75" t="n"/>
      <c r="AB2002" s="75" t="n"/>
      <c r="AC2002" s="6" t="n"/>
      <c r="AD2002" s="75" t="n"/>
      <c r="AE2002" s="75" t="n"/>
      <c r="AF2002" s="75" t="n"/>
    </row>
    <row r="2003" ht="15.75" customHeight="1" s="133">
      <c r="A2003" s="75" t="n"/>
      <c r="B2003" s="75" t="n"/>
      <c r="C2003" s="75" t="n"/>
      <c r="D2003" s="75" t="n"/>
      <c r="E2003" s="76" t="n"/>
      <c r="F2003" s="77" t="n"/>
      <c r="G2003" s="75" t="n"/>
      <c r="H2003" s="75">
        <f>IF(ISBLANK(E2003),"",IF(OR(D2003="Butterfly",D2003="Butterfly ",D2003="Iron Fly", D2003="Iron Fly "),LEN(E2003)-LEN(SUBSTITUTE(E2003,"/",""))+2,LEN(E2003)-LEN(SUBSTITUTE(E2003,"/",""))+1))</f>
        <v/>
      </c>
      <c r="I2003" s="78">
        <f>IF(ISBLANK(G2003),"",IF(D2003="Stock","0",Key!$A$3*H2003*G2003))</f>
        <v/>
      </c>
      <c r="J2003" s="78">
        <f>IF(ISBLANK(E2003),"",IF(ISNUMBER(SEARCH("/",E2003)), IF(LEN(E2003)-LEN(SUBSTITUTE(E2003,"/",""))=1,(RIGHT(E2003,LEN(E2003)-FIND("/",E2003)))-(LEFT(E2003,FIND("/",E2003)-1)),(MID(E2003, SEARCH("/",E2003) + 1, SEARCH("/",E2003, SEARCH("/",E2003)+1) - SEARCH("/",E2003) - 1))-(LEFT(E2003,FIND("/",E2003)-1))), "NA"))</f>
        <v/>
      </c>
      <c r="K2003" s="79">
        <f>IF(A2003&lt;&gt;"", IF(ISBLANK(L2003), TODAY(), K2003), "")</f>
        <v/>
      </c>
      <c r="L2003" s="78" t="n"/>
      <c r="M2003" s="78">
        <f>IF(ISBLANK(L2003),"",IF(D2003="Stock",IF(C2003="Buy",L2003*G2003,IF(C2003="Sell",(L2003*G2003)-I2003, X)),IF(C2003="Buy",(L2003*G2003*100)+I2003,IF(C2003="Sell",(L2003*G2003*100)-I2003, X))))</f>
        <v/>
      </c>
      <c r="N2003" s="78">
        <f>IF(ISBLANK(L2003),"",IF(AND(C2003="Sell",D2003="Stock"),M2003,IF(ISBLANK(L2003),"",IF(C2003="Buy",M2003, IF(AND(C2003="Sell",J2003="NA"),(E2003*G2003*100*0.1)+I2003, IF(C2003="Sell",(J2003-L2003)*(100*G2003)+I2003))))))</f>
        <v/>
      </c>
      <c r="O2003" s="75" t="n"/>
      <c r="P2003" s="75" t="n"/>
      <c r="Q2003" s="75">
        <f>IF(ISBLANK(P2003),"",IF(D2003="Stock",P2003*G2003,IF(P2003=0,"0",G2003*P2003*100-(G2003*$AF$14))))</f>
        <v/>
      </c>
      <c r="R2003" s="79">
        <f>IF(P2003&lt;&gt;"", TODAY(), "")</f>
        <v/>
      </c>
      <c r="S2003" s="78">
        <f>IF(AND(K2003&lt;&gt;"", R2003&lt;&gt;""), R2003-K2003, "")</f>
        <v/>
      </c>
      <c r="T2003" s="78" t="n"/>
      <c r="U2003" s="92">
        <f>IF(ISBLANK(P2003),"",IF(C2003="Buy",Q2003-M2003+T2003, IF(C2003="Sell",M2003-Q2003-T2003, X)))</f>
        <v/>
      </c>
      <c r="V2003" s="81">
        <f>IF(ISBLANK(P2003),"",U2003/N2003)</f>
        <v/>
      </c>
      <c r="W2003" s="81">
        <f>IF(ISBLANK(P2003),"",IF(S2003=0,(365/0.5)*V2003,(365/S2003)*V2003))</f>
        <v/>
      </c>
      <c r="X2003" s="75" t="n"/>
      <c r="Y2003" s="77" t="n"/>
      <c r="Z2003" s="77" t="n"/>
      <c r="AA2003" s="75" t="n"/>
      <c r="AB2003" s="75" t="n"/>
      <c r="AC2003" s="6" t="n"/>
      <c r="AD2003" s="75" t="n"/>
      <c r="AE2003" s="75" t="n"/>
      <c r="AF2003" s="75" t="n"/>
    </row>
    <row r="2004" ht="15.75" customHeight="1" s="133">
      <c r="A2004" s="75" t="n"/>
      <c r="B2004" s="75" t="n"/>
      <c r="C2004" s="75" t="n"/>
      <c r="D2004" s="75" t="n"/>
      <c r="E2004" s="76" t="n"/>
      <c r="F2004" s="77" t="n"/>
      <c r="G2004" s="75" t="n"/>
      <c r="H2004" s="75">
        <f>IF(ISBLANK(E2004),"",IF(OR(D2004="Butterfly",D2004="Butterfly ",D2004="Iron Fly", D2004="Iron Fly "),LEN(E2004)-LEN(SUBSTITUTE(E2004,"/",""))+2,LEN(E2004)-LEN(SUBSTITUTE(E2004,"/",""))+1))</f>
        <v/>
      </c>
      <c r="I2004" s="78">
        <f>IF(ISBLANK(G2004),"",IF(D2004="Stock","0",Key!$A$3*H2004*G2004))</f>
        <v/>
      </c>
      <c r="J2004" s="78">
        <f>IF(ISBLANK(E2004),"",IF(ISNUMBER(SEARCH("/",E2004)), IF(LEN(E2004)-LEN(SUBSTITUTE(E2004,"/",""))=1,(RIGHT(E2004,LEN(E2004)-FIND("/",E2004)))-(LEFT(E2004,FIND("/",E2004)-1)),(MID(E2004, SEARCH("/",E2004) + 1, SEARCH("/",E2004, SEARCH("/",E2004)+1) - SEARCH("/",E2004) - 1))-(LEFT(E2004,FIND("/",E2004)-1))), "NA"))</f>
        <v/>
      </c>
      <c r="K2004" s="79">
        <f>IF(A2004&lt;&gt;"", IF(ISBLANK(L2004), TODAY(), K2004), "")</f>
        <v/>
      </c>
      <c r="L2004" s="78" t="n"/>
      <c r="M2004" s="78">
        <f>IF(ISBLANK(L2004),"",IF(D2004="Stock",IF(C2004="Buy",L2004*G2004,IF(C2004="Sell",(L2004*G2004)-I2004, X)),IF(C2004="Buy",(L2004*G2004*100)+I2004,IF(C2004="Sell",(L2004*G2004*100)-I2004, X))))</f>
        <v/>
      </c>
      <c r="N2004" s="78">
        <f>IF(ISBLANK(L2004),"",IF(AND(C2004="Sell",D2004="Stock"),M2004,IF(ISBLANK(L2004),"",IF(C2004="Buy",M2004, IF(AND(C2004="Sell",J2004="NA"),(E2004*G2004*100*0.1)+I2004, IF(C2004="Sell",(J2004-L2004)*(100*G2004)+I2004))))))</f>
        <v/>
      </c>
      <c r="O2004" s="75" t="n"/>
      <c r="P2004" s="75" t="n"/>
      <c r="Q2004" s="75">
        <f>IF(ISBLANK(P2004),"",IF(D2004="Stock",P2004*G2004,IF(P2004=0,"0",G2004*P2004*100-(G2004*$AF$14))))</f>
        <v/>
      </c>
      <c r="R2004" s="79">
        <f>IF(P2004&lt;&gt;"", TODAY(), "")</f>
        <v/>
      </c>
      <c r="S2004" s="78">
        <f>IF(AND(K2004&lt;&gt;"", R2004&lt;&gt;""), R2004-K2004, "")</f>
        <v/>
      </c>
      <c r="T2004" s="78" t="n"/>
      <c r="U2004" s="92">
        <f>IF(ISBLANK(P2004),"",IF(C2004="Buy",Q2004-M2004+T2004, IF(C2004="Sell",M2004-Q2004-T2004, X)))</f>
        <v/>
      </c>
      <c r="V2004" s="81">
        <f>IF(ISBLANK(P2004),"",U2004/N2004)</f>
        <v/>
      </c>
      <c r="W2004" s="81">
        <f>IF(ISBLANK(P2004),"",IF(S2004=0,(365/0.5)*V2004,(365/S2004)*V2004))</f>
        <v/>
      </c>
      <c r="X2004" s="75" t="n"/>
      <c r="Y2004" s="77" t="n"/>
      <c r="Z2004" s="77" t="n"/>
      <c r="AA2004" s="75" t="n"/>
      <c r="AB2004" s="75" t="n"/>
      <c r="AC2004" s="6" t="n"/>
      <c r="AD2004" s="75" t="n"/>
      <c r="AE2004" s="75" t="n"/>
      <c r="AF2004" s="75" t="n"/>
    </row>
    <row r="2005" ht="15.75" customHeight="1" s="133">
      <c r="A2005" s="75" t="n"/>
      <c r="B2005" s="75" t="n"/>
      <c r="C2005" s="75" t="n"/>
      <c r="D2005" s="75" t="n"/>
      <c r="E2005" s="76" t="n"/>
      <c r="F2005" s="77" t="n"/>
      <c r="G2005" s="75" t="n"/>
      <c r="H2005" s="75">
        <f>IF(ISBLANK(E2005),"",IF(OR(D2005="Butterfly",D2005="Butterfly ",D2005="Iron Fly", D2005="Iron Fly "),LEN(E2005)-LEN(SUBSTITUTE(E2005,"/",""))+2,LEN(E2005)-LEN(SUBSTITUTE(E2005,"/",""))+1))</f>
        <v/>
      </c>
      <c r="I2005" s="78">
        <f>IF(ISBLANK(G2005),"",IF(D2005="Stock","0",Key!$A$3*H2005*G2005))</f>
        <v/>
      </c>
      <c r="J2005" s="78">
        <f>IF(ISBLANK(E2005),"",IF(ISNUMBER(SEARCH("/",E2005)), IF(LEN(E2005)-LEN(SUBSTITUTE(E2005,"/",""))=1,(RIGHT(E2005,LEN(E2005)-FIND("/",E2005)))-(LEFT(E2005,FIND("/",E2005)-1)),(MID(E2005, SEARCH("/",E2005) + 1, SEARCH("/",E2005, SEARCH("/",E2005)+1) - SEARCH("/",E2005) - 1))-(LEFT(E2005,FIND("/",E2005)-1))), "NA"))</f>
        <v/>
      </c>
      <c r="K2005" s="79">
        <f>IF(A2005&lt;&gt;"", IF(ISBLANK(L2005), TODAY(), K2005), "")</f>
        <v/>
      </c>
      <c r="L2005" s="78" t="n"/>
      <c r="M2005" s="78">
        <f>IF(ISBLANK(L2005),"",IF(D2005="Stock",IF(C2005="Buy",L2005*G2005,IF(C2005="Sell",(L2005*G2005)-I2005, X)),IF(C2005="Buy",(L2005*G2005*100)+I2005,IF(C2005="Sell",(L2005*G2005*100)-I2005, X))))</f>
        <v/>
      </c>
      <c r="N2005" s="78">
        <f>IF(ISBLANK(L2005),"",IF(AND(C2005="Sell",D2005="Stock"),M2005,IF(ISBLANK(L2005),"",IF(C2005="Buy",M2005, IF(AND(C2005="Sell",J2005="NA"),(E2005*G2005*100*0.1)+I2005, IF(C2005="Sell",(J2005-L2005)*(100*G2005)+I2005))))))</f>
        <v/>
      </c>
      <c r="O2005" s="75" t="n"/>
      <c r="P2005" s="75" t="n"/>
      <c r="Q2005" s="75">
        <f>IF(ISBLANK(P2005),"",IF(D2005="Stock",P2005*G2005,IF(P2005=0,"0",G2005*P2005*100-(G2005*$AF$14))))</f>
        <v/>
      </c>
      <c r="R2005" s="79">
        <f>IF(P2005&lt;&gt;"", TODAY(), "")</f>
        <v/>
      </c>
      <c r="S2005" s="78">
        <f>IF(AND(K2005&lt;&gt;"", R2005&lt;&gt;""), R2005-K2005, "")</f>
        <v/>
      </c>
      <c r="T2005" s="78" t="n"/>
      <c r="U2005" s="92">
        <f>IF(ISBLANK(P2005),"",IF(C2005="Buy",Q2005-M2005+T2005, IF(C2005="Sell",M2005-Q2005-T2005, X)))</f>
        <v/>
      </c>
      <c r="V2005" s="81">
        <f>IF(ISBLANK(P2005),"",U2005/N2005)</f>
        <v/>
      </c>
      <c r="W2005" s="81">
        <f>IF(ISBLANK(P2005),"",IF(S2005=0,(365/0.5)*V2005,(365/S2005)*V2005))</f>
        <v/>
      </c>
      <c r="X2005" s="75" t="n"/>
      <c r="Y2005" s="77" t="n"/>
      <c r="Z2005" s="77" t="n"/>
      <c r="AA2005" s="75" t="n"/>
      <c r="AB2005" s="75" t="n"/>
      <c r="AC2005" s="6" t="n"/>
      <c r="AD2005" s="75" t="n"/>
      <c r="AE2005" s="75" t="n"/>
      <c r="AF2005" s="75" t="n"/>
    </row>
    <row r="2006" ht="15.75" customHeight="1" s="133">
      <c r="A2006" s="75" t="n"/>
      <c r="B2006" s="75" t="n"/>
      <c r="C2006" s="75" t="n"/>
      <c r="D2006" s="75" t="n"/>
      <c r="E2006" s="76" t="n"/>
      <c r="F2006" s="77" t="n"/>
      <c r="G2006" s="75" t="n"/>
      <c r="H2006" s="75">
        <f>IF(ISBLANK(E2006),"",IF(OR(D2006="Butterfly",D2006="Butterfly ",D2006="Iron Fly", D2006="Iron Fly "),LEN(E2006)-LEN(SUBSTITUTE(E2006,"/",""))+2,LEN(E2006)-LEN(SUBSTITUTE(E2006,"/",""))+1))</f>
        <v/>
      </c>
      <c r="I2006" s="78">
        <f>IF(ISBLANK(G2006),"",IF(D2006="Stock","0",Key!$A$3*H2006*G2006))</f>
        <v/>
      </c>
      <c r="J2006" s="78">
        <f>IF(ISBLANK(E2006),"",IF(ISNUMBER(SEARCH("/",E2006)), IF(LEN(E2006)-LEN(SUBSTITUTE(E2006,"/",""))=1,(RIGHT(E2006,LEN(E2006)-FIND("/",E2006)))-(LEFT(E2006,FIND("/",E2006)-1)),(MID(E2006, SEARCH("/",E2006) + 1, SEARCH("/",E2006, SEARCH("/",E2006)+1) - SEARCH("/",E2006) - 1))-(LEFT(E2006,FIND("/",E2006)-1))), "NA"))</f>
        <v/>
      </c>
      <c r="K2006" s="79">
        <f>IF(A2006&lt;&gt;"", IF(ISBLANK(L2006), TODAY(), K2006), "")</f>
        <v/>
      </c>
      <c r="L2006" s="78" t="n"/>
      <c r="M2006" s="78">
        <f>IF(ISBLANK(L2006),"",IF(D2006="Stock",IF(C2006="Buy",L2006*G2006,IF(C2006="Sell",(L2006*G2006)-I2006, X)),IF(C2006="Buy",(L2006*G2006*100)+I2006,IF(C2006="Sell",(L2006*G2006*100)-I2006, X))))</f>
        <v/>
      </c>
      <c r="N2006" s="78">
        <f>IF(ISBLANK(L2006),"",IF(AND(C2006="Sell",D2006="Stock"),M2006,IF(ISBLANK(L2006),"",IF(C2006="Buy",M2006, IF(AND(C2006="Sell",J2006="NA"),(E2006*G2006*100*0.1)+I2006, IF(C2006="Sell",(J2006-L2006)*(100*G2006)+I2006))))))</f>
        <v/>
      </c>
      <c r="O2006" s="75" t="n"/>
      <c r="P2006" s="75" t="n"/>
      <c r="Q2006" s="75">
        <f>IF(ISBLANK(P2006),"",IF(D2006="Stock",P2006*G2006,IF(P2006=0,"0",G2006*P2006*100-(G2006*$AF$14))))</f>
        <v/>
      </c>
      <c r="R2006" s="79">
        <f>IF(P2006&lt;&gt;"", TODAY(), "")</f>
        <v/>
      </c>
      <c r="S2006" s="78">
        <f>IF(AND(K2006&lt;&gt;"", R2006&lt;&gt;""), R2006-K2006, "")</f>
        <v/>
      </c>
      <c r="T2006" s="78" t="n"/>
      <c r="U2006" s="92">
        <f>IF(ISBLANK(P2006),"",IF(C2006="Buy",Q2006-M2006+T2006, IF(C2006="Sell",M2006-Q2006-T2006, X)))</f>
        <v/>
      </c>
      <c r="V2006" s="81">
        <f>IF(ISBLANK(P2006),"",U2006/N2006)</f>
        <v/>
      </c>
      <c r="W2006" s="81">
        <f>IF(ISBLANK(P2006),"",IF(S2006=0,(365/0.5)*V2006,(365/S2006)*V2006))</f>
        <v/>
      </c>
      <c r="X2006" s="75" t="n"/>
      <c r="Y2006" s="77" t="n"/>
      <c r="Z2006" s="77" t="n"/>
      <c r="AA2006" s="75" t="n"/>
      <c r="AB2006" s="75" t="n"/>
      <c r="AC2006" s="6" t="n"/>
      <c r="AD2006" s="75" t="n"/>
      <c r="AE2006" s="75" t="n"/>
      <c r="AF2006" s="75" t="n"/>
    </row>
    <row r="2007" ht="15.75" customHeight="1" s="133">
      <c r="A2007" s="75" t="n"/>
      <c r="B2007" s="75" t="n"/>
      <c r="C2007" s="75" t="n"/>
      <c r="D2007" s="75" t="n"/>
      <c r="E2007" s="76" t="n"/>
      <c r="F2007" s="77" t="n"/>
      <c r="G2007" s="75" t="n"/>
      <c r="H2007" s="75">
        <f>IF(ISBLANK(E2007),"",IF(OR(D2007="Butterfly",D2007="Butterfly ",D2007="Iron Fly", D2007="Iron Fly "),LEN(E2007)-LEN(SUBSTITUTE(E2007,"/",""))+2,LEN(E2007)-LEN(SUBSTITUTE(E2007,"/",""))+1))</f>
        <v/>
      </c>
      <c r="I2007" s="78">
        <f>IF(ISBLANK(G2007),"",IF(D2007="Stock","0",Key!$A$3*H2007*G2007))</f>
        <v/>
      </c>
      <c r="J2007" s="78">
        <f>IF(ISBLANK(E2007),"",IF(ISNUMBER(SEARCH("/",E2007)), IF(LEN(E2007)-LEN(SUBSTITUTE(E2007,"/",""))=1,(RIGHT(E2007,LEN(E2007)-FIND("/",E2007)))-(LEFT(E2007,FIND("/",E2007)-1)),(MID(E2007, SEARCH("/",E2007) + 1, SEARCH("/",E2007, SEARCH("/",E2007)+1) - SEARCH("/",E2007) - 1))-(LEFT(E2007,FIND("/",E2007)-1))), "NA"))</f>
        <v/>
      </c>
      <c r="K2007" s="79">
        <f>IF(A2007&lt;&gt;"", IF(ISBLANK(L2007), TODAY(), K2007), "")</f>
        <v/>
      </c>
      <c r="L2007" s="78" t="n"/>
      <c r="M2007" s="78">
        <f>IF(ISBLANK(L2007),"",IF(D2007="Stock",IF(C2007="Buy",L2007*G2007,IF(C2007="Sell",(L2007*G2007)-I2007, X)),IF(C2007="Buy",(L2007*G2007*100)+I2007,IF(C2007="Sell",(L2007*G2007*100)-I2007, X))))</f>
        <v/>
      </c>
      <c r="N2007" s="78">
        <f>IF(ISBLANK(L2007),"",IF(AND(C2007="Sell",D2007="Stock"),M2007,IF(ISBLANK(L2007),"",IF(C2007="Buy",M2007, IF(AND(C2007="Sell",J2007="NA"),(E2007*G2007*100*0.1)+I2007, IF(C2007="Sell",(J2007-L2007)*(100*G2007)+I2007))))))</f>
        <v/>
      </c>
      <c r="O2007" s="75" t="n"/>
      <c r="P2007" s="75" t="n"/>
      <c r="Q2007" s="75">
        <f>IF(ISBLANK(P2007),"",IF(D2007="Stock",P2007*G2007,IF(P2007=0,"0",G2007*P2007*100-(G2007*$AF$14))))</f>
        <v/>
      </c>
      <c r="R2007" s="79">
        <f>IF(P2007&lt;&gt;"", TODAY(), "")</f>
        <v/>
      </c>
      <c r="S2007" s="78">
        <f>IF(AND(K2007&lt;&gt;"", R2007&lt;&gt;""), R2007-K2007, "")</f>
        <v/>
      </c>
      <c r="T2007" s="78" t="n"/>
      <c r="U2007" s="92">
        <f>IF(ISBLANK(P2007),"",IF(C2007="Buy",Q2007-M2007+T2007, IF(C2007="Sell",M2007-Q2007-T2007, X)))</f>
        <v/>
      </c>
      <c r="V2007" s="81">
        <f>IF(ISBLANK(P2007),"",U2007/N2007)</f>
        <v/>
      </c>
      <c r="W2007" s="81">
        <f>IF(ISBLANK(P2007),"",IF(S2007=0,(365/0.5)*V2007,(365/S2007)*V2007))</f>
        <v/>
      </c>
      <c r="X2007" s="75" t="n"/>
      <c r="Y2007" s="77" t="n"/>
      <c r="Z2007" s="77" t="n"/>
      <c r="AA2007" s="75" t="n"/>
      <c r="AB2007" s="75" t="n"/>
      <c r="AC2007" s="6" t="n"/>
      <c r="AD2007" s="75" t="n"/>
      <c r="AE2007" s="75" t="n"/>
      <c r="AF2007" s="75" t="n"/>
    </row>
    <row r="2008" ht="15.75" customHeight="1" s="133">
      <c r="A2008" s="75" t="n"/>
      <c r="B2008" s="75" t="n"/>
      <c r="C2008" s="75" t="n"/>
      <c r="D2008" s="75" t="n"/>
      <c r="E2008" s="76" t="n"/>
      <c r="F2008" s="77" t="n"/>
      <c r="G2008" s="75" t="n"/>
      <c r="H2008" s="75">
        <f>IF(ISBLANK(E2008),"",IF(OR(D2008="Butterfly",D2008="Butterfly ",D2008="Iron Fly", D2008="Iron Fly "),LEN(E2008)-LEN(SUBSTITUTE(E2008,"/",""))+2,LEN(E2008)-LEN(SUBSTITUTE(E2008,"/",""))+1))</f>
        <v/>
      </c>
      <c r="I2008" s="78">
        <f>IF(ISBLANK(G2008),"",IF(D2008="Stock","0",Key!$A$3*H2008*G2008))</f>
        <v/>
      </c>
      <c r="J2008" s="78">
        <f>IF(ISBLANK(E2008),"",IF(ISNUMBER(SEARCH("/",E2008)), IF(LEN(E2008)-LEN(SUBSTITUTE(E2008,"/",""))=1,(RIGHT(E2008,LEN(E2008)-FIND("/",E2008)))-(LEFT(E2008,FIND("/",E2008)-1)),(MID(E2008, SEARCH("/",E2008) + 1, SEARCH("/",E2008, SEARCH("/",E2008)+1) - SEARCH("/",E2008) - 1))-(LEFT(E2008,FIND("/",E2008)-1))), "NA"))</f>
        <v/>
      </c>
      <c r="K2008" s="79">
        <f>IF(A2008&lt;&gt;"", IF(ISBLANK(L2008), TODAY(), K2008), "")</f>
        <v/>
      </c>
      <c r="L2008" s="78" t="n"/>
      <c r="M2008" s="78">
        <f>IF(ISBLANK(L2008),"",IF(D2008="Stock",IF(C2008="Buy",L2008*G2008,IF(C2008="Sell",(L2008*G2008)-I2008, X)),IF(C2008="Buy",(L2008*G2008*100)+I2008,IF(C2008="Sell",(L2008*G2008*100)-I2008, X))))</f>
        <v/>
      </c>
      <c r="N2008" s="78">
        <f>IF(ISBLANK(L2008),"",IF(AND(C2008="Sell",D2008="Stock"),M2008,IF(ISBLANK(L2008),"",IF(C2008="Buy",M2008, IF(AND(C2008="Sell",J2008="NA"),(E2008*G2008*100*0.1)+I2008, IF(C2008="Sell",(J2008-L2008)*(100*G2008)+I2008))))))</f>
        <v/>
      </c>
      <c r="O2008" s="75" t="n"/>
      <c r="P2008" s="75" t="n"/>
      <c r="Q2008" s="75">
        <f>IF(ISBLANK(P2008),"",IF(D2008="Stock",P2008*G2008,IF(P2008=0,"0",G2008*P2008*100-(G2008*$AF$14))))</f>
        <v/>
      </c>
      <c r="R2008" s="79">
        <f>IF(P2008&lt;&gt;"", TODAY(), "")</f>
        <v/>
      </c>
      <c r="S2008" s="78">
        <f>IF(AND(K2008&lt;&gt;"", R2008&lt;&gt;""), R2008-K2008, "")</f>
        <v/>
      </c>
      <c r="T2008" s="78" t="n"/>
      <c r="U2008" s="92">
        <f>IF(ISBLANK(P2008),"",IF(C2008="Buy",Q2008-M2008+T2008, IF(C2008="Sell",M2008-Q2008-T2008, X)))</f>
        <v/>
      </c>
      <c r="V2008" s="81">
        <f>IF(ISBLANK(P2008),"",U2008/N2008)</f>
        <v/>
      </c>
      <c r="W2008" s="81">
        <f>IF(ISBLANK(P2008),"",IF(S2008=0,(365/0.5)*V2008,(365/S2008)*V2008))</f>
        <v/>
      </c>
      <c r="X2008" s="75" t="n"/>
      <c r="Y2008" s="77" t="n"/>
      <c r="Z2008" s="77" t="n"/>
      <c r="AA2008" s="75" t="n"/>
      <c r="AB2008" s="75" t="n"/>
      <c r="AC2008" s="6" t="n"/>
      <c r="AD2008" s="75" t="n"/>
      <c r="AE2008" s="75" t="n"/>
      <c r="AF2008" s="75" t="n"/>
    </row>
    <row r="2009" ht="15.75" customHeight="1" s="133">
      <c r="A2009" s="75" t="n"/>
      <c r="B2009" s="75" t="n"/>
      <c r="C2009" s="75" t="n"/>
      <c r="D2009" s="75" t="n"/>
      <c r="E2009" s="76" t="n"/>
      <c r="F2009" s="77" t="n"/>
      <c r="G2009" s="75" t="n"/>
      <c r="H2009" s="75">
        <f>IF(ISBLANK(E2009),"",IF(OR(D2009="Butterfly",D2009="Butterfly ",D2009="Iron Fly", D2009="Iron Fly "),LEN(E2009)-LEN(SUBSTITUTE(E2009,"/",""))+2,LEN(E2009)-LEN(SUBSTITUTE(E2009,"/",""))+1))</f>
        <v/>
      </c>
      <c r="I2009" s="78">
        <f>IF(ISBLANK(G2009),"",IF(D2009="Stock","0",Key!$A$3*H2009*G2009))</f>
        <v/>
      </c>
      <c r="J2009" s="78">
        <f>IF(ISBLANK(E2009),"",IF(ISNUMBER(SEARCH("/",E2009)), IF(LEN(E2009)-LEN(SUBSTITUTE(E2009,"/",""))=1,(RIGHT(E2009,LEN(E2009)-FIND("/",E2009)))-(LEFT(E2009,FIND("/",E2009)-1)),(MID(E2009, SEARCH("/",E2009) + 1, SEARCH("/",E2009, SEARCH("/",E2009)+1) - SEARCH("/",E2009) - 1))-(LEFT(E2009,FIND("/",E2009)-1))), "NA"))</f>
        <v/>
      </c>
      <c r="K2009" s="79">
        <f>IF(A2009&lt;&gt;"", IF(ISBLANK(L2009), TODAY(), K2009), "")</f>
        <v/>
      </c>
      <c r="L2009" s="78" t="n"/>
      <c r="M2009" s="78">
        <f>IF(ISBLANK(L2009),"",IF(D2009="Stock",IF(C2009="Buy",L2009*G2009,IF(C2009="Sell",(L2009*G2009)-I2009, X)),IF(C2009="Buy",(L2009*G2009*100)+I2009,IF(C2009="Sell",(L2009*G2009*100)-I2009, X))))</f>
        <v/>
      </c>
      <c r="N2009" s="78">
        <f>IF(ISBLANK(L2009),"",IF(AND(C2009="Sell",D2009="Stock"),M2009,IF(ISBLANK(L2009),"",IF(C2009="Buy",M2009, IF(AND(C2009="Sell",J2009="NA"),(E2009*G2009*100*0.1)+I2009, IF(C2009="Sell",(J2009-L2009)*(100*G2009)+I2009))))))</f>
        <v/>
      </c>
      <c r="O2009" s="75" t="n"/>
      <c r="P2009" s="75" t="n"/>
      <c r="Q2009" s="75">
        <f>IF(ISBLANK(P2009),"",IF(D2009="Stock",P2009*G2009,IF(P2009=0,"0",G2009*P2009*100-(G2009*$AF$14))))</f>
        <v/>
      </c>
      <c r="R2009" s="79">
        <f>IF(P2009&lt;&gt;"", TODAY(), "")</f>
        <v/>
      </c>
      <c r="S2009" s="78">
        <f>IF(AND(K2009&lt;&gt;"", R2009&lt;&gt;""), R2009-K2009, "")</f>
        <v/>
      </c>
      <c r="T2009" s="78" t="n"/>
      <c r="U2009" s="92">
        <f>IF(ISBLANK(P2009),"",IF(C2009="Buy",Q2009-M2009+T2009, IF(C2009="Sell",M2009-Q2009-T2009, X)))</f>
        <v/>
      </c>
      <c r="V2009" s="81">
        <f>IF(ISBLANK(P2009),"",U2009/N2009)</f>
        <v/>
      </c>
      <c r="W2009" s="81">
        <f>IF(ISBLANK(P2009),"",IF(S2009=0,(365/0.5)*V2009,(365/S2009)*V2009))</f>
        <v/>
      </c>
      <c r="X2009" s="75" t="n"/>
      <c r="Y2009" s="77" t="n"/>
      <c r="Z2009" s="77" t="n"/>
      <c r="AA2009" s="75" t="n"/>
      <c r="AB2009" s="75" t="n"/>
      <c r="AC2009" s="6" t="n"/>
      <c r="AD2009" s="75" t="n"/>
      <c r="AE2009" s="75" t="n"/>
      <c r="AF2009" s="75" t="n"/>
    </row>
    <row r="2010" ht="15.75" customHeight="1" s="133">
      <c r="A2010" s="75" t="n"/>
      <c r="B2010" s="75" t="n"/>
      <c r="C2010" s="75" t="n"/>
      <c r="D2010" s="75" t="n"/>
      <c r="E2010" s="76" t="n"/>
      <c r="F2010" s="77" t="n"/>
      <c r="G2010" s="75" t="n"/>
      <c r="H2010" s="75">
        <f>IF(ISBLANK(E2010),"",IF(OR(D2010="Butterfly",D2010="Butterfly ",D2010="Iron Fly", D2010="Iron Fly "),LEN(E2010)-LEN(SUBSTITUTE(E2010,"/",""))+2,LEN(E2010)-LEN(SUBSTITUTE(E2010,"/",""))+1))</f>
        <v/>
      </c>
      <c r="I2010" s="78">
        <f>IF(ISBLANK(G2010),"",IF(D2010="Stock","0",Key!$A$3*H2010*G2010))</f>
        <v/>
      </c>
      <c r="J2010" s="78">
        <f>IF(ISBLANK(E2010),"",IF(ISNUMBER(SEARCH("/",E2010)), IF(LEN(E2010)-LEN(SUBSTITUTE(E2010,"/",""))=1,(RIGHT(E2010,LEN(E2010)-FIND("/",E2010)))-(LEFT(E2010,FIND("/",E2010)-1)),(MID(E2010, SEARCH("/",E2010) + 1, SEARCH("/",E2010, SEARCH("/",E2010)+1) - SEARCH("/",E2010) - 1))-(LEFT(E2010,FIND("/",E2010)-1))), "NA"))</f>
        <v/>
      </c>
      <c r="K2010" s="79">
        <f>IF(A2010&lt;&gt;"", IF(ISBLANK(L2010), TODAY(), K2010), "")</f>
        <v/>
      </c>
      <c r="L2010" s="78" t="n"/>
      <c r="M2010" s="78">
        <f>IF(ISBLANK(L2010),"",IF(D2010="Stock",IF(C2010="Buy",L2010*G2010,IF(C2010="Sell",(L2010*G2010)-I2010, X)),IF(C2010="Buy",(L2010*G2010*100)+I2010,IF(C2010="Sell",(L2010*G2010*100)-I2010, X))))</f>
        <v/>
      </c>
      <c r="N2010" s="78">
        <f>IF(ISBLANK(L2010),"",IF(AND(C2010="Sell",D2010="Stock"),M2010,IF(ISBLANK(L2010),"",IF(C2010="Buy",M2010, IF(AND(C2010="Sell",J2010="NA"),(E2010*G2010*100*0.1)+I2010, IF(C2010="Sell",(J2010-L2010)*(100*G2010)+I2010))))))</f>
        <v/>
      </c>
      <c r="O2010" s="75" t="n"/>
      <c r="P2010" s="75" t="n"/>
      <c r="Q2010" s="75">
        <f>IF(ISBLANK(P2010),"",IF(D2010="Stock",P2010*G2010,IF(P2010=0,"0",G2010*P2010*100-(G2010*$AF$14))))</f>
        <v/>
      </c>
      <c r="R2010" s="79">
        <f>IF(P2010&lt;&gt;"", TODAY(), "")</f>
        <v/>
      </c>
      <c r="S2010" s="78">
        <f>IF(AND(K2010&lt;&gt;"", R2010&lt;&gt;""), R2010-K2010, "")</f>
        <v/>
      </c>
      <c r="T2010" s="78" t="n"/>
      <c r="U2010" s="92">
        <f>IF(ISBLANK(P2010),"",IF(C2010="Buy",Q2010-M2010+T2010, IF(C2010="Sell",M2010-Q2010-T2010, X)))</f>
        <v/>
      </c>
      <c r="V2010" s="81">
        <f>IF(ISBLANK(P2010),"",U2010/N2010)</f>
        <v/>
      </c>
      <c r="W2010" s="81">
        <f>IF(ISBLANK(P2010),"",IF(S2010=0,(365/0.5)*V2010,(365/S2010)*V2010))</f>
        <v/>
      </c>
      <c r="X2010" s="75" t="n"/>
      <c r="Y2010" s="77" t="n"/>
      <c r="Z2010" s="77" t="n"/>
      <c r="AA2010" s="75" t="n"/>
      <c r="AB2010" s="75" t="n"/>
      <c r="AC2010" s="6" t="n"/>
      <c r="AD2010" s="75" t="n"/>
      <c r="AE2010" s="75" t="n"/>
      <c r="AF2010" s="75" t="n"/>
    </row>
    <row r="2011" ht="15.75" customHeight="1" s="133">
      <c r="A2011" s="75" t="n"/>
      <c r="B2011" s="75" t="n"/>
      <c r="C2011" s="75" t="n"/>
      <c r="D2011" s="75" t="n"/>
      <c r="E2011" s="76" t="n"/>
      <c r="F2011" s="77" t="n"/>
      <c r="G2011" s="75" t="n"/>
      <c r="H2011" s="75">
        <f>IF(ISBLANK(E2011),"",IF(OR(D2011="Butterfly",D2011="Butterfly ",D2011="Iron Fly", D2011="Iron Fly "),LEN(E2011)-LEN(SUBSTITUTE(E2011,"/",""))+2,LEN(E2011)-LEN(SUBSTITUTE(E2011,"/",""))+1))</f>
        <v/>
      </c>
      <c r="I2011" s="78">
        <f>IF(ISBLANK(G2011),"",IF(D2011="Stock","0",Key!$A$3*H2011*G2011))</f>
        <v/>
      </c>
      <c r="J2011" s="78">
        <f>IF(ISBLANK(E2011),"",IF(ISNUMBER(SEARCH("/",E2011)), IF(LEN(E2011)-LEN(SUBSTITUTE(E2011,"/",""))=1,(RIGHT(E2011,LEN(E2011)-FIND("/",E2011)))-(LEFT(E2011,FIND("/",E2011)-1)),(MID(E2011, SEARCH("/",E2011) + 1, SEARCH("/",E2011, SEARCH("/",E2011)+1) - SEARCH("/",E2011) - 1))-(LEFT(E2011,FIND("/",E2011)-1))), "NA"))</f>
        <v/>
      </c>
      <c r="K2011" s="79">
        <f>IF(A2011&lt;&gt;"", IF(ISBLANK(L2011), TODAY(), K2011), "")</f>
        <v/>
      </c>
      <c r="L2011" s="78" t="n"/>
      <c r="M2011" s="78">
        <f>IF(ISBLANK(L2011),"",IF(D2011="Stock",IF(C2011="Buy",L2011*G2011,IF(C2011="Sell",(L2011*G2011)-I2011, X)),IF(C2011="Buy",(L2011*G2011*100)+I2011,IF(C2011="Sell",(L2011*G2011*100)-I2011, X))))</f>
        <v/>
      </c>
      <c r="N2011" s="78">
        <f>IF(ISBLANK(L2011),"",IF(AND(C2011="Sell",D2011="Stock"),M2011,IF(ISBLANK(L2011),"",IF(C2011="Buy",M2011, IF(AND(C2011="Sell",J2011="NA"),(E2011*G2011*100*0.1)+I2011, IF(C2011="Sell",(J2011-L2011)*(100*G2011)+I2011))))))</f>
        <v/>
      </c>
      <c r="O2011" s="75" t="n"/>
      <c r="P2011" s="75" t="n"/>
      <c r="Q2011" s="75">
        <f>IF(ISBLANK(P2011),"",IF(D2011="Stock",P2011*G2011,IF(P2011=0,"0",G2011*P2011*100-(G2011*$AF$14))))</f>
        <v/>
      </c>
      <c r="R2011" s="79">
        <f>IF(P2011&lt;&gt;"", TODAY(), "")</f>
        <v/>
      </c>
      <c r="S2011" s="78">
        <f>IF(AND(K2011&lt;&gt;"", R2011&lt;&gt;""), R2011-K2011, "")</f>
        <v/>
      </c>
      <c r="T2011" s="78" t="n"/>
      <c r="U2011" s="92">
        <f>IF(ISBLANK(P2011),"",IF(C2011="Buy",Q2011-M2011+T2011, IF(C2011="Sell",M2011-Q2011-T2011, X)))</f>
        <v/>
      </c>
      <c r="V2011" s="81">
        <f>IF(ISBLANK(P2011),"",U2011/N2011)</f>
        <v/>
      </c>
      <c r="W2011" s="81">
        <f>IF(ISBLANK(P2011),"",IF(S2011=0,(365/0.5)*V2011,(365/S2011)*V2011))</f>
        <v/>
      </c>
      <c r="X2011" s="75" t="n"/>
      <c r="Y2011" s="77" t="n"/>
      <c r="Z2011" s="77" t="n"/>
      <c r="AA2011" s="75" t="n"/>
      <c r="AB2011" s="75" t="n"/>
      <c r="AC2011" s="6" t="n"/>
      <c r="AD2011" s="75" t="n"/>
      <c r="AE2011" s="75" t="n"/>
      <c r="AF2011" s="75" t="n"/>
    </row>
    <row r="2012" ht="15.75" customHeight="1" s="133">
      <c r="A2012" s="75" t="n"/>
      <c r="B2012" s="75" t="n"/>
      <c r="C2012" s="75" t="n"/>
      <c r="D2012" s="75" t="n"/>
      <c r="E2012" s="76" t="n"/>
      <c r="F2012" s="77" t="n"/>
      <c r="G2012" s="75" t="n"/>
      <c r="H2012" s="75">
        <f>IF(ISBLANK(E2012),"",IF(OR(D2012="Butterfly",D2012="Butterfly ",D2012="Iron Fly", D2012="Iron Fly "),LEN(E2012)-LEN(SUBSTITUTE(E2012,"/",""))+2,LEN(E2012)-LEN(SUBSTITUTE(E2012,"/",""))+1))</f>
        <v/>
      </c>
      <c r="I2012" s="78">
        <f>IF(ISBLANK(G2012),"",IF(D2012="Stock","0",Key!$A$3*H2012*G2012))</f>
        <v/>
      </c>
      <c r="J2012" s="78">
        <f>IF(ISBLANK(E2012),"",IF(ISNUMBER(SEARCH("/",E2012)), IF(LEN(E2012)-LEN(SUBSTITUTE(E2012,"/",""))=1,(RIGHT(E2012,LEN(E2012)-FIND("/",E2012)))-(LEFT(E2012,FIND("/",E2012)-1)),(MID(E2012, SEARCH("/",E2012) + 1, SEARCH("/",E2012, SEARCH("/",E2012)+1) - SEARCH("/",E2012) - 1))-(LEFT(E2012,FIND("/",E2012)-1))), "NA"))</f>
        <v/>
      </c>
      <c r="K2012" s="79">
        <f>IF(A2012&lt;&gt;"", IF(ISBLANK(L2012), TODAY(), K2012), "")</f>
        <v/>
      </c>
      <c r="L2012" s="78" t="n"/>
      <c r="M2012" s="78">
        <f>IF(ISBLANK(L2012),"",IF(D2012="Stock",IF(C2012="Buy",L2012*G2012,IF(C2012="Sell",(L2012*G2012)-I2012, X)),IF(C2012="Buy",(L2012*G2012*100)+I2012,IF(C2012="Sell",(L2012*G2012*100)-I2012, X))))</f>
        <v/>
      </c>
      <c r="N2012" s="78">
        <f>IF(ISBLANK(L2012),"",IF(AND(C2012="Sell",D2012="Stock"),M2012,IF(ISBLANK(L2012),"",IF(C2012="Buy",M2012, IF(AND(C2012="Sell",J2012="NA"),(E2012*G2012*100*0.1)+I2012, IF(C2012="Sell",(J2012-L2012)*(100*G2012)+I2012))))))</f>
        <v/>
      </c>
      <c r="O2012" s="75" t="n"/>
      <c r="P2012" s="75" t="n"/>
      <c r="Q2012" s="75">
        <f>IF(ISBLANK(P2012),"",IF(D2012="Stock",P2012*G2012,IF(P2012=0,"0",G2012*P2012*100-(G2012*$AF$14))))</f>
        <v/>
      </c>
      <c r="R2012" s="79">
        <f>IF(P2012&lt;&gt;"", TODAY(), "")</f>
        <v/>
      </c>
      <c r="S2012" s="78">
        <f>IF(AND(K2012&lt;&gt;"", R2012&lt;&gt;""), R2012-K2012, "")</f>
        <v/>
      </c>
      <c r="T2012" s="78" t="n"/>
      <c r="U2012" s="92">
        <f>IF(ISBLANK(P2012),"",IF(C2012="Buy",Q2012-M2012+T2012, IF(C2012="Sell",M2012-Q2012-T2012, X)))</f>
        <v/>
      </c>
      <c r="V2012" s="81">
        <f>IF(ISBLANK(P2012),"",U2012/N2012)</f>
        <v/>
      </c>
      <c r="W2012" s="81">
        <f>IF(ISBLANK(P2012),"",IF(S2012=0,(365/0.5)*V2012,(365/S2012)*V2012))</f>
        <v/>
      </c>
      <c r="X2012" s="75" t="n"/>
      <c r="Y2012" s="77" t="n"/>
      <c r="Z2012" s="77" t="n"/>
      <c r="AA2012" s="75" t="n"/>
      <c r="AB2012" s="75" t="n"/>
      <c r="AC2012" s="6" t="n"/>
      <c r="AD2012" s="75" t="n"/>
      <c r="AE2012" s="75" t="n"/>
      <c r="AF2012" s="75" t="n"/>
    </row>
    <row r="2013" ht="15.75" customHeight="1" s="133">
      <c r="A2013" s="75" t="n"/>
      <c r="B2013" s="75" t="n"/>
      <c r="C2013" s="75" t="n"/>
      <c r="D2013" s="75" t="n"/>
      <c r="E2013" s="76" t="n"/>
      <c r="F2013" s="77" t="n"/>
      <c r="G2013" s="75" t="n"/>
      <c r="H2013" s="75">
        <f>IF(ISBLANK(E2013),"",IF(OR(D2013="Butterfly",D2013="Butterfly ",D2013="Iron Fly", D2013="Iron Fly "),LEN(E2013)-LEN(SUBSTITUTE(E2013,"/",""))+2,LEN(E2013)-LEN(SUBSTITUTE(E2013,"/",""))+1))</f>
        <v/>
      </c>
      <c r="I2013" s="78">
        <f>IF(ISBLANK(G2013),"",IF(D2013="Stock","0",Key!$A$3*H2013*G2013))</f>
        <v/>
      </c>
      <c r="J2013" s="78">
        <f>IF(ISBLANK(E2013),"",IF(ISNUMBER(SEARCH("/",E2013)), IF(LEN(E2013)-LEN(SUBSTITUTE(E2013,"/",""))=1,(RIGHT(E2013,LEN(E2013)-FIND("/",E2013)))-(LEFT(E2013,FIND("/",E2013)-1)),(MID(E2013, SEARCH("/",E2013) + 1, SEARCH("/",E2013, SEARCH("/",E2013)+1) - SEARCH("/",E2013) - 1))-(LEFT(E2013,FIND("/",E2013)-1))), "NA"))</f>
        <v/>
      </c>
      <c r="K2013" s="79">
        <f>IF(A2013&lt;&gt;"", IF(ISBLANK(L2013), TODAY(), K2013), "")</f>
        <v/>
      </c>
      <c r="L2013" s="78" t="n"/>
      <c r="M2013" s="78">
        <f>IF(ISBLANK(L2013),"",IF(D2013="Stock",IF(C2013="Buy",L2013*G2013,IF(C2013="Sell",(L2013*G2013)-I2013, X)),IF(C2013="Buy",(L2013*G2013*100)+I2013,IF(C2013="Sell",(L2013*G2013*100)-I2013, X))))</f>
        <v/>
      </c>
      <c r="N2013" s="78">
        <f>IF(ISBLANK(L2013),"",IF(AND(C2013="Sell",D2013="Stock"),M2013,IF(ISBLANK(L2013),"",IF(C2013="Buy",M2013, IF(AND(C2013="Sell",J2013="NA"),(E2013*G2013*100*0.1)+I2013, IF(C2013="Sell",(J2013-L2013)*(100*G2013)+I2013))))))</f>
        <v/>
      </c>
      <c r="O2013" s="75" t="n"/>
      <c r="P2013" s="75" t="n"/>
      <c r="Q2013" s="75">
        <f>IF(ISBLANK(P2013),"",IF(D2013="Stock",P2013*G2013,IF(P2013=0,"0",G2013*P2013*100-(G2013*$AF$14))))</f>
        <v/>
      </c>
      <c r="R2013" s="79">
        <f>IF(P2013&lt;&gt;"", TODAY(), "")</f>
        <v/>
      </c>
      <c r="S2013" s="78">
        <f>IF(AND(K2013&lt;&gt;"", R2013&lt;&gt;""), R2013-K2013, "")</f>
        <v/>
      </c>
      <c r="T2013" s="78" t="n"/>
      <c r="U2013" s="92">
        <f>IF(ISBLANK(P2013),"",IF(C2013="Buy",Q2013-M2013+T2013, IF(C2013="Sell",M2013-Q2013-T2013, X)))</f>
        <v/>
      </c>
      <c r="V2013" s="81">
        <f>IF(ISBLANK(P2013),"",U2013/N2013)</f>
        <v/>
      </c>
      <c r="W2013" s="81">
        <f>IF(ISBLANK(P2013),"",IF(S2013=0,(365/0.5)*V2013,(365/S2013)*V2013))</f>
        <v/>
      </c>
      <c r="X2013" s="75" t="n"/>
      <c r="Y2013" s="77" t="n"/>
      <c r="Z2013" s="77" t="n"/>
      <c r="AA2013" s="75" t="n"/>
      <c r="AB2013" s="75" t="n"/>
      <c r="AC2013" s="6" t="n"/>
      <c r="AD2013" s="75" t="n"/>
      <c r="AE2013" s="75" t="n"/>
      <c r="AF2013" s="75" t="n"/>
    </row>
    <row r="2014" ht="15.75" customHeight="1" s="133">
      <c r="A2014" s="75" t="n"/>
      <c r="B2014" s="75" t="n"/>
      <c r="C2014" s="75" t="n"/>
      <c r="D2014" s="75" t="n"/>
      <c r="E2014" s="76" t="n"/>
      <c r="F2014" s="77" t="n"/>
      <c r="G2014" s="75" t="n"/>
      <c r="H2014" s="75">
        <f>IF(ISBLANK(E2014),"",IF(OR(D2014="Butterfly",D2014="Butterfly ",D2014="Iron Fly", D2014="Iron Fly "),LEN(E2014)-LEN(SUBSTITUTE(E2014,"/",""))+2,LEN(E2014)-LEN(SUBSTITUTE(E2014,"/",""))+1))</f>
        <v/>
      </c>
      <c r="I2014" s="78">
        <f>IF(ISBLANK(G2014),"",IF(D2014="Stock","0",Key!$A$3*H2014*G2014))</f>
        <v/>
      </c>
      <c r="J2014" s="78">
        <f>IF(ISBLANK(E2014),"",IF(ISNUMBER(SEARCH("/",E2014)), IF(LEN(E2014)-LEN(SUBSTITUTE(E2014,"/",""))=1,(RIGHT(E2014,LEN(E2014)-FIND("/",E2014)))-(LEFT(E2014,FIND("/",E2014)-1)),(MID(E2014, SEARCH("/",E2014) + 1, SEARCH("/",E2014, SEARCH("/",E2014)+1) - SEARCH("/",E2014) - 1))-(LEFT(E2014,FIND("/",E2014)-1))), "NA"))</f>
        <v/>
      </c>
      <c r="K2014" s="79">
        <f>IF(A2014&lt;&gt;"", IF(ISBLANK(L2014), TODAY(), K2014), "")</f>
        <v/>
      </c>
      <c r="L2014" s="78" t="n"/>
      <c r="M2014" s="78">
        <f>IF(ISBLANK(L2014),"",IF(D2014="Stock",IF(C2014="Buy",L2014*G2014,IF(C2014="Sell",(L2014*G2014)-I2014, X)),IF(C2014="Buy",(L2014*G2014*100)+I2014,IF(C2014="Sell",(L2014*G2014*100)-I2014, X))))</f>
        <v/>
      </c>
      <c r="N2014" s="78">
        <f>IF(ISBLANK(L2014),"",IF(AND(C2014="Sell",D2014="Stock"),M2014,IF(ISBLANK(L2014),"",IF(C2014="Buy",M2014, IF(AND(C2014="Sell",J2014="NA"),(E2014*G2014*100*0.1)+I2014, IF(C2014="Sell",(J2014-L2014)*(100*G2014)+I2014))))))</f>
        <v/>
      </c>
      <c r="O2014" s="75" t="n"/>
      <c r="P2014" s="75" t="n"/>
      <c r="Q2014" s="75">
        <f>IF(ISBLANK(P2014),"",IF(D2014="Stock",P2014*G2014,IF(P2014=0,"0",G2014*P2014*100-(G2014*$AF$14))))</f>
        <v/>
      </c>
      <c r="R2014" s="79">
        <f>IF(P2014&lt;&gt;"", TODAY(), "")</f>
        <v/>
      </c>
      <c r="S2014" s="78">
        <f>IF(AND(K2014&lt;&gt;"", R2014&lt;&gt;""), R2014-K2014, "")</f>
        <v/>
      </c>
      <c r="T2014" s="78" t="n"/>
      <c r="U2014" s="92">
        <f>IF(ISBLANK(P2014),"",IF(C2014="Buy",Q2014-M2014+T2014, IF(C2014="Sell",M2014-Q2014-T2014, X)))</f>
        <v/>
      </c>
      <c r="V2014" s="81">
        <f>IF(ISBLANK(P2014),"",U2014/N2014)</f>
        <v/>
      </c>
      <c r="W2014" s="81">
        <f>IF(ISBLANK(P2014),"",IF(S2014=0,(365/0.5)*V2014,(365/S2014)*V2014))</f>
        <v/>
      </c>
      <c r="X2014" s="75" t="n"/>
      <c r="Y2014" s="77" t="n"/>
      <c r="Z2014" s="77" t="n"/>
      <c r="AA2014" s="75" t="n"/>
      <c r="AB2014" s="75" t="n"/>
      <c r="AC2014" s="6" t="n"/>
      <c r="AD2014" s="75" t="n"/>
      <c r="AE2014" s="75" t="n"/>
      <c r="AF2014" s="75" t="n"/>
    </row>
    <row r="2015" ht="15.75" customHeight="1" s="133">
      <c r="A2015" s="75" t="n"/>
      <c r="B2015" s="75" t="n"/>
      <c r="C2015" s="75" t="n"/>
      <c r="D2015" s="75" t="n"/>
      <c r="E2015" s="76" t="n"/>
      <c r="F2015" s="77" t="n"/>
      <c r="G2015" s="75" t="n"/>
      <c r="H2015" s="75">
        <f>IF(ISBLANK(E2015),"",IF(OR(D2015="Butterfly",D2015="Butterfly ",D2015="Iron Fly", D2015="Iron Fly "),LEN(E2015)-LEN(SUBSTITUTE(E2015,"/",""))+2,LEN(E2015)-LEN(SUBSTITUTE(E2015,"/",""))+1))</f>
        <v/>
      </c>
      <c r="I2015" s="78">
        <f>IF(ISBLANK(G2015),"",IF(D2015="Stock","0",Key!$A$3*H2015*G2015))</f>
        <v/>
      </c>
      <c r="J2015" s="78">
        <f>IF(ISBLANK(E2015),"",IF(ISNUMBER(SEARCH("/",E2015)), IF(LEN(E2015)-LEN(SUBSTITUTE(E2015,"/",""))=1,(RIGHT(E2015,LEN(E2015)-FIND("/",E2015)))-(LEFT(E2015,FIND("/",E2015)-1)),(MID(E2015, SEARCH("/",E2015) + 1, SEARCH("/",E2015, SEARCH("/",E2015)+1) - SEARCH("/",E2015) - 1))-(LEFT(E2015,FIND("/",E2015)-1))), "NA"))</f>
        <v/>
      </c>
      <c r="K2015" s="79">
        <f>IF(A2015&lt;&gt;"", IF(ISBLANK(L2015), TODAY(), K2015), "")</f>
        <v/>
      </c>
      <c r="L2015" s="78" t="n"/>
      <c r="M2015" s="78">
        <f>IF(ISBLANK(L2015),"",IF(D2015="Stock",IF(C2015="Buy",L2015*G2015,IF(C2015="Sell",(L2015*G2015)-I2015, X)),IF(C2015="Buy",(L2015*G2015*100)+I2015,IF(C2015="Sell",(L2015*G2015*100)-I2015, X))))</f>
        <v/>
      </c>
      <c r="N2015" s="78">
        <f>IF(ISBLANK(L2015),"",IF(AND(C2015="Sell",D2015="Stock"),M2015,IF(ISBLANK(L2015),"",IF(C2015="Buy",M2015, IF(AND(C2015="Sell",J2015="NA"),(E2015*G2015*100*0.1)+I2015, IF(C2015="Sell",(J2015-L2015)*(100*G2015)+I2015))))))</f>
        <v/>
      </c>
      <c r="O2015" s="75" t="n"/>
      <c r="P2015" s="75" t="n"/>
      <c r="Q2015" s="75">
        <f>IF(ISBLANK(P2015),"",IF(D2015="Stock",P2015*G2015,IF(P2015=0,"0",G2015*P2015*100-(G2015*$AF$14))))</f>
        <v/>
      </c>
      <c r="R2015" s="79">
        <f>IF(P2015&lt;&gt;"", TODAY(), "")</f>
        <v/>
      </c>
      <c r="S2015" s="78">
        <f>IF(AND(K2015&lt;&gt;"", R2015&lt;&gt;""), R2015-K2015, "")</f>
        <v/>
      </c>
      <c r="T2015" s="78" t="n"/>
      <c r="U2015" s="92">
        <f>IF(ISBLANK(P2015),"",IF(C2015="Buy",Q2015-M2015+T2015, IF(C2015="Sell",M2015-Q2015-T2015, X)))</f>
        <v/>
      </c>
      <c r="V2015" s="81">
        <f>IF(ISBLANK(P2015),"",U2015/N2015)</f>
        <v/>
      </c>
      <c r="W2015" s="81">
        <f>IF(ISBLANK(P2015),"",IF(S2015=0,(365/0.5)*V2015,(365/S2015)*V2015))</f>
        <v/>
      </c>
      <c r="X2015" s="75" t="n"/>
      <c r="Y2015" s="77" t="n"/>
      <c r="Z2015" s="77" t="n"/>
      <c r="AA2015" s="75" t="n"/>
      <c r="AB2015" s="75" t="n"/>
      <c r="AC2015" s="6" t="n"/>
      <c r="AD2015" s="75" t="n"/>
      <c r="AE2015" s="75" t="n"/>
      <c r="AF2015" s="75" t="n"/>
    </row>
    <row r="2016" ht="15.75" customHeight="1" s="133">
      <c r="A2016" s="75" t="n"/>
      <c r="B2016" s="75" t="n"/>
      <c r="C2016" s="75" t="n"/>
      <c r="D2016" s="75" t="n"/>
      <c r="E2016" s="76" t="n"/>
      <c r="F2016" s="77" t="n"/>
      <c r="G2016" s="75" t="n"/>
      <c r="H2016" s="75">
        <f>IF(ISBLANK(E2016),"",IF(OR(D2016="Butterfly",D2016="Butterfly ",D2016="Iron Fly", D2016="Iron Fly "),LEN(E2016)-LEN(SUBSTITUTE(E2016,"/",""))+2,LEN(E2016)-LEN(SUBSTITUTE(E2016,"/",""))+1))</f>
        <v/>
      </c>
      <c r="I2016" s="78">
        <f>IF(ISBLANK(G2016),"",IF(D2016="Stock","0",Key!$A$3*H2016*G2016))</f>
        <v/>
      </c>
      <c r="J2016" s="78">
        <f>IF(ISBLANK(E2016),"",IF(ISNUMBER(SEARCH("/",E2016)), IF(LEN(E2016)-LEN(SUBSTITUTE(E2016,"/",""))=1,(RIGHT(E2016,LEN(E2016)-FIND("/",E2016)))-(LEFT(E2016,FIND("/",E2016)-1)),(MID(E2016, SEARCH("/",E2016) + 1, SEARCH("/",E2016, SEARCH("/",E2016)+1) - SEARCH("/",E2016) - 1))-(LEFT(E2016,FIND("/",E2016)-1))), "NA"))</f>
        <v/>
      </c>
      <c r="K2016" s="79">
        <f>IF(A2016&lt;&gt;"", IF(ISBLANK(L2016), TODAY(), K2016), "")</f>
        <v/>
      </c>
      <c r="L2016" s="78" t="n"/>
      <c r="M2016" s="78">
        <f>IF(ISBLANK(L2016),"",IF(D2016="Stock",IF(C2016="Buy",L2016*G2016,IF(C2016="Sell",(L2016*G2016)-I2016, X)),IF(C2016="Buy",(L2016*G2016*100)+I2016,IF(C2016="Sell",(L2016*G2016*100)-I2016, X))))</f>
        <v/>
      </c>
      <c r="N2016" s="78">
        <f>IF(ISBLANK(L2016),"",IF(AND(C2016="Sell",D2016="Stock"),M2016,IF(ISBLANK(L2016),"",IF(C2016="Buy",M2016, IF(AND(C2016="Sell",J2016="NA"),(E2016*G2016*100*0.1)+I2016, IF(C2016="Sell",(J2016-L2016)*(100*G2016)+I2016))))))</f>
        <v/>
      </c>
      <c r="O2016" s="75" t="n"/>
      <c r="P2016" s="75" t="n"/>
      <c r="Q2016" s="75">
        <f>IF(ISBLANK(P2016),"",IF(D2016="Stock",P2016*G2016,IF(P2016=0,"0",G2016*P2016*100-(G2016*$AF$14))))</f>
        <v/>
      </c>
      <c r="R2016" s="79">
        <f>IF(P2016&lt;&gt;"", TODAY(), "")</f>
        <v/>
      </c>
      <c r="S2016" s="78">
        <f>IF(AND(K2016&lt;&gt;"", R2016&lt;&gt;""), R2016-K2016, "")</f>
        <v/>
      </c>
      <c r="T2016" s="78" t="n"/>
      <c r="U2016" s="92">
        <f>IF(ISBLANK(P2016),"",IF(C2016="Buy",Q2016-M2016+T2016, IF(C2016="Sell",M2016-Q2016-T2016, X)))</f>
        <v/>
      </c>
      <c r="V2016" s="81">
        <f>IF(ISBLANK(P2016),"",U2016/N2016)</f>
        <v/>
      </c>
      <c r="W2016" s="81">
        <f>IF(ISBLANK(P2016),"",IF(S2016=0,(365/0.5)*V2016,(365/S2016)*V2016))</f>
        <v/>
      </c>
      <c r="X2016" s="75" t="n"/>
      <c r="Y2016" s="77" t="n"/>
      <c r="Z2016" s="77" t="n"/>
      <c r="AA2016" s="75" t="n"/>
      <c r="AB2016" s="75" t="n"/>
      <c r="AC2016" s="6" t="n"/>
      <c r="AD2016" s="75" t="n"/>
      <c r="AE2016" s="75" t="n"/>
      <c r="AF2016" s="75" t="n"/>
    </row>
    <row r="2017" ht="15.75" customHeight="1" s="133">
      <c r="A2017" s="75" t="n"/>
      <c r="B2017" s="75" t="n"/>
      <c r="C2017" s="75" t="n"/>
      <c r="D2017" s="75" t="n"/>
      <c r="E2017" s="76" t="n"/>
      <c r="F2017" s="77" t="n"/>
      <c r="G2017" s="75" t="n"/>
      <c r="H2017" s="75">
        <f>IF(ISBLANK(E2017),"",IF(OR(D2017="Butterfly",D2017="Butterfly ",D2017="Iron Fly", D2017="Iron Fly "),LEN(E2017)-LEN(SUBSTITUTE(E2017,"/",""))+2,LEN(E2017)-LEN(SUBSTITUTE(E2017,"/",""))+1))</f>
        <v/>
      </c>
      <c r="I2017" s="78">
        <f>IF(ISBLANK(G2017),"",IF(D2017="Stock","0",Key!$A$3*H2017*G2017))</f>
        <v/>
      </c>
      <c r="J2017" s="78">
        <f>IF(ISBLANK(E2017),"",IF(ISNUMBER(SEARCH("/",E2017)), IF(LEN(E2017)-LEN(SUBSTITUTE(E2017,"/",""))=1,(RIGHT(E2017,LEN(E2017)-FIND("/",E2017)))-(LEFT(E2017,FIND("/",E2017)-1)),(MID(E2017, SEARCH("/",E2017) + 1, SEARCH("/",E2017, SEARCH("/",E2017)+1) - SEARCH("/",E2017) - 1))-(LEFT(E2017,FIND("/",E2017)-1))), "NA"))</f>
        <v/>
      </c>
      <c r="K2017" s="79">
        <f>IF(A2017&lt;&gt;"", IF(ISBLANK(L2017), TODAY(), K2017), "")</f>
        <v/>
      </c>
      <c r="L2017" s="78" t="n"/>
      <c r="M2017" s="78">
        <f>IF(ISBLANK(L2017),"",IF(D2017="Stock",IF(C2017="Buy",L2017*G2017,IF(C2017="Sell",(L2017*G2017)-I2017, X)),IF(C2017="Buy",(L2017*G2017*100)+I2017,IF(C2017="Sell",(L2017*G2017*100)-I2017, X))))</f>
        <v/>
      </c>
      <c r="N2017" s="78">
        <f>IF(ISBLANK(L2017),"",IF(AND(C2017="Sell",D2017="Stock"),M2017,IF(ISBLANK(L2017),"",IF(C2017="Buy",M2017, IF(AND(C2017="Sell",J2017="NA"),(E2017*G2017*100*0.1)+I2017, IF(C2017="Sell",(J2017-L2017)*(100*G2017)+I2017))))))</f>
        <v/>
      </c>
      <c r="O2017" s="75" t="n"/>
      <c r="P2017" s="75" t="n"/>
      <c r="Q2017" s="75">
        <f>IF(ISBLANK(P2017),"",IF(D2017="Stock",P2017*G2017,IF(P2017=0,"0",G2017*P2017*100-(G2017*$AF$14))))</f>
        <v/>
      </c>
      <c r="R2017" s="79">
        <f>IF(P2017&lt;&gt;"", TODAY(), "")</f>
        <v/>
      </c>
      <c r="S2017" s="78">
        <f>IF(AND(K2017&lt;&gt;"", R2017&lt;&gt;""), R2017-K2017, "")</f>
        <v/>
      </c>
      <c r="T2017" s="78" t="n"/>
      <c r="U2017" s="92">
        <f>IF(ISBLANK(P2017),"",IF(C2017="Buy",Q2017-M2017+T2017, IF(C2017="Sell",M2017-Q2017-T2017, X)))</f>
        <v/>
      </c>
      <c r="V2017" s="81">
        <f>IF(ISBLANK(P2017),"",U2017/N2017)</f>
        <v/>
      </c>
      <c r="W2017" s="81">
        <f>IF(ISBLANK(P2017),"",IF(S2017=0,(365/0.5)*V2017,(365/S2017)*V2017))</f>
        <v/>
      </c>
      <c r="X2017" s="75" t="n"/>
      <c r="Y2017" s="77" t="n"/>
      <c r="Z2017" s="77" t="n"/>
      <c r="AA2017" s="75" t="n"/>
      <c r="AB2017" s="75" t="n"/>
      <c r="AC2017" s="6" t="n"/>
      <c r="AD2017" s="75" t="n"/>
      <c r="AE2017" s="75" t="n"/>
      <c r="AF2017" s="75" t="n"/>
    </row>
    <row r="2018" ht="15.75" customHeight="1" s="133">
      <c r="A2018" s="75" t="n"/>
      <c r="B2018" s="75" t="n"/>
      <c r="C2018" s="75" t="n"/>
      <c r="D2018" s="75" t="n"/>
      <c r="E2018" s="76" t="n"/>
      <c r="F2018" s="77" t="n"/>
      <c r="G2018" s="75" t="n"/>
      <c r="H2018" s="75">
        <f>IF(ISBLANK(E2018),"",IF(OR(D2018="Butterfly",D2018="Butterfly ",D2018="Iron Fly", D2018="Iron Fly "),LEN(E2018)-LEN(SUBSTITUTE(E2018,"/",""))+2,LEN(E2018)-LEN(SUBSTITUTE(E2018,"/",""))+1))</f>
        <v/>
      </c>
      <c r="I2018" s="78">
        <f>IF(ISBLANK(G2018),"",IF(D2018="Stock","0",Key!$A$3*H2018*G2018))</f>
        <v/>
      </c>
      <c r="J2018" s="78">
        <f>IF(ISBLANK(E2018),"",IF(ISNUMBER(SEARCH("/",E2018)), IF(LEN(E2018)-LEN(SUBSTITUTE(E2018,"/",""))=1,(RIGHT(E2018,LEN(E2018)-FIND("/",E2018)))-(LEFT(E2018,FIND("/",E2018)-1)),(MID(E2018, SEARCH("/",E2018) + 1, SEARCH("/",E2018, SEARCH("/",E2018)+1) - SEARCH("/",E2018) - 1))-(LEFT(E2018,FIND("/",E2018)-1))), "NA"))</f>
        <v/>
      </c>
      <c r="K2018" s="79">
        <f>IF(A2018&lt;&gt;"", IF(ISBLANK(L2018), TODAY(), K2018), "")</f>
        <v/>
      </c>
      <c r="L2018" s="78" t="n"/>
      <c r="M2018" s="78">
        <f>IF(ISBLANK(L2018),"",IF(D2018="Stock",IF(C2018="Buy",L2018*G2018,IF(C2018="Sell",(L2018*G2018)-I2018, X)),IF(C2018="Buy",(L2018*G2018*100)+I2018,IF(C2018="Sell",(L2018*G2018*100)-I2018, X))))</f>
        <v/>
      </c>
      <c r="N2018" s="78">
        <f>IF(ISBLANK(L2018),"",IF(AND(C2018="Sell",D2018="Stock"),M2018,IF(ISBLANK(L2018),"",IF(C2018="Buy",M2018, IF(AND(C2018="Sell",J2018="NA"),(E2018*G2018*100*0.1)+I2018, IF(C2018="Sell",(J2018-L2018)*(100*G2018)+I2018))))))</f>
        <v/>
      </c>
      <c r="O2018" s="75" t="n"/>
      <c r="P2018" s="75" t="n"/>
      <c r="Q2018" s="75">
        <f>IF(ISBLANK(P2018),"",IF(D2018="Stock",P2018*G2018,IF(P2018=0,"0",G2018*P2018*100-(G2018*$AF$14))))</f>
        <v/>
      </c>
      <c r="R2018" s="79">
        <f>IF(P2018&lt;&gt;"", TODAY(), "")</f>
        <v/>
      </c>
      <c r="S2018" s="78">
        <f>IF(AND(K2018&lt;&gt;"", R2018&lt;&gt;""), R2018-K2018, "")</f>
        <v/>
      </c>
      <c r="T2018" s="78" t="n"/>
      <c r="U2018" s="92">
        <f>IF(ISBLANK(P2018),"",IF(C2018="Buy",Q2018-M2018+T2018, IF(C2018="Sell",M2018-Q2018-T2018, X)))</f>
        <v/>
      </c>
      <c r="V2018" s="81">
        <f>IF(ISBLANK(P2018),"",U2018/N2018)</f>
        <v/>
      </c>
      <c r="W2018" s="81">
        <f>IF(ISBLANK(P2018),"",IF(S2018=0,(365/0.5)*V2018,(365/S2018)*V2018))</f>
        <v/>
      </c>
      <c r="X2018" s="75" t="n"/>
      <c r="Y2018" s="77" t="n"/>
      <c r="Z2018" s="77" t="n"/>
      <c r="AA2018" s="75" t="n"/>
      <c r="AB2018" s="75" t="n"/>
      <c r="AC2018" s="6" t="n"/>
      <c r="AD2018" s="75" t="n"/>
      <c r="AE2018" s="75" t="n"/>
      <c r="AF2018" s="75" t="n"/>
    </row>
    <row r="2019" ht="15.75" customHeight="1" s="133">
      <c r="A2019" s="75" t="n"/>
      <c r="B2019" s="75" t="n"/>
      <c r="C2019" s="75" t="n"/>
      <c r="D2019" s="75" t="n"/>
      <c r="E2019" s="76" t="n"/>
      <c r="F2019" s="77" t="n"/>
      <c r="G2019" s="75" t="n"/>
      <c r="H2019" s="75">
        <f>IF(ISBLANK(E2019),"",IF(OR(D2019="Butterfly",D2019="Butterfly ",D2019="Iron Fly", D2019="Iron Fly "),LEN(E2019)-LEN(SUBSTITUTE(E2019,"/",""))+2,LEN(E2019)-LEN(SUBSTITUTE(E2019,"/",""))+1))</f>
        <v/>
      </c>
      <c r="I2019" s="78">
        <f>IF(ISBLANK(G2019),"",IF(D2019="Stock","0",Key!$A$3*H2019*G2019))</f>
        <v/>
      </c>
      <c r="J2019" s="78">
        <f>IF(ISBLANK(E2019),"",IF(ISNUMBER(SEARCH("/",E2019)), IF(LEN(E2019)-LEN(SUBSTITUTE(E2019,"/",""))=1,(RIGHT(E2019,LEN(E2019)-FIND("/",E2019)))-(LEFT(E2019,FIND("/",E2019)-1)),(MID(E2019, SEARCH("/",E2019) + 1, SEARCH("/",E2019, SEARCH("/",E2019)+1) - SEARCH("/",E2019) - 1))-(LEFT(E2019,FIND("/",E2019)-1))), "NA"))</f>
        <v/>
      </c>
      <c r="K2019" s="79">
        <f>IF(A2019&lt;&gt;"", IF(ISBLANK(L2019), TODAY(), K2019), "")</f>
        <v/>
      </c>
      <c r="L2019" s="78" t="n"/>
      <c r="M2019" s="78">
        <f>IF(ISBLANK(L2019),"",IF(D2019="Stock",IF(C2019="Buy",L2019*G2019,IF(C2019="Sell",(L2019*G2019)-I2019, X)),IF(C2019="Buy",(L2019*G2019*100)+I2019,IF(C2019="Sell",(L2019*G2019*100)-I2019, X))))</f>
        <v/>
      </c>
      <c r="N2019" s="78">
        <f>IF(ISBLANK(L2019),"",IF(AND(C2019="Sell",D2019="Stock"),M2019,IF(ISBLANK(L2019),"",IF(C2019="Buy",M2019, IF(AND(C2019="Sell",J2019="NA"),(E2019*G2019*100*0.1)+I2019, IF(C2019="Sell",(J2019-L2019)*(100*G2019)+I2019))))))</f>
        <v/>
      </c>
      <c r="O2019" s="75" t="n"/>
      <c r="P2019" s="75" t="n"/>
      <c r="Q2019" s="75">
        <f>IF(ISBLANK(P2019),"",IF(D2019="Stock",P2019*G2019,IF(P2019=0,"0",G2019*P2019*100-(G2019*$AF$14))))</f>
        <v/>
      </c>
      <c r="R2019" s="79">
        <f>IF(P2019&lt;&gt;"", TODAY(), "")</f>
        <v/>
      </c>
      <c r="S2019" s="78">
        <f>IF(AND(K2019&lt;&gt;"", R2019&lt;&gt;""), R2019-K2019, "")</f>
        <v/>
      </c>
      <c r="T2019" s="78" t="n"/>
      <c r="U2019" s="92">
        <f>IF(ISBLANK(P2019),"",IF(C2019="Buy",Q2019-M2019+T2019, IF(C2019="Sell",M2019-Q2019-T2019, X)))</f>
        <v/>
      </c>
      <c r="V2019" s="81">
        <f>IF(ISBLANK(P2019),"",U2019/N2019)</f>
        <v/>
      </c>
      <c r="W2019" s="81">
        <f>IF(ISBLANK(P2019),"",IF(S2019=0,(365/0.5)*V2019,(365/S2019)*V2019))</f>
        <v/>
      </c>
      <c r="X2019" s="75" t="n"/>
      <c r="Y2019" s="77" t="n"/>
      <c r="Z2019" s="77" t="n"/>
      <c r="AA2019" s="75" t="n"/>
      <c r="AB2019" s="75" t="n"/>
      <c r="AC2019" s="6" t="n"/>
      <c r="AD2019" s="75" t="n"/>
      <c r="AE2019" s="75" t="n"/>
      <c r="AF2019" s="75" t="n"/>
    </row>
    <row r="2020" ht="15.75" customHeight="1" s="133">
      <c r="A2020" s="75" t="n"/>
      <c r="B2020" s="75" t="n"/>
      <c r="C2020" s="75" t="n"/>
      <c r="D2020" s="75" t="n"/>
      <c r="E2020" s="76" t="n"/>
      <c r="F2020" s="77" t="n"/>
      <c r="G2020" s="75" t="n"/>
      <c r="H2020" s="75">
        <f>IF(ISBLANK(E2020),"",IF(OR(D2020="Butterfly",D2020="Butterfly ",D2020="Iron Fly", D2020="Iron Fly "),LEN(E2020)-LEN(SUBSTITUTE(E2020,"/",""))+2,LEN(E2020)-LEN(SUBSTITUTE(E2020,"/",""))+1))</f>
        <v/>
      </c>
      <c r="I2020" s="78">
        <f>IF(ISBLANK(G2020),"",IF(D2020="Stock","0",Key!$A$3*H2020*G2020))</f>
        <v/>
      </c>
      <c r="J2020" s="78">
        <f>IF(ISBLANK(E2020),"",IF(ISNUMBER(SEARCH("/",E2020)), IF(LEN(E2020)-LEN(SUBSTITUTE(E2020,"/",""))=1,(RIGHT(E2020,LEN(E2020)-FIND("/",E2020)))-(LEFT(E2020,FIND("/",E2020)-1)),(MID(E2020, SEARCH("/",E2020) + 1, SEARCH("/",E2020, SEARCH("/",E2020)+1) - SEARCH("/",E2020) - 1))-(LEFT(E2020,FIND("/",E2020)-1))), "NA"))</f>
        <v/>
      </c>
      <c r="K2020" s="79">
        <f>IF(A2020&lt;&gt;"", IF(ISBLANK(L2020), TODAY(), K2020), "")</f>
        <v/>
      </c>
      <c r="L2020" s="78" t="n"/>
      <c r="M2020" s="78">
        <f>IF(ISBLANK(L2020),"",IF(D2020="Stock",IF(C2020="Buy",L2020*G2020,IF(C2020="Sell",(L2020*G2020)-I2020, X)),IF(C2020="Buy",(L2020*G2020*100)+I2020,IF(C2020="Sell",(L2020*G2020*100)-I2020, X))))</f>
        <v/>
      </c>
      <c r="N2020" s="78">
        <f>IF(ISBLANK(L2020),"",IF(AND(C2020="Sell",D2020="Stock"),M2020,IF(ISBLANK(L2020),"",IF(C2020="Buy",M2020, IF(AND(C2020="Sell",J2020="NA"),(E2020*G2020*100*0.1)+I2020, IF(C2020="Sell",(J2020-L2020)*(100*G2020)+I2020))))))</f>
        <v/>
      </c>
      <c r="O2020" s="75" t="n"/>
      <c r="P2020" s="75" t="n"/>
      <c r="Q2020" s="75">
        <f>IF(ISBLANK(P2020),"",IF(D2020="Stock",P2020*G2020,IF(P2020=0,"0",G2020*P2020*100-(G2020*$AF$14))))</f>
        <v/>
      </c>
      <c r="R2020" s="79">
        <f>IF(P2020&lt;&gt;"", TODAY(), "")</f>
        <v/>
      </c>
      <c r="S2020" s="78">
        <f>IF(AND(K2020&lt;&gt;"", R2020&lt;&gt;""), R2020-K2020, "")</f>
        <v/>
      </c>
      <c r="T2020" s="78" t="n"/>
      <c r="U2020" s="92">
        <f>IF(ISBLANK(P2020),"",IF(C2020="Buy",Q2020-M2020+T2020, IF(C2020="Sell",M2020-Q2020-T2020, X)))</f>
        <v/>
      </c>
      <c r="V2020" s="81">
        <f>IF(ISBLANK(P2020),"",U2020/N2020)</f>
        <v/>
      </c>
      <c r="W2020" s="81">
        <f>IF(ISBLANK(P2020),"",IF(S2020=0,(365/0.5)*V2020,(365/S2020)*V2020))</f>
        <v/>
      </c>
      <c r="X2020" s="75" t="n"/>
      <c r="Y2020" s="77" t="n"/>
      <c r="Z2020" s="77" t="n"/>
      <c r="AA2020" s="75" t="n"/>
      <c r="AB2020" s="75" t="n"/>
      <c r="AC2020" s="6" t="n"/>
      <c r="AD2020" s="75" t="n"/>
      <c r="AE2020" s="75" t="n"/>
      <c r="AF2020" s="75" t="n"/>
    </row>
    <row r="2021" ht="15.75" customHeight="1" s="133">
      <c r="A2021" s="75" t="n"/>
      <c r="B2021" s="75" t="n"/>
      <c r="C2021" s="75" t="n"/>
      <c r="D2021" s="75" t="n"/>
      <c r="E2021" s="76" t="n"/>
      <c r="F2021" s="77" t="n"/>
      <c r="G2021" s="75" t="n"/>
      <c r="H2021" s="75">
        <f>IF(ISBLANK(E2021),"",IF(OR(D2021="Butterfly",D2021="Butterfly ",D2021="Iron Fly", D2021="Iron Fly "),LEN(E2021)-LEN(SUBSTITUTE(E2021,"/",""))+2,LEN(E2021)-LEN(SUBSTITUTE(E2021,"/",""))+1))</f>
        <v/>
      </c>
      <c r="I2021" s="78">
        <f>IF(ISBLANK(G2021),"",IF(D2021="Stock","0",Key!$A$3*H2021*G2021))</f>
        <v/>
      </c>
      <c r="J2021" s="78">
        <f>IF(ISBLANK(E2021),"",IF(ISNUMBER(SEARCH("/",E2021)), IF(LEN(E2021)-LEN(SUBSTITUTE(E2021,"/",""))=1,(RIGHT(E2021,LEN(E2021)-FIND("/",E2021)))-(LEFT(E2021,FIND("/",E2021)-1)),(MID(E2021, SEARCH("/",E2021) + 1, SEARCH("/",E2021, SEARCH("/",E2021)+1) - SEARCH("/",E2021) - 1))-(LEFT(E2021,FIND("/",E2021)-1))), "NA"))</f>
        <v/>
      </c>
      <c r="K2021" s="79">
        <f>IF(A2021&lt;&gt;"", IF(ISBLANK(L2021), TODAY(), K2021), "")</f>
        <v/>
      </c>
      <c r="L2021" s="78" t="n"/>
      <c r="M2021" s="78">
        <f>IF(ISBLANK(L2021),"",IF(D2021="Stock",IF(C2021="Buy",L2021*G2021,IF(C2021="Sell",(L2021*G2021)-I2021, X)),IF(C2021="Buy",(L2021*G2021*100)+I2021,IF(C2021="Sell",(L2021*G2021*100)-I2021, X))))</f>
        <v/>
      </c>
      <c r="N2021" s="78">
        <f>IF(ISBLANK(L2021),"",IF(AND(C2021="Sell",D2021="Stock"),M2021,IF(ISBLANK(L2021),"",IF(C2021="Buy",M2021, IF(AND(C2021="Sell",J2021="NA"),(E2021*G2021*100*0.1)+I2021, IF(C2021="Sell",(J2021-L2021)*(100*G2021)+I2021))))))</f>
        <v/>
      </c>
      <c r="O2021" s="75" t="n"/>
      <c r="P2021" s="75" t="n"/>
      <c r="Q2021" s="75">
        <f>IF(ISBLANK(P2021),"",IF(D2021="Stock",P2021*G2021,IF(P2021=0,"0",G2021*P2021*100-(G2021*$AF$14))))</f>
        <v/>
      </c>
      <c r="R2021" s="79">
        <f>IF(P2021&lt;&gt;"", TODAY(), "")</f>
        <v/>
      </c>
      <c r="S2021" s="78">
        <f>IF(AND(K2021&lt;&gt;"", R2021&lt;&gt;""), R2021-K2021, "")</f>
        <v/>
      </c>
      <c r="T2021" s="78" t="n"/>
      <c r="U2021" s="92">
        <f>IF(ISBLANK(P2021),"",IF(C2021="Buy",Q2021-M2021+T2021, IF(C2021="Sell",M2021-Q2021-T2021, X)))</f>
        <v/>
      </c>
      <c r="V2021" s="81">
        <f>IF(ISBLANK(P2021),"",U2021/N2021)</f>
        <v/>
      </c>
      <c r="W2021" s="81">
        <f>IF(ISBLANK(P2021),"",IF(S2021=0,(365/0.5)*V2021,(365/S2021)*V2021))</f>
        <v/>
      </c>
      <c r="X2021" s="75" t="n"/>
      <c r="Y2021" s="77" t="n"/>
      <c r="Z2021" s="77" t="n"/>
      <c r="AA2021" s="75" t="n"/>
      <c r="AB2021" s="75" t="n"/>
      <c r="AC2021" s="6" t="n"/>
      <c r="AD2021" s="75" t="n"/>
      <c r="AE2021" s="75" t="n"/>
      <c r="AF2021" s="75" t="n"/>
    </row>
    <row r="2022" ht="15.75" customHeight="1" s="133">
      <c r="A2022" s="75" t="n"/>
      <c r="B2022" s="75" t="n"/>
      <c r="C2022" s="75" t="n"/>
      <c r="D2022" s="75" t="n"/>
      <c r="E2022" s="76" t="n"/>
      <c r="F2022" s="77" t="n"/>
      <c r="G2022" s="75" t="n"/>
      <c r="H2022" s="75">
        <f>IF(ISBLANK(E2022),"",IF(OR(D2022="Butterfly",D2022="Butterfly ",D2022="Iron Fly", D2022="Iron Fly "),LEN(E2022)-LEN(SUBSTITUTE(E2022,"/",""))+2,LEN(E2022)-LEN(SUBSTITUTE(E2022,"/",""))+1))</f>
        <v/>
      </c>
      <c r="I2022" s="78">
        <f>IF(ISBLANK(G2022),"",IF(D2022="Stock","0",Key!$A$3*H2022*G2022))</f>
        <v/>
      </c>
      <c r="J2022" s="78">
        <f>IF(ISBLANK(E2022),"",IF(ISNUMBER(SEARCH("/",E2022)), IF(LEN(E2022)-LEN(SUBSTITUTE(E2022,"/",""))=1,(RIGHT(E2022,LEN(E2022)-FIND("/",E2022)))-(LEFT(E2022,FIND("/",E2022)-1)),(MID(E2022, SEARCH("/",E2022) + 1, SEARCH("/",E2022, SEARCH("/",E2022)+1) - SEARCH("/",E2022) - 1))-(LEFT(E2022,FIND("/",E2022)-1))), "NA"))</f>
        <v/>
      </c>
      <c r="K2022" s="79">
        <f>IF(A2022&lt;&gt;"", IF(ISBLANK(L2022), TODAY(), K2022), "")</f>
        <v/>
      </c>
      <c r="L2022" s="78" t="n"/>
      <c r="M2022" s="78">
        <f>IF(ISBLANK(L2022),"",IF(D2022="Stock",IF(C2022="Buy",L2022*G2022,IF(C2022="Sell",(L2022*G2022)-I2022, X)),IF(C2022="Buy",(L2022*G2022*100)+I2022,IF(C2022="Sell",(L2022*G2022*100)-I2022, X))))</f>
        <v/>
      </c>
      <c r="N2022" s="78">
        <f>IF(ISBLANK(L2022),"",IF(AND(C2022="Sell",D2022="Stock"),M2022,IF(ISBLANK(L2022),"",IF(C2022="Buy",M2022, IF(AND(C2022="Sell",J2022="NA"),(E2022*G2022*100*0.1)+I2022, IF(C2022="Sell",(J2022-L2022)*(100*G2022)+I2022))))))</f>
        <v/>
      </c>
      <c r="O2022" s="75" t="n"/>
      <c r="P2022" s="75" t="n"/>
      <c r="Q2022" s="75">
        <f>IF(ISBLANK(P2022),"",IF(D2022="Stock",P2022*G2022,IF(P2022=0,"0",G2022*P2022*100-(G2022*$AF$14))))</f>
        <v/>
      </c>
      <c r="R2022" s="79">
        <f>IF(P2022&lt;&gt;"", TODAY(), "")</f>
        <v/>
      </c>
      <c r="S2022" s="78">
        <f>IF(AND(K2022&lt;&gt;"", R2022&lt;&gt;""), R2022-K2022, "")</f>
        <v/>
      </c>
      <c r="T2022" s="78" t="n"/>
      <c r="U2022" s="92">
        <f>IF(ISBLANK(P2022),"",IF(C2022="Buy",Q2022-M2022+T2022, IF(C2022="Sell",M2022-Q2022-T2022, X)))</f>
        <v/>
      </c>
      <c r="V2022" s="81">
        <f>IF(ISBLANK(P2022),"",U2022/N2022)</f>
        <v/>
      </c>
      <c r="W2022" s="81">
        <f>IF(ISBLANK(P2022),"",IF(S2022=0,(365/0.5)*V2022,(365/S2022)*V2022))</f>
        <v/>
      </c>
      <c r="X2022" s="75" t="n"/>
      <c r="Y2022" s="77" t="n"/>
      <c r="Z2022" s="77" t="n"/>
      <c r="AA2022" s="75" t="n"/>
      <c r="AB2022" s="75" t="n"/>
      <c r="AC2022" s="6" t="n"/>
      <c r="AD2022" s="75" t="n"/>
      <c r="AE2022" s="75" t="n"/>
      <c r="AF2022" s="75" t="n"/>
    </row>
    <row r="2023" ht="15.75" customHeight="1" s="133">
      <c r="A2023" s="75" t="n"/>
      <c r="B2023" s="75" t="n"/>
      <c r="C2023" s="75" t="n"/>
      <c r="D2023" s="75" t="n"/>
      <c r="E2023" s="76" t="n"/>
      <c r="F2023" s="77" t="n"/>
      <c r="G2023" s="75" t="n"/>
      <c r="H2023" s="75">
        <f>IF(ISBLANK(E2023),"",IF(OR(D2023="Butterfly",D2023="Butterfly ",D2023="Iron Fly", D2023="Iron Fly "),LEN(E2023)-LEN(SUBSTITUTE(E2023,"/",""))+2,LEN(E2023)-LEN(SUBSTITUTE(E2023,"/",""))+1))</f>
        <v/>
      </c>
      <c r="I2023" s="78">
        <f>IF(ISBLANK(G2023),"",IF(D2023="Stock","0",Key!$A$3*H2023*G2023))</f>
        <v/>
      </c>
      <c r="J2023" s="78">
        <f>IF(ISBLANK(E2023),"",IF(ISNUMBER(SEARCH("/",E2023)), IF(LEN(E2023)-LEN(SUBSTITUTE(E2023,"/",""))=1,(RIGHT(E2023,LEN(E2023)-FIND("/",E2023)))-(LEFT(E2023,FIND("/",E2023)-1)),(MID(E2023, SEARCH("/",E2023) + 1, SEARCH("/",E2023, SEARCH("/",E2023)+1) - SEARCH("/",E2023) - 1))-(LEFT(E2023,FIND("/",E2023)-1))), "NA"))</f>
        <v/>
      </c>
      <c r="K2023" s="79">
        <f>IF(A2023&lt;&gt;"", IF(ISBLANK(L2023), TODAY(), K2023), "")</f>
        <v/>
      </c>
      <c r="L2023" s="78" t="n"/>
      <c r="M2023" s="78">
        <f>IF(ISBLANK(L2023),"",IF(D2023="Stock",IF(C2023="Buy",L2023*G2023,IF(C2023="Sell",(L2023*G2023)-I2023, X)),IF(C2023="Buy",(L2023*G2023*100)+I2023,IF(C2023="Sell",(L2023*G2023*100)-I2023, X))))</f>
        <v/>
      </c>
      <c r="N2023" s="78">
        <f>IF(ISBLANK(L2023),"",IF(AND(C2023="Sell",D2023="Stock"),M2023,IF(ISBLANK(L2023),"",IF(C2023="Buy",M2023, IF(AND(C2023="Sell",J2023="NA"),(E2023*G2023*100*0.1)+I2023, IF(C2023="Sell",(J2023-L2023)*(100*G2023)+I2023))))))</f>
        <v/>
      </c>
      <c r="O2023" s="75" t="n"/>
      <c r="P2023" s="75" t="n"/>
      <c r="Q2023" s="75">
        <f>IF(ISBLANK(P2023),"",IF(D2023="Stock",P2023*G2023,IF(P2023=0,"0",G2023*P2023*100-(G2023*$AF$14))))</f>
        <v/>
      </c>
      <c r="R2023" s="79">
        <f>IF(P2023&lt;&gt;"", TODAY(), "")</f>
        <v/>
      </c>
      <c r="S2023" s="78">
        <f>IF(AND(K2023&lt;&gt;"", R2023&lt;&gt;""), R2023-K2023, "")</f>
        <v/>
      </c>
      <c r="T2023" s="78" t="n"/>
      <c r="U2023" s="92">
        <f>IF(ISBLANK(P2023),"",IF(C2023="Buy",Q2023-M2023+T2023, IF(C2023="Sell",M2023-Q2023-T2023, X)))</f>
        <v/>
      </c>
      <c r="V2023" s="81">
        <f>IF(ISBLANK(P2023),"",U2023/N2023)</f>
        <v/>
      </c>
      <c r="W2023" s="81">
        <f>IF(ISBLANK(P2023),"",IF(S2023=0,(365/0.5)*V2023,(365/S2023)*V2023))</f>
        <v/>
      </c>
      <c r="X2023" s="75" t="n"/>
      <c r="Y2023" s="77" t="n"/>
      <c r="Z2023" s="77" t="n"/>
      <c r="AA2023" s="75" t="n"/>
      <c r="AB2023" s="75" t="n"/>
      <c r="AC2023" s="6" t="n"/>
      <c r="AD2023" s="75" t="n"/>
      <c r="AE2023" s="75" t="n"/>
      <c r="AF2023" s="75" t="n"/>
    </row>
    <row r="2024" ht="15.75" customHeight="1" s="133">
      <c r="A2024" s="75" t="n"/>
      <c r="B2024" s="75" t="n"/>
      <c r="C2024" s="75" t="n"/>
      <c r="D2024" s="75" t="n"/>
      <c r="E2024" s="76" t="n"/>
      <c r="F2024" s="77" t="n"/>
      <c r="G2024" s="75" t="n"/>
      <c r="H2024" s="75">
        <f>IF(ISBLANK(E2024),"",IF(OR(D2024="Butterfly",D2024="Butterfly ",D2024="Iron Fly", D2024="Iron Fly "),LEN(E2024)-LEN(SUBSTITUTE(E2024,"/",""))+2,LEN(E2024)-LEN(SUBSTITUTE(E2024,"/",""))+1))</f>
        <v/>
      </c>
      <c r="I2024" s="78">
        <f>IF(ISBLANK(G2024),"",IF(D2024="Stock","0",Key!$A$3*H2024*G2024))</f>
        <v/>
      </c>
      <c r="J2024" s="78">
        <f>IF(ISBLANK(E2024),"",IF(ISNUMBER(SEARCH("/",E2024)), IF(LEN(E2024)-LEN(SUBSTITUTE(E2024,"/",""))=1,(RIGHT(E2024,LEN(E2024)-FIND("/",E2024)))-(LEFT(E2024,FIND("/",E2024)-1)),(MID(E2024, SEARCH("/",E2024) + 1, SEARCH("/",E2024, SEARCH("/",E2024)+1) - SEARCH("/",E2024) - 1))-(LEFT(E2024,FIND("/",E2024)-1))), "NA"))</f>
        <v/>
      </c>
      <c r="K2024" s="79">
        <f>IF(A2024&lt;&gt;"", IF(ISBLANK(L2024), TODAY(), K2024), "")</f>
        <v/>
      </c>
      <c r="L2024" s="78" t="n"/>
      <c r="M2024" s="78">
        <f>IF(ISBLANK(L2024),"",IF(D2024="Stock",IF(C2024="Buy",L2024*G2024,IF(C2024="Sell",(L2024*G2024)-I2024, X)),IF(C2024="Buy",(L2024*G2024*100)+I2024,IF(C2024="Sell",(L2024*G2024*100)-I2024, X))))</f>
        <v/>
      </c>
      <c r="N2024" s="78">
        <f>IF(ISBLANK(L2024),"",IF(AND(C2024="Sell",D2024="Stock"),M2024,IF(ISBLANK(L2024),"",IF(C2024="Buy",M2024, IF(AND(C2024="Sell",J2024="NA"),(E2024*G2024*100*0.1)+I2024, IF(C2024="Sell",(J2024-L2024)*(100*G2024)+I2024))))))</f>
        <v/>
      </c>
      <c r="O2024" s="75" t="n"/>
      <c r="P2024" s="75" t="n"/>
      <c r="Q2024" s="75">
        <f>IF(ISBLANK(P2024),"",IF(D2024="Stock",P2024*G2024,IF(P2024=0,"0",G2024*P2024*100-(G2024*$AF$14))))</f>
        <v/>
      </c>
      <c r="R2024" s="79">
        <f>IF(P2024&lt;&gt;"", TODAY(), "")</f>
        <v/>
      </c>
      <c r="S2024" s="78">
        <f>IF(AND(K2024&lt;&gt;"", R2024&lt;&gt;""), R2024-K2024, "")</f>
        <v/>
      </c>
      <c r="T2024" s="78" t="n"/>
      <c r="U2024" s="92">
        <f>IF(ISBLANK(P2024),"",IF(C2024="Buy",Q2024-M2024+T2024, IF(C2024="Sell",M2024-Q2024-T2024, X)))</f>
        <v/>
      </c>
      <c r="V2024" s="81">
        <f>IF(ISBLANK(P2024),"",U2024/N2024)</f>
        <v/>
      </c>
      <c r="W2024" s="81">
        <f>IF(ISBLANK(P2024),"",IF(S2024=0,(365/0.5)*V2024,(365/S2024)*V2024))</f>
        <v/>
      </c>
      <c r="X2024" s="75" t="n"/>
      <c r="Y2024" s="77" t="n"/>
      <c r="Z2024" s="77" t="n"/>
      <c r="AA2024" s="75" t="n"/>
      <c r="AB2024" s="75" t="n"/>
      <c r="AC2024" s="6" t="n"/>
      <c r="AD2024" s="75" t="n"/>
      <c r="AE2024" s="75" t="n"/>
      <c r="AF2024" s="75" t="n"/>
    </row>
    <row r="2025" ht="15.75" customHeight="1" s="133">
      <c r="A2025" s="75" t="n"/>
      <c r="B2025" s="75" t="n"/>
      <c r="C2025" s="75" t="n"/>
      <c r="D2025" s="75" t="n"/>
      <c r="E2025" s="76" t="n"/>
      <c r="F2025" s="77" t="n"/>
      <c r="G2025" s="75" t="n"/>
      <c r="H2025" s="75">
        <f>IF(ISBLANK(E2025),"",IF(OR(D2025="Butterfly",D2025="Butterfly ",D2025="Iron Fly", D2025="Iron Fly "),LEN(E2025)-LEN(SUBSTITUTE(E2025,"/",""))+2,LEN(E2025)-LEN(SUBSTITUTE(E2025,"/",""))+1))</f>
        <v/>
      </c>
      <c r="I2025" s="78">
        <f>IF(ISBLANK(G2025),"",IF(D2025="Stock","0",Key!$A$3*H2025*G2025))</f>
        <v/>
      </c>
      <c r="J2025" s="78">
        <f>IF(ISBLANK(E2025),"",IF(ISNUMBER(SEARCH("/",E2025)), IF(LEN(E2025)-LEN(SUBSTITUTE(E2025,"/",""))=1,(RIGHT(E2025,LEN(E2025)-FIND("/",E2025)))-(LEFT(E2025,FIND("/",E2025)-1)),(MID(E2025, SEARCH("/",E2025) + 1, SEARCH("/",E2025, SEARCH("/",E2025)+1) - SEARCH("/",E2025) - 1))-(LEFT(E2025,FIND("/",E2025)-1))), "NA"))</f>
        <v/>
      </c>
      <c r="K2025" s="79">
        <f>IF(A2025&lt;&gt;"", IF(ISBLANK(L2025), TODAY(), K2025), "")</f>
        <v/>
      </c>
      <c r="L2025" s="78" t="n"/>
      <c r="M2025" s="78">
        <f>IF(ISBLANK(L2025),"",IF(D2025="Stock",IF(C2025="Buy",L2025*G2025,IF(C2025="Sell",(L2025*G2025)-I2025, X)),IF(C2025="Buy",(L2025*G2025*100)+I2025,IF(C2025="Sell",(L2025*G2025*100)-I2025, X))))</f>
        <v/>
      </c>
      <c r="N2025" s="78">
        <f>IF(ISBLANK(L2025),"",IF(AND(C2025="Sell",D2025="Stock"),M2025,IF(ISBLANK(L2025),"",IF(C2025="Buy",M2025, IF(AND(C2025="Sell",J2025="NA"),(E2025*G2025*100*0.1)+I2025, IF(C2025="Sell",(J2025-L2025)*(100*G2025)+I2025))))))</f>
        <v/>
      </c>
      <c r="O2025" s="75" t="n"/>
      <c r="P2025" s="75" t="n"/>
      <c r="Q2025" s="75">
        <f>IF(ISBLANK(P2025),"",IF(D2025="Stock",P2025*G2025,IF(P2025=0,"0",G2025*P2025*100-(G2025*$AF$14))))</f>
        <v/>
      </c>
      <c r="R2025" s="79">
        <f>IF(P2025&lt;&gt;"", TODAY(), "")</f>
        <v/>
      </c>
      <c r="S2025" s="78">
        <f>IF(AND(K2025&lt;&gt;"", R2025&lt;&gt;""), R2025-K2025, "")</f>
        <v/>
      </c>
      <c r="T2025" s="78" t="n"/>
      <c r="U2025" s="92">
        <f>IF(ISBLANK(P2025),"",IF(C2025="Buy",Q2025-M2025+T2025, IF(C2025="Sell",M2025-Q2025-T2025, X)))</f>
        <v/>
      </c>
      <c r="V2025" s="81">
        <f>IF(ISBLANK(P2025),"",U2025/N2025)</f>
        <v/>
      </c>
      <c r="W2025" s="81">
        <f>IF(ISBLANK(P2025),"",IF(S2025=0,(365/0.5)*V2025,(365/S2025)*V2025))</f>
        <v/>
      </c>
      <c r="X2025" s="75" t="n"/>
      <c r="Y2025" s="77" t="n"/>
      <c r="Z2025" s="77" t="n"/>
      <c r="AA2025" s="75" t="n"/>
      <c r="AB2025" s="75" t="n"/>
      <c r="AC2025" s="6" t="n"/>
      <c r="AD2025" s="75" t="n"/>
      <c r="AE2025" s="75" t="n"/>
      <c r="AF2025" s="75" t="n"/>
    </row>
    <row r="2026" ht="15.75" customHeight="1" s="133">
      <c r="A2026" s="75" t="n"/>
      <c r="B2026" s="75" t="n"/>
      <c r="C2026" s="75" t="n"/>
      <c r="D2026" s="75" t="n"/>
      <c r="E2026" s="76" t="n"/>
      <c r="F2026" s="77" t="n"/>
      <c r="G2026" s="75" t="n"/>
      <c r="H2026" s="75">
        <f>IF(ISBLANK(E2026),"",IF(OR(D2026="Butterfly",D2026="Butterfly ",D2026="Iron Fly", D2026="Iron Fly "),LEN(E2026)-LEN(SUBSTITUTE(E2026,"/",""))+2,LEN(E2026)-LEN(SUBSTITUTE(E2026,"/",""))+1))</f>
        <v/>
      </c>
      <c r="I2026" s="78">
        <f>IF(ISBLANK(G2026),"",IF(D2026="Stock","0",Key!$A$3*H2026*G2026))</f>
        <v/>
      </c>
      <c r="J2026" s="78">
        <f>IF(ISBLANK(E2026),"",IF(ISNUMBER(SEARCH("/",E2026)), IF(LEN(E2026)-LEN(SUBSTITUTE(E2026,"/",""))=1,(RIGHT(E2026,LEN(E2026)-FIND("/",E2026)))-(LEFT(E2026,FIND("/",E2026)-1)),(MID(E2026, SEARCH("/",E2026) + 1, SEARCH("/",E2026, SEARCH("/",E2026)+1) - SEARCH("/",E2026) - 1))-(LEFT(E2026,FIND("/",E2026)-1))), "NA"))</f>
        <v/>
      </c>
      <c r="K2026" s="79">
        <f>IF(A2026&lt;&gt;"", IF(ISBLANK(L2026), TODAY(), K2026), "")</f>
        <v/>
      </c>
      <c r="L2026" s="78" t="n"/>
      <c r="M2026" s="78">
        <f>IF(ISBLANK(L2026),"",IF(D2026="Stock",IF(C2026="Buy",L2026*G2026,IF(C2026="Sell",(L2026*G2026)-I2026, X)),IF(C2026="Buy",(L2026*G2026*100)+I2026,IF(C2026="Sell",(L2026*G2026*100)-I2026, X))))</f>
        <v/>
      </c>
      <c r="N2026" s="78">
        <f>IF(ISBLANK(L2026),"",IF(AND(C2026="Sell",D2026="Stock"),M2026,IF(ISBLANK(L2026),"",IF(C2026="Buy",M2026, IF(AND(C2026="Sell",J2026="NA"),(E2026*G2026*100*0.1)+I2026, IF(C2026="Sell",(J2026-L2026)*(100*G2026)+I2026))))))</f>
        <v/>
      </c>
      <c r="O2026" s="75" t="n"/>
      <c r="P2026" s="75" t="n"/>
      <c r="Q2026" s="75">
        <f>IF(ISBLANK(P2026),"",IF(D2026="Stock",P2026*G2026,IF(P2026=0,"0",G2026*P2026*100-(G2026*$AF$14))))</f>
        <v/>
      </c>
      <c r="R2026" s="79">
        <f>IF(P2026&lt;&gt;"", TODAY(), "")</f>
        <v/>
      </c>
      <c r="S2026" s="78">
        <f>IF(AND(K2026&lt;&gt;"", R2026&lt;&gt;""), R2026-K2026, "")</f>
        <v/>
      </c>
      <c r="T2026" s="78" t="n"/>
      <c r="U2026" s="92">
        <f>IF(ISBLANK(P2026),"",IF(C2026="Buy",Q2026-M2026+T2026, IF(C2026="Sell",M2026-Q2026-T2026, X)))</f>
        <v/>
      </c>
      <c r="V2026" s="81">
        <f>IF(ISBLANK(P2026),"",U2026/N2026)</f>
        <v/>
      </c>
      <c r="W2026" s="81">
        <f>IF(ISBLANK(P2026),"",IF(S2026=0,(365/0.5)*V2026,(365/S2026)*V2026))</f>
        <v/>
      </c>
      <c r="X2026" s="75" t="n"/>
      <c r="Y2026" s="77" t="n"/>
      <c r="Z2026" s="77" t="n"/>
      <c r="AA2026" s="75" t="n"/>
      <c r="AB2026" s="75" t="n"/>
      <c r="AC2026" s="6" t="n"/>
      <c r="AD2026" s="75" t="n"/>
      <c r="AE2026" s="75" t="n"/>
      <c r="AF2026" s="75" t="n"/>
    </row>
    <row r="2027" ht="15.75" customHeight="1" s="133">
      <c r="A2027" s="75" t="n"/>
      <c r="B2027" s="75" t="n"/>
      <c r="C2027" s="75" t="n"/>
      <c r="D2027" s="75" t="n"/>
      <c r="E2027" s="76" t="n"/>
      <c r="F2027" s="77" t="n"/>
      <c r="G2027" s="75" t="n"/>
      <c r="H2027" s="75">
        <f>IF(ISBLANK(E2027),"",IF(OR(D2027="Butterfly",D2027="Butterfly ",D2027="Iron Fly", D2027="Iron Fly "),LEN(E2027)-LEN(SUBSTITUTE(E2027,"/",""))+2,LEN(E2027)-LEN(SUBSTITUTE(E2027,"/",""))+1))</f>
        <v/>
      </c>
      <c r="I2027" s="78">
        <f>IF(ISBLANK(G2027),"",IF(D2027="Stock","0",Key!$A$3*H2027*G2027))</f>
        <v/>
      </c>
      <c r="J2027" s="78">
        <f>IF(ISBLANK(E2027),"",IF(ISNUMBER(SEARCH("/",E2027)), IF(LEN(E2027)-LEN(SUBSTITUTE(E2027,"/",""))=1,(RIGHT(E2027,LEN(E2027)-FIND("/",E2027)))-(LEFT(E2027,FIND("/",E2027)-1)),(MID(E2027, SEARCH("/",E2027) + 1, SEARCH("/",E2027, SEARCH("/",E2027)+1) - SEARCH("/",E2027) - 1))-(LEFT(E2027,FIND("/",E2027)-1))), "NA"))</f>
        <v/>
      </c>
      <c r="K2027" s="79">
        <f>IF(A2027&lt;&gt;"", IF(ISBLANK(L2027), TODAY(), K2027), "")</f>
        <v/>
      </c>
      <c r="L2027" s="78" t="n"/>
      <c r="M2027" s="78">
        <f>IF(ISBLANK(L2027),"",IF(D2027="Stock",IF(C2027="Buy",L2027*G2027,IF(C2027="Sell",(L2027*G2027)-I2027, X)),IF(C2027="Buy",(L2027*G2027*100)+I2027,IF(C2027="Sell",(L2027*G2027*100)-I2027, X))))</f>
        <v/>
      </c>
      <c r="N2027" s="78">
        <f>IF(ISBLANK(L2027),"",IF(AND(C2027="Sell",D2027="Stock"),M2027,IF(ISBLANK(L2027),"",IF(C2027="Buy",M2027, IF(AND(C2027="Sell",J2027="NA"),(E2027*G2027*100*0.1)+I2027, IF(C2027="Sell",(J2027-L2027)*(100*G2027)+I2027))))))</f>
        <v/>
      </c>
      <c r="O2027" s="75" t="n"/>
      <c r="P2027" s="75" t="n"/>
      <c r="Q2027" s="75">
        <f>IF(ISBLANK(P2027),"",IF(D2027="Stock",P2027*G2027,IF(P2027=0,"0",G2027*P2027*100-(G2027*$AF$14))))</f>
        <v/>
      </c>
      <c r="R2027" s="79">
        <f>IF(P2027&lt;&gt;"", TODAY(), "")</f>
        <v/>
      </c>
      <c r="S2027" s="78">
        <f>IF(AND(K2027&lt;&gt;"", R2027&lt;&gt;""), R2027-K2027, "")</f>
        <v/>
      </c>
      <c r="T2027" s="78" t="n"/>
      <c r="U2027" s="92">
        <f>IF(ISBLANK(P2027),"",IF(C2027="Buy",Q2027-M2027+T2027, IF(C2027="Sell",M2027-Q2027-T2027, X)))</f>
        <v/>
      </c>
      <c r="V2027" s="81">
        <f>IF(ISBLANK(P2027),"",U2027/N2027)</f>
        <v/>
      </c>
      <c r="W2027" s="81">
        <f>IF(ISBLANK(P2027),"",IF(S2027=0,(365/0.5)*V2027,(365/S2027)*V2027))</f>
        <v/>
      </c>
      <c r="X2027" s="75" t="n"/>
      <c r="Y2027" s="77" t="n"/>
      <c r="Z2027" s="77" t="n"/>
      <c r="AA2027" s="75" t="n"/>
      <c r="AB2027" s="75" t="n"/>
      <c r="AC2027" s="6" t="n"/>
      <c r="AD2027" s="75" t="n"/>
      <c r="AE2027" s="75" t="n"/>
      <c r="AF2027" s="75" t="n"/>
    </row>
    <row r="2028" ht="15.75" customHeight="1" s="133">
      <c r="A2028" s="75" t="n"/>
      <c r="B2028" s="75" t="n"/>
      <c r="C2028" s="75" t="n"/>
      <c r="D2028" s="75" t="n"/>
      <c r="E2028" s="76" t="n"/>
      <c r="F2028" s="77" t="n"/>
      <c r="G2028" s="75" t="n"/>
      <c r="H2028" s="75">
        <f>IF(ISBLANK(E2028),"",IF(OR(D2028="Butterfly",D2028="Butterfly ",D2028="Iron Fly", D2028="Iron Fly "),LEN(E2028)-LEN(SUBSTITUTE(E2028,"/",""))+2,LEN(E2028)-LEN(SUBSTITUTE(E2028,"/",""))+1))</f>
        <v/>
      </c>
      <c r="I2028" s="78">
        <f>IF(ISBLANK(G2028),"",IF(D2028="Stock","0",Key!$A$3*H2028*G2028))</f>
        <v/>
      </c>
      <c r="J2028" s="78">
        <f>IF(ISBLANK(E2028),"",IF(ISNUMBER(SEARCH("/",E2028)), IF(LEN(E2028)-LEN(SUBSTITUTE(E2028,"/",""))=1,(RIGHT(E2028,LEN(E2028)-FIND("/",E2028)))-(LEFT(E2028,FIND("/",E2028)-1)),(MID(E2028, SEARCH("/",E2028) + 1, SEARCH("/",E2028, SEARCH("/",E2028)+1) - SEARCH("/",E2028) - 1))-(LEFT(E2028,FIND("/",E2028)-1))), "NA"))</f>
        <v/>
      </c>
      <c r="K2028" s="79">
        <f>IF(A2028&lt;&gt;"", IF(ISBLANK(L2028), TODAY(), K2028), "")</f>
        <v/>
      </c>
      <c r="L2028" s="78" t="n"/>
      <c r="M2028" s="78">
        <f>IF(ISBLANK(L2028),"",IF(D2028="Stock",IF(C2028="Buy",L2028*G2028,IF(C2028="Sell",(L2028*G2028)-I2028, X)),IF(C2028="Buy",(L2028*G2028*100)+I2028,IF(C2028="Sell",(L2028*G2028*100)-I2028, X))))</f>
        <v/>
      </c>
      <c r="N2028" s="78">
        <f>IF(ISBLANK(L2028),"",IF(AND(C2028="Sell",D2028="Stock"),M2028,IF(ISBLANK(L2028),"",IF(C2028="Buy",M2028, IF(AND(C2028="Sell",J2028="NA"),(E2028*G2028*100*0.1)+I2028, IF(C2028="Sell",(J2028-L2028)*(100*G2028)+I2028))))))</f>
        <v/>
      </c>
      <c r="O2028" s="75" t="n"/>
      <c r="P2028" s="75" t="n"/>
      <c r="Q2028" s="75">
        <f>IF(ISBLANK(P2028),"",IF(D2028="Stock",P2028*G2028,IF(P2028=0,"0",G2028*P2028*100-(G2028*$AF$14))))</f>
        <v/>
      </c>
      <c r="R2028" s="79">
        <f>IF(P2028&lt;&gt;"", TODAY(), "")</f>
        <v/>
      </c>
      <c r="S2028" s="78">
        <f>IF(AND(K2028&lt;&gt;"", R2028&lt;&gt;""), R2028-K2028, "")</f>
        <v/>
      </c>
      <c r="T2028" s="78" t="n"/>
      <c r="U2028" s="92">
        <f>IF(ISBLANK(P2028),"",IF(C2028="Buy",Q2028-M2028+T2028, IF(C2028="Sell",M2028-Q2028-T2028, X)))</f>
        <v/>
      </c>
      <c r="V2028" s="81">
        <f>IF(ISBLANK(P2028),"",U2028/N2028)</f>
        <v/>
      </c>
      <c r="W2028" s="81">
        <f>IF(ISBLANK(P2028),"",IF(S2028=0,(365/0.5)*V2028,(365/S2028)*V2028))</f>
        <v/>
      </c>
      <c r="X2028" s="75" t="n"/>
      <c r="Y2028" s="77" t="n"/>
      <c r="Z2028" s="77" t="n"/>
      <c r="AA2028" s="75" t="n"/>
      <c r="AB2028" s="75" t="n"/>
      <c r="AC2028" s="6" t="n"/>
      <c r="AD2028" s="75" t="n"/>
      <c r="AE2028" s="75" t="n"/>
      <c r="AF2028" s="75" t="n"/>
    </row>
    <row r="2029" ht="15.75" customHeight="1" s="133">
      <c r="A2029" s="75" t="n"/>
      <c r="B2029" s="75" t="n"/>
      <c r="C2029" s="75" t="n"/>
      <c r="D2029" s="75" t="n"/>
      <c r="E2029" s="76" t="n"/>
      <c r="F2029" s="77" t="n"/>
      <c r="G2029" s="75" t="n"/>
      <c r="H2029" s="75">
        <f>IF(ISBLANK(E2029),"",IF(OR(D2029="Butterfly",D2029="Butterfly ",D2029="Iron Fly", D2029="Iron Fly "),LEN(E2029)-LEN(SUBSTITUTE(E2029,"/",""))+2,LEN(E2029)-LEN(SUBSTITUTE(E2029,"/",""))+1))</f>
        <v/>
      </c>
      <c r="I2029" s="78">
        <f>IF(ISBLANK(G2029),"",IF(D2029="Stock","0",Key!$A$3*H2029*G2029))</f>
        <v/>
      </c>
      <c r="J2029" s="78">
        <f>IF(ISBLANK(E2029),"",IF(ISNUMBER(SEARCH("/",E2029)), IF(LEN(E2029)-LEN(SUBSTITUTE(E2029,"/",""))=1,(RIGHT(E2029,LEN(E2029)-FIND("/",E2029)))-(LEFT(E2029,FIND("/",E2029)-1)),(MID(E2029, SEARCH("/",E2029) + 1, SEARCH("/",E2029, SEARCH("/",E2029)+1) - SEARCH("/",E2029) - 1))-(LEFT(E2029,FIND("/",E2029)-1))), "NA"))</f>
        <v/>
      </c>
      <c r="K2029" s="79">
        <f>IF(A2029&lt;&gt;"", IF(ISBLANK(L2029), TODAY(), K2029), "")</f>
        <v/>
      </c>
      <c r="L2029" s="78" t="n"/>
      <c r="M2029" s="78">
        <f>IF(ISBLANK(L2029),"",IF(D2029="Stock",IF(C2029="Buy",L2029*G2029,IF(C2029="Sell",(L2029*G2029)-I2029, X)),IF(C2029="Buy",(L2029*G2029*100)+I2029,IF(C2029="Sell",(L2029*G2029*100)-I2029, X))))</f>
        <v/>
      </c>
      <c r="N2029" s="78">
        <f>IF(ISBLANK(L2029),"",IF(AND(C2029="Sell",D2029="Stock"),M2029,IF(ISBLANK(L2029),"",IF(C2029="Buy",M2029, IF(AND(C2029="Sell",J2029="NA"),(E2029*G2029*100*0.1)+I2029, IF(C2029="Sell",(J2029-L2029)*(100*G2029)+I2029))))))</f>
        <v/>
      </c>
      <c r="O2029" s="75" t="n"/>
      <c r="P2029" s="75" t="n"/>
      <c r="Q2029" s="75">
        <f>IF(ISBLANK(P2029),"",IF(D2029="Stock",P2029*G2029,IF(P2029=0,"0",G2029*P2029*100-(G2029*$AF$14))))</f>
        <v/>
      </c>
      <c r="R2029" s="79">
        <f>IF(P2029&lt;&gt;"", TODAY(), "")</f>
        <v/>
      </c>
      <c r="S2029" s="78">
        <f>IF(AND(K2029&lt;&gt;"", R2029&lt;&gt;""), R2029-K2029, "")</f>
        <v/>
      </c>
      <c r="T2029" s="78" t="n"/>
      <c r="U2029" s="92">
        <f>IF(ISBLANK(P2029),"",IF(C2029="Buy",Q2029-M2029+T2029, IF(C2029="Sell",M2029-Q2029-T2029, X)))</f>
        <v/>
      </c>
      <c r="V2029" s="81">
        <f>IF(ISBLANK(P2029),"",U2029/N2029)</f>
        <v/>
      </c>
      <c r="W2029" s="81">
        <f>IF(ISBLANK(P2029),"",IF(S2029=0,(365/0.5)*V2029,(365/S2029)*V2029))</f>
        <v/>
      </c>
      <c r="X2029" s="75" t="n"/>
      <c r="Y2029" s="77" t="n"/>
      <c r="Z2029" s="77" t="n"/>
      <c r="AA2029" s="75" t="n"/>
      <c r="AB2029" s="75" t="n"/>
      <c r="AC2029" s="6" t="n"/>
      <c r="AD2029" s="75" t="n"/>
      <c r="AE2029" s="75" t="n"/>
      <c r="AF2029" s="75" t="n"/>
    </row>
    <row r="2030" ht="15.75" customHeight="1" s="133">
      <c r="A2030" s="75" t="n"/>
      <c r="B2030" s="75" t="n"/>
      <c r="C2030" s="75" t="n"/>
      <c r="D2030" s="75" t="n"/>
      <c r="E2030" s="76" t="n"/>
      <c r="F2030" s="77" t="n"/>
      <c r="G2030" s="75" t="n"/>
      <c r="H2030" s="75">
        <f>IF(ISBLANK(E2030),"",IF(OR(D2030="Butterfly",D2030="Butterfly ",D2030="Iron Fly", D2030="Iron Fly "),LEN(E2030)-LEN(SUBSTITUTE(E2030,"/",""))+2,LEN(E2030)-LEN(SUBSTITUTE(E2030,"/",""))+1))</f>
        <v/>
      </c>
      <c r="I2030" s="78">
        <f>IF(ISBLANK(G2030),"",IF(D2030="Stock","0",Key!$A$3*H2030*G2030))</f>
        <v/>
      </c>
      <c r="J2030" s="78">
        <f>IF(ISBLANK(E2030),"",IF(ISNUMBER(SEARCH("/",E2030)), IF(LEN(E2030)-LEN(SUBSTITUTE(E2030,"/",""))=1,(RIGHT(E2030,LEN(E2030)-FIND("/",E2030)))-(LEFT(E2030,FIND("/",E2030)-1)),(MID(E2030, SEARCH("/",E2030) + 1, SEARCH("/",E2030, SEARCH("/",E2030)+1) - SEARCH("/",E2030) - 1))-(LEFT(E2030,FIND("/",E2030)-1))), "NA"))</f>
        <v/>
      </c>
      <c r="K2030" s="79">
        <f>IF(A2030&lt;&gt;"", IF(ISBLANK(L2030), TODAY(), K2030), "")</f>
        <v/>
      </c>
      <c r="L2030" s="78" t="n"/>
      <c r="M2030" s="78">
        <f>IF(ISBLANK(L2030),"",IF(D2030="Stock",IF(C2030="Buy",L2030*G2030,IF(C2030="Sell",(L2030*G2030)-I2030, X)),IF(C2030="Buy",(L2030*G2030*100)+I2030,IF(C2030="Sell",(L2030*G2030*100)-I2030, X))))</f>
        <v/>
      </c>
      <c r="N2030" s="78">
        <f>IF(ISBLANK(L2030),"",IF(AND(C2030="Sell",D2030="Stock"),M2030,IF(ISBLANK(L2030),"",IF(C2030="Buy",M2030, IF(AND(C2030="Sell",J2030="NA"),(E2030*G2030*100*0.1)+I2030, IF(C2030="Sell",(J2030-L2030)*(100*G2030)+I2030))))))</f>
        <v/>
      </c>
      <c r="O2030" s="75" t="n"/>
      <c r="P2030" s="75" t="n"/>
      <c r="Q2030" s="75">
        <f>IF(ISBLANK(P2030),"",IF(D2030="Stock",P2030*G2030,IF(P2030=0,"0",G2030*P2030*100-(G2030*$AF$14))))</f>
        <v/>
      </c>
      <c r="R2030" s="79">
        <f>IF(P2030&lt;&gt;"", TODAY(), "")</f>
        <v/>
      </c>
      <c r="S2030" s="78">
        <f>IF(AND(K2030&lt;&gt;"", R2030&lt;&gt;""), R2030-K2030, "")</f>
        <v/>
      </c>
      <c r="T2030" s="78" t="n"/>
      <c r="U2030" s="92">
        <f>IF(ISBLANK(P2030),"",IF(C2030="Buy",Q2030-M2030+T2030, IF(C2030="Sell",M2030-Q2030-T2030, X)))</f>
        <v/>
      </c>
      <c r="V2030" s="81">
        <f>IF(ISBLANK(P2030),"",U2030/N2030)</f>
        <v/>
      </c>
      <c r="W2030" s="81">
        <f>IF(ISBLANK(P2030),"",IF(S2030=0,(365/0.5)*V2030,(365/S2030)*V2030))</f>
        <v/>
      </c>
      <c r="X2030" s="75" t="n"/>
      <c r="Y2030" s="77" t="n"/>
      <c r="Z2030" s="77" t="n"/>
      <c r="AA2030" s="75" t="n"/>
      <c r="AB2030" s="75" t="n"/>
      <c r="AC2030" s="6" t="n"/>
      <c r="AD2030" s="75" t="n"/>
      <c r="AE2030" s="75" t="n"/>
      <c r="AF2030" s="75" t="n"/>
    </row>
    <row r="2031" ht="15.75" customHeight="1" s="133">
      <c r="A2031" s="75" t="n"/>
      <c r="B2031" s="75" t="n"/>
      <c r="C2031" s="75" t="n"/>
      <c r="D2031" s="75" t="n"/>
      <c r="E2031" s="76" t="n"/>
      <c r="F2031" s="77" t="n"/>
      <c r="G2031" s="75" t="n"/>
      <c r="H2031" s="75">
        <f>IF(ISBLANK(E2031),"",IF(OR(D2031="Butterfly",D2031="Butterfly ",D2031="Iron Fly", D2031="Iron Fly "),LEN(E2031)-LEN(SUBSTITUTE(E2031,"/",""))+2,LEN(E2031)-LEN(SUBSTITUTE(E2031,"/",""))+1))</f>
        <v/>
      </c>
      <c r="I2031" s="78">
        <f>IF(ISBLANK(G2031),"",IF(D2031="Stock","0",Key!$A$3*H2031*G2031))</f>
        <v/>
      </c>
      <c r="J2031" s="78">
        <f>IF(ISBLANK(E2031),"",IF(ISNUMBER(SEARCH("/",E2031)), IF(LEN(E2031)-LEN(SUBSTITUTE(E2031,"/",""))=1,(RIGHT(E2031,LEN(E2031)-FIND("/",E2031)))-(LEFT(E2031,FIND("/",E2031)-1)),(MID(E2031, SEARCH("/",E2031) + 1, SEARCH("/",E2031, SEARCH("/",E2031)+1) - SEARCH("/",E2031) - 1))-(LEFT(E2031,FIND("/",E2031)-1))), "NA"))</f>
        <v/>
      </c>
      <c r="K2031" s="79">
        <f>IF(A2031&lt;&gt;"", IF(ISBLANK(L2031), TODAY(), K2031), "")</f>
        <v/>
      </c>
      <c r="L2031" s="78" t="n"/>
      <c r="M2031" s="78">
        <f>IF(ISBLANK(L2031),"",IF(D2031="Stock",IF(C2031="Buy",L2031*G2031,IF(C2031="Sell",(L2031*G2031)-I2031, X)),IF(C2031="Buy",(L2031*G2031*100)+I2031,IF(C2031="Sell",(L2031*G2031*100)-I2031, X))))</f>
        <v/>
      </c>
      <c r="N2031" s="78">
        <f>IF(ISBLANK(L2031),"",IF(AND(C2031="Sell",D2031="Stock"),M2031,IF(ISBLANK(L2031),"",IF(C2031="Buy",M2031, IF(AND(C2031="Sell",J2031="NA"),(E2031*G2031*100*0.1)+I2031, IF(C2031="Sell",(J2031-L2031)*(100*G2031)+I2031))))))</f>
        <v/>
      </c>
      <c r="O2031" s="75" t="n"/>
      <c r="P2031" s="75" t="n"/>
      <c r="Q2031" s="75">
        <f>IF(ISBLANK(P2031),"",IF(D2031="Stock",P2031*G2031,IF(P2031=0,"0",G2031*P2031*100-(G2031*$AF$14))))</f>
        <v/>
      </c>
      <c r="R2031" s="79">
        <f>IF(P2031&lt;&gt;"", TODAY(), "")</f>
        <v/>
      </c>
      <c r="S2031" s="78">
        <f>IF(AND(K2031&lt;&gt;"", R2031&lt;&gt;""), R2031-K2031, "")</f>
        <v/>
      </c>
      <c r="T2031" s="78" t="n"/>
      <c r="U2031" s="92">
        <f>IF(ISBLANK(P2031),"",IF(C2031="Buy",Q2031-M2031+T2031, IF(C2031="Sell",M2031-Q2031-T2031, X)))</f>
        <v/>
      </c>
      <c r="V2031" s="81">
        <f>IF(ISBLANK(P2031),"",U2031/N2031)</f>
        <v/>
      </c>
      <c r="W2031" s="81">
        <f>IF(ISBLANK(P2031),"",IF(S2031=0,(365/0.5)*V2031,(365/S2031)*V2031))</f>
        <v/>
      </c>
      <c r="X2031" s="75" t="n"/>
      <c r="Y2031" s="77" t="n"/>
      <c r="Z2031" s="77" t="n"/>
      <c r="AA2031" s="75" t="n"/>
      <c r="AB2031" s="75" t="n"/>
      <c r="AC2031" s="6" t="n"/>
      <c r="AD2031" s="75" t="n"/>
      <c r="AE2031" s="75" t="n"/>
      <c r="AF2031" s="75" t="n"/>
    </row>
    <row r="2032" ht="15.75" customHeight="1" s="133">
      <c r="A2032" s="75" t="n"/>
      <c r="B2032" s="75" t="n"/>
      <c r="C2032" s="75" t="n"/>
      <c r="D2032" s="75" t="n"/>
      <c r="E2032" s="76" t="n"/>
      <c r="F2032" s="77" t="n"/>
      <c r="G2032" s="75" t="n"/>
      <c r="H2032" s="75">
        <f>IF(ISBLANK(E2032),"",IF(OR(D2032="Butterfly",D2032="Butterfly ",D2032="Iron Fly", D2032="Iron Fly "),LEN(E2032)-LEN(SUBSTITUTE(E2032,"/",""))+2,LEN(E2032)-LEN(SUBSTITUTE(E2032,"/",""))+1))</f>
        <v/>
      </c>
      <c r="I2032" s="78">
        <f>IF(ISBLANK(G2032),"",IF(D2032="Stock","0",Key!$A$3*H2032*G2032))</f>
        <v/>
      </c>
      <c r="J2032" s="78">
        <f>IF(ISBLANK(E2032),"",IF(ISNUMBER(SEARCH("/",E2032)), IF(LEN(E2032)-LEN(SUBSTITUTE(E2032,"/",""))=1,(RIGHT(E2032,LEN(E2032)-FIND("/",E2032)))-(LEFT(E2032,FIND("/",E2032)-1)),(MID(E2032, SEARCH("/",E2032) + 1, SEARCH("/",E2032, SEARCH("/",E2032)+1) - SEARCH("/",E2032) - 1))-(LEFT(E2032,FIND("/",E2032)-1))), "NA"))</f>
        <v/>
      </c>
      <c r="K2032" s="79">
        <f>IF(A2032&lt;&gt;"", IF(ISBLANK(L2032), TODAY(), K2032), "")</f>
        <v/>
      </c>
      <c r="L2032" s="78" t="n"/>
      <c r="M2032" s="78">
        <f>IF(ISBLANK(L2032),"",IF(D2032="Stock",IF(C2032="Buy",L2032*G2032,IF(C2032="Sell",(L2032*G2032)-I2032, X)),IF(C2032="Buy",(L2032*G2032*100)+I2032,IF(C2032="Sell",(L2032*G2032*100)-I2032, X))))</f>
        <v/>
      </c>
      <c r="N2032" s="78">
        <f>IF(ISBLANK(L2032),"",IF(AND(C2032="Sell",D2032="Stock"),M2032,IF(ISBLANK(L2032),"",IF(C2032="Buy",M2032, IF(AND(C2032="Sell",J2032="NA"),(E2032*G2032*100*0.1)+I2032, IF(C2032="Sell",(J2032-L2032)*(100*G2032)+I2032))))))</f>
        <v/>
      </c>
      <c r="O2032" s="75" t="n"/>
      <c r="P2032" s="75" t="n"/>
      <c r="Q2032" s="75">
        <f>IF(ISBLANK(P2032),"",IF(D2032="Stock",P2032*G2032,IF(P2032=0,"0",G2032*P2032*100-(G2032*$AF$14))))</f>
        <v/>
      </c>
      <c r="R2032" s="79">
        <f>IF(P2032&lt;&gt;"", TODAY(), "")</f>
        <v/>
      </c>
      <c r="S2032" s="78">
        <f>IF(AND(K2032&lt;&gt;"", R2032&lt;&gt;""), R2032-K2032, "")</f>
        <v/>
      </c>
      <c r="T2032" s="78" t="n"/>
      <c r="U2032" s="92">
        <f>IF(ISBLANK(P2032),"",IF(C2032="Buy",Q2032-M2032+T2032, IF(C2032="Sell",M2032-Q2032-T2032, X)))</f>
        <v/>
      </c>
      <c r="V2032" s="81">
        <f>IF(ISBLANK(P2032),"",U2032/N2032)</f>
        <v/>
      </c>
      <c r="W2032" s="81">
        <f>IF(ISBLANK(P2032),"",IF(S2032=0,(365/0.5)*V2032,(365/S2032)*V2032))</f>
        <v/>
      </c>
      <c r="X2032" s="75" t="n"/>
      <c r="Y2032" s="77" t="n"/>
      <c r="Z2032" s="77" t="n"/>
      <c r="AA2032" s="75" t="n"/>
      <c r="AB2032" s="75" t="n"/>
      <c r="AC2032" s="6" t="n"/>
      <c r="AD2032" s="75" t="n"/>
      <c r="AE2032" s="75" t="n"/>
      <c r="AF2032" s="75" t="n"/>
    </row>
    <row r="2033" ht="15.75" customHeight="1" s="133">
      <c r="A2033" s="75" t="n"/>
      <c r="B2033" s="75" t="n"/>
      <c r="C2033" s="75" t="n"/>
      <c r="D2033" s="75" t="n"/>
      <c r="E2033" s="76" t="n"/>
      <c r="F2033" s="77" t="n"/>
      <c r="G2033" s="75" t="n"/>
      <c r="H2033" s="75">
        <f>IF(ISBLANK(E2033),"",IF(OR(D2033="Butterfly",D2033="Butterfly ",D2033="Iron Fly", D2033="Iron Fly "),LEN(E2033)-LEN(SUBSTITUTE(E2033,"/",""))+2,LEN(E2033)-LEN(SUBSTITUTE(E2033,"/",""))+1))</f>
        <v/>
      </c>
      <c r="I2033" s="78">
        <f>IF(ISBLANK(G2033),"",IF(D2033="Stock","0",Key!$A$3*H2033*G2033))</f>
        <v/>
      </c>
      <c r="J2033" s="78">
        <f>IF(ISBLANK(E2033),"",IF(ISNUMBER(SEARCH("/",E2033)), IF(LEN(E2033)-LEN(SUBSTITUTE(E2033,"/",""))=1,(RIGHT(E2033,LEN(E2033)-FIND("/",E2033)))-(LEFT(E2033,FIND("/",E2033)-1)),(MID(E2033, SEARCH("/",E2033) + 1, SEARCH("/",E2033, SEARCH("/",E2033)+1) - SEARCH("/",E2033) - 1))-(LEFT(E2033,FIND("/",E2033)-1))), "NA"))</f>
        <v/>
      </c>
      <c r="K2033" s="79">
        <f>IF(A2033&lt;&gt;"", IF(ISBLANK(L2033), TODAY(), K2033), "")</f>
        <v/>
      </c>
      <c r="L2033" s="78" t="n"/>
      <c r="M2033" s="78">
        <f>IF(ISBLANK(L2033),"",IF(D2033="Stock",IF(C2033="Buy",L2033*G2033,IF(C2033="Sell",(L2033*G2033)-I2033, X)),IF(C2033="Buy",(L2033*G2033*100)+I2033,IF(C2033="Sell",(L2033*G2033*100)-I2033, X))))</f>
        <v/>
      </c>
      <c r="N2033" s="78">
        <f>IF(ISBLANK(L2033),"",IF(AND(C2033="Sell",D2033="Stock"),M2033,IF(ISBLANK(L2033),"",IF(C2033="Buy",M2033, IF(AND(C2033="Sell",J2033="NA"),(E2033*G2033*100*0.1)+I2033, IF(C2033="Sell",(J2033-L2033)*(100*G2033)+I2033))))))</f>
        <v/>
      </c>
      <c r="O2033" s="75" t="n"/>
      <c r="P2033" s="75" t="n"/>
      <c r="Q2033" s="75">
        <f>IF(ISBLANK(P2033),"",IF(D2033="Stock",P2033*G2033,IF(P2033=0,"0",G2033*P2033*100-(G2033*$AF$14))))</f>
        <v/>
      </c>
      <c r="R2033" s="79">
        <f>IF(P2033&lt;&gt;"", TODAY(), "")</f>
        <v/>
      </c>
      <c r="S2033" s="78">
        <f>IF(AND(K2033&lt;&gt;"", R2033&lt;&gt;""), R2033-K2033, "")</f>
        <v/>
      </c>
      <c r="T2033" s="78" t="n"/>
      <c r="U2033" s="92">
        <f>IF(ISBLANK(P2033),"",IF(C2033="Buy",Q2033-M2033+T2033, IF(C2033="Sell",M2033-Q2033-T2033, X)))</f>
        <v/>
      </c>
      <c r="V2033" s="81">
        <f>IF(ISBLANK(P2033),"",U2033/N2033)</f>
        <v/>
      </c>
      <c r="W2033" s="81">
        <f>IF(ISBLANK(P2033),"",IF(S2033=0,(365/0.5)*V2033,(365/S2033)*V2033))</f>
        <v/>
      </c>
      <c r="X2033" s="75" t="n"/>
      <c r="Y2033" s="77" t="n"/>
      <c r="Z2033" s="77" t="n"/>
      <c r="AA2033" s="75" t="n"/>
      <c r="AB2033" s="75" t="n"/>
      <c r="AC2033" s="6" t="n"/>
      <c r="AD2033" s="75" t="n"/>
      <c r="AE2033" s="75" t="n"/>
      <c r="AF2033" s="75" t="n"/>
    </row>
    <row r="2034" ht="15.75" customHeight="1" s="133">
      <c r="A2034" s="75" t="n"/>
      <c r="B2034" s="75" t="n"/>
      <c r="C2034" s="75" t="n"/>
      <c r="D2034" s="75" t="n"/>
      <c r="E2034" s="76" t="n"/>
      <c r="F2034" s="77" t="n"/>
      <c r="G2034" s="75" t="n"/>
      <c r="H2034" s="75">
        <f>IF(ISBLANK(E2034),"",IF(OR(D2034="Butterfly",D2034="Butterfly ",D2034="Iron Fly", D2034="Iron Fly "),LEN(E2034)-LEN(SUBSTITUTE(E2034,"/",""))+2,LEN(E2034)-LEN(SUBSTITUTE(E2034,"/",""))+1))</f>
        <v/>
      </c>
      <c r="I2034" s="78">
        <f>IF(ISBLANK(G2034),"",IF(D2034="Stock","0",Key!$A$3*H2034*G2034))</f>
        <v/>
      </c>
      <c r="J2034" s="78">
        <f>IF(ISBLANK(E2034),"",IF(ISNUMBER(SEARCH("/",E2034)), IF(LEN(E2034)-LEN(SUBSTITUTE(E2034,"/",""))=1,(RIGHT(E2034,LEN(E2034)-FIND("/",E2034)))-(LEFT(E2034,FIND("/",E2034)-1)),(MID(E2034, SEARCH("/",E2034) + 1, SEARCH("/",E2034, SEARCH("/",E2034)+1) - SEARCH("/",E2034) - 1))-(LEFT(E2034,FIND("/",E2034)-1))), "NA"))</f>
        <v/>
      </c>
      <c r="K2034" s="79">
        <f>IF(A2034&lt;&gt;"", IF(ISBLANK(L2034), TODAY(), K2034), "")</f>
        <v/>
      </c>
      <c r="L2034" s="78" t="n"/>
      <c r="M2034" s="78">
        <f>IF(ISBLANK(L2034),"",IF(D2034="Stock",IF(C2034="Buy",L2034*G2034,IF(C2034="Sell",(L2034*G2034)-I2034, X)),IF(C2034="Buy",(L2034*G2034*100)+I2034,IF(C2034="Sell",(L2034*G2034*100)-I2034, X))))</f>
        <v/>
      </c>
      <c r="N2034" s="78">
        <f>IF(ISBLANK(L2034),"",IF(AND(C2034="Sell",D2034="Stock"),M2034,IF(ISBLANK(L2034),"",IF(C2034="Buy",M2034, IF(AND(C2034="Sell",J2034="NA"),(E2034*G2034*100*0.1)+I2034, IF(C2034="Sell",(J2034-L2034)*(100*G2034)+I2034))))))</f>
        <v/>
      </c>
      <c r="O2034" s="75" t="n"/>
      <c r="P2034" s="75" t="n"/>
      <c r="Q2034" s="75">
        <f>IF(ISBLANK(P2034),"",IF(D2034="Stock",P2034*G2034,IF(P2034=0,"0",G2034*P2034*100-(G2034*$AF$14))))</f>
        <v/>
      </c>
      <c r="R2034" s="79">
        <f>IF(P2034&lt;&gt;"", TODAY(), "")</f>
        <v/>
      </c>
      <c r="S2034" s="78">
        <f>IF(AND(K2034&lt;&gt;"", R2034&lt;&gt;""), R2034-K2034, "")</f>
        <v/>
      </c>
      <c r="T2034" s="78" t="n"/>
      <c r="U2034" s="92">
        <f>IF(ISBLANK(P2034),"",IF(C2034="Buy",Q2034-M2034+T2034, IF(C2034="Sell",M2034-Q2034-T2034, X)))</f>
        <v/>
      </c>
      <c r="V2034" s="81">
        <f>IF(ISBLANK(P2034),"",U2034/N2034)</f>
        <v/>
      </c>
      <c r="W2034" s="81">
        <f>IF(ISBLANK(P2034),"",IF(S2034=0,(365/0.5)*V2034,(365/S2034)*V2034))</f>
        <v/>
      </c>
      <c r="X2034" s="75" t="n"/>
      <c r="Y2034" s="77" t="n"/>
      <c r="Z2034" s="77" t="n"/>
      <c r="AA2034" s="75" t="n"/>
      <c r="AB2034" s="75" t="n"/>
      <c r="AC2034" s="6" t="n"/>
      <c r="AD2034" s="75" t="n"/>
      <c r="AE2034" s="75" t="n"/>
      <c r="AF2034" s="75" t="n"/>
    </row>
    <row r="2035" ht="15.75" customHeight="1" s="133">
      <c r="A2035" s="75" t="n"/>
      <c r="B2035" s="75" t="n"/>
      <c r="C2035" s="75" t="n"/>
      <c r="D2035" s="75" t="n"/>
      <c r="E2035" s="76" t="n"/>
      <c r="F2035" s="77" t="n"/>
      <c r="G2035" s="75" t="n"/>
      <c r="H2035" s="75">
        <f>IF(ISBLANK(E2035),"",IF(OR(D2035="Butterfly",D2035="Butterfly ",D2035="Iron Fly", D2035="Iron Fly "),LEN(E2035)-LEN(SUBSTITUTE(E2035,"/",""))+2,LEN(E2035)-LEN(SUBSTITUTE(E2035,"/",""))+1))</f>
        <v/>
      </c>
      <c r="I2035" s="78">
        <f>IF(ISBLANK(G2035),"",IF(D2035="Stock","0",Key!$A$3*H2035*G2035))</f>
        <v/>
      </c>
      <c r="J2035" s="78">
        <f>IF(ISBLANK(E2035),"",IF(ISNUMBER(SEARCH("/",E2035)), IF(LEN(E2035)-LEN(SUBSTITUTE(E2035,"/",""))=1,(RIGHT(E2035,LEN(E2035)-FIND("/",E2035)))-(LEFT(E2035,FIND("/",E2035)-1)),(MID(E2035, SEARCH("/",E2035) + 1, SEARCH("/",E2035, SEARCH("/",E2035)+1) - SEARCH("/",E2035) - 1))-(LEFT(E2035,FIND("/",E2035)-1))), "NA"))</f>
        <v/>
      </c>
      <c r="K2035" s="79">
        <f>IF(A2035&lt;&gt;"", IF(ISBLANK(L2035), TODAY(), K2035), "")</f>
        <v/>
      </c>
      <c r="L2035" s="78" t="n"/>
      <c r="M2035" s="78">
        <f>IF(ISBLANK(L2035),"",IF(D2035="Stock",IF(C2035="Buy",L2035*G2035,IF(C2035="Sell",(L2035*G2035)-I2035, X)),IF(C2035="Buy",(L2035*G2035*100)+I2035,IF(C2035="Sell",(L2035*G2035*100)-I2035, X))))</f>
        <v/>
      </c>
      <c r="N2035" s="78">
        <f>IF(ISBLANK(L2035),"",IF(AND(C2035="Sell",D2035="Stock"),M2035,IF(ISBLANK(L2035),"",IF(C2035="Buy",M2035, IF(AND(C2035="Sell",J2035="NA"),(E2035*G2035*100*0.1)+I2035, IF(C2035="Sell",(J2035-L2035)*(100*G2035)+I2035))))))</f>
        <v/>
      </c>
      <c r="O2035" s="75" t="n"/>
      <c r="P2035" s="75" t="n"/>
      <c r="Q2035" s="75">
        <f>IF(ISBLANK(P2035),"",IF(D2035="Stock",P2035*G2035,IF(P2035=0,"0",G2035*P2035*100-(G2035*$AF$14))))</f>
        <v/>
      </c>
      <c r="R2035" s="79">
        <f>IF(P2035&lt;&gt;"", TODAY(), "")</f>
        <v/>
      </c>
      <c r="S2035" s="78">
        <f>IF(AND(K2035&lt;&gt;"", R2035&lt;&gt;""), R2035-K2035, "")</f>
        <v/>
      </c>
      <c r="T2035" s="78" t="n"/>
      <c r="U2035" s="92">
        <f>IF(ISBLANK(P2035),"",IF(C2035="Buy",Q2035-M2035+T2035, IF(C2035="Sell",M2035-Q2035-T2035, X)))</f>
        <v/>
      </c>
      <c r="V2035" s="81">
        <f>IF(ISBLANK(P2035),"",U2035/N2035)</f>
        <v/>
      </c>
      <c r="W2035" s="81">
        <f>IF(ISBLANK(P2035),"",IF(S2035=0,(365/0.5)*V2035,(365/S2035)*V2035))</f>
        <v/>
      </c>
      <c r="X2035" s="75" t="n"/>
      <c r="Y2035" s="77" t="n"/>
      <c r="Z2035" s="77" t="n"/>
      <c r="AA2035" s="75" t="n"/>
      <c r="AB2035" s="75" t="n"/>
      <c r="AC2035" s="6" t="n"/>
      <c r="AD2035" s="75" t="n"/>
      <c r="AE2035" s="75" t="n"/>
      <c r="AF2035" s="75" t="n"/>
    </row>
    <row r="2036" ht="15.75" customHeight="1" s="133">
      <c r="A2036" s="75" t="n"/>
      <c r="B2036" s="75" t="n"/>
      <c r="C2036" s="75" t="n"/>
      <c r="D2036" s="75" t="n"/>
      <c r="E2036" s="76" t="n"/>
      <c r="F2036" s="77" t="n"/>
      <c r="G2036" s="75" t="n"/>
      <c r="H2036" s="75">
        <f>IF(ISBLANK(E2036),"",IF(OR(D2036="Butterfly",D2036="Butterfly ",D2036="Iron Fly", D2036="Iron Fly "),LEN(E2036)-LEN(SUBSTITUTE(E2036,"/",""))+2,LEN(E2036)-LEN(SUBSTITUTE(E2036,"/",""))+1))</f>
        <v/>
      </c>
      <c r="I2036" s="78">
        <f>IF(ISBLANK(G2036),"",IF(D2036="Stock","0",Key!$A$3*H2036*G2036))</f>
        <v/>
      </c>
      <c r="J2036" s="78">
        <f>IF(ISBLANK(E2036),"",IF(ISNUMBER(SEARCH("/",E2036)), IF(LEN(E2036)-LEN(SUBSTITUTE(E2036,"/",""))=1,(RIGHT(E2036,LEN(E2036)-FIND("/",E2036)))-(LEFT(E2036,FIND("/",E2036)-1)),(MID(E2036, SEARCH("/",E2036) + 1, SEARCH("/",E2036, SEARCH("/",E2036)+1) - SEARCH("/",E2036) - 1))-(LEFT(E2036,FIND("/",E2036)-1))), "NA"))</f>
        <v/>
      </c>
      <c r="K2036" s="79">
        <f>IF(A2036&lt;&gt;"", IF(ISBLANK(L2036), TODAY(), K2036), "")</f>
        <v/>
      </c>
      <c r="L2036" s="78" t="n"/>
      <c r="M2036" s="78">
        <f>IF(ISBLANK(L2036),"",IF(D2036="Stock",IF(C2036="Buy",L2036*G2036,IF(C2036="Sell",(L2036*G2036)-I2036, X)),IF(C2036="Buy",(L2036*G2036*100)+I2036,IF(C2036="Sell",(L2036*G2036*100)-I2036, X))))</f>
        <v/>
      </c>
      <c r="N2036" s="78">
        <f>IF(ISBLANK(L2036),"",IF(AND(C2036="Sell",D2036="Stock"),M2036,IF(ISBLANK(L2036),"",IF(C2036="Buy",M2036, IF(AND(C2036="Sell",J2036="NA"),(E2036*G2036*100*0.1)+I2036, IF(C2036="Sell",(J2036-L2036)*(100*G2036)+I2036))))))</f>
        <v/>
      </c>
      <c r="O2036" s="75" t="n"/>
      <c r="P2036" s="75" t="n"/>
      <c r="Q2036" s="75">
        <f>IF(ISBLANK(P2036),"",IF(D2036="Stock",P2036*G2036,IF(P2036=0,"0",G2036*P2036*100-(G2036*$AF$14))))</f>
        <v/>
      </c>
      <c r="R2036" s="79">
        <f>IF(P2036&lt;&gt;"", TODAY(), "")</f>
        <v/>
      </c>
      <c r="S2036" s="78">
        <f>IF(AND(K2036&lt;&gt;"", R2036&lt;&gt;""), R2036-K2036, "")</f>
        <v/>
      </c>
      <c r="T2036" s="78" t="n"/>
      <c r="U2036" s="92">
        <f>IF(ISBLANK(P2036),"",IF(C2036="Buy",Q2036-M2036+T2036, IF(C2036="Sell",M2036-Q2036-T2036, X)))</f>
        <v/>
      </c>
      <c r="V2036" s="81">
        <f>IF(ISBLANK(P2036),"",U2036/N2036)</f>
        <v/>
      </c>
      <c r="W2036" s="81">
        <f>IF(ISBLANK(P2036),"",IF(S2036=0,(365/0.5)*V2036,(365/S2036)*V2036))</f>
        <v/>
      </c>
      <c r="X2036" s="75" t="n"/>
      <c r="Y2036" s="77" t="n"/>
      <c r="Z2036" s="77" t="n"/>
      <c r="AA2036" s="75" t="n"/>
      <c r="AB2036" s="75" t="n"/>
      <c r="AC2036" s="6" t="n"/>
      <c r="AD2036" s="75" t="n"/>
      <c r="AE2036" s="75" t="n"/>
      <c r="AF2036" s="75" t="n"/>
    </row>
    <row r="2037" ht="15.75" customHeight="1" s="133">
      <c r="A2037" s="75" t="n"/>
      <c r="B2037" s="75" t="n"/>
      <c r="C2037" s="75" t="n"/>
      <c r="D2037" s="75" t="n"/>
      <c r="E2037" s="76" t="n"/>
      <c r="F2037" s="77" t="n"/>
      <c r="G2037" s="75" t="n"/>
      <c r="H2037" s="75">
        <f>IF(ISBLANK(E2037),"",IF(OR(D2037="Butterfly",D2037="Butterfly ",D2037="Iron Fly", D2037="Iron Fly "),LEN(E2037)-LEN(SUBSTITUTE(E2037,"/",""))+2,LEN(E2037)-LEN(SUBSTITUTE(E2037,"/",""))+1))</f>
        <v/>
      </c>
      <c r="I2037" s="78">
        <f>IF(ISBLANK(G2037),"",IF(D2037="Stock","0",Key!$A$3*H2037*G2037))</f>
        <v/>
      </c>
      <c r="J2037" s="78">
        <f>IF(ISBLANK(E2037),"",IF(ISNUMBER(SEARCH("/",E2037)), IF(LEN(E2037)-LEN(SUBSTITUTE(E2037,"/",""))=1,(RIGHT(E2037,LEN(E2037)-FIND("/",E2037)))-(LEFT(E2037,FIND("/",E2037)-1)),(MID(E2037, SEARCH("/",E2037) + 1, SEARCH("/",E2037, SEARCH("/",E2037)+1) - SEARCH("/",E2037) - 1))-(LEFT(E2037,FIND("/",E2037)-1))), "NA"))</f>
        <v/>
      </c>
      <c r="K2037" s="79">
        <f>IF(A2037&lt;&gt;"", IF(ISBLANK(L2037), TODAY(), K2037), "")</f>
        <v/>
      </c>
      <c r="L2037" s="78" t="n"/>
      <c r="M2037" s="78">
        <f>IF(ISBLANK(L2037),"",IF(D2037="Stock",IF(C2037="Buy",L2037*G2037,IF(C2037="Sell",(L2037*G2037)-I2037, X)),IF(C2037="Buy",(L2037*G2037*100)+I2037,IF(C2037="Sell",(L2037*G2037*100)-I2037, X))))</f>
        <v/>
      </c>
      <c r="N2037" s="78">
        <f>IF(ISBLANK(L2037),"",IF(AND(C2037="Sell",D2037="Stock"),M2037,IF(ISBLANK(L2037),"",IF(C2037="Buy",M2037, IF(AND(C2037="Sell",J2037="NA"),(E2037*G2037*100*0.1)+I2037, IF(C2037="Sell",(J2037-L2037)*(100*G2037)+I2037))))))</f>
        <v/>
      </c>
      <c r="O2037" s="75" t="n"/>
      <c r="P2037" s="75" t="n"/>
      <c r="Q2037" s="75">
        <f>IF(ISBLANK(P2037),"",IF(D2037="Stock",P2037*G2037,IF(P2037=0,"0",G2037*P2037*100-(G2037*$AF$14))))</f>
        <v/>
      </c>
      <c r="R2037" s="79">
        <f>IF(P2037&lt;&gt;"", TODAY(), "")</f>
        <v/>
      </c>
      <c r="S2037" s="78">
        <f>IF(AND(K2037&lt;&gt;"", R2037&lt;&gt;""), R2037-K2037, "")</f>
        <v/>
      </c>
      <c r="T2037" s="78" t="n"/>
      <c r="U2037" s="92">
        <f>IF(ISBLANK(P2037),"",IF(C2037="Buy",Q2037-M2037+T2037, IF(C2037="Sell",M2037-Q2037-T2037, X)))</f>
        <v/>
      </c>
      <c r="V2037" s="81">
        <f>IF(ISBLANK(P2037),"",U2037/N2037)</f>
        <v/>
      </c>
      <c r="W2037" s="81">
        <f>IF(ISBLANK(P2037),"",IF(S2037=0,(365/0.5)*V2037,(365/S2037)*V2037))</f>
        <v/>
      </c>
      <c r="X2037" s="75" t="n"/>
      <c r="Y2037" s="77" t="n"/>
      <c r="Z2037" s="77" t="n"/>
      <c r="AA2037" s="75" t="n"/>
      <c r="AB2037" s="75" t="n"/>
      <c r="AC2037" s="6" t="n"/>
      <c r="AD2037" s="75" t="n"/>
      <c r="AE2037" s="75" t="n"/>
      <c r="AF2037" s="75" t="n"/>
    </row>
    <row r="2038" ht="15.75" customHeight="1" s="133">
      <c r="A2038" s="75" t="n"/>
      <c r="B2038" s="75" t="n"/>
      <c r="C2038" s="75" t="n"/>
      <c r="D2038" s="75" t="n"/>
      <c r="E2038" s="76" t="n"/>
      <c r="F2038" s="77" t="n"/>
      <c r="G2038" s="75" t="n"/>
      <c r="H2038" s="75">
        <f>IF(ISBLANK(E2038),"",IF(OR(D2038="Butterfly",D2038="Butterfly ",D2038="Iron Fly", D2038="Iron Fly "),LEN(E2038)-LEN(SUBSTITUTE(E2038,"/",""))+2,LEN(E2038)-LEN(SUBSTITUTE(E2038,"/",""))+1))</f>
        <v/>
      </c>
      <c r="I2038" s="78">
        <f>IF(ISBLANK(G2038),"",IF(D2038="Stock","0",Key!$A$3*H2038*G2038))</f>
        <v/>
      </c>
      <c r="J2038" s="78">
        <f>IF(ISBLANK(E2038),"",IF(ISNUMBER(SEARCH("/",E2038)), IF(LEN(E2038)-LEN(SUBSTITUTE(E2038,"/",""))=1,(RIGHT(E2038,LEN(E2038)-FIND("/",E2038)))-(LEFT(E2038,FIND("/",E2038)-1)),(MID(E2038, SEARCH("/",E2038) + 1, SEARCH("/",E2038, SEARCH("/",E2038)+1) - SEARCH("/",E2038) - 1))-(LEFT(E2038,FIND("/",E2038)-1))), "NA"))</f>
        <v/>
      </c>
      <c r="K2038" s="79">
        <f>IF(A2038&lt;&gt;"", IF(ISBLANK(L2038), TODAY(), K2038), "")</f>
        <v/>
      </c>
      <c r="L2038" s="78" t="n"/>
      <c r="M2038" s="78">
        <f>IF(ISBLANK(L2038),"",IF(D2038="Stock",IF(C2038="Buy",L2038*G2038,IF(C2038="Sell",(L2038*G2038)-I2038, X)),IF(C2038="Buy",(L2038*G2038*100)+I2038,IF(C2038="Sell",(L2038*G2038*100)-I2038, X))))</f>
        <v/>
      </c>
      <c r="N2038" s="78">
        <f>IF(ISBLANK(L2038),"",IF(AND(C2038="Sell",D2038="Stock"),M2038,IF(ISBLANK(L2038),"",IF(C2038="Buy",M2038, IF(AND(C2038="Sell",J2038="NA"),(E2038*G2038*100*0.1)+I2038, IF(C2038="Sell",(J2038-L2038)*(100*G2038)+I2038))))))</f>
        <v/>
      </c>
      <c r="O2038" s="75" t="n"/>
      <c r="P2038" s="75" t="n"/>
      <c r="Q2038" s="75">
        <f>IF(ISBLANK(P2038),"",IF(D2038="Stock",P2038*G2038,IF(P2038=0,"0",G2038*P2038*100-(G2038*$AF$14))))</f>
        <v/>
      </c>
      <c r="R2038" s="79">
        <f>IF(P2038&lt;&gt;"", TODAY(), "")</f>
        <v/>
      </c>
      <c r="S2038" s="78">
        <f>IF(AND(K2038&lt;&gt;"", R2038&lt;&gt;""), R2038-K2038, "")</f>
        <v/>
      </c>
      <c r="T2038" s="78" t="n"/>
      <c r="U2038" s="92">
        <f>IF(ISBLANK(P2038),"",IF(C2038="Buy",Q2038-M2038+T2038, IF(C2038="Sell",M2038-Q2038-T2038, X)))</f>
        <v/>
      </c>
      <c r="V2038" s="81">
        <f>IF(ISBLANK(P2038),"",U2038/N2038)</f>
        <v/>
      </c>
      <c r="W2038" s="81">
        <f>IF(ISBLANK(P2038),"",IF(S2038=0,(365/0.5)*V2038,(365/S2038)*V2038))</f>
        <v/>
      </c>
      <c r="X2038" s="75" t="n"/>
      <c r="Y2038" s="77" t="n"/>
      <c r="Z2038" s="77" t="n"/>
      <c r="AA2038" s="75" t="n"/>
      <c r="AB2038" s="75" t="n"/>
      <c r="AC2038" s="6" t="n"/>
      <c r="AD2038" s="75" t="n"/>
      <c r="AE2038" s="75" t="n"/>
      <c r="AF2038" s="75" t="n"/>
    </row>
    <row r="2039" ht="15.75" customHeight="1" s="133">
      <c r="A2039" s="75" t="n"/>
      <c r="B2039" s="75" t="n"/>
      <c r="C2039" s="75" t="n"/>
      <c r="D2039" s="75" t="n"/>
      <c r="E2039" s="76" t="n"/>
      <c r="F2039" s="77" t="n"/>
      <c r="G2039" s="75" t="n"/>
      <c r="H2039" s="75">
        <f>IF(ISBLANK(E2039),"",IF(OR(D2039="Butterfly",D2039="Butterfly ",D2039="Iron Fly", D2039="Iron Fly "),LEN(E2039)-LEN(SUBSTITUTE(E2039,"/",""))+2,LEN(E2039)-LEN(SUBSTITUTE(E2039,"/",""))+1))</f>
        <v/>
      </c>
      <c r="I2039" s="78">
        <f>IF(ISBLANK(G2039),"",IF(D2039="Stock","0",Key!$A$3*H2039*G2039))</f>
        <v/>
      </c>
      <c r="J2039" s="78">
        <f>IF(ISBLANK(E2039),"",IF(ISNUMBER(SEARCH("/",E2039)), IF(LEN(E2039)-LEN(SUBSTITUTE(E2039,"/",""))=1,(RIGHT(E2039,LEN(E2039)-FIND("/",E2039)))-(LEFT(E2039,FIND("/",E2039)-1)),(MID(E2039, SEARCH("/",E2039) + 1, SEARCH("/",E2039, SEARCH("/",E2039)+1) - SEARCH("/",E2039) - 1))-(LEFT(E2039,FIND("/",E2039)-1))), "NA"))</f>
        <v/>
      </c>
      <c r="K2039" s="79">
        <f>IF(A2039&lt;&gt;"", IF(ISBLANK(L2039), TODAY(), K2039), "")</f>
        <v/>
      </c>
      <c r="L2039" s="78" t="n"/>
      <c r="M2039" s="78">
        <f>IF(ISBLANK(L2039),"",IF(D2039="Stock",IF(C2039="Buy",L2039*G2039,IF(C2039="Sell",(L2039*G2039)-I2039, X)),IF(C2039="Buy",(L2039*G2039*100)+I2039,IF(C2039="Sell",(L2039*G2039*100)-I2039, X))))</f>
        <v/>
      </c>
      <c r="N2039" s="78">
        <f>IF(ISBLANK(L2039),"",IF(AND(C2039="Sell",D2039="Stock"),M2039,IF(ISBLANK(L2039),"",IF(C2039="Buy",M2039, IF(AND(C2039="Sell",J2039="NA"),(E2039*G2039*100*0.1)+I2039, IF(C2039="Sell",(J2039-L2039)*(100*G2039)+I2039))))))</f>
        <v/>
      </c>
      <c r="O2039" s="75" t="n"/>
      <c r="P2039" s="75" t="n"/>
      <c r="Q2039" s="75">
        <f>IF(ISBLANK(P2039),"",IF(D2039="Stock",P2039*G2039,IF(P2039=0,"0",G2039*P2039*100-(G2039*$AF$14))))</f>
        <v/>
      </c>
      <c r="R2039" s="79">
        <f>IF(P2039&lt;&gt;"", TODAY(), "")</f>
        <v/>
      </c>
      <c r="S2039" s="78">
        <f>IF(AND(K2039&lt;&gt;"", R2039&lt;&gt;""), R2039-K2039, "")</f>
        <v/>
      </c>
      <c r="T2039" s="78" t="n"/>
      <c r="U2039" s="92">
        <f>IF(ISBLANK(P2039),"",IF(C2039="Buy",Q2039-M2039+T2039, IF(C2039="Sell",M2039-Q2039-T2039, X)))</f>
        <v/>
      </c>
      <c r="V2039" s="81">
        <f>IF(ISBLANK(P2039),"",U2039/N2039)</f>
        <v/>
      </c>
      <c r="W2039" s="81">
        <f>IF(ISBLANK(P2039),"",IF(S2039=0,(365/0.5)*V2039,(365/S2039)*V2039))</f>
        <v/>
      </c>
      <c r="X2039" s="75" t="n"/>
      <c r="Y2039" s="77" t="n"/>
      <c r="Z2039" s="77" t="n"/>
      <c r="AA2039" s="75" t="n"/>
      <c r="AB2039" s="75" t="n"/>
      <c r="AC2039" s="6" t="n"/>
      <c r="AD2039" s="75" t="n"/>
      <c r="AE2039" s="75" t="n"/>
      <c r="AF2039" s="75" t="n"/>
    </row>
    <row r="2040" ht="15.75" customHeight="1" s="133">
      <c r="A2040" s="75" t="n"/>
      <c r="B2040" s="75" t="n"/>
      <c r="C2040" s="75" t="n"/>
      <c r="D2040" s="75" t="n"/>
      <c r="E2040" s="76" t="n"/>
      <c r="F2040" s="77" t="n"/>
      <c r="G2040" s="75" t="n"/>
      <c r="H2040" s="75">
        <f>IF(ISBLANK(E2040),"",IF(OR(D2040="Butterfly",D2040="Butterfly ",D2040="Iron Fly", D2040="Iron Fly "),LEN(E2040)-LEN(SUBSTITUTE(E2040,"/",""))+2,LEN(E2040)-LEN(SUBSTITUTE(E2040,"/",""))+1))</f>
        <v/>
      </c>
      <c r="I2040" s="78">
        <f>IF(ISBLANK(G2040),"",IF(D2040="Stock","0",Key!$A$3*H2040*G2040))</f>
        <v/>
      </c>
      <c r="J2040" s="78">
        <f>IF(ISBLANK(E2040),"",IF(ISNUMBER(SEARCH("/",E2040)), IF(LEN(E2040)-LEN(SUBSTITUTE(E2040,"/",""))=1,(RIGHT(E2040,LEN(E2040)-FIND("/",E2040)))-(LEFT(E2040,FIND("/",E2040)-1)),(MID(E2040, SEARCH("/",E2040) + 1, SEARCH("/",E2040, SEARCH("/",E2040)+1) - SEARCH("/",E2040) - 1))-(LEFT(E2040,FIND("/",E2040)-1))), "NA"))</f>
        <v/>
      </c>
      <c r="K2040" s="79">
        <f>IF(A2040&lt;&gt;"", IF(ISBLANK(L2040), TODAY(), K2040), "")</f>
        <v/>
      </c>
      <c r="L2040" s="78" t="n"/>
      <c r="M2040" s="78">
        <f>IF(ISBLANK(L2040),"",IF(D2040="Stock",IF(C2040="Buy",L2040*G2040,IF(C2040="Sell",(L2040*G2040)-I2040, X)),IF(C2040="Buy",(L2040*G2040*100)+I2040,IF(C2040="Sell",(L2040*G2040*100)-I2040, X))))</f>
        <v/>
      </c>
      <c r="N2040" s="78">
        <f>IF(ISBLANK(L2040),"",IF(AND(C2040="Sell",D2040="Stock"),M2040,IF(ISBLANK(L2040),"",IF(C2040="Buy",M2040, IF(AND(C2040="Sell",J2040="NA"),(E2040*G2040*100*0.1)+I2040, IF(C2040="Sell",(J2040-L2040)*(100*G2040)+I2040))))))</f>
        <v/>
      </c>
      <c r="O2040" s="75" t="n"/>
      <c r="P2040" s="75" t="n"/>
      <c r="Q2040" s="75">
        <f>IF(ISBLANK(P2040),"",IF(D2040="Stock",P2040*G2040,IF(P2040=0,"0",G2040*P2040*100-(G2040*$AF$14))))</f>
        <v/>
      </c>
      <c r="R2040" s="79">
        <f>IF(P2040&lt;&gt;"", TODAY(), "")</f>
        <v/>
      </c>
      <c r="S2040" s="78">
        <f>IF(AND(K2040&lt;&gt;"", R2040&lt;&gt;""), R2040-K2040, "")</f>
        <v/>
      </c>
      <c r="T2040" s="78" t="n"/>
      <c r="U2040" s="92">
        <f>IF(ISBLANK(P2040),"",IF(C2040="Buy",Q2040-M2040+T2040, IF(C2040="Sell",M2040-Q2040-T2040, X)))</f>
        <v/>
      </c>
      <c r="V2040" s="81">
        <f>IF(ISBLANK(P2040),"",U2040/N2040)</f>
        <v/>
      </c>
      <c r="W2040" s="81">
        <f>IF(ISBLANK(P2040),"",IF(S2040=0,(365/0.5)*V2040,(365/S2040)*V2040))</f>
        <v/>
      </c>
      <c r="X2040" s="75" t="n"/>
      <c r="Y2040" s="77" t="n"/>
      <c r="Z2040" s="77" t="n"/>
      <c r="AA2040" s="75" t="n"/>
      <c r="AB2040" s="75" t="n"/>
      <c r="AC2040" s="6" t="n"/>
      <c r="AD2040" s="75" t="n"/>
      <c r="AE2040" s="75" t="n"/>
      <c r="AF2040" s="75" t="n"/>
    </row>
    <row r="2041" ht="15.75" customHeight="1" s="133">
      <c r="A2041" s="75" t="n"/>
      <c r="B2041" s="75" t="n"/>
      <c r="C2041" s="75" t="n"/>
      <c r="D2041" s="75" t="n"/>
      <c r="E2041" s="76" t="n"/>
      <c r="F2041" s="77" t="n"/>
      <c r="G2041" s="75" t="n"/>
      <c r="H2041" s="75">
        <f>IF(ISBLANK(E2041),"",IF(OR(D2041="Butterfly",D2041="Butterfly ",D2041="Iron Fly", D2041="Iron Fly "),LEN(E2041)-LEN(SUBSTITUTE(E2041,"/",""))+2,LEN(E2041)-LEN(SUBSTITUTE(E2041,"/",""))+1))</f>
        <v/>
      </c>
      <c r="I2041" s="78">
        <f>IF(ISBLANK(G2041),"",IF(D2041="Stock","0",Key!$A$3*H2041*G2041))</f>
        <v/>
      </c>
      <c r="J2041" s="78">
        <f>IF(ISBLANK(E2041),"",IF(ISNUMBER(SEARCH("/",E2041)), IF(LEN(E2041)-LEN(SUBSTITUTE(E2041,"/",""))=1,(RIGHT(E2041,LEN(E2041)-FIND("/",E2041)))-(LEFT(E2041,FIND("/",E2041)-1)),(MID(E2041, SEARCH("/",E2041) + 1, SEARCH("/",E2041, SEARCH("/",E2041)+1) - SEARCH("/",E2041) - 1))-(LEFT(E2041,FIND("/",E2041)-1))), "NA"))</f>
        <v/>
      </c>
      <c r="K2041" s="79">
        <f>IF(A2041&lt;&gt;"", IF(ISBLANK(L2041), TODAY(), K2041), "")</f>
        <v/>
      </c>
      <c r="L2041" s="78" t="n"/>
      <c r="M2041" s="78">
        <f>IF(ISBLANK(L2041),"",IF(D2041="Stock",IF(C2041="Buy",L2041*G2041,IF(C2041="Sell",(L2041*G2041)-I2041, X)),IF(C2041="Buy",(L2041*G2041*100)+I2041,IF(C2041="Sell",(L2041*G2041*100)-I2041, X))))</f>
        <v/>
      </c>
      <c r="N2041" s="78">
        <f>IF(ISBLANK(L2041),"",IF(AND(C2041="Sell",D2041="Stock"),M2041,IF(ISBLANK(L2041),"",IF(C2041="Buy",M2041, IF(AND(C2041="Sell",J2041="NA"),(E2041*G2041*100*0.1)+I2041, IF(C2041="Sell",(J2041-L2041)*(100*G2041)+I2041))))))</f>
        <v/>
      </c>
      <c r="O2041" s="75" t="n"/>
      <c r="P2041" s="75" t="n"/>
      <c r="Q2041" s="75">
        <f>IF(ISBLANK(P2041),"",IF(D2041="Stock",P2041*G2041,IF(P2041=0,"0",G2041*P2041*100-(G2041*$AF$14))))</f>
        <v/>
      </c>
      <c r="R2041" s="79">
        <f>IF(P2041&lt;&gt;"", TODAY(), "")</f>
        <v/>
      </c>
      <c r="S2041" s="78">
        <f>IF(AND(K2041&lt;&gt;"", R2041&lt;&gt;""), R2041-K2041, "")</f>
        <v/>
      </c>
      <c r="T2041" s="78" t="n"/>
      <c r="U2041" s="92">
        <f>IF(ISBLANK(P2041),"",IF(C2041="Buy",Q2041-M2041+T2041, IF(C2041="Sell",M2041-Q2041-T2041, X)))</f>
        <v/>
      </c>
      <c r="V2041" s="81">
        <f>IF(ISBLANK(P2041),"",U2041/N2041)</f>
        <v/>
      </c>
      <c r="W2041" s="81">
        <f>IF(ISBLANK(P2041),"",IF(S2041=0,(365/0.5)*V2041,(365/S2041)*V2041))</f>
        <v/>
      </c>
      <c r="X2041" s="75" t="n"/>
      <c r="Y2041" s="77" t="n"/>
      <c r="Z2041" s="77" t="n"/>
      <c r="AA2041" s="75" t="n"/>
      <c r="AB2041" s="75" t="n"/>
      <c r="AC2041" s="6" t="n"/>
      <c r="AD2041" s="75" t="n"/>
      <c r="AE2041" s="75" t="n"/>
      <c r="AF2041" s="75" t="n"/>
    </row>
    <row r="2042" ht="15.75" customHeight="1" s="133">
      <c r="A2042" s="75" t="n"/>
      <c r="B2042" s="75" t="n"/>
      <c r="C2042" s="75" t="n"/>
      <c r="D2042" s="75" t="n"/>
      <c r="E2042" s="76" t="n"/>
      <c r="F2042" s="77" t="n"/>
      <c r="G2042" s="75" t="n"/>
      <c r="H2042" s="75">
        <f>IF(ISBLANK(E2042),"",IF(OR(D2042="Butterfly",D2042="Butterfly ",D2042="Iron Fly", D2042="Iron Fly "),LEN(E2042)-LEN(SUBSTITUTE(E2042,"/",""))+2,LEN(E2042)-LEN(SUBSTITUTE(E2042,"/",""))+1))</f>
        <v/>
      </c>
      <c r="I2042" s="78">
        <f>IF(ISBLANK(G2042),"",IF(D2042="Stock","0",Key!$A$3*H2042*G2042))</f>
        <v/>
      </c>
      <c r="J2042" s="78">
        <f>IF(ISBLANK(E2042),"",IF(ISNUMBER(SEARCH("/",E2042)), IF(LEN(E2042)-LEN(SUBSTITUTE(E2042,"/",""))=1,(RIGHT(E2042,LEN(E2042)-FIND("/",E2042)))-(LEFT(E2042,FIND("/",E2042)-1)),(MID(E2042, SEARCH("/",E2042) + 1, SEARCH("/",E2042, SEARCH("/",E2042)+1) - SEARCH("/",E2042) - 1))-(LEFT(E2042,FIND("/",E2042)-1))), "NA"))</f>
        <v/>
      </c>
      <c r="K2042" s="79">
        <f>IF(A2042&lt;&gt;"", IF(ISBLANK(L2042), TODAY(), K2042), "")</f>
        <v/>
      </c>
      <c r="L2042" s="78" t="n"/>
      <c r="M2042" s="78">
        <f>IF(ISBLANK(L2042),"",IF(D2042="Stock",IF(C2042="Buy",L2042*G2042,IF(C2042="Sell",(L2042*G2042)-I2042, X)),IF(C2042="Buy",(L2042*G2042*100)+I2042,IF(C2042="Sell",(L2042*G2042*100)-I2042, X))))</f>
        <v/>
      </c>
      <c r="N2042" s="78">
        <f>IF(ISBLANK(L2042),"",IF(AND(C2042="Sell",D2042="Stock"),M2042,IF(ISBLANK(L2042),"",IF(C2042="Buy",M2042, IF(AND(C2042="Sell",J2042="NA"),(E2042*G2042*100*0.1)+I2042, IF(C2042="Sell",(J2042-L2042)*(100*G2042)+I2042))))))</f>
        <v/>
      </c>
      <c r="O2042" s="75" t="n"/>
      <c r="P2042" s="75" t="n"/>
      <c r="Q2042" s="75">
        <f>IF(ISBLANK(P2042),"",IF(D2042="Stock",P2042*G2042,IF(P2042=0,"0",G2042*P2042*100-(G2042*$AF$14))))</f>
        <v/>
      </c>
      <c r="R2042" s="79">
        <f>IF(P2042&lt;&gt;"", TODAY(), "")</f>
        <v/>
      </c>
      <c r="S2042" s="78">
        <f>IF(AND(K2042&lt;&gt;"", R2042&lt;&gt;""), R2042-K2042, "")</f>
        <v/>
      </c>
      <c r="T2042" s="78" t="n"/>
      <c r="U2042" s="92">
        <f>IF(ISBLANK(P2042),"",IF(C2042="Buy",Q2042-M2042+T2042, IF(C2042="Sell",M2042-Q2042-T2042, X)))</f>
        <v/>
      </c>
      <c r="V2042" s="81">
        <f>IF(ISBLANK(P2042),"",U2042/N2042)</f>
        <v/>
      </c>
      <c r="W2042" s="81">
        <f>IF(ISBLANK(P2042),"",IF(S2042=0,(365/0.5)*V2042,(365/S2042)*V2042))</f>
        <v/>
      </c>
      <c r="X2042" s="75" t="n"/>
      <c r="Y2042" s="77" t="n"/>
      <c r="Z2042" s="77" t="n"/>
      <c r="AA2042" s="75" t="n"/>
      <c r="AB2042" s="75" t="n"/>
      <c r="AC2042" s="6" t="n"/>
      <c r="AD2042" s="75" t="n"/>
      <c r="AE2042" s="75" t="n"/>
      <c r="AF2042" s="75" t="n"/>
    </row>
    <row r="2043" ht="15.75" customHeight="1" s="133">
      <c r="A2043" s="75" t="n"/>
      <c r="B2043" s="75" t="n"/>
      <c r="C2043" s="75" t="n"/>
      <c r="D2043" s="75" t="n"/>
      <c r="E2043" s="76" t="n"/>
      <c r="F2043" s="77" t="n"/>
      <c r="G2043" s="75" t="n"/>
      <c r="H2043" s="75">
        <f>IF(ISBLANK(E2043),"",IF(OR(D2043="Butterfly",D2043="Butterfly ",D2043="Iron Fly", D2043="Iron Fly "),LEN(E2043)-LEN(SUBSTITUTE(E2043,"/",""))+2,LEN(E2043)-LEN(SUBSTITUTE(E2043,"/",""))+1))</f>
        <v/>
      </c>
      <c r="I2043" s="78">
        <f>IF(ISBLANK(G2043),"",IF(D2043="Stock","0",Key!$A$3*H2043*G2043))</f>
        <v/>
      </c>
      <c r="J2043" s="78">
        <f>IF(ISBLANK(E2043),"",IF(ISNUMBER(SEARCH("/",E2043)), IF(LEN(E2043)-LEN(SUBSTITUTE(E2043,"/",""))=1,(RIGHT(E2043,LEN(E2043)-FIND("/",E2043)))-(LEFT(E2043,FIND("/",E2043)-1)),(MID(E2043, SEARCH("/",E2043) + 1, SEARCH("/",E2043, SEARCH("/",E2043)+1) - SEARCH("/",E2043) - 1))-(LEFT(E2043,FIND("/",E2043)-1))), "NA"))</f>
        <v/>
      </c>
      <c r="K2043" s="79">
        <f>IF(A2043&lt;&gt;"", IF(ISBLANK(L2043), TODAY(), K2043), "")</f>
        <v/>
      </c>
      <c r="L2043" s="78" t="n"/>
      <c r="M2043" s="78">
        <f>IF(ISBLANK(L2043),"",IF(D2043="Stock",IF(C2043="Buy",L2043*G2043,IF(C2043="Sell",(L2043*G2043)-I2043, X)),IF(C2043="Buy",(L2043*G2043*100)+I2043,IF(C2043="Sell",(L2043*G2043*100)-I2043, X))))</f>
        <v/>
      </c>
      <c r="N2043" s="78">
        <f>IF(ISBLANK(L2043),"",IF(AND(C2043="Sell",D2043="Stock"),M2043,IF(ISBLANK(L2043),"",IF(C2043="Buy",M2043, IF(AND(C2043="Sell",J2043="NA"),(E2043*G2043*100*0.1)+I2043, IF(C2043="Sell",(J2043-L2043)*(100*G2043)+I2043))))))</f>
        <v/>
      </c>
      <c r="O2043" s="75" t="n"/>
      <c r="P2043" s="75" t="n"/>
      <c r="Q2043" s="75">
        <f>IF(ISBLANK(P2043),"",IF(D2043="Stock",P2043*G2043,IF(P2043=0,"0",G2043*P2043*100-(G2043*$AF$14))))</f>
        <v/>
      </c>
      <c r="R2043" s="79">
        <f>IF(P2043&lt;&gt;"", TODAY(), "")</f>
        <v/>
      </c>
      <c r="S2043" s="78">
        <f>IF(AND(K2043&lt;&gt;"", R2043&lt;&gt;""), R2043-K2043, "")</f>
        <v/>
      </c>
      <c r="T2043" s="78" t="n"/>
      <c r="U2043" s="92">
        <f>IF(ISBLANK(P2043),"",IF(C2043="Buy",Q2043-M2043+T2043, IF(C2043="Sell",M2043-Q2043-T2043, X)))</f>
        <v/>
      </c>
      <c r="V2043" s="81">
        <f>IF(ISBLANK(P2043),"",U2043/N2043)</f>
        <v/>
      </c>
      <c r="W2043" s="81">
        <f>IF(ISBLANK(P2043),"",IF(S2043=0,(365/0.5)*V2043,(365/S2043)*V2043))</f>
        <v/>
      </c>
      <c r="X2043" s="75" t="n"/>
      <c r="Y2043" s="77" t="n"/>
      <c r="Z2043" s="77" t="n"/>
      <c r="AA2043" s="75" t="n"/>
      <c r="AB2043" s="75" t="n"/>
      <c r="AC2043" s="6" t="n"/>
      <c r="AD2043" s="75" t="n"/>
      <c r="AE2043" s="75" t="n"/>
      <c r="AF2043" s="75" t="n"/>
    </row>
    <row r="2044" ht="15.75" customHeight="1" s="133">
      <c r="A2044" s="75" t="n"/>
      <c r="B2044" s="75" t="n"/>
      <c r="C2044" s="75" t="n"/>
      <c r="D2044" s="75" t="n"/>
      <c r="E2044" s="76" t="n"/>
      <c r="F2044" s="77" t="n"/>
      <c r="G2044" s="75" t="n"/>
      <c r="H2044" s="75">
        <f>IF(ISBLANK(E2044),"",IF(OR(D2044="Butterfly",D2044="Butterfly ",D2044="Iron Fly", D2044="Iron Fly "),LEN(E2044)-LEN(SUBSTITUTE(E2044,"/",""))+2,LEN(E2044)-LEN(SUBSTITUTE(E2044,"/",""))+1))</f>
        <v/>
      </c>
      <c r="I2044" s="78">
        <f>IF(ISBLANK(G2044),"",IF(D2044="Stock","0",Key!$A$3*H2044*G2044))</f>
        <v/>
      </c>
      <c r="J2044" s="78">
        <f>IF(ISBLANK(E2044),"",IF(ISNUMBER(SEARCH("/",E2044)), IF(LEN(E2044)-LEN(SUBSTITUTE(E2044,"/",""))=1,(RIGHT(E2044,LEN(E2044)-FIND("/",E2044)))-(LEFT(E2044,FIND("/",E2044)-1)),(MID(E2044, SEARCH("/",E2044) + 1, SEARCH("/",E2044, SEARCH("/",E2044)+1) - SEARCH("/",E2044) - 1))-(LEFT(E2044,FIND("/",E2044)-1))), "NA"))</f>
        <v/>
      </c>
      <c r="K2044" s="79">
        <f>IF(A2044&lt;&gt;"", IF(ISBLANK(L2044), TODAY(), K2044), "")</f>
        <v/>
      </c>
      <c r="L2044" s="78" t="n"/>
      <c r="M2044" s="78">
        <f>IF(ISBLANK(L2044),"",IF(D2044="Stock",IF(C2044="Buy",L2044*G2044,IF(C2044="Sell",(L2044*G2044)-I2044, X)),IF(C2044="Buy",(L2044*G2044*100)+I2044,IF(C2044="Sell",(L2044*G2044*100)-I2044, X))))</f>
        <v/>
      </c>
      <c r="N2044" s="78">
        <f>IF(ISBLANK(L2044),"",IF(AND(C2044="Sell",D2044="Stock"),M2044,IF(ISBLANK(L2044),"",IF(C2044="Buy",M2044, IF(AND(C2044="Sell",J2044="NA"),(E2044*G2044*100*0.1)+I2044, IF(C2044="Sell",(J2044-L2044)*(100*G2044)+I2044))))))</f>
        <v/>
      </c>
      <c r="O2044" s="75" t="n"/>
      <c r="P2044" s="75" t="n"/>
      <c r="Q2044" s="75">
        <f>IF(ISBLANK(P2044),"",IF(D2044="Stock",P2044*G2044,IF(P2044=0,"0",G2044*P2044*100-(G2044*$AF$14))))</f>
        <v/>
      </c>
      <c r="R2044" s="79">
        <f>IF(P2044&lt;&gt;"", TODAY(), "")</f>
        <v/>
      </c>
      <c r="S2044" s="78">
        <f>IF(AND(K2044&lt;&gt;"", R2044&lt;&gt;""), R2044-K2044, "")</f>
        <v/>
      </c>
      <c r="T2044" s="78" t="n"/>
      <c r="U2044" s="92">
        <f>IF(ISBLANK(P2044),"",IF(C2044="Buy",Q2044-M2044+T2044, IF(C2044="Sell",M2044-Q2044-T2044, X)))</f>
        <v/>
      </c>
      <c r="V2044" s="81">
        <f>IF(ISBLANK(P2044),"",U2044/N2044)</f>
        <v/>
      </c>
      <c r="W2044" s="81">
        <f>IF(ISBLANK(P2044),"",IF(S2044=0,(365/0.5)*V2044,(365/S2044)*V2044))</f>
        <v/>
      </c>
      <c r="X2044" s="75" t="n"/>
      <c r="Y2044" s="77" t="n"/>
      <c r="Z2044" s="77" t="n"/>
      <c r="AA2044" s="75" t="n"/>
      <c r="AB2044" s="75" t="n"/>
      <c r="AC2044" s="6" t="n"/>
      <c r="AD2044" s="75" t="n"/>
      <c r="AE2044" s="75" t="n"/>
      <c r="AF2044" s="75" t="n"/>
    </row>
    <row r="2045" ht="15.75" customHeight="1" s="133">
      <c r="A2045" s="75" t="n"/>
      <c r="B2045" s="75" t="n"/>
      <c r="C2045" s="75" t="n"/>
      <c r="D2045" s="75" t="n"/>
      <c r="E2045" s="76" t="n"/>
      <c r="F2045" s="77" t="n"/>
      <c r="G2045" s="75" t="n"/>
      <c r="H2045" s="75">
        <f>IF(ISBLANK(E2045),"",IF(OR(D2045="Butterfly",D2045="Butterfly ",D2045="Iron Fly", D2045="Iron Fly "),LEN(E2045)-LEN(SUBSTITUTE(E2045,"/",""))+2,LEN(E2045)-LEN(SUBSTITUTE(E2045,"/",""))+1))</f>
        <v/>
      </c>
      <c r="I2045" s="78">
        <f>IF(ISBLANK(G2045),"",IF(D2045="Stock","0",Key!$A$3*H2045*G2045))</f>
        <v/>
      </c>
      <c r="J2045" s="78">
        <f>IF(ISBLANK(E2045),"",IF(ISNUMBER(SEARCH("/",E2045)), IF(LEN(E2045)-LEN(SUBSTITUTE(E2045,"/",""))=1,(RIGHT(E2045,LEN(E2045)-FIND("/",E2045)))-(LEFT(E2045,FIND("/",E2045)-1)),(MID(E2045, SEARCH("/",E2045) + 1, SEARCH("/",E2045, SEARCH("/",E2045)+1) - SEARCH("/",E2045) - 1))-(LEFT(E2045,FIND("/",E2045)-1))), "NA"))</f>
        <v/>
      </c>
      <c r="K2045" s="79">
        <f>IF(A2045&lt;&gt;"", IF(ISBLANK(L2045), TODAY(), K2045), "")</f>
        <v/>
      </c>
      <c r="L2045" s="78" t="n"/>
      <c r="M2045" s="78">
        <f>IF(ISBLANK(L2045),"",IF(D2045="Stock",IF(C2045="Buy",L2045*G2045,IF(C2045="Sell",(L2045*G2045)-I2045, X)),IF(C2045="Buy",(L2045*G2045*100)+I2045,IF(C2045="Sell",(L2045*G2045*100)-I2045, X))))</f>
        <v/>
      </c>
      <c r="N2045" s="78">
        <f>IF(ISBLANK(L2045),"",IF(AND(C2045="Sell",D2045="Stock"),M2045,IF(ISBLANK(L2045),"",IF(C2045="Buy",M2045, IF(AND(C2045="Sell",J2045="NA"),(E2045*G2045*100*0.1)+I2045, IF(C2045="Sell",(J2045-L2045)*(100*G2045)+I2045))))))</f>
        <v/>
      </c>
      <c r="O2045" s="75" t="n"/>
      <c r="P2045" s="75" t="n"/>
      <c r="Q2045" s="75">
        <f>IF(ISBLANK(P2045),"",IF(D2045="Stock",P2045*G2045,IF(P2045=0,"0",G2045*P2045*100-(G2045*$AF$14))))</f>
        <v/>
      </c>
      <c r="R2045" s="79">
        <f>IF(P2045&lt;&gt;"", TODAY(), "")</f>
        <v/>
      </c>
      <c r="S2045" s="78">
        <f>IF(AND(K2045&lt;&gt;"", R2045&lt;&gt;""), R2045-K2045, "")</f>
        <v/>
      </c>
      <c r="T2045" s="78" t="n"/>
      <c r="U2045" s="92">
        <f>IF(ISBLANK(P2045),"",IF(C2045="Buy",Q2045-M2045+T2045, IF(C2045="Sell",M2045-Q2045-T2045, X)))</f>
        <v/>
      </c>
      <c r="V2045" s="81">
        <f>IF(ISBLANK(P2045),"",U2045/N2045)</f>
        <v/>
      </c>
      <c r="W2045" s="81">
        <f>IF(ISBLANK(P2045),"",IF(S2045=0,(365/0.5)*V2045,(365/S2045)*V2045))</f>
        <v/>
      </c>
      <c r="X2045" s="75" t="n"/>
      <c r="Y2045" s="77" t="n"/>
      <c r="Z2045" s="77" t="n"/>
      <c r="AA2045" s="75" t="n"/>
      <c r="AB2045" s="75" t="n"/>
      <c r="AC2045" s="6" t="n"/>
      <c r="AD2045" s="75" t="n"/>
      <c r="AE2045" s="75" t="n"/>
      <c r="AF2045" s="75" t="n"/>
    </row>
    <row r="2046" ht="15.75" customHeight="1" s="133">
      <c r="A2046" s="75" t="n"/>
      <c r="B2046" s="75" t="n"/>
      <c r="C2046" s="75" t="n"/>
      <c r="D2046" s="75" t="n"/>
      <c r="E2046" s="76" t="n"/>
      <c r="F2046" s="77" t="n"/>
      <c r="G2046" s="75" t="n"/>
      <c r="H2046" s="75">
        <f>IF(ISBLANK(E2046),"",IF(OR(D2046="Butterfly",D2046="Butterfly ",D2046="Iron Fly", D2046="Iron Fly "),LEN(E2046)-LEN(SUBSTITUTE(E2046,"/",""))+2,LEN(E2046)-LEN(SUBSTITUTE(E2046,"/",""))+1))</f>
        <v/>
      </c>
      <c r="I2046" s="78">
        <f>IF(ISBLANK(G2046),"",IF(D2046="Stock","0",Key!$A$3*H2046*G2046))</f>
        <v/>
      </c>
      <c r="J2046" s="78">
        <f>IF(ISBLANK(E2046),"",IF(ISNUMBER(SEARCH("/",E2046)), IF(LEN(E2046)-LEN(SUBSTITUTE(E2046,"/",""))=1,(RIGHT(E2046,LEN(E2046)-FIND("/",E2046)))-(LEFT(E2046,FIND("/",E2046)-1)),(MID(E2046, SEARCH("/",E2046) + 1, SEARCH("/",E2046, SEARCH("/",E2046)+1) - SEARCH("/",E2046) - 1))-(LEFT(E2046,FIND("/",E2046)-1))), "NA"))</f>
        <v/>
      </c>
      <c r="K2046" s="79">
        <f>IF(A2046&lt;&gt;"", IF(ISBLANK(L2046), TODAY(), K2046), "")</f>
        <v/>
      </c>
      <c r="L2046" s="78" t="n"/>
      <c r="M2046" s="78">
        <f>IF(ISBLANK(L2046),"",IF(D2046="Stock",IF(C2046="Buy",L2046*G2046,IF(C2046="Sell",(L2046*G2046)-I2046, X)),IF(C2046="Buy",(L2046*G2046*100)+I2046,IF(C2046="Sell",(L2046*G2046*100)-I2046, X))))</f>
        <v/>
      </c>
      <c r="N2046" s="78">
        <f>IF(ISBLANK(L2046),"",IF(AND(C2046="Sell",D2046="Stock"),M2046,IF(ISBLANK(L2046),"",IF(C2046="Buy",M2046, IF(AND(C2046="Sell",J2046="NA"),(E2046*G2046*100*0.1)+I2046, IF(C2046="Sell",(J2046-L2046)*(100*G2046)+I2046))))))</f>
        <v/>
      </c>
      <c r="O2046" s="75" t="n"/>
      <c r="P2046" s="75" t="n"/>
      <c r="Q2046" s="75">
        <f>IF(ISBLANK(P2046),"",IF(D2046="Stock",P2046*G2046,IF(P2046=0,"0",G2046*P2046*100-(G2046*$AF$14))))</f>
        <v/>
      </c>
      <c r="R2046" s="79">
        <f>IF(P2046&lt;&gt;"", TODAY(), "")</f>
        <v/>
      </c>
      <c r="S2046" s="78">
        <f>IF(AND(K2046&lt;&gt;"", R2046&lt;&gt;""), R2046-K2046, "")</f>
        <v/>
      </c>
      <c r="T2046" s="78" t="n"/>
      <c r="U2046" s="92">
        <f>IF(ISBLANK(P2046),"",IF(C2046="Buy",Q2046-M2046+T2046, IF(C2046="Sell",M2046-Q2046-T2046, X)))</f>
        <v/>
      </c>
      <c r="V2046" s="81">
        <f>IF(ISBLANK(P2046),"",U2046/N2046)</f>
        <v/>
      </c>
      <c r="W2046" s="81">
        <f>IF(ISBLANK(P2046),"",IF(S2046=0,(365/0.5)*V2046,(365/S2046)*V2046))</f>
        <v/>
      </c>
      <c r="X2046" s="75" t="n"/>
      <c r="Y2046" s="77" t="n"/>
      <c r="Z2046" s="77" t="n"/>
      <c r="AA2046" s="75" t="n"/>
      <c r="AB2046" s="75" t="n"/>
      <c r="AC2046" s="6" t="n"/>
      <c r="AD2046" s="75" t="n"/>
      <c r="AE2046" s="75" t="n"/>
      <c r="AF2046" s="75" t="n"/>
    </row>
    <row r="2047" ht="15.75" customHeight="1" s="133">
      <c r="A2047" s="75" t="n"/>
      <c r="B2047" s="75" t="n"/>
      <c r="C2047" s="75" t="n"/>
      <c r="D2047" s="75" t="n"/>
      <c r="E2047" s="76" t="n"/>
      <c r="F2047" s="77" t="n"/>
      <c r="G2047" s="75" t="n"/>
      <c r="H2047" s="75">
        <f>IF(ISBLANK(E2047),"",IF(OR(D2047="Butterfly",D2047="Butterfly ",D2047="Iron Fly", D2047="Iron Fly "),LEN(E2047)-LEN(SUBSTITUTE(E2047,"/",""))+2,LEN(E2047)-LEN(SUBSTITUTE(E2047,"/",""))+1))</f>
        <v/>
      </c>
      <c r="I2047" s="78">
        <f>IF(ISBLANK(G2047),"",IF(D2047="Stock","0",Key!$A$3*H2047*G2047))</f>
        <v/>
      </c>
      <c r="J2047" s="78">
        <f>IF(ISBLANK(E2047),"",IF(ISNUMBER(SEARCH("/",E2047)), IF(LEN(E2047)-LEN(SUBSTITUTE(E2047,"/",""))=1,(RIGHT(E2047,LEN(E2047)-FIND("/",E2047)))-(LEFT(E2047,FIND("/",E2047)-1)),(MID(E2047, SEARCH("/",E2047) + 1, SEARCH("/",E2047, SEARCH("/",E2047)+1) - SEARCH("/",E2047) - 1))-(LEFT(E2047,FIND("/",E2047)-1))), "NA"))</f>
        <v/>
      </c>
      <c r="K2047" s="79">
        <f>IF(A2047&lt;&gt;"", IF(ISBLANK(L2047), TODAY(), K2047), "")</f>
        <v/>
      </c>
      <c r="L2047" s="78" t="n"/>
      <c r="M2047" s="78">
        <f>IF(ISBLANK(L2047),"",IF(D2047="Stock",IF(C2047="Buy",L2047*G2047,IF(C2047="Sell",(L2047*G2047)-I2047, X)),IF(C2047="Buy",(L2047*G2047*100)+I2047,IF(C2047="Sell",(L2047*G2047*100)-I2047, X))))</f>
        <v/>
      </c>
      <c r="N2047" s="78">
        <f>IF(ISBLANK(L2047),"",IF(AND(C2047="Sell",D2047="Stock"),M2047,IF(ISBLANK(L2047),"",IF(C2047="Buy",M2047, IF(AND(C2047="Sell",J2047="NA"),(E2047*G2047*100*0.1)+I2047, IF(C2047="Sell",(J2047-L2047)*(100*G2047)+I2047))))))</f>
        <v/>
      </c>
      <c r="O2047" s="75" t="n"/>
      <c r="P2047" s="75" t="n"/>
      <c r="Q2047" s="75">
        <f>IF(ISBLANK(P2047),"",IF(D2047="Stock",P2047*G2047,IF(P2047=0,"0",G2047*P2047*100-(G2047*$AF$14))))</f>
        <v/>
      </c>
      <c r="R2047" s="79">
        <f>IF(P2047&lt;&gt;"", TODAY(), "")</f>
        <v/>
      </c>
      <c r="S2047" s="78">
        <f>IF(AND(K2047&lt;&gt;"", R2047&lt;&gt;""), R2047-K2047, "")</f>
        <v/>
      </c>
      <c r="T2047" s="78" t="n"/>
      <c r="U2047" s="92">
        <f>IF(ISBLANK(P2047),"",IF(C2047="Buy",Q2047-M2047+T2047, IF(C2047="Sell",M2047-Q2047-T2047, X)))</f>
        <v/>
      </c>
      <c r="V2047" s="81">
        <f>IF(ISBLANK(P2047),"",U2047/N2047)</f>
        <v/>
      </c>
      <c r="W2047" s="81">
        <f>IF(ISBLANK(P2047),"",IF(S2047=0,(365/0.5)*V2047,(365/S2047)*V2047))</f>
        <v/>
      </c>
      <c r="X2047" s="75" t="n"/>
      <c r="Y2047" s="77" t="n"/>
      <c r="Z2047" s="77" t="n"/>
      <c r="AA2047" s="75" t="n"/>
      <c r="AB2047" s="75" t="n"/>
      <c r="AC2047" s="6" t="n"/>
      <c r="AD2047" s="75" t="n"/>
      <c r="AE2047" s="75" t="n"/>
      <c r="AF2047" s="75" t="n"/>
    </row>
    <row r="2048" ht="15.75" customHeight="1" s="133">
      <c r="A2048" s="75" t="n"/>
      <c r="B2048" s="75" t="n"/>
      <c r="C2048" s="75" t="n"/>
      <c r="D2048" s="75" t="n"/>
      <c r="E2048" s="76" t="n"/>
      <c r="F2048" s="77" t="n"/>
      <c r="G2048" s="75" t="n"/>
      <c r="H2048" s="75">
        <f>IF(ISBLANK(E2048),"",IF(OR(D2048="Butterfly",D2048="Butterfly ",D2048="Iron Fly", D2048="Iron Fly "),LEN(E2048)-LEN(SUBSTITUTE(E2048,"/",""))+2,LEN(E2048)-LEN(SUBSTITUTE(E2048,"/",""))+1))</f>
        <v/>
      </c>
      <c r="I2048" s="78">
        <f>IF(ISBLANK(G2048),"",IF(D2048="Stock","0",Key!$A$3*H2048*G2048))</f>
        <v/>
      </c>
      <c r="J2048" s="78">
        <f>IF(ISBLANK(E2048),"",IF(ISNUMBER(SEARCH("/",E2048)), IF(LEN(E2048)-LEN(SUBSTITUTE(E2048,"/",""))=1,(RIGHT(E2048,LEN(E2048)-FIND("/",E2048)))-(LEFT(E2048,FIND("/",E2048)-1)),(MID(E2048, SEARCH("/",E2048) + 1, SEARCH("/",E2048, SEARCH("/",E2048)+1) - SEARCH("/",E2048) - 1))-(LEFT(E2048,FIND("/",E2048)-1))), "NA"))</f>
        <v/>
      </c>
      <c r="K2048" s="79">
        <f>IF(A2048&lt;&gt;"", IF(ISBLANK(L2048), TODAY(), K2048), "")</f>
        <v/>
      </c>
      <c r="L2048" s="78" t="n"/>
      <c r="M2048" s="78">
        <f>IF(ISBLANK(L2048),"",IF(D2048="Stock",IF(C2048="Buy",L2048*G2048,IF(C2048="Sell",(L2048*G2048)-I2048, X)),IF(C2048="Buy",(L2048*G2048*100)+I2048,IF(C2048="Sell",(L2048*G2048*100)-I2048, X))))</f>
        <v/>
      </c>
      <c r="N2048" s="78">
        <f>IF(ISBLANK(L2048),"",IF(AND(C2048="Sell",D2048="Stock"),M2048,IF(ISBLANK(L2048),"",IF(C2048="Buy",M2048, IF(AND(C2048="Sell",J2048="NA"),(E2048*G2048*100*0.1)+I2048, IF(C2048="Sell",(J2048-L2048)*(100*G2048)+I2048))))))</f>
        <v/>
      </c>
      <c r="O2048" s="75" t="n"/>
      <c r="P2048" s="75" t="n"/>
      <c r="Q2048" s="75">
        <f>IF(ISBLANK(P2048),"",IF(D2048="Stock",P2048*G2048,IF(P2048=0,"0",G2048*P2048*100-(G2048*$AF$14))))</f>
        <v/>
      </c>
      <c r="R2048" s="79">
        <f>IF(P2048&lt;&gt;"", TODAY(), "")</f>
        <v/>
      </c>
      <c r="S2048" s="78">
        <f>IF(AND(K2048&lt;&gt;"", R2048&lt;&gt;""), R2048-K2048, "")</f>
        <v/>
      </c>
      <c r="T2048" s="78" t="n"/>
      <c r="U2048" s="92">
        <f>IF(ISBLANK(P2048),"",IF(C2048="Buy",Q2048-M2048+T2048, IF(C2048="Sell",M2048-Q2048-T2048, X)))</f>
        <v/>
      </c>
      <c r="V2048" s="81">
        <f>IF(ISBLANK(P2048),"",U2048/N2048)</f>
        <v/>
      </c>
      <c r="W2048" s="81">
        <f>IF(ISBLANK(P2048),"",IF(S2048=0,(365/0.5)*V2048,(365/S2048)*V2048))</f>
        <v/>
      </c>
      <c r="X2048" s="75" t="n"/>
      <c r="Y2048" s="77" t="n"/>
      <c r="Z2048" s="77" t="n"/>
      <c r="AA2048" s="75" t="n"/>
      <c r="AB2048" s="75" t="n"/>
      <c r="AC2048" s="6" t="n"/>
      <c r="AD2048" s="75" t="n"/>
      <c r="AE2048" s="75" t="n"/>
      <c r="AF2048" s="75" t="n"/>
    </row>
    <row r="2049" ht="15.75" customHeight="1" s="133">
      <c r="A2049" s="75" t="n"/>
      <c r="B2049" s="75" t="n"/>
      <c r="C2049" s="75" t="n"/>
      <c r="D2049" s="75" t="n"/>
      <c r="E2049" s="76" t="n"/>
      <c r="F2049" s="77" t="n"/>
      <c r="G2049" s="75" t="n"/>
      <c r="H2049" s="75">
        <f>IF(ISBLANK(E2049),"",IF(OR(D2049="Butterfly",D2049="Butterfly ",D2049="Iron Fly", D2049="Iron Fly "),LEN(E2049)-LEN(SUBSTITUTE(E2049,"/",""))+2,LEN(E2049)-LEN(SUBSTITUTE(E2049,"/",""))+1))</f>
        <v/>
      </c>
      <c r="I2049" s="78">
        <f>IF(ISBLANK(G2049),"",IF(D2049="Stock","0",Key!$A$3*H2049*G2049))</f>
        <v/>
      </c>
      <c r="J2049" s="78">
        <f>IF(ISBLANK(E2049),"",IF(ISNUMBER(SEARCH("/",E2049)), IF(LEN(E2049)-LEN(SUBSTITUTE(E2049,"/",""))=1,(RIGHT(E2049,LEN(E2049)-FIND("/",E2049)))-(LEFT(E2049,FIND("/",E2049)-1)),(MID(E2049, SEARCH("/",E2049) + 1, SEARCH("/",E2049, SEARCH("/",E2049)+1) - SEARCH("/",E2049) - 1))-(LEFT(E2049,FIND("/",E2049)-1))), "NA"))</f>
        <v/>
      </c>
      <c r="K2049" s="79">
        <f>IF(A2049&lt;&gt;"", IF(ISBLANK(L2049), TODAY(), K2049), "")</f>
        <v/>
      </c>
      <c r="L2049" s="78" t="n"/>
      <c r="M2049" s="78">
        <f>IF(ISBLANK(L2049),"",IF(D2049="Stock",IF(C2049="Buy",L2049*G2049,IF(C2049="Sell",(L2049*G2049)-I2049, X)),IF(C2049="Buy",(L2049*G2049*100)+I2049,IF(C2049="Sell",(L2049*G2049*100)-I2049, X))))</f>
        <v/>
      </c>
      <c r="N2049" s="78">
        <f>IF(ISBLANK(L2049),"",IF(AND(C2049="Sell",D2049="Stock"),M2049,IF(ISBLANK(L2049),"",IF(C2049="Buy",M2049, IF(AND(C2049="Sell",J2049="NA"),(E2049*G2049*100*0.1)+I2049, IF(C2049="Sell",(J2049-L2049)*(100*G2049)+I2049))))))</f>
        <v/>
      </c>
      <c r="O2049" s="75" t="n"/>
      <c r="P2049" s="75" t="n"/>
      <c r="Q2049" s="75">
        <f>IF(ISBLANK(P2049),"",IF(D2049="Stock",P2049*G2049,IF(P2049=0,"0",G2049*P2049*100-(G2049*$AF$14))))</f>
        <v/>
      </c>
      <c r="R2049" s="79">
        <f>IF(P2049&lt;&gt;"", TODAY(), "")</f>
        <v/>
      </c>
      <c r="S2049" s="78">
        <f>IF(AND(K2049&lt;&gt;"", R2049&lt;&gt;""), R2049-K2049, "")</f>
        <v/>
      </c>
      <c r="T2049" s="78" t="n"/>
      <c r="U2049" s="92">
        <f>IF(ISBLANK(P2049),"",IF(C2049="Buy",Q2049-M2049+T2049, IF(C2049="Sell",M2049-Q2049-T2049, X)))</f>
        <v/>
      </c>
      <c r="V2049" s="81">
        <f>IF(ISBLANK(P2049),"",U2049/N2049)</f>
        <v/>
      </c>
      <c r="W2049" s="81">
        <f>IF(ISBLANK(P2049),"",IF(S2049=0,(365/0.5)*V2049,(365/S2049)*V2049))</f>
        <v/>
      </c>
      <c r="X2049" s="75" t="n"/>
      <c r="Y2049" s="77" t="n"/>
      <c r="Z2049" s="77" t="n"/>
      <c r="AA2049" s="75" t="n"/>
      <c r="AB2049" s="75" t="n"/>
      <c r="AC2049" s="6" t="n"/>
      <c r="AD2049" s="75" t="n"/>
      <c r="AE2049" s="75" t="n"/>
      <c r="AF2049" s="75" t="n"/>
    </row>
    <row r="2050" ht="15.75" customHeight="1" s="133">
      <c r="A2050" s="75" t="n"/>
      <c r="B2050" s="75" t="n"/>
      <c r="C2050" s="75" t="n"/>
      <c r="D2050" s="75" t="n"/>
      <c r="E2050" s="76" t="n"/>
      <c r="F2050" s="77" t="n"/>
      <c r="G2050" s="75" t="n"/>
      <c r="H2050" s="75">
        <f>IF(ISBLANK(E2050),"",IF(OR(D2050="Butterfly",D2050="Butterfly ",D2050="Iron Fly", D2050="Iron Fly "),LEN(E2050)-LEN(SUBSTITUTE(E2050,"/",""))+2,LEN(E2050)-LEN(SUBSTITUTE(E2050,"/",""))+1))</f>
        <v/>
      </c>
      <c r="I2050" s="78">
        <f>IF(ISBLANK(G2050),"",IF(D2050="Stock","0",Key!$A$3*H2050*G2050))</f>
        <v/>
      </c>
      <c r="J2050" s="78">
        <f>IF(ISBLANK(E2050),"",IF(ISNUMBER(SEARCH("/",E2050)), IF(LEN(E2050)-LEN(SUBSTITUTE(E2050,"/",""))=1,(RIGHT(E2050,LEN(E2050)-FIND("/",E2050)))-(LEFT(E2050,FIND("/",E2050)-1)),(MID(E2050, SEARCH("/",E2050) + 1, SEARCH("/",E2050, SEARCH("/",E2050)+1) - SEARCH("/",E2050) - 1))-(LEFT(E2050,FIND("/",E2050)-1))), "NA"))</f>
        <v/>
      </c>
      <c r="K2050" s="79">
        <f>IF(A2050&lt;&gt;"", IF(ISBLANK(L2050), TODAY(), K2050), "")</f>
        <v/>
      </c>
      <c r="L2050" s="78" t="n"/>
      <c r="M2050" s="78">
        <f>IF(ISBLANK(L2050),"",IF(D2050="Stock",IF(C2050="Buy",L2050*G2050,IF(C2050="Sell",(L2050*G2050)-I2050, X)),IF(C2050="Buy",(L2050*G2050*100)+I2050,IF(C2050="Sell",(L2050*G2050*100)-I2050, X))))</f>
        <v/>
      </c>
      <c r="N2050" s="78">
        <f>IF(ISBLANK(L2050),"",IF(AND(C2050="Sell",D2050="Stock"),M2050,IF(ISBLANK(L2050),"",IF(C2050="Buy",M2050, IF(AND(C2050="Sell",J2050="NA"),(E2050*G2050*100*0.1)+I2050, IF(C2050="Sell",(J2050-L2050)*(100*G2050)+I2050))))))</f>
        <v/>
      </c>
      <c r="O2050" s="75" t="n"/>
      <c r="P2050" s="75" t="n"/>
      <c r="Q2050" s="75">
        <f>IF(ISBLANK(P2050),"",IF(D2050="Stock",P2050*G2050,IF(P2050=0,"0",G2050*P2050*100-(G2050*$AF$14))))</f>
        <v/>
      </c>
      <c r="R2050" s="79">
        <f>IF(P2050&lt;&gt;"", TODAY(), "")</f>
        <v/>
      </c>
      <c r="S2050" s="78">
        <f>IF(AND(K2050&lt;&gt;"", R2050&lt;&gt;""), R2050-K2050, "")</f>
        <v/>
      </c>
      <c r="T2050" s="78" t="n"/>
      <c r="U2050" s="92">
        <f>IF(ISBLANK(P2050),"",IF(C2050="Buy",Q2050-M2050+T2050, IF(C2050="Sell",M2050-Q2050-T2050, X)))</f>
        <v/>
      </c>
      <c r="V2050" s="81">
        <f>IF(ISBLANK(P2050),"",U2050/N2050)</f>
        <v/>
      </c>
      <c r="W2050" s="81">
        <f>IF(ISBLANK(P2050),"",IF(S2050=0,(365/0.5)*V2050,(365/S2050)*V2050))</f>
        <v/>
      </c>
      <c r="X2050" s="75" t="n"/>
      <c r="Y2050" s="77" t="n"/>
      <c r="Z2050" s="77" t="n"/>
      <c r="AA2050" s="75" t="n"/>
      <c r="AB2050" s="75" t="n"/>
      <c r="AC2050" s="6" t="n"/>
      <c r="AD2050" s="75" t="n"/>
      <c r="AE2050" s="75" t="n"/>
      <c r="AF2050" s="75" t="n"/>
    </row>
    <row r="2051" ht="15.75" customHeight="1" s="133">
      <c r="A2051" s="75" t="n"/>
      <c r="B2051" s="75" t="n"/>
      <c r="C2051" s="75" t="n"/>
      <c r="D2051" s="75" t="n"/>
      <c r="E2051" s="76" t="n"/>
      <c r="F2051" s="77" t="n"/>
      <c r="G2051" s="75" t="n"/>
      <c r="H2051" s="75">
        <f>IF(ISBLANK(E2051),"",IF(OR(D2051="Butterfly",D2051="Butterfly ",D2051="Iron Fly", D2051="Iron Fly "),LEN(E2051)-LEN(SUBSTITUTE(E2051,"/",""))+2,LEN(E2051)-LEN(SUBSTITUTE(E2051,"/",""))+1))</f>
        <v/>
      </c>
      <c r="I2051" s="78">
        <f>IF(ISBLANK(G2051),"",IF(D2051="Stock","0",Key!$A$3*H2051*G2051))</f>
        <v/>
      </c>
      <c r="J2051" s="78">
        <f>IF(ISBLANK(E2051),"",IF(ISNUMBER(SEARCH("/",E2051)), IF(LEN(E2051)-LEN(SUBSTITUTE(E2051,"/",""))=1,(RIGHT(E2051,LEN(E2051)-FIND("/",E2051)))-(LEFT(E2051,FIND("/",E2051)-1)),(MID(E2051, SEARCH("/",E2051) + 1, SEARCH("/",E2051, SEARCH("/",E2051)+1) - SEARCH("/",E2051) - 1))-(LEFT(E2051,FIND("/",E2051)-1))), "NA"))</f>
        <v/>
      </c>
      <c r="K2051" s="79">
        <f>IF(A2051&lt;&gt;"", IF(ISBLANK(L2051), TODAY(), K2051), "")</f>
        <v/>
      </c>
      <c r="L2051" s="78" t="n"/>
      <c r="M2051" s="78">
        <f>IF(ISBLANK(L2051),"",IF(D2051="Stock",IF(C2051="Buy",L2051*G2051,IF(C2051="Sell",(L2051*G2051)-I2051, X)),IF(C2051="Buy",(L2051*G2051*100)+I2051,IF(C2051="Sell",(L2051*G2051*100)-I2051, X))))</f>
        <v/>
      </c>
      <c r="N2051" s="78">
        <f>IF(ISBLANK(L2051),"",IF(AND(C2051="Sell",D2051="Stock"),M2051,IF(ISBLANK(L2051),"",IF(C2051="Buy",M2051, IF(AND(C2051="Sell",J2051="NA"),(E2051*G2051*100*0.1)+I2051, IF(C2051="Sell",(J2051-L2051)*(100*G2051)+I2051))))))</f>
        <v/>
      </c>
      <c r="O2051" s="75" t="n"/>
      <c r="P2051" s="75" t="n"/>
      <c r="Q2051" s="75">
        <f>IF(ISBLANK(P2051),"",IF(D2051="Stock",P2051*G2051,IF(P2051=0,"0",G2051*P2051*100-(G2051*$AF$14))))</f>
        <v/>
      </c>
      <c r="R2051" s="79">
        <f>IF(P2051&lt;&gt;"", TODAY(), "")</f>
        <v/>
      </c>
      <c r="S2051" s="78">
        <f>IF(AND(K2051&lt;&gt;"", R2051&lt;&gt;""), R2051-K2051, "")</f>
        <v/>
      </c>
      <c r="T2051" s="78" t="n"/>
      <c r="U2051" s="92">
        <f>IF(ISBLANK(P2051),"",IF(C2051="Buy",Q2051-M2051+T2051, IF(C2051="Sell",M2051-Q2051-T2051, X)))</f>
        <v/>
      </c>
      <c r="V2051" s="81">
        <f>IF(ISBLANK(P2051),"",U2051/N2051)</f>
        <v/>
      </c>
      <c r="W2051" s="81">
        <f>IF(ISBLANK(P2051),"",IF(S2051=0,(365/0.5)*V2051,(365/S2051)*V2051))</f>
        <v/>
      </c>
      <c r="X2051" s="75" t="n"/>
      <c r="Y2051" s="77" t="n"/>
      <c r="Z2051" s="77" t="n"/>
      <c r="AA2051" s="75" t="n"/>
      <c r="AB2051" s="75" t="n"/>
      <c r="AC2051" s="6" t="n"/>
      <c r="AD2051" s="75" t="n"/>
      <c r="AE2051" s="75" t="n"/>
      <c r="AF2051" s="75" t="n"/>
    </row>
    <row r="2052" ht="15.75" customHeight="1" s="133">
      <c r="A2052" s="75" t="n"/>
      <c r="B2052" s="75" t="n"/>
      <c r="C2052" s="75" t="n"/>
      <c r="D2052" s="75" t="n"/>
      <c r="E2052" s="76" t="n"/>
      <c r="F2052" s="77" t="n"/>
      <c r="G2052" s="75" t="n"/>
      <c r="H2052" s="75">
        <f>IF(ISBLANK(E2052),"",IF(OR(D2052="Butterfly",D2052="Butterfly ",D2052="Iron Fly", D2052="Iron Fly "),LEN(E2052)-LEN(SUBSTITUTE(E2052,"/",""))+2,LEN(E2052)-LEN(SUBSTITUTE(E2052,"/",""))+1))</f>
        <v/>
      </c>
      <c r="I2052" s="78">
        <f>IF(ISBLANK(G2052),"",IF(D2052="Stock","0",Key!$A$3*H2052*G2052))</f>
        <v/>
      </c>
      <c r="J2052" s="78">
        <f>IF(ISBLANK(E2052),"",IF(ISNUMBER(SEARCH("/",E2052)), IF(LEN(E2052)-LEN(SUBSTITUTE(E2052,"/",""))=1,(RIGHT(E2052,LEN(E2052)-FIND("/",E2052)))-(LEFT(E2052,FIND("/",E2052)-1)),(MID(E2052, SEARCH("/",E2052) + 1, SEARCH("/",E2052, SEARCH("/",E2052)+1) - SEARCH("/",E2052) - 1))-(LEFT(E2052,FIND("/",E2052)-1))), "NA"))</f>
        <v/>
      </c>
      <c r="K2052" s="79">
        <f>IF(A2052&lt;&gt;"", IF(ISBLANK(L2052), TODAY(), K2052), "")</f>
        <v/>
      </c>
      <c r="L2052" s="78" t="n"/>
      <c r="M2052" s="78">
        <f>IF(ISBLANK(L2052),"",IF(D2052="Stock",IF(C2052="Buy",L2052*G2052,IF(C2052="Sell",(L2052*G2052)-I2052, X)),IF(C2052="Buy",(L2052*G2052*100)+I2052,IF(C2052="Sell",(L2052*G2052*100)-I2052, X))))</f>
        <v/>
      </c>
      <c r="N2052" s="78">
        <f>IF(ISBLANK(L2052),"",IF(AND(C2052="Sell",D2052="Stock"),M2052,IF(ISBLANK(L2052),"",IF(C2052="Buy",M2052, IF(AND(C2052="Sell",J2052="NA"),(E2052*G2052*100*0.1)+I2052, IF(C2052="Sell",(J2052-L2052)*(100*G2052)+I2052))))))</f>
        <v/>
      </c>
      <c r="O2052" s="75" t="n"/>
      <c r="P2052" s="75" t="n"/>
      <c r="Q2052" s="75">
        <f>IF(ISBLANK(P2052),"",IF(D2052="Stock",P2052*G2052,IF(P2052=0,"0",G2052*P2052*100-(G2052*$AF$14))))</f>
        <v/>
      </c>
      <c r="R2052" s="79">
        <f>IF(P2052&lt;&gt;"", TODAY(), "")</f>
        <v/>
      </c>
      <c r="S2052" s="78">
        <f>IF(AND(K2052&lt;&gt;"", R2052&lt;&gt;""), R2052-K2052, "")</f>
        <v/>
      </c>
      <c r="T2052" s="78" t="n"/>
      <c r="U2052" s="92">
        <f>IF(ISBLANK(P2052),"",IF(C2052="Buy",Q2052-M2052+T2052, IF(C2052="Sell",M2052-Q2052-T2052, X)))</f>
        <v/>
      </c>
      <c r="V2052" s="81">
        <f>IF(ISBLANK(P2052),"",U2052/N2052)</f>
        <v/>
      </c>
      <c r="W2052" s="81">
        <f>IF(ISBLANK(P2052),"",IF(S2052=0,(365/0.5)*V2052,(365/S2052)*V2052))</f>
        <v/>
      </c>
      <c r="X2052" s="75" t="n"/>
      <c r="Y2052" s="77" t="n"/>
      <c r="Z2052" s="77" t="n"/>
      <c r="AA2052" s="75" t="n"/>
      <c r="AB2052" s="75" t="n"/>
      <c r="AC2052" s="6" t="n"/>
      <c r="AD2052" s="75" t="n"/>
      <c r="AE2052" s="75" t="n"/>
      <c r="AF2052" s="75" t="n"/>
    </row>
    <row r="2053" ht="15.75" customHeight="1" s="133">
      <c r="A2053" s="75" t="n"/>
      <c r="B2053" s="75" t="n"/>
      <c r="C2053" s="75" t="n"/>
      <c r="D2053" s="75" t="n"/>
      <c r="E2053" s="76" t="n"/>
      <c r="F2053" s="77" t="n"/>
      <c r="G2053" s="75" t="n"/>
      <c r="H2053" s="75">
        <f>IF(ISBLANK(E2053),"",IF(OR(D2053="Butterfly",D2053="Butterfly ",D2053="Iron Fly", D2053="Iron Fly "),LEN(E2053)-LEN(SUBSTITUTE(E2053,"/",""))+2,LEN(E2053)-LEN(SUBSTITUTE(E2053,"/",""))+1))</f>
        <v/>
      </c>
      <c r="I2053" s="78">
        <f>IF(ISBLANK(G2053),"",IF(D2053="Stock","0",Key!$A$3*H2053*G2053))</f>
        <v/>
      </c>
      <c r="J2053" s="78">
        <f>IF(ISBLANK(E2053),"",IF(ISNUMBER(SEARCH("/",E2053)), IF(LEN(E2053)-LEN(SUBSTITUTE(E2053,"/",""))=1,(RIGHT(E2053,LEN(E2053)-FIND("/",E2053)))-(LEFT(E2053,FIND("/",E2053)-1)),(MID(E2053, SEARCH("/",E2053) + 1, SEARCH("/",E2053, SEARCH("/",E2053)+1) - SEARCH("/",E2053) - 1))-(LEFT(E2053,FIND("/",E2053)-1))), "NA"))</f>
        <v/>
      </c>
      <c r="K2053" s="79">
        <f>IF(A2053&lt;&gt;"", IF(ISBLANK(L2053), TODAY(), K2053), "")</f>
        <v/>
      </c>
      <c r="L2053" s="78" t="n"/>
      <c r="M2053" s="78">
        <f>IF(ISBLANK(L2053),"",IF(D2053="Stock",IF(C2053="Buy",L2053*G2053,IF(C2053="Sell",(L2053*G2053)-I2053, X)),IF(C2053="Buy",(L2053*G2053*100)+I2053,IF(C2053="Sell",(L2053*G2053*100)-I2053, X))))</f>
        <v/>
      </c>
      <c r="N2053" s="78">
        <f>IF(ISBLANK(L2053),"",IF(AND(C2053="Sell",D2053="Stock"),M2053,IF(ISBLANK(L2053),"",IF(C2053="Buy",M2053, IF(AND(C2053="Sell",J2053="NA"),(E2053*G2053*100*0.1)+I2053, IF(C2053="Sell",(J2053-L2053)*(100*G2053)+I2053))))))</f>
        <v/>
      </c>
      <c r="O2053" s="75" t="n"/>
      <c r="P2053" s="75" t="n"/>
      <c r="Q2053" s="75">
        <f>IF(ISBLANK(P2053),"",IF(D2053="Stock",P2053*G2053,IF(P2053=0,"0",G2053*P2053*100-(G2053*$AF$14))))</f>
        <v/>
      </c>
      <c r="R2053" s="79">
        <f>IF(P2053&lt;&gt;"", TODAY(), "")</f>
        <v/>
      </c>
      <c r="S2053" s="78">
        <f>IF(AND(K2053&lt;&gt;"", R2053&lt;&gt;""), R2053-K2053, "")</f>
        <v/>
      </c>
      <c r="T2053" s="78" t="n"/>
      <c r="U2053" s="92">
        <f>IF(ISBLANK(P2053),"",IF(C2053="Buy",Q2053-M2053+T2053, IF(C2053="Sell",M2053-Q2053-T2053, X)))</f>
        <v/>
      </c>
      <c r="V2053" s="81">
        <f>IF(ISBLANK(P2053),"",U2053/N2053)</f>
        <v/>
      </c>
      <c r="W2053" s="81">
        <f>IF(ISBLANK(P2053),"",IF(S2053=0,(365/0.5)*V2053,(365/S2053)*V2053))</f>
        <v/>
      </c>
      <c r="X2053" s="75" t="n"/>
      <c r="Y2053" s="77" t="n"/>
      <c r="Z2053" s="77" t="n"/>
      <c r="AA2053" s="75" t="n"/>
      <c r="AB2053" s="75" t="n"/>
      <c r="AC2053" s="6" t="n"/>
      <c r="AD2053" s="75" t="n"/>
      <c r="AE2053" s="75" t="n"/>
      <c r="AF2053" s="75" t="n"/>
    </row>
    <row r="2054" ht="15.75" customHeight="1" s="133">
      <c r="A2054" s="75" t="n"/>
      <c r="B2054" s="75" t="n"/>
      <c r="C2054" s="75" t="n"/>
      <c r="D2054" s="75" t="n"/>
      <c r="E2054" s="76" t="n"/>
      <c r="F2054" s="77" t="n"/>
      <c r="G2054" s="75" t="n"/>
      <c r="H2054" s="75">
        <f>IF(ISBLANK(E2054),"",IF(OR(D2054="Butterfly",D2054="Butterfly ",D2054="Iron Fly", D2054="Iron Fly "),LEN(E2054)-LEN(SUBSTITUTE(E2054,"/",""))+2,LEN(E2054)-LEN(SUBSTITUTE(E2054,"/",""))+1))</f>
        <v/>
      </c>
      <c r="I2054" s="78">
        <f>IF(ISBLANK(G2054),"",IF(D2054="Stock","0",Key!$A$3*H2054*G2054))</f>
        <v/>
      </c>
      <c r="J2054" s="78">
        <f>IF(ISBLANK(E2054),"",IF(ISNUMBER(SEARCH("/",E2054)), IF(LEN(E2054)-LEN(SUBSTITUTE(E2054,"/",""))=1,(RIGHT(E2054,LEN(E2054)-FIND("/",E2054)))-(LEFT(E2054,FIND("/",E2054)-1)),(MID(E2054, SEARCH("/",E2054) + 1, SEARCH("/",E2054, SEARCH("/",E2054)+1) - SEARCH("/",E2054) - 1))-(LEFT(E2054,FIND("/",E2054)-1))), "NA"))</f>
        <v/>
      </c>
      <c r="K2054" s="79">
        <f>IF(A2054&lt;&gt;"", IF(ISBLANK(L2054), TODAY(), K2054), "")</f>
        <v/>
      </c>
      <c r="L2054" s="78" t="n"/>
      <c r="M2054" s="78">
        <f>IF(ISBLANK(L2054),"",IF(D2054="Stock",IF(C2054="Buy",L2054*G2054,IF(C2054="Sell",(L2054*G2054)-I2054, X)),IF(C2054="Buy",(L2054*G2054*100)+I2054,IF(C2054="Sell",(L2054*G2054*100)-I2054, X))))</f>
        <v/>
      </c>
      <c r="N2054" s="78">
        <f>IF(ISBLANK(L2054),"",IF(AND(C2054="Sell",D2054="Stock"),M2054,IF(ISBLANK(L2054),"",IF(C2054="Buy",M2054, IF(AND(C2054="Sell",J2054="NA"),(E2054*G2054*100*0.1)+I2054, IF(C2054="Sell",(J2054-L2054)*(100*G2054)+I2054))))))</f>
        <v/>
      </c>
      <c r="O2054" s="75" t="n"/>
      <c r="P2054" s="75" t="n"/>
      <c r="Q2054" s="75">
        <f>IF(ISBLANK(P2054),"",IF(D2054="Stock",P2054*G2054,IF(P2054=0,"0",G2054*P2054*100-(G2054*$AF$14))))</f>
        <v/>
      </c>
      <c r="R2054" s="79">
        <f>IF(P2054&lt;&gt;"", TODAY(), "")</f>
        <v/>
      </c>
      <c r="S2054" s="78">
        <f>IF(AND(K2054&lt;&gt;"", R2054&lt;&gt;""), R2054-K2054, "")</f>
        <v/>
      </c>
      <c r="T2054" s="78" t="n"/>
      <c r="U2054" s="92">
        <f>IF(ISBLANK(P2054),"",IF(C2054="Buy",Q2054-M2054+T2054, IF(C2054="Sell",M2054-Q2054-T2054, X)))</f>
        <v/>
      </c>
      <c r="V2054" s="81">
        <f>IF(ISBLANK(P2054),"",U2054/N2054)</f>
        <v/>
      </c>
      <c r="W2054" s="81">
        <f>IF(ISBLANK(P2054),"",IF(S2054=0,(365/0.5)*V2054,(365/S2054)*V2054))</f>
        <v/>
      </c>
      <c r="X2054" s="75" t="n"/>
      <c r="Y2054" s="77" t="n"/>
      <c r="Z2054" s="77" t="n"/>
      <c r="AA2054" s="75" t="n"/>
      <c r="AB2054" s="75" t="n"/>
      <c r="AC2054" s="6" t="n"/>
      <c r="AD2054" s="75" t="n"/>
      <c r="AE2054" s="75" t="n"/>
      <c r="AF2054" s="75" t="n"/>
    </row>
    <row r="2055" ht="15.75" customHeight="1" s="133">
      <c r="A2055" s="75" t="n"/>
      <c r="B2055" s="75" t="n"/>
      <c r="C2055" s="75" t="n"/>
      <c r="D2055" s="75" t="n"/>
      <c r="E2055" s="76" t="n"/>
      <c r="F2055" s="77" t="n"/>
      <c r="G2055" s="75" t="n"/>
      <c r="H2055" s="75">
        <f>IF(ISBLANK(E2055),"",IF(OR(D2055="Butterfly",D2055="Butterfly ",D2055="Iron Fly", D2055="Iron Fly "),LEN(E2055)-LEN(SUBSTITUTE(E2055,"/",""))+2,LEN(E2055)-LEN(SUBSTITUTE(E2055,"/",""))+1))</f>
        <v/>
      </c>
      <c r="I2055" s="78">
        <f>IF(ISBLANK(G2055),"",IF(D2055="Stock","0",Key!$A$3*H2055*G2055))</f>
        <v/>
      </c>
      <c r="J2055" s="78">
        <f>IF(ISBLANK(E2055),"",IF(ISNUMBER(SEARCH("/",E2055)), IF(LEN(E2055)-LEN(SUBSTITUTE(E2055,"/",""))=1,(RIGHT(E2055,LEN(E2055)-FIND("/",E2055)))-(LEFT(E2055,FIND("/",E2055)-1)),(MID(E2055, SEARCH("/",E2055) + 1, SEARCH("/",E2055, SEARCH("/",E2055)+1) - SEARCH("/",E2055) - 1))-(LEFT(E2055,FIND("/",E2055)-1))), "NA"))</f>
        <v/>
      </c>
      <c r="K2055" s="79">
        <f>IF(A2055&lt;&gt;"", IF(ISBLANK(L2055), TODAY(), K2055), "")</f>
        <v/>
      </c>
      <c r="L2055" s="78" t="n"/>
      <c r="M2055" s="78">
        <f>IF(ISBLANK(L2055),"",IF(D2055="Stock",IF(C2055="Buy",L2055*G2055,IF(C2055="Sell",(L2055*G2055)-I2055, X)),IF(C2055="Buy",(L2055*G2055*100)+I2055,IF(C2055="Sell",(L2055*G2055*100)-I2055, X))))</f>
        <v/>
      </c>
      <c r="N2055" s="78">
        <f>IF(ISBLANK(L2055),"",IF(AND(C2055="Sell",D2055="Stock"),M2055,IF(ISBLANK(L2055),"",IF(C2055="Buy",M2055, IF(AND(C2055="Sell",J2055="NA"),(E2055*G2055*100*0.1)+I2055, IF(C2055="Sell",(J2055-L2055)*(100*G2055)+I2055))))))</f>
        <v/>
      </c>
      <c r="O2055" s="75" t="n"/>
      <c r="P2055" s="75" t="n"/>
      <c r="Q2055" s="75">
        <f>IF(ISBLANK(P2055),"",IF(D2055="Stock",P2055*G2055,IF(P2055=0,"0",G2055*P2055*100-(G2055*$AF$14))))</f>
        <v/>
      </c>
      <c r="R2055" s="79">
        <f>IF(P2055&lt;&gt;"", TODAY(), "")</f>
        <v/>
      </c>
      <c r="S2055" s="78">
        <f>IF(AND(K2055&lt;&gt;"", R2055&lt;&gt;""), R2055-K2055, "")</f>
        <v/>
      </c>
      <c r="T2055" s="78" t="n"/>
      <c r="U2055" s="92">
        <f>IF(ISBLANK(P2055),"",IF(C2055="Buy",Q2055-M2055+T2055, IF(C2055="Sell",M2055-Q2055-T2055, X)))</f>
        <v/>
      </c>
      <c r="V2055" s="81">
        <f>IF(ISBLANK(P2055),"",U2055/N2055)</f>
        <v/>
      </c>
      <c r="W2055" s="81">
        <f>IF(ISBLANK(P2055),"",IF(S2055=0,(365/0.5)*V2055,(365/S2055)*V2055))</f>
        <v/>
      </c>
      <c r="X2055" s="75" t="n"/>
      <c r="Y2055" s="77" t="n"/>
      <c r="Z2055" s="77" t="n"/>
      <c r="AA2055" s="75" t="n"/>
      <c r="AB2055" s="75" t="n"/>
      <c r="AC2055" s="6" t="n"/>
      <c r="AD2055" s="75" t="n"/>
      <c r="AE2055" s="75" t="n"/>
      <c r="AF2055" s="75" t="n"/>
    </row>
    <row r="2056" ht="15.75" customHeight="1" s="133">
      <c r="A2056" s="75" t="n"/>
      <c r="B2056" s="75" t="n"/>
      <c r="C2056" s="75" t="n"/>
      <c r="D2056" s="75" t="n"/>
      <c r="E2056" s="76" t="n"/>
      <c r="F2056" s="77" t="n"/>
      <c r="G2056" s="75" t="n"/>
      <c r="H2056" s="75">
        <f>IF(ISBLANK(E2056),"",IF(OR(D2056="Butterfly",D2056="Butterfly ",D2056="Iron Fly", D2056="Iron Fly "),LEN(E2056)-LEN(SUBSTITUTE(E2056,"/",""))+2,LEN(E2056)-LEN(SUBSTITUTE(E2056,"/",""))+1))</f>
        <v/>
      </c>
      <c r="I2056" s="78">
        <f>IF(ISBLANK(G2056),"",IF(D2056="Stock","0",Key!$A$3*H2056*G2056))</f>
        <v/>
      </c>
      <c r="J2056" s="78">
        <f>IF(ISBLANK(E2056),"",IF(ISNUMBER(SEARCH("/",E2056)), IF(LEN(E2056)-LEN(SUBSTITUTE(E2056,"/",""))=1,(RIGHT(E2056,LEN(E2056)-FIND("/",E2056)))-(LEFT(E2056,FIND("/",E2056)-1)),(MID(E2056, SEARCH("/",E2056) + 1, SEARCH("/",E2056, SEARCH("/",E2056)+1) - SEARCH("/",E2056) - 1))-(LEFT(E2056,FIND("/",E2056)-1))), "NA"))</f>
        <v/>
      </c>
      <c r="K2056" s="79">
        <f>IF(A2056&lt;&gt;"", IF(ISBLANK(L2056), TODAY(), K2056), "")</f>
        <v/>
      </c>
      <c r="L2056" s="78" t="n"/>
      <c r="M2056" s="78">
        <f>IF(ISBLANK(L2056),"",IF(D2056="Stock",IF(C2056="Buy",L2056*G2056,IF(C2056="Sell",(L2056*G2056)-I2056, X)),IF(C2056="Buy",(L2056*G2056*100)+I2056,IF(C2056="Sell",(L2056*G2056*100)-I2056, X))))</f>
        <v/>
      </c>
      <c r="N2056" s="78">
        <f>IF(ISBLANK(L2056),"",IF(AND(C2056="Sell",D2056="Stock"),M2056,IF(ISBLANK(L2056),"",IF(C2056="Buy",M2056, IF(AND(C2056="Sell",J2056="NA"),(E2056*G2056*100*0.1)+I2056, IF(C2056="Sell",(J2056-L2056)*(100*G2056)+I2056))))))</f>
        <v/>
      </c>
      <c r="O2056" s="75" t="n"/>
      <c r="P2056" s="75" t="n"/>
      <c r="Q2056" s="75">
        <f>IF(ISBLANK(P2056),"",IF(D2056="Stock",P2056*G2056,IF(P2056=0,"0",G2056*P2056*100-(G2056*$AF$14))))</f>
        <v/>
      </c>
      <c r="R2056" s="79">
        <f>IF(P2056&lt;&gt;"", TODAY(), "")</f>
        <v/>
      </c>
      <c r="S2056" s="78">
        <f>IF(AND(K2056&lt;&gt;"", R2056&lt;&gt;""), R2056-K2056, "")</f>
        <v/>
      </c>
      <c r="T2056" s="78" t="n"/>
      <c r="U2056" s="92">
        <f>IF(ISBLANK(P2056),"",IF(C2056="Buy",Q2056-M2056+T2056, IF(C2056="Sell",M2056-Q2056-T2056, X)))</f>
        <v/>
      </c>
      <c r="V2056" s="81">
        <f>IF(ISBLANK(P2056),"",U2056/N2056)</f>
        <v/>
      </c>
      <c r="W2056" s="81">
        <f>IF(ISBLANK(P2056),"",IF(S2056=0,(365/0.5)*V2056,(365/S2056)*V2056))</f>
        <v/>
      </c>
      <c r="X2056" s="75" t="n"/>
      <c r="Y2056" s="77" t="n"/>
      <c r="Z2056" s="77" t="n"/>
      <c r="AA2056" s="75" t="n"/>
      <c r="AB2056" s="75" t="n"/>
      <c r="AC2056" s="6" t="n"/>
      <c r="AD2056" s="75" t="n"/>
      <c r="AE2056" s="75" t="n"/>
      <c r="AF2056" s="75" t="n"/>
    </row>
    <row r="2057" ht="15.75" customHeight="1" s="133">
      <c r="A2057" s="75" t="n"/>
      <c r="B2057" s="75" t="n"/>
      <c r="C2057" s="75" t="n"/>
      <c r="D2057" s="75" t="n"/>
      <c r="E2057" s="76" t="n"/>
      <c r="F2057" s="77" t="n"/>
      <c r="G2057" s="75" t="n"/>
      <c r="H2057" s="75">
        <f>IF(ISBLANK(E2057),"",IF(OR(D2057="Butterfly",D2057="Butterfly ",D2057="Iron Fly", D2057="Iron Fly "),LEN(E2057)-LEN(SUBSTITUTE(E2057,"/",""))+2,LEN(E2057)-LEN(SUBSTITUTE(E2057,"/",""))+1))</f>
        <v/>
      </c>
      <c r="I2057" s="78">
        <f>IF(ISBLANK(G2057),"",IF(D2057="Stock","0",Key!$A$3*H2057*G2057))</f>
        <v/>
      </c>
      <c r="J2057" s="78">
        <f>IF(ISBLANK(E2057),"",IF(ISNUMBER(SEARCH("/",E2057)), IF(LEN(E2057)-LEN(SUBSTITUTE(E2057,"/",""))=1,(RIGHT(E2057,LEN(E2057)-FIND("/",E2057)))-(LEFT(E2057,FIND("/",E2057)-1)),(MID(E2057, SEARCH("/",E2057) + 1, SEARCH("/",E2057, SEARCH("/",E2057)+1) - SEARCH("/",E2057) - 1))-(LEFT(E2057,FIND("/",E2057)-1))), "NA"))</f>
        <v/>
      </c>
      <c r="K2057" s="79">
        <f>IF(A2057&lt;&gt;"", IF(ISBLANK(L2057), TODAY(), K2057), "")</f>
        <v/>
      </c>
      <c r="L2057" s="78" t="n"/>
      <c r="M2057" s="78">
        <f>IF(ISBLANK(L2057),"",IF(D2057="Stock",IF(C2057="Buy",L2057*G2057,IF(C2057="Sell",(L2057*G2057)-I2057, X)),IF(C2057="Buy",(L2057*G2057*100)+I2057,IF(C2057="Sell",(L2057*G2057*100)-I2057, X))))</f>
        <v/>
      </c>
      <c r="N2057" s="78">
        <f>IF(ISBLANK(L2057),"",IF(AND(C2057="Sell",D2057="Stock"),M2057,IF(ISBLANK(L2057),"",IF(C2057="Buy",M2057, IF(AND(C2057="Sell",J2057="NA"),(E2057*G2057*100*0.1)+I2057, IF(C2057="Sell",(J2057-L2057)*(100*G2057)+I2057))))))</f>
        <v/>
      </c>
      <c r="O2057" s="75" t="n"/>
      <c r="P2057" s="75" t="n"/>
      <c r="Q2057" s="75">
        <f>IF(ISBLANK(P2057),"",IF(D2057="Stock",P2057*G2057,IF(P2057=0,"0",G2057*P2057*100-(G2057*$AF$14))))</f>
        <v/>
      </c>
      <c r="R2057" s="79">
        <f>IF(P2057&lt;&gt;"", TODAY(), "")</f>
        <v/>
      </c>
      <c r="S2057" s="78">
        <f>IF(AND(K2057&lt;&gt;"", R2057&lt;&gt;""), R2057-K2057, "")</f>
        <v/>
      </c>
      <c r="T2057" s="78" t="n"/>
      <c r="U2057" s="92">
        <f>IF(ISBLANK(P2057),"",IF(C2057="Buy",Q2057-M2057+T2057, IF(C2057="Sell",M2057-Q2057-T2057, X)))</f>
        <v/>
      </c>
      <c r="V2057" s="81">
        <f>IF(ISBLANK(P2057),"",U2057/N2057)</f>
        <v/>
      </c>
      <c r="W2057" s="81">
        <f>IF(ISBLANK(P2057),"",IF(S2057=0,(365/0.5)*V2057,(365/S2057)*V2057))</f>
        <v/>
      </c>
      <c r="X2057" s="75" t="n"/>
      <c r="Y2057" s="77" t="n"/>
      <c r="Z2057" s="77" t="n"/>
      <c r="AA2057" s="75" t="n"/>
      <c r="AB2057" s="75" t="n"/>
      <c r="AC2057" s="6" t="n"/>
      <c r="AD2057" s="75" t="n"/>
      <c r="AE2057" s="75" t="n"/>
      <c r="AF2057" s="75" t="n"/>
    </row>
    <row r="2058" ht="15.75" customHeight="1" s="133">
      <c r="A2058" s="75" t="n"/>
      <c r="B2058" s="75" t="n"/>
      <c r="C2058" s="75" t="n"/>
      <c r="D2058" s="75" t="n"/>
      <c r="E2058" s="76" t="n"/>
      <c r="F2058" s="77" t="n"/>
      <c r="G2058" s="75" t="n"/>
      <c r="H2058" s="75">
        <f>IF(ISBLANK(E2058),"",IF(OR(D2058="Butterfly",D2058="Butterfly ",D2058="Iron Fly", D2058="Iron Fly "),LEN(E2058)-LEN(SUBSTITUTE(E2058,"/",""))+2,LEN(E2058)-LEN(SUBSTITUTE(E2058,"/",""))+1))</f>
        <v/>
      </c>
      <c r="I2058" s="78">
        <f>IF(ISBLANK(G2058),"",IF(D2058="Stock","0",Key!$A$3*H2058*G2058))</f>
        <v/>
      </c>
      <c r="J2058" s="78">
        <f>IF(ISBLANK(E2058),"",IF(ISNUMBER(SEARCH("/",E2058)), IF(LEN(E2058)-LEN(SUBSTITUTE(E2058,"/",""))=1,(RIGHT(E2058,LEN(E2058)-FIND("/",E2058)))-(LEFT(E2058,FIND("/",E2058)-1)),(MID(E2058, SEARCH("/",E2058) + 1, SEARCH("/",E2058, SEARCH("/",E2058)+1) - SEARCH("/",E2058) - 1))-(LEFT(E2058,FIND("/",E2058)-1))), "NA"))</f>
        <v/>
      </c>
      <c r="K2058" s="79">
        <f>IF(A2058&lt;&gt;"", IF(ISBLANK(L2058), TODAY(), K2058), "")</f>
        <v/>
      </c>
      <c r="L2058" s="78" t="n"/>
      <c r="M2058" s="78">
        <f>IF(ISBLANK(L2058),"",IF(D2058="Stock",IF(C2058="Buy",L2058*G2058,IF(C2058="Sell",(L2058*G2058)-I2058, X)),IF(C2058="Buy",(L2058*G2058*100)+I2058,IF(C2058="Sell",(L2058*G2058*100)-I2058, X))))</f>
        <v/>
      </c>
      <c r="N2058" s="78">
        <f>IF(ISBLANK(L2058),"",IF(AND(C2058="Sell",D2058="Stock"),M2058,IF(ISBLANK(L2058),"",IF(C2058="Buy",M2058, IF(AND(C2058="Sell",J2058="NA"),(E2058*G2058*100*0.1)+I2058, IF(C2058="Sell",(J2058-L2058)*(100*G2058)+I2058))))))</f>
        <v/>
      </c>
      <c r="O2058" s="75" t="n"/>
      <c r="P2058" s="75" t="n"/>
      <c r="Q2058" s="75">
        <f>IF(ISBLANK(P2058),"",IF(D2058="Stock",P2058*G2058,IF(P2058=0,"0",G2058*P2058*100-(G2058*$AF$14))))</f>
        <v/>
      </c>
      <c r="R2058" s="79">
        <f>IF(P2058&lt;&gt;"", TODAY(), "")</f>
        <v/>
      </c>
      <c r="S2058" s="78">
        <f>IF(AND(K2058&lt;&gt;"", R2058&lt;&gt;""), R2058-K2058, "")</f>
        <v/>
      </c>
      <c r="T2058" s="78" t="n"/>
      <c r="U2058" s="92">
        <f>IF(ISBLANK(P2058),"",IF(C2058="Buy",Q2058-M2058+T2058, IF(C2058="Sell",M2058-Q2058-T2058, X)))</f>
        <v/>
      </c>
      <c r="V2058" s="81">
        <f>IF(ISBLANK(P2058),"",U2058/N2058)</f>
        <v/>
      </c>
      <c r="W2058" s="81">
        <f>IF(ISBLANK(P2058),"",IF(S2058=0,(365/0.5)*V2058,(365/S2058)*V2058))</f>
        <v/>
      </c>
      <c r="X2058" s="75" t="n"/>
      <c r="Y2058" s="77" t="n"/>
      <c r="Z2058" s="77" t="n"/>
      <c r="AA2058" s="75" t="n"/>
      <c r="AB2058" s="75" t="n"/>
      <c r="AC2058" s="6" t="n"/>
      <c r="AD2058" s="75" t="n"/>
      <c r="AE2058" s="75" t="n"/>
      <c r="AF2058" s="75" t="n"/>
    </row>
    <row r="2059" ht="15.75" customHeight="1" s="133">
      <c r="A2059" s="75" t="n"/>
      <c r="B2059" s="75" t="n"/>
      <c r="C2059" s="75" t="n"/>
      <c r="D2059" s="75" t="n"/>
      <c r="E2059" s="76" t="n"/>
      <c r="F2059" s="77" t="n"/>
      <c r="G2059" s="75" t="n"/>
      <c r="H2059" s="75">
        <f>IF(ISBLANK(E2059),"",IF(OR(D2059="Butterfly",D2059="Butterfly ",D2059="Iron Fly", D2059="Iron Fly "),LEN(E2059)-LEN(SUBSTITUTE(E2059,"/",""))+2,LEN(E2059)-LEN(SUBSTITUTE(E2059,"/",""))+1))</f>
        <v/>
      </c>
      <c r="I2059" s="78">
        <f>IF(ISBLANK(G2059),"",IF(D2059="Stock","0",Key!$A$3*H2059*G2059))</f>
        <v/>
      </c>
      <c r="J2059" s="78">
        <f>IF(ISBLANK(E2059),"",IF(ISNUMBER(SEARCH("/",E2059)), IF(LEN(E2059)-LEN(SUBSTITUTE(E2059,"/",""))=1,(RIGHT(E2059,LEN(E2059)-FIND("/",E2059)))-(LEFT(E2059,FIND("/",E2059)-1)),(MID(E2059, SEARCH("/",E2059) + 1, SEARCH("/",E2059, SEARCH("/",E2059)+1) - SEARCH("/",E2059) - 1))-(LEFT(E2059,FIND("/",E2059)-1))), "NA"))</f>
        <v/>
      </c>
      <c r="K2059" s="79">
        <f>IF(A2059&lt;&gt;"", IF(ISBLANK(L2059), TODAY(), K2059), "")</f>
        <v/>
      </c>
      <c r="L2059" s="78" t="n"/>
      <c r="M2059" s="78">
        <f>IF(ISBLANK(L2059),"",IF(D2059="Stock",IF(C2059="Buy",L2059*G2059,IF(C2059="Sell",(L2059*G2059)-I2059, X)),IF(C2059="Buy",(L2059*G2059*100)+I2059,IF(C2059="Sell",(L2059*G2059*100)-I2059, X))))</f>
        <v/>
      </c>
      <c r="N2059" s="78">
        <f>IF(ISBLANK(L2059),"",IF(AND(C2059="Sell",D2059="Stock"),M2059,IF(ISBLANK(L2059),"",IF(C2059="Buy",M2059, IF(AND(C2059="Sell",J2059="NA"),(E2059*G2059*100*0.1)+I2059, IF(C2059="Sell",(J2059-L2059)*(100*G2059)+I2059))))))</f>
        <v/>
      </c>
      <c r="O2059" s="75" t="n"/>
      <c r="P2059" s="75" t="n"/>
      <c r="Q2059" s="75">
        <f>IF(ISBLANK(P2059),"",IF(D2059="Stock",P2059*G2059,IF(P2059=0,"0",G2059*P2059*100-(G2059*$AF$14))))</f>
        <v/>
      </c>
      <c r="R2059" s="79">
        <f>IF(P2059&lt;&gt;"", TODAY(), "")</f>
        <v/>
      </c>
      <c r="S2059" s="78">
        <f>IF(AND(K2059&lt;&gt;"", R2059&lt;&gt;""), R2059-K2059, "")</f>
        <v/>
      </c>
      <c r="T2059" s="78" t="n"/>
      <c r="U2059" s="92">
        <f>IF(ISBLANK(P2059),"",IF(C2059="Buy",Q2059-M2059+T2059, IF(C2059="Sell",M2059-Q2059-T2059, X)))</f>
        <v/>
      </c>
      <c r="V2059" s="81">
        <f>IF(ISBLANK(P2059),"",U2059/N2059)</f>
        <v/>
      </c>
      <c r="W2059" s="81">
        <f>IF(ISBLANK(P2059),"",IF(S2059=0,(365/0.5)*V2059,(365/S2059)*V2059))</f>
        <v/>
      </c>
      <c r="X2059" s="75" t="n"/>
      <c r="Y2059" s="77" t="n"/>
      <c r="Z2059" s="77" t="n"/>
      <c r="AA2059" s="75" t="n"/>
      <c r="AB2059" s="75" t="n"/>
      <c r="AC2059" s="6" t="n"/>
      <c r="AD2059" s="75" t="n"/>
      <c r="AE2059" s="75" t="n"/>
      <c r="AF2059" s="75" t="n"/>
    </row>
    <row r="2060" ht="15.75" customHeight="1" s="133">
      <c r="A2060" s="75" t="n"/>
      <c r="B2060" s="75" t="n"/>
      <c r="C2060" s="75" t="n"/>
      <c r="D2060" s="75" t="n"/>
      <c r="E2060" s="76" t="n"/>
      <c r="F2060" s="77" t="n"/>
      <c r="G2060" s="75" t="n"/>
      <c r="H2060" s="75">
        <f>IF(ISBLANK(E2060),"",IF(OR(D2060="Butterfly",D2060="Butterfly ",D2060="Iron Fly", D2060="Iron Fly "),LEN(E2060)-LEN(SUBSTITUTE(E2060,"/",""))+2,LEN(E2060)-LEN(SUBSTITUTE(E2060,"/",""))+1))</f>
        <v/>
      </c>
      <c r="I2060" s="78">
        <f>IF(ISBLANK(G2060),"",IF(D2060="Stock","0",Key!$A$3*H2060*G2060))</f>
        <v/>
      </c>
      <c r="J2060" s="78">
        <f>IF(ISBLANK(E2060),"",IF(ISNUMBER(SEARCH("/",E2060)), IF(LEN(E2060)-LEN(SUBSTITUTE(E2060,"/",""))=1,(RIGHT(E2060,LEN(E2060)-FIND("/",E2060)))-(LEFT(E2060,FIND("/",E2060)-1)),(MID(E2060, SEARCH("/",E2060) + 1, SEARCH("/",E2060, SEARCH("/",E2060)+1) - SEARCH("/",E2060) - 1))-(LEFT(E2060,FIND("/",E2060)-1))), "NA"))</f>
        <v/>
      </c>
      <c r="K2060" s="79">
        <f>IF(A2060&lt;&gt;"", IF(ISBLANK(L2060), TODAY(), K2060), "")</f>
        <v/>
      </c>
      <c r="L2060" s="78" t="n"/>
      <c r="M2060" s="78">
        <f>IF(ISBLANK(L2060),"",IF(D2060="Stock",IF(C2060="Buy",L2060*G2060,IF(C2060="Sell",(L2060*G2060)-I2060, X)),IF(C2060="Buy",(L2060*G2060*100)+I2060,IF(C2060="Sell",(L2060*G2060*100)-I2060, X))))</f>
        <v/>
      </c>
      <c r="N2060" s="78">
        <f>IF(ISBLANK(L2060),"",IF(AND(C2060="Sell",D2060="Stock"),M2060,IF(ISBLANK(L2060),"",IF(C2060="Buy",M2060, IF(AND(C2060="Sell",J2060="NA"),(E2060*G2060*100*0.1)+I2060, IF(C2060="Sell",(J2060-L2060)*(100*G2060)+I2060))))))</f>
        <v/>
      </c>
      <c r="O2060" s="75" t="n"/>
      <c r="P2060" s="75" t="n"/>
      <c r="Q2060" s="75">
        <f>IF(ISBLANK(P2060),"",IF(D2060="Stock",P2060*G2060,IF(P2060=0,"0",G2060*P2060*100-(G2060*$AF$14))))</f>
        <v/>
      </c>
      <c r="R2060" s="79">
        <f>IF(P2060&lt;&gt;"", TODAY(), "")</f>
        <v/>
      </c>
      <c r="S2060" s="78">
        <f>IF(AND(K2060&lt;&gt;"", R2060&lt;&gt;""), R2060-K2060, "")</f>
        <v/>
      </c>
      <c r="T2060" s="78" t="n"/>
      <c r="U2060" s="92">
        <f>IF(ISBLANK(P2060),"",IF(C2060="Buy",Q2060-M2060+T2060, IF(C2060="Sell",M2060-Q2060-T2060, X)))</f>
        <v/>
      </c>
      <c r="V2060" s="81">
        <f>IF(ISBLANK(P2060),"",U2060/N2060)</f>
        <v/>
      </c>
      <c r="W2060" s="81">
        <f>IF(ISBLANK(P2060),"",IF(S2060=0,(365/0.5)*V2060,(365/S2060)*V2060))</f>
        <v/>
      </c>
      <c r="X2060" s="75" t="n"/>
      <c r="Y2060" s="77" t="n"/>
      <c r="Z2060" s="77" t="n"/>
      <c r="AA2060" s="75" t="n"/>
      <c r="AB2060" s="75" t="n"/>
      <c r="AC2060" s="6" t="n"/>
      <c r="AD2060" s="75" t="n"/>
      <c r="AE2060" s="75" t="n"/>
      <c r="AF2060" s="75" t="n"/>
    </row>
    <row r="2061" ht="15.75" customHeight="1" s="133">
      <c r="A2061" s="75" t="n"/>
      <c r="B2061" s="75" t="n"/>
      <c r="C2061" s="75" t="n"/>
      <c r="D2061" s="75" t="n"/>
      <c r="E2061" s="76" t="n"/>
      <c r="F2061" s="77" t="n"/>
      <c r="G2061" s="75" t="n"/>
      <c r="H2061" s="75">
        <f>IF(ISBLANK(E2061),"",IF(OR(D2061="Butterfly",D2061="Butterfly ",D2061="Iron Fly", D2061="Iron Fly "),LEN(E2061)-LEN(SUBSTITUTE(E2061,"/",""))+2,LEN(E2061)-LEN(SUBSTITUTE(E2061,"/",""))+1))</f>
        <v/>
      </c>
      <c r="I2061" s="78">
        <f>IF(ISBLANK(G2061),"",IF(D2061="Stock","0",Key!$A$3*H2061*G2061))</f>
        <v/>
      </c>
      <c r="J2061" s="78">
        <f>IF(ISBLANK(E2061),"",IF(ISNUMBER(SEARCH("/",E2061)), IF(LEN(E2061)-LEN(SUBSTITUTE(E2061,"/",""))=1,(RIGHT(E2061,LEN(E2061)-FIND("/",E2061)))-(LEFT(E2061,FIND("/",E2061)-1)),(MID(E2061, SEARCH("/",E2061) + 1, SEARCH("/",E2061, SEARCH("/",E2061)+1) - SEARCH("/",E2061) - 1))-(LEFT(E2061,FIND("/",E2061)-1))), "NA"))</f>
        <v/>
      </c>
      <c r="K2061" s="79">
        <f>IF(A2061&lt;&gt;"", IF(ISBLANK(L2061), TODAY(), K2061), "")</f>
        <v/>
      </c>
      <c r="L2061" s="78" t="n"/>
      <c r="M2061" s="78">
        <f>IF(ISBLANK(L2061),"",IF(D2061="Stock",IF(C2061="Buy",L2061*G2061,IF(C2061="Sell",(L2061*G2061)-I2061, X)),IF(C2061="Buy",(L2061*G2061*100)+I2061,IF(C2061="Sell",(L2061*G2061*100)-I2061, X))))</f>
        <v/>
      </c>
      <c r="N2061" s="78">
        <f>IF(ISBLANK(L2061),"",IF(AND(C2061="Sell",D2061="Stock"),M2061,IF(ISBLANK(L2061),"",IF(C2061="Buy",M2061, IF(AND(C2061="Sell",J2061="NA"),(E2061*G2061*100*0.1)+I2061, IF(C2061="Sell",(J2061-L2061)*(100*G2061)+I2061))))))</f>
        <v/>
      </c>
      <c r="O2061" s="75" t="n"/>
      <c r="P2061" s="75" t="n"/>
      <c r="Q2061" s="75">
        <f>IF(ISBLANK(P2061),"",IF(D2061="Stock",P2061*G2061,IF(P2061=0,"0",G2061*P2061*100-(G2061*$AF$14))))</f>
        <v/>
      </c>
      <c r="R2061" s="79">
        <f>IF(P2061&lt;&gt;"", TODAY(), "")</f>
        <v/>
      </c>
      <c r="S2061" s="78">
        <f>IF(AND(K2061&lt;&gt;"", R2061&lt;&gt;""), R2061-K2061, "")</f>
        <v/>
      </c>
      <c r="T2061" s="78" t="n"/>
      <c r="U2061" s="92">
        <f>IF(ISBLANK(P2061),"",IF(C2061="Buy",Q2061-M2061+T2061, IF(C2061="Sell",M2061-Q2061-T2061, X)))</f>
        <v/>
      </c>
      <c r="V2061" s="81">
        <f>IF(ISBLANK(P2061),"",U2061/N2061)</f>
        <v/>
      </c>
      <c r="W2061" s="81">
        <f>IF(ISBLANK(P2061),"",IF(S2061=0,(365/0.5)*V2061,(365/S2061)*V2061))</f>
        <v/>
      </c>
      <c r="X2061" s="75" t="n"/>
      <c r="Y2061" s="77" t="n"/>
      <c r="Z2061" s="77" t="n"/>
      <c r="AA2061" s="75" t="n"/>
      <c r="AB2061" s="75" t="n"/>
      <c r="AC2061" s="6" t="n"/>
      <c r="AD2061" s="75" t="n"/>
      <c r="AE2061" s="75" t="n"/>
      <c r="AF2061" s="75" t="n"/>
    </row>
    <row r="2062" ht="15.75" customHeight="1" s="133">
      <c r="A2062" s="75" t="n"/>
      <c r="B2062" s="75" t="n"/>
      <c r="C2062" s="75" t="n"/>
      <c r="D2062" s="75" t="n"/>
      <c r="E2062" s="76" t="n"/>
      <c r="F2062" s="77" t="n"/>
      <c r="G2062" s="75" t="n"/>
      <c r="H2062" s="75">
        <f>IF(ISBLANK(E2062),"",IF(OR(D2062="Butterfly",D2062="Butterfly ",D2062="Iron Fly", D2062="Iron Fly "),LEN(E2062)-LEN(SUBSTITUTE(E2062,"/",""))+2,LEN(E2062)-LEN(SUBSTITUTE(E2062,"/",""))+1))</f>
        <v/>
      </c>
      <c r="I2062" s="78">
        <f>IF(ISBLANK(G2062),"",IF(D2062="Stock","0",Key!$A$3*H2062*G2062))</f>
        <v/>
      </c>
      <c r="J2062" s="78">
        <f>IF(ISBLANK(E2062),"",IF(ISNUMBER(SEARCH("/",E2062)), IF(LEN(E2062)-LEN(SUBSTITUTE(E2062,"/",""))=1,(RIGHT(E2062,LEN(E2062)-FIND("/",E2062)))-(LEFT(E2062,FIND("/",E2062)-1)),(MID(E2062, SEARCH("/",E2062) + 1, SEARCH("/",E2062, SEARCH("/",E2062)+1) - SEARCH("/",E2062) - 1))-(LEFT(E2062,FIND("/",E2062)-1))), "NA"))</f>
        <v/>
      </c>
      <c r="K2062" s="79">
        <f>IF(A2062&lt;&gt;"", IF(ISBLANK(L2062), TODAY(), K2062), "")</f>
        <v/>
      </c>
      <c r="L2062" s="78" t="n"/>
      <c r="M2062" s="78">
        <f>IF(ISBLANK(L2062),"",IF(D2062="Stock",IF(C2062="Buy",L2062*G2062,IF(C2062="Sell",(L2062*G2062)-I2062, X)),IF(C2062="Buy",(L2062*G2062*100)+I2062,IF(C2062="Sell",(L2062*G2062*100)-I2062, X))))</f>
        <v/>
      </c>
      <c r="N2062" s="78">
        <f>IF(ISBLANK(L2062),"",IF(AND(C2062="Sell",D2062="Stock"),M2062,IF(ISBLANK(L2062),"",IF(C2062="Buy",M2062, IF(AND(C2062="Sell",J2062="NA"),(E2062*G2062*100*0.1)+I2062, IF(C2062="Sell",(J2062-L2062)*(100*G2062)+I2062))))))</f>
        <v/>
      </c>
      <c r="O2062" s="75" t="n"/>
      <c r="P2062" s="75" t="n"/>
      <c r="Q2062" s="75">
        <f>IF(ISBLANK(P2062),"",IF(D2062="Stock",P2062*G2062,IF(P2062=0,"0",G2062*P2062*100-(G2062*$AF$14))))</f>
        <v/>
      </c>
      <c r="R2062" s="79">
        <f>IF(P2062&lt;&gt;"", TODAY(), "")</f>
        <v/>
      </c>
      <c r="S2062" s="78">
        <f>IF(AND(K2062&lt;&gt;"", R2062&lt;&gt;""), R2062-K2062, "")</f>
        <v/>
      </c>
      <c r="T2062" s="78" t="n"/>
      <c r="U2062" s="92">
        <f>IF(ISBLANK(P2062),"",IF(C2062="Buy",Q2062-M2062+T2062, IF(C2062="Sell",M2062-Q2062-T2062, X)))</f>
        <v/>
      </c>
      <c r="V2062" s="81">
        <f>IF(ISBLANK(P2062),"",U2062/N2062)</f>
        <v/>
      </c>
      <c r="W2062" s="81">
        <f>IF(ISBLANK(P2062),"",IF(S2062=0,(365/0.5)*V2062,(365/S2062)*V2062))</f>
        <v/>
      </c>
      <c r="X2062" s="75" t="n"/>
      <c r="Y2062" s="77" t="n"/>
      <c r="Z2062" s="77" t="n"/>
      <c r="AA2062" s="75" t="n"/>
      <c r="AB2062" s="75" t="n"/>
      <c r="AC2062" s="6" t="n"/>
      <c r="AD2062" s="75" t="n"/>
      <c r="AE2062" s="75" t="n"/>
      <c r="AF2062" s="75" t="n"/>
    </row>
    <row r="2063" ht="15.75" customHeight="1" s="133">
      <c r="A2063" s="75" t="n"/>
      <c r="B2063" s="75" t="n"/>
      <c r="C2063" s="75" t="n"/>
      <c r="D2063" s="75" t="n"/>
      <c r="E2063" s="76" t="n"/>
      <c r="F2063" s="77" t="n"/>
      <c r="G2063" s="75" t="n"/>
      <c r="H2063" s="75">
        <f>IF(ISBLANK(E2063),"",IF(OR(D2063="Butterfly",D2063="Butterfly ",D2063="Iron Fly", D2063="Iron Fly "),LEN(E2063)-LEN(SUBSTITUTE(E2063,"/",""))+2,LEN(E2063)-LEN(SUBSTITUTE(E2063,"/",""))+1))</f>
        <v/>
      </c>
      <c r="I2063" s="78">
        <f>IF(ISBLANK(G2063),"",IF(D2063="Stock","0",Key!$A$3*H2063*G2063))</f>
        <v/>
      </c>
      <c r="J2063" s="78">
        <f>IF(ISBLANK(E2063),"",IF(ISNUMBER(SEARCH("/",E2063)), IF(LEN(E2063)-LEN(SUBSTITUTE(E2063,"/",""))=1,(RIGHT(E2063,LEN(E2063)-FIND("/",E2063)))-(LEFT(E2063,FIND("/",E2063)-1)),(MID(E2063, SEARCH("/",E2063) + 1, SEARCH("/",E2063, SEARCH("/",E2063)+1) - SEARCH("/",E2063) - 1))-(LEFT(E2063,FIND("/",E2063)-1))), "NA"))</f>
        <v/>
      </c>
      <c r="K2063" s="79">
        <f>IF(A2063&lt;&gt;"", IF(ISBLANK(L2063), TODAY(), K2063), "")</f>
        <v/>
      </c>
      <c r="L2063" s="78" t="n"/>
      <c r="M2063" s="78">
        <f>IF(ISBLANK(L2063),"",IF(D2063="Stock",IF(C2063="Buy",L2063*G2063,IF(C2063="Sell",(L2063*G2063)-I2063, X)),IF(C2063="Buy",(L2063*G2063*100)+I2063,IF(C2063="Sell",(L2063*G2063*100)-I2063, X))))</f>
        <v/>
      </c>
      <c r="N2063" s="78">
        <f>IF(ISBLANK(L2063),"",IF(AND(C2063="Sell",D2063="Stock"),M2063,IF(ISBLANK(L2063),"",IF(C2063="Buy",M2063, IF(AND(C2063="Sell",J2063="NA"),(E2063*G2063*100*0.1)+I2063, IF(C2063="Sell",(J2063-L2063)*(100*G2063)+I2063))))))</f>
        <v/>
      </c>
      <c r="O2063" s="75" t="n"/>
      <c r="P2063" s="75" t="n"/>
      <c r="Q2063" s="75">
        <f>IF(ISBLANK(P2063),"",IF(D2063="Stock",P2063*G2063,IF(P2063=0,"0",G2063*P2063*100-(G2063*$AF$14))))</f>
        <v/>
      </c>
      <c r="R2063" s="79">
        <f>IF(P2063&lt;&gt;"", TODAY(), "")</f>
        <v/>
      </c>
      <c r="S2063" s="78">
        <f>IF(AND(K2063&lt;&gt;"", R2063&lt;&gt;""), R2063-K2063, "")</f>
        <v/>
      </c>
      <c r="T2063" s="78" t="n"/>
      <c r="U2063" s="92">
        <f>IF(ISBLANK(P2063),"",IF(C2063="Buy",Q2063-M2063+T2063, IF(C2063="Sell",M2063-Q2063-T2063, X)))</f>
        <v/>
      </c>
      <c r="V2063" s="81">
        <f>IF(ISBLANK(P2063),"",U2063/N2063)</f>
        <v/>
      </c>
      <c r="W2063" s="81">
        <f>IF(ISBLANK(P2063),"",IF(S2063=0,(365/0.5)*V2063,(365/S2063)*V2063))</f>
        <v/>
      </c>
      <c r="X2063" s="75" t="n"/>
      <c r="Y2063" s="77" t="n"/>
      <c r="Z2063" s="77" t="n"/>
      <c r="AA2063" s="75" t="n"/>
      <c r="AB2063" s="75" t="n"/>
      <c r="AC2063" s="6" t="n"/>
      <c r="AD2063" s="75" t="n"/>
      <c r="AE2063" s="75" t="n"/>
      <c r="AF2063" s="75" t="n"/>
    </row>
    <row r="2064" ht="15.75" customHeight="1" s="133">
      <c r="A2064" s="75" t="n"/>
      <c r="B2064" s="75" t="n"/>
      <c r="C2064" s="75" t="n"/>
      <c r="D2064" s="75" t="n"/>
      <c r="E2064" s="76" t="n"/>
      <c r="F2064" s="77" t="n"/>
      <c r="G2064" s="75" t="n"/>
      <c r="H2064" s="75">
        <f>IF(ISBLANK(E2064),"",IF(OR(D2064="Butterfly",D2064="Butterfly ",D2064="Iron Fly", D2064="Iron Fly "),LEN(E2064)-LEN(SUBSTITUTE(E2064,"/",""))+2,LEN(E2064)-LEN(SUBSTITUTE(E2064,"/",""))+1))</f>
        <v/>
      </c>
      <c r="I2064" s="78">
        <f>IF(ISBLANK(G2064),"",IF(D2064="Stock","0",Key!$A$3*H2064*G2064))</f>
        <v/>
      </c>
      <c r="J2064" s="78">
        <f>IF(ISBLANK(E2064),"",IF(ISNUMBER(SEARCH("/",E2064)), IF(LEN(E2064)-LEN(SUBSTITUTE(E2064,"/",""))=1,(RIGHT(E2064,LEN(E2064)-FIND("/",E2064)))-(LEFT(E2064,FIND("/",E2064)-1)),(MID(E2064, SEARCH("/",E2064) + 1, SEARCH("/",E2064, SEARCH("/",E2064)+1) - SEARCH("/",E2064) - 1))-(LEFT(E2064,FIND("/",E2064)-1))), "NA"))</f>
        <v/>
      </c>
      <c r="K2064" s="79">
        <f>IF(A2064&lt;&gt;"", IF(ISBLANK(L2064), TODAY(), K2064), "")</f>
        <v/>
      </c>
      <c r="L2064" s="78" t="n"/>
      <c r="M2064" s="78">
        <f>IF(ISBLANK(L2064),"",IF(D2064="Stock",IF(C2064="Buy",L2064*G2064,IF(C2064="Sell",(L2064*G2064)-I2064, X)),IF(C2064="Buy",(L2064*G2064*100)+I2064,IF(C2064="Sell",(L2064*G2064*100)-I2064, X))))</f>
        <v/>
      </c>
      <c r="N2064" s="78">
        <f>IF(ISBLANK(L2064),"",IF(AND(C2064="Sell",D2064="Stock"),M2064,IF(ISBLANK(L2064),"",IF(C2064="Buy",M2064, IF(AND(C2064="Sell",J2064="NA"),(E2064*G2064*100*0.1)+I2064, IF(C2064="Sell",(J2064-L2064)*(100*G2064)+I2064))))))</f>
        <v/>
      </c>
      <c r="O2064" s="75" t="n"/>
      <c r="P2064" s="75" t="n"/>
      <c r="Q2064" s="75">
        <f>IF(ISBLANK(P2064),"",IF(D2064="Stock",P2064*G2064,IF(P2064=0,"0",G2064*P2064*100-(G2064*$AF$14))))</f>
        <v/>
      </c>
      <c r="R2064" s="79">
        <f>IF(P2064&lt;&gt;"", TODAY(), "")</f>
        <v/>
      </c>
      <c r="S2064" s="78">
        <f>IF(AND(K2064&lt;&gt;"", R2064&lt;&gt;""), R2064-K2064, "")</f>
        <v/>
      </c>
      <c r="T2064" s="78" t="n"/>
      <c r="U2064" s="92">
        <f>IF(ISBLANK(P2064),"",IF(C2064="Buy",Q2064-M2064+T2064, IF(C2064="Sell",M2064-Q2064-T2064, X)))</f>
        <v/>
      </c>
      <c r="V2064" s="81">
        <f>IF(ISBLANK(P2064),"",U2064/N2064)</f>
        <v/>
      </c>
      <c r="W2064" s="81">
        <f>IF(ISBLANK(P2064),"",IF(S2064=0,(365/0.5)*V2064,(365/S2064)*V2064))</f>
        <v/>
      </c>
      <c r="X2064" s="75" t="n"/>
      <c r="Y2064" s="77" t="n"/>
      <c r="Z2064" s="77" t="n"/>
      <c r="AA2064" s="75" t="n"/>
      <c r="AB2064" s="75" t="n"/>
      <c r="AC2064" s="6" t="n"/>
      <c r="AD2064" s="75" t="n"/>
      <c r="AE2064" s="75" t="n"/>
      <c r="AF2064" s="75" t="n"/>
    </row>
    <row r="2065" ht="15.75" customHeight="1" s="133">
      <c r="A2065" s="75" t="n"/>
      <c r="B2065" s="75" t="n"/>
      <c r="C2065" s="75" t="n"/>
      <c r="D2065" s="75" t="n"/>
      <c r="E2065" s="76" t="n"/>
      <c r="F2065" s="77" t="n"/>
      <c r="G2065" s="75" t="n"/>
      <c r="H2065" s="75">
        <f>IF(ISBLANK(E2065),"",IF(OR(D2065="Butterfly",D2065="Butterfly ",D2065="Iron Fly", D2065="Iron Fly "),LEN(E2065)-LEN(SUBSTITUTE(E2065,"/",""))+2,LEN(E2065)-LEN(SUBSTITUTE(E2065,"/",""))+1))</f>
        <v/>
      </c>
      <c r="I2065" s="78">
        <f>IF(ISBLANK(G2065),"",IF(D2065="Stock","0",Key!$A$3*H2065*G2065))</f>
        <v/>
      </c>
      <c r="J2065" s="78">
        <f>IF(ISBLANK(E2065),"",IF(ISNUMBER(SEARCH("/",E2065)), IF(LEN(E2065)-LEN(SUBSTITUTE(E2065,"/",""))=1,(RIGHT(E2065,LEN(E2065)-FIND("/",E2065)))-(LEFT(E2065,FIND("/",E2065)-1)),(MID(E2065, SEARCH("/",E2065) + 1, SEARCH("/",E2065, SEARCH("/",E2065)+1) - SEARCH("/",E2065) - 1))-(LEFT(E2065,FIND("/",E2065)-1))), "NA"))</f>
        <v/>
      </c>
      <c r="K2065" s="79">
        <f>IF(A2065&lt;&gt;"", IF(ISBLANK(L2065), TODAY(), K2065), "")</f>
        <v/>
      </c>
      <c r="L2065" s="78" t="n"/>
      <c r="M2065" s="78">
        <f>IF(ISBLANK(L2065),"",IF(D2065="Stock",IF(C2065="Buy",L2065*G2065,IF(C2065="Sell",(L2065*G2065)-I2065, X)),IF(C2065="Buy",(L2065*G2065*100)+I2065,IF(C2065="Sell",(L2065*G2065*100)-I2065, X))))</f>
        <v/>
      </c>
      <c r="N2065" s="78">
        <f>IF(ISBLANK(L2065),"",IF(AND(C2065="Sell",D2065="Stock"),M2065,IF(ISBLANK(L2065),"",IF(C2065="Buy",M2065, IF(AND(C2065="Sell",J2065="NA"),(E2065*G2065*100*0.1)+I2065, IF(C2065="Sell",(J2065-L2065)*(100*G2065)+I2065))))))</f>
        <v/>
      </c>
      <c r="O2065" s="75" t="n"/>
      <c r="P2065" s="75" t="n"/>
      <c r="Q2065" s="75">
        <f>IF(ISBLANK(P2065),"",IF(D2065="Stock",P2065*G2065,IF(P2065=0,"0",G2065*P2065*100-(G2065*$AF$14))))</f>
        <v/>
      </c>
      <c r="R2065" s="79">
        <f>IF(P2065&lt;&gt;"", TODAY(), "")</f>
        <v/>
      </c>
      <c r="S2065" s="78">
        <f>IF(AND(K2065&lt;&gt;"", R2065&lt;&gt;""), R2065-K2065, "")</f>
        <v/>
      </c>
      <c r="T2065" s="78" t="n"/>
      <c r="U2065" s="92">
        <f>IF(ISBLANK(P2065),"",IF(C2065="Buy",Q2065-M2065+T2065, IF(C2065="Sell",M2065-Q2065-T2065, X)))</f>
        <v/>
      </c>
      <c r="V2065" s="81">
        <f>IF(ISBLANK(P2065),"",U2065/N2065)</f>
        <v/>
      </c>
      <c r="W2065" s="81">
        <f>IF(ISBLANK(P2065),"",IF(S2065=0,(365/0.5)*V2065,(365/S2065)*V2065))</f>
        <v/>
      </c>
      <c r="X2065" s="75" t="n"/>
      <c r="Y2065" s="77" t="n"/>
      <c r="Z2065" s="77" t="n"/>
      <c r="AA2065" s="75" t="n"/>
      <c r="AB2065" s="75" t="n"/>
      <c r="AC2065" s="6" t="n"/>
      <c r="AD2065" s="75" t="n"/>
      <c r="AE2065" s="75" t="n"/>
      <c r="AF2065" s="75" t="n"/>
    </row>
    <row r="2066" ht="15.75" customHeight="1" s="133">
      <c r="A2066" s="75" t="n"/>
      <c r="B2066" s="75" t="n"/>
      <c r="C2066" s="75" t="n"/>
      <c r="D2066" s="75" t="n"/>
      <c r="E2066" s="76" t="n"/>
      <c r="F2066" s="77" t="n"/>
      <c r="G2066" s="75" t="n"/>
      <c r="H2066" s="75">
        <f>IF(ISBLANK(E2066),"",IF(OR(D2066="Butterfly",D2066="Butterfly ",D2066="Iron Fly", D2066="Iron Fly "),LEN(E2066)-LEN(SUBSTITUTE(E2066,"/",""))+2,LEN(E2066)-LEN(SUBSTITUTE(E2066,"/",""))+1))</f>
        <v/>
      </c>
      <c r="I2066" s="78">
        <f>IF(ISBLANK(G2066),"",IF(D2066="Stock","0",Key!$A$3*H2066*G2066))</f>
        <v/>
      </c>
      <c r="J2066" s="78">
        <f>IF(ISBLANK(E2066),"",IF(ISNUMBER(SEARCH("/",E2066)), IF(LEN(E2066)-LEN(SUBSTITUTE(E2066,"/",""))=1,(RIGHT(E2066,LEN(E2066)-FIND("/",E2066)))-(LEFT(E2066,FIND("/",E2066)-1)),(MID(E2066, SEARCH("/",E2066) + 1, SEARCH("/",E2066, SEARCH("/",E2066)+1) - SEARCH("/",E2066) - 1))-(LEFT(E2066,FIND("/",E2066)-1))), "NA"))</f>
        <v/>
      </c>
      <c r="K2066" s="79">
        <f>IF(A2066&lt;&gt;"", IF(ISBLANK(L2066), TODAY(), K2066), "")</f>
        <v/>
      </c>
      <c r="L2066" s="78" t="n"/>
      <c r="M2066" s="78">
        <f>IF(ISBLANK(L2066),"",IF(D2066="Stock",IF(C2066="Buy",L2066*G2066,IF(C2066="Sell",(L2066*G2066)-I2066, X)),IF(C2066="Buy",(L2066*G2066*100)+I2066,IF(C2066="Sell",(L2066*G2066*100)-I2066, X))))</f>
        <v/>
      </c>
      <c r="N2066" s="78">
        <f>IF(ISBLANK(L2066),"",IF(AND(C2066="Sell",D2066="Stock"),M2066,IF(ISBLANK(L2066),"",IF(C2066="Buy",M2066, IF(AND(C2066="Sell",J2066="NA"),(E2066*G2066*100*0.1)+I2066, IF(C2066="Sell",(J2066-L2066)*(100*G2066)+I2066))))))</f>
        <v/>
      </c>
      <c r="O2066" s="75" t="n"/>
      <c r="P2066" s="75" t="n"/>
      <c r="Q2066" s="75">
        <f>IF(ISBLANK(P2066),"",IF(D2066="Stock",P2066*G2066,IF(P2066=0,"0",G2066*P2066*100-(G2066*$AF$14))))</f>
        <v/>
      </c>
      <c r="R2066" s="79">
        <f>IF(P2066&lt;&gt;"", TODAY(), "")</f>
        <v/>
      </c>
      <c r="S2066" s="78">
        <f>IF(AND(K2066&lt;&gt;"", R2066&lt;&gt;""), R2066-K2066, "")</f>
        <v/>
      </c>
      <c r="T2066" s="78" t="n"/>
      <c r="U2066" s="92">
        <f>IF(ISBLANK(P2066),"",IF(C2066="Buy",Q2066-M2066+T2066, IF(C2066="Sell",M2066-Q2066-T2066, X)))</f>
        <v/>
      </c>
      <c r="V2066" s="81">
        <f>IF(ISBLANK(P2066),"",U2066/N2066)</f>
        <v/>
      </c>
      <c r="W2066" s="81">
        <f>IF(ISBLANK(P2066),"",IF(S2066=0,(365/0.5)*V2066,(365/S2066)*V2066))</f>
        <v/>
      </c>
      <c r="X2066" s="75" t="n"/>
      <c r="Y2066" s="77" t="n"/>
      <c r="Z2066" s="77" t="n"/>
      <c r="AA2066" s="75" t="n"/>
      <c r="AB2066" s="75" t="n"/>
      <c r="AC2066" s="6" t="n"/>
      <c r="AD2066" s="75" t="n"/>
      <c r="AE2066" s="75" t="n"/>
      <c r="AF2066" s="75" t="n"/>
    </row>
    <row r="2067" ht="15.75" customHeight="1" s="133">
      <c r="A2067" s="75" t="n"/>
      <c r="B2067" s="75" t="n"/>
      <c r="C2067" s="75" t="n"/>
      <c r="D2067" s="75" t="n"/>
      <c r="E2067" s="76" t="n"/>
      <c r="F2067" s="77" t="n"/>
      <c r="G2067" s="75" t="n"/>
      <c r="H2067" s="75">
        <f>IF(ISBLANK(E2067),"",IF(OR(D2067="Butterfly",D2067="Butterfly ",D2067="Iron Fly", D2067="Iron Fly "),LEN(E2067)-LEN(SUBSTITUTE(E2067,"/",""))+2,LEN(E2067)-LEN(SUBSTITUTE(E2067,"/",""))+1))</f>
        <v/>
      </c>
      <c r="I2067" s="78">
        <f>IF(ISBLANK(G2067),"",IF(D2067="Stock","0",Key!$A$3*H2067*G2067))</f>
        <v/>
      </c>
      <c r="J2067" s="78">
        <f>IF(ISBLANK(E2067),"",IF(ISNUMBER(SEARCH("/",E2067)), IF(LEN(E2067)-LEN(SUBSTITUTE(E2067,"/",""))=1,(RIGHT(E2067,LEN(E2067)-FIND("/",E2067)))-(LEFT(E2067,FIND("/",E2067)-1)),(MID(E2067, SEARCH("/",E2067) + 1, SEARCH("/",E2067, SEARCH("/",E2067)+1) - SEARCH("/",E2067) - 1))-(LEFT(E2067,FIND("/",E2067)-1))), "NA"))</f>
        <v/>
      </c>
      <c r="K2067" s="79">
        <f>IF(A2067&lt;&gt;"", IF(ISBLANK(L2067), TODAY(), K2067), "")</f>
        <v/>
      </c>
      <c r="L2067" s="78" t="n"/>
      <c r="M2067" s="78">
        <f>IF(ISBLANK(L2067),"",IF(D2067="Stock",IF(C2067="Buy",L2067*G2067,IF(C2067="Sell",(L2067*G2067)-I2067, X)),IF(C2067="Buy",(L2067*G2067*100)+I2067,IF(C2067="Sell",(L2067*G2067*100)-I2067, X))))</f>
        <v/>
      </c>
      <c r="N2067" s="78">
        <f>IF(ISBLANK(L2067),"",IF(AND(C2067="Sell",D2067="Stock"),M2067,IF(ISBLANK(L2067),"",IF(C2067="Buy",M2067, IF(AND(C2067="Sell",J2067="NA"),(E2067*G2067*100*0.1)+I2067, IF(C2067="Sell",(J2067-L2067)*(100*G2067)+I2067))))))</f>
        <v/>
      </c>
      <c r="O2067" s="75" t="n"/>
      <c r="P2067" s="75" t="n"/>
      <c r="Q2067" s="75">
        <f>IF(ISBLANK(P2067),"",IF(D2067="Stock",P2067*G2067,IF(P2067=0,"0",G2067*P2067*100-(G2067*$AF$14))))</f>
        <v/>
      </c>
      <c r="R2067" s="79">
        <f>IF(P2067&lt;&gt;"", TODAY(), "")</f>
        <v/>
      </c>
      <c r="S2067" s="78">
        <f>IF(AND(K2067&lt;&gt;"", R2067&lt;&gt;""), R2067-K2067, "")</f>
        <v/>
      </c>
      <c r="T2067" s="78" t="n"/>
      <c r="U2067" s="92">
        <f>IF(ISBLANK(P2067),"",IF(C2067="Buy",Q2067-M2067+T2067, IF(C2067="Sell",M2067-Q2067-T2067, X)))</f>
        <v/>
      </c>
      <c r="V2067" s="81">
        <f>IF(ISBLANK(P2067),"",U2067/N2067)</f>
        <v/>
      </c>
      <c r="W2067" s="81">
        <f>IF(ISBLANK(P2067),"",IF(S2067=0,(365/0.5)*V2067,(365/S2067)*V2067))</f>
        <v/>
      </c>
      <c r="X2067" s="75" t="n"/>
      <c r="Y2067" s="77" t="n"/>
      <c r="Z2067" s="77" t="n"/>
      <c r="AA2067" s="75" t="n"/>
      <c r="AB2067" s="75" t="n"/>
      <c r="AC2067" s="6" t="n"/>
      <c r="AD2067" s="75" t="n"/>
      <c r="AE2067" s="75" t="n"/>
      <c r="AF2067" s="75" t="n"/>
    </row>
    <row r="2068" ht="15.75" customHeight="1" s="133">
      <c r="A2068" s="75" t="n"/>
      <c r="B2068" s="75" t="n"/>
      <c r="C2068" s="75" t="n"/>
      <c r="D2068" s="75" t="n"/>
      <c r="E2068" s="76" t="n"/>
      <c r="F2068" s="77" t="n"/>
      <c r="G2068" s="75" t="n"/>
      <c r="H2068" s="75">
        <f>IF(ISBLANK(E2068),"",IF(OR(D2068="Butterfly",D2068="Butterfly ",D2068="Iron Fly", D2068="Iron Fly "),LEN(E2068)-LEN(SUBSTITUTE(E2068,"/",""))+2,LEN(E2068)-LEN(SUBSTITUTE(E2068,"/",""))+1))</f>
        <v/>
      </c>
      <c r="I2068" s="78">
        <f>IF(ISBLANK(G2068),"",IF(D2068="Stock","0",Key!$A$3*H2068*G2068))</f>
        <v/>
      </c>
      <c r="J2068" s="78">
        <f>IF(ISBLANK(E2068),"",IF(ISNUMBER(SEARCH("/",E2068)), IF(LEN(E2068)-LEN(SUBSTITUTE(E2068,"/",""))=1,(RIGHT(E2068,LEN(E2068)-FIND("/",E2068)))-(LEFT(E2068,FIND("/",E2068)-1)),(MID(E2068, SEARCH("/",E2068) + 1, SEARCH("/",E2068, SEARCH("/",E2068)+1) - SEARCH("/",E2068) - 1))-(LEFT(E2068,FIND("/",E2068)-1))), "NA"))</f>
        <v/>
      </c>
      <c r="K2068" s="79">
        <f>IF(A2068&lt;&gt;"", IF(ISBLANK(L2068), TODAY(), K2068), "")</f>
        <v/>
      </c>
      <c r="L2068" s="78" t="n"/>
      <c r="M2068" s="78">
        <f>IF(ISBLANK(L2068),"",IF(D2068="Stock",IF(C2068="Buy",L2068*G2068,IF(C2068="Sell",(L2068*G2068)-I2068, X)),IF(C2068="Buy",(L2068*G2068*100)+I2068,IF(C2068="Sell",(L2068*G2068*100)-I2068, X))))</f>
        <v/>
      </c>
      <c r="N2068" s="78">
        <f>IF(ISBLANK(L2068),"",IF(AND(C2068="Sell",D2068="Stock"),M2068,IF(ISBLANK(L2068),"",IF(C2068="Buy",M2068, IF(AND(C2068="Sell",J2068="NA"),(E2068*G2068*100*0.1)+I2068, IF(C2068="Sell",(J2068-L2068)*(100*G2068)+I2068))))))</f>
        <v/>
      </c>
      <c r="O2068" s="75" t="n"/>
      <c r="P2068" s="75" t="n"/>
      <c r="Q2068" s="75">
        <f>IF(ISBLANK(P2068),"",IF(D2068="Stock",P2068*G2068,IF(P2068=0,"0",G2068*P2068*100-(G2068*$AF$14))))</f>
        <v/>
      </c>
      <c r="R2068" s="79">
        <f>IF(P2068&lt;&gt;"", TODAY(), "")</f>
        <v/>
      </c>
      <c r="S2068" s="78">
        <f>IF(AND(K2068&lt;&gt;"", R2068&lt;&gt;""), R2068-K2068, "")</f>
        <v/>
      </c>
      <c r="T2068" s="78" t="n"/>
      <c r="U2068" s="92">
        <f>IF(ISBLANK(P2068),"",IF(C2068="Buy",Q2068-M2068+T2068, IF(C2068="Sell",M2068-Q2068-T2068, X)))</f>
        <v/>
      </c>
      <c r="V2068" s="81">
        <f>IF(ISBLANK(P2068),"",U2068/N2068)</f>
        <v/>
      </c>
      <c r="W2068" s="81">
        <f>IF(ISBLANK(P2068),"",IF(S2068=0,(365/0.5)*V2068,(365/S2068)*V2068))</f>
        <v/>
      </c>
      <c r="X2068" s="75" t="n"/>
      <c r="Y2068" s="77" t="n"/>
      <c r="Z2068" s="77" t="n"/>
      <c r="AA2068" s="75" t="n"/>
      <c r="AB2068" s="75" t="n"/>
      <c r="AC2068" s="6" t="n"/>
      <c r="AD2068" s="75" t="n"/>
      <c r="AE2068" s="75" t="n"/>
      <c r="AF2068" s="75" t="n"/>
    </row>
    <row r="2069" ht="15.75" customHeight="1" s="133">
      <c r="A2069" s="75" t="n"/>
      <c r="B2069" s="75" t="n"/>
      <c r="C2069" s="75" t="n"/>
      <c r="D2069" s="75" t="n"/>
      <c r="E2069" s="76" t="n"/>
      <c r="F2069" s="77" t="n"/>
      <c r="G2069" s="75" t="n"/>
      <c r="H2069" s="75">
        <f>IF(ISBLANK(E2069),"",IF(OR(D2069="Butterfly",D2069="Butterfly ",D2069="Iron Fly", D2069="Iron Fly "),LEN(E2069)-LEN(SUBSTITUTE(E2069,"/",""))+2,LEN(E2069)-LEN(SUBSTITUTE(E2069,"/",""))+1))</f>
        <v/>
      </c>
      <c r="I2069" s="78">
        <f>IF(ISBLANK(G2069),"",IF(D2069="Stock","0",Key!$A$3*H2069*G2069))</f>
        <v/>
      </c>
      <c r="J2069" s="78">
        <f>IF(ISBLANK(E2069),"",IF(ISNUMBER(SEARCH("/",E2069)), IF(LEN(E2069)-LEN(SUBSTITUTE(E2069,"/",""))=1,(RIGHT(E2069,LEN(E2069)-FIND("/",E2069)))-(LEFT(E2069,FIND("/",E2069)-1)),(MID(E2069, SEARCH("/",E2069) + 1, SEARCH("/",E2069, SEARCH("/",E2069)+1) - SEARCH("/",E2069) - 1))-(LEFT(E2069,FIND("/",E2069)-1))), "NA"))</f>
        <v/>
      </c>
      <c r="K2069" s="79">
        <f>IF(A2069&lt;&gt;"", IF(ISBLANK(L2069), TODAY(), K2069), "")</f>
        <v/>
      </c>
      <c r="L2069" s="78" t="n"/>
      <c r="M2069" s="78">
        <f>IF(ISBLANK(L2069),"",IF(D2069="Stock",IF(C2069="Buy",L2069*G2069,IF(C2069="Sell",(L2069*G2069)-I2069, X)),IF(C2069="Buy",(L2069*G2069*100)+I2069,IF(C2069="Sell",(L2069*G2069*100)-I2069, X))))</f>
        <v/>
      </c>
      <c r="N2069" s="78">
        <f>IF(ISBLANK(L2069),"",IF(AND(C2069="Sell",D2069="Stock"),M2069,IF(ISBLANK(L2069),"",IF(C2069="Buy",M2069, IF(AND(C2069="Sell",J2069="NA"),(E2069*G2069*100*0.1)+I2069, IF(C2069="Sell",(J2069-L2069)*(100*G2069)+I2069))))))</f>
        <v/>
      </c>
      <c r="O2069" s="75" t="n"/>
      <c r="P2069" s="75" t="n"/>
      <c r="Q2069" s="75">
        <f>IF(ISBLANK(P2069),"",IF(D2069="Stock",P2069*G2069,IF(P2069=0,"0",G2069*P2069*100-(G2069*$AF$14))))</f>
        <v/>
      </c>
      <c r="R2069" s="79">
        <f>IF(P2069&lt;&gt;"", TODAY(), "")</f>
        <v/>
      </c>
      <c r="S2069" s="78">
        <f>IF(AND(K2069&lt;&gt;"", R2069&lt;&gt;""), R2069-K2069, "")</f>
        <v/>
      </c>
      <c r="T2069" s="78" t="n"/>
      <c r="U2069" s="92">
        <f>IF(ISBLANK(P2069),"",IF(C2069="Buy",Q2069-M2069+T2069, IF(C2069="Sell",M2069-Q2069-T2069, X)))</f>
        <v/>
      </c>
      <c r="V2069" s="81">
        <f>IF(ISBLANK(P2069),"",U2069/N2069)</f>
        <v/>
      </c>
      <c r="W2069" s="81">
        <f>IF(ISBLANK(P2069),"",IF(S2069=0,(365/0.5)*V2069,(365/S2069)*V2069))</f>
        <v/>
      </c>
      <c r="X2069" s="75" t="n"/>
      <c r="Y2069" s="77" t="n"/>
      <c r="Z2069" s="77" t="n"/>
      <c r="AA2069" s="75" t="n"/>
      <c r="AB2069" s="75" t="n"/>
      <c r="AC2069" s="6" t="n"/>
      <c r="AD2069" s="75" t="n"/>
      <c r="AE2069" s="75" t="n"/>
      <c r="AF2069" s="75" t="n"/>
    </row>
    <row r="2070" ht="15.75" customHeight="1" s="133">
      <c r="A2070" s="75" t="n"/>
      <c r="B2070" s="75" t="n"/>
      <c r="C2070" s="75" t="n"/>
      <c r="D2070" s="75" t="n"/>
      <c r="E2070" s="76" t="n"/>
      <c r="F2070" s="77" t="n"/>
      <c r="G2070" s="75" t="n"/>
      <c r="H2070" s="75">
        <f>IF(ISBLANK(E2070),"",IF(OR(D2070="Butterfly",D2070="Butterfly ",D2070="Iron Fly", D2070="Iron Fly "),LEN(E2070)-LEN(SUBSTITUTE(E2070,"/",""))+2,LEN(E2070)-LEN(SUBSTITUTE(E2070,"/",""))+1))</f>
        <v/>
      </c>
      <c r="I2070" s="78">
        <f>IF(ISBLANK(G2070),"",IF(D2070="Stock","0",Key!$A$3*H2070*G2070))</f>
        <v/>
      </c>
      <c r="J2070" s="78">
        <f>IF(ISBLANK(E2070),"",IF(ISNUMBER(SEARCH("/",E2070)), IF(LEN(E2070)-LEN(SUBSTITUTE(E2070,"/",""))=1,(RIGHT(E2070,LEN(E2070)-FIND("/",E2070)))-(LEFT(E2070,FIND("/",E2070)-1)),(MID(E2070, SEARCH("/",E2070) + 1, SEARCH("/",E2070, SEARCH("/",E2070)+1) - SEARCH("/",E2070) - 1))-(LEFT(E2070,FIND("/",E2070)-1))), "NA"))</f>
        <v/>
      </c>
      <c r="K2070" s="79">
        <f>IF(A2070&lt;&gt;"", IF(ISBLANK(L2070), TODAY(), K2070), "")</f>
        <v/>
      </c>
      <c r="L2070" s="78" t="n"/>
      <c r="M2070" s="78">
        <f>IF(ISBLANK(L2070),"",IF(D2070="Stock",IF(C2070="Buy",L2070*G2070,IF(C2070="Sell",(L2070*G2070)-I2070, X)),IF(C2070="Buy",(L2070*G2070*100)+I2070,IF(C2070="Sell",(L2070*G2070*100)-I2070, X))))</f>
        <v/>
      </c>
      <c r="N2070" s="78">
        <f>IF(ISBLANK(L2070),"",IF(AND(C2070="Sell",D2070="Stock"),M2070,IF(ISBLANK(L2070),"",IF(C2070="Buy",M2070, IF(AND(C2070="Sell",J2070="NA"),(E2070*G2070*100*0.1)+I2070, IF(C2070="Sell",(J2070-L2070)*(100*G2070)+I2070))))))</f>
        <v/>
      </c>
      <c r="O2070" s="75" t="n"/>
      <c r="P2070" s="75" t="n"/>
      <c r="Q2070" s="75">
        <f>IF(ISBLANK(P2070),"",IF(D2070="Stock",P2070*G2070,IF(P2070=0,"0",G2070*P2070*100-(G2070*$AF$14))))</f>
        <v/>
      </c>
      <c r="R2070" s="79">
        <f>IF(P2070&lt;&gt;"", TODAY(), "")</f>
        <v/>
      </c>
      <c r="S2070" s="78">
        <f>IF(AND(K2070&lt;&gt;"", R2070&lt;&gt;""), R2070-K2070, "")</f>
        <v/>
      </c>
      <c r="T2070" s="78" t="n"/>
      <c r="U2070" s="92">
        <f>IF(ISBLANK(P2070),"",IF(C2070="Buy",Q2070-M2070+T2070, IF(C2070="Sell",M2070-Q2070-T2070, X)))</f>
        <v/>
      </c>
      <c r="V2070" s="81">
        <f>IF(ISBLANK(P2070),"",U2070/N2070)</f>
        <v/>
      </c>
      <c r="W2070" s="81">
        <f>IF(ISBLANK(P2070),"",IF(S2070=0,(365/0.5)*V2070,(365/S2070)*V2070))</f>
        <v/>
      </c>
      <c r="X2070" s="75" t="n"/>
      <c r="Y2070" s="77" t="n"/>
      <c r="Z2070" s="77" t="n"/>
      <c r="AA2070" s="75" t="n"/>
      <c r="AB2070" s="75" t="n"/>
      <c r="AC2070" s="6" t="n"/>
      <c r="AD2070" s="75" t="n"/>
      <c r="AE2070" s="75" t="n"/>
      <c r="AF2070" s="75" t="n"/>
    </row>
    <row r="2071" ht="15.75" customHeight="1" s="133">
      <c r="A2071" s="75" t="n"/>
      <c r="B2071" s="75" t="n"/>
      <c r="C2071" s="75" t="n"/>
      <c r="D2071" s="75" t="n"/>
      <c r="E2071" s="76" t="n"/>
      <c r="F2071" s="77" t="n"/>
      <c r="G2071" s="75" t="n"/>
      <c r="H2071" s="75">
        <f>IF(ISBLANK(E2071),"",IF(OR(D2071="Butterfly",D2071="Butterfly ",D2071="Iron Fly", D2071="Iron Fly "),LEN(E2071)-LEN(SUBSTITUTE(E2071,"/",""))+2,LEN(E2071)-LEN(SUBSTITUTE(E2071,"/",""))+1))</f>
        <v/>
      </c>
      <c r="I2071" s="78">
        <f>IF(ISBLANK(G2071),"",IF(D2071="Stock","0",Key!$A$3*H2071*G2071))</f>
        <v/>
      </c>
      <c r="J2071" s="78">
        <f>IF(ISBLANK(E2071),"",IF(ISNUMBER(SEARCH("/",E2071)), IF(LEN(E2071)-LEN(SUBSTITUTE(E2071,"/",""))=1,(RIGHT(E2071,LEN(E2071)-FIND("/",E2071)))-(LEFT(E2071,FIND("/",E2071)-1)),(MID(E2071, SEARCH("/",E2071) + 1, SEARCH("/",E2071, SEARCH("/",E2071)+1) - SEARCH("/",E2071) - 1))-(LEFT(E2071,FIND("/",E2071)-1))), "NA"))</f>
        <v/>
      </c>
      <c r="K2071" s="79">
        <f>IF(A2071&lt;&gt;"", IF(ISBLANK(L2071), TODAY(), K2071), "")</f>
        <v/>
      </c>
      <c r="L2071" s="78" t="n"/>
      <c r="M2071" s="78">
        <f>IF(ISBLANK(L2071),"",IF(D2071="Stock",IF(C2071="Buy",L2071*G2071,IF(C2071="Sell",(L2071*G2071)-I2071, X)),IF(C2071="Buy",(L2071*G2071*100)+I2071,IF(C2071="Sell",(L2071*G2071*100)-I2071, X))))</f>
        <v/>
      </c>
      <c r="N2071" s="78">
        <f>IF(ISBLANK(L2071),"",IF(AND(C2071="Sell",D2071="Stock"),M2071,IF(ISBLANK(L2071),"",IF(C2071="Buy",M2071, IF(AND(C2071="Sell",J2071="NA"),(E2071*G2071*100*0.1)+I2071, IF(C2071="Sell",(J2071-L2071)*(100*G2071)+I2071))))))</f>
        <v/>
      </c>
      <c r="O2071" s="75" t="n"/>
      <c r="P2071" s="75" t="n"/>
      <c r="Q2071" s="75">
        <f>IF(ISBLANK(P2071),"",IF(D2071="Stock",P2071*G2071,IF(P2071=0,"0",G2071*P2071*100-(G2071*$AF$14))))</f>
        <v/>
      </c>
      <c r="R2071" s="79">
        <f>IF(P2071&lt;&gt;"", TODAY(), "")</f>
        <v/>
      </c>
      <c r="S2071" s="78">
        <f>IF(AND(K2071&lt;&gt;"", R2071&lt;&gt;""), R2071-K2071, "")</f>
        <v/>
      </c>
      <c r="T2071" s="78" t="n"/>
      <c r="U2071" s="92">
        <f>IF(ISBLANK(P2071),"",IF(C2071="Buy",Q2071-M2071+T2071, IF(C2071="Sell",M2071-Q2071-T2071, X)))</f>
        <v/>
      </c>
      <c r="V2071" s="81">
        <f>IF(ISBLANK(P2071),"",U2071/N2071)</f>
        <v/>
      </c>
      <c r="W2071" s="81">
        <f>IF(ISBLANK(P2071),"",IF(S2071=0,(365/0.5)*V2071,(365/S2071)*V2071))</f>
        <v/>
      </c>
      <c r="X2071" s="75" t="n"/>
      <c r="Y2071" s="77" t="n"/>
      <c r="Z2071" s="77" t="n"/>
      <c r="AA2071" s="75" t="n"/>
      <c r="AB2071" s="75" t="n"/>
      <c r="AC2071" s="6" t="n"/>
      <c r="AD2071" s="75" t="n"/>
      <c r="AE2071" s="75" t="n"/>
      <c r="AF2071" s="75" t="n"/>
    </row>
    <row r="2072" ht="15.75" customHeight="1" s="133">
      <c r="A2072" s="75" t="n"/>
      <c r="B2072" s="75" t="n"/>
      <c r="C2072" s="75" t="n"/>
      <c r="D2072" s="75" t="n"/>
      <c r="E2072" s="76" t="n"/>
      <c r="F2072" s="77" t="n"/>
      <c r="G2072" s="75" t="n"/>
      <c r="H2072" s="75">
        <f>IF(ISBLANK(E2072),"",IF(OR(D2072="Butterfly",D2072="Butterfly ",D2072="Iron Fly", D2072="Iron Fly "),LEN(E2072)-LEN(SUBSTITUTE(E2072,"/",""))+2,LEN(E2072)-LEN(SUBSTITUTE(E2072,"/",""))+1))</f>
        <v/>
      </c>
      <c r="I2072" s="78">
        <f>IF(ISBLANK(G2072),"",IF(D2072="Stock","0",Key!$A$3*H2072*G2072))</f>
        <v/>
      </c>
      <c r="J2072" s="78">
        <f>IF(ISBLANK(E2072),"",IF(ISNUMBER(SEARCH("/",E2072)), IF(LEN(E2072)-LEN(SUBSTITUTE(E2072,"/",""))=1,(RIGHT(E2072,LEN(E2072)-FIND("/",E2072)))-(LEFT(E2072,FIND("/",E2072)-1)),(MID(E2072, SEARCH("/",E2072) + 1, SEARCH("/",E2072, SEARCH("/",E2072)+1) - SEARCH("/",E2072) - 1))-(LEFT(E2072,FIND("/",E2072)-1))), "NA"))</f>
        <v/>
      </c>
      <c r="K2072" s="79">
        <f>IF(A2072&lt;&gt;"", IF(ISBLANK(L2072), TODAY(), K2072), "")</f>
        <v/>
      </c>
      <c r="L2072" s="78" t="n"/>
      <c r="M2072" s="78">
        <f>IF(ISBLANK(L2072),"",IF(D2072="Stock",IF(C2072="Buy",L2072*G2072,IF(C2072="Sell",(L2072*G2072)-I2072, X)),IF(C2072="Buy",(L2072*G2072*100)+I2072,IF(C2072="Sell",(L2072*G2072*100)-I2072, X))))</f>
        <v/>
      </c>
      <c r="N2072" s="78">
        <f>IF(ISBLANK(L2072),"",IF(AND(C2072="Sell",D2072="Stock"),M2072,IF(ISBLANK(L2072),"",IF(C2072="Buy",M2072, IF(AND(C2072="Sell",J2072="NA"),(E2072*G2072*100*0.1)+I2072, IF(C2072="Sell",(J2072-L2072)*(100*G2072)+I2072))))))</f>
        <v/>
      </c>
      <c r="O2072" s="75" t="n"/>
      <c r="P2072" s="75" t="n"/>
      <c r="Q2072" s="75">
        <f>IF(ISBLANK(P2072),"",IF(D2072="Stock",P2072*G2072,IF(P2072=0,"0",G2072*P2072*100-(G2072*$AF$14))))</f>
        <v/>
      </c>
      <c r="R2072" s="79">
        <f>IF(P2072&lt;&gt;"", TODAY(), "")</f>
        <v/>
      </c>
      <c r="S2072" s="78">
        <f>IF(AND(K2072&lt;&gt;"", R2072&lt;&gt;""), R2072-K2072, "")</f>
        <v/>
      </c>
      <c r="T2072" s="78" t="n"/>
      <c r="U2072" s="92">
        <f>IF(ISBLANK(P2072),"",IF(C2072="Buy",Q2072-M2072+T2072, IF(C2072="Sell",M2072-Q2072-T2072, X)))</f>
        <v/>
      </c>
      <c r="V2072" s="81">
        <f>IF(ISBLANK(P2072),"",U2072/N2072)</f>
        <v/>
      </c>
      <c r="W2072" s="81">
        <f>IF(ISBLANK(P2072),"",IF(S2072=0,(365/0.5)*V2072,(365/S2072)*V2072))</f>
        <v/>
      </c>
      <c r="X2072" s="75" t="n"/>
      <c r="Y2072" s="77" t="n"/>
      <c r="Z2072" s="77" t="n"/>
      <c r="AA2072" s="75" t="n"/>
      <c r="AB2072" s="75" t="n"/>
      <c r="AC2072" s="6" t="n"/>
      <c r="AD2072" s="75" t="n"/>
      <c r="AE2072" s="75" t="n"/>
      <c r="AF2072" s="75" t="n"/>
    </row>
    <row r="2073" ht="15.75" customHeight="1" s="133">
      <c r="A2073" s="75" t="n"/>
      <c r="B2073" s="75" t="n"/>
      <c r="C2073" s="75" t="n"/>
      <c r="D2073" s="75" t="n"/>
      <c r="E2073" s="76" t="n"/>
      <c r="F2073" s="77" t="n"/>
      <c r="G2073" s="75" t="n"/>
      <c r="H2073" s="75">
        <f>IF(ISBLANK(E2073),"",IF(OR(D2073="Butterfly",D2073="Butterfly ",D2073="Iron Fly", D2073="Iron Fly "),LEN(E2073)-LEN(SUBSTITUTE(E2073,"/",""))+2,LEN(E2073)-LEN(SUBSTITUTE(E2073,"/",""))+1))</f>
        <v/>
      </c>
      <c r="I2073" s="78">
        <f>IF(ISBLANK(G2073),"",IF(D2073="Stock","0",Key!$A$3*H2073*G2073))</f>
        <v/>
      </c>
      <c r="J2073" s="78">
        <f>IF(ISBLANK(E2073),"",IF(ISNUMBER(SEARCH("/",E2073)), IF(LEN(E2073)-LEN(SUBSTITUTE(E2073,"/",""))=1,(RIGHT(E2073,LEN(E2073)-FIND("/",E2073)))-(LEFT(E2073,FIND("/",E2073)-1)),(MID(E2073, SEARCH("/",E2073) + 1, SEARCH("/",E2073, SEARCH("/",E2073)+1) - SEARCH("/",E2073) - 1))-(LEFT(E2073,FIND("/",E2073)-1))), "NA"))</f>
        <v/>
      </c>
      <c r="K2073" s="79">
        <f>IF(A2073&lt;&gt;"", IF(ISBLANK(L2073), TODAY(), K2073), "")</f>
        <v/>
      </c>
      <c r="L2073" s="78" t="n"/>
      <c r="M2073" s="78">
        <f>IF(ISBLANK(L2073),"",IF(D2073="Stock",IF(C2073="Buy",L2073*G2073,IF(C2073="Sell",(L2073*G2073)-I2073, X)),IF(C2073="Buy",(L2073*G2073*100)+I2073,IF(C2073="Sell",(L2073*G2073*100)-I2073, X))))</f>
        <v/>
      </c>
      <c r="N2073" s="78">
        <f>IF(ISBLANK(L2073),"",IF(AND(C2073="Sell",D2073="Stock"),M2073,IF(ISBLANK(L2073),"",IF(C2073="Buy",M2073, IF(AND(C2073="Sell",J2073="NA"),(E2073*G2073*100*0.1)+I2073, IF(C2073="Sell",(J2073-L2073)*(100*G2073)+I2073))))))</f>
        <v/>
      </c>
      <c r="O2073" s="75" t="n"/>
      <c r="P2073" s="75" t="n"/>
      <c r="Q2073" s="75">
        <f>IF(ISBLANK(P2073),"",IF(D2073="Stock",P2073*G2073,IF(P2073=0,"0",G2073*P2073*100-(G2073*$AF$14))))</f>
        <v/>
      </c>
      <c r="R2073" s="79">
        <f>IF(P2073&lt;&gt;"", TODAY(), "")</f>
        <v/>
      </c>
      <c r="S2073" s="78">
        <f>IF(AND(K2073&lt;&gt;"", R2073&lt;&gt;""), R2073-K2073, "")</f>
        <v/>
      </c>
      <c r="T2073" s="78" t="n"/>
      <c r="U2073" s="92">
        <f>IF(ISBLANK(P2073),"",IF(C2073="Buy",Q2073-M2073+T2073, IF(C2073="Sell",M2073-Q2073-T2073, X)))</f>
        <v/>
      </c>
      <c r="V2073" s="81">
        <f>IF(ISBLANK(P2073),"",U2073/N2073)</f>
        <v/>
      </c>
      <c r="W2073" s="81">
        <f>IF(ISBLANK(P2073),"",IF(S2073=0,(365/0.5)*V2073,(365/S2073)*V2073))</f>
        <v/>
      </c>
      <c r="X2073" s="75" t="n"/>
      <c r="Y2073" s="77" t="n"/>
      <c r="Z2073" s="77" t="n"/>
      <c r="AA2073" s="75" t="n"/>
      <c r="AB2073" s="75" t="n"/>
      <c r="AC2073" s="6" t="n"/>
      <c r="AD2073" s="75" t="n"/>
      <c r="AE2073" s="75" t="n"/>
      <c r="AF2073" s="75" t="n"/>
    </row>
    <row r="2074" ht="15.75" customHeight="1" s="133">
      <c r="A2074" s="75" t="n"/>
      <c r="B2074" s="75" t="n"/>
      <c r="C2074" s="75" t="n"/>
      <c r="D2074" s="75" t="n"/>
      <c r="E2074" s="76" t="n"/>
      <c r="F2074" s="77" t="n"/>
      <c r="G2074" s="75" t="n"/>
      <c r="H2074" s="75">
        <f>IF(ISBLANK(E2074),"",IF(OR(D2074="Butterfly",D2074="Butterfly ",D2074="Iron Fly", D2074="Iron Fly "),LEN(E2074)-LEN(SUBSTITUTE(E2074,"/",""))+2,LEN(E2074)-LEN(SUBSTITUTE(E2074,"/",""))+1))</f>
        <v/>
      </c>
      <c r="I2074" s="78">
        <f>IF(ISBLANK(G2074),"",IF(D2074="Stock","0",Key!$A$3*H2074*G2074))</f>
        <v/>
      </c>
      <c r="J2074" s="78">
        <f>IF(ISBLANK(E2074),"",IF(ISNUMBER(SEARCH("/",E2074)), IF(LEN(E2074)-LEN(SUBSTITUTE(E2074,"/",""))=1,(RIGHT(E2074,LEN(E2074)-FIND("/",E2074)))-(LEFT(E2074,FIND("/",E2074)-1)),(MID(E2074, SEARCH("/",E2074) + 1, SEARCH("/",E2074, SEARCH("/",E2074)+1) - SEARCH("/",E2074) - 1))-(LEFT(E2074,FIND("/",E2074)-1))), "NA"))</f>
        <v/>
      </c>
      <c r="K2074" s="79">
        <f>IF(A2074&lt;&gt;"", IF(ISBLANK(L2074), TODAY(), K2074), "")</f>
        <v/>
      </c>
      <c r="L2074" s="78" t="n"/>
      <c r="M2074" s="78">
        <f>IF(ISBLANK(L2074),"",IF(D2074="Stock",IF(C2074="Buy",L2074*G2074,IF(C2074="Sell",(L2074*G2074)-I2074, X)),IF(C2074="Buy",(L2074*G2074*100)+I2074,IF(C2074="Sell",(L2074*G2074*100)-I2074, X))))</f>
        <v/>
      </c>
      <c r="N2074" s="78">
        <f>IF(ISBLANK(L2074),"",IF(AND(C2074="Sell",D2074="Stock"),M2074,IF(ISBLANK(L2074),"",IF(C2074="Buy",M2074, IF(AND(C2074="Sell",J2074="NA"),(E2074*G2074*100*0.1)+I2074, IF(C2074="Sell",(J2074-L2074)*(100*G2074)+I2074))))))</f>
        <v/>
      </c>
      <c r="O2074" s="75" t="n"/>
      <c r="P2074" s="75" t="n"/>
      <c r="Q2074" s="75">
        <f>IF(ISBLANK(P2074),"",IF(D2074="Stock",P2074*G2074,IF(P2074=0,"0",G2074*P2074*100-(G2074*$AF$14))))</f>
        <v/>
      </c>
      <c r="R2074" s="79">
        <f>IF(P2074&lt;&gt;"", TODAY(), "")</f>
        <v/>
      </c>
      <c r="S2074" s="78">
        <f>IF(AND(K2074&lt;&gt;"", R2074&lt;&gt;""), R2074-K2074, "")</f>
        <v/>
      </c>
      <c r="T2074" s="78" t="n"/>
      <c r="U2074" s="92">
        <f>IF(ISBLANK(P2074),"",IF(C2074="Buy",Q2074-M2074+T2074, IF(C2074="Sell",M2074-Q2074-T2074, X)))</f>
        <v/>
      </c>
      <c r="V2074" s="81">
        <f>IF(ISBLANK(P2074),"",U2074/N2074)</f>
        <v/>
      </c>
      <c r="W2074" s="81">
        <f>IF(ISBLANK(P2074),"",IF(S2074=0,(365/0.5)*V2074,(365/S2074)*V2074))</f>
        <v/>
      </c>
      <c r="X2074" s="75" t="n"/>
      <c r="Y2074" s="77" t="n"/>
      <c r="Z2074" s="77" t="n"/>
      <c r="AA2074" s="75" t="n"/>
      <c r="AB2074" s="75" t="n"/>
      <c r="AC2074" s="6" t="n"/>
      <c r="AD2074" s="75" t="n"/>
      <c r="AE2074" s="75" t="n"/>
      <c r="AF2074" s="75" t="n"/>
    </row>
    <row r="2075" ht="15.75" customHeight="1" s="133">
      <c r="A2075" s="75" t="n"/>
      <c r="B2075" s="75" t="n"/>
      <c r="C2075" s="75" t="n"/>
      <c r="D2075" s="75" t="n"/>
      <c r="E2075" s="76" t="n"/>
      <c r="F2075" s="77" t="n"/>
      <c r="G2075" s="75" t="n"/>
      <c r="H2075" s="75">
        <f>IF(ISBLANK(E2075),"",IF(OR(D2075="Butterfly",D2075="Butterfly ",D2075="Iron Fly", D2075="Iron Fly "),LEN(E2075)-LEN(SUBSTITUTE(E2075,"/",""))+2,LEN(E2075)-LEN(SUBSTITUTE(E2075,"/",""))+1))</f>
        <v/>
      </c>
      <c r="I2075" s="78">
        <f>IF(ISBLANK(G2075),"",IF(D2075="Stock","0",Key!$A$3*H2075*G2075))</f>
        <v/>
      </c>
      <c r="J2075" s="78">
        <f>IF(ISBLANK(E2075),"",IF(ISNUMBER(SEARCH("/",E2075)), IF(LEN(E2075)-LEN(SUBSTITUTE(E2075,"/",""))=1,(RIGHT(E2075,LEN(E2075)-FIND("/",E2075)))-(LEFT(E2075,FIND("/",E2075)-1)),(MID(E2075, SEARCH("/",E2075) + 1, SEARCH("/",E2075, SEARCH("/",E2075)+1) - SEARCH("/",E2075) - 1))-(LEFT(E2075,FIND("/",E2075)-1))), "NA"))</f>
        <v/>
      </c>
      <c r="K2075" s="79">
        <f>IF(A2075&lt;&gt;"", IF(ISBLANK(L2075), TODAY(), K2075), "")</f>
        <v/>
      </c>
      <c r="L2075" s="78" t="n"/>
      <c r="M2075" s="78">
        <f>IF(ISBLANK(L2075),"",IF(D2075="Stock",IF(C2075="Buy",L2075*G2075,IF(C2075="Sell",(L2075*G2075)-I2075, X)),IF(C2075="Buy",(L2075*G2075*100)+I2075,IF(C2075="Sell",(L2075*G2075*100)-I2075, X))))</f>
        <v/>
      </c>
      <c r="N2075" s="78">
        <f>IF(ISBLANK(L2075),"",IF(AND(C2075="Sell",D2075="Stock"),M2075,IF(ISBLANK(L2075),"",IF(C2075="Buy",M2075, IF(AND(C2075="Sell",J2075="NA"),(E2075*G2075*100*0.1)+I2075, IF(C2075="Sell",(J2075-L2075)*(100*G2075)+I2075))))))</f>
        <v/>
      </c>
      <c r="O2075" s="75" t="n"/>
      <c r="P2075" s="75" t="n"/>
      <c r="Q2075" s="75">
        <f>IF(ISBLANK(P2075),"",IF(D2075="Stock",P2075*G2075,IF(P2075=0,"0",G2075*P2075*100-(G2075*$AF$14))))</f>
        <v/>
      </c>
      <c r="R2075" s="79">
        <f>IF(P2075&lt;&gt;"", TODAY(), "")</f>
        <v/>
      </c>
      <c r="S2075" s="78">
        <f>IF(AND(K2075&lt;&gt;"", R2075&lt;&gt;""), R2075-K2075, "")</f>
        <v/>
      </c>
      <c r="T2075" s="78" t="n"/>
      <c r="U2075" s="92">
        <f>IF(ISBLANK(P2075),"",IF(C2075="Buy",Q2075-M2075+T2075, IF(C2075="Sell",M2075-Q2075-T2075, X)))</f>
        <v/>
      </c>
      <c r="V2075" s="81">
        <f>IF(ISBLANK(P2075),"",U2075/N2075)</f>
        <v/>
      </c>
      <c r="W2075" s="81">
        <f>IF(ISBLANK(P2075),"",IF(S2075=0,(365/0.5)*V2075,(365/S2075)*V2075))</f>
        <v/>
      </c>
      <c r="X2075" s="75" t="n"/>
      <c r="Y2075" s="77" t="n"/>
      <c r="Z2075" s="77" t="n"/>
      <c r="AA2075" s="75" t="n"/>
      <c r="AB2075" s="75" t="n"/>
      <c r="AC2075" s="6" t="n"/>
      <c r="AD2075" s="75" t="n"/>
      <c r="AE2075" s="75" t="n"/>
      <c r="AF2075" s="75" t="n"/>
    </row>
    <row r="2076" ht="15.75" customHeight="1" s="133">
      <c r="A2076" s="75" t="n"/>
      <c r="B2076" s="75" t="n"/>
      <c r="C2076" s="75" t="n"/>
      <c r="D2076" s="75" t="n"/>
      <c r="E2076" s="76" t="n"/>
      <c r="F2076" s="77" t="n"/>
      <c r="G2076" s="75" t="n"/>
      <c r="H2076" s="75">
        <f>IF(ISBLANK(E2076),"",IF(OR(D2076="Butterfly",D2076="Butterfly ",D2076="Iron Fly", D2076="Iron Fly "),LEN(E2076)-LEN(SUBSTITUTE(E2076,"/",""))+2,LEN(E2076)-LEN(SUBSTITUTE(E2076,"/",""))+1))</f>
        <v/>
      </c>
      <c r="I2076" s="78">
        <f>IF(ISBLANK(G2076),"",IF(D2076="Stock","0",Key!$A$3*H2076*G2076))</f>
        <v/>
      </c>
      <c r="J2076" s="78">
        <f>IF(ISBLANK(E2076),"",IF(ISNUMBER(SEARCH("/",E2076)), IF(LEN(E2076)-LEN(SUBSTITUTE(E2076,"/",""))=1,(RIGHT(E2076,LEN(E2076)-FIND("/",E2076)))-(LEFT(E2076,FIND("/",E2076)-1)),(MID(E2076, SEARCH("/",E2076) + 1, SEARCH("/",E2076, SEARCH("/",E2076)+1) - SEARCH("/",E2076) - 1))-(LEFT(E2076,FIND("/",E2076)-1))), "NA"))</f>
        <v/>
      </c>
      <c r="K2076" s="79">
        <f>IF(A2076&lt;&gt;"", IF(ISBLANK(L2076), TODAY(), K2076), "")</f>
        <v/>
      </c>
      <c r="L2076" s="78" t="n"/>
      <c r="M2076" s="78">
        <f>IF(ISBLANK(L2076),"",IF(D2076="Stock",IF(C2076="Buy",L2076*G2076,IF(C2076="Sell",(L2076*G2076)-I2076, X)),IF(C2076="Buy",(L2076*G2076*100)+I2076,IF(C2076="Sell",(L2076*G2076*100)-I2076, X))))</f>
        <v/>
      </c>
      <c r="N2076" s="78">
        <f>IF(ISBLANK(L2076),"",IF(AND(C2076="Sell",D2076="Stock"),M2076,IF(ISBLANK(L2076),"",IF(C2076="Buy",M2076, IF(AND(C2076="Sell",J2076="NA"),(E2076*G2076*100*0.1)+I2076, IF(C2076="Sell",(J2076-L2076)*(100*G2076)+I2076))))))</f>
        <v/>
      </c>
      <c r="O2076" s="75" t="n"/>
      <c r="P2076" s="75" t="n"/>
      <c r="Q2076" s="75">
        <f>IF(ISBLANK(P2076),"",IF(D2076="Stock",P2076*G2076,IF(P2076=0,"0",G2076*P2076*100-(G2076*$AF$14))))</f>
        <v/>
      </c>
      <c r="R2076" s="79">
        <f>IF(P2076&lt;&gt;"", TODAY(), "")</f>
        <v/>
      </c>
      <c r="S2076" s="78">
        <f>IF(AND(K2076&lt;&gt;"", R2076&lt;&gt;""), R2076-K2076, "")</f>
        <v/>
      </c>
      <c r="T2076" s="78" t="n"/>
      <c r="U2076" s="92">
        <f>IF(ISBLANK(P2076),"",IF(C2076="Buy",Q2076-M2076+T2076, IF(C2076="Sell",M2076-Q2076-T2076, X)))</f>
        <v/>
      </c>
      <c r="V2076" s="81">
        <f>IF(ISBLANK(P2076),"",U2076/N2076)</f>
        <v/>
      </c>
      <c r="W2076" s="81">
        <f>IF(ISBLANK(P2076),"",IF(S2076=0,(365/0.5)*V2076,(365/S2076)*V2076))</f>
        <v/>
      </c>
      <c r="X2076" s="75" t="n"/>
      <c r="Y2076" s="77" t="n"/>
      <c r="Z2076" s="77" t="n"/>
      <c r="AA2076" s="75" t="n"/>
      <c r="AB2076" s="75" t="n"/>
      <c r="AC2076" s="6" t="n"/>
      <c r="AD2076" s="75" t="n"/>
      <c r="AE2076" s="75" t="n"/>
      <c r="AF2076" s="75" t="n"/>
    </row>
    <row r="2077" ht="15.75" customHeight="1" s="133">
      <c r="A2077" s="75" t="n"/>
      <c r="B2077" s="75" t="n"/>
      <c r="C2077" s="75" t="n"/>
      <c r="D2077" s="75" t="n"/>
      <c r="E2077" s="76" t="n"/>
      <c r="F2077" s="77" t="n"/>
      <c r="G2077" s="75" t="n"/>
      <c r="H2077" s="75">
        <f>IF(ISBLANK(E2077),"",IF(OR(D2077="Butterfly",D2077="Butterfly ",D2077="Iron Fly", D2077="Iron Fly "),LEN(E2077)-LEN(SUBSTITUTE(E2077,"/",""))+2,LEN(E2077)-LEN(SUBSTITUTE(E2077,"/",""))+1))</f>
        <v/>
      </c>
      <c r="I2077" s="78">
        <f>IF(ISBLANK(G2077),"",IF(D2077="Stock","0",Key!$A$3*H2077*G2077))</f>
        <v/>
      </c>
      <c r="J2077" s="78">
        <f>IF(ISBLANK(E2077),"",IF(ISNUMBER(SEARCH("/",E2077)), IF(LEN(E2077)-LEN(SUBSTITUTE(E2077,"/",""))=1,(RIGHT(E2077,LEN(E2077)-FIND("/",E2077)))-(LEFT(E2077,FIND("/",E2077)-1)),(MID(E2077, SEARCH("/",E2077) + 1, SEARCH("/",E2077, SEARCH("/",E2077)+1) - SEARCH("/",E2077) - 1))-(LEFT(E2077,FIND("/",E2077)-1))), "NA"))</f>
        <v/>
      </c>
      <c r="K2077" s="79">
        <f>IF(A2077&lt;&gt;"", IF(ISBLANK(L2077), TODAY(), K2077), "")</f>
        <v/>
      </c>
      <c r="L2077" s="78" t="n"/>
      <c r="M2077" s="78">
        <f>IF(ISBLANK(L2077),"",IF(D2077="Stock",IF(C2077="Buy",L2077*G2077,IF(C2077="Sell",(L2077*G2077)-I2077, X)),IF(C2077="Buy",(L2077*G2077*100)+I2077,IF(C2077="Sell",(L2077*G2077*100)-I2077, X))))</f>
        <v/>
      </c>
      <c r="N2077" s="78">
        <f>IF(ISBLANK(L2077),"",IF(AND(C2077="Sell",D2077="Stock"),M2077,IF(ISBLANK(L2077),"",IF(C2077="Buy",M2077, IF(AND(C2077="Sell",J2077="NA"),(E2077*G2077*100*0.1)+I2077, IF(C2077="Sell",(J2077-L2077)*(100*G2077)+I2077))))))</f>
        <v/>
      </c>
      <c r="O2077" s="75" t="n"/>
      <c r="P2077" s="75" t="n"/>
      <c r="Q2077" s="75">
        <f>IF(ISBLANK(P2077),"",IF(D2077="Stock",P2077*G2077,IF(P2077=0,"0",G2077*P2077*100-(G2077*$AF$14))))</f>
        <v/>
      </c>
      <c r="R2077" s="79">
        <f>IF(P2077&lt;&gt;"", TODAY(), "")</f>
        <v/>
      </c>
      <c r="S2077" s="78">
        <f>IF(AND(K2077&lt;&gt;"", R2077&lt;&gt;""), R2077-K2077, "")</f>
        <v/>
      </c>
      <c r="T2077" s="78" t="n"/>
      <c r="U2077" s="92">
        <f>IF(ISBLANK(P2077),"",IF(C2077="Buy",Q2077-M2077+T2077, IF(C2077="Sell",M2077-Q2077-T2077, X)))</f>
        <v/>
      </c>
      <c r="V2077" s="81">
        <f>IF(ISBLANK(P2077),"",U2077/N2077)</f>
        <v/>
      </c>
      <c r="W2077" s="81">
        <f>IF(ISBLANK(P2077),"",IF(S2077=0,(365/0.5)*V2077,(365/S2077)*V2077))</f>
        <v/>
      </c>
      <c r="X2077" s="75" t="n"/>
      <c r="Y2077" s="77" t="n"/>
      <c r="Z2077" s="77" t="n"/>
      <c r="AA2077" s="75" t="n"/>
      <c r="AB2077" s="75" t="n"/>
      <c r="AC2077" s="6" t="n"/>
      <c r="AD2077" s="75" t="n"/>
      <c r="AE2077" s="75" t="n"/>
      <c r="AF2077" s="75" t="n"/>
    </row>
    <row r="2078" ht="15.75" customHeight="1" s="133">
      <c r="A2078" s="75" t="n"/>
      <c r="B2078" s="75" t="n"/>
      <c r="C2078" s="75" t="n"/>
      <c r="D2078" s="75" t="n"/>
      <c r="E2078" s="76" t="n"/>
      <c r="F2078" s="77" t="n"/>
      <c r="G2078" s="75" t="n"/>
      <c r="H2078" s="75">
        <f>IF(ISBLANK(E2078),"",IF(OR(D2078="Butterfly",D2078="Butterfly ",D2078="Iron Fly", D2078="Iron Fly "),LEN(E2078)-LEN(SUBSTITUTE(E2078,"/",""))+2,LEN(E2078)-LEN(SUBSTITUTE(E2078,"/",""))+1))</f>
        <v/>
      </c>
      <c r="I2078" s="78">
        <f>IF(ISBLANK(G2078),"",IF(D2078="Stock","0",Key!$A$3*H2078*G2078))</f>
        <v/>
      </c>
      <c r="J2078" s="78">
        <f>IF(ISBLANK(E2078),"",IF(ISNUMBER(SEARCH("/",E2078)), IF(LEN(E2078)-LEN(SUBSTITUTE(E2078,"/",""))=1,(RIGHT(E2078,LEN(E2078)-FIND("/",E2078)))-(LEFT(E2078,FIND("/",E2078)-1)),(MID(E2078, SEARCH("/",E2078) + 1, SEARCH("/",E2078, SEARCH("/",E2078)+1) - SEARCH("/",E2078) - 1))-(LEFT(E2078,FIND("/",E2078)-1))), "NA"))</f>
        <v/>
      </c>
      <c r="K2078" s="79">
        <f>IF(A2078&lt;&gt;"", IF(ISBLANK(L2078), TODAY(), K2078), "")</f>
        <v/>
      </c>
      <c r="L2078" s="78" t="n"/>
      <c r="M2078" s="78">
        <f>IF(ISBLANK(L2078),"",IF(D2078="Stock",IF(C2078="Buy",L2078*G2078,IF(C2078="Sell",(L2078*G2078)-I2078, X)),IF(C2078="Buy",(L2078*G2078*100)+I2078,IF(C2078="Sell",(L2078*G2078*100)-I2078, X))))</f>
        <v/>
      </c>
      <c r="N2078" s="78">
        <f>IF(ISBLANK(L2078),"",IF(AND(C2078="Sell",D2078="Stock"),M2078,IF(ISBLANK(L2078),"",IF(C2078="Buy",M2078, IF(AND(C2078="Sell",J2078="NA"),(E2078*G2078*100*0.1)+I2078, IF(C2078="Sell",(J2078-L2078)*(100*G2078)+I2078))))))</f>
        <v/>
      </c>
      <c r="O2078" s="75" t="n"/>
      <c r="P2078" s="75" t="n"/>
      <c r="Q2078" s="75">
        <f>IF(ISBLANK(P2078),"",IF(D2078="Stock",P2078*G2078,IF(P2078=0,"0",G2078*P2078*100-(G2078*$AF$14))))</f>
        <v/>
      </c>
      <c r="R2078" s="79">
        <f>IF(P2078&lt;&gt;"", TODAY(), "")</f>
        <v/>
      </c>
      <c r="S2078" s="78">
        <f>IF(AND(K2078&lt;&gt;"", R2078&lt;&gt;""), R2078-K2078, "")</f>
        <v/>
      </c>
      <c r="T2078" s="78" t="n"/>
      <c r="U2078" s="92">
        <f>IF(ISBLANK(P2078),"",IF(C2078="Buy",Q2078-M2078+T2078, IF(C2078="Sell",M2078-Q2078-T2078, X)))</f>
        <v/>
      </c>
      <c r="V2078" s="81">
        <f>IF(ISBLANK(P2078),"",U2078/N2078)</f>
        <v/>
      </c>
      <c r="W2078" s="81">
        <f>IF(ISBLANK(P2078),"",IF(S2078=0,(365/0.5)*V2078,(365/S2078)*V2078))</f>
        <v/>
      </c>
      <c r="X2078" s="75" t="n"/>
      <c r="Y2078" s="77" t="n"/>
      <c r="Z2078" s="77" t="n"/>
      <c r="AA2078" s="75" t="n"/>
      <c r="AB2078" s="75" t="n"/>
      <c r="AC2078" s="6" t="n"/>
      <c r="AD2078" s="75" t="n"/>
      <c r="AE2078" s="75" t="n"/>
      <c r="AF2078" s="75" t="n"/>
    </row>
    <row r="2079" ht="15.75" customHeight="1" s="133">
      <c r="A2079" s="75" t="n"/>
      <c r="B2079" s="75" t="n"/>
      <c r="C2079" s="75" t="n"/>
      <c r="D2079" s="75" t="n"/>
      <c r="E2079" s="76" t="n"/>
      <c r="F2079" s="77" t="n"/>
      <c r="G2079" s="75" t="n"/>
      <c r="H2079" s="75">
        <f>IF(ISBLANK(E2079),"",IF(OR(D2079="Butterfly",D2079="Butterfly ",D2079="Iron Fly", D2079="Iron Fly "),LEN(E2079)-LEN(SUBSTITUTE(E2079,"/",""))+2,LEN(E2079)-LEN(SUBSTITUTE(E2079,"/",""))+1))</f>
        <v/>
      </c>
      <c r="I2079" s="78">
        <f>IF(ISBLANK(G2079),"",IF(D2079="Stock","0",Key!$A$3*H2079*G2079))</f>
        <v/>
      </c>
      <c r="J2079" s="78">
        <f>IF(ISBLANK(E2079),"",IF(ISNUMBER(SEARCH("/",E2079)), IF(LEN(E2079)-LEN(SUBSTITUTE(E2079,"/",""))=1,(RIGHT(E2079,LEN(E2079)-FIND("/",E2079)))-(LEFT(E2079,FIND("/",E2079)-1)),(MID(E2079, SEARCH("/",E2079) + 1, SEARCH("/",E2079, SEARCH("/",E2079)+1) - SEARCH("/",E2079) - 1))-(LEFT(E2079,FIND("/",E2079)-1))), "NA"))</f>
        <v/>
      </c>
      <c r="K2079" s="79">
        <f>IF(A2079&lt;&gt;"", IF(ISBLANK(L2079), TODAY(), K2079), "")</f>
        <v/>
      </c>
      <c r="L2079" s="78" t="n"/>
      <c r="M2079" s="78">
        <f>IF(ISBLANK(L2079),"",IF(D2079="Stock",IF(C2079="Buy",L2079*G2079,IF(C2079="Sell",(L2079*G2079)-I2079, X)),IF(C2079="Buy",(L2079*G2079*100)+I2079,IF(C2079="Sell",(L2079*G2079*100)-I2079, X))))</f>
        <v/>
      </c>
      <c r="N2079" s="78">
        <f>IF(ISBLANK(L2079),"",IF(AND(C2079="Sell",D2079="Stock"),M2079,IF(ISBLANK(L2079),"",IF(C2079="Buy",M2079, IF(AND(C2079="Sell",J2079="NA"),(E2079*G2079*100*0.1)+I2079, IF(C2079="Sell",(J2079-L2079)*(100*G2079)+I2079))))))</f>
        <v/>
      </c>
      <c r="O2079" s="75" t="n"/>
      <c r="P2079" s="75" t="n"/>
      <c r="Q2079" s="75">
        <f>IF(ISBLANK(P2079),"",IF(D2079="Stock",P2079*G2079,IF(P2079=0,"0",G2079*P2079*100-(G2079*$AF$14))))</f>
        <v/>
      </c>
      <c r="R2079" s="79">
        <f>IF(P2079&lt;&gt;"", TODAY(), "")</f>
        <v/>
      </c>
      <c r="S2079" s="78">
        <f>IF(AND(K2079&lt;&gt;"", R2079&lt;&gt;""), R2079-K2079, "")</f>
        <v/>
      </c>
      <c r="T2079" s="78" t="n"/>
      <c r="U2079" s="92">
        <f>IF(ISBLANK(P2079),"",IF(C2079="Buy",Q2079-M2079+T2079, IF(C2079="Sell",M2079-Q2079-T2079, X)))</f>
        <v/>
      </c>
      <c r="V2079" s="81">
        <f>IF(ISBLANK(P2079),"",U2079/N2079)</f>
        <v/>
      </c>
      <c r="W2079" s="81">
        <f>IF(ISBLANK(P2079),"",IF(S2079=0,(365/0.5)*V2079,(365/S2079)*V2079))</f>
        <v/>
      </c>
      <c r="X2079" s="75" t="n"/>
      <c r="Y2079" s="77" t="n"/>
      <c r="Z2079" s="77" t="n"/>
      <c r="AA2079" s="75" t="n"/>
      <c r="AB2079" s="75" t="n"/>
      <c r="AC2079" s="6" t="n"/>
      <c r="AD2079" s="75" t="n"/>
      <c r="AE2079" s="75" t="n"/>
      <c r="AF2079" s="75" t="n"/>
    </row>
    <row r="2080" ht="15.75" customHeight="1" s="133">
      <c r="A2080" s="75" t="n"/>
      <c r="B2080" s="75" t="n"/>
      <c r="C2080" s="75" t="n"/>
      <c r="D2080" s="75" t="n"/>
      <c r="E2080" s="76" t="n"/>
      <c r="F2080" s="77" t="n"/>
      <c r="G2080" s="75" t="n"/>
      <c r="H2080" s="75">
        <f>IF(ISBLANK(E2080),"",IF(OR(D2080="Butterfly",D2080="Butterfly ",D2080="Iron Fly", D2080="Iron Fly "),LEN(E2080)-LEN(SUBSTITUTE(E2080,"/",""))+2,LEN(E2080)-LEN(SUBSTITUTE(E2080,"/",""))+1))</f>
        <v/>
      </c>
      <c r="I2080" s="78">
        <f>IF(ISBLANK(G2080),"",IF(D2080="Stock","0",Key!$A$3*H2080*G2080))</f>
        <v/>
      </c>
      <c r="J2080" s="78">
        <f>IF(ISBLANK(E2080),"",IF(ISNUMBER(SEARCH("/",E2080)), IF(LEN(E2080)-LEN(SUBSTITUTE(E2080,"/",""))=1,(RIGHT(E2080,LEN(E2080)-FIND("/",E2080)))-(LEFT(E2080,FIND("/",E2080)-1)),(MID(E2080, SEARCH("/",E2080) + 1, SEARCH("/",E2080, SEARCH("/",E2080)+1) - SEARCH("/",E2080) - 1))-(LEFT(E2080,FIND("/",E2080)-1))), "NA"))</f>
        <v/>
      </c>
      <c r="K2080" s="79">
        <f>IF(A2080&lt;&gt;"", IF(ISBLANK(L2080), TODAY(), K2080), "")</f>
        <v/>
      </c>
      <c r="L2080" s="78" t="n"/>
      <c r="M2080" s="78">
        <f>IF(ISBLANK(L2080),"",IF(D2080="Stock",IF(C2080="Buy",L2080*G2080,IF(C2080="Sell",(L2080*G2080)-I2080, X)),IF(C2080="Buy",(L2080*G2080*100)+I2080,IF(C2080="Sell",(L2080*G2080*100)-I2080, X))))</f>
        <v/>
      </c>
      <c r="N2080" s="78">
        <f>IF(ISBLANK(L2080),"",IF(AND(C2080="Sell",D2080="Stock"),M2080,IF(ISBLANK(L2080),"",IF(C2080="Buy",M2080, IF(AND(C2080="Sell",J2080="NA"),(E2080*G2080*100*0.1)+I2080, IF(C2080="Sell",(J2080-L2080)*(100*G2080)+I2080))))))</f>
        <v/>
      </c>
      <c r="O2080" s="75" t="n"/>
      <c r="P2080" s="75" t="n"/>
      <c r="Q2080" s="75">
        <f>IF(ISBLANK(P2080),"",IF(D2080="Stock",P2080*G2080,IF(P2080=0,"0",G2080*P2080*100-(G2080*$AF$14))))</f>
        <v/>
      </c>
      <c r="R2080" s="79">
        <f>IF(P2080&lt;&gt;"", TODAY(), "")</f>
        <v/>
      </c>
      <c r="S2080" s="78">
        <f>IF(AND(K2080&lt;&gt;"", R2080&lt;&gt;""), R2080-K2080, "")</f>
        <v/>
      </c>
      <c r="T2080" s="78" t="n"/>
      <c r="U2080" s="92">
        <f>IF(ISBLANK(P2080),"",IF(C2080="Buy",Q2080-M2080+T2080, IF(C2080="Sell",M2080-Q2080-T2080, X)))</f>
        <v/>
      </c>
      <c r="V2080" s="81">
        <f>IF(ISBLANK(P2080),"",U2080/N2080)</f>
        <v/>
      </c>
      <c r="W2080" s="81">
        <f>IF(ISBLANK(P2080),"",IF(S2080=0,(365/0.5)*V2080,(365/S2080)*V2080))</f>
        <v/>
      </c>
      <c r="X2080" s="75" t="n"/>
      <c r="Y2080" s="77" t="n"/>
      <c r="Z2080" s="77" t="n"/>
      <c r="AA2080" s="75" t="n"/>
      <c r="AB2080" s="75" t="n"/>
      <c r="AC2080" s="6" t="n"/>
      <c r="AD2080" s="75" t="n"/>
      <c r="AE2080" s="75" t="n"/>
      <c r="AF2080" s="75" t="n"/>
    </row>
    <row r="2081" ht="15.75" customHeight="1" s="133">
      <c r="A2081" s="75" t="n"/>
      <c r="B2081" s="75" t="n"/>
      <c r="C2081" s="75" t="n"/>
      <c r="D2081" s="75" t="n"/>
      <c r="E2081" s="76" t="n"/>
      <c r="F2081" s="77" t="n"/>
      <c r="G2081" s="75" t="n"/>
      <c r="H2081" s="75">
        <f>IF(ISBLANK(E2081),"",IF(OR(D2081="Butterfly",D2081="Butterfly ",D2081="Iron Fly", D2081="Iron Fly "),LEN(E2081)-LEN(SUBSTITUTE(E2081,"/",""))+2,LEN(E2081)-LEN(SUBSTITUTE(E2081,"/",""))+1))</f>
        <v/>
      </c>
      <c r="I2081" s="78">
        <f>IF(ISBLANK(G2081),"",IF(D2081="Stock","0",Key!$A$3*H2081*G2081))</f>
        <v/>
      </c>
      <c r="J2081" s="78">
        <f>IF(ISBLANK(E2081),"",IF(ISNUMBER(SEARCH("/",E2081)), IF(LEN(E2081)-LEN(SUBSTITUTE(E2081,"/",""))=1,(RIGHT(E2081,LEN(E2081)-FIND("/",E2081)))-(LEFT(E2081,FIND("/",E2081)-1)),(MID(E2081, SEARCH("/",E2081) + 1, SEARCH("/",E2081, SEARCH("/",E2081)+1) - SEARCH("/",E2081) - 1))-(LEFT(E2081,FIND("/",E2081)-1))), "NA"))</f>
        <v/>
      </c>
      <c r="K2081" s="79">
        <f>IF(A2081&lt;&gt;"", IF(ISBLANK(L2081), TODAY(), K2081), "")</f>
        <v/>
      </c>
      <c r="L2081" s="78" t="n"/>
      <c r="M2081" s="78">
        <f>IF(ISBLANK(L2081),"",IF(D2081="Stock",IF(C2081="Buy",L2081*G2081,IF(C2081="Sell",(L2081*G2081)-I2081, X)),IF(C2081="Buy",(L2081*G2081*100)+I2081,IF(C2081="Sell",(L2081*G2081*100)-I2081, X))))</f>
        <v/>
      </c>
      <c r="N2081" s="78">
        <f>IF(ISBLANK(L2081),"",IF(AND(C2081="Sell",D2081="Stock"),M2081,IF(ISBLANK(L2081),"",IF(C2081="Buy",M2081, IF(AND(C2081="Sell",J2081="NA"),(E2081*G2081*100*0.1)+I2081, IF(C2081="Sell",(J2081-L2081)*(100*G2081)+I2081))))))</f>
        <v/>
      </c>
      <c r="O2081" s="75" t="n"/>
      <c r="P2081" s="75" t="n"/>
      <c r="Q2081" s="75">
        <f>IF(ISBLANK(P2081),"",IF(D2081="Stock",P2081*G2081,IF(P2081=0,"0",G2081*P2081*100-(G2081*$AF$14))))</f>
        <v/>
      </c>
      <c r="R2081" s="79">
        <f>IF(P2081&lt;&gt;"", TODAY(), "")</f>
        <v/>
      </c>
      <c r="S2081" s="78">
        <f>IF(AND(K2081&lt;&gt;"", R2081&lt;&gt;""), R2081-K2081, "")</f>
        <v/>
      </c>
      <c r="T2081" s="78" t="n"/>
      <c r="U2081" s="92">
        <f>IF(ISBLANK(P2081),"",IF(C2081="Buy",Q2081-M2081+T2081, IF(C2081="Sell",M2081-Q2081-T2081, X)))</f>
        <v/>
      </c>
      <c r="V2081" s="81">
        <f>IF(ISBLANK(P2081),"",U2081/N2081)</f>
        <v/>
      </c>
      <c r="W2081" s="81">
        <f>IF(ISBLANK(P2081),"",IF(S2081=0,(365/0.5)*V2081,(365/S2081)*V2081))</f>
        <v/>
      </c>
      <c r="X2081" s="75" t="n"/>
      <c r="Y2081" s="77" t="n"/>
      <c r="Z2081" s="77" t="n"/>
      <c r="AA2081" s="75" t="n"/>
      <c r="AB2081" s="75" t="n"/>
      <c r="AC2081" s="6" t="n"/>
      <c r="AD2081" s="75" t="n"/>
      <c r="AE2081" s="75" t="n"/>
      <c r="AF2081" s="75" t="n"/>
    </row>
    <row r="2082" ht="15.75" customHeight="1" s="133">
      <c r="A2082" s="75" t="n"/>
      <c r="B2082" s="75" t="n"/>
      <c r="C2082" s="75" t="n"/>
      <c r="D2082" s="75" t="n"/>
      <c r="E2082" s="76" t="n"/>
      <c r="F2082" s="77" t="n"/>
      <c r="G2082" s="75" t="n"/>
      <c r="H2082" s="75">
        <f>IF(ISBLANK(E2082),"",IF(OR(D2082="Butterfly",D2082="Butterfly ",D2082="Iron Fly", D2082="Iron Fly "),LEN(E2082)-LEN(SUBSTITUTE(E2082,"/",""))+2,LEN(E2082)-LEN(SUBSTITUTE(E2082,"/",""))+1))</f>
        <v/>
      </c>
      <c r="I2082" s="78">
        <f>IF(ISBLANK(G2082),"",IF(D2082="Stock","0",Key!$A$3*H2082*G2082))</f>
        <v/>
      </c>
      <c r="J2082" s="78">
        <f>IF(ISBLANK(E2082),"",IF(ISNUMBER(SEARCH("/",E2082)), IF(LEN(E2082)-LEN(SUBSTITUTE(E2082,"/",""))=1,(RIGHT(E2082,LEN(E2082)-FIND("/",E2082)))-(LEFT(E2082,FIND("/",E2082)-1)),(MID(E2082, SEARCH("/",E2082) + 1, SEARCH("/",E2082, SEARCH("/",E2082)+1) - SEARCH("/",E2082) - 1))-(LEFT(E2082,FIND("/",E2082)-1))), "NA"))</f>
        <v/>
      </c>
      <c r="K2082" s="79">
        <f>IF(A2082&lt;&gt;"", IF(ISBLANK(L2082), TODAY(), K2082), "")</f>
        <v/>
      </c>
      <c r="L2082" s="78" t="n"/>
      <c r="M2082" s="78">
        <f>IF(ISBLANK(L2082),"",IF(D2082="Stock",IF(C2082="Buy",L2082*G2082,IF(C2082="Sell",(L2082*G2082)-I2082, X)),IF(C2082="Buy",(L2082*G2082*100)+I2082,IF(C2082="Sell",(L2082*G2082*100)-I2082, X))))</f>
        <v/>
      </c>
      <c r="N2082" s="78">
        <f>IF(ISBLANK(L2082),"",IF(AND(C2082="Sell",D2082="Stock"),M2082,IF(ISBLANK(L2082),"",IF(C2082="Buy",M2082, IF(AND(C2082="Sell",J2082="NA"),(E2082*G2082*100*0.1)+I2082, IF(C2082="Sell",(J2082-L2082)*(100*G2082)+I2082))))))</f>
        <v/>
      </c>
      <c r="O2082" s="75" t="n"/>
      <c r="P2082" s="75" t="n"/>
      <c r="Q2082" s="75">
        <f>IF(ISBLANK(P2082),"",IF(D2082="Stock",P2082*G2082,IF(P2082=0,"0",G2082*P2082*100-(G2082*$AF$14))))</f>
        <v/>
      </c>
      <c r="R2082" s="79">
        <f>IF(P2082&lt;&gt;"", TODAY(), "")</f>
        <v/>
      </c>
      <c r="S2082" s="78">
        <f>IF(AND(K2082&lt;&gt;"", R2082&lt;&gt;""), R2082-K2082, "")</f>
        <v/>
      </c>
      <c r="T2082" s="78" t="n"/>
      <c r="U2082" s="92">
        <f>IF(ISBLANK(P2082),"",IF(C2082="Buy",Q2082-M2082+T2082, IF(C2082="Sell",M2082-Q2082-T2082, X)))</f>
        <v/>
      </c>
      <c r="V2082" s="81">
        <f>IF(ISBLANK(P2082),"",U2082/N2082)</f>
        <v/>
      </c>
      <c r="W2082" s="81">
        <f>IF(ISBLANK(P2082),"",IF(S2082=0,(365/0.5)*V2082,(365/S2082)*V2082))</f>
        <v/>
      </c>
      <c r="X2082" s="75" t="n"/>
      <c r="Y2082" s="77" t="n"/>
      <c r="Z2082" s="77" t="n"/>
      <c r="AA2082" s="75" t="n"/>
      <c r="AB2082" s="75" t="n"/>
      <c r="AC2082" s="6" t="n"/>
      <c r="AD2082" s="75" t="n"/>
      <c r="AE2082" s="75" t="n"/>
      <c r="AF2082" s="75" t="n"/>
    </row>
    <row r="2083" ht="15.75" customHeight="1" s="133">
      <c r="A2083" s="75" t="n"/>
      <c r="B2083" s="75" t="n"/>
      <c r="C2083" s="75" t="n"/>
      <c r="D2083" s="75" t="n"/>
      <c r="E2083" s="76" t="n"/>
      <c r="F2083" s="77" t="n"/>
      <c r="G2083" s="75" t="n"/>
      <c r="H2083" s="75">
        <f>IF(ISBLANK(E2083),"",IF(OR(D2083="Butterfly",D2083="Butterfly ",D2083="Iron Fly", D2083="Iron Fly "),LEN(E2083)-LEN(SUBSTITUTE(E2083,"/",""))+2,LEN(E2083)-LEN(SUBSTITUTE(E2083,"/",""))+1))</f>
        <v/>
      </c>
      <c r="I2083" s="78">
        <f>IF(ISBLANK(G2083),"",IF(D2083="Stock","0",Key!$A$3*H2083*G2083))</f>
        <v/>
      </c>
      <c r="J2083" s="78">
        <f>IF(ISBLANK(E2083),"",IF(ISNUMBER(SEARCH("/",E2083)), IF(LEN(E2083)-LEN(SUBSTITUTE(E2083,"/",""))=1,(RIGHT(E2083,LEN(E2083)-FIND("/",E2083)))-(LEFT(E2083,FIND("/",E2083)-1)),(MID(E2083, SEARCH("/",E2083) + 1, SEARCH("/",E2083, SEARCH("/",E2083)+1) - SEARCH("/",E2083) - 1))-(LEFT(E2083,FIND("/",E2083)-1))), "NA"))</f>
        <v/>
      </c>
      <c r="K2083" s="79">
        <f>IF(A2083&lt;&gt;"", IF(ISBLANK(L2083), TODAY(), K2083), "")</f>
        <v/>
      </c>
      <c r="L2083" s="78" t="n"/>
      <c r="M2083" s="78">
        <f>IF(ISBLANK(L2083),"",IF(D2083="Stock",IF(C2083="Buy",L2083*G2083,IF(C2083="Sell",(L2083*G2083)-I2083, X)),IF(C2083="Buy",(L2083*G2083*100)+I2083,IF(C2083="Sell",(L2083*G2083*100)-I2083, X))))</f>
        <v/>
      </c>
      <c r="N2083" s="78">
        <f>IF(ISBLANK(L2083),"",IF(AND(C2083="Sell",D2083="Stock"),M2083,IF(ISBLANK(L2083),"",IF(C2083="Buy",M2083, IF(AND(C2083="Sell",J2083="NA"),(E2083*G2083*100*0.1)+I2083, IF(C2083="Sell",(J2083-L2083)*(100*G2083)+I2083))))))</f>
        <v/>
      </c>
      <c r="O2083" s="75" t="n"/>
      <c r="P2083" s="75" t="n"/>
      <c r="Q2083" s="75">
        <f>IF(ISBLANK(P2083),"",IF(D2083="Stock",P2083*G2083,IF(P2083=0,"0",G2083*P2083*100-(G2083*$AF$14))))</f>
        <v/>
      </c>
      <c r="R2083" s="79">
        <f>IF(P2083&lt;&gt;"", TODAY(), "")</f>
        <v/>
      </c>
      <c r="S2083" s="78">
        <f>IF(AND(K2083&lt;&gt;"", R2083&lt;&gt;""), R2083-K2083, "")</f>
        <v/>
      </c>
      <c r="T2083" s="78" t="n"/>
      <c r="U2083" s="92">
        <f>IF(ISBLANK(P2083),"",IF(C2083="Buy",Q2083-M2083+T2083, IF(C2083="Sell",M2083-Q2083-T2083, X)))</f>
        <v/>
      </c>
      <c r="V2083" s="81">
        <f>IF(ISBLANK(P2083),"",U2083/N2083)</f>
        <v/>
      </c>
      <c r="W2083" s="81">
        <f>IF(ISBLANK(P2083),"",IF(S2083=0,(365/0.5)*V2083,(365/S2083)*V2083))</f>
        <v/>
      </c>
      <c r="X2083" s="75" t="n"/>
      <c r="Y2083" s="77" t="n"/>
      <c r="Z2083" s="77" t="n"/>
      <c r="AA2083" s="75" t="n"/>
      <c r="AB2083" s="75" t="n"/>
      <c r="AC2083" s="6" t="n"/>
      <c r="AD2083" s="75" t="n"/>
      <c r="AE2083" s="75" t="n"/>
      <c r="AF2083" s="75" t="n"/>
    </row>
    <row r="2084" ht="15.75" customHeight="1" s="133">
      <c r="A2084" s="75" t="n"/>
      <c r="B2084" s="75" t="n"/>
      <c r="C2084" s="75" t="n"/>
      <c r="D2084" s="75" t="n"/>
      <c r="E2084" s="76" t="n"/>
      <c r="F2084" s="77" t="n"/>
      <c r="G2084" s="75" t="n"/>
      <c r="H2084" s="75">
        <f>IF(ISBLANK(E2084),"",IF(OR(D2084="Butterfly",D2084="Butterfly ",D2084="Iron Fly", D2084="Iron Fly "),LEN(E2084)-LEN(SUBSTITUTE(E2084,"/",""))+2,LEN(E2084)-LEN(SUBSTITUTE(E2084,"/",""))+1))</f>
        <v/>
      </c>
      <c r="I2084" s="78">
        <f>IF(ISBLANK(G2084),"",IF(D2084="Stock","0",Key!$A$3*H2084*G2084))</f>
        <v/>
      </c>
      <c r="J2084" s="78">
        <f>IF(ISBLANK(E2084),"",IF(ISNUMBER(SEARCH("/",E2084)), IF(LEN(E2084)-LEN(SUBSTITUTE(E2084,"/",""))=1,(RIGHT(E2084,LEN(E2084)-FIND("/",E2084)))-(LEFT(E2084,FIND("/",E2084)-1)),(MID(E2084, SEARCH("/",E2084) + 1, SEARCH("/",E2084, SEARCH("/",E2084)+1) - SEARCH("/",E2084) - 1))-(LEFT(E2084,FIND("/",E2084)-1))), "NA"))</f>
        <v/>
      </c>
      <c r="K2084" s="79">
        <f>IF(A2084&lt;&gt;"", IF(ISBLANK(L2084), TODAY(), K2084), "")</f>
        <v/>
      </c>
      <c r="L2084" s="78" t="n"/>
      <c r="M2084" s="78">
        <f>IF(ISBLANK(L2084),"",IF(D2084="Stock",IF(C2084="Buy",L2084*G2084,IF(C2084="Sell",(L2084*G2084)-I2084, X)),IF(C2084="Buy",(L2084*G2084*100)+I2084,IF(C2084="Sell",(L2084*G2084*100)-I2084, X))))</f>
        <v/>
      </c>
      <c r="N2084" s="78">
        <f>IF(ISBLANK(L2084),"",IF(AND(C2084="Sell",D2084="Stock"),M2084,IF(ISBLANK(L2084),"",IF(C2084="Buy",M2084, IF(AND(C2084="Sell",J2084="NA"),(E2084*G2084*100*0.1)+I2084, IF(C2084="Sell",(J2084-L2084)*(100*G2084)+I2084))))))</f>
        <v/>
      </c>
      <c r="O2084" s="75" t="n"/>
      <c r="P2084" s="75" t="n"/>
      <c r="Q2084" s="75">
        <f>IF(ISBLANK(P2084),"",IF(D2084="Stock",P2084*G2084,IF(P2084=0,"0",G2084*P2084*100-(G2084*$AF$14))))</f>
        <v/>
      </c>
      <c r="R2084" s="79">
        <f>IF(P2084&lt;&gt;"", TODAY(), "")</f>
        <v/>
      </c>
      <c r="S2084" s="78">
        <f>IF(AND(K2084&lt;&gt;"", R2084&lt;&gt;""), R2084-K2084, "")</f>
        <v/>
      </c>
      <c r="T2084" s="78" t="n"/>
      <c r="U2084" s="92">
        <f>IF(ISBLANK(P2084),"",IF(C2084="Buy",Q2084-M2084+T2084, IF(C2084="Sell",M2084-Q2084-T2084, X)))</f>
        <v/>
      </c>
      <c r="V2084" s="81">
        <f>IF(ISBLANK(P2084),"",U2084/N2084)</f>
        <v/>
      </c>
      <c r="W2084" s="81">
        <f>IF(ISBLANK(P2084),"",IF(S2084=0,(365/0.5)*V2084,(365/S2084)*V2084))</f>
        <v/>
      </c>
      <c r="X2084" s="75" t="n"/>
      <c r="Y2084" s="77" t="n"/>
      <c r="Z2084" s="77" t="n"/>
      <c r="AA2084" s="75" t="n"/>
      <c r="AB2084" s="75" t="n"/>
      <c r="AC2084" s="6" t="n"/>
      <c r="AD2084" s="75" t="n"/>
      <c r="AE2084" s="75" t="n"/>
      <c r="AF2084" s="75" t="n"/>
    </row>
    <row r="2085" ht="15.75" customHeight="1" s="133">
      <c r="A2085" s="75" t="n"/>
      <c r="B2085" s="75" t="n"/>
      <c r="C2085" s="75" t="n"/>
      <c r="D2085" s="75" t="n"/>
      <c r="E2085" s="76" t="n"/>
      <c r="F2085" s="77" t="n"/>
      <c r="G2085" s="75" t="n"/>
      <c r="H2085" s="75">
        <f>IF(ISBLANK(E2085),"",IF(OR(D2085="Butterfly",D2085="Butterfly ",D2085="Iron Fly", D2085="Iron Fly "),LEN(E2085)-LEN(SUBSTITUTE(E2085,"/",""))+2,LEN(E2085)-LEN(SUBSTITUTE(E2085,"/",""))+1))</f>
        <v/>
      </c>
      <c r="I2085" s="78">
        <f>IF(ISBLANK(G2085),"",IF(D2085="Stock","0",Key!$A$3*H2085*G2085))</f>
        <v/>
      </c>
      <c r="J2085" s="78">
        <f>IF(ISBLANK(E2085),"",IF(ISNUMBER(SEARCH("/",E2085)), IF(LEN(E2085)-LEN(SUBSTITUTE(E2085,"/",""))=1,(RIGHT(E2085,LEN(E2085)-FIND("/",E2085)))-(LEFT(E2085,FIND("/",E2085)-1)),(MID(E2085, SEARCH("/",E2085) + 1, SEARCH("/",E2085, SEARCH("/",E2085)+1) - SEARCH("/",E2085) - 1))-(LEFT(E2085,FIND("/",E2085)-1))), "NA"))</f>
        <v/>
      </c>
      <c r="K2085" s="79">
        <f>IF(A2085&lt;&gt;"", IF(ISBLANK(L2085), TODAY(), K2085), "")</f>
        <v/>
      </c>
      <c r="L2085" s="78" t="n"/>
      <c r="M2085" s="78">
        <f>IF(ISBLANK(L2085),"",IF(D2085="Stock",IF(C2085="Buy",L2085*G2085,IF(C2085="Sell",(L2085*G2085)-I2085, X)),IF(C2085="Buy",(L2085*G2085*100)+I2085,IF(C2085="Sell",(L2085*G2085*100)-I2085, X))))</f>
        <v/>
      </c>
      <c r="N2085" s="78">
        <f>IF(ISBLANK(L2085),"",IF(AND(C2085="Sell",D2085="Stock"),M2085,IF(ISBLANK(L2085),"",IF(C2085="Buy",M2085, IF(AND(C2085="Sell",J2085="NA"),(E2085*G2085*100*0.1)+I2085, IF(C2085="Sell",(J2085-L2085)*(100*G2085)+I2085))))))</f>
        <v/>
      </c>
      <c r="O2085" s="75" t="n"/>
      <c r="P2085" s="75" t="n"/>
      <c r="Q2085" s="75">
        <f>IF(ISBLANK(P2085),"",IF(D2085="Stock",P2085*G2085,IF(P2085=0,"0",G2085*P2085*100-(G2085*$AF$14))))</f>
        <v/>
      </c>
      <c r="R2085" s="79">
        <f>IF(P2085&lt;&gt;"", TODAY(), "")</f>
        <v/>
      </c>
      <c r="S2085" s="78">
        <f>IF(AND(K2085&lt;&gt;"", R2085&lt;&gt;""), R2085-K2085, "")</f>
        <v/>
      </c>
      <c r="T2085" s="78" t="n"/>
      <c r="U2085" s="92">
        <f>IF(ISBLANK(P2085),"",IF(C2085="Buy",Q2085-M2085+T2085, IF(C2085="Sell",M2085-Q2085-T2085, X)))</f>
        <v/>
      </c>
      <c r="V2085" s="81">
        <f>IF(ISBLANK(P2085),"",U2085/N2085)</f>
        <v/>
      </c>
      <c r="W2085" s="81">
        <f>IF(ISBLANK(P2085),"",IF(S2085=0,(365/0.5)*V2085,(365/S2085)*V2085))</f>
        <v/>
      </c>
      <c r="X2085" s="75" t="n"/>
      <c r="Y2085" s="77" t="n"/>
      <c r="Z2085" s="77" t="n"/>
      <c r="AA2085" s="75" t="n"/>
      <c r="AB2085" s="75" t="n"/>
      <c r="AC2085" s="6" t="n"/>
      <c r="AD2085" s="75" t="n"/>
      <c r="AE2085" s="75" t="n"/>
      <c r="AF2085" s="75" t="n"/>
    </row>
    <row r="2086" ht="15.75" customHeight="1" s="133">
      <c r="A2086" s="75" t="n"/>
      <c r="B2086" s="75" t="n"/>
      <c r="C2086" s="75" t="n"/>
      <c r="D2086" s="75" t="n"/>
      <c r="E2086" s="76" t="n"/>
      <c r="F2086" s="77" t="n"/>
      <c r="G2086" s="75" t="n"/>
      <c r="H2086" s="75">
        <f>IF(ISBLANK(E2086),"",IF(OR(D2086="Butterfly",D2086="Butterfly ",D2086="Iron Fly", D2086="Iron Fly "),LEN(E2086)-LEN(SUBSTITUTE(E2086,"/",""))+2,LEN(E2086)-LEN(SUBSTITUTE(E2086,"/",""))+1))</f>
        <v/>
      </c>
      <c r="I2086" s="78">
        <f>IF(ISBLANK(G2086),"",IF(D2086="Stock","0",Key!$A$3*H2086*G2086))</f>
        <v/>
      </c>
      <c r="J2086" s="78">
        <f>IF(ISBLANK(E2086),"",IF(ISNUMBER(SEARCH("/",E2086)), IF(LEN(E2086)-LEN(SUBSTITUTE(E2086,"/",""))=1,(RIGHT(E2086,LEN(E2086)-FIND("/",E2086)))-(LEFT(E2086,FIND("/",E2086)-1)),(MID(E2086, SEARCH("/",E2086) + 1, SEARCH("/",E2086, SEARCH("/",E2086)+1) - SEARCH("/",E2086) - 1))-(LEFT(E2086,FIND("/",E2086)-1))), "NA"))</f>
        <v/>
      </c>
      <c r="K2086" s="79">
        <f>IF(A2086&lt;&gt;"", IF(ISBLANK(L2086), TODAY(), K2086), "")</f>
        <v/>
      </c>
      <c r="L2086" s="78" t="n"/>
      <c r="M2086" s="78">
        <f>IF(ISBLANK(L2086),"",IF(D2086="Stock",IF(C2086="Buy",L2086*G2086,IF(C2086="Sell",(L2086*G2086)-I2086, X)),IF(C2086="Buy",(L2086*G2086*100)+I2086,IF(C2086="Sell",(L2086*G2086*100)-I2086, X))))</f>
        <v/>
      </c>
      <c r="N2086" s="78">
        <f>IF(ISBLANK(L2086),"",IF(AND(C2086="Sell",D2086="Stock"),M2086,IF(ISBLANK(L2086),"",IF(C2086="Buy",M2086, IF(AND(C2086="Sell",J2086="NA"),(E2086*G2086*100*0.1)+I2086, IF(C2086="Sell",(J2086-L2086)*(100*G2086)+I2086))))))</f>
        <v/>
      </c>
      <c r="O2086" s="75" t="n"/>
      <c r="P2086" s="75" t="n"/>
      <c r="Q2086" s="75">
        <f>IF(ISBLANK(P2086),"",IF(D2086="Stock",P2086*G2086,IF(P2086=0,"0",G2086*P2086*100-(G2086*$AF$14))))</f>
        <v/>
      </c>
      <c r="R2086" s="79">
        <f>IF(P2086&lt;&gt;"", TODAY(), "")</f>
        <v/>
      </c>
      <c r="S2086" s="78">
        <f>IF(AND(K2086&lt;&gt;"", R2086&lt;&gt;""), R2086-K2086, "")</f>
        <v/>
      </c>
      <c r="T2086" s="78" t="n"/>
      <c r="U2086" s="92">
        <f>IF(ISBLANK(P2086),"",IF(C2086="Buy",Q2086-M2086+T2086, IF(C2086="Sell",M2086-Q2086-T2086, X)))</f>
        <v/>
      </c>
      <c r="V2086" s="81">
        <f>IF(ISBLANK(P2086),"",U2086/N2086)</f>
        <v/>
      </c>
      <c r="W2086" s="81">
        <f>IF(ISBLANK(P2086),"",IF(S2086=0,(365/0.5)*V2086,(365/S2086)*V2086))</f>
        <v/>
      </c>
      <c r="X2086" s="75" t="n"/>
      <c r="Y2086" s="77" t="n"/>
      <c r="Z2086" s="77" t="n"/>
      <c r="AA2086" s="75" t="n"/>
      <c r="AB2086" s="75" t="n"/>
      <c r="AC2086" s="6" t="n"/>
      <c r="AD2086" s="75" t="n"/>
      <c r="AE2086" s="75" t="n"/>
      <c r="AF2086" s="75" t="n"/>
    </row>
    <row r="2087" ht="15.75" customHeight="1" s="133">
      <c r="A2087" s="75" t="n"/>
      <c r="B2087" s="75" t="n"/>
      <c r="C2087" s="75" t="n"/>
      <c r="D2087" s="75" t="n"/>
      <c r="E2087" s="76" t="n"/>
      <c r="F2087" s="77" t="n"/>
      <c r="G2087" s="75" t="n"/>
      <c r="H2087" s="75">
        <f>IF(ISBLANK(E2087),"",IF(OR(D2087="Butterfly",D2087="Butterfly ",D2087="Iron Fly", D2087="Iron Fly "),LEN(E2087)-LEN(SUBSTITUTE(E2087,"/",""))+2,LEN(E2087)-LEN(SUBSTITUTE(E2087,"/",""))+1))</f>
        <v/>
      </c>
      <c r="I2087" s="78">
        <f>IF(ISBLANK(G2087),"",IF(D2087="Stock","0",Key!$A$3*H2087*G2087))</f>
        <v/>
      </c>
      <c r="J2087" s="78">
        <f>IF(ISBLANK(E2087),"",IF(ISNUMBER(SEARCH("/",E2087)), IF(LEN(E2087)-LEN(SUBSTITUTE(E2087,"/",""))=1,(RIGHT(E2087,LEN(E2087)-FIND("/",E2087)))-(LEFT(E2087,FIND("/",E2087)-1)),(MID(E2087, SEARCH("/",E2087) + 1, SEARCH("/",E2087, SEARCH("/",E2087)+1) - SEARCH("/",E2087) - 1))-(LEFT(E2087,FIND("/",E2087)-1))), "NA"))</f>
        <v/>
      </c>
      <c r="K2087" s="79">
        <f>IF(A2087&lt;&gt;"", IF(ISBLANK(L2087), TODAY(), K2087), "")</f>
        <v/>
      </c>
      <c r="L2087" s="78" t="n"/>
      <c r="M2087" s="78">
        <f>IF(ISBLANK(L2087),"",IF(D2087="Stock",IF(C2087="Buy",L2087*G2087,IF(C2087="Sell",(L2087*G2087)-I2087, X)),IF(C2087="Buy",(L2087*G2087*100)+I2087,IF(C2087="Sell",(L2087*G2087*100)-I2087, X))))</f>
        <v/>
      </c>
      <c r="N2087" s="78">
        <f>IF(ISBLANK(L2087),"",IF(AND(C2087="Sell",D2087="Stock"),M2087,IF(ISBLANK(L2087),"",IF(C2087="Buy",M2087, IF(AND(C2087="Sell",J2087="NA"),(E2087*G2087*100*0.1)+I2087, IF(C2087="Sell",(J2087-L2087)*(100*G2087)+I2087))))))</f>
        <v/>
      </c>
      <c r="O2087" s="75" t="n"/>
      <c r="P2087" s="75" t="n"/>
      <c r="Q2087" s="75">
        <f>IF(ISBLANK(P2087),"",IF(D2087="Stock",P2087*G2087,IF(P2087=0,"0",G2087*P2087*100-(G2087*$AF$14))))</f>
        <v/>
      </c>
      <c r="R2087" s="79">
        <f>IF(P2087&lt;&gt;"", TODAY(), "")</f>
        <v/>
      </c>
      <c r="S2087" s="78">
        <f>IF(AND(K2087&lt;&gt;"", R2087&lt;&gt;""), R2087-K2087, "")</f>
        <v/>
      </c>
      <c r="T2087" s="78" t="n"/>
      <c r="U2087" s="92">
        <f>IF(ISBLANK(P2087),"",IF(C2087="Buy",Q2087-M2087+T2087, IF(C2087="Sell",M2087-Q2087-T2087, X)))</f>
        <v/>
      </c>
      <c r="V2087" s="81">
        <f>IF(ISBLANK(P2087),"",U2087/N2087)</f>
        <v/>
      </c>
      <c r="W2087" s="81">
        <f>IF(ISBLANK(P2087),"",IF(S2087=0,(365/0.5)*V2087,(365/S2087)*V2087))</f>
        <v/>
      </c>
      <c r="X2087" s="75" t="n"/>
      <c r="Y2087" s="77" t="n"/>
      <c r="Z2087" s="77" t="n"/>
      <c r="AA2087" s="75" t="n"/>
      <c r="AB2087" s="75" t="n"/>
      <c r="AC2087" s="6" t="n"/>
      <c r="AD2087" s="75" t="n"/>
      <c r="AE2087" s="75" t="n"/>
      <c r="AF2087" s="75" t="n"/>
    </row>
    <row r="2088" ht="15.75" customHeight="1" s="133">
      <c r="A2088" s="75" t="n"/>
      <c r="B2088" s="75" t="n"/>
      <c r="C2088" s="75" t="n"/>
      <c r="D2088" s="75" t="n"/>
      <c r="E2088" s="76" t="n"/>
      <c r="F2088" s="77" t="n"/>
      <c r="G2088" s="75" t="n"/>
      <c r="H2088" s="75">
        <f>IF(ISBLANK(E2088),"",IF(OR(D2088="Butterfly",D2088="Butterfly ",D2088="Iron Fly", D2088="Iron Fly "),LEN(E2088)-LEN(SUBSTITUTE(E2088,"/",""))+2,LEN(E2088)-LEN(SUBSTITUTE(E2088,"/",""))+1))</f>
        <v/>
      </c>
      <c r="I2088" s="78">
        <f>IF(ISBLANK(G2088),"",IF(D2088="Stock","0",Key!$A$3*H2088*G2088))</f>
        <v/>
      </c>
      <c r="J2088" s="78">
        <f>IF(ISBLANK(E2088),"",IF(ISNUMBER(SEARCH("/",E2088)), IF(LEN(E2088)-LEN(SUBSTITUTE(E2088,"/",""))=1,(RIGHT(E2088,LEN(E2088)-FIND("/",E2088)))-(LEFT(E2088,FIND("/",E2088)-1)),(MID(E2088, SEARCH("/",E2088) + 1, SEARCH("/",E2088, SEARCH("/",E2088)+1) - SEARCH("/",E2088) - 1))-(LEFT(E2088,FIND("/",E2088)-1))), "NA"))</f>
        <v/>
      </c>
      <c r="K2088" s="79">
        <f>IF(A2088&lt;&gt;"", IF(ISBLANK(L2088), TODAY(), K2088), "")</f>
        <v/>
      </c>
      <c r="L2088" s="78" t="n"/>
      <c r="M2088" s="78">
        <f>IF(ISBLANK(L2088),"",IF(D2088="Stock",IF(C2088="Buy",L2088*G2088,IF(C2088="Sell",(L2088*G2088)-I2088, X)),IF(C2088="Buy",(L2088*G2088*100)+I2088,IF(C2088="Sell",(L2088*G2088*100)-I2088, X))))</f>
        <v/>
      </c>
      <c r="N2088" s="78">
        <f>IF(ISBLANK(L2088),"",IF(AND(C2088="Sell",D2088="Stock"),M2088,IF(ISBLANK(L2088),"",IF(C2088="Buy",M2088, IF(AND(C2088="Sell",J2088="NA"),(E2088*G2088*100*0.1)+I2088, IF(C2088="Sell",(J2088-L2088)*(100*G2088)+I2088))))))</f>
        <v/>
      </c>
      <c r="O2088" s="75" t="n"/>
      <c r="P2088" s="75" t="n"/>
      <c r="Q2088" s="75">
        <f>IF(ISBLANK(P2088),"",IF(D2088="Stock",P2088*G2088,IF(P2088=0,"0",G2088*P2088*100-(G2088*$AF$14))))</f>
        <v/>
      </c>
      <c r="R2088" s="79">
        <f>IF(P2088&lt;&gt;"", TODAY(), "")</f>
        <v/>
      </c>
      <c r="S2088" s="78">
        <f>IF(AND(K2088&lt;&gt;"", R2088&lt;&gt;""), R2088-K2088, "")</f>
        <v/>
      </c>
      <c r="T2088" s="78" t="n"/>
      <c r="U2088" s="92">
        <f>IF(ISBLANK(P2088),"",IF(C2088="Buy",Q2088-M2088+T2088, IF(C2088="Sell",M2088-Q2088-T2088, X)))</f>
        <v/>
      </c>
      <c r="V2088" s="81">
        <f>IF(ISBLANK(P2088),"",U2088/N2088)</f>
        <v/>
      </c>
      <c r="W2088" s="81">
        <f>IF(ISBLANK(P2088),"",IF(S2088=0,(365/0.5)*V2088,(365/S2088)*V2088))</f>
        <v/>
      </c>
      <c r="X2088" s="75" t="n"/>
      <c r="Y2088" s="77" t="n"/>
      <c r="Z2088" s="77" t="n"/>
      <c r="AA2088" s="75" t="n"/>
      <c r="AB2088" s="75" t="n"/>
      <c r="AC2088" s="6" t="n"/>
      <c r="AD2088" s="75" t="n"/>
      <c r="AE2088" s="75" t="n"/>
      <c r="AF2088" s="75" t="n"/>
    </row>
    <row r="2089" ht="15.75" customHeight="1" s="133">
      <c r="A2089" s="75" t="n"/>
      <c r="B2089" s="75" t="n"/>
      <c r="C2089" s="75" t="n"/>
      <c r="D2089" s="75" t="n"/>
      <c r="E2089" s="76" t="n"/>
      <c r="F2089" s="77" t="n"/>
      <c r="G2089" s="75" t="n"/>
      <c r="H2089" s="75">
        <f>IF(ISBLANK(E2089),"",IF(OR(D2089="Butterfly",D2089="Butterfly ",D2089="Iron Fly", D2089="Iron Fly "),LEN(E2089)-LEN(SUBSTITUTE(E2089,"/",""))+2,LEN(E2089)-LEN(SUBSTITUTE(E2089,"/",""))+1))</f>
        <v/>
      </c>
      <c r="I2089" s="78">
        <f>IF(ISBLANK(G2089),"",IF(D2089="Stock","0",Key!$A$3*H2089*G2089))</f>
        <v/>
      </c>
      <c r="J2089" s="78">
        <f>IF(ISBLANK(E2089),"",IF(ISNUMBER(SEARCH("/",E2089)), IF(LEN(E2089)-LEN(SUBSTITUTE(E2089,"/",""))=1,(RIGHT(E2089,LEN(E2089)-FIND("/",E2089)))-(LEFT(E2089,FIND("/",E2089)-1)),(MID(E2089, SEARCH("/",E2089) + 1, SEARCH("/",E2089, SEARCH("/",E2089)+1) - SEARCH("/",E2089) - 1))-(LEFT(E2089,FIND("/",E2089)-1))), "NA"))</f>
        <v/>
      </c>
      <c r="K2089" s="79">
        <f>IF(A2089&lt;&gt;"", IF(ISBLANK(L2089), TODAY(), K2089), "")</f>
        <v/>
      </c>
      <c r="L2089" s="78" t="n"/>
      <c r="M2089" s="78">
        <f>IF(ISBLANK(L2089),"",IF(D2089="Stock",IF(C2089="Buy",L2089*G2089,IF(C2089="Sell",(L2089*G2089)-I2089, X)),IF(C2089="Buy",(L2089*G2089*100)+I2089,IF(C2089="Sell",(L2089*G2089*100)-I2089, X))))</f>
        <v/>
      </c>
      <c r="N2089" s="78">
        <f>IF(ISBLANK(L2089),"",IF(AND(C2089="Sell",D2089="Stock"),M2089,IF(ISBLANK(L2089),"",IF(C2089="Buy",M2089, IF(AND(C2089="Sell",J2089="NA"),(E2089*G2089*100*0.1)+I2089, IF(C2089="Sell",(J2089-L2089)*(100*G2089)+I2089))))))</f>
        <v/>
      </c>
      <c r="O2089" s="75" t="n"/>
      <c r="P2089" s="75" t="n"/>
      <c r="Q2089" s="75">
        <f>IF(ISBLANK(P2089),"",IF(D2089="Stock",P2089*G2089,IF(P2089=0,"0",G2089*P2089*100-(G2089*$AF$14))))</f>
        <v/>
      </c>
      <c r="R2089" s="79">
        <f>IF(P2089&lt;&gt;"", TODAY(), "")</f>
        <v/>
      </c>
      <c r="S2089" s="78">
        <f>IF(AND(K2089&lt;&gt;"", R2089&lt;&gt;""), R2089-K2089, "")</f>
        <v/>
      </c>
      <c r="T2089" s="78" t="n"/>
      <c r="U2089" s="92">
        <f>IF(ISBLANK(P2089),"",IF(C2089="Buy",Q2089-M2089+T2089, IF(C2089="Sell",M2089-Q2089-T2089, X)))</f>
        <v/>
      </c>
      <c r="V2089" s="81">
        <f>IF(ISBLANK(P2089),"",U2089/N2089)</f>
        <v/>
      </c>
      <c r="W2089" s="81">
        <f>IF(ISBLANK(P2089),"",IF(S2089=0,(365/0.5)*V2089,(365/S2089)*V2089))</f>
        <v/>
      </c>
      <c r="X2089" s="75" t="n"/>
      <c r="Y2089" s="77" t="n"/>
      <c r="Z2089" s="77" t="n"/>
      <c r="AA2089" s="75" t="n"/>
      <c r="AB2089" s="75" t="n"/>
      <c r="AC2089" s="6" t="n"/>
      <c r="AD2089" s="75" t="n"/>
      <c r="AE2089" s="75" t="n"/>
      <c r="AF2089" s="75" t="n"/>
    </row>
    <row r="2090" ht="15.75" customHeight="1" s="133">
      <c r="A2090" s="75" t="n"/>
      <c r="B2090" s="75" t="n"/>
      <c r="C2090" s="75" t="n"/>
      <c r="D2090" s="75" t="n"/>
      <c r="E2090" s="76" t="n"/>
      <c r="F2090" s="77" t="n"/>
      <c r="G2090" s="75" t="n"/>
      <c r="H2090" s="75">
        <f>IF(ISBLANK(E2090),"",IF(OR(D2090="Butterfly",D2090="Butterfly ",D2090="Iron Fly", D2090="Iron Fly "),LEN(E2090)-LEN(SUBSTITUTE(E2090,"/",""))+2,LEN(E2090)-LEN(SUBSTITUTE(E2090,"/",""))+1))</f>
        <v/>
      </c>
      <c r="I2090" s="78">
        <f>IF(ISBLANK(G2090),"",IF(D2090="Stock","0",Key!$A$3*H2090*G2090))</f>
        <v/>
      </c>
      <c r="J2090" s="78">
        <f>IF(ISBLANK(E2090),"",IF(ISNUMBER(SEARCH("/",E2090)), IF(LEN(E2090)-LEN(SUBSTITUTE(E2090,"/",""))=1,(RIGHT(E2090,LEN(E2090)-FIND("/",E2090)))-(LEFT(E2090,FIND("/",E2090)-1)),(MID(E2090, SEARCH("/",E2090) + 1, SEARCH("/",E2090, SEARCH("/",E2090)+1) - SEARCH("/",E2090) - 1))-(LEFT(E2090,FIND("/",E2090)-1))), "NA"))</f>
        <v/>
      </c>
      <c r="K2090" s="79">
        <f>IF(A2090&lt;&gt;"", IF(ISBLANK(L2090), TODAY(), K2090), "")</f>
        <v/>
      </c>
      <c r="L2090" s="78" t="n"/>
      <c r="M2090" s="78">
        <f>IF(ISBLANK(L2090),"",IF(D2090="Stock",IF(C2090="Buy",L2090*G2090,IF(C2090="Sell",(L2090*G2090)-I2090, X)),IF(C2090="Buy",(L2090*G2090*100)+I2090,IF(C2090="Sell",(L2090*G2090*100)-I2090, X))))</f>
        <v/>
      </c>
      <c r="N2090" s="78">
        <f>IF(ISBLANK(L2090),"",IF(AND(C2090="Sell",D2090="Stock"),M2090,IF(ISBLANK(L2090),"",IF(C2090="Buy",M2090, IF(AND(C2090="Sell",J2090="NA"),(E2090*G2090*100*0.1)+I2090, IF(C2090="Sell",(J2090-L2090)*(100*G2090)+I2090))))))</f>
        <v/>
      </c>
      <c r="O2090" s="75" t="n"/>
      <c r="P2090" s="75" t="n"/>
      <c r="Q2090" s="75">
        <f>IF(ISBLANK(P2090),"",IF(D2090="Stock",P2090*G2090,IF(P2090=0,"0",G2090*P2090*100-(G2090*$AF$14))))</f>
        <v/>
      </c>
      <c r="R2090" s="79">
        <f>IF(P2090&lt;&gt;"", TODAY(), "")</f>
        <v/>
      </c>
      <c r="S2090" s="78">
        <f>IF(AND(K2090&lt;&gt;"", R2090&lt;&gt;""), R2090-K2090, "")</f>
        <v/>
      </c>
      <c r="T2090" s="78" t="n"/>
      <c r="U2090" s="92">
        <f>IF(ISBLANK(P2090),"",IF(C2090="Buy",Q2090-M2090+T2090, IF(C2090="Sell",M2090-Q2090-T2090, X)))</f>
        <v/>
      </c>
      <c r="V2090" s="81">
        <f>IF(ISBLANK(P2090),"",U2090/N2090)</f>
        <v/>
      </c>
      <c r="W2090" s="81">
        <f>IF(ISBLANK(P2090),"",IF(S2090=0,(365/0.5)*V2090,(365/S2090)*V2090))</f>
        <v/>
      </c>
      <c r="X2090" s="75" t="n"/>
      <c r="Y2090" s="77" t="n"/>
      <c r="Z2090" s="77" t="n"/>
      <c r="AA2090" s="75" t="n"/>
      <c r="AB2090" s="75" t="n"/>
      <c r="AC2090" s="6" t="n"/>
      <c r="AD2090" s="75" t="n"/>
      <c r="AE2090" s="75" t="n"/>
      <c r="AF2090" s="75" t="n"/>
    </row>
    <row r="2091" ht="15.75" customHeight="1" s="133">
      <c r="A2091" s="75" t="n"/>
      <c r="B2091" s="75" t="n"/>
      <c r="C2091" s="75" t="n"/>
      <c r="D2091" s="75" t="n"/>
      <c r="E2091" s="76" t="n"/>
      <c r="F2091" s="77" t="n"/>
      <c r="G2091" s="75" t="n"/>
      <c r="H2091" s="75">
        <f>IF(ISBLANK(E2091),"",IF(OR(D2091="Butterfly",D2091="Butterfly ",D2091="Iron Fly", D2091="Iron Fly "),LEN(E2091)-LEN(SUBSTITUTE(E2091,"/",""))+2,LEN(E2091)-LEN(SUBSTITUTE(E2091,"/",""))+1))</f>
        <v/>
      </c>
      <c r="I2091" s="78">
        <f>IF(ISBLANK(G2091),"",IF(D2091="Stock","0",Key!$A$3*H2091*G2091))</f>
        <v/>
      </c>
      <c r="J2091" s="78">
        <f>IF(ISBLANK(E2091),"",IF(ISNUMBER(SEARCH("/",E2091)), IF(LEN(E2091)-LEN(SUBSTITUTE(E2091,"/",""))=1,(RIGHT(E2091,LEN(E2091)-FIND("/",E2091)))-(LEFT(E2091,FIND("/",E2091)-1)),(MID(E2091, SEARCH("/",E2091) + 1, SEARCH("/",E2091, SEARCH("/",E2091)+1) - SEARCH("/",E2091) - 1))-(LEFT(E2091,FIND("/",E2091)-1))), "NA"))</f>
        <v/>
      </c>
      <c r="K2091" s="79">
        <f>IF(A2091&lt;&gt;"", IF(ISBLANK(L2091), TODAY(), K2091), "")</f>
        <v/>
      </c>
      <c r="L2091" s="78" t="n"/>
      <c r="M2091" s="78">
        <f>IF(ISBLANK(L2091),"",IF(D2091="Stock",IF(C2091="Buy",L2091*G2091,IF(C2091="Sell",(L2091*G2091)-I2091, X)),IF(C2091="Buy",(L2091*G2091*100)+I2091,IF(C2091="Sell",(L2091*G2091*100)-I2091, X))))</f>
        <v/>
      </c>
      <c r="N2091" s="78">
        <f>IF(ISBLANK(L2091),"",IF(AND(C2091="Sell",D2091="Stock"),M2091,IF(ISBLANK(L2091),"",IF(C2091="Buy",M2091, IF(AND(C2091="Sell",J2091="NA"),(E2091*G2091*100*0.1)+I2091, IF(C2091="Sell",(J2091-L2091)*(100*G2091)+I2091))))))</f>
        <v/>
      </c>
      <c r="O2091" s="75" t="n"/>
      <c r="P2091" s="75" t="n"/>
      <c r="Q2091" s="75">
        <f>IF(ISBLANK(P2091),"",IF(D2091="Stock",P2091*G2091,IF(P2091=0,"0",G2091*P2091*100-(G2091*$AF$14))))</f>
        <v/>
      </c>
      <c r="R2091" s="79">
        <f>IF(P2091&lt;&gt;"", TODAY(), "")</f>
        <v/>
      </c>
      <c r="S2091" s="78">
        <f>IF(AND(K2091&lt;&gt;"", R2091&lt;&gt;""), R2091-K2091, "")</f>
        <v/>
      </c>
      <c r="T2091" s="78" t="n"/>
      <c r="U2091" s="92">
        <f>IF(ISBLANK(P2091),"",IF(C2091="Buy",Q2091-M2091+T2091, IF(C2091="Sell",M2091-Q2091-T2091, X)))</f>
        <v/>
      </c>
      <c r="V2091" s="81">
        <f>IF(ISBLANK(P2091),"",U2091/N2091)</f>
        <v/>
      </c>
      <c r="W2091" s="81">
        <f>IF(ISBLANK(P2091),"",IF(S2091=0,(365/0.5)*V2091,(365/S2091)*V2091))</f>
        <v/>
      </c>
      <c r="X2091" s="75" t="n"/>
      <c r="Y2091" s="77" t="n"/>
      <c r="Z2091" s="77" t="n"/>
      <c r="AA2091" s="75" t="n"/>
      <c r="AB2091" s="75" t="n"/>
      <c r="AC2091" s="6" t="n"/>
      <c r="AD2091" s="75" t="n"/>
      <c r="AE2091" s="75" t="n"/>
      <c r="AF2091" s="75" t="n"/>
    </row>
    <row r="2092" ht="15.75" customHeight="1" s="133">
      <c r="A2092" s="75" t="n"/>
      <c r="B2092" s="75" t="n"/>
      <c r="C2092" s="75" t="n"/>
      <c r="D2092" s="75" t="n"/>
      <c r="E2092" s="76" t="n"/>
      <c r="F2092" s="77" t="n"/>
      <c r="G2092" s="75" t="n"/>
      <c r="H2092" s="75">
        <f>IF(ISBLANK(E2092),"",IF(OR(D2092="Butterfly",D2092="Butterfly ",D2092="Iron Fly", D2092="Iron Fly "),LEN(E2092)-LEN(SUBSTITUTE(E2092,"/",""))+2,LEN(E2092)-LEN(SUBSTITUTE(E2092,"/",""))+1))</f>
        <v/>
      </c>
      <c r="I2092" s="78">
        <f>IF(ISBLANK(G2092),"",IF(D2092="Stock","0",Key!$A$3*H2092*G2092))</f>
        <v/>
      </c>
      <c r="J2092" s="78">
        <f>IF(ISBLANK(E2092),"",IF(ISNUMBER(SEARCH("/",E2092)), IF(LEN(E2092)-LEN(SUBSTITUTE(E2092,"/",""))=1,(RIGHT(E2092,LEN(E2092)-FIND("/",E2092)))-(LEFT(E2092,FIND("/",E2092)-1)),(MID(E2092, SEARCH("/",E2092) + 1, SEARCH("/",E2092, SEARCH("/",E2092)+1) - SEARCH("/",E2092) - 1))-(LEFT(E2092,FIND("/",E2092)-1))), "NA"))</f>
        <v/>
      </c>
      <c r="K2092" s="79">
        <f>IF(A2092&lt;&gt;"", IF(ISBLANK(L2092), TODAY(), K2092), "")</f>
        <v/>
      </c>
      <c r="L2092" s="78" t="n"/>
      <c r="M2092" s="78">
        <f>IF(ISBLANK(L2092),"",IF(D2092="Stock",IF(C2092="Buy",L2092*G2092,IF(C2092="Sell",(L2092*G2092)-I2092, X)),IF(C2092="Buy",(L2092*G2092*100)+I2092,IF(C2092="Sell",(L2092*G2092*100)-I2092, X))))</f>
        <v/>
      </c>
      <c r="N2092" s="78">
        <f>IF(ISBLANK(L2092),"",IF(AND(C2092="Sell",D2092="Stock"),M2092,IF(ISBLANK(L2092),"",IF(C2092="Buy",M2092, IF(AND(C2092="Sell",J2092="NA"),(E2092*G2092*100*0.1)+I2092, IF(C2092="Sell",(J2092-L2092)*(100*G2092)+I2092))))))</f>
        <v/>
      </c>
      <c r="O2092" s="75" t="n"/>
      <c r="P2092" s="75" t="n"/>
      <c r="Q2092" s="75">
        <f>IF(ISBLANK(P2092),"",IF(D2092="Stock",P2092*G2092,IF(P2092=0,"0",G2092*P2092*100-(G2092*$AF$14))))</f>
        <v/>
      </c>
      <c r="R2092" s="79">
        <f>IF(P2092&lt;&gt;"", TODAY(), "")</f>
        <v/>
      </c>
      <c r="S2092" s="78">
        <f>IF(AND(K2092&lt;&gt;"", R2092&lt;&gt;""), R2092-K2092, "")</f>
        <v/>
      </c>
      <c r="T2092" s="78" t="n"/>
      <c r="U2092" s="92">
        <f>IF(ISBLANK(P2092),"",IF(C2092="Buy",Q2092-M2092+T2092, IF(C2092="Sell",M2092-Q2092-T2092, X)))</f>
        <v/>
      </c>
      <c r="V2092" s="81">
        <f>IF(ISBLANK(P2092),"",U2092/N2092)</f>
        <v/>
      </c>
      <c r="W2092" s="81">
        <f>IF(ISBLANK(P2092),"",IF(S2092=0,(365/0.5)*V2092,(365/S2092)*V2092))</f>
        <v/>
      </c>
      <c r="X2092" s="75" t="n"/>
      <c r="Y2092" s="77" t="n"/>
      <c r="Z2092" s="77" t="n"/>
      <c r="AA2092" s="75" t="n"/>
      <c r="AB2092" s="75" t="n"/>
      <c r="AC2092" s="6" t="n"/>
      <c r="AD2092" s="75" t="n"/>
      <c r="AE2092" s="75" t="n"/>
      <c r="AF2092" s="75" t="n"/>
    </row>
    <row r="2093" ht="15.75" customHeight="1" s="133">
      <c r="A2093" s="75" t="n"/>
      <c r="B2093" s="75" t="n"/>
      <c r="C2093" s="75" t="n"/>
      <c r="D2093" s="75" t="n"/>
      <c r="E2093" s="76" t="n"/>
      <c r="F2093" s="77" t="n"/>
      <c r="G2093" s="75" t="n"/>
      <c r="H2093" s="75">
        <f>IF(ISBLANK(E2093),"",IF(OR(D2093="Butterfly",D2093="Butterfly ",D2093="Iron Fly", D2093="Iron Fly "),LEN(E2093)-LEN(SUBSTITUTE(E2093,"/",""))+2,LEN(E2093)-LEN(SUBSTITUTE(E2093,"/",""))+1))</f>
        <v/>
      </c>
      <c r="I2093" s="78">
        <f>IF(ISBLANK(G2093),"",IF(D2093="Stock","0",Key!$A$3*H2093*G2093))</f>
        <v/>
      </c>
      <c r="J2093" s="78">
        <f>IF(ISBLANK(E2093),"",IF(ISNUMBER(SEARCH("/",E2093)), IF(LEN(E2093)-LEN(SUBSTITUTE(E2093,"/",""))=1,(RIGHT(E2093,LEN(E2093)-FIND("/",E2093)))-(LEFT(E2093,FIND("/",E2093)-1)),(MID(E2093, SEARCH("/",E2093) + 1, SEARCH("/",E2093, SEARCH("/",E2093)+1) - SEARCH("/",E2093) - 1))-(LEFT(E2093,FIND("/",E2093)-1))), "NA"))</f>
        <v/>
      </c>
      <c r="K2093" s="79">
        <f>IF(A2093&lt;&gt;"", IF(ISBLANK(L2093), TODAY(), K2093), "")</f>
        <v/>
      </c>
      <c r="L2093" s="78" t="n"/>
      <c r="M2093" s="78">
        <f>IF(ISBLANK(L2093),"",IF(D2093="Stock",IF(C2093="Buy",L2093*G2093,IF(C2093="Sell",(L2093*G2093)-I2093, X)),IF(C2093="Buy",(L2093*G2093*100)+I2093,IF(C2093="Sell",(L2093*G2093*100)-I2093, X))))</f>
        <v/>
      </c>
      <c r="N2093" s="78">
        <f>IF(ISBLANK(L2093),"",IF(AND(C2093="Sell",D2093="Stock"),M2093,IF(ISBLANK(L2093),"",IF(C2093="Buy",M2093, IF(AND(C2093="Sell",J2093="NA"),(E2093*G2093*100*0.1)+I2093, IF(C2093="Sell",(J2093-L2093)*(100*G2093)+I2093))))))</f>
        <v/>
      </c>
      <c r="O2093" s="75" t="n"/>
      <c r="P2093" s="75" t="n"/>
      <c r="Q2093" s="75">
        <f>IF(ISBLANK(P2093),"",IF(D2093="Stock",P2093*G2093,IF(P2093=0,"0",G2093*P2093*100-(G2093*$AF$14))))</f>
        <v/>
      </c>
      <c r="R2093" s="79">
        <f>IF(P2093&lt;&gt;"", TODAY(), "")</f>
        <v/>
      </c>
      <c r="S2093" s="78">
        <f>IF(AND(K2093&lt;&gt;"", R2093&lt;&gt;""), R2093-K2093, "")</f>
        <v/>
      </c>
      <c r="T2093" s="78" t="n"/>
      <c r="U2093" s="92">
        <f>IF(ISBLANK(P2093),"",IF(C2093="Buy",Q2093-M2093+T2093, IF(C2093="Sell",M2093-Q2093-T2093, X)))</f>
        <v/>
      </c>
      <c r="V2093" s="81">
        <f>IF(ISBLANK(P2093),"",U2093/N2093)</f>
        <v/>
      </c>
      <c r="W2093" s="81">
        <f>IF(ISBLANK(P2093),"",IF(S2093=0,(365/0.5)*V2093,(365/S2093)*V2093))</f>
        <v/>
      </c>
      <c r="X2093" s="75" t="n"/>
      <c r="Y2093" s="77" t="n"/>
      <c r="Z2093" s="77" t="n"/>
      <c r="AA2093" s="75" t="n"/>
      <c r="AB2093" s="75" t="n"/>
      <c r="AC2093" s="6" t="n"/>
      <c r="AD2093" s="75" t="n"/>
      <c r="AE2093" s="75" t="n"/>
      <c r="AF2093" s="75" t="n"/>
    </row>
    <row r="2094" ht="15.75" customHeight="1" s="133">
      <c r="A2094" s="75" t="n"/>
      <c r="B2094" s="75" t="n"/>
      <c r="C2094" s="75" t="n"/>
      <c r="D2094" s="75" t="n"/>
      <c r="E2094" s="76" t="n"/>
      <c r="F2094" s="77" t="n"/>
      <c r="G2094" s="75" t="n"/>
      <c r="H2094" s="75">
        <f>IF(ISBLANK(E2094),"",IF(OR(D2094="Butterfly",D2094="Butterfly ",D2094="Iron Fly", D2094="Iron Fly "),LEN(E2094)-LEN(SUBSTITUTE(E2094,"/",""))+2,LEN(E2094)-LEN(SUBSTITUTE(E2094,"/",""))+1))</f>
        <v/>
      </c>
      <c r="I2094" s="78">
        <f>IF(ISBLANK(G2094),"",IF(D2094="Stock","0",Key!$A$3*H2094*G2094))</f>
        <v/>
      </c>
      <c r="J2094" s="78">
        <f>IF(ISBLANK(E2094),"",IF(ISNUMBER(SEARCH("/",E2094)), IF(LEN(E2094)-LEN(SUBSTITUTE(E2094,"/",""))=1,(RIGHT(E2094,LEN(E2094)-FIND("/",E2094)))-(LEFT(E2094,FIND("/",E2094)-1)),(MID(E2094, SEARCH("/",E2094) + 1, SEARCH("/",E2094, SEARCH("/",E2094)+1) - SEARCH("/",E2094) - 1))-(LEFT(E2094,FIND("/",E2094)-1))), "NA"))</f>
        <v/>
      </c>
      <c r="K2094" s="79">
        <f>IF(A2094&lt;&gt;"", IF(ISBLANK(L2094), TODAY(), K2094), "")</f>
        <v/>
      </c>
      <c r="L2094" s="78" t="n"/>
      <c r="M2094" s="78">
        <f>IF(ISBLANK(L2094),"",IF(D2094="Stock",IF(C2094="Buy",L2094*G2094,IF(C2094="Sell",(L2094*G2094)-I2094, X)),IF(C2094="Buy",(L2094*G2094*100)+I2094,IF(C2094="Sell",(L2094*G2094*100)-I2094, X))))</f>
        <v/>
      </c>
      <c r="N2094" s="78">
        <f>IF(ISBLANK(L2094),"",IF(AND(C2094="Sell",D2094="Stock"),M2094,IF(ISBLANK(L2094),"",IF(C2094="Buy",M2094, IF(AND(C2094="Sell",J2094="NA"),(E2094*G2094*100*0.1)+I2094, IF(C2094="Sell",(J2094-L2094)*(100*G2094)+I2094))))))</f>
        <v/>
      </c>
      <c r="O2094" s="75" t="n"/>
      <c r="P2094" s="75" t="n"/>
      <c r="Q2094" s="75">
        <f>IF(ISBLANK(P2094),"",IF(D2094="Stock",P2094*G2094,IF(P2094=0,"0",G2094*P2094*100-(G2094*$AF$14))))</f>
        <v/>
      </c>
      <c r="R2094" s="79">
        <f>IF(P2094&lt;&gt;"", TODAY(), "")</f>
        <v/>
      </c>
      <c r="S2094" s="78">
        <f>IF(AND(K2094&lt;&gt;"", R2094&lt;&gt;""), R2094-K2094, "")</f>
        <v/>
      </c>
      <c r="T2094" s="78" t="n"/>
      <c r="U2094" s="92">
        <f>IF(ISBLANK(P2094),"",IF(C2094="Buy",Q2094-M2094+T2094, IF(C2094="Sell",M2094-Q2094-T2094, X)))</f>
        <v/>
      </c>
      <c r="V2094" s="81">
        <f>IF(ISBLANK(P2094),"",U2094/N2094)</f>
        <v/>
      </c>
      <c r="W2094" s="81">
        <f>IF(ISBLANK(P2094),"",IF(S2094=0,(365/0.5)*V2094,(365/S2094)*V2094))</f>
        <v/>
      </c>
      <c r="X2094" s="75" t="n"/>
      <c r="Y2094" s="77" t="n"/>
      <c r="Z2094" s="77" t="n"/>
      <c r="AA2094" s="75" t="n"/>
      <c r="AB2094" s="75" t="n"/>
      <c r="AC2094" s="6" t="n"/>
      <c r="AD2094" s="75" t="n"/>
      <c r="AE2094" s="75" t="n"/>
      <c r="AF2094" s="75" t="n"/>
    </row>
    <row r="2095" ht="15.75" customHeight="1" s="133">
      <c r="A2095" s="75" t="n"/>
      <c r="B2095" s="75" t="n"/>
      <c r="C2095" s="75" t="n"/>
      <c r="D2095" s="75" t="n"/>
      <c r="E2095" s="76" t="n"/>
      <c r="F2095" s="77" t="n"/>
      <c r="G2095" s="75" t="n"/>
      <c r="H2095" s="75">
        <f>IF(ISBLANK(E2095),"",IF(OR(D2095="Butterfly",D2095="Butterfly ",D2095="Iron Fly", D2095="Iron Fly "),LEN(E2095)-LEN(SUBSTITUTE(E2095,"/",""))+2,LEN(E2095)-LEN(SUBSTITUTE(E2095,"/",""))+1))</f>
        <v/>
      </c>
      <c r="I2095" s="78">
        <f>IF(ISBLANK(G2095),"",IF(D2095="Stock","0",Key!$A$3*H2095*G2095))</f>
        <v/>
      </c>
      <c r="J2095" s="78">
        <f>IF(ISBLANK(E2095),"",IF(ISNUMBER(SEARCH("/",E2095)), IF(LEN(E2095)-LEN(SUBSTITUTE(E2095,"/",""))=1,(RIGHT(E2095,LEN(E2095)-FIND("/",E2095)))-(LEFT(E2095,FIND("/",E2095)-1)),(MID(E2095, SEARCH("/",E2095) + 1, SEARCH("/",E2095, SEARCH("/",E2095)+1) - SEARCH("/",E2095) - 1))-(LEFT(E2095,FIND("/",E2095)-1))), "NA"))</f>
        <v/>
      </c>
      <c r="K2095" s="79">
        <f>IF(A2095&lt;&gt;"", IF(ISBLANK(L2095), TODAY(), K2095), "")</f>
        <v/>
      </c>
      <c r="L2095" s="78" t="n"/>
      <c r="M2095" s="78">
        <f>IF(ISBLANK(L2095),"",IF(D2095="Stock",IF(C2095="Buy",L2095*G2095,IF(C2095="Sell",(L2095*G2095)-I2095, X)),IF(C2095="Buy",(L2095*G2095*100)+I2095,IF(C2095="Sell",(L2095*G2095*100)-I2095, X))))</f>
        <v/>
      </c>
      <c r="N2095" s="78">
        <f>IF(ISBLANK(L2095),"",IF(AND(C2095="Sell",D2095="Stock"),M2095,IF(ISBLANK(L2095),"",IF(C2095="Buy",M2095, IF(AND(C2095="Sell",J2095="NA"),(E2095*G2095*100*0.1)+I2095, IF(C2095="Sell",(J2095-L2095)*(100*G2095)+I2095))))))</f>
        <v/>
      </c>
      <c r="O2095" s="75" t="n"/>
      <c r="P2095" s="75" t="n"/>
      <c r="Q2095" s="75">
        <f>IF(ISBLANK(P2095),"",IF(D2095="Stock",P2095*G2095,IF(P2095=0,"0",G2095*P2095*100-(G2095*$AF$14))))</f>
        <v/>
      </c>
      <c r="R2095" s="79">
        <f>IF(P2095&lt;&gt;"", TODAY(), "")</f>
        <v/>
      </c>
      <c r="S2095" s="78">
        <f>IF(AND(K2095&lt;&gt;"", R2095&lt;&gt;""), R2095-K2095, "")</f>
        <v/>
      </c>
      <c r="T2095" s="78" t="n"/>
      <c r="U2095" s="92">
        <f>IF(ISBLANK(P2095),"",IF(C2095="Buy",Q2095-M2095+T2095, IF(C2095="Sell",M2095-Q2095-T2095, X)))</f>
        <v/>
      </c>
      <c r="V2095" s="81">
        <f>IF(ISBLANK(P2095),"",U2095/N2095)</f>
        <v/>
      </c>
      <c r="W2095" s="81">
        <f>IF(ISBLANK(P2095),"",IF(S2095=0,(365/0.5)*V2095,(365/S2095)*V2095))</f>
        <v/>
      </c>
      <c r="X2095" s="75" t="n"/>
      <c r="Y2095" s="77" t="n"/>
      <c r="Z2095" s="77" t="n"/>
      <c r="AA2095" s="75" t="n"/>
      <c r="AB2095" s="75" t="n"/>
      <c r="AC2095" s="6" t="n"/>
      <c r="AD2095" s="75" t="n"/>
      <c r="AE2095" s="75" t="n"/>
      <c r="AF2095" s="75" t="n"/>
    </row>
    <row r="2096" ht="15.75" customHeight="1" s="133">
      <c r="A2096" s="75" t="n"/>
      <c r="B2096" s="75" t="n"/>
      <c r="C2096" s="75" t="n"/>
      <c r="D2096" s="75" t="n"/>
      <c r="E2096" s="76" t="n"/>
      <c r="F2096" s="77" t="n"/>
      <c r="G2096" s="75" t="n"/>
      <c r="H2096" s="75">
        <f>IF(ISBLANK(E2096),"",IF(OR(D2096="Butterfly",D2096="Butterfly ",D2096="Iron Fly", D2096="Iron Fly "),LEN(E2096)-LEN(SUBSTITUTE(E2096,"/",""))+2,LEN(E2096)-LEN(SUBSTITUTE(E2096,"/",""))+1))</f>
        <v/>
      </c>
      <c r="I2096" s="78">
        <f>IF(ISBLANK(G2096),"",IF(D2096="Stock","0",Key!$A$3*H2096*G2096))</f>
        <v/>
      </c>
      <c r="J2096" s="78">
        <f>IF(ISBLANK(E2096),"",IF(ISNUMBER(SEARCH("/",E2096)), IF(LEN(E2096)-LEN(SUBSTITUTE(E2096,"/",""))=1,(RIGHT(E2096,LEN(E2096)-FIND("/",E2096)))-(LEFT(E2096,FIND("/",E2096)-1)),(MID(E2096, SEARCH("/",E2096) + 1, SEARCH("/",E2096, SEARCH("/",E2096)+1) - SEARCH("/",E2096) - 1))-(LEFT(E2096,FIND("/",E2096)-1))), "NA"))</f>
        <v/>
      </c>
      <c r="K2096" s="79">
        <f>IF(A2096&lt;&gt;"", IF(ISBLANK(L2096), TODAY(), K2096), "")</f>
        <v/>
      </c>
      <c r="L2096" s="78" t="n"/>
      <c r="M2096" s="78">
        <f>IF(ISBLANK(L2096),"",IF(D2096="Stock",IF(C2096="Buy",L2096*G2096,IF(C2096="Sell",(L2096*G2096)-I2096, X)),IF(C2096="Buy",(L2096*G2096*100)+I2096,IF(C2096="Sell",(L2096*G2096*100)-I2096, X))))</f>
        <v/>
      </c>
      <c r="N2096" s="78">
        <f>IF(ISBLANK(L2096),"",IF(AND(C2096="Sell",D2096="Stock"),M2096,IF(ISBLANK(L2096),"",IF(C2096="Buy",M2096, IF(AND(C2096="Sell",J2096="NA"),(E2096*G2096*100*0.1)+I2096, IF(C2096="Sell",(J2096-L2096)*(100*G2096)+I2096))))))</f>
        <v/>
      </c>
      <c r="O2096" s="75" t="n"/>
      <c r="P2096" s="75" t="n"/>
      <c r="Q2096" s="75">
        <f>IF(ISBLANK(P2096),"",IF(D2096="Stock",P2096*G2096,IF(P2096=0,"0",G2096*P2096*100-(G2096*$AF$14))))</f>
        <v/>
      </c>
      <c r="R2096" s="79">
        <f>IF(P2096&lt;&gt;"", TODAY(), "")</f>
        <v/>
      </c>
      <c r="S2096" s="78">
        <f>IF(AND(K2096&lt;&gt;"", R2096&lt;&gt;""), R2096-K2096, "")</f>
        <v/>
      </c>
      <c r="T2096" s="78" t="n"/>
      <c r="U2096" s="92">
        <f>IF(ISBLANK(P2096),"",IF(C2096="Buy",Q2096-M2096+T2096, IF(C2096="Sell",M2096-Q2096-T2096, X)))</f>
        <v/>
      </c>
      <c r="V2096" s="81">
        <f>IF(ISBLANK(P2096),"",U2096/N2096)</f>
        <v/>
      </c>
      <c r="W2096" s="81">
        <f>IF(ISBLANK(P2096),"",IF(S2096=0,(365/0.5)*V2096,(365/S2096)*V2096))</f>
        <v/>
      </c>
      <c r="X2096" s="75" t="n"/>
      <c r="Y2096" s="77" t="n"/>
      <c r="Z2096" s="77" t="n"/>
      <c r="AA2096" s="75" t="n"/>
      <c r="AB2096" s="75" t="n"/>
      <c r="AC2096" s="6" t="n"/>
      <c r="AD2096" s="75" t="n"/>
      <c r="AE2096" s="75" t="n"/>
      <c r="AF2096" s="75" t="n"/>
    </row>
    <row r="2097" ht="15.75" customHeight="1" s="133">
      <c r="A2097" s="75" t="n"/>
      <c r="B2097" s="75" t="n"/>
      <c r="C2097" s="75" t="n"/>
      <c r="D2097" s="75" t="n"/>
      <c r="E2097" s="76" t="n"/>
      <c r="F2097" s="77" t="n"/>
      <c r="G2097" s="75" t="n"/>
      <c r="H2097" s="75">
        <f>IF(ISBLANK(E2097),"",IF(OR(D2097="Butterfly",D2097="Butterfly ",D2097="Iron Fly", D2097="Iron Fly "),LEN(E2097)-LEN(SUBSTITUTE(E2097,"/",""))+2,LEN(E2097)-LEN(SUBSTITUTE(E2097,"/",""))+1))</f>
        <v/>
      </c>
      <c r="I2097" s="78">
        <f>IF(ISBLANK(G2097),"",IF(D2097="Stock","0",Key!$A$3*H2097*G2097))</f>
        <v/>
      </c>
      <c r="J2097" s="78">
        <f>IF(ISBLANK(E2097),"",IF(ISNUMBER(SEARCH("/",E2097)), IF(LEN(E2097)-LEN(SUBSTITUTE(E2097,"/",""))=1,(RIGHT(E2097,LEN(E2097)-FIND("/",E2097)))-(LEFT(E2097,FIND("/",E2097)-1)),(MID(E2097, SEARCH("/",E2097) + 1, SEARCH("/",E2097, SEARCH("/",E2097)+1) - SEARCH("/",E2097) - 1))-(LEFT(E2097,FIND("/",E2097)-1))), "NA"))</f>
        <v/>
      </c>
      <c r="K2097" s="79">
        <f>IF(A2097&lt;&gt;"", IF(ISBLANK(L2097), TODAY(), K2097), "")</f>
        <v/>
      </c>
      <c r="L2097" s="78" t="n"/>
      <c r="M2097" s="78">
        <f>IF(ISBLANK(L2097),"",IF(D2097="Stock",IF(C2097="Buy",L2097*G2097,IF(C2097="Sell",(L2097*G2097)-I2097, X)),IF(C2097="Buy",(L2097*G2097*100)+I2097,IF(C2097="Sell",(L2097*G2097*100)-I2097, X))))</f>
        <v/>
      </c>
      <c r="N2097" s="78">
        <f>IF(ISBLANK(L2097),"",IF(AND(C2097="Sell",D2097="Stock"),M2097,IF(ISBLANK(L2097),"",IF(C2097="Buy",M2097, IF(AND(C2097="Sell",J2097="NA"),(E2097*G2097*100*0.1)+I2097, IF(C2097="Sell",(J2097-L2097)*(100*G2097)+I2097))))))</f>
        <v/>
      </c>
      <c r="O2097" s="75" t="n"/>
      <c r="P2097" s="75" t="n"/>
      <c r="Q2097" s="75">
        <f>IF(ISBLANK(P2097),"",IF(D2097="Stock",P2097*G2097,IF(P2097=0,"0",G2097*P2097*100-(G2097*$AF$14))))</f>
        <v/>
      </c>
      <c r="R2097" s="79">
        <f>IF(P2097&lt;&gt;"", TODAY(), "")</f>
        <v/>
      </c>
      <c r="S2097" s="78">
        <f>IF(AND(K2097&lt;&gt;"", R2097&lt;&gt;""), R2097-K2097, "")</f>
        <v/>
      </c>
      <c r="T2097" s="78" t="n"/>
      <c r="U2097" s="92">
        <f>IF(ISBLANK(P2097),"",IF(C2097="Buy",Q2097-M2097+T2097, IF(C2097="Sell",M2097-Q2097-T2097, X)))</f>
        <v/>
      </c>
      <c r="V2097" s="81">
        <f>IF(ISBLANK(P2097),"",U2097/N2097)</f>
        <v/>
      </c>
      <c r="W2097" s="81">
        <f>IF(ISBLANK(P2097),"",IF(S2097=0,(365/0.5)*V2097,(365/S2097)*V2097))</f>
        <v/>
      </c>
      <c r="X2097" s="75" t="n"/>
      <c r="Y2097" s="77" t="n"/>
      <c r="Z2097" s="77" t="n"/>
      <c r="AA2097" s="75" t="n"/>
      <c r="AB2097" s="75" t="n"/>
      <c r="AC2097" s="6" t="n"/>
      <c r="AD2097" s="75" t="n"/>
      <c r="AE2097" s="75" t="n"/>
      <c r="AF2097" s="75" t="n"/>
    </row>
    <row r="2098" ht="15.75" customHeight="1" s="133">
      <c r="A2098" s="75" t="n"/>
      <c r="B2098" s="75" t="n"/>
      <c r="C2098" s="75" t="n"/>
      <c r="D2098" s="75" t="n"/>
      <c r="E2098" s="76" t="n"/>
      <c r="F2098" s="77" t="n"/>
      <c r="G2098" s="75" t="n"/>
      <c r="H2098" s="75">
        <f>IF(ISBLANK(E2098),"",IF(OR(D2098="Butterfly",D2098="Butterfly ",D2098="Iron Fly", D2098="Iron Fly "),LEN(E2098)-LEN(SUBSTITUTE(E2098,"/",""))+2,LEN(E2098)-LEN(SUBSTITUTE(E2098,"/",""))+1))</f>
        <v/>
      </c>
      <c r="I2098" s="78">
        <f>IF(ISBLANK(G2098),"",IF(D2098="Stock","0",Key!$A$3*H2098*G2098))</f>
        <v/>
      </c>
      <c r="J2098" s="78">
        <f>IF(ISBLANK(E2098),"",IF(ISNUMBER(SEARCH("/",E2098)), IF(LEN(E2098)-LEN(SUBSTITUTE(E2098,"/",""))=1,(RIGHT(E2098,LEN(E2098)-FIND("/",E2098)))-(LEFT(E2098,FIND("/",E2098)-1)),(MID(E2098, SEARCH("/",E2098) + 1, SEARCH("/",E2098, SEARCH("/",E2098)+1) - SEARCH("/",E2098) - 1))-(LEFT(E2098,FIND("/",E2098)-1))), "NA"))</f>
        <v/>
      </c>
      <c r="K2098" s="79">
        <f>IF(A2098&lt;&gt;"", IF(ISBLANK(L2098), TODAY(), K2098), "")</f>
        <v/>
      </c>
      <c r="L2098" s="78" t="n"/>
      <c r="M2098" s="78">
        <f>IF(ISBLANK(L2098),"",IF(D2098="Stock",IF(C2098="Buy",L2098*G2098,IF(C2098="Sell",(L2098*G2098)-I2098, X)),IF(C2098="Buy",(L2098*G2098*100)+I2098,IF(C2098="Sell",(L2098*G2098*100)-I2098, X))))</f>
        <v/>
      </c>
      <c r="N2098" s="78">
        <f>IF(ISBLANK(L2098),"",IF(AND(C2098="Sell",D2098="Stock"),M2098,IF(ISBLANK(L2098),"",IF(C2098="Buy",M2098, IF(AND(C2098="Sell",J2098="NA"),(E2098*G2098*100*0.1)+I2098, IF(C2098="Sell",(J2098-L2098)*(100*G2098)+I2098))))))</f>
        <v/>
      </c>
      <c r="O2098" s="75" t="n"/>
      <c r="P2098" s="75" t="n"/>
      <c r="Q2098" s="75">
        <f>IF(ISBLANK(P2098),"",IF(D2098="Stock",P2098*G2098,IF(P2098=0,"0",G2098*P2098*100-(G2098*$AF$14))))</f>
        <v/>
      </c>
      <c r="R2098" s="79">
        <f>IF(P2098&lt;&gt;"", TODAY(), "")</f>
        <v/>
      </c>
      <c r="S2098" s="78">
        <f>IF(AND(K2098&lt;&gt;"", R2098&lt;&gt;""), R2098-K2098, "")</f>
        <v/>
      </c>
      <c r="T2098" s="78" t="n"/>
      <c r="U2098" s="92">
        <f>IF(ISBLANK(P2098),"",IF(C2098="Buy",Q2098-M2098+T2098, IF(C2098="Sell",M2098-Q2098-T2098, X)))</f>
        <v/>
      </c>
      <c r="V2098" s="81">
        <f>IF(ISBLANK(P2098),"",U2098/N2098)</f>
        <v/>
      </c>
      <c r="W2098" s="81">
        <f>IF(ISBLANK(P2098),"",IF(S2098=0,(365/0.5)*V2098,(365/S2098)*V2098))</f>
        <v/>
      </c>
      <c r="X2098" s="75" t="n"/>
      <c r="Y2098" s="77" t="n"/>
      <c r="Z2098" s="77" t="n"/>
      <c r="AA2098" s="75" t="n"/>
      <c r="AB2098" s="75" t="n"/>
      <c r="AC2098" s="6" t="n"/>
      <c r="AD2098" s="75" t="n"/>
      <c r="AE2098" s="75" t="n"/>
      <c r="AF2098" s="75" t="n"/>
    </row>
    <row r="2099" ht="15.75" customHeight="1" s="133">
      <c r="A2099" s="75" t="n"/>
      <c r="B2099" s="75" t="n"/>
      <c r="C2099" s="75" t="n"/>
      <c r="D2099" s="75" t="n"/>
      <c r="E2099" s="76" t="n"/>
      <c r="F2099" s="77" t="n"/>
      <c r="G2099" s="75" t="n"/>
      <c r="H2099" s="75">
        <f>IF(ISBLANK(E2099),"",IF(OR(D2099="Butterfly",D2099="Butterfly ",D2099="Iron Fly", D2099="Iron Fly "),LEN(E2099)-LEN(SUBSTITUTE(E2099,"/",""))+2,LEN(E2099)-LEN(SUBSTITUTE(E2099,"/",""))+1))</f>
        <v/>
      </c>
      <c r="I2099" s="78">
        <f>IF(ISBLANK(G2099),"",IF(D2099="Stock","0",Key!$A$3*H2099*G2099))</f>
        <v/>
      </c>
      <c r="J2099" s="78">
        <f>IF(ISBLANK(E2099),"",IF(ISNUMBER(SEARCH("/",E2099)), IF(LEN(E2099)-LEN(SUBSTITUTE(E2099,"/",""))=1,(RIGHT(E2099,LEN(E2099)-FIND("/",E2099)))-(LEFT(E2099,FIND("/",E2099)-1)),(MID(E2099, SEARCH("/",E2099) + 1, SEARCH("/",E2099, SEARCH("/",E2099)+1) - SEARCH("/",E2099) - 1))-(LEFT(E2099,FIND("/",E2099)-1))), "NA"))</f>
        <v/>
      </c>
      <c r="K2099" s="79">
        <f>IF(A2099&lt;&gt;"", IF(ISBLANK(L2099), TODAY(), K2099), "")</f>
        <v/>
      </c>
      <c r="L2099" s="78" t="n"/>
      <c r="M2099" s="78">
        <f>IF(ISBLANK(L2099),"",IF(D2099="Stock",IF(C2099="Buy",L2099*G2099,IF(C2099="Sell",(L2099*G2099)-I2099, X)),IF(C2099="Buy",(L2099*G2099*100)+I2099,IF(C2099="Sell",(L2099*G2099*100)-I2099, X))))</f>
        <v/>
      </c>
      <c r="N2099" s="78">
        <f>IF(ISBLANK(L2099),"",IF(AND(C2099="Sell",D2099="Stock"),M2099,IF(ISBLANK(L2099),"",IF(C2099="Buy",M2099, IF(AND(C2099="Sell",J2099="NA"),(E2099*G2099*100*0.1)+I2099, IF(C2099="Sell",(J2099-L2099)*(100*G2099)+I2099))))))</f>
        <v/>
      </c>
      <c r="O2099" s="75" t="n"/>
      <c r="P2099" s="75" t="n"/>
      <c r="Q2099" s="75">
        <f>IF(ISBLANK(P2099),"",IF(D2099="Stock",P2099*G2099,IF(P2099=0,"0",G2099*P2099*100-(G2099*$AF$14))))</f>
        <v/>
      </c>
      <c r="R2099" s="79">
        <f>IF(P2099&lt;&gt;"", TODAY(), "")</f>
        <v/>
      </c>
      <c r="S2099" s="78">
        <f>IF(AND(K2099&lt;&gt;"", R2099&lt;&gt;""), R2099-K2099, "")</f>
        <v/>
      </c>
      <c r="T2099" s="78" t="n"/>
      <c r="U2099" s="92">
        <f>IF(ISBLANK(P2099),"",IF(C2099="Buy",Q2099-M2099+T2099, IF(C2099="Sell",M2099-Q2099-T2099, X)))</f>
        <v/>
      </c>
      <c r="V2099" s="81">
        <f>IF(ISBLANK(P2099),"",U2099/N2099)</f>
        <v/>
      </c>
      <c r="W2099" s="81">
        <f>IF(ISBLANK(P2099),"",IF(S2099=0,(365/0.5)*V2099,(365/S2099)*V2099))</f>
        <v/>
      </c>
      <c r="X2099" s="75" t="n"/>
      <c r="Y2099" s="77" t="n"/>
      <c r="Z2099" s="77" t="n"/>
      <c r="AA2099" s="75" t="n"/>
      <c r="AB2099" s="75" t="n"/>
      <c r="AC2099" s="6" t="n"/>
      <c r="AD2099" s="75" t="n"/>
      <c r="AE2099" s="75" t="n"/>
      <c r="AF2099" s="75" t="n"/>
    </row>
    <row r="2100" ht="15.75" customHeight="1" s="133">
      <c r="A2100" s="75" t="n"/>
      <c r="B2100" s="75" t="n"/>
      <c r="C2100" s="75" t="n"/>
      <c r="D2100" s="75" t="n"/>
      <c r="E2100" s="76" t="n"/>
      <c r="F2100" s="77" t="n"/>
      <c r="G2100" s="75" t="n"/>
      <c r="H2100" s="75">
        <f>IF(ISBLANK(E2100),"",IF(OR(D2100="Butterfly",D2100="Butterfly ",D2100="Iron Fly", D2100="Iron Fly "),LEN(E2100)-LEN(SUBSTITUTE(E2100,"/",""))+2,LEN(E2100)-LEN(SUBSTITUTE(E2100,"/",""))+1))</f>
        <v/>
      </c>
      <c r="I2100" s="78">
        <f>IF(ISBLANK(G2100),"",IF(D2100="Stock","0",Key!$A$3*H2100*G2100))</f>
        <v/>
      </c>
      <c r="J2100" s="78">
        <f>IF(ISBLANK(E2100),"",IF(ISNUMBER(SEARCH("/",E2100)), IF(LEN(E2100)-LEN(SUBSTITUTE(E2100,"/",""))=1,(RIGHT(E2100,LEN(E2100)-FIND("/",E2100)))-(LEFT(E2100,FIND("/",E2100)-1)),(MID(E2100, SEARCH("/",E2100) + 1, SEARCH("/",E2100, SEARCH("/",E2100)+1) - SEARCH("/",E2100) - 1))-(LEFT(E2100,FIND("/",E2100)-1))), "NA"))</f>
        <v/>
      </c>
      <c r="K2100" s="79">
        <f>IF(A2100&lt;&gt;"", IF(ISBLANK(L2100), TODAY(), K2100), "")</f>
        <v/>
      </c>
      <c r="L2100" s="78" t="n"/>
      <c r="M2100" s="78">
        <f>IF(ISBLANK(L2100),"",IF(D2100="Stock",IF(C2100="Buy",L2100*G2100,IF(C2100="Sell",(L2100*G2100)-I2100, X)),IF(C2100="Buy",(L2100*G2100*100)+I2100,IF(C2100="Sell",(L2100*G2100*100)-I2100, X))))</f>
        <v/>
      </c>
      <c r="N2100" s="78">
        <f>IF(ISBLANK(L2100),"",IF(AND(C2100="Sell",D2100="Stock"),M2100,IF(ISBLANK(L2100),"",IF(C2100="Buy",M2100, IF(AND(C2100="Sell",J2100="NA"),(E2100*G2100*100*0.1)+I2100, IF(C2100="Sell",(J2100-L2100)*(100*G2100)+I2100))))))</f>
        <v/>
      </c>
      <c r="O2100" s="75" t="n"/>
      <c r="P2100" s="75" t="n"/>
      <c r="Q2100" s="75">
        <f>IF(ISBLANK(P2100),"",IF(D2100="Stock",P2100*G2100,IF(P2100=0,"0",G2100*P2100*100-(G2100*$AF$14))))</f>
        <v/>
      </c>
      <c r="R2100" s="79">
        <f>IF(P2100&lt;&gt;"", TODAY(), "")</f>
        <v/>
      </c>
      <c r="S2100" s="78">
        <f>IF(AND(K2100&lt;&gt;"", R2100&lt;&gt;""), R2100-K2100, "")</f>
        <v/>
      </c>
      <c r="T2100" s="78" t="n"/>
      <c r="U2100" s="92">
        <f>IF(ISBLANK(P2100),"",IF(C2100="Buy",Q2100-M2100+T2100, IF(C2100="Sell",M2100-Q2100-T2100, X)))</f>
        <v/>
      </c>
      <c r="V2100" s="81">
        <f>IF(ISBLANK(P2100),"",U2100/N2100)</f>
        <v/>
      </c>
      <c r="W2100" s="81">
        <f>IF(ISBLANK(P2100),"",IF(S2100=0,(365/0.5)*V2100,(365/S2100)*V2100))</f>
        <v/>
      </c>
      <c r="X2100" s="75" t="n"/>
      <c r="Y2100" s="77" t="n"/>
      <c r="Z2100" s="77" t="n"/>
      <c r="AA2100" s="75" t="n"/>
      <c r="AB2100" s="75" t="n"/>
      <c r="AC2100" s="6" t="n"/>
      <c r="AD2100" s="75" t="n"/>
      <c r="AE2100" s="75" t="n"/>
      <c r="AF2100" s="75" t="n"/>
    </row>
    <row r="2101" ht="15.75" customHeight="1" s="133">
      <c r="A2101" s="75" t="n"/>
      <c r="B2101" s="75" t="n"/>
      <c r="C2101" s="75" t="n"/>
      <c r="D2101" s="75" t="n"/>
      <c r="E2101" s="76" t="n"/>
      <c r="F2101" s="77" t="n"/>
      <c r="G2101" s="75" t="n"/>
      <c r="H2101" s="75">
        <f>IF(ISBLANK(E2101),"",IF(OR(D2101="Butterfly",D2101="Butterfly ",D2101="Iron Fly", D2101="Iron Fly "),LEN(E2101)-LEN(SUBSTITUTE(E2101,"/",""))+2,LEN(E2101)-LEN(SUBSTITUTE(E2101,"/",""))+1))</f>
        <v/>
      </c>
      <c r="I2101" s="78">
        <f>IF(ISBLANK(G2101),"",IF(D2101="Stock","0",Key!$A$3*H2101*G2101))</f>
        <v/>
      </c>
      <c r="J2101" s="78">
        <f>IF(ISBLANK(E2101),"",IF(ISNUMBER(SEARCH("/",E2101)), IF(LEN(E2101)-LEN(SUBSTITUTE(E2101,"/",""))=1,(RIGHT(E2101,LEN(E2101)-FIND("/",E2101)))-(LEFT(E2101,FIND("/",E2101)-1)),(MID(E2101, SEARCH("/",E2101) + 1, SEARCH("/",E2101, SEARCH("/",E2101)+1) - SEARCH("/",E2101) - 1))-(LEFT(E2101,FIND("/",E2101)-1))), "NA"))</f>
        <v/>
      </c>
      <c r="K2101" s="79">
        <f>IF(A2101&lt;&gt;"", IF(ISBLANK(L2101), TODAY(), K2101), "")</f>
        <v/>
      </c>
      <c r="L2101" s="78" t="n"/>
      <c r="M2101" s="78">
        <f>IF(ISBLANK(L2101),"",IF(D2101="Stock",IF(C2101="Buy",L2101*G2101,IF(C2101="Sell",(L2101*G2101)-I2101, X)),IF(C2101="Buy",(L2101*G2101*100)+I2101,IF(C2101="Sell",(L2101*G2101*100)-I2101, X))))</f>
        <v/>
      </c>
      <c r="N2101" s="78">
        <f>IF(ISBLANK(L2101),"",IF(AND(C2101="Sell",D2101="Stock"),M2101,IF(ISBLANK(L2101),"",IF(C2101="Buy",M2101, IF(AND(C2101="Sell",J2101="NA"),(E2101*G2101*100*0.1)+I2101, IF(C2101="Sell",(J2101-L2101)*(100*G2101)+I2101))))))</f>
        <v/>
      </c>
      <c r="O2101" s="75" t="n"/>
      <c r="P2101" s="75" t="n"/>
      <c r="Q2101" s="75">
        <f>IF(ISBLANK(P2101),"",IF(D2101="Stock",P2101*G2101,IF(P2101=0,"0",G2101*P2101*100-(G2101*$AF$14))))</f>
        <v/>
      </c>
      <c r="R2101" s="79">
        <f>IF(P2101&lt;&gt;"", TODAY(), "")</f>
        <v/>
      </c>
      <c r="S2101" s="78">
        <f>IF(AND(K2101&lt;&gt;"", R2101&lt;&gt;""), R2101-K2101, "")</f>
        <v/>
      </c>
      <c r="T2101" s="78" t="n"/>
      <c r="U2101" s="92">
        <f>IF(ISBLANK(P2101),"",IF(C2101="Buy",Q2101-M2101+T2101, IF(C2101="Sell",M2101-Q2101-T2101, X)))</f>
        <v/>
      </c>
      <c r="V2101" s="81">
        <f>IF(ISBLANK(P2101),"",U2101/N2101)</f>
        <v/>
      </c>
      <c r="W2101" s="81">
        <f>IF(ISBLANK(P2101),"",IF(S2101=0,(365/0.5)*V2101,(365/S2101)*V2101))</f>
        <v/>
      </c>
      <c r="X2101" s="75" t="n"/>
      <c r="Y2101" s="77" t="n"/>
      <c r="Z2101" s="77" t="n"/>
      <c r="AA2101" s="75" t="n"/>
      <c r="AB2101" s="75" t="n"/>
      <c r="AC2101" s="6" t="n"/>
      <c r="AD2101" s="75" t="n"/>
      <c r="AE2101" s="75" t="n"/>
      <c r="AF2101" s="75" t="n"/>
    </row>
    <row r="2102" ht="15.75" customHeight="1" s="133">
      <c r="A2102" s="75" t="n"/>
      <c r="B2102" s="75" t="n"/>
      <c r="C2102" s="75" t="n"/>
      <c r="D2102" s="75" t="n"/>
      <c r="E2102" s="76" t="n"/>
      <c r="F2102" s="77" t="n"/>
      <c r="G2102" s="75" t="n"/>
      <c r="H2102" s="75">
        <f>IF(ISBLANK(E2102),"",IF(OR(D2102="Butterfly",D2102="Butterfly ",D2102="Iron Fly", D2102="Iron Fly "),LEN(E2102)-LEN(SUBSTITUTE(E2102,"/",""))+2,LEN(E2102)-LEN(SUBSTITUTE(E2102,"/",""))+1))</f>
        <v/>
      </c>
      <c r="I2102" s="78">
        <f>IF(ISBLANK(G2102),"",IF(D2102="Stock","0",Key!$A$3*H2102*G2102))</f>
        <v/>
      </c>
      <c r="J2102" s="78">
        <f>IF(ISBLANK(E2102),"",IF(ISNUMBER(SEARCH("/",E2102)), IF(LEN(E2102)-LEN(SUBSTITUTE(E2102,"/",""))=1,(RIGHT(E2102,LEN(E2102)-FIND("/",E2102)))-(LEFT(E2102,FIND("/",E2102)-1)),(MID(E2102, SEARCH("/",E2102) + 1, SEARCH("/",E2102, SEARCH("/",E2102)+1) - SEARCH("/",E2102) - 1))-(LEFT(E2102,FIND("/",E2102)-1))), "NA"))</f>
        <v/>
      </c>
      <c r="K2102" s="79">
        <f>IF(A2102&lt;&gt;"", IF(ISBLANK(L2102), TODAY(), K2102), "")</f>
        <v/>
      </c>
      <c r="L2102" s="78" t="n"/>
      <c r="M2102" s="78">
        <f>IF(ISBLANK(L2102),"",IF(D2102="Stock",IF(C2102="Buy",L2102*G2102,IF(C2102="Sell",(L2102*G2102)-I2102, X)),IF(C2102="Buy",(L2102*G2102*100)+I2102,IF(C2102="Sell",(L2102*G2102*100)-I2102, X))))</f>
        <v/>
      </c>
      <c r="N2102" s="78">
        <f>IF(ISBLANK(L2102),"",IF(AND(C2102="Sell",D2102="Stock"),M2102,IF(ISBLANK(L2102),"",IF(C2102="Buy",M2102, IF(AND(C2102="Sell",J2102="NA"),(E2102*G2102*100*0.1)+I2102, IF(C2102="Sell",(J2102-L2102)*(100*G2102)+I2102))))))</f>
        <v/>
      </c>
      <c r="O2102" s="75" t="n"/>
      <c r="P2102" s="75" t="n"/>
      <c r="Q2102" s="75">
        <f>IF(ISBLANK(P2102),"",IF(D2102="Stock",P2102*G2102,IF(P2102=0,"0",G2102*P2102*100-(G2102*$AF$14))))</f>
        <v/>
      </c>
      <c r="R2102" s="79">
        <f>IF(P2102&lt;&gt;"", TODAY(), "")</f>
        <v/>
      </c>
      <c r="S2102" s="78">
        <f>IF(AND(K2102&lt;&gt;"", R2102&lt;&gt;""), R2102-K2102, "")</f>
        <v/>
      </c>
      <c r="T2102" s="78" t="n"/>
      <c r="U2102" s="92">
        <f>IF(ISBLANK(P2102),"",IF(C2102="Buy",Q2102-M2102+T2102, IF(C2102="Sell",M2102-Q2102-T2102, X)))</f>
        <v/>
      </c>
      <c r="V2102" s="81">
        <f>IF(ISBLANK(P2102),"",U2102/N2102)</f>
        <v/>
      </c>
      <c r="W2102" s="81">
        <f>IF(ISBLANK(P2102),"",IF(S2102=0,(365/0.5)*V2102,(365/S2102)*V2102))</f>
        <v/>
      </c>
      <c r="X2102" s="75" t="n"/>
      <c r="Y2102" s="77" t="n"/>
      <c r="Z2102" s="77" t="n"/>
      <c r="AA2102" s="75" t="n"/>
      <c r="AB2102" s="75" t="n"/>
      <c r="AC2102" s="6" t="n"/>
      <c r="AD2102" s="75" t="n"/>
      <c r="AE2102" s="75" t="n"/>
      <c r="AF2102" s="75" t="n"/>
    </row>
    <row r="2103" ht="15.75" customHeight="1" s="133">
      <c r="A2103" s="75" t="n"/>
      <c r="B2103" s="75" t="n"/>
      <c r="C2103" s="75" t="n"/>
      <c r="D2103" s="75" t="n"/>
      <c r="E2103" s="76" t="n"/>
      <c r="F2103" s="77" t="n"/>
      <c r="G2103" s="75" t="n"/>
      <c r="H2103" s="75">
        <f>IF(ISBLANK(E2103),"",IF(OR(D2103="Butterfly",D2103="Butterfly ",D2103="Iron Fly", D2103="Iron Fly "),LEN(E2103)-LEN(SUBSTITUTE(E2103,"/",""))+2,LEN(E2103)-LEN(SUBSTITUTE(E2103,"/",""))+1))</f>
        <v/>
      </c>
      <c r="I2103" s="78">
        <f>IF(ISBLANK(G2103),"",IF(D2103="Stock","0",Key!$A$3*H2103*G2103))</f>
        <v/>
      </c>
      <c r="J2103" s="78">
        <f>IF(ISBLANK(E2103),"",IF(ISNUMBER(SEARCH("/",E2103)), IF(LEN(E2103)-LEN(SUBSTITUTE(E2103,"/",""))=1,(RIGHT(E2103,LEN(E2103)-FIND("/",E2103)))-(LEFT(E2103,FIND("/",E2103)-1)),(MID(E2103, SEARCH("/",E2103) + 1, SEARCH("/",E2103, SEARCH("/",E2103)+1) - SEARCH("/",E2103) - 1))-(LEFT(E2103,FIND("/",E2103)-1))), "NA"))</f>
        <v/>
      </c>
      <c r="K2103" s="79">
        <f>IF(A2103&lt;&gt;"", IF(ISBLANK(L2103), TODAY(), K2103), "")</f>
        <v/>
      </c>
      <c r="L2103" s="78" t="n"/>
      <c r="M2103" s="78">
        <f>IF(ISBLANK(L2103),"",IF(D2103="Stock",IF(C2103="Buy",L2103*G2103,IF(C2103="Sell",(L2103*G2103)-I2103, X)),IF(C2103="Buy",(L2103*G2103*100)+I2103,IF(C2103="Sell",(L2103*G2103*100)-I2103, X))))</f>
        <v/>
      </c>
      <c r="N2103" s="78">
        <f>IF(ISBLANK(L2103),"",IF(AND(C2103="Sell",D2103="Stock"),M2103,IF(ISBLANK(L2103),"",IF(C2103="Buy",M2103, IF(AND(C2103="Sell",J2103="NA"),(E2103*G2103*100*0.1)+I2103, IF(C2103="Sell",(J2103-L2103)*(100*G2103)+I2103))))))</f>
        <v/>
      </c>
      <c r="O2103" s="75" t="n"/>
      <c r="P2103" s="75" t="n"/>
      <c r="Q2103" s="75">
        <f>IF(ISBLANK(P2103),"",IF(D2103="Stock",P2103*G2103,IF(P2103=0,"0",G2103*P2103*100-(G2103*$AF$14))))</f>
        <v/>
      </c>
      <c r="R2103" s="79">
        <f>IF(P2103&lt;&gt;"", TODAY(), "")</f>
        <v/>
      </c>
      <c r="S2103" s="78">
        <f>IF(AND(K2103&lt;&gt;"", R2103&lt;&gt;""), R2103-K2103, "")</f>
        <v/>
      </c>
      <c r="T2103" s="78" t="n"/>
      <c r="U2103" s="92">
        <f>IF(ISBLANK(P2103),"",IF(C2103="Buy",Q2103-M2103+T2103, IF(C2103="Sell",M2103-Q2103-T2103, X)))</f>
        <v/>
      </c>
      <c r="V2103" s="81">
        <f>IF(ISBLANK(P2103),"",U2103/N2103)</f>
        <v/>
      </c>
      <c r="W2103" s="81">
        <f>IF(ISBLANK(P2103),"",IF(S2103=0,(365/0.5)*V2103,(365/S2103)*V2103))</f>
        <v/>
      </c>
      <c r="X2103" s="75" t="n"/>
      <c r="Y2103" s="77" t="n"/>
      <c r="Z2103" s="77" t="n"/>
      <c r="AA2103" s="75" t="n"/>
      <c r="AB2103" s="75" t="n"/>
      <c r="AC2103" s="6" t="n"/>
      <c r="AD2103" s="75" t="n"/>
      <c r="AE2103" s="75" t="n"/>
      <c r="AF2103" s="75" t="n"/>
    </row>
    <row r="2104" ht="15.75" customHeight="1" s="133">
      <c r="A2104" s="75" t="n"/>
      <c r="B2104" s="75" t="n"/>
      <c r="C2104" s="75" t="n"/>
      <c r="D2104" s="75" t="n"/>
      <c r="E2104" s="76" t="n"/>
      <c r="F2104" s="77" t="n"/>
      <c r="G2104" s="75" t="n"/>
      <c r="H2104" s="75">
        <f>IF(ISBLANK(E2104),"",IF(OR(D2104="Butterfly",D2104="Butterfly ",D2104="Iron Fly", D2104="Iron Fly "),LEN(E2104)-LEN(SUBSTITUTE(E2104,"/",""))+2,LEN(E2104)-LEN(SUBSTITUTE(E2104,"/",""))+1))</f>
        <v/>
      </c>
      <c r="I2104" s="78">
        <f>IF(ISBLANK(G2104),"",IF(D2104="Stock","0",Key!$A$3*H2104*G2104))</f>
        <v/>
      </c>
      <c r="J2104" s="78">
        <f>IF(ISBLANK(E2104),"",IF(ISNUMBER(SEARCH("/",E2104)), IF(LEN(E2104)-LEN(SUBSTITUTE(E2104,"/",""))=1,(RIGHT(E2104,LEN(E2104)-FIND("/",E2104)))-(LEFT(E2104,FIND("/",E2104)-1)),(MID(E2104, SEARCH("/",E2104) + 1, SEARCH("/",E2104, SEARCH("/",E2104)+1) - SEARCH("/",E2104) - 1))-(LEFT(E2104,FIND("/",E2104)-1))), "NA"))</f>
        <v/>
      </c>
      <c r="K2104" s="79">
        <f>IF(A2104&lt;&gt;"", IF(ISBLANK(L2104), TODAY(), K2104), "")</f>
        <v/>
      </c>
      <c r="L2104" s="78" t="n"/>
      <c r="M2104" s="78">
        <f>IF(ISBLANK(L2104),"",IF(D2104="Stock",IF(C2104="Buy",L2104*G2104,IF(C2104="Sell",(L2104*G2104)-I2104, X)),IF(C2104="Buy",(L2104*G2104*100)+I2104,IF(C2104="Sell",(L2104*G2104*100)-I2104, X))))</f>
        <v/>
      </c>
      <c r="N2104" s="78">
        <f>IF(ISBLANK(L2104),"",IF(AND(C2104="Sell",D2104="Stock"),M2104,IF(ISBLANK(L2104),"",IF(C2104="Buy",M2104, IF(AND(C2104="Sell",J2104="NA"),(E2104*G2104*100*0.1)+I2104, IF(C2104="Sell",(J2104-L2104)*(100*G2104)+I2104))))))</f>
        <v/>
      </c>
      <c r="O2104" s="75" t="n"/>
      <c r="P2104" s="75" t="n"/>
      <c r="Q2104" s="75">
        <f>IF(ISBLANK(P2104),"",IF(D2104="Stock",P2104*G2104,IF(P2104=0,"0",G2104*P2104*100-(G2104*$AF$14))))</f>
        <v/>
      </c>
      <c r="R2104" s="79">
        <f>IF(P2104&lt;&gt;"", TODAY(), "")</f>
        <v/>
      </c>
      <c r="S2104" s="78">
        <f>IF(AND(K2104&lt;&gt;"", R2104&lt;&gt;""), R2104-K2104, "")</f>
        <v/>
      </c>
      <c r="T2104" s="78" t="n"/>
      <c r="U2104" s="92">
        <f>IF(ISBLANK(P2104),"",IF(C2104="Buy",Q2104-M2104+T2104, IF(C2104="Sell",M2104-Q2104-T2104, X)))</f>
        <v/>
      </c>
      <c r="V2104" s="81">
        <f>IF(ISBLANK(P2104),"",U2104/N2104)</f>
        <v/>
      </c>
      <c r="W2104" s="81">
        <f>IF(ISBLANK(P2104),"",IF(S2104=0,(365/0.5)*V2104,(365/S2104)*V2104))</f>
        <v/>
      </c>
      <c r="X2104" s="75" t="n"/>
      <c r="Y2104" s="77" t="n"/>
      <c r="Z2104" s="77" t="n"/>
      <c r="AA2104" s="75" t="n"/>
      <c r="AB2104" s="75" t="n"/>
      <c r="AC2104" s="6" t="n"/>
      <c r="AD2104" s="75" t="n"/>
      <c r="AE2104" s="75" t="n"/>
      <c r="AF2104" s="75" t="n"/>
    </row>
    <row r="2105" ht="15.75" customHeight="1" s="133">
      <c r="A2105" s="75" t="n"/>
      <c r="B2105" s="75" t="n"/>
      <c r="C2105" s="75" t="n"/>
      <c r="D2105" s="75" t="n"/>
      <c r="E2105" s="76" t="n"/>
      <c r="F2105" s="77" t="n"/>
      <c r="G2105" s="75" t="n"/>
      <c r="H2105" s="75">
        <f>IF(ISBLANK(E2105),"",IF(OR(D2105="Butterfly",D2105="Butterfly ",D2105="Iron Fly", D2105="Iron Fly "),LEN(E2105)-LEN(SUBSTITUTE(E2105,"/",""))+2,LEN(E2105)-LEN(SUBSTITUTE(E2105,"/",""))+1))</f>
        <v/>
      </c>
      <c r="I2105" s="78">
        <f>IF(ISBLANK(G2105),"",IF(D2105="Stock","0",Key!$A$3*H2105*G2105))</f>
        <v/>
      </c>
      <c r="J2105" s="78">
        <f>IF(ISBLANK(E2105),"",IF(ISNUMBER(SEARCH("/",E2105)), IF(LEN(E2105)-LEN(SUBSTITUTE(E2105,"/",""))=1,(RIGHT(E2105,LEN(E2105)-FIND("/",E2105)))-(LEFT(E2105,FIND("/",E2105)-1)),(MID(E2105, SEARCH("/",E2105) + 1, SEARCH("/",E2105, SEARCH("/",E2105)+1) - SEARCH("/",E2105) - 1))-(LEFT(E2105,FIND("/",E2105)-1))), "NA"))</f>
        <v/>
      </c>
      <c r="K2105" s="79">
        <f>IF(A2105&lt;&gt;"", IF(ISBLANK(L2105), TODAY(), K2105), "")</f>
        <v/>
      </c>
      <c r="L2105" s="78" t="n"/>
      <c r="M2105" s="78">
        <f>IF(ISBLANK(L2105),"",IF(D2105="Stock",IF(C2105="Buy",L2105*G2105,IF(C2105="Sell",(L2105*G2105)-I2105, X)),IF(C2105="Buy",(L2105*G2105*100)+I2105,IF(C2105="Sell",(L2105*G2105*100)-I2105, X))))</f>
        <v/>
      </c>
      <c r="N2105" s="78">
        <f>IF(ISBLANK(L2105),"",IF(AND(C2105="Sell",D2105="Stock"),M2105,IF(ISBLANK(L2105),"",IF(C2105="Buy",M2105, IF(AND(C2105="Sell",J2105="NA"),(E2105*G2105*100*0.1)+I2105, IF(C2105="Sell",(J2105-L2105)*(100*G2105)+I2105))))))</f>
        <v/>
      </c>
      <c r="O2105" s="75" t="n"/>
      <c r="P2105" s="75" t="n"/>
      <c r="Q2105" s="75">
        <f>IF(ISBLANK(P2105),"",IF(D2105="Stock",P2105*G2105,IF(P2105=0,"0",G2105*P2105*100-(G2105*$AF$14))))</f>
        <v/>
      </c>
      <c r="R2105" s="79">
        <f>IF(P2105&lt;&gt;"", TODAY(), "")</f>
        <v/>
      </c>
      <c r="S2105" s="78">
        <f>IF(AND(K2105&lt;&gt;"", R2105&lt;&gt;""), R2105-K2105, "")</f>
        <v/>
      </c>
      <c r="T2105" s="78" t="n"/>
      <c r="U2105" s="92">
        <f>IF(ISBLANK(P2105),"",IF(C2105="Buy",Q2105-M2105+T2105, IF(C2105="Sell",M2105-Q2105-T2105, X)))</f>
        <v/>
      </c>
      <c r="V2105" s="81">
        <f>IF(ISBLANK(P2105),"",U2105/N2105)</f>
        <v/>
      </c>
      <c r="W2105" s="81">
        <f>IF(ISBLANK(P2105),"",IF(S2105=0,(365/0.5)*V2105,(365/S2105)*V2105))</f>
        <v/>
      </c>
      <c r="X2105" s="75" t="n"/>
      <c r="Y2105" s="77" t="n"/>
      <c r="Z2105" s="77" t="n"/>
      <c r="AA2105" s="75" t="n"/>
      <c r="AB2105" s="75" t="n"/>
      <c r="AC2105" s="6" t="n"/>
      <c r="AD2105" s="75" t="n"/>
      <c r="AE2105" s="75" t="n"/>
      <c r="AF2105" s="75" t="n"/>
    </row>
    <row r="2106" ht="15.75" customHeight="1" s="133">
      <c r="A2106" s="75" t="n"/>
      <c r="B2106" s="75" t="n"/>
      <c r="C2106" s="75" t="n"/>
      <c r="D2106" s="75" t="n"/>
      <c r="E2106" s="76" t="n"/>
      <c r="F2106" s="77" t="n"/>
      <c r="G2106" s="75" t="n"/>
      <c r="H2106" s="75">
        <f>IF(ISBLANK(E2106),"",IF(OR(D2106="Butterfly",D2106="Butterfly ",D2106="Iron Fly", D2106="Iron Fly "),LEN(E2106)-LEN(SUBSTITUTE(E2106,"/",""))+2,LEN(E2106)-LEN(SUBSTITUTE(E2106,"/",""))+1))</f>
        <v/>
      </c>
      <c r="I2106" s="78">
        <f>IF(ISBLANK(G2106),"",IF(D2106="Stock","0",Key!$A$3*H2106*G2106))</f>
        <v/>
      </c>
      <c r="J2106" s="78">
        <f>IF(ISBLANK(E2106),"",IF(ISNUMBER(SEARCH("/",E2106)), IF(LEN(E2106)-LEN(SUBSTITUTE(E2106,"/",""))=1,(RIGHT(E2106,LEN(E2106)-FIND("/",E2106)))-(LEFT(E2106,FIND("/",E2106)-1)),(MID(E2106, SEARCH("/",E2106) + 1, SEARCH("/",E2106, SEARCH("/",E2106)+1) - SEARCH("/",E2106) - 1))-(LEFT(E2106,FIND("/",E2106)-1))), "NA"))</f>
        <v/>
      </c>
      <c r="K2106" s="79">
        <f>IF(A2106&lt;&gt;"", IF(ISBLANK(L2106), TODAY(), K2106), "")</f>
        <v/>
      </c>
      <c r="L2106" s="78" t="n"/>
      <c r="M2106" s="78">
        <f>IF(ISBLANK(L2106),"",IF(D2106="Stock",IF(C2106="Buy",L2106*G2106,IF(C2106="Sell",(L2106*G2106)-I2106, X)),IF(C2106="Buy",(L2106*G2106*100)+I2106,IF(C2106="Sell",(L2106*G2106*100)-I2106, X))))</f>
        <v/>
      </c>
      <c r="N2106" s="78">
        <f>IF(ISBLANK(L2106),"",IF(AND(C2106="Sell",D2106="Stock"),M2106,IF(ISBLANK(L2106),"",IF(C2106="Buy",M2106, IF(AND(C2106="Sell",J2106="NA"),(E2106*G2106*100*0.1)+I2106, IF(C2106="Sell",(J2106-L2106)*(100*G2106)+I2106))))))</f>
        <v/>
      </c>
      <c r="O2106" s="75" t="n"/>
      <c r="P2106" s="75" t="n"/>
      <c r="Q2106" s="75">
        <f>IF(ISBLANK(P2106),"",IF(D2106="Stock",P2106*G2106,IF(P2106=0,"0",G2106*P2106*100-(G2106*$AF$14))))</f>
        <v/>
      </c>
      <c r="R2106" s="79">
        <f>IF(P2106&lt;&gt;"", TODAY(), "")</f>
        <v/>
      </c>
      <c r="S2106" s="78">
        <f>IF(AND(K2106&lt;&gt;"", R2106&lt;&gt;""), R2106-K2106, "")</f>
        <v/>
      </c>
      <c r="T2106" s="78" t="n"/>
      <c r="U2106" s="92">
        <f>IF(ISBLANK(P2106),"",IF(C2106="Buy",Q2106-M2106+T2106, IF(C2106="Sell",M2106-Q2106-T2106, X)))</f>
        <v/>
      </c>
      <c r="V2106" s="81">
        <f>IF(ISBLANK(P2106),"",U2106/N2106)</f>
        <v/>
      </c>
      <c r="W2106" s="81">
        <f>IF(ISBLANK(P2106),"",IF(S2106=0,(365/0.5)*V2106,(365/S2106)*V2106))</f>
        <v/>
      </c>
      <c r="X2106" s="75" t="n"/>
      <c r="Y2106" s="77" t="n"/>
      <c r="Z2106" s="77" t="n"/>
      <c r="AA2106" s="75" t="n"/>
      <c r="AB2106" s="75" t="n"/>
      <c r="AC2106" s="6" t="n"/>
      <c r="AD2106" s="75" t="n"/>
      <c r="AE2106" s="75" t="n"/>
      <c r="AF2106" s="75" t="n"/>
    </row>
    <row r="2107" ht="15.75" customHeight="1" s="133">
      <c r="A2107" s="75" t="n"/>
      <c r="B2107" s="75" t="n"/>
      <c r="C2107" s="75" t="n"/>
      <c r="D2107" s="75" t="n"/>
      <c r="E2107" s="76" t="n"/>
      <c r="F2107" s="77" t="n"/>
      <c r="G2107" s="75" t="n"/>
      <c r="H2107" s="75">
        <f>IF(ISBLANK(E2107),"",IF(OR(D2107="Butterfly",D2107="Butterfly ",D2107="Iron Fly", D2107="Iron Fly "),LEN(E2107)-LEN(SUBSTITUTE(E2107,"/",""))+2,LEN(E2107)-LEN(SUBSTITUTE(E2107,"/",""))+1))</f>
        <v/>
      </c>
      <c r="I2107" s="78">
        <f>IF(ISBLANK(G2107),"",IF(D2107="Stock","0",Key!$A$3*H2107*G2107))</f>
        <v/>
      </c>
      <c r="J2107" s="78">
        <f>IF(ISBLANK(E2107),"",IF(ISNUMBER(SEARCH("/",E2107)), IF(LEN(E2107)-LEN(SUBSTITUTE(E2107,"/",""))=1,(RIGHT(E2107,LEN(E2107)-FIND("/",E2107)))-(LEFT(E2107,FIND("/",E2107)-1)),(MID(E2107, SEARCH("/",E2107) + 1, SEARCH("/",E2107, SEARCH("/",E2107)+1) - SEARCH("/",E2107) - 1))-(LEFT(E2107,FIND("/",E2107)-1))), "NA"))</f>
        <v/>
      </c>
      <c r="K2107" s="79">
        <f>IF(A2107&lt;&gt;"", IF(ISBLANK(L2107), TODAY(), K2107), "")</f>
        <v/>
      </c>
      <c r="L2107" s="78" t="n"/>
      <c r="M2107" s="78">
        <f>IF(ISBLANK(L2107),"",IF(D2107="Stock",IF(C2107="Buy",L2107*G2107,IF(C2107="Sell",(L2107*G2107)-I2107, X)),IF(C2107="Buy",(L2107*G2107*100)+I2107,IF(C2107="Sell",(L2107*G2107*100)-I2107, X))))</f>
        <v/>
      </c>
      <c r="N2107" s="78">
        <f>IF(ISBLANK(L2107),"",IF(AND(C2107="Sell",D2107="Stock"),M2107,IF(ISBLANK(L2107),"",IF(C2107="Buy",M2107, IF(AND(C2107="Sell",J2107="NA"),(E2107*G2107*100*0.1)+I2107, IF(C2107="Sell",(J2107-L2107)*(100*G2107)+I2107))))))</f>
        <v/>
      </c>
      <c r="O2107" s="75" t="n"/>
      <c r="P2107" s="75" t="n"/>
      <c r="Q2107" s="75">
        <f>IF(ISBLANK(P2107),"",IF(D2107="Stock",P2107*G2107,IF(P2107=0,"0",G2107*P2107*100-(G2107*$AF$14))))</f>
        <v/>
      </c>
      <c r="R2107" s="79">
        <f>IF(P2107&lt;&gt;"", TODAY(), "")</f>
        <v/>
      </c>
      <c r="S2107" s="78">
        <f>IF(AND(K2107&lt;&gt;"", R2107&lt;&gt;""), R2107-K2107, "")</f>
        <v/>
      </c>
      <c r="T2107" s="78" t="n"/>
      <c r="U2107" s="92">
        <f>IF(ISBLANK(P2107),"",IF(C2107="Buy",Q2107-M2107+T2107, IF(C2107="Sell",M2107-Q2107-T2107, X)))</f>
        <v/>
      </c>
      <c r="V2107" s="81">
        <f>IF(ISBLANK(P2107),"",U2107/N2107)</f>
        <v/>
      </c>
      <c r="W2107" s="81">
        <f>IF(ISBLANK(P2107),"",IF(S2107=0,(365/0.5)*V2107,(365/S2107)*V2107))</f>
        <v/>
      </c>
      <c r="X2107" s="75" t="n"/>
      <c r="Y2107" s="77" t="n"/>
      <c r="Z2107" s="77" t="n"/>
      <c r="AA2107" s="75" t="n"/>
      <c r="AB2107" s="75" t="n"/>
      <c r="AC2107" s="6" t="n"/>
      <c r="AD2107" s="75" t="n"/>
      <c r="AE2107" s="75" t="n"/>
      <c r="AF2107" s="75" t="n"/>
    </row>
    <row r="2108" ht="15.75" customHeight="1" s="133">
      <c r="A2108" s="75" t="n"/>
      <c r="B2108" s="75" t="n"/>
      <c r="C2108" s="75" t="n"/>
      <c r="D2108" s="75" t="n"/>
      <c r="E2108" s="76" t="n"/>
      <c r="F2108" s="77" t="n"/>
      <c r="G2108" s="75" t="n"/>
      <c r="H2108" s="75">
        <f>IF(ISBLANK(E2108),"",IF(OR(D2108="Butterfly",D2108="Butterfly ",D2108="Iron Fly", D2108="Iron Fly "),LEN(E2108)-LEN(SUBSTITUTE(E2108,"/",""))+2,LEN(E2108)-LEN(SUBSTITUTE(E2108,"/",""))+1))</f>
        <v/>
      </c>
      <c r="I2108" s="78">
        <f>IF(ISBLANK(G2108),"",IF(D2108="Stock","0",Key!$A$3*H2108*G2108))</f>
        <v/>
      </c>
      <c r="J2108" s="78">
        <f>IF(ISBLANK(E2108),"",IF(ISNUMBER(SEARCH("/",E2108)), IF(LEN(E2108)-LEN(SUBSTITUTE(E2108,"/",""))=1,(RIGHT(E2108,LEN(E2108)-FIND("/",E2108)))-(LEFT(E2108,FIND("/",E2108)-1)),(MID(E2108, SEARCH("/",E2108) + 1, SEARCH("/",E2108, SEARCH("/",E2108)+1) - SEARCH("/",E2108) - 1))-(LEFT(E2108,FIND("/",E2108)-1))), "NA"))</f>
        <v/>
      </c>
      <c r="K2108" s="79">
        <f>IF(A2108&lt;&gt;"", IF(ISBLANK(L2108), TODAY(), K2108), "")</f>
        <v/>
      </c>
      <c r="L2108" s="78" t="n"/>
      <c r="M2108" s="78">
        <f>IF(ISBLANK(L2108),"",IF(D2108="Stock",IF(C2108="Buy",L2108*G2108,IF(C2108="Sell",(L2108*G2108)-I2108, X)),IF(C2108="Buy",(L2108*G2108*100)+I2108,IF(C2108="Sell",(L2108*G2108*100)-I2108, X))))</f>
        <v/>
      </c>
      <c r="N2108" s="78">
        <f>IF(ISBLANK(L2108),"",IF(AND(C2108="Sell",D2108="Stock"),M2108,IF(ISBLANK(L2108),"",IF(C2108="Buy",M2108, IF(AND(C2108="Sell",J2108="NA"),(E2108*G2108*100*0.1)+I2108, IF(C2108="Sell",(J2108-L2108)*(100*G2108)+I2108))))))</f>
        <v/>
      </c>
      <c r="O2108" s="75" t="n"/>
      <c r="P2108" s="75" t="n"/>
      <c r="Q2108" s="75">
        <f>IF(ISBLANK(P2108),"",IF(D2108="Stock",P2108*G2108,IF(P2108=0,"0",G2108*P2108*100-(G2108*$AF$14))))</f>
        <v/>
      </c>
      <c r="R2108" s="79">
        <f>IF(P2108&lt;&gt;"", TODAY(), "")</f>
        <v/>
      </c>
      <c r="S2108" s="78">
        <f>IF(AND(K2108&lt;&gt;"", R2108&lt;&gt;""), R2108-K2108, "")</f>
        <v/>
      </c>
      <c r="T2108" s="78" t="n"/>
      <c r="U2108" s="92">
        <f>IF(ISBLANK(P2108),"",IF(C2108="Buy",Q2108-M2108+T2108, IF(C2108="Sell",M2108-Q2108-T2108, X)))</f>
        <v/>
      </c>
      <c r="V2108" s="81">
        <f>IF(ISBLANK(P2108),"",U2108/N2108)</f>
        <v/>
      </c>
      <c r="W2108" s="81">
        <f>IF(ISBLANK(P2108),"",IF(S2108=0,(365/0.5)*V2108,(365/S2108)*V2108))</f>
        <v/>
      </c>
      <c r="X2108" s="75" t="n"/>
      <c r="Y2108" s="77" t="n"/>
      <c r="Z2108" s="77" t="n"/>
      <c r="AA2108" s="75" t="n"/>
      <c r="AB2108" s="75" t="n"/>
      <c r="AC2108" s="6" t="n"/>
      <c r="AD2108" s="75" t="n"/>
      <c r="AE2108" s="75" t="n"/>
      <c r="AF2108" s="75" t="n"/>
    </row>
    <row r="2109" ht="15.75" customHeight="1" s="133">
      <c r="A2109" s="75" t="n"/>
      <c r="B2109" s="75" t="n"/>
      <c r="C2109" s="75" t="n"/>
      <c r="D2109" s="75" t="n"/>
      <c r="E2109" s="76" t="n"/>
      <c r="F2109" s="77" t="n"/>
      <c r="G2109" s="75" t="n"/>
      <c r="H2109" s="75">
        <f>IF(ISBLANK(E2109),"",IF(OR(D2109="Butterfly",D2109="Butterfly ",D2109="Iron Fly", D2109="Iron Fly "),LEN(E2109)-LEN(SUBSTITUTE(E2109,"/",""))+2,LEN(E2109)-LEN(SUBSTITUTE(E2109,"/",""))+1))</f>
        <v/>
      </c>
      <c r="I2109" s="78">
        <f>IF(ISBLANK(G2109),"",IF(D2109="Stock","0",Key!$A$3*H2109*G2109))</f>
        <v/>
      </c>
      <c r="J2109" s="78">
        <f>IF(ISBLANK(E2109),"",IF(ISNUMBER(SEARCH("/",E2109)), IF(LEN(E2109)-LEN(SUBSTITUTE(E2109,"/",""))=1,(RIGHT(E2109,LEN(E2109)-FIND("/",E2109)))-(LEFT(E2109,FIND("/",E2109)-1)),(MID(E2109, SEARCH("/",E2109) + 1, SEARCH("/",E2109, SEARCH("/",E2109)+1) - SEARCH("/",E2109) - 1))-(LEFT(E2109,FIND("/",E2109)-1))), "NA"))</f>
        <v/>
      </c>
      <c r="K2109" s="79">
        <f>IF(A2109&lt;&gt;"", IF(ISBLANK(L2109), TODAY(), K2109), "")</f>
        <v/>
      </c>
      <c r="L2109" s="78" t="n"/>
      <c r="M2109" s="78">
        <f>IF(ISBLANK(L2109),"",IF(D2109="Stock",IF(C2109="Buy",L2109*G2109,IF(C2109="Sell",(L2109*G2109)-I2109, X)),IF(C2109="Buy",(L2109*G2109*100)+I2109,IF(C2109="Sell",(L2109*G2109*100)-I2109, X))))</f>
        <v/>
      </c>
      <c r="N2109" s="78">
        <f>IF(ISBLANK(L2109),"",IF(AND(C2109="Sell",D2109="Stock"),M2109,IF(ISBLANK(L2109),"",IF(C2109="Buy",M2109, IF(AND(C2109="Sell",J2109="NA"),(E2109*G2109*100*0.1)+I2109, IF(C2109="Sell",(J2109-L2109)*(100*G2109)+I2109))))))</f>
        <v/>
      </c>
      <c r="O2109" s="75" t="n"/>
      <c r="P2109" s="75" t="n"/>
      <c r="Q2109" s="75">
        <f>IF(ISBLANK(P2109),"",IF(D2109="Stock",P2109*G2109,IF(P2109=0,"0",G2109*P2109*100-(G2109*$AF$14))))</f>
        <v/>
      </c>
      <c r="R2109" s="79">
        <f>IF(P2109&lt;&gt;"", TODAY(), "")</f>
        <v/>
      </c>
      <c r="S2109" s="78">
        <f>IF(AND(K2109&lt;&gt;"", R2109&lt;&gt;""), R2109-K2109, "")</f>
        <v/>
      </c>
      <c r="T2109" s="78" t="n"/>
      <c r="U2109" s="92">
        <f>IF(ISBLANK(P2109),"",IF(C2109="Buy",Q2109-M2109+T2109, IF(C2109="Sell",M2109-Q2109-T2109, X)))</f>
        <v/>
      </c>
      <c r="V2109" s="81">
        <f>IF(ISBLANK(P2109),"",U2109/N2109)</f>
        <v/>
      </c>
      <c r="W2109" s="81">
        <f>IF(ISBLANK(P2109),"",IF(S2109=0,(365/0.5)*V2109,(365/S2109)*V2109))</f>
        <v/>
      </c>
      <c r="X2109" s="75" t="n"/>
      <c r="Y2109" s="77" t="n"/>
      <c r="Z2109" s="77" t="n"/>
      <c r="AA2109" s="75" t="n"/>
      <c r="AB2109" s="75" t="n"/>
      <c r="AC2109" s="6" t="n"/>
      <c r="AD2109" s="75" t="n"/>
      <c r="AE2109" s="75" t="n"/>
      <c r="AF2109" s="75" t="n"/>
    </row>
    <row r="2110" ht="15.75" customHeight="1" s="133">
      <c r="A2110" s="75" t="n"/>
      <c r="B2110" s="75" t="n"/>
      <c r="C2110" s="75" t="n"/>
      <c r="D2110" s="75" t="n"/>
      <c r="E2110" s="76" t="n"/>
      <c r="F2110" s="77" t="n"/>
      <c r="G2110" s="75" t="n"/>
      <c r="H2110" s="75">
        <f>IF(ISBLANK(E2110),"",IF(OR(D2110="Butterfly",D2110="Butterfly ",D2110="Iron Fly", D2110="Iron Fly "),LEN(E2110)-LEN(SUBSTITUTE(E2110,"/",""))+2,LEN(E2110)-LEN(SUBSTITUTE(E2110,"/",""))+1))</f>
        <v/>
      </c>
      <c r="I2110" s="78">
        <f>IF(ISBLANK(G2110),"",IF(D2110="Stock","0",Key!$A$3*H2110*G2110))</f>
        <v/>
      </c>
      <c r="J2110" s="78">
        <f>IF(ISBLANK(E2110),"",IF(ISNUMBER(SEARCH("/",E2110)), IF(LEN(E2110)-LEN(SUBSTITUTE(E2110,"/",""))=1,(RIGHT(E2110,LEN(E2110)-FIND("/",E2110)))-(LEFT(E2110,FIND("/",E2110)-1)),(MID(E2110, SEARCH("/",E2110) + 1, SEARCH("/",E2110, SEARCH("/",E2110)+1) - SEARCH("/",E2110) - 1))-(LEFT(E2110,FIND("/",E2110)-1))), "NA"))</f>
        <v/>
      </c>
      <c r="K2110" s="79">
        <f>IF(A2110&lt;&gt;"", IF(ISBLANK(L2110), TODAY(), K2110), "")</f>
        <v/>
      </c>
      <c r="L2110" s="78" t="n"/>
      <c r="M2110" s="78">
        <f>IF(ISBLANK(L2110),"",IF(D2110="Stock",IF(C2110="Buy",L2110*G2110,IF(C2110="Sell",(L2110*G2110)-I2110, X)),IF(C2110="Buy",(L2110*G2110*100)+I2110,IF(C2110="Sell",(L2110*G2110*100)-I2110, X))))</f>
        <v/>
      </c>
      <c r="N2110" s="78">
        <f>IF(ISBLANK(L2110),"",IF(AND(C2110="Sell",D2110="Stock"),M2110,IF(ISBLANK(L2110),"",IF(C2110="Buy",M2110, IF(AND(C2110="Sell",J2110="NA"),(E2110*G2110*100*0.1)+I2110, IF(C2110="Sell",(J2110-L2110)*(100*G2110)+I2110))))))</f>
        <v/>
      </c>
      <c r="O2110" s="75" t="n"/>
      <c r="P2110" s="75" t="n"/>
      <c r="Q2110" s="75">
        <f>IF(ISBLANK(P2110),"",IF(D2110="Stock",P2110*G2110,IF(P2110=0,"0",G2110*P2110*100-(G2110*$AF$14))))</f>
        <v/>
      </c>
      <c r="R2110" s="79">
        <f>IF(P2110&lt;&gt;"", TODAY(), "")</f>
        <v/>
      </c>
      <c r="S2110" s="78">
        <f>IF(AND(K2110&lt;&gt;"", R2110&lt;&gt;""), R2110-K2110, "")</f>
        <v/>
      </c>
      <c r="T2110" s="78" t="n"/>
      <c r="U2110" s="92">
        <f>IF(ISBLANK(P2110),"",IF(C2110="Buy",Q2110-M2110+T2110, IF(C2110="Sell",M2110-Q2110-T2110, X)))</f>
        <v/>
      </c>
      <c r="V2110" s="81">
        <f>IF(ISBLANK(P2110),"",U2110/N2110)</f>
        <v/>
      </c>
      <c r="W2110" s="81">
        <f>IF(ISBLANK(P2110),"",IF(S2110=0,(365/0.5)*V2110,(365/S2110)*V2110))</f>
        <v/>
      </c>
      <c r="X2110" s="75" t="n"/>
      <c r="Y2110" s="77" t="n"/>
      <c r="Z2110" s="77" t="n"/>
      <c r="AA2110" s="75" t="n"/>
      <c r="AB2110" s="75" t="n"/>
      <c r="AC2110" s="6" t="n"/>
      <c r="AD2110" s="75" t="n"/>
      <c r="AE2110" s="75" t="n"/>
      <c r="AF2110" s="75" t="n"/>
    </row>
    <row r="2111" ht="15.75" customHeight="1" s="133">
      <c r="A2111" s="75" t="n"/>
      <c r="B2111" s="75" t="n"/>
      <c r="C2111" s="75" t="n"/>
      <c r="D2111" s="75" t="n"/>
      <c r="E2111" s="76" t="n"/>
      <c r="F2111" s="77" t="n"/>
      <c r="G2111" s="75" t="n"/>
      <c r="H2111" s="75">
        <f>IF(ISBLANK(E2111),"",IF(OR(D2111="Butterfly",D2111="Butterfly ",D2111="Iron Fly", D2111="Iron Fly "),LEN(E2111)-LEN(SUBSTITUTE(E2111,"/",""))+2,LEN(E2111)-LEN(SUBSTITUTE(E2111,"/",""))+1))</f>
        <v/>
      </c>
      <c r="I2111" s="78">
        <f>IF(ISBLANK(G2111),"",IF(D2111="Stock","0",Key!$A$3*H2111*G2111))</f>
        <v/>
      </c>
      <c r="J2111" s="78">
        <f>IF(ISBLANK(E2111),"",IF(ISNUMBER(SEARCH("/",E2111)), IF(LEN(E2111)-LEN(SUBSTITUTE(E2111,"/",""))=1,(RIGHT(E2111,LEN(E2111)-FIND("/",E2111)))-(LEFT(E2111,FIND("/",E2111)-1)),(MID(E2111, SEARCH("/",E2111) + 1, SEARCH("/",E2111, SEARCH("/",E2111)+1) - SEARCH("/",E2111) - 1))-(LEFT(E2111,FIND("/",E2111)-1))), "NA"))</f>
        <v/>
      </c>
      <c r="K2111" s="79">
        <f>IF(A2111&lt;&gt;"", IF(ISBLANK(L2111), TODAY(), K2111), "")</f>
        <v/>
      </c>
      <c r="L2111" s="78" t="n"/>
      <c r="M2111" s="78">
        <f>IF(ISBLANK(L2111),"",IF(D2111="Stock",IF(C2111="Buy",L2111*G2111,IF(C2111="Sell",(L2111*G2111)-I2111, X)),IF(C2111="Buy",(L2111*G2111*100)+I2111,IF(C2111="Sell",(L2111*G2111*100)-I2111, X))))</f>
        <v/>
      </c>
      <c r="N2111" s="78">
        <f>IF(ISBLANK(L2111),"",IF(AND(C2111="Sell",D2111="Stock"),M2111,IF(ISBLANK(L2111),"",IF(C2111="Buy",M2111, IF(AND(C2111="Sell",J2111="NA"),(E2111*G2111*100*0.1)+I2111, IF(C2111="Sell",(J2111-L2111)*(100*G2111)+I2111))))))</f>
        <v/>
      </c>
      <c r="O2111" s="75" t="n"/>
      <c r="P2111" s="75" t="n"/>
      <c r="Q2111" s="75">
        <f>IF(ISBLANK(P2111),"",IF(D2111="Stock",P2111*G2111,IF(P2111=0,"0",G2111*P2111*100-(G2111*$AF$14))))</f>
        <v/>
      </c>
      <c r="R2111" s="79">
        <f>IF(P2111&lt;&gt;"", TODAY(), "")</f>
        <v/>
      </c>
      <c r="S2111" s="78">
        <f>IF(AND(K2111&lt;&gt;"", R2111&lt;&gt;""), R2111-K2111, "")</f>
        <v/>
      </c>
      <c r="T2111" s="78" t="n"/>
      <c r="U2111" s="92">
        <f>IF(ISBLANK(P2111),"",IF(C2111="Buy",Q2111-M2111+T2111, IF(C2111="Sell",M2111-Q2111-T2111, X)))</f>
        <v/>
      </c>
      <c r="V2111" s="81">
        <f>IF(ISBLANK(P2111),"",U2111/N2111)</f>
        <v/>
      </c>
      <c r="W2111" s="81">
        <f>IF(ISBLANK(P2111),"",IF(S2111=0,(365/0.5)*V2111,(365/S2111)*V2111))</f>
        <v/>
      </c>
      <c r="X2111" s="75" t="n"/>
      <c r="Y2111" s="77" t="n"/>
      <c r="Z2111" s="77" t="n"/>
      <c r="AA2111" s="75" t="n"/>
      <c r="AB2111" s="75" t="n"/>
      <c r="AC2111" s="6" t="n"/>
      <c r="AD2111" s="75" t="n"/>
      <c r="AE2111" s="75" t="n"/>
      <c r="AF2111" s="75" t="n"/>
    </row>
    <row r="2112" ht="15.75" customHeight="1" s="133">
      <c r="A2112" s="75" t="n"/>
      <c r="B2112" s="75" t="n"/>
      <c r="C2112" s="75" t="n"/>
      <c r="D2112" s="75" t="n"/>
      <c r="E2112" s="76" t="n"/>
      <c r="F2112" s="77" t="n"/>
      <c r="G2112" s="75" t="n"/>
      <c r="H2112" s="75">
        <f>IF(ISBLANK(E2112),"",IF(OR(D2112="Butterfly",D2112="Butterfly ",D2112="Iron Fly", D2112="Iron Fly "),LEN(E2112)-LEN(SUBSTITUTE(E2112,"/",""))+2,LEN(E2112)-LEN(SUBSTITUTE(E2112,"/",""))+1))</f>
        <v/>
      </c>
      <c r="I2112" s="78">
        <f>IF(ISBLANK(G2112),"",IF(D2112="Stock","0",Key!$A$3*H2112*G2112))</f>
        <v/>
      </c>
      <c r="J2112" s="78">
        <f>IF(ISBLANK(E2112),"",IF(ISNUMBER(SEARCH("/",E2112)), IF(LEN(E2112)-LEN(SUBSTITUTE(E2112,"/",""))=1,(RIGHT(E2112,LEN(E2112)-FIND("/",E2112)))-(LEFT(E2112,FIND("/",E2112)-1)),(MID(E2112, SEARCH("/",E2112) + 1, SEARCH("/",E2112, SEARCH("/",E2112)+1) - SEARCH("/",E2112) - 1))-(LEFT(E2112,FIND("/",E2112)-1))), "NA"))</f>
        <v/>
      </c>
      <c r="K2112" s="79">
        <f>IF(A2112&lt;&gt;"", IF(ISBLANK(L2112), TODAY(), K2112), "")</f>
        <v/>
      </c>
      <c r="L2112" s="78" t="n"/>
      <c r="M2112" s="78">
        <f>IF(ISBLANK(L2112),"",IF(D2112="Stock",IF(C2112="Buy",L2112*G2112,IF(C2112="Sell",(L2112*G2112)-I2112, X)),IF(C2112="Buy",(L2112*G2112*100)+I2112,IF(C2112="Sell",(L2112*G2112*100)-I2112, X))))</f>
        <v/>
      </c>
      <c r="N2112" s="78">
        <f>IF(ISBLANK(L2112),"",IF(AND(C2112="Sell",D2112="Stock"),M2112,IF(ISBLANK(L2112),"",IF(C2112="Buy",M2112, IF(AND(C2112="Sell",J2112="NA"),(E2112*G2112*100*0.1)+I2112, IF(C2112="Sell",(J2112-L2112)*(100*G2112)+I2112))))))</f>
        <v/>
      </c>
      <c r="O2112" s="75" t="n"/>
      <c r="P2112" s="75" t="n"/>
      <c r="Q2112" s="75">
        <f>IF(ISBLANK(P2112),"",IF(D2112="Stock",P2112*G2112,IF(P2112=0,"0",G2112*P2112*100-(G2112*$AF$14))))</f>
        <v/>
      </c>
      <c r="R2112" s="79">
        <f>IF(P2112&lt;&gt;"", TODAY(), "")</f>
        <v/>
      </c>
      <c r="S2112" s="78">
        <f>IF(AND(K2112&lt;&gt;"", R2112&lt;&gt;""), R2112-K2112, "")</f>
        <v/>
      </c>
      <c r="T2112" s="78" t="n"/>
      <c r="U2112" s="92">
        <f>IF(ISBLANK(P2112),"",IF(C2112="Buy",Q2112-M2112+T2112, IF(C2112="Sell",M2112-Q2112-T2112, X)))</f>
        <v/>
      </c>
      <c r="V2112" s="81">
        <f>IF(ISBLANK(P2112),"",U2112/N2112)</f>
        <v/>
      </c>
      <c r="W2112" s="81">
        <f>IF(ISBLANK(P2112),"",IF(S2112=0,(365/0.5)*V2112,(365/S2112)*V2112))</f>
        <v/>
      </c>
      <c r="X2112" s="75" t="n"/>
      <c r="Y2112" s="77" t="n"/>
      <c r="Z2112" s="77" t="n"/>
      <c r="AA2112" s="75" t="n"/>
      <c r="AB2112" s="75" t="n"/>
      <c r="AC2112" s="6" t="n"/>
      <c r="AD2112" s="75" t="n"/>
      <c r="AE2112" s="75" t="n"/>
      <c r="AF2112" s="75" t="n"/>
    </row>
    <row r="2113" ht="15.75" customHeight="1" s="133">
      <c r="A2113" s="75" t="n"/>
      <c r="B2113" s="75" t="n"/>
      <c r="C2113" s="75" t="n"/>
      <c r="D2113" s="75" t="n"/>
      <c r="E2113" s="76" t="n"/>
      <c r="F2113" s="77" t="n"/>
      <c r="G2113" s="75" t="n"/>
      <c r="H2113" s="75">
        <f>IF(ISBLANK(E2113),"",IF(OR(D2113="Butterfly",D2113="Butterfly ",D2113="Iron Fly", D2113="Iron Fly "),LEN(E2113)-LEN(SUBSTITUTE(E2113,"/",""))+2,LEN(E2113)-LEN(SUBSTITUTE(E2113,"/",""))+1))</f>
        <v/>
      </c>
      <c r="I2113" s="78">
        <f>IF(ISBLANK(G2113),"",IF(D2113="Stock","0",Key!$A$3*H2113*G2113))</f>
        <v/>
      </c>
      <c r="J2113" s="78">
        <f>IF(ISBLANK(E2113),"",IF(ISNUMBER(SEARCH("/",E2113)), IF(LEN(E2113)-LEN(SUBSTITUTE(E2113,"/",""))=1,(RIGHT(E2113,LEN(E2113)-FIND("/",E2113)))-(LEFT(E2113,FIND("/",E2113)-1)),(MID(E2113, SEARCH("/",E2113) + 1, SEARCH("/",E2113, SEARCH("/",E2113)+1) - SEARCH("/",E2113) - 1))-(LEFT(E2113,FIND("/",E2113)-1))), "NA"))</f>
        <v/>
      </c>
      <c r="K2113" s="79">
        <f>IF(A2113&lt;&gt;"", IF(ISBLANK(L2113), TODAY(), K2113), "")</f>
        <v/>
      </c>
      <c r="L2113" s="78" t="n"/>
      <c r="M2113" s="78">
        <f>IF(ISBLANK(L2113),"",IF(D2113="Stock",IF(C2113="Buy",L2113*G2113,IF(C2113="Sell",(L2113*G2113)-I2113, X)),IF(C2113="Buy",(L2113*G2113*100)+I2113,IF(C2113="Sell",(L2113*G2113*100)-I2113, X))))</f>
        <v/>
      </c>
      <c r="N2113" s="78">
        <f>IF(ISBLANK(L2113),"",IF(AND(C2113="Sell",D2113="Stock"),M2113,IF(ISBLANK(L2113),"",IF(C2113="Buy",M2113, IF(AND(C2113="Sell",J2113="NA"),(E2113*G2113*100*0.1)+I2113, IF(C2113="Sell",(J2113-L2113)*(100*G2113)+I2113))))))</f>
        <v/>
      </c>
      <c r="O2113" s="75" t="n"/>
      <c r="P2113" s="75" t="n"/>
      <c r="Q2113" s="75">
        <f>IF(ISBLANK(P2113),"",IF(D2113="Stock",P2113*G2113,IF(P2113=0,"0",G2113*P2113*100-(G2113*$AF$14))))</f>
        <v/>
      </c>
      <c r="R2113" s="79">
        <f>IF(P2113&lt;&gt;"", TODAY(), "")</f>
        <v/>
      </c>
      <c r="S2113" s="78">
        <f>IF(AND(K2113&lt;&gt;"", R2113&lt;&gt;""), R2113-K2113, "")</f>
        <v/>
      </c>
      <c r="T2113" s="78" t="n"/>
      <c r="U2113" s="92">
        <f>IF(ISBLANK(P2113),"",IF(C2113="Buy",Q2113-M2113+T2113, IF(C2113="Sell",M2113-Q2113-T2113, X)))</f>
        <v/>
      </c>
      <c r="V2113" s="81">
        <f>IF(ISBLANK(P2113),"",U2113/N2113)</f>
        <v/>
      </c>
      <c r="W2113" s="81">
        <f>IF(ISBLANK(P2113),"",IF(S2113=0,(365/0.5)*V2113,(365/S2113)*V2113))</f>
        <v/>
      </c>
      <c r="X2113" s="75" t="n"/>
      <c r="Y2113" s="77" t="n"/>
      <c r="Z2113" s="77" t="n"/>
      <c r="AA2113" s="75" t="n"/>
      <c r="AB2113" s="75" t="n"/>
      <c r="AC2113" s="6" t="n"/>
      <c r="AD2113" s="75" t="n"/>
      <c r="AE2113" s="75" t="n"/>
      <c r="AF2113" s="75" t="n"/>
    </row>
    <row r="2114" ht="15.75" customHeight="1" s="133">
      <c r="A2114" s="75" t="n"/>
      <c r="B2114" s="75" t="n"/>
      <c r="C2114" s="75" t="n"/>
      <c r="D2114" s="75" t="n"/>
      <c r="E2114" s="76" t="n"/>
      <c r="F2114" s="77" t="n"/>
      <c r="G2114" s="75" t="n"/>
      <c r="H2114" s="75">
        <f>IF(ISBLANK(E2114),"",IF(OR(D2114="Butterfly",D2114="Butterfly ",D2114="Iron Fly", D2114="Iron Fly "),LEN(E2114)-LEN(SUBSTITUTE(E2114,"/",""))+2,LEN(E2114)-LEN(SUBSTITUTE(E2114,"/",""))+1))</f>
        <v/>
      </c>
      <c r="I2114" s="78">
        <f>IF(ISBLANK(G2114),"",IF(D2114="Stock","0",Key!$A$3*H2114*G2114))</f>
        <v/>
      </c>
      <c r="J2114" s="78">
        <f>IF(ISBLANK(E2114),"",IF(ISNUMBER(SEARCH("/",E2114)), IF(LEN(E2114)-LEN(SUBSTITUTE(E2114,"/",""))=1,(RIGHT(E2114,LEN(E2114)-FIND("/",E2114)))-(LEFT(E2114,FIND("/",E2114)-1)),(MID(E2114, SEARCH("/",E2114) + 1, SEARCH("/",E2114, SEARCH("/",E2114)+1) - SEARCH("/",E2114) - 1))-(LEFT(E2114,FIND("/",E2114)-1))), "NA"))</f>
        <v/>
      </c>
      <c r="K2114" s="79">
        <f>IF(A2114&lt;&gt;"", IF(ISBLANK(L2114), TODAY(), K2114), "")</f>
        <v/>
      </c>
      <c r="L2114" s="78" t="n"/>
      <c r="M2114" s="78">
        <f>IF(ISBLANK(L2114),"",IF(D2114="Stock",IF(C2114="Buy",L2114*G2114,IF(C2114="Sell",(L2114*G2114)-I2114, X)),IF(C2114="Buy",(L2114*G2114*100)+I2114,IF(C2114="Sell",(L2114*G2114*100)-I2114, X))))</f>
        <v/>
      </c>
      <c r="N2114" s="78">
        <f>IF(ISBLANK(L2114),"",IF(AND(C2114="Sell",D2114="Stock"),M2114,IF(ISBLANK(L2114),"",IF(C2114="Buy",M2114, IF(AND(C2114="Sell",J2114="NA"),(E2114*G2114*100*0.1)+I2114, IF(C2114="Sell",(J2114-L2114)*(100*G2114)+I2114))))))</f>
        <v/>
      </c>
      <c r="O2114" s="75" t="n"/>
      <c r="P2114" s="75" t="n"/>
      <c r="Q2114" s="75">
        <f>IF(ISBLANK(P2114),"",IF(D2114="Stock",P2114*G2114,IF(P2114=0,"0",G2114*P2114*100-(G2114*$AF$14))))</f>
        <v/>
      </c>
      <c r="R2114" s="79">
        <f>IF(P2114&lt;&gt;"", TODAY(), "")</f>
        <v/>
      </c>
      <c r="S2114" s="78">
        <f>IF(AND(K2114&lt;&gt;"", R2114&lt;&gt;""), R2114-K2114, "")</f>
        <v/>
      </c>
      <c r="T2114" s="78" t="n"/>
      <c r="U2114" s="92">
        <f>IF(ISBLANK(P2114),"",IF(C2114="Buy",Q2114-M2114+T2114, IF(C2114="Sell",M2114-Q2114-T2114, X)))</f>
        <v/>
      </c>
      <c r="V2114" s="81">
        <f>IF(ISBLANK(P2114),"",U2114/N2114)</f>
        <v/>
      </c>
      <c r="W2114" s="81">
        <f>IF(ISBLANK(P2114),"",IF(S2114=0,(365/0.5)*V2114,(365/S2114)*V2114))</f>
        <v/>
      </c>
      <c r="X2114" s="75" t="n"/>
      <c r="Y2114" s="77" t="n"/>
      <c r="Z2114" s="77" t="n"/>
      <c r="AA2114" s="75" t="n"/>
      <c r="AB2114" s="75" t="n"/>
      <c r="AC2114" s="6" t="n"/>
      <c r="AD2114" s="75" t="n"/>
      <c r="AE2114" s="75" t="n"/>
      <c r="AF2114" s="75" t="n"/>
    </row>
    <row r="2115" ht="15.75" customHeight="1" s="133">
      <c r="A2115" s="75" t="n"/>
      <c r="B2115" s="75" t="n"/>
      <c r="C2115" s="75" t="n"/>
      <c r="D2115" s="75" t="n"/>
      <c r="E2115" s="76" t="n"/>
      <c r="F2115" s="77" t="n"/>
      <c r="G2115" s="75" t="n"/>
      <c r="H2115" s="75">
        <f>IF(ISBLANK(E2115),"",IF(OR(D2115="Butterfly",D2115="Butterfly ",D2115="Iron Fly", D2115="Iron Fly "),LEN(E2115)-LEN(SUBSTITUTE(E2115,"/",""))+2,LEN(E2115)-LEN(SUBSTITUTE(E2115,"/",""))+1))</f>
        <v/>
      </c>
      <c r="I2115" s="78">
        <f>IF(ISBLANK(G2115),"",IF(D2115="Stock","0",Key!$A$3*H2115*G2115))</f>
        <v/>
      </c>
      <c r="J2115" s="78">
        <f>IF(ISBLANK(E2115),"",IF(ISNUMBER(SEARCH("/",E2115)), IF(LEN(E2115)-LEN(SUBSTITUTE(E2115,"/",""))=1,(RIGHT(E2115,LEN(E2115)-FIND("/",E2115)))-(LEFT(E2115,FIND("/",E2115)-1)),(MID(E2115, SEARCH("/",E2115) + 1, SEARCH("/",E2115, SEARCH("/",E2115)+1) - SEARCH("/",E2115) - 1))-(LEFT(E2115,FIND("/",E2115)-1))), "NA"))</f>
        <v/>
      </c>
      <c r="K2115" s="79">
        <f>IF(A2115&lt;&gt;"", IF(ISBLANK(L2115), TODAY(), K2115), "")</f>
        <v/>
      </c>
      <c r="L2115" s="78" t="n"/>
      <c r="M2115" s="78">
        <f>IF(ISBLANK(L2115),"",IF(D2115="Stock",IF(C2115="Buy",L2115*G2115,IF(C2115="Sell",(L2115*G2115)-I2115, X)),IF(C2115="Buy",(L2115*G2115*100)+I2115,IF(C2115="Sell",(L2115*G2115*100)-I2115, X))))</f>
        <v/>
      </c>
      <c r="N2115" s="78">
        <f>IF(ISBLANK(L2115),"",IF(AND(C2115="Sell",D2115="Stock"),M2115,IF(ISBLANK(L2115),"",IF(C2115="Buy",M2115, IF(AND(C2115="Sell",J2115="NA"),(E2115*G2115*100*0.1)+I2115, IF(C2115="Sell",(J2115-L2115)*(100*G2115)+I2115))))))</f>
        <v/>
      </c>
      <c r="O2115" s="75" t="n"/>
      <c r="P2115" s="75" t="n"/>
      <c r="Q2115" s="75">
        <f>IF(ISBLANK(P2115),"",IF(D2115="Stock",P2115*G2115,IF(P2115=0,"0",G2115*P2115*100-(G2115*$AF$14))))</f>
        <v/>
      </c>
      <c r="R2115" s="79">
        <f>IF(P2115&lt;&gt;"", TODAY(), "")</f>
        <v/>
      </c>
      <c r="S2115" s="78">
        <f>IF(AND(K2115&lt;&gt;"", R2115&lt;&gt;""), R2115-K2115, "")</f>
        <v/>
      </c>
      <c r="T2115" s="78" t="n"/>
      <c r="U2115" s="92">
        <f>IF(ISBLANK(P2115),"",IF(C2115="Buy",Q2115-M2115+T2115, IF(C2115="Sell",M2115-Q2115-T2115, X)))</f>
        <v/>
      </c>
      <c r="V2115" s="81">
        <f>IF(ISBLANK(P2115),"",U2115/N2115)</f>
        <v/>
      </c>
      <c r="W2115" s="81">
        <f>IF(ISBLANK(P2115),"",IF(S2115=0,(365/0.5)*V2115,(365/S2115)*V2115))</f>
        <v/>
      </c>
      <c r="X2115" s="75" t="n"/>
      <c r="Y2115" s="77" t="n"/>
      <c r="Z2115" s="77" t="n"/>
      <c r="AA2115" s="75" t="n"/>
      <c r="AB2115" s="75" t="n"/>
      <c r="AC2115" s="6" t="n"/>
      <c r="AD2115" s="75" t="n"/>
      <c r="AE2115" s="75" t="n"/>
      <c r="AF2115" s="75" t="n"/>
    </row>
    <row r="2116" ht="15.75" customHeight="1" s="133">
      <c r="A2116" s="75" t="n"/>
      <c r="B2116" s="75" t="n"/>
      <c r="C2116" s="75" t="n"/>
      <c r="D2116" s="75" t="n"/>
      <c r="E2116" s="76" t="n"/>
      <c r="F2116" s="77" t="n"/>
      <c r="G2116" s="75" t="n"/>
      <c r="H2116" s="75">
        <f>IF(ISBLANK(E2116),"",IF(OR(D2116="Butterfly",D2116="Butterfly ",D2116="Iron Fly", D2116="Iron Fly "),LEN(E2116)-LEN(SUBSTITUTE(E2116,"/",""))+2,LEN(E2116)-LEN(SUBSTITUTE(E2116,"/",""))+1))</f>
        <v/>
      </c>
      <c r="I2116" s="78">
        <f>IF(ISBLANK(G2116),"",IF(D2116="Stock","0",Key!$A$3*H2116*G2116))</f>
        <v/>
      </c>
      <c r="J2116" s="78">
        <f>IF(ISBLANK(E2116),"",IF(ISNUMBER(SEARCH("/",E2116)), IF(LEN(E2116)-LEN(SUBSTITUTE(E2116,"/",""))=1,(RIGHT(E2116,LEN(E2116)-FIND("/",E2116)))-(LEFT(E2116,FIND("/",E2116)-1)),(MID(E2116, SEARCH("/",E2116) + 1, SEARCH("/",E2116, SEARCH("/",E2116)+1) - SEARCH("/",E2116) - 1))-(LEFT(E2116,FIND("/",E2116)-1))), "NA"))</f>
        <v/>
      </c>
      <c r="K2116" s="79">
        <f>IF(A2116&lt;&gt;"", IF(ISBLANK(L2116), TODAY(), K2116), "")</f>
        <v/>
      </c>
      <c r="L2116" s="78" t="n"/>
      <c r="M2116" s="78">
        <f>IF(ISBLANK(L2116),"",IF(D2116="Stock",IF(C2116="Buy",L2116*G2116,IF(C2116="Sell",(L2116*G2116)-I2116, X)),IF(C2116="Buy",(L2116*G2116*100)+I2116,IF(C2116="Sell",(L2116*G2116*100)-I2116, X))))</f>
        <v/>
      </c>
      <c r="N2116" s="78">
        <f>IF(ISBLANK(L2116),"",IF(AND(C2116="Sell",D2116="Stock"),M2116,IF(ISBLANK(L2116),"",IF(C2116="Buy",M2116, IF(AND(C2116="Sell",J2116="NA"),(E2116*G2116*100*0.1)+I2116, IF(C2116="Sell",(J2116-L2116)*(100*G2116)+I2116))))))</f>
        <v/>
      </c>
      <c r="O2116" s="75" t="n"/>
      <c r="P2116" s="75" t="n"/>
      <c r="Q2116" s="75">
        <f>IF(ISBLANK(P2116),"",IF(D2116="Stock",P2116*G2116,IF(P2116=0,"0",G2116*P2116*100-(G2116*$AF$14))))</f>
        <v/>
      </c>
      <c r="R2116" s="79">
        <f>IF(P2116&lt;&gt;"", TODAY(), "")</f>
        <v/>
      </c>
      <c r="S2116" s="78">
        <f>IF(AND(K2116&lt;&gt;"", R2116&lt;&gt;""), R2116-K2116, "")</f>
        <v/>
      </c>
      <c r="T2116" s="78" t="n"/>
      <c r="U2116" s="92">
        <f>IF(ISBLANK(P2116),"",IF(C2116="Buy",Q2116-M2116+T2116, IF(C2116="Sell",M2116-Q2116-T2116, X)))</f>
        <v/>
      </c>
      <c r="V2116" s="81">
        <f>IF(ISBLANK(P2116),"",U2116/N2116)</f>
        <v/>
      </c>
      <c r="W2116" s="81">
        <f>IF(ISBLANK(P2116),"",IF(S2116=0,(365/0.5)*V2116,(365/S2116)*V2116))</f>
        <v/>
      </c>
      <c r="X2116" s="75" t="n"/>
      <c r="Y2116" s="77" t="n"/>
      <c r="Z2116" s="77" t="n"/>
      <c r="AA2116" s="75" t="n"/>
      <c r="AB2116" s="75" t="n"/>
      <c r="AC2116" s="6" t="n"/>
      <c r="AD2116" s="75" t="n"/>
      <c r="AE2116" s="75" t="n"/>
      <c r="AF2116" s="75" t="n"/>
    </row>
    <row r="2117" ht="15.75" customHeight="1" s="133">
      <c r="A2117" s="75" t="n"/>
      <c r="B2117" s="75" t="n"/>
      <c r="C2117" s="75" t="n"/>
      <c r="D2117" s="75" t="n"/>
      <c r="E2117" s="76" t="n"/>
      <c r="F2117" s="77" t="n"/>
      <c r="G2117" s="75" t="n"/>
      <c r="H2117" s="75">
        <f>IF(ISBLANK(E2117),"",IF(OR(D2117="Butterfly",D2117="Butterfly ",D2117="Iron Fly", D2117="Iron Fly "),LEN(E2117)-LEN(SUBSTITUTE(E2117,"/",""))+2,LEN(E2117)-LEN(SUBSTITUTE(E2117,"/",""))+1))</f>
        <v/>
      </c>
      <c r="I2117" s="78">
        <f>IF(ISBLANK(G2117),"",IF(D2117="Stock","0",Key!$A$3*H2117*G2117))</f>
        <v/>
      </c>
      <c r="J2117" s="78">
        <f>IF(ISBLANK(E2117),"",IF(ISNUMBER(SEARCH("/",E2117)), IF(LEN(E2117)-LEN(SUBSTITUTE(E2117,"/",""))=1,(RIGHT(E2117,LEN(E2117)-FIND("/",E2117)))-(LEFT(E2117,FIND("/",E2117)-1)),(MID(E2117, SEARCH("/",E2117) + 1, SEARCH("/",E2117, SEARCH("/",E2117)+1) - SEARCH("/",E2117) - 1))-(LEFT(E2117,FIND("/",E2117)-1))), "NA"))</f>
        <v/>
      </c>
      <c r="K2117" s="79">
        <f>IF(A2117&lt;&gt;"", IF(ISBLANK(L2117), TODAY(), K2117), "")</f>
        <v/>
      </c>
      <c r="L2117" s="78" t="n"/>
      <c r="M2117" s="78">
        <f>IF(ISBLANK(L2117),"",IF(D2117="Stock",IF(C2117="Buy",L2117*G2117,IF(C2117="Sell",(L2117*G2117)-I2117, X)),IF(C2117="Buy",(L2117*G2117*100)+I2117,IF(C2117="Sell",(L2117*G2117*100)-I2117, X))))</f>
        <v/>
      </c>
      <c r="N2117" s="78">
        <f>IF(ISBLANK(L2117),"",IF(AND(C2117="Sell",D2117="Stock"),M2117,IF(ISBLANK(L2117),"",IF(C2117="Buy",M2117, IF(AND(C2117="Sell",J2117="NA"),(E2117*G2117*100*0.1)+I2117, IF(C2117="Sell",(J2117-L2117)*(100*G2117)+I2117))))))</f>
        <v/>
      </c>
      <c r="O2117" s="75" t="n"/>
      <c r="P2117" s="75" t="n"/>
      <c r="Q2117" s="75">
        <f>IF(ISBLANK(P2117),"",IF(D2117="Stock",P2117*G2117,IF(P2117=0,"0",G2117*P2117*100-(G2117*$AF$14))))</f>
        <v/>
      </c>
      <c r="R2117" s="79">
        <f>IF(P2117&lt;&gt;"", TODAY(), "")</f>
        <v/>
      </c>
      <c r="S2117" s="78">
        <f>IF(AND(K2117&lt;&gt;"", R2117&lt;&gt;""), R2117-K2117, "")</f>
        <v/>
      </c>
      <c r="T2117" s="78" t="n"/>
      <c r="U2117" s="92">
        <f>IF(ISBLANK(P2117),"",IF(C2117="Buy",Q2117-M2117+T2117, IF(C2117="Sell",M2117-Q2117-T2117, X)))</f>
        <v/>
      </c>
      <c r="V2117" s="81">
        <f>IF(ISBLANK(P2117),"",U2117/N2117)</f>
        <v/>
      </c>
      <c r="W2117" s="81">
        <f>IF(ISBLANK(P2117),"",IF(S2117=0,(365/0.5)*V2117,(365/S2117)*V2117))</f>
        <v/>
      </c>
      <c r="X2117" s="75" t="n"/>
      <c r="Y2117" s="77" t="n"/>
      <c r="Z2117" s="77" t="n"/>
      <c r="AA2117" s="75" t="n"/>
      <c r="AB2117" s="75" t="n"/>
      <c r="AC2117" s="6" t="n"/>
      <c r="AD2117" s="75" t="n"/>
      <c r="AE2117" s="75" t="n"/>
      <c r="AF2117" s="75" t="n"/>
    </row>
    <row r="2118" ht="15.75" customHeight="1" s="133">
      <c r="A2118" s="75" t="n"/>
      <c r="B2118" s="75" t="n"/>
      <c r="C2118" s="75" t="n"/>
      <c r="D2118" s="75" t="n"/>
      <c r="E2118" s="76" t="n"/>
      <c r="F2118" s="77" t="n"/>
      <c r="G2118" s="75" t="n"/>
      <c r="H2118" s="75">
        <f>IF(ISBLANK(E2118),"",IF(OR(D2118="Butterfly",D2118="Butterfly ",D2118="Iron Fly", D2118="Iron Fly "),LEN(E2118)-LEN(SUBSTITUTE(E2118,"/",""))+2,LEN(E2118)-LEN(SUBSTITUTE(E2118,"/",""))+1))</f>
        <v/>
      </c>
      <c r="I2118" s="78">
        <f>IF(ISBLANK(G2118),"",IF(D2118="Stock","0",Key!$A$3*H2118*G2118))</f>
        <v/>
      </c>
      <c r="J2118" s="78">
        <f>IF(ISBLANK(E2118),"",IF(ISNUMBER(SEARCH("/",E2118)), IF(LEN(E2118)-LEN(SUBSTITUTE(E2118,"/",""))=1,(RIGHT(E2118,LEN(E2118)-FIND("/",E2118)))-(LEFT(E2118,FIND("/",E2118)-1)),(MID(E2118, SEARCH("/",E2118) + 1, SEARCH("/",E2118, SEARCH("/",E2118)+1) - SEARCH("/",E2118) - 1))-(LEFT(E2118,FIND("/",E2118)-1))), "NA"))</f>
        <v/>
      </c>
      <c r="K2118" s="79">
        <f>IF(A2118&lt;&gt;"", IF(ISBLANK(L2118), TODAY(), K2118), "")</f>
        <v/>
      </c>
      <c r="L2118" s="78" t="n"/>
      <c r="M2118" s="78">
        <f>IF(ISBLANK(L2118),"",IF(D2118="Stock",IF(C2118="Buy",L2118*G2118,IF(C2118="Sell",(L2118*G2118)-I2118, X)),IF(C2118="Buy",(L2118*G2118*100)+I2118,IF(C2118="Sell",(L2118*G2118*100)-I2118, X))))</f>
        <v/>
      </c>
      <c r="N2118" s="78">
        <f>IF(ISBLANK(L2118),"",IF(AND(C2118="Sell",D2118="Stock"),M2118,IF(ISBLANK(L2118),"",IF(C2118="Buy",M2118, IF(AND(C2118="Sell",J2118="NA"),(E2118*G2118*100*0.1)+I2118, IF(C2118="Sell",(J2118-L2118)*(100*G2118)+I2118))))))</f>
        <v/>
      </c>
      <c r="O2118" s="75" t="n"/>
      <c r="P2118" s="75" t="n"/>
      <c r="Q2118" s="75">
        <f>IF(ISBLANK(P2118),"",IF(D2118="Stock",P2118*G2118,IF(P2118=0,"0",G2118*P2118*100-(G2118*$AF$14))))</f>
        <v/>
      </c>
      <c r="R2118" s="79">
        <f>IF(P2118&lt;&gt;"", TODAY(), "")</f>
        <v/>
      </c>
      <c r="S2118" s="78">
        <f>IF(AND(K2118&lt;&gt;"", R2118&lt;&gt;""), R2118-K2118, "")</f>
        <v/>
      </c>
      <c r="T2118" s="78" t="n"/>
      <c r="U2118" s="92">
        <f>IF(ISBLANK(P2118),"",IF(C2118="Buy",Q2118-M2118+T2118, IF(C2118="Sell",M2118-Q2118-T2118, X)))</f>
        <v/>
      </c>
      <c r="V2118" s="81">
        <f>IF(ISBLANK(P2118),"",U2118/N2118)</f>
        <v/>
      </c>
      <c r="W2118" s="81">
        <f>IF(ISBLANK(P2118),"",IF(S2118=0,(365/0.5)*V2118,(365/S2118)*V2118))</f>
        <v/>
      </c>
      <c r="X2118" s="75" t="n"/>
      <c r="Y2118" s="77" t="n"/>
      <c r="Z2118" s="77" t="n"/>
      <c r="AA2118" s="75" t="n"/>
      <c r="AB2118" s="75" t="n"/>
      <c r="AC2118" s="6" t="n"/>
      <c r="AD2118" s="75" t="n"/>
      <c r="AE2118" s="75" t="n"/>
      <c r="AF2118" s="75" t="n"/>
    </row>
    <row r="2119" ht="15.75" customHeight="1" s="133">
      <c r="A2119" s="75" t="n"/>
      <c r="B2119" s="75" t="n"/>
      <c r="C2119" s="75" t="n"/>
      <c r="D2119" s="75" t="n"/>
      <c r="E2119" s="76" t="n"/>
      <c r="F2119" s="77" t="n"/>
      <c r="G2119" s="75" t="n"/>
      <c r="H2119" s="75">
        <f>IF(ISBLANK(E2119),"",IF(OR(D2119="Butterfly",D2119="Butterfly ",D2119="Iron Fly", D2119="Iron Fly "),LEN(E2119)-LEN(SUBSTITUTE(E2119,"/",""))+2,LEN(E2119)-LEN(SUBSTITUTE(E2119,"/",""))+1))</f>
        <v/>
      </c>
      <c r="I2119" s="78">
        <f>IF(ISBLANK(G2119),"",IF(D2119="Stock","0",Key!$A$3*H2119*G2119))</f>
        <v/>
      </c>
      <c r="J2119" s="78">
        <f>IF(ISBLANK(E2119),"",IF(ISNUMBER(SEARCH("/",E2119)), IF(LEN(E2119)-LEN(SUBSTITUTE(E2119,"/",""))=1,(RIGHT(E2119,LEN(E2119)-FIND("/",E2119)))-(LEFT(E2119,FIND("/",E2119)-1)),(MID(E2119, SEARCH("/",E2119) + 1, SEARCH("/",E2119, SEARCH("/",E2119)+1) - SEARCH("/",E2119) - 1))-(LEFT(E2119,FIND("/",E2119)-1))), "NA"))</f>
        <v/>
      </c>
      <c r="K2119" s="79">
        <f>IF(A2119&lt;&gt;"", IF(ISBLANK(L2119), TODAY(), K2119), "")</f>
        <v/>
      </c>
      <c r="L2119" s="78" t="n"/>
      <c r="M2119" s="78">
        <f>IF(ISBLANK(L2119),"",IF(D2119="Stock",IF(C2119="Buy",L2119*G2119,IF(C2119="Sell",(L2119*G2119)-I2119, X)),IF(C2119="Buy",(L2119*G2119*100)+I2119,IF(C2119="Sell",(L2119*G2119*100)-I2119, X))))</f>
        <v/>
      </c>
      <c r="N2119" s="78">
        <f>IF(ISBLANK(L2119),"",IF(AND(C2119="Sell",D2119="Stock"),M2119,IF(ISBLANK(L2119),"",IF(C2119="Buy",M2119, IF(AND(C2119="Sell",J2119="NA"),(E2119*G2119*100*0.1)+I2119, IF(C2119="Sell",(J2119-L2119)*(100*G2119)+I2119))))))</f>
        <v/>
      </c>
      <c r="O2119" s="75" t="n"/>
      <c r="P2119" s="75" t="n"/>
      <c r="Q2119" s="75">
        <f>IF(ISBLANK(P2119),"",IF(D2119="Stock",P2119*G2119,IF(P2119=0,"0",G2119*P2119*100-(G2119*$AF$14))))</f>
        <v/>
      </c>
      <c r="R2119" s="79">
        <f>IF(P2119&lt;&gt;"", TODAY(), "")</f>
        <v/>
      </c>
      <c r="S2119" s="78">
        <f>IF(AND(K2119&lt;&gt;"", R2119&lt;&gt;""), R2119-K2119, "")</f>
        <v/>
      </c>
      <c r="T2119" s="78" t="n"/>
      <c r="U2119" s="92">
        <f>IF(ISBLANK(P2119),"",IF(C2119="Buy",Q2119-M2119+T2119, IF(C2119="Sell",M2119-Q2119-T2119, X)))</f>
        <v/>
      </c>
      <c r="V2119" s="81">
        <f>IF(ISBLANK(P2119),"",U2119/N2119)</f>
        <v/>
      </c>
      <c r="W2119" s="81">
        <f>IF(ISBLANK(P2119),"",IF(S2119=0,(365/0.5)*V2119,(365/S2119)*V2119))</f>
        <v/>
      </c>
      <c r="X2119" s="75" t="n"/>
      <c r="Y2119" s="77" t="n"/>
      <c r="Z2119" s="77" t="n"/>
      <c r="AA2119" s="75" t="n"/>
      <c r="AB2119" s="75" t="n"/>
      <c r="AC2119" s="6" t="n"/>
      <c r="AD2119" s="75" t="n"/>
      <c r="AE2119" s="75" t="n"/>
      <c r="AF2119" s="75" t="n"/>
    </row>
    <row r="2120" ht="15.75" customHeight="1" s="133">
      <c r="A2120" s="75" t="n"/>
      <c r="B2120" s="75" t="n"/>
      <c r="C2120" s="75" t="n"/>
      <c r="D2120" s="75" t="n"/>
      <c r="E2120" s="76" t="n"/>
      <c r="F2120" s="77" t="n"/>
      <c r="G2120" s="75" t="n"/>
      <c r="H2120" s="75">
        <f>IF(ISBLANK(E2120),"",IF(OR(D2120="Butterfly",D2120="Butterfly ",D2120="Iron Fly", D2120="Iron Fly "),LEN(E2120)-LEN(SUBSTITUTE(E2120,"/",""))+2,LEN(E2120)-LEN(SUBSTITUTE(E2120,"/",""))+1))</f>
        <v/>
      </c>
      <c r="I2120" s="78">
        <f>IF(ISBLANK(G2120),"",IF(D2120="Stock","0",Key!$A$3*H2120*G2120))</f>
        <v/>
      </c>
      <c r="J2120" s="78">
        <f>IF(ISBLANK(E2120),"",IF(ISNUMBER(SEARCH("/",E2120)), IF(LEN(E2120)-LEN(SUBSTITUTE(E2120,"/",""))=1,(RIGHT(E2120,LEN(E2120)-FIND("/",E2120)))-(LEFT(E2120,FIND("/",E2120)-1)),(MID(E2120, SEARCH("/",E2120) + 1, SEARCH("/",E2120, SEARCH("/",E2120)+1) - SEARCH("/",E2120) - 1))-(LEFT(E2120,FIND("/",E2120)-1))), "NA"))</f>
        <v/>
      </c>
      <c r="K2120" s="79">
        <f>IF(A2120&lt;&gt;"", IF(ISBLANK(L2120), TODAY(), K2120), "")</f>
        <v/>
      </c>
      <c r="L2120" s="78" t="n"/>
      <c r="M2120" s="78">
        <f>IF(ISBLANK(L2120),"",IF(D2120="Stock",IF(C2120="Buy",L2120*G2120,IF(C2120="Sell",(L2120*G2120)-I2120, X)),IF(C2120="Buy",(L2120*G2120*100)+I2120,IF(C2120="Sell",(L2120*G2120*100)-I2120, X))))</f>
        <v/>
      </c>
      <c r="N2120" s="78">
        <f>IF(ISBLANK(L2120),"",IF(AND(C2120="Sell",D2120="Stock"),M2120,IF(ISBLANK(L2120),"",IF(C2120="Buy",M2120, IF(AND(C2120="Sell",J2120="NA"),(E2120*G2120*100*0.1)+I2120, IF(C2120="Sell",(J2120-L2120)*(100*G2120)+I2120))))))</f>
        <v/>
      </c>
      <c r="O2120" s="75" t="n"/>
      <c r="P2120" s="75" t="n"/>
      <c r="Q2120" s="75">
        <f>IF(ISBLANK(P2120),"",IF(D2120="Stock",P2120*G2120,IF(P2120=0,"0",G2120*P2120*100-(G2120*$AF$14))))</f>
        <v/>
      </c>
      <c r="R2120" s="79">
        <f>IF(P2120&lt;&gt;"", TODAY(), "")</f>
        <v/>
      </c>
      <c r="S2120" s="78">
        <f>IF(AND(K2120&lt;&gt;"", R2120&lt;&gt;""), R2120-K2120, "")</f>
        <v/>
      </c>
      <c r="T2120" s="78" t="n"/>
      <c r="U2120" s="92">
        <f>IF(ISBLANK(P2120),"",IF(C2120="Buy",Q2120-M2120+T2120, IF(C2120="Sell",M2120-Q2120-T2120, X)))</f>
        <v/>
      </c>
      <c r="V2120" s="81">
        <f>IF(ISBLANK(P2120),"",U2120/N2120)</f>
        <v/>
      </c>
      <c r="W2120" s="81">
        <f>IF(ISBLANK(P2120),"",IF(S2120=0,(365/0.5)*V2120,(365/S2120)*V2120))</f>
        <v/>
      </c>
      <c r="X2120" s="75" t="n"/>
      <c r="Y2120" s="77" t="n"/>
      <c r="Z2120" s="77" t="n"/>
      <c r="AA2120" s="75" t="n"/>
      <c r="AB2120" s="75" t="n"/>
      <c r="AC2120" s="6" t="n"/>
      <c r="AD2120" s="75" t="n"/>
      <c r="AE2120" s="75" t="n"/>
      <c r="AF2120" s="75" t="n"/>
    </row>
    <row r="2121" ht="15.75" customHeight="1" s="133">
      <c r="A2121" s="75" t="n"/>
      <c r="B2121" s="75" t="n"/>
      <c r="C2121" s="75" t="n"/>
      <c r="D2121" s="75" t="n"/>
      <c r="E2121" s="76" t="n"/>
      <c r="F2121" s="77" t="n"/>
      <c r="G2121" s="75" t="n"/>
      <c r="H2121" s="75">
        <f>IF(ISBLANK(E2121),"",IF(OR(D2121="Butterfly",D2121="Butterfly ",D2121="Iron Fly", D2121="Iron Fly "),LEN(E2121)-LEN(SUBSTITUTE(E2121,"/",""))+2,LEN(E2121)-LEN(SUBSTITUTE(E2121,"/",""))+1))</f>
        <v/>
      </c>
      <c r="I2121" s="78">
        <f>IF(ISBLANK(G2121),"",IF(D2121="Stock","0",Key!$A$3*H2121*G2121))</f>
        <v/>
      </c>
      <c r="J2121" s="78">
        <f>IF(ISBLANK(E2121),"",IF(ISNUMBER(SEARCH("/",E2121)), IF(LEN(E2121)-LEN(SUBSTITUTE(E2121,"/",""))=1,(RIGHT(E2121,LEN(E2121)-FIND("/",E2121)))-(LEFT(E2121,FIND("/",E2121)-1)),(MID(E2121, SEARCH("/",E2121) + 1, SEARCH("/",E2121, SEARCH("/",E2121)+1) - SEARCH("/",E2121) - 1))-(LEFT(E2121,FIND("/",E2121)-1))), "NA"))</f>
        <v/>
      </c>
      <c r="K2121" s="79">
        <f>IF(A2121&lt;&gt;"", IF(ISBLANK(L2121), TODAY(), K2121), "")</f>
        <v/>
      </c>
      <c r="L2121" s="78" t="n"/>
      <c r="M2121" s="78">
        <f>IF(ISBLANK(L2121),"",IF(D2121="Stock",IF(C2121="Buy",L2121*G2121,IF(C2121="Sell",(L2121*G2121)-I2121, X)),IF(C2121="Buy",(L2121*G2121*100)+I2121,IF(C2121="Sell",(L2121*G2121*100)-I2121, X))))</f>
        <v/>
      </c>
      <c r="N2121" s="78">
        <f>IF(ISBLANK(L2121),"",IF(AND(C2121="Sell",D2121="Stock"),M2121,IF(ISBLANK(L2121),"",IF(C2121="Buy",M2121, IF(AND(C2121="Sell",J2121="NA"),(E2121*G2121*100*0.1)+I2121, IF(C2121="Sell",(J2121-L2121)*(100*G2121)+I2121))))))</f>
        <v/>
      </c>
      <c r="O2121" s="75" t="n"/>
      <c r="P2121" s="75" t="n"/>
      <c r="Q2121" s="75">
        <f>IF(ISBLANK(P2121),"",IF(D2121="Stock",P2121*G2121,IF(P2121=0,"0",G2121*P2121*100-(G2121*$AF$14))))</f>
        <v/>
      </c>
      <c r="R2121" s="79">
        <f>IF(P2121&lt;&gt;"", TODAY(), "")</f>
        <v/>
      </c>
      <c r="S2121" s="78">
        <f>IF(AND(K2121&lt;&gt;"", R2121&lt;&gt;""), R2121-K2121, "")</f>
        <v/>
      </c>
      <c r="T2121" s="78" t="n"/>
      <c r="U2121" s="92">
        <f>IF(ISBLANK(P2121),"",IF(C2121="Buy",Q2121-M2121+T2121, IF(C2121="Sell",M2121-Q2121-T2121, X)))</f>
        <v/>
      </c>
      <c r="V2121" s="81">
        <f>IF(ISBLANK(P2121),"",U2121/N2121)</f>
        <v/>
      </c>
      <c r="W2121" s="81">
        <f>IF(ISBLANK(P2121),"",IF(S2121=0,(365/0.5)*V2121,(365/S2121)*V2121))</f>
        <v/>
      </c>
      <c r="X2121" s="75" t="n"/>
      <c r="Y2121" s="77" t="n"/>
      <c r="Z2121" s="77" t="n"/>
      <c r="AA2121" s="75" t="n"/>
      <c r="AB2121" s="75" t="n"/>
      <c r="AC2121" s="6" t="n"/>
      <c r="AD2121" s="75" t="n"/>
      <c r="AE2121" s="75" t="n"/>
      <c r="AF2121" s="75" t="n"/>
    </row>
    <row r="2122" ht="15.75" customHeight="1" s="133">
      <c r="A2122" s="75" t="n"/>
      <c r="B2122" s="75" t="n"/>
      <c r="C2122" s="75" t="n"/>
      <c r="D2122" s="75" t="n"/>
      <c r="E2122" s="76" t="n"/>
      <c r="F2122" s="77" t="n"/>
      <c r="G2122" s="75" t="n"/>
      <c r="H2122" s="75">
        <f>IF(ISBLANK(E2122),"",IF(OR(D2122="Butterfly",D2122="Butterfly ",D2122="Iron Fly", D2122="Iron Fly "),LEN(E2122)-LEN(SUBSTITUTE(E2122,"/",""))+2,LEN(E2122)-LEN(SUBSTITUTE(E2122,"/",""))+1))</f>
        <v/>
      </c>
      <c r="I2122" s="78">
        <f>IF(ISBLANK(G2122),"",IF(D2122="Stock","0",Key!$A$3*H2122*G2122))</f>
        <v/>
      </c>
      <c r="J2122" s="78">
        <f>IF(ISBLANK(E2122),"",IF(ISNUMBER(SEARCH("/",E2122)), IF(LEN(E2122)-LEN(SUBSTITUTE(E2122,"/",""))=1,(RIGHT(E2122,LEN(E2122)-FIND("/",E2122)))-(LEFT(E2122,FIND("/",E2122)-1)),(MID(E2122, SEARCH("/",E2122) + 1, SEARCH("/",E2122, SEARCH("/",E2122)+1) - SEARCH("/",E2122) - 1))-(LEFT(E2122,FIND("/",E2122)-1))), "NA"))</f>
        <v/>
      </c>
      <c r="K2122" s="79">
        <f>IF(A2122&lt;&gt;"", IF(ISBLANK(L2122), TODAY(), K2122), "")</f>
        <v/>
      </c>
      <c r="L2122" s="78" t="n"/>
      <c r="M2122" s="78">
        <f>IF(ISBLANK(L2122),"",IF(D2122="Stock",IF(C2122="Buy",L2122*G2122,IF(C2122="Sell",(L2122*G2122)-I2122, X)),IF(C2122="Buy",(L2122*G2122*100)+I2122,IF(C2122="Sell",(L2122*G2122*100)-I2122, X))))</f>
        <v/>
      </c>
      <c r="N2122" s="78">
        <f>IF(ISBLANK(L2122),"",IF(AND(C2122="Sell",D2122="Stock"),M2122,IF(ISBLANK(L2122),"",IF(C2122="Buy",M2122, IF(AND(C2122="Sell",J2122="NA"),(E2122*G2122*100*0.1)+I2122, IF(C2122="Sell",(J2122-L2122)*(100*G2122)+I2122))))))</f>
        <v/>
      </c>
      <c r="O2122" s="75" t="n"/>
      <c r="P2122" s="75" t="n"/>
      <c r="Q2122" s="75">
        <f>IF(ISBLANK(P2122),"",IF(D2122="Stock",P2122*G2122,IF(P2122=0,"0",G2122*P2122*100-(G2122*$AF$14))))</f>
        <v/>
      </c>
      <c r="R2122" s="79">
        <f>IF(P2122&lt;&gt;"", TODAY(), "")</f>
        <v/>
      </c>
      <c r="S2122" s="78">
        <f>IF(AND(K2122&lt;&gt;"", R2122&lt;&gt;""), R2122-K2122, "")</f>
        <v/>
      </c>
      <c r="T2122" s="78" t="n"/>
      <c r="U2122" s="92">
        <f>IF(ISBLANK(P2122),"",IF(C2122="Buy",Q2122-M2122+T2122, IF(C2122="Sell",M2122-Q2122-T2122, X)))</f>
        <v/>
      </c>
      <c r="V2122" s="81">
        <f>IF(ISBLANK(P2122),"",U2122/N2122)</f>
        <v/>
      </c>
      <c r="W2122" s="81">
        <f>IF(ISBLANK(P2122),"",IF(S2122=0,(365/0.5)*V2122,(365/S2122)*V2122))</f>
        <v/>
      </c>
      <c r="X2122" s="75" t="n"/>
      <c r="Y2122" s="77" t="n"/>
      <c r="Z2122" s="77" t="n"/>
      <c r="AA2122" s="75" t="n"/>
      <c r="AB2122" s="75" t="n"/>
      <c r="AC2122" s="6" t="n"/>
      <c r="AD2122" s="75" t="n"/>
      <c r="AE2122" s="75" t="n"/>
      <c r="AF2122" s="75" t="n"/>
    </row>
    <row r="2123" ht="15.75" customHeight="1" s="133">
      <c r="A2123" s="75" t="n"/>
      <c r="B2123" s="75" t="n"/>
      <c r="C2123" s="75" t="n"/>
      <c r="D2123" s="75" t="n"/>
      <c r="E2123" s="76" t="n"/>
      <c r="F2123" s="77" t="n"/>
      <c r="G2123" s="75" t="n"/>
      <c r="H2123" s="75">
        <f>IF(ISBLANK(E2123),"",IF(OR(D2123="Butterfly",D2123="Butterfly ",D2123="Iron Fly", D2123="Iron Fly "),LEN(E2123)-LEN(SUBSTITUTE(E2123,"/",""))+2,LEN(E2123)-LEN(SUBSTITUTE(E2123,"/",""))+1))</f>
        <v/>
      </c>
      <c r="I2123" s="78">
        <f>IF(ISBLANK(G2123),"",IF(D2123="Stock","0",Key!$A$3*H2123*G2123))</f>
        <v/>
      </c>
      <c r="J2123" s="78">
        <f>IF(ISBLANK(E2123),"",IF(ISNUMBER(SEARCH("/",E2123)), IF(LEN(E2123)-LEN(SUBSTITUTE(E2123,"/",""))=1,(RIGHT(E2123,LEN(E2123)-FIND("/",E2123)))-(LEFT(E2123,FIND("/",E2123)-1)),(MID(E2123, SEARCH("/",E2123) + 1, SEARCH("/",E2123, SEARCH("/",E2123)+1) - SEARCH("/",E2123) - 1))-(LEFT(E2123,FIND("/",E2123)-1))), "NA"))</f>
        <v/>
      </c>
      <c r="K2123" s="79">
        <f>IF(A2123&lt;&gt;"", IF(ISBLANK(L2123), TODAY(), K2123), "")</f>
        <v/>
      </c>
      <c r="L2123" s="78" t="n"/>
      <c r="M2123" s="78">
        <f>IF(ISBLANK(L2123),"",IF(D2123="Stock",IF(C2123="Buy",L2123*G2123,IF(C2123="Sell",(L2123*G2123)-I2123, X)),IF(C2123="Buy",(L2123*G2123*100)+I2123,IF(C2123="Sell",(L2123*G2123*100)-I2123, X))))</f>
        <v/>
      </c>
      <c r="N2123" s="78">
        <f>IF(ISBLANK(L2123),"",IF(AND(C2123="Sell",D2123="Stock"),M2123,IF(ISBLANK(L2123),"",IF(C2123="Buy",M2123, IF(AND(C2123="Sell",J2123="NA"),(E2123*G2123*100*0.1)+I2123, IF(C2123="Sell",(J2123-L2123)*(100*G2123)+I2123))))))</f>
        <v/>
      </c>
      <c r="O2123" s="75" t="n"/>
      <c r="P2123" s="75" t="n"/>
      <c r="Q2123" s="75">
        <f>IF(ISBLANK(P2123),"",IF(D2123="Stock",P2123*G2123,IF(P2123=0,"0",G2123*P2123*100-(G2123*$AF$14))))</f>
        <v/>
      </c>
      <c r="R2123" s="79">
        <f>IF(P2123&lt;&gt;"", TODAY(), "")</f>
        <v/>
      </c>
      <c r="S2123" s="78">
        <f>IF(AND(K2123&lt;&gt;"", R2123&lt;&gt;""), R2123-K2123, "")</f>
        <v/>
      </c>
      <c r="T2123" s="78" t="n"/>
      <c r="U2123" s="92">
        <f>IF(ISBLANK(P2123),"",IF(C2123="Buy",Q2123-M2123+T2123, IF(C2123="Sell",M2123-Q2123-T2123, X)))</f>
        <v/>
      </c>
      <c r="V2123" s="81">
        <f>IF(ISBLANK(P2123),"",U2123/N2123)</f>
        <v/>
      </c>
      <c r="W2123" s="81">
        <f>IF(ISBLANK(P2123),"",IF(S2123=0,(365/0.5)*V2123,(365/S2123)*V2123))</f>
        <v/>
      </c>
      <c r="X2123" s="75" t="n"/>
      <c r="Y2123" s="77" t="n"/>
      <c r="Z2123" s="77" t="n"/>
      <c r="AA2123" s="75" t="n"/>
      <c r="AB2123" s="75" t="n"/>
      <c r="AC2123" s="6" t="n"/>
      <c r="AD2123" s="75" t="n"/>
      <c r="AE2123" s="75" t="n"/>
      <c r="AF2123" s="75" t="n"/>
    </row>
    <row r="2124" ht="15.75" customHeight="1" s="133">
      <c r="A2124" s="75" t="n"/>
      <c r="B2124" s="75" t="n"/>
      <c r="C2124" s="75" t="n"/>
      <c r="D2124" s="75" t="n"/>
      <c r="E2124" s="76" t="n"/>
      <c r="F2124" s="77" t="n"/>
      <c r="G2124" s="75" t="n"/>
      <c r="H2124" s="75">
        <f>IF(ISBLANK(E2124),"",IF(OR(D2124="Butterfly",D2124="Butterfly ",D2124="Iron Fly", D2124="Iron Fly "),LEN(E2124)-LEN(SUBSTITUTE(E2124,"/",""))+2,LEN(E2124)-LEN(SUBSTITUTE(E2124,"/",""))+1))</f>
        <v/>
      </c>
      <c r="I2124" s="78">
        <f>IF(ISBLANK(G2124),"",IF(D2124="Stock","0",Key!$A$3*H2124*G2124))</f>
        <v/>
      </c>
      <c r="J2124" s="78">
        <f>IF(ISBLANK(E2124),"",IF(ISNUMBER(SEARCH("/",E2124)), IF(LEN(E2124)-LEN(SUBSTITUTE(E2124,"/",""))=1,(RIGHT(E2124,LEN(E2124)-FIND("/",E2124)))-(LEFT(E2124,FIND("/",E2124)-1)),(MID(E2124, SEARCH("/",E2124) + 1, SEARCH("/",E2124, SEARCH("/",E2124)+1) - SEARCH("/",E2124) - 1))-(LEFT(E2124,FIND("/",E2124)-1))), "NA"))</f>
        <v/>
      </c>
      <c r="K2124" s="79">
        <f>IF(A2124&lt;&gt;"", IF(ISBLANK(L2124), TODAY(), K2124), "")</f>
        <v/>
      </c>
      <c r="L2124" s="78" t="n"/>
      <c r="M2124" s="78">
        <f>IF(ISBLANK(L2124),"",IF(D2124="Stock",IF(C2124="Buy",L2124*G2124,IF(C2124="Sell",(L2124*G2124)-I2124, X)),IF(C2124="Buy",(L2124*G2124*100)+I2124,IF(C2124="Sell",(L2124*G2124*100)-I2124, X))))</f>
        <v/>
      </c>
      <c r="N2124" s="78">
        <f>IF(ISBLANK(L2124),"",IF(AND(C2124="Sell",D2124="Stock"),M2124,IF(ISBLANK(L2124),"",IF(C2124="Buy",M2124, IF(AND(C2124="Sell",J2124="NA"),(E2124*G2124*100*0.1)+I2124, IF(C2124="Sell",(J2124-L2124)*(100*G2124)+I2124))))))</f>
        <v/>
      </c>
      <c r="O2124" s="75" t="n"/>
      <c r="P2124" s="75" t="n"/>
      <c r="Q2124" s="75">
        <f>IF(ISBLANK(P2124),"",IF(D2124="Stock",P2124*G2124,IF(P2124=0,"0",G2124*P2124*100-(G2124*$AF$14))))</f>
        <v/>
      </c>
      <c r="R2124" s="79">
        <f>IF(P2124&lt;&gt;"", TODAY(), "")</f>
        <v/>
      </c>
      <c r="S2124" s="78">
        <f>IF(AND(K2124&lt;&gt;"", R2124&lt;&gt;""), R2124-K2124, "")</f>
        <v/>
      </c>
      <c r="T2124" s="78" t="n"/>
      <c r="U2124" s="92">
        <f>IF(ISBLANK(P2124),"",IF(C2124="Buy",Q2124-M2124+T2124, IF(C2124="Sell",M2124-Q2124-T2124, X)))</f>
        <v/>
      </c>
      <c r="V2124" s="81">
        <f>IF(ISBLANK(P2124),"",U2124/N2124)</f>
        <v/>
      </c>
      <c r="W2124" s="81">
        <f>IF(ISBLANK(P2124),"",IF(S2124=0,(365/0.5)*V2124,(365/S2124)*V2124))</f>
        <v/>
      </c>
      <c r="X2124" s="75" t="n"/>
      <c r="Y2124" s="77" t="n"/>
      <c r="Z2124" s="77" t="n"/>
      <c r="AA2124" s="75" t="n"/>
      <c r="AB2124" s="75" t="n"/>
      <c r="AC2124" s="6" t="n"/>
      <c r="AD2124" s="75" t="n"/>
      <c r="AE2124" s="75" t="n"/>
      <c r="AF2124" s="75" t="n"/>
    </row>
    <row r="2125" ht="15.75" customHeight="1" s="133">
      <c r="A2125" s="75" t="n"/>
      <c r="B2125" s="75" t="n"/>
      <c r="C2125" s="75" t="n"/>
      <c r="D2125" s="75" t="n"/>
      <c r="E2125" s="76" t="n"/>
      <c r="F2125" s="77" t="n"/>
      <c r="G2125" s="75" t="n"/>
      <c r="H2125" s="75">
        <f>IF(ISBLANK(E2125),"",IF(OR(D2125="Butterfly",D2125="Butterfly ",D2125="Iron Fly", D2125="Iron Fly "),LEN(E2125)-LEN(SUBSTITUTE(E2125,"/",""))+2,LEN(E2125)-LEN(SUBSTITUTE(E2125,"/",""))+1))</f>
        <v/>
      </c>
      <c r="I2125" s="78">
        <f>IF(ISBLANK(G2125),"",IF(D2125="Stock","0",Key!$A$3*H2125*G2125))</f>
        <v/>
      </c>
      <c r="J2125" s="78">
        <f>IF(ISBLANK(E2125),"",IF(ISNUMBER(SEARCH("/",E2125)), IF(LEN(E2125)-LEN(SUBSTITUTE(E2125,"/",""))=1,(RIGHT(E2125,LEN(E2125)-FIND("/",E2125)))-(LEFT(E2125,FIND("/",E2125)-1)),(MID(E2125, SEARCH("/",E2125) + 1, SEARCH("/",E2125, SEARCH("/",E2125)+1) - SEARCH("/",E2125) - 1))-(LEFT(E2125,FIND("/",E2125)-1))), "NA"))</f>
        <v/>
      </c>
      <c r="K2125" s="79">
        <f>IF(A2125&lt;&gt;"", IF(ISBLANK(L2125), TODAY(), K2125), "")</f>
        <v/>
      </c>
      <c r="L2125" s="78" t="n"/>
      <c r="M2125" s="78">
        <f>IF(ISBLANK(L2125),"",IF(D2125="Stock",IF(C2125="Buy",L2125*G2125,IF(C2125="Sell",(L2125*G2125)-I2125, X)),IF(C2125="Buy",(L2125*G2125*100)+I2125,IF(C2125="Sell",(L2125*G2125*100)-I2125, X))))</f>
        <v/>
      </c>
      <c r="N2125" s="78">
        <f>IF(ISBLANK(L2125),"",IF(AND(C2125="Sell",D2125="Stock"),M2125,IF(ISBLANK(L2125),"",IF(C2125="Buy",M2125, IF(AND(C2125="Sell",J2125="NA"),(E2125*G2125*100*0.1)+I2125, IF(C2125="Sell",(J2125-L2125)*(100*G2125)+I2125))))))</f>
        <v/>
      </c>
      <c r="O2125" s="75" t="n"/>
      <c r="P2125" s="75" t="n"/>
      <c r="Q2125" s="75">
        <f>IF(ISBLANK(P2125),"",IF(D2125="Stock",P2125*G2125,IF(P2125=0,"0",G2125*P2125*100-(G2125*$AF$14))))</f>
        <v/>
      </c>
      <c r="R2125" s="79">
        <f>IF(P2125&lt;&gt;"", TODAY(), "")</f>
        <v/>
      </c>
      <c r="S2125" s="78">
        <f>IF(AND(K2125&lt;&gt;"", R2125&lt;&gt;""), R2125-K2125, "")</f>
        <v/>
      </c>
      <c r="T2125" s="78" t="n"/>
      <c r="U2125" s="92">
        <f>IF(ISBLANK(P2125),"",IF(C2125="Buy",Q2125-M2125+T2125, IF(C2125="Sell",M2125-Q2125-T2125, X)))</f>
        <v/>
      </c>
      <c r="V2125" s="81">
        <f>IF(ISBLANK(P2125),"",U2125/N2125)</f>
        <v/>
      </c>
      <c r="W2125" s="81">
        <f>IF(ISBLANK(P2125),"",IF(S2125=0,(365/0.5)*V2125,(365/S2125)*V2125))</f>
        <v/>
      </c>
      <c r="X2125" s="75" t="n"/>
      <c r="Y2125" s="77" t="n"/>
      <c r="Z2125" s="77" t="n"/>
      <c r="AA2125" s="75" t="n"/>
      <c r="AB2125" s="75" t="n"/>
      <c r="AC2125" s="6" t="n"/>
      <c r="AD2125" s="75" t="n"/>
      <c r="AE2125" s="75" t="n"/>
      <c r="AF2125" s="75" t="n"/>
    </row>
    <row r="2126" ht="15.75" customHeight="1" s="133">
      <c r="A2126" s="75" t="n"/>
      <c r="B2126" s="75" t="n"/>
      <c r="C2126" s="75" t="n"/>
      <c r="D2126" s="75" t="n"/>
      <c r="E2126" s="76" t="n"/>
      <c r="F2126" s="77" t="n"/>
      <c r="G2126" s="75" t="n"/>
      <c r="H2126" s="75">
        <f>IF(ISBLANK(E2126),"",IF(OR(D2126="Butterfly",D2126="Butterfly ",D2126="Iron Fly", D2126="Iron Fly "),LEN(E2126)-LEN(SUBSTITUTE(E2126,"/",""))+2,LEN(E2126)-LEN(SUBSTITUTE(E2126,"/",""))+1))</f>
        <v/>
      </c>
      <c r="I2126" s="78">
        <f>IF(ISBLANK(G2126),"",IF(D2126="Stock","0",Key!$A$3*H2126*G2126))</f>
        <v/>
      </c>
      <c r="J2126" s="78">
        <f>IF(ISBLANK(E2126),"",IF(ISNUMBER(SEARCH("/",E2126)), IF(LEN(E2126)-LEN(SUBSTITUTE(E2126,"/",""))=1,(RIGHT(E2126,LEN(E2126)-FIND("/",E2126)))-(LEFT(E2126,FIND("/",E2126)-1)),(MID(E2126, SEARCH("/",E2126) + 1, SEARCH("/",E2126, SEARCH("/",E2126)+1) - SEARCH("/",E2126) - 1))-(LEFT(E2126,FIND("/",E2126)-1))), "NA"))</f>
        <v/>
      </c>
      <c r="K2126" s="79">
        <f>IF(A2126&lt;&gt;"", IF(ISBLANK(L2126), TODAY(), K2126), "")</f>
        <v/>
      </c>
      <c r="L2126" s="78" t="n"/>
      <c r="M2126" s="78">
        <f>IF(ISBLANK(L2126),"",IF(D2126="Stock",IF(C2126="Buy",L2126*G2126,IF(C2126="Sell",(L2126*G2126)-I2126, X)),IF(C2126="Buy",(L2126*G2126*100)+I2126,IF(C2126="Sell",(L2126*G2126*100)-I2126, X))))</f>
        <v/>
      </c>
      <c r="N2126" s="78">
        <f>IF(ISBLANK(L2126),"",IF(AND(C2126="Sell",D2126="Stock"),M2126,IF(ISBLANK(L2126),"",IF(C2126="Buy",M2126, IF(AND(C2126="Sell",J2126="NA"),(E2126*G2126*100*0.1)+I2126, IF(C2126="Sell",(J2126-L2126)*(100*G2126)+I2126))))))</f>
        <v/>
      </c>
      <c r="O2126" s="75" t="n"/>
      <c r="P2126" s="75" t="n"/>
      <c r="Q2126" s="75">
        <f>IF(ISBLANK(P2126),"",IF(D2126="Stock",P2126*G2126,IF(P2126=0,"0",G2126*P2126*100-(G2126*$AF$14))))</f>
        <v/>
      </c>
      <c r="R2126" s="79">
        <f>IF(P2126&lt;&gt;"", TODAY(), "")</f>
        <v/>
      </c>
      <c r="S2126" s="78">
        <f>IF(AND(K2126&lt;&gt;"", R2126&lt;&gt;""), R2126-K2126, "")</f>
        <v/>
      </c>
      <c r="T2126" s="78" t="n"/>
      <c r="U2126" s="92">
        <f>IF(ISBLANK(P2126),"",IF(C2126="Buy",Q2126-M2126+T2126, IF(C2126="Sell",M2126-Q2126-T2126, X)))</f>
        <v/>
      </c>
      <c r="V2126" s="81">
        <f>IF(ISBLANK(P2126),"",U2126/N2126)</f>
        <v/>
      </c>
      <c r="W2126" s="81">
        <f>IF(ISBLANK(P2126),"",IF(S2126=0,(365/0.5)*V2126,(365/S2126)*V2126))</f>
        <v/>
      </c>
      <c r="X2126" s="75" t="n"/>
      <c r="Y2126" s="77" t="n"/>
      <c r="Z2126" s="77" t="n"/>
      <c r="AA2126" s="75" t="n"/>
      <c r="AB2126" s="75" t="n"/>
      <c r="AC2126" s="6" t="n"/>
      <c r="AD2126" s="75" t="n"/>
      <c r="AE2126" s="75" t="n"/>
      <c r="AF2126" s="75" t="n"/>
    </row>
    <row r="2127" ht="15.75" customHeight="1" s="133">
      <c r="A2127" s="75" t="n"/>
      <c r="B2127" s="75" t="n"/>
      <c r="C2127" s="75" t="n"/>
      <c r="D2127" s="75" t="n"/>
      <c r="E2127" s="76" t="n"/>
      <c r="F2127" s="77" t="n"/>
      <c r="G2127" s="75" t="n"/>
      <c r="H2127" s="75">
        <f>IF(ISBLANK(E2127),"",IF(OR(D2127="Butterfly",D2127="Butterfly ",D2127="Iron Fly", D2127="Iron Fly "),LEN(E2127)-LEN(SUBSTITUTE(E2127,"/",""))+2,LEN(E2127)-LEN(SUBSTITUTE(E2127,"/",""))+1))</f>
        <v/>
      </c>
      <c r="I2127" s="78">
        <f>IF(ISBLANK(G2127),"",IF(D2127="Stock","0",Key!$A$3*H2127*G2127))</f>
        <v/>
      </c>
      <c r="J2127" s="78">
        <f>IF(ISBLANK(E2127),"",IF(ISNUMBER(SEARCH("/",E2127)), IF(LEN(E2127)-LEN(SUBSTITUTE(E2127,"/",""))=1,(RIGHT(E2127,LEN(E2127)-FIND("/",E2127)))-(LEFT(E2127,FIND("/",E2127)-1)),(MID(E2127, SEARCH("/",E2127) + 1, SEARCH("/",E2127, SEARCH("/",E2127)+1) - SEARCH("/",E2127) - 1))-(LEFT(E2127,FIND("/",E2127)-1))), "NA"))</f>
        <v/>
      </c>
      <c r="K2127" s="79">
        <f>IF(A2127&lt;&gt;"", IF(ISBLANK(L2127), TODAY(), K2127), "")</f>
        <v/>
      </c>
      <c r="L2127" s="78" t="n"/>
      <c r="M2127" s="78">
        <f>IF(ISBLANK(L2127),"",IF(D2127="Stock",IF(C2127="Buy",L2127*G2127,IF(C2127="Sell",(L2127*G2127)-I2127, X)),IF(C2127="Buy",(L2127*G2127*100)+I2127,IF(C2127="Sell",(L2127*G2127*100)-I2127, X))))</f>
        <v/>
      </c>
      <c r="N2127" s="78">
        <f>IF(ISBLANK(L2127),"",IF(AND(C2127="Sell",D2127="Stock"),M2127,IF(ISBLANK(L2127),"",IF(C2127="Buy",M2127, IF(AND(C2127="Sell",J2127="NA"),(E2127*G2127*100*0.1)+I2127, IF(C2127="Sell",(J2127-L2127)*(100*G2127)+I2127))))))</f>
        <v/>
      </c>
      <c r="O2127" s="75" t="n"/>
      <c r="P2127" s="75" t="n"/>
      <c r="Q2127" s="75">
        <f>IF(ISBLANK(P2127),"",IF(D2127="Stock",P2127*G2127,IF(P2127=0,"0",G2127*P2127*100-(G2127*$AF$14))))</f>
        <v/>
      </c>
      <c r="R2127" s="79">
        <f>IF(P2127&lt;&gt;"", TODAY(), "")</f>
        <v/>
      </c>
      <c r="S2127" s="78">
        <f>IF(AND(K2127&lt;&gt;"", R2127&lt;&gt;""), R2127-K2127, "")</f>
        <v/>
      </c>
      <c r="T2127" s="78" t="n"/>
      <c r="U2127" s="92">
        <f>IF(ISBLANK(P2127),"",IF(C2127="Buy",Q2127-M2127+T2127, IF(C2127="Sell",M2127-Q2127-T2127, X)))</f>
        <v/>
      </c>
      <c r="V2127" s="81">
        <f>IF(ISBLANK(P2127),"",U2127/N2127)</f>
        <v/>
      </c>
      <c r="W2127" s="81">
        <f>IF(ISBLANK(P2127),"",IF(S2127=0,(365/0.5)*V2127,(365/S2127)*V2127))</f>
        <v/>
      </c>
      <c r="X2127" s="75" t="n"/>
      <c r="Y2127" s="77" t="n"/>
      <c r="Z2127" s="77" t="n"/>
      <c r="AA2127" s="75" t="n"/>
      <c r="AB2127" s="75" t="n"/>
      <c r="AC2127" s="6" t="n"/>
      <c r="AD2127" s="75" t="n"/>
      <c r="AE2127" s="75" t="n"/>
      <c r="AF2127" s="75" t="n"/>
    </row>
    <row r="2128" ht="15.75" customHeight="1" s="133">
      <c r="A2128" s="75" t="n"/>
      <c r="B2128" s="75" t="n"/>
      <c r="C2128" s="75" t="n"/>
      <c r="D2128" s="75" t="n"/>
      <c r="E2128" s="76" t="n"/>
      <c r="F2128" s="77" t="n"/>
      <c r="G2128" s="75" t="n"/>
      <c r="H2128" s="75">
        <f>IF(ISBLANK(E2128),"",IF(OR(D2128="Butterfly",D2128="Butterfly ",D2128="Iron Fly", D2128="Iron Fly "),LEN(E2128)-LEN(SUBSTITUTE(E2128,"/",""))+2,LEN(E2128)-LEN(SUBSTITUTE(E2128,"/",""))+1))</f>
        <v/>
      </c>
      <c r="I2128" s="78">
        <f>IF(ISBLANK(G2128),"",IF(D2128="Stock","0",Key!$A$3*H2128*G2128))</f>
        <v/>
      </c>
      <c r="J2128" s="78">
        <f>IF(ISBLANK(E2128),"",IF(ISNUMBER(SEARCH("/",E2128)), IF(LEN(E2128)-LEN(SUBSTITUTE(E2128,"/",""))=1,(RIGHT(E2128,LEN(E2128)-FIND("/",E2128)))-(LEFT(E2128,FIND("/",E2128)-1)),(MID(E2128, SEARCH("/",E2128) + 1, SEARCH("/",E2128, SEARCH("/",E2128)+1) - SEARCH("/",E2128) - 1))-(LEFT(E2128,FIND("/",E2128)-1))), "NA"))</f>
        <v/>
      </c>
      <c r="K2128" s="79">
        <f>IF(A2128&lt;&gt;"", IF(ISBLANK(L2128), TODAY(), K2128), "")</f>
        <v/>
      </c>
      <c r="L2128" s="78" t="n"/>
      <c r="M2128" s="78">
        <f>IF(ISBLANK(L2128),"",IF(D2128="Stock",IF(C2128="Buy",L2128*G2128,IF(C2128="Sell",(L2128*G2128)-I2128, X)),IF(C2128="Buy",(L2128*G2128*100)+I2128,IF(C2128="Sell",(L2128*G2128*100)-I2128, X))))</f>
        <v/>
      </c>
      <c r="N2128" s="78">
        <f>IF(ISBLANK(L2128),"",IF(AND(C2128="Sell",D2128="Stock"),M2128,IF(ISBLANK(L2128),"",IF(C2128="Buy",M2128, IF(AND(C2128="Sell",J2128="NA"),(E2128*G2128*100*0.1)+I2128, IF(C2128="Sell",(J2128-L2128)*(100*G2128)+I2128))))))</f>
        <v/>
      </c>
      <c r="O2128" s="75" t="n"/>
      <c r="P2128" s="75" t="n"/>
      <c r="Q2128" s="75">
        <f>IF(ISBLANK(P2128),"",IF(D2128="Stock",P2128*G2128,IF(P2128=0,"0",G2128*P2128*100-(G2128*$AF$14))))</f>
        <v/>
      </c>
      <c r="R2128" s="79">
        <f>IF(P2128&lt;&gt;"", TODAY(), "")</f>
        <v/>
      </c>
      <c r="S2128" s="78">
        <f>IF(AND(K2128&lt;&gt;"", R2128&lt;&gt;""), R2128-K2128, "")</f>
        <v/>
      </c>
      <c r="T2128" s="78" t="n"/>
      <c r="U2128" s="92">
        <f>IF(ISBLANK(P2128),"",IF(C2128="Buy",Q2128-M2128+T2128, IF(C2128="Sell",M2128-Q2128-T2128, X)))</f>
        <v/>
      </c>
      <c r="V2128" s="81">
        <f>IF(ISBLANK(P2128),"",U2128/N2128)</f>
        <v/>
      </c>
      <c r="W2128" s="81">
        <f>IF(ISBLANK(P2128),"",IF(S2128=0,(365/0.5)*V2128,(365/S2128)*V2128))</f>
        <v/>
      </c>
      <c r="X2128" s="75" t="n"/>
      <c r="Y2128" s="77" t="n"/>
      <c r="Z2128" s="77" t="n"/>
      <c r="AA2128" s="75" t="n"/>
      <c r="AB2128" s="75" t="n"/>
      <c r="AC2128" s="6" t="n"/>
      <c r="AD2128" s="75" t="n"/>
      <c r="AE2128" s="75" t="n"/>
      <c r="AF2128" s="75" t="n"/>
    </row>
    <row r="2129" ht="15.75" customHeight="1" s="133">
      <c r="A2129" s="75" t="n"/>
      <c r="B2129" s="75" t="n"/>
      <c r="C2129" s="75" t="n"/>
      <c r="D2129" s="75" t="n"/>
      <c r="E2129" s="76" t="n"/>
      <c r="F2129" s="77" t="n"/>
      <c r="G2129" s="75" t="n"/>
      <c r="H2129" s="75">
        <f>IF(ISBLANK(E2129),"",IF(OR(D2129="Butterfly",D2129="Butterfly ",D2129="Iron Fly", D2129="Iron Fly "),LEN(E2129)-LEN(SUBSTITUTE(E2129,"/",""))+2,LEN(E2129)-LEN(SUBSTITUTE(E2129,"/",""))+1))</f>
        <v/>
      </c>
      <c r="I2129" s="78">
        <f>IF(ISBLANK(G2129),"",IF(D2129="Stock","0",Key!$A$3*H2129*G2129))</f>
        <v/>
      </c>
      <c r="J2129" s="78">
        <f>IF(ISBLANK(E2129),"",IF(ISNUMBER(SEARCH("/",E2129)), IF(LEN(E2129)-LEN(SUBSTITUTE(E2129,"/",""))=1,(RIGHT(E2129,LEN(E2129)-FIND("/",E2129)))-(LEFT(E2129,FIND("/",E2129)-1)),(MID(E2129, SEARCH("/",E2129) + 1, SEARCH("/",E2129, SEARCH("/",E2129)+1) - SEARCH("/",E2129) - 1))-(LEFT(E2129,FIND("/",E2129)-1))), "NA"))</f>
        <v/>
      </c>
      <c r="K2129" s="79">
        <f>IF(A2129&lt;&gt;"", IF(ISBLANK(L2129), TODAY(), K2129), "")</f>
        <v/>
      </c>
      <c r="L2129" s="78" t="n"/>
      <c r="M2129" s="78">
        <f>IF(ISBLANK(L2129),"",IF(D2129="Stock",IF(C2129="Buy",L2129*G2129,IF(C2129="Sell",(L2129*G2129)-I2129, X)),IF(C2129="Buy",(L2129*G2129*100)+I2129,IF(C2129="Sell",(L2129*G2129*100)-I2129, X))))</f>
        <v/>
      </c>
      <c r="N2129" s="78">
        <f>IF(ISBLANK(L2129),"",IF(AND(C2129="Sell",D2129="Stock"),M2129,IF(ISBLANK(L2129),"",IF(C2129="Buy",M2129, IF(AND(C2129="Sell",J2129="NA"),(E2129*G2129*100*0.1)+I2129, IF(C2129="Sell",(J2129-L2129)*(100*G2129)+I2129))))))</f>
        <v/>
      </c>
      <c r="O2129" s="75" t="n"/>
      <c r="P2129" s="75" t="n"/>
      <c r="Q2129" s="75">
        <f>IF(ISBLANK(P2129),"",IF(D2129="Stock",P2129*G2129,IF(P2129=0,"0",G2129*P2129*100-(G2129*$AF$14))))</f>
        <v/>
      </c>
      <c r="R2129" s="79">
        <f>IF(P2129&lt;&gt;"", TODAY(), "")</f>
        <v/>
      </c>
      <c r="S2129" s="78">
        <f>IF(AND(K2129&lt;&gt;"", R2129&lt;&gt;""), R2129-K2129, "")</f>
        <v/>
      </c>
      <c r="T2129" s="78" t="n"/>
      <c r="U2129" s="92">
        <f>IF(ISBLANK(P2129),"",IF(C2129="Buy",Q2129-M2129+T2129, IF(C2129="Sell",M2129-Q2129-T2129, X)))</f>
        <v/>
      </c>
      <c r="V2129" s="81">
        <f>IF(ISBLANK(P2129),"",U2129/N2129)</f>
        <v/>
      </c>
      <c r="W2129" s="81">
        <f>IF(ISBLANK(P2129),"",IF(S2129=0,(365/0.5)*V2129,(365/S2129)*V2129))</f>
        <v/>
      </c>
      <c r="X2129" s="75" t="n"/>
      <c r="Y2129" s="77" t="n"/>
      <c r="Z2129" s="77" t="n"/>
      <c r="AA2129" s="75" t="n"/>
      <c r="AB2129" s="75" t="n"/>
      <c r="AC2129" s="6" t="n"/>
      <c r="AD2129" s="75" t="n"/>
      <c r="AE2129" s="75" t="n"/>
      <c r="AF2129" s="75" t="n"/>
    </row>
    <row r="2130" ht="15.75" customHeight="1" s="133">
      <c r="A2130" s="75" t="n"/>
      <c r="B2130" s="75" t="n"/>
      <c r="C2130" s="75" t="n"/>
      <c r="D2130" s="75" t="n"/>
      <c r="E2130" s="76" t="n"/>
      <c r="F2130" s="77" t="n"/>
      <c r="G2130" s="75" t="n"/>
      <c r="H2130" s="75">
        <f>IF(ISBLANK(E2130),"",IF(OR(D2130="Butterfly",D2130="Butterfly ",D2130="Iron Fly", D2130="Iron Fly "),LEN(E2130)-LEN(SUBSTITUTE(E2130,"/",""))+2,LEN(E2130)-LEN(SUBSTITUTE(E2130,"/",""))+1))</f>
        <v/>
      </c>
      <c r="I2130" s="78">
        <f>IF(ISBLANK(G2130),"",IF(D2130="Stock","0",Key!$A$3*H2130*G2130))</f>
        <v/>
      </c>
      <c r="J2130" s="78">
        <f>IF(ISBLANK(E2130),"",IF(ISNUMBER(SEARCH("/",E2130)), IF(LEN(E2130)-LEN(SUBSTITUTE(E2130,"/",""))=1,(RIGHT(E2130,LEN(E2130)-FIND("/",E2130)))-(LEFT(E2130,FIND("/",E2130)-1)),(MID(E2130, SEARCH("/",E2130) + 1, SEARCH("/",E2130, SEARCH("/",E2130)+1) - SEARCH("/",E2130) - 1))-(LEFT(E2130,FIND("/",E2130)-1))), "NA"))</f>
        <v/>
      </c>
      <c r="K2130" s="79">
        <f>IF(A2130&lt;&gt;"", IF(ISBLANK(L2130), TODAY(), K2130), "")</f>
        <v/>
      </c>
      <c r="L2130" s="78" t="n"/>
      <c r="M2130" s="78">
        <f>IF(ISBLANK(L2130),"",IF(D2130="Stock",IF(C2130="Buy",L2130*G2130,IF(C2130="Sell",(L2130*G2130)-I2130, X)),IF(C2130="Buy",(L2130*G2130*100)+I2130,IF(C2130="Sell",(L2130*G2130*100)-I2130, X))))</f>
        <v/>
      </c>
      <c r="N2130" s="78">
        <f>IF(ISBLANK(L2130),"",IF(AND(C2130="Sell",D2130="Stock"),M2130,IF(ISBLANK(L2130),"",IF(C2130="Buy",M2130, IF(AND(C2130="Sell",J2130="NA"),(E2130*G2130*100*0.1)+I2130, IF(C2130="Sell",(J2130-L2130)*(100*G2130)+I2130))))))</f>
        <v/>
      </c>
      <c r="O2130" s="75" t="n"/>
      <c r="P2130" s="75" t="n"/>
      <c r="Q2130" s="75">
        <f>IF(ISBLANK(P2130),"",IF(D2130="Stock",P2130*G2130,IF(P2130=0,"0",G2130*P2130*100-(G2130*$AF$14))))</f>
        <v/>
      </c>
      <c r="R2130" s="79">
        <f>IF(P2130&lt;&gt;"", TODAY(), "")</f>
        <v/>
      </c>
      <c r="S2130" s="78">
        <f>IF(AND(K2130&lt;&gt;"", R2130&lt;&gt;""), R2130-K2130, "")</f>
        <v/>
      </c>
      <c r="T2130" s="78" t="n"/>
      <c r="U2130" s="92">
        <f>IF(ISBLANK(P2130),"",IF(C2130="Buy",Q2130-M2130+T2130, IF(C2130="Sell",M2130-Q2130-T2130, X)))</f>
        <v/>
      </c>
      <c r="V2130" s="81">
        <f>IF(ISBLANK(P2130),"",U2130/N2130)</f>
        <v/>
      </c>
      <c r="W2130" s="81">
        <f>IF(ISBLANK(P2130),"",IF(S2130=0,(365/0.5)*V2130,(365/S2130)*V2130))</f>
        <v/>
      </c>
      <c r="X2130" s="75" t="n"/>
      <c r="Y2130" s="77" t="n"/>
      <c r="Z2130" s="77" t="n"/>
      <c r="AA2130" s="75" t="n"/>
      <c r="AB2130" s="75" t="n"/>
      <c r="AC2130" s="6" t="n"/>
      <c r="AD2130" s="75" t="n"/>
      <c r="AE2130" s="75" t="n"/>
      <c r="AF2130" s="75" t="n"/>
    </row>
    <row r="2131" ht="15.75" customHeight="1" s="133">
      <c r="A2131" s="75" t="n"/>
      <c r="B2131" s="75" t="n"/>
      <c r="C2131" s="75" t="n"/>
      <c r="D2131" s="75" t="n"/>
      <c r="E2131" s="76" t="n"/>
      <c r="F2131" s="77" t="n"/>
      <c r="G2131" s="75" t="n"/>
      <c r="H2131" s="75">
        <f>IF(ISBLANK(E2131),"",IF(OR(D2131="Butterfly",D2131="Butterfly ",D2131="Iron Fly", D2131="Iron Fly "),LEN(E2131)-LEN(SUBSTITUTE(E2131,"/",""))+2,LEN(E2131)-LEN(SUBSTITUTE(E2131,"/",""))+1))</f>
        <v/>
      </c>
      <c r="I2131" s="78">
        <f>IF(ISBLANK(G2131),"",IF(D2131="Stock","0",Key!$A$3*H2131*G2131))</f>
        <v/>
      </c>
      <c r="J2131" s="78">
        <f>IF(ISBLANK(E2131),"",IF(ISNUMBER(SEARCH("/",E2131)), IF(LEN(E2131)-LEN(SUBSTITUTE(E2131,"/",""))=1,(RIGHT(E2131,LEN(E2131)-FIND("/",E2131)))-(LEFT(E2131,FIND("/",E2131)-1)),(MID(E2131, SEARCH("/",E2131) + 1, SEARCH("/",E2131, SEARCH("/",E2131)+1) - SEARCH("/",E2131) - 1))-(LEFT(E2131,FIND("/",E2131)-1))), "NA"))</f>
        <v/>
      </c>
      <c r="K2131" s="79">
        <f>IF(A2131&lt;&gt;"", IF(ISBLANK(L2131), TODAY(), K2131), "")</f>
        <v/>
      </c>
      <c r="L2131" s="78" t="n"/>
      <c r="M2131" s="78">
        <f>IF(ISBLANK(L2131),"",IF(D2131="Stock",IF(C2131="Buy",L2131*G2131,IF(C2131="Sell",(L2131*G2131)-I2131, X)),IF(C2131="Buy",(L2131*G2131*100)+I2131,IF(C2131="Sell",(L2131*G2131*100)-I2131, X))))</f>
        <v/>
      </c>
      <c r="N2131" s="78">
        <f>IF(ISBLANK(L2131),"",IF(AND(C2131="Sell",D2131="Stock"),M2131,IF(ISBLANK(L2131),"",IF(C2131="Buy",M2131, IF(AND(C2131="Sell",J2131="NA"),(E2131*G2131*100*0.1)+I2131, IF(C2131="Sell",(J2131-L2131)*(100*G2131)+I2131))))))</f>
        <v/>
      </c>
      <c r="O2131" s="75" t="n"/>
      <c r="P2131" s="75" t="n"/>
      <c r="Q2131" s="75">
        <f>IF(ISBLANK(P2131),"",IF(D2131="Stock",P2131*G2131,IF(P2131=0,"0",G2131*P2131*100-(G2131*$AF$14))))</f>
        <v/>
      </c>
      <c r="R2131" s="79">
        <f>IF(P2131&lt;&gt;"", TODAY(), "")</f>
        <v/>
      </c>
      <c r="S2131" s="78">
        <f>IF(AND(K2131&lt;&gt;"", R2131&lt;&gt;""), R2131-K2131, "")</f>
        <v/>
      </c>
      <c r="T2131" s="78" t="n"/>
      <c r="U2131" s="92">
        <f>IF(ISBLANK(P2131),"",IF(C2131="Buy",Q2131-M2131+T2131, IF(C2131="Sell",M2131-Q2131-T2131, X)))</f>
        <v/>
      </c>
      <c r="V2131" s="81">
        <f>IF(ISBLANK(P2131),"",U2131/N2131)</f>
        <v/>
      </c>
      <c r="W2131" s="81">
        <f>IF(ISBLANK(P2131),"",IF(S2131=0,(365/0.5)*V2131,(365/S2131)*V2131))</f>
        <v/>
      </c>
      <c r="X2131" s="75" t="n"/>
      <c r="Y2131" s="77" t="n"/>
      <c r="Z2131" s="77" t="n"/>
      <c r="AA2131" s="75" t="n"/>
      <c r="AB2131" s="75" t="n"/>
      <c r="AC2131" s="6" t="n"/>
      <c r="AD2131" s="75" t="n"/>
      <c r="AE2131" s="75" t="n"/>
      <c r="AF2131" s="75" t="n"/>
    </row>
    <row r="2132" ht="15.75" customHeight="1" s="133">
      <c r="A2132" s="75" t="n"/>
      <c r="B2132" s="75" t="n"/>
      <c r="C2132" s="75" t="n"/>
      <c r="D2132" s="75" t="n"/>
      <c r="E2132" s="76" t="n"/>
      <c r="F2132" s="77" t="n"/>
      <c r="G2132" s="75" t="n"/>
      <c r="H2132" s="75">
        <f>IF(ISBLANK(E2132),"",IF(OR(D2132="Butterfly",D2132="Butterfly ",D2132="Iron Fly", D2132="Iron Fly "),LEN(E2132)-LEN(SUBSTITUTE(E2132,"/",""))+2,LEN(E2132)-LEN(SUBSTITUTE(E2132,"/",""))+1))</f>
        <v/>
      </c>
      <c r="I2132" s="78">
        <f>IF(ISBLANK(G2132),"",IF(D2132="Stock","0",Key!$A$3*H2132*G2132))</f>
        <v/>
      </c>
      <c r="J2132" s="78">
        <f>IF(ISBLANK(E2132),"",IF(ISNUMBER(SEARCH("/",E2132)), IF(LEN(E2132)-LEN(SUBSTITUTE(E2132,"/",""))=1,(RIGHT(E2132,LEN(E2132)-FIND("/",E2132)))-(LEFT(E2132,FIND("/",E2132)-1)),(MID(E2132, SEARCH("/",E2132) + 1, SEARCH("/",E2132, SEARCH("/",E2132)+1) - SEARCH("/",E2132) - 1))-(LEFT(E2132,FIND("/",E2132)-1))), "NA"))</f>
        <v/>
      </c>
      <c r="K2132" s="79">
        <f>IF(A2132&lt;&gt;"", IF(ISBLANK(L2132), TODAY(), K2132), "")</f>
        <v/>
      </c>
      <c r="L2132" s="78" t="n"/>
      <c r="M2132" s="78">
        <f>IF(ISBLANK(L2132),"",IF(D2132="Stock",IF(C2132="Buy",L2132*G2132,IF(C2132="Sell",(L2132*G2132)-I2132, X)),IF(C2132="Buy",(L2132*G2132*100)+I2132,IF(C2132="Sell",(L2132*G2132*100)-I2132, X))))</f>
        <v/>
      </c>
      <c r="N2132" s="78">
        <f>IF(ISBLANK(L2132),"",IF(AND(C2132="Sell",D2132="Stock"),M2132,IF(ISBLANK(L2132),"",IF(C2132="Buy",M2132, IF(AND(C2132="Sell",J2132="NA"),(E2132*G2132*100*0.1)+I2132, IF(C2132="Sell",(J2132-L2132)*(100*G2132)+I2132))))))</f>
        <v/>
      </c>
      <c r="O2132" s="75" t="n"/>
      <c r="P2132" s="75" t="n"/>
      <c r="Q2132" s="75">
        <f>IF(ISBLANK(P2132),"",IF(D2132="Stock",P2132*G2132,IF(P2132=0,"0",G2132*P2132*100-(G2132*$AF$14))))</f>
        <v/>
      </c>
      <c r="R2132" s="79">
        <f>IF(P2132&lt;&gt;"", TODAY(), "")</f>
        <v/>
      </c>
      <c r="S2132" s="78">
        <f>IF(AND(K2132&lt;&gt;"", R2132&lt;&gt;""), R2132-K2132, "")</f>
        <v/>
      </c>
      <c r="T2132" s="78" t="n"/>
      <c r="U2132" s="92">
        <f>IF(ISBLANK(P2132),"",IF(C2132="Buy",Q2132-M2132+T2132, IF(C2132="Sell",M2132-Q2132-T2132, X)))</f>
        <v/>
      </c>
      <c r="V2132" s="81">
        <f>IF(ISBLANK(P2132),"",U2132/N2132)</f>
        <v/>
      </c>
      <c r="W2132" s="81">
        <f>IF(ISBLANK(P2132),"",IF(S2132=0,(365/0.5)*V2132,(365/S2132)*V2132))</f>
        <v/>
      </c>
      <c r="X2132" s="75" t="n"/>
      <c r="Y2132" s="77" t="n"/>
      <c r="Z2132" s="77" t="n"/>
      <c r="AA2132" s="75" t="n"/>
      <c r="AB2132" s="75" t="n"/>
      <c r="AC2132" s="6" t="n"/>
      <c r="AD2132" s="75" t="n"/>
      <c r="AE2132" s="75" t="n"/>
      <c r="AF2132" s="75" t="n"/>
    </row>
    <row r="2133" ht="15.75" customHeight="1" s="133">
      <c r="A2133" s="75" t="n"/>
      <c r="B2133" s="75" t="n"/>
      <c r="C2133" s="75" t="n"/>
      <c r="D2133" s="75" t="n"/>
      <c r="E2133" s="76" t="n"/>
      <c r="F2133" s="77" t="n"/>
      <c r="G2133" s="75" t="n"/>
      <c r="H2133" s="75">
        <f>IF(ISBLANK(E2133),"",IF(OR(D2133="Butterfly",D2133="Butterfly ",D2133="Iron Fly", D2133="Iron Fly "),LEN(E2133)-LEN(SUBSTITUTE(E2133,"/",""))+2,LEN(E2133)-LEN(SUBSTITUTE(E2133,"/",""))+1))</f>
        <v/>
      </c>
      <c r="I2133" s="78">
        <f>IF(ISBLANK(G2133),"",IF(D2133="Stock","0",Key!$A$3*H2133*G2133))</f>
        <v/>
      </c>
      <c r="J2133" s="78">
        <f>IF(ISBLANK(E2133),"",IF(ISNUMBER(SEARCH("/",E2133)), IF(LEN(E2133)-LEN(SUBSTITUTE(E2133,"/",""))=1,(RIGHT(E2133,LEN(E2133)-FIND("/",E2133)))-(LEFT(E2133,FIND("/",E2133)-1)),(MID(E2133, SEARCH("/",E2133) + 1, SEARCH("/",E2133, SEARCH("/",E2133)+1) - SEARCH("/",E2133) - 1))-(LEFT(E2133,FIND("/",E2133)-1))), "NA"))</f>
        <v/>
      </c>
      <c r="K2133" s="79">
        <f>IF(A2133&lt;&gt;"", IF(ISBLANK(L2133), TODAY(), K2133), "")</f>
        <v/>
      </c>
      <c r="L2133" s="78" t="n"/>
      <c r="M2133" s="78">
        <f>IF(ISBLANK(L2133),"",IF(D2133="Stock",IF(C2133="Buy",L2133*G2133,IF(C2133="Sell",(L2133*G2133)-I2133, X)),IF(C2133="Buy",(L2133*G2133*100)+I2133,IF(C2133="Sell",(L2133*G2133*100)-I2133, X))))</f>
        <v/>
      </c>
      <c r="N2133" s="78">
        <f>IF(ISBLANK(L2133),"",IF(AND(C2133="Sell",D2133="Stock"),M2133,IF(ISBLANK(L2133),"",IF(C2133="Buy",M2133, IF(AND(C2133="Sell",J2133="NA"),(E2133*G2133*100*0.1)+I2133, IF(C2133="Sell",(J2133-L2133)*(100*G2133)+I2133))))))</f>
        <v/>
      </c>
      <c r="O2133" s="75" t="n"/>
      <c r="P2133" s="75" t="n"/>
      <c r="Q2133" s="75">
        <f>IF(ISBLANK(P2133),"",IF(D2133="Stock",P2133*G2133,IF(P2133=0,"0",G2133*P2133*100-(G2133*$AF$14))))</f>
        <v/>
      </c>
      <c r="R2133" s="79">
        <f>IF(P2133&lt;&gt;"", TODAY(), "")</f>
        <v/>
      </c>
      <c r="S2133" s="78">
        <f>IF(AND(K2133&lt;&gt;"", R2133&lt;&gt;""), R2133-K2133, "")</f>
        <v/>
      </c>
      <c r="T2133" s="78" t="n"/>
      <c r="U2133" s="92">
        <f>IF(ISBLANK(P2133),"",IF(C2133="Buy",Q2133-M2133+T2133, IF(C2133="Sell",M2133-Q2133-T2133, X)))</f>
        <v/>
      </c>
      <c r="V2133" s="81">
        <f>IF(ISBLANK(P2133),"",U2133/N2133)</f>
        <v/>
      </c>
      <c r="W2133" s="81">
        <f>IF(ISBLANK(P2133),"",IF(S2133=0,(365/0.5)*V2133,(365/S2133)*V2133))</f>
        <v/>
      </c>
      <c r="X2133" s="75" t="n"/>
      <c r="Y2133" s="77" t="n"/>
      <c r="Z2133" s="77" t="n"/>
      <c r="AA2133" s="75" t="n"/>
      <c r="AB2133" s="75" t="n"/>
      <c r="AC2133" s="6" t="n"/>
      <c r="AD2133" s="75" t="n"/>
      <c r="AE2133" s="75" t="n"/>
      <c r="AF2133" s="75" t="n"/>
    </row>
    <row r="2134" ht="15.75" customHeight="1" s="133">
      <c r="A2134" s="75" t="n"/>
      <c r="B2134" s="75" t="n"/>
      <c r="C2134" s="75" t="n"/>
      <c r="D2134" s="75" t="n"/>
      <c r="E2134" s="76" t="n"/>
      <c r="F2134" s="77" t="n"/>
      <c r="G2134" s="75" t="n"/>
      <c r="H2134" s="75">
        <f>IF(ISBLANK(E2134),"",IF(OR(D2134="Butterfly",D2134="Butterfly ",D2134="Iron Fly", D2134="Iron Fly "),LEN(E2134)-LEN(SUBSTITUTE(E2134,"/",""))+2,LEN(E2134)-LEN(SUBSTITUTE(E2134,"/",""))+1))</f>
        <v/>
      </c>
      <c r="I2134" s="78">
        <f>IF(ISBLANK(G2134),"",IF(D2134="Stock","0",Key!$A$3*H2134*G2134))</f>
        <v/>
      </c>
      <c r="J2134" s="78">
        <f>IF(ISBLANK(E2134),"",IF(ISNUMBER(SEARCH("/",E2134)), IF(LEN(E2134)-LEN(SUBSTITUTE(E2134,"/",""))=1,(RIGHT(E2134,LEN(E2134)-FIND("/",E2134)))-(LEFT(E2134,FIND("/",E2134)-1)),(MID(E2134, SEARCH("/",E2134) + 1, SEARCH("/",E2134, SEARCH("/",E2134)+1) - SEARCH("/",E2134) - 1))-(LEFT(E2134,FIND("/",E2134)-1))), "NA"))</f>
        <v/>
      </c>
      <c r="K2134" s="79">
        <f>IF(A2134&lt;&gt;"", IF(ISBLANK(L2134), TODAY(), K2134), "")</f>
        <v/>
      </c>
      <c r="L2134" s="78" t="n"/>
      <c r="M2134" s="78">
        <f>IF(ISBLANK(L2134),"",IF(D2134="Stock",IF(C2134="Buy",L2134*G2134,IF(C2134="Sell",(L2134*G2134)-I2134, X)),IF(C2134="Buy",(L2134*G2134*100)+I2134,IF(C2134="Sell",(L2134*G2134*100)-I2134, X))))</f>
        <v/>
      </c>
      <c r="N2134" s="78">
        <f>IF(ISBLANK(L2134),"",IF(AND(C2134="Sell",D2134="Stock"),M2134,IF(ISBLANK(L2134),"",IF(C2134="Buy",M2134, IF(AND(C2134="Sell",J2134="NA"),(E2134*G2134*100*0.1)+I2134, IF(C2134="Sell",(J2134-L2134)*(100*G2134)+I2134))))))</f>
        <v/>
      </c>
      <c r="O2134" s="75" t="n"/>
      <c r="P2134" s="75" t="n"/>
      <c r="Q2134" s="75">
        <f>IF(ISBLANK(P2134),"",IF(D2134="Stock",P2134*G2134,IF(P2134=0,"0",G2134*P2134*100-(G2134*$AF$14))))</f>
        <v/>
      </c>
      <c r="R2134" s="79">
        <f>IF(P2134&lt;&gt;"", TODAY(), "")</f>
        <v/>
      </c>
      <c r="S2134" s="78">
        <f>IF(AND(K2134&lt;&gt;"", R2134&lt;&gt;""), R2134-K2134, "")</f>
        <v/>
      </c>
      <c r="T2134" s="78" t="n"/>
      <c r="U2134" s="92">
        <f>IF(ISBLANK(P2134),"",IF(C2134="Buy",Q2134-M2134+T2134, IF(C2134="Sell",M2134-Q2134-T2134, X)))</f>
        <v/>
      </c>
      <c r="V2134" s="81">
        <f>IF(ISBLANK(P2134),"",U2134/N2134)</f>
        <v/>
      </c>
      <c r="W2134" s="81">
        <f>IF(ISBLANK(P2134),"",IF(S2134=0,(365/0.5)*V2134,(365/S2134)*V2134))</f>
        <v/>
      </c>
      <c r="X2134" s="75" t="n"/>
      <c r="Y2134" s="77" t="n"/>
      <c r="Z2134" s="77" t="n"/>
      <c r="AA2134" s="75" t="n"/>
      <c r="AB2134" s="75" t="n"/>
      <c r="AC2134" s="6" t="n"/>
      <c r="AD2134" s="75" t="n"/>
      <c r="AE2134" s="75" t="n"/>
      <c r="AF2134" s="75" t="n"/>
    </row>
    <row r="2135" ht="15.75" customHeight="1" s="133">
      <c r="A2135" s="75" t="n"/>
      <c r="B2135" s="75" t="n"/>
      <c r="C2135" s="75" t="n"/>
      <c r="D2135" s="75" t="n"/>
      <c r="E2135" s="76" t="n"/>
      <c r="F2135" s="77" t="n"/>
      <c r="G2135" s="75" t="n"/>
      <c r="H2135" s="75">
        <f>IF(ISBLANK(E2135),"",IF(OR(D2135="Butterfly",D2135="Butterfly ",D2135="Iron Fly", D2135="Iron Fly "),LEN(E2135)-LEN(SUBSTITUTE(E2135,"/",""))+2,LEN(E2135)-LEN(SUBSTITUTE(E2135,"/",""))+1))</f>
        <v/>
      </c>
      <c r="I2135" s="78">
        <f>IF(ISBLANK(G2135),"",IF(D2135="Stock","0",Key!$A$3*H2135*G2135))</f>
        <v/>
      </c>
      <c r="J2135" s="78">
        <f>IF(ISBLANK(E2135),"",IF(ISNUMBER(SEARCH("/",E2135)), IF(LEN(E2135)-LEN(SUBSTITUTE(E2135,"/",""))=1,(RIGHT(E2135,LEN(E2135)-FIND("/",E2135)))-(LEFT(E2135,FIND("/",E2135)-1)),(MID(E2135, SEARCH("/",E2135) + 1, SEARCH("/",E2135, SEARCH("/",E2135)+1) - SEARCH("/",E2135) - 1))-(LEFT(E2135,FIND("/",E2135)-1))), "NA"))</f>
        <v/>
      </c>
      <c r="K2135" s="79">
        <f>IF(A2135&lt;&gt;"", IF(ISBLANK(L2135), TODAY(), K2135), "")</f>
        <v/>
      </c>
      <c r="L2135" s="78" t="n"/>
      <c r="M2135" s="78">
        <f>IF(ISBLANK(L2135),"",IF(D2135="Stock",IF(C2135="Buy",L2135*G2135,IF(C2135="Sell",(L2135*G2135)-I2135, X)),IF(C2135="Buy",(L2135*G2135*100)+I2135,IF(C2135="Sell",(L2135*G2135*100)-I2135, X))))</f>
        <v/>
      </c>
      <c r="N2135" s="78">
        <f>IF(ISBLANK(L2135),"",IF(AND(C2135="Sell",D2135="Stock"),M2135,IF(ISBLANK(L2135),"",IF(C2135="Buy",M2135, IF(AND(C2135="Sell",J2135="NA"),(E2135*G2135*100*0.1)+I2135, IF(C2135="Sell",(J2135-L2135)*(100*G2135)+I2135))))))</f>
        <v/>
      </c>
      <c r="O2135" s="75" t="n"/>
      <c r="P2135" s="75" t="n"/>
      <c r="Q2135" s="75">
        <f>IF(ISBLANK(P2135),"",IF(D2135="Stock",P2135*G2135,IF(P2135=0,"0",G2135*P2135*100-(G2135*$AF$14))))</f>
        <v/>
      </c>
      <c r="R2135" s="79">
        <f>IF(P2135&lt;&gt;"", TODAY(), "")</f>
        <v/>
      </c>
      <c r="S2135" s="78">
        <f>IF(AND(K2135&lt;&gt;"", R2135&lt;&gt;""), R2135-K2135, "")</f>
        <v/>
      </c>
      <c r="T2135" s="78" t="n"/>
      <c r="U2135" s="92">
        <f>IF(ISBLANK(P2135),"",IF(C2135="Buy",Q2135-M2135+T2135, IF(C2135="Sell",M2135-Q2135-T2135, X)))</f>
        <v/>
      </c>
      <c r="V2135" s="81">
        <f>IF(ISBLANK(P2135),"",U2135/N2135)</f>
        <v/>
      </c>
      <c r="W2135" s="81">
        <f>IF(ISBLANK(P2135),"",IF(S2135=0,(365/0.5)*V2135,(365/S2135)*V2135))</f>
        <v/>
      </c>
      <c r="X2135" s="75" t="n"/>
      <c r="Y2135" s="77" t="n"/>
      <c r="Z2135" s="77" t="n"/>
      <c r="AA2135" s="75" t="n"/>
      <c r="AB2135" s="75" t="n"/>
      <c r="AC2135" s="6" t="n"/>
      <c r="AD2135" s="75" t="n"/>
      <c r="AE2135" s="75" t="n"/>
      <c r="AF2135" s="75" t="n"/>
    </row>
    <row r="2136" ht="15.75" customHeight="1" s="133">
      <c r="A2136" s="75" t="n"/>
      <c r="B2136" s="75" t="n"/>
      <c r="C2136" s="75" t="n"/>
      <c r="D2136" s="75" t="n"/>
      <c r="E2136" s="76" t="n"/>
      <c r="F2136" s="77" t="n"/>
      <c r="G2136" s="75" t="n"/>
      <c r="H2136" s="75">
        <f>IF(ISBLANK(E2136),"",IF(OR(D2136="Butterfly",D2136="Butterfly ",D2136="Iron Fly", D2136="Iron Fly "),LEN(E2136)-LEN(SUBSTITUTE(E2136,"/",""))+2,LEN(E2136)-LEN(SUBSTITUTE(E2136,"/",""))+1))</f>
        <v/>
      </c>
      <c r="I2136" s="78">
        <f>IF(ISBLANK(G2136),"",IF(D2136="Stock","0",Key!$A$3*H2136*G2136))</f>
        <v/>
      </c>
      <c r="J2136" s="78">
        <f>IF(ISBLANK(E2136),"",IF(ISNUMBER(SEARCH("/",E2136)), IF(LEN(E2136)-LEN(SUBSTITUTE(E2136,"/",""))=1,(RIGHT(E2136,LEN(E2136)-FIND("/",E2136)))-(LEFT(E2136,FIND("/",E2136)-1)),(MID(E2136, SEARCH("/",E2136) + 1, SEARCH("/",E2136, SEARCH("/",E2136)+1) - SEARCH("/",E2136) - 1))-(LEFT(E2136,FIND("/",E2136)-1))), "NA"))</f>
        <v/>
      </c>
      <c r="K2136" s="79">
        <f>IF(A2136&lt;&gt;"", IF(ISBLANK(L2136), TODAY(), K2136), "")</f>
        <v/>
      </c>
      <c r="L2136" s="78" t="n"/>
      <c r="M2136" s="78">
        <f>IF(ISBLANK(L2136),"",IF(D2136="Stock",IF(C2136="Buy",L2136*G2136,IF(C2136="Sell",(L2136*G2136)-I2136, X)),IF(C2136="Buy",(L2136*G2136*100)+I2136,IF(C2136="Sell",(L2136*G2136*100)-I2136, X))))</f>
        <v/>
      </c>
      <c r="N2136" s="78">
        <f>IF(ISBLANK(L2136),"",IF(AND(C2136="Sell",D2136="Stock"),M2136,IF(ISBLANK(L2136),"",IF(C2136="Buy",M2136, IF(AND(C2136="Sell",J2136="NA"),(E2136*G2136*100*0.1)+I2136, IF(C2136="Sell",(J2136-L2136)*(100*G2136)+I2136))))))</f>
        <v/>
      </c>
      <c r="O2136" s="75" t="n"/>
      <c r="P2136" s="75" t="n"/>
      <c r="Q2136" s="75">
        <f>IF(ISBLANK(P2136),"",IF(D2136="Stock",P2136*G2136,IF(P2136=0,"0",G2136*P2136*100-(G2136*$AF$14))))</f>
        <v/>
      </c>
      <c r="R2136" s="79">
        <f>IF(P2136&lt;&gt;"", TODAY(), "")</f>
        <v/>
      </c>
      <c r="S2136" s="78">
        <f>IF(AND(K2136&lt;&gt;"", R2136&lt;&gt;""), R2136-K2136, "")</f>
        <v/>
      </c>
      <c r="T2136" s="78" t="n"/>
      <c r="U2136" s="92">
        <f>IF(ISBLANK(P2136),"",IF(C2136="Buy",Q2136-M2136+T2136, IF(C2136="Sell",M2136-Q2136-T2136, X)))</f>
        <v/>
      </c>
      <c r="V2136" s="81">
        <f>IF(ISBLANK(P2136),"",U2136/N2136)</f>
        <v/>
      </c>
      <c r="W2136" s="81">
        <f>IF(ISBLANK(P2136),"",IF(S2136=0,(365/0.5)*V2136,(365/S2136)*V2136))</f>
        <v/>
      </c>
      <c r="X2136" s="75" t="n"/>
      <c r="Y2136" s="77" t="n"/>
      <c r="Z2136" s="77" t="n"/>
      <c r="AA2136" s="75" t="n"/>
      <c r="AB2136" s="75" t="n"/>
      <c r="AC2136" s="6" t="n"/>
      <c r="AD2136" s="75" t="n"/>
      <c r="AE2136" s="75" t="n"/>
      <c r="AF2136" s="75" t="n"/>
    </row>
    <row r="2137" ht="15.75" customHeight="1" s="133">
      <c r="A2137" s="75" t="n"/>
      <c r="B2137" s="75" t="n"/>
      <c r="C2137" s="75" t="n"/>
      <c r="D2137" s="75" t="n"/>
      <c r="E2137" s="76" t="n"/>
      <c r="F2137" s="77" t="n"/>
      <c r="G2137" s="75" t="n"/>
      <c r="H2137" s="75">
        <f>IF(ISBLANK(E2137),"",IF(OR(D2137="Butterfly",D2137="Butterfly ",D2137="Iron Fly", D2137="Iron Fly "),LEN(E2137)-LEN(SUBSTITUTE(E2137,"/",""))+2,LEN(E2137)-LEN(SUBSTITUTE(E2137,"/",""))+1))</f>
        <v/>
      </c>
      <c r="I2137" s="78">
        <f>IF(ISBLANK(G2137),"",IF(D2137="Stock","0",Key!$A$3*H2137*G2137))</f>
        <v/>
      </c>
      <c r="J2137" s="78">
        <f>IF(ISBLANK(E2137),"",IF(ISNUMBER(SEARCH("/",E2137)), IF(LEN(E2137)-LEN(SUBSTITUTE(E2137,"/",""))=1,(RIGHT(E2137,LEN(E2137)-FIND("/",E2137)))-(LEFT(E2137,FIND("/",E2137)-1)),(MID(E2137, SEARCH("/",E2137) + 1, SEARCH("/",E2137, SEARCH("/",E2137)+1) - SEARCH("/",E2137) - 1))-(LEFT(E2137,FIND("/",E2137)-1))), "NA"))</f>
        <v/>
      </c>
      <c r="K2137" s="79">
        <f>IF(A2137&lt;&gt;"", IF(ISBLANK(L2137), TODAY(), K2137), "")</f>
        <v/>
      </c>
      <c r="L2137" s="78" t="n"/>
      <c r="M2137" s="78">
        <f>IF(ISBLANK(L2137),"",IF(D2137="Stock",IF(C2137="Buy",L2137*G2137,IF(C2137="Sell",(L2137*G2137)-I2137, X)),IF(C2137="Buy",(L2137*G2137*100)+I2137,IF(C2137="Sell",(L2137*G2137*100)-I2137, X))))</f>
        <v/>
      </c>
      <c r="N2137" s="78">
        <f>IF(ISBLANK(L2137),"",IF(AND(C2137="Sell",D2137="Stock"),M2137,IF(ISBLANK(L2137),"",IF(C2137="Buy",M2137, IF(AND(C2137="Sell",J2137="NA"),(E2137*G2137*100*0.1)+I2137, IF(C2137="Sell",(J2137-L2137)*(100*G2137)+I2137))))))</f>
        <v/>
      </c>
      <c r="O2137" s="75" t="n"/>
      <c r="P2137" s="75" t="n"/>
      <c r="Q2137" s="75">
        <f>IF(ISBLANK(P2137),"",IF(D2137="Stock",P2137*G2137,IF(P2137=0,"0",G2137*P2137*100-(G2137*$AF$14))))</f>
        <v/>
      </c>
      <c r="R2137" s="79">
        <f>IF(P2137&lt;&gt;"", TODAY(), "")</f>
        <v/>
      </c>
      <c r="S2137" s="78">
        <f>IF(AND(K2137&lt;&gt;"", R2137&lt;&gt;""), R2137-K2137, "")</f>
        <v/>
      </c>
      <c r="T2137" s="78" t="n"/>
      <c r="U2137" s="92">
        <f>IF(ISBLANK(P2137),"",IF(C2137="Buy",Q2137-M2137+T2137, IF(C2137="Sell",M2137-Q2137-T2137, X)))</f>
        <v/>
      </c>
      <c r="V2137" s="81">
        <f>IF(ISBLANK(P2137),"",U2137/N2137)</f>
        <v/>
      </c>
      <c r="W2137" s="81">
        <f>IF(ISBLANK(P2137),"",IF(S2137=0,(365/0.5)*V2137,(365/S2137)*V2137))</f>
        <v/>
      </c>
      <c r="X2137" s="75" t="n"/>
      <c r="Y2137" s="77" t="n"/>
      <c r="Z2137" s="77" t="n"/>
      <c r="AA2137" s="75" t="n"/>
      <c r="AB2137" s="75" t="n"/>
      <c r="AC2137" s="6" t="n"/>
      <c r="AD2137" s="75" t="n"/>
      <c r="AE2137" s="75" t="n"/>
      <c r="AF2137" s="75" t="n"/>
    </row>
    <row r="2138" ht="15.75" customHeight="1" s="133">
      <c r="A2138" s="75" t="n"/>
      <c r="B2138" s="75" t="n"/>
      <c r="C2138" s="75" t="n"/>
      <c r="D2138" s="75" t="n"/>
      <c r="E2138" s="76" t="n"/>
      <c r="F2138" s="77" t="n"/>
      <c r="G2138" s="75" t="n"/>
      <c r="H2138" s="75">
        <f>IF(ISBLANK(E2138),"",IF(OR(D2138="Butterfly",D2138="Butterfly ",D2138="Iron Fly", D2138="Iron Fly "),LEN(E2138)-LEN(SUBSTITUTE(E2138,"/",""))+2,LEN(E2138)-LEN(SUBSTITUTE(E2138,"/",""))+1))</f>
        <v/>
      </c>
      <c r="I2138" s="78">
        <f>IF(ISBLANK(G2138),"",IF(D2138="Stock","0",Key!$A$3*H2138*G2138))</f>
        <v/>
      </c>
      <c r="J2138" s="78">
        <f>IF(ISBLANK(E2138),"",IF(ISNUMBER(SEARCH("/",E2138)), IF(LEN(E2138)-LEN(SUBSTITUTE(E2138,"/",""))=1,(RIGHT(E2138,LEN(E2138)-FIND("/",E2138)))-(LEFT(E2138,FIND("/",E2138)-1)),(MID(E2138, SEARCH("/",E2138) + 1, SEARCH("/",E2138, SEARCH("/",E2138)+1) - SEARCH("/",E2138) - 1))-(LEFT(E2138,FIND("/",E2138)-1))), "NA"))</f>
        <v/>
      </c>
      <c r="K2138" s="79">
        <f>IF(A2138&lt;&gt;"", IF(ISBLANK(L2138), TODAY(), K2138), "")</f>
        <v/>
      </c>
      <c r="L2138" s="78" t="n"/>
      <c r="M2138" s="78">
        <f>IF(ISBLANK(L2138),"",IF(D2138="Stock",IF(C2138="Buy",L2138*G2138,IF(C2138="Sell",(L2138*G2138)-I2138, X)),IF(C2138="Buy",(L2138*G2138*100)+I2138,IF(C2138="Sell",(L2138*G2138*100)-I2138, X))))</f>
        <v/>
      </c>
      <c r="N2138" s="78">
        <f>IF(ISBLANK(L2138),"",IF(AND(C2138="Sell",D2138="Stock"),M2138,IF(ISBLANK(L2138),"",IF(C2138="Buy",M2138, IF(AND(C2138="Sell",J2138="NA"),(E2138*G2138*100*0.1)+I2138, IF(C2138="Sell",(J2138-L2138)*(100*G2138)+I2138))))))</f>
        <v/>
      </c>
      <c r="O2138" s="75" t="n"/>
      <c r="P2138" s="75" t="n"/>
      <c r="Q2138" s="75">
        <f>IF(ISBLANK(P2138),"",IF(D2138="Stock",P2138*G2138,IF(P2138=0,"0",G2138*P2138*100-(G2138*$AF$14))))</f>
        <v/>
      </c>
      <c r="R2138" s="79">
        <f>IF(P2138&lt;&gt;"", TODAY(), "")</f>
        <v/>
      </c>
      <c r="S2138" s="78">
        <f>IF(AND(K2138&lt;&gt;"", R2138&lt;&gt;""), R2138-K2138, "")</f>
        <v/>
      </c>
      <c r="T2138" s="78" t="n"/>
      <c r="U2138" s="92">
        <f>IF(ISBLANK(P2138),"",IF(C2138="Buy",Q2138-M2138+T2138, IF(C2138="Sell",M2138-Q2138-T2138, X)))</f>
        <v/>
      </c>
      <c r="V2138" s="81">
        <f>IF(ISBLANK(P2138),"",U2138/N2138)</f>
        <v/>
      </c>
      <c r="W2138" s="81">
        <f>IF(ISBLANK(P2138),"",IF(S2138=0,(365/0.5)*V2138,(365/S2138)*V2138))</f>
        <v/>
      </c>
      <c r="X2138" s="75" t="n"/>
      <c r="Y2138" s="77" t="n"/>
      <c r="Z2138" s="77" t="n"/>
      <c r="AA2138" s="75" t="n"/>
      <c r="AB2138" s="75" t="n"/>
      <c r="AC2138" s="6" t="n"/>
      <c r="AD2138" s="75" t="n"/>
      <c r="AE2138" s="75" t="n"/>
      <c r="AF2138" s="75" t="n"/>
    </row>
    <row r="2139" ht="15.75" customHeight="1" s="133">
      <c r="A2139" s="75" t="n"/>
      <c r="B2139" s="75" t="n"/>
      <c r="C2139" s="75" t="n"/>
      <c r="D2139" s="75" t="n"/>
      <c r="E2139" s="76" t="n"/>
      <c r="F2139" s="77" t="n"/>
      <c r="G2139" s="75" t="n"/>
      <c r="H2139" s="75">
        <f>IF(ISBLANK(E2139),"",IF(OR(D2139="Butterfly",D2139="Butterfly ",D2139="Iron Fly", D2139="Iron Fly "),LEN(E2139)-LEN(SUBSTITUTE(E2139,"/",""))+2,LEN(E2139)-LEN(SUBSTITUTE(E2139,"/",""))+1))</f>
        <v/>
      </c>
      <c r="I2139" s="78">
        <f>IF(ISBLANK(G2139),"",IF(D2139="Stock","0",Key!$A$3*H2139*G2139))</f>
        <v/>
      </c>
      <c r="J2139" s="78">
        <f>IF(ISBLANK(E2139),"",IF(ISNUMBER(SEARCH("/",E2139)), IF(LEN(E2139)-LEN(SUBSTITUTE(E2139,"/",""))=1,(RIGHT(E2139,LEN(E2139)-FIND("/",E2139)))-(LEFT(E2139,FIND("/",E2139)-1)),(MID(E2139, SEARCH("/",E2139) + 1, SEARCH("/",E2139, SEARCH("/",E2139)+1) - SEARCH("/",E2139) - 1))-(LEFT(E2139,FIND("/",E2139)-1))), "NA"))</f>
        <v/>
      </c>
      <c r="K2139" s="79">
        <f>IF(A2139&lt;&gt;"", IF(ISBLANK(L2139), TODAY(), K2139), "")</f>
        <v/>
      </c>
      <c r="L2139" s="78" t="n"/>
      <c r="M2139" s="78">
        <f>IF(ISBLANK(L2139),"",IF(D2139="Stock",IF(C2139="Buy",L2139*G2139,IF(C2139="Sell",(L2139*G2139)-I2139, X)),IF(C2139="Buy",(L2139*G2139*100)+I2139,IF(C2139="Sell",(L2139*G2139*100)-I2139, X))))</f>
        <v/>
      </c>
      <c r="N2139" s="78">
        <f>IF(ISBLANK(L2139),"",IF(AND(C2139="Sell",D2139="Stock"),M2139,IF(ISBLANK(L2139),"",IF(C2139="Buy",M2139, IF(AND(C2139="Sell",J2139="NA"),(E2139*G2139*100*0.1)+I2139, IF(C2139="Sell",(J2139-L2139)*(100*G2139)+I2139))))))</f>
        <v/>
      </c>
      <c r="O2139" s="75" t="n"/>
      <c r="P2139" s="75" t="n"/>
      <c r="Q2139" s="75">
        <f>IF(ISBLANK(P2139),"",IF(D2139="Stock",P2139*G2139,IF(P2139=0,"0",G2139*P2139*100-(G2139*$AF$14))))</f>
        <v/>
      </c>
      <c r="R2139" s="79">
        <f>IF(P2139&lt;&gt;"", TODAY(), "")</f>
        <v/>
      </c>
      <c r="S2139" s="78">
        <f>IF(AND(K2139&lt;&gt;"", R2139&lt;&gt;""), R2139-K2139, "")</f>
        <v/>
      </c>
      <c r="T2139" s="78" t="n"/>
      <c r="U2139" s="92">
        <f>IF(ISBLANK(P2139),"",IF(C2139="Buy",Q2139-M2139+T2139, IF(C2139="Sell",M2139-Q2139-T2139, X)))</f>
        <v/>
      </c>
      <c r="V2139" s="81">
        <f>IF(ISBLANK(P2139),"",U2139/N2139)</f>
        <v/>
      </c>
      <c r="W2139" s="81">
        <f>IF(ISBLANK(P2139),"",IF(S2139=0,(365/0.5)*V2139,(365/S2139)*V2139))</f>
        <v/>
      </c>
      <c r="X2139" s="75" t="n"/>
      <c r="Y2139" s="77" t="n"/>
      <c r="Z2139" s="77" t="n"/>
      <c r="AA2139" s="75" t="n"/>
      <c r="AB2139" s="75" t="n"/>
      <c r="AC2139" s="6" t="n"/>
      <c r="AD2139" s="75" t="n"/>
      <c r="AE2139" s="75" t="n"/>
      <c r="AF2139" s="75" t="n"/>
    </row>
    <row r="2140" ht="15.75" customHeight="1" s="133">
      <c r="A2140" s="75" t="n"/>
      <c r="B2140" s="75" t="n"/>
      <c r="C2140" s="75" t="n"/>
      <c r="D2140" s="75" t="n"/>
      <c r="E2140" s="76" t="n"/>
      <c r="F2140" s="77" t="n"/>
      <c r="G2140" s="75" t="n"/>
      <c r="H2140" s="75">
        <f>IF(ISBLANK(E2140),"",IF(OR(D2140="Butterfly",D2140="Butterfly ",D2140="Iron Fly", D2140="Iron Fly "),LEN(E2140)-LEN(SUBSTITUTE(E2140,"/",""))+2,LEN(E2140)-LEN(SUBSTITUTE(E2140,"/",""))+1))</f>
        <v/>
      </c>
      <c r="I2140" s="78">
        <f>IF(ISBLANK(G2140),"",IF(D2140="Stock","0",Key!$A$3*H2140*G2140))</f>
        <v/>
      </c>
      <c r="J2140" s="78">
        <f>IF(ISBLANK(E2140),"",IF(ISNUMBER(SEARCH("/",E2140)), IF(LEN(E2140)-LEN(SUBSTITUTE(E2140,"/",""))=1,(RIGHT(E2140,LEN(E2140)-FIND("/",E2140)))-(LEFT(E2140,FIND("/",E2140)-1)),(MID(E2140, SEARCH("/",E2140) + 1, SEARCH("/",E2140, SEARCH("/",E2140)+1) - SEARCH("/",E2140) - 1))-(LEFT(E2140,FIND("/",E2140)-1))), "NA"))</f>
        <v/>
      </c>
      <c r="K2140" s="79">
        <f>IF(A2140&lt;&gt;"", IF(ISBLANK(L2140), TODAY(), K2140), "")</f>
        <v/>
      </c>
      <c r="L2140" s="78" t="n"/>
      <c r="M2140" s="78">
        <f>IF(ISBLANK(L2140),"",IF(D2140="Stock",IF(C2140="Buy",L2140*G2140,IF(C2140="Sell",(L2140*G2140)-I2140, X)),IF(C2140="Buy",(L2140*G2140*100)+I2140,IF(C2140="Sell",(L2140*G2140*100)-I2140, X))))</f>
        <v/>
      </c>
      <c r="N2140" s="78">
        <f>IF(ISBLANK(L2140),"",IF(AND(C2140="Sell",D2140="Stock"),M2140,IF(ISBLANK(L2140),"",IF(C2140="Buy",M2140, IF(AND(C2140="Sell",J2140="NA"),(E2140*G2140*100*0.1)+I2140, IF(C2140="Sell",(J2140-L2140)*(100*G2140)+I2140))))))</f>
        <v/>
      </c>
      <c r="O2140" s="75" t="n"/>
      <c r="P2140" s="75" t="n"/>
      <c r="Q2140" s="75">
        <f>IF(ISBLANK(P2140),"",IF(D2140="Stock",P2140*G2140,IF(P2140=0,"0",G2140*P2140*100-(G2140*$AF$14))))</f>
        <v/>
      </c>
      <c r="R2140" s="79">
        <f>IF(P2140&lt;&gt;"", TODAY(), "")</f>
        <v/>
      </c>
      <c r="S2140" s="78">
        <f>IF(AND(K2140&lt;&gt;"", R2140&lt;&gt;""), R2140-K2140, "")</f>
        <v/>
      </c>
      <c r="T2140" s="78" t="n"/>
      <c r="U2140" s="92">
        <f>IF(ISBLANK(P2140),"",IF(C2140="Buy",Q2140-M2140+T2140, IF(C2140="Sell",M2140-Q2140-T2140, X)))</f>
        <v/>
      </c>
      <c r="V2140" s="81">
        <f>IF(ISBLANK(P2140),"",U2140/N2140)</f>
        <v/>
      </c>
      <c r="W2140" s="81">
        <f>IF(ISBLANK(P2140),"",IF(S2140=0,(365/0.5)*V2140,(365/S2140)*V2140))</f>
        <v/>
      </c>
      <c r="X2140" s="75" t="n"/>
      <c r="Y2140" s="77" t="n"/>
      <c r="Z2140" s="77" t="n"/>
      <c r="AA2140" s="75" t="n"/>
      <c r="AB2140" s="75" t="n"/>
      <c r="AC2140" s="6" t="n"/>
      <c r="AD2140" s="75" t="n"/>
      <c r="AE2140" s="75" t="n"/>
      <c r="AF2140" s="75" t="n"/>
    </row>
    <row r="2141" ht="15.75" customHeight="1" s="133">
      <c r="A2141" s="75" t="n"/>
      <c r="B2141" s="75" t="n"/>
      <c r="C2141" s="75" t="n"/>
      <c r="D2141" s="75" t="n"/>
      <c r="E2141" s="76" t="n"/>
      <c r="F2141" s="77" t="n"/>
      <c r="G2141" s="75" t="n"/>
      <c r="H2141" s="75">
        <f>IF(ISBLANK(E2141),"",IF(OR(D2141="Butterfly",D2141="Butterfly ",D2141="Iron Fly", D2141="Iron Fly "),LEN(E2141)-LEN(SUBSTITUTE(E2141,"/",""))+2,LEN(E2141)-LEN(SUBSTITUTE(E2141,"/",""))+1))</f>
        <v/>
      </c>
      <c r="I2141" s="78">
        <f>IF(ISBLANK(G2141),"",IF(D2141="Stock","0",Key!$A$3*H2141*G2141))</f>
        <v/>
      </c>
      <c r="J2141" s="78">
        <f>IF(ISBLANK(E2141),"",IF(ISNUMBER(SEARCH("/",E2141)), IF(LEN(E2141)-LEN(SUBSTITUTE(E2141,"/",""))=1,(RIGHT(E2141,LEN(E2141)-FIND("/",E2141)))-(LEFT(E2141,FIND("/",E2141)-1)),(MID(E2141, SEARCH("/",E2141) + 1, SEARCH("/",E2141, SEARCH("/",E2141)+1) - SEARCH("/",E2141) - 1))-(LEFT(E2141,FIND("/",E2141)-1))), "NA"))</f>
        <v/>
      </c>
      <c r="K2141" s="79">
        <f>IF(A2141&lt;&gt;"", IF(ISBLANK(L2141), TODAY(), K2141), "")</f>
        <v/>
      </c>
      <c r="L2141" s="78" t="n"/>
      <c r="M2141" s="78">
        <f>IF(ISBLANK(L2141),"",IF(D2141="Stock",IF(C2141="Buy",L2141*G2141,IF(C2141="Sell",(L2141*G2141)-I2141, X)),IF(C2141="Buy",(L2141*G2141*100)+I2141,IF(C2141="Sell",(L2141*G2141*100)-I2141, X))))</f>
        <v/>
      </c>
      <c r="N2141" s="78">
        <f>IF(ISBLANK(L2141),"",IF(AND(C2141="Sell",D2141="Stock"),M2141,IF(ISBLANK(L2141),"",IF(C2141="Buy",M2141, IF(AND(C2141="Sell",J2141="NA"),(E2141*G2141*100*0.1)+I2141, IF(C2141="Sell",(J2141-L2141)*(100*G2141)+I2141))))))</f>
        <v/>
      </c>
      <c r="O2141" s="75" t="n"/>
      <c r="P2141" s="75" t="n"/>
      <c r="Q2141" s="75">
        <f>IF(ISBLANK(P2141),"",IF(D2141="Stock",P2141*G2141,IF(P2141=0,"0",G2141*P2141*100-(G2141*$AF$14))))</f>
        <v/>
      </c>
      <c r="R2141" s="79">
        <f>IF(P2141&lt;&gt;"", TODAY(), "")</f>
        <v/>
      </c>
      <c r="S2141" s="78">
        <f>IF(AND(K2141&lt;&gt;"", R2141&lt;&gt;""), R2141-K2141, "")</f>
        <v/>
      </c>
      <c r="T2141" s="78" t="n"/>
      <c r="U2141" s="92">
        <f>IF(ISBLANK(P2141),"",IF(C2141="Buy",Q2141-M2141+T2141, IF(C2141="Sell",M2141-Q2141-T2141, X)))</f>
        <v/>
      </c>
      <c r="V2141" s="81">
        <f>IF(ISBLANK(P2141),"",U2141/N2141)</f>
        <v/>
      </c>
      <c r="W2141" s="81">
        <f>IF(ISBLANK(P2141),"",IF(S2141=0,(365/0.5)*V2141,(365/S2141)*V2141))</f>
        <v/>
      </c>
      <c r="X2141" s="75" t="n"/>
      <c r="Y2141" s="77" t="n"/>
      <c r="Z2141" s="77" t="n"/>
      <c r="AA2141" s="75" t="n"/>
      <c r="AB2141" s="75" t="n"/>
      <c r="AC2141" s="6" t="n"/>
      <c r="AD2141" s="75" t="n"/>
      <c r="AE2141" s="75" t="n"/>
      <c r="AF2141" s="75" t="n"/>
    </row>
    <row r="2142" ht="15.75" customHeight="1" s="133">
      <c r="A2142" s="75" t="n"/>
      <c r="B2142" s="75" t="n"/>
      <c r="C2142" s="75" t="n"/>
      <c r="D2142" s="75" t="n"/>
      <c r="E2142" s="76" t="n"/>
      <c r="F2142" s="77" t="n"/>
      <c r="G2142" s="75" t="n"/>
      <c r="H2142" s="75">
        <f>IF(ISBLANK(E2142),"",IF(OR(D2142="Butterfly",D2142="Butterfly ",D2142="Iron Fly", D2142="Iron Fly "),LEN(E2142)-LEN(SUBSTITUTE(E2142,"/",""))+2,LEN(E2142)-LEN(SUBSTITUTE(E2142,"/",""))+1))</f>
        <v/>
      </c>
      <c r="I2142" s="78">
        <f>IF(ISBLANK(G2142),"",IF(D2142="Stock","0",Key!$A$3*H2142*G2142))</f>
        <v/>
      </c>
      <c r="J2142" s="78">
        <f>IF(ISBLANK(E2142),"",IF(ISNUMBER(SEARCH("/",E2142)), IF(LEN(E2142)-LEN(SUBSTITUTE(E2142,"/",""))=1,(RIGHT(E2142,LEN(E2142)-FIND("/",E2142)))-(LEFT(E2142,FIND("/",E2142)-1)),(MID(E2142, SEARCH("/",E2142) + 1, SEARCH("/",E2142, SEARCH("/",E2142)+1) - SEARCH("/",E2142) - 1))-(LEFT(E2142,FIND("/",E2142)-1))), "NA"))</f>
        <v/>
      </c>
      <c r="K2142" s="79">
        <f>IF(A2142&lt;&gt;"", IF(ISBLANK(L2142), TODAY(), K2142), "")</f>
        <v/>
      </c>
      <c r="L2142" s="78" t="n"/>
      <c r="M2142" s="78">
        <f>IF(ISBLANK(L2142),"",IF(D2142="Stock",IF(C2142="Buy",L2142*G2142,IF(C2142="Sell",(L2142*G2142)-I2142, X)),IF(C2142="Buy",(L2142*G2142*100)+I2142,IF(C2142="Sell",(L2142*G2142*100)-I2142, X))))</f>
        <v/>
      </c>
      <c r="N2142" s="78">
        <f>IF(ISBLANK(L2142),"",IF(AND(C2142="Sell",D2142="Stock"),M2142,IF(ISBLANK(L2142),"",IF(C2142="Buy",M2142, IF(AND(C2142="Sell",J2142="NA"),(E2142*G2142*100*0.1)+I2142, IF(C2142="Sell",(J2142-L2142)*(100*G2142)+I2142))))))</f>
        <v/>
      </c>
      <c r="O2142" s="75" t="n"/>
      <c r="P2142" s="75" t="n"/>
      <c r="Q2142" s="75">
        <f>IF(ISBLANK(P2142),"",IF(D2142="Stock",P2142*G2142,IF(P2142=0,"0",G2142*P2142*100-(G2142*$AF$14))))</f>
        <v/>
      </c>
      <c r="R2142" s="79">
        <f>IF(P2142&lt;&gt;"", TODAY(), "")</f>
        <v/>
      </c>
      <c r="S2142" s="78">
        <f>IF(AND(K2142&lt;&gt;"", R2142&lt;&gt;""), R2142-K2142, "")</f>
        <v/>
      </c>
      <c r="T2142" s="78" t="n"/>
      <c r="U2142" s="92">
        <f>IF(ISBLANK(P2142),"",IF(C2142="Buy",Q2142-M2142+T2142, IF(C2142="Sell",M2142-Q2142-T2142, X)))</f>
        <v/>
      </c>
      <c r="V2142" s="81">
        <f>IF(ISBLANK(P2142),"",U2142/N2142)</f>
        <v/>
      </c>
      <c r="W2142" s="81">
        <f>IF(ISBLANK(P2142),"",IF(S2142=0,(365/0.5)*V2142,(365/S2142)*V2142))</f>
        <v/>
      </c>
      <c r="X2142" s="75" t="n"/>
      <c r="Y2142" s="77" t="n"/>
      <c r="Z2142" s="77" t="n"/>
      <c r="AA2142" s="75" t="n"/>
      <c r="AB2142" s="75" t="n"/>
      <c r="AC2142" s="6" t="n"/>
      <c r="AD2142" s="75" t="n"/>
      <c r="AE2142" s="75" t="n"/>
      <c r="AF2142" s="75" t="n"/>
    </row>
    <row r="2143" ht="15.75" customHeight="1" s="133">
      <c r="A2143" s="75" t="n"/>
      <c r="B2143" s="75" t="n"/>
      <c r="C2143" s="75" t="n"/>
      <c r="D2143" s="75" t="n"/>
      <c r="E2143" s="76" t="n"/>
      <c r="F2143" s="77" t="n"/>
      <c r="G2143" s="75" t="n"/>
      <c r="H2143" s="75">
        <f>IF(ISBLANK(E2143),"",IF(OR(D2143="Butterfly",D2143="Butterfly ",D2143="Iron Fly", D2143="Iron Fly "),LEN(E2143)-LEN(SUBSTITUTE(E2143,"/",""))+2,LEN(E2143)-LEN(SUBSTITUTE(E2143,"/",""))+1))</f>
        <v/>
      </c>
      <c r="I2143" s="78">
        <f>IF(ISBLANK(G2143),"",IF(D2143="Stock","0",Key!$A$3*H2143*G2143))</f>
        <v/>
      </c>
      <c r="J2143" s="78">
        <f>IF(ISBLANK(E2143),"",IF(ISNUMBER(SEARCH("/",E2143)), IF(LEN(E2143)-LEN(SUBSTITUTE(E2143,"/",""))=1,(RIGHT(E2143,LEN(E2143)-FIND("/",E2143)))-(LEFT(E2143,FIND("/",E2143)-1)),(MID(E2143, SEARCH("/",E2143) + 1, SEARCH("/",E2143, SEARCH("/",E2143)+1) - SEARCH("/",E2143) - 1))-(LEFT(E2143,FIND("/",E2143)-1))), "NA"))</f>
        <v/>
      </c>
      <c r="K2143" s="79">
        <f>IF(A2143&lt;&gt;"", IF(ISBLANK(L2143), TODAY(), K2143), "")</f>
        <v/>
      </c>
      <c r="L2143" s="78" t="n"/>
      <c r="M2143" s="78">
        <f>IF(ISBLANK(L2143),"",IF(D2143="Stock",IF(C2143="Buy",L2143*G2143,IF(C2143="Sell",(L2143*G2143)-I2143, X)),IF(C2143="Buy",(L2143*G2143*100)+I2143,IF(C2143="Sell",(L2143*G2143*100)-I2143, X))))</f>
        <v/>
      </c>
      <c r="N2143" s="78">
        <f>IF(ISBLANK(L2143),"",IF(AND(C2143="Sell",D2143="Stock"),M2143,IF(ISBLANK(L2143),"",IF(C2143="Buy",M2143, IF(AND(C2143="Sell",J2143="NA"),(E2143*G2143*100*0.1)+I2143, IF(C2143="Sell",(J2143-L2143)*(100*G2143)+I2143))))))</f>
        <v/>
      </c>
      <c r="O2143" s="75" t="n"/>
      <c r="P2143" s="75" t="n"/>
      <c r="Q2143" s="75">
        <f>IF(ISBLANK(P2143),"",IF(D2143="Stock",P2143*G2143,IF(P2143=0,"0",G2143*P2143*100-(G2143*$AF$14))))</f>
        <v/>
      </c>
      <c r="R2143" s="79">
        <f>IF(P2143&lt;&gt;"", TODAY(), "")</f>
        <v/>
      </c>
      <c r="S2143" s="78">
        <f>IF(AND(K2143&lt;&gt;"", R2143&lt;&gt;""), R2143-K2143, "")</f>
        <v/>
      </c>
      <c r="T2143" s="78" t="n"/>
      <c r="U2143" s="92">
        <f>IF(ISBLANK(P2143),"",IF(C2143="Buy",Q2143-M2143+T2143, IF(C2143="Sell",M2143-Q2143-T2143, X)))</f>
        <v/>
      </c>
      <c r="V2143" s="81">
        <f>IF(ISBLANK(P2143),"",U2143/N2143)</f>
        <v/>
      </c>
      <c r="W2143" s="81">
        <f>IF(ISBLANK(P2143),"",IF(S2143=0,(365/0.5)*V2143,(365/S2143)*V2143))</f>
        <v/>
      </c>
      <c r="X2143" s="75" t="n"/>
      <c r="Y2143" s="77" t="n"/>
      <c r="Z2143" s="77" t="n"/>
      <c r="AA2143" s="75" t="n"/>
      <c r="AB2143" s="75" t="n"/>
      <c r="AC2143" s="6" t="n"/>
      <c r="AD2143" s="75" t="n"/>
      <c r="AE2143" s="75" t="n"/>
      <c r="AF2143" s="75" t="n"/>
    </row>
    <row r="2144" ht="15.75" customHeight="1" s="133">
      <c r="A2144" s="75" t="n"/>
      <c r="B2144" s="75" t="n"/>
      <c r="C2144" s="75" t="n"/>
      <c r="D2144" s="75" t="n"/>
      <c r="E2144" s="76" t="n"/>
      <c r="F2144" s="77" t="n"/>
      <c r="G2144" s="75" t="n"/>
      <c r="H2144" s="75">
        <f>IF(ISBLANK(E2144),"",IF(OR(D2144="Butterfly",D2144="Butterfly ",D2144="Iron Fly", D2144="Iron Fly "),LEN(E2144)-LEN(SUBSTITUTE(E2144,"/",""))+2,LEN(E2144)-LEN(SUBSTITUTE(E2144,"/",""))+1))</f>
        <v/>
      </c>
      <c r="I2144" s="78">
        <f>IF(ISBLANK(G2144),"",IF(D2144="Stock","0",Key!$A$3*H2144*G2144))</f>
        <v/>
      </c>
      <c r="J2144" s="78">
        <f>IF(ISBLANK(E2144),"",IF(ISNUMBER(SEARCH("/",E2144)), IF(LEN(E2144)-LEN(SUBSTITUTE(E2144,"/",""))=1,(RIGHT(E2144,LEN(E2144)-FIND("/",E2144)))-(LEFT(E2144,FIND("/",E2144)-1)),(MID(E2144, SEARCH("/",E2144) + 1, SEARCH("/",E2144, SEARCH("/",E2144)+1) - SEARCH("/",E2144) - 1))-(LEFT(E2144,FIND("/",E2144)-1))), "NA"))</f>
        <v/>
      </c>
      <c r="K2144" s="79">
        <f>IF(A2144&lt;&gt;"", IF(ISBLANK(L2144), TODAY(), K2144), "")</f>
        <v/>
      </c>
      <c r="L2144" s="78" t="n"/>
      <c r="M2144" s="78">
        <f>IF(ISBLANK(L2144),"",IF(D2144="Stock",IF(C2144="Buy",L2144*G2144,IF(C2144="Sell",(L2144*G2144)-I2144, X)),IF(C2144="Buy",(L2144*G2144*100)+I2144,IF(C2144="Sell",(L2144*G2144*100)-I2144, X))))</f>
        <v/>
      </c>
      <c r="N2144" s="78">
        <f>IF(ISBLANK(L2144),"",IF(AND(C2144="Sell",D2144="Stock"),M2144,IF(ISBLANK(L2144),"",IF(C2144="Buy",M2144, IF(AND(C2144="Sell",J2144="NA"),(E2144*G2144*100*0.1)+I2144, IF(C2144="Sell",(J2144-L2144)*(100*G2144)+I2144))))))</f>
        <v/>
      </c>
      <c r="O2144" s="75" t="n"/>
      <c r="P2144" s="75" t="n"/>
      <c r="Q2144" s="75">
        <f>IF(ISBLANK(P2144),"",IF(D2144="Stock",P2144*G2144,IF(P2144=0,"0",G2144*P2144*100-(G2144*$AF$14))))</f>
        <v/>
      </c>
      <c r="R2144" s="79">
        <f>IF(P2144&lt;&gt;"", TODAY(), "")</f>
        <v/>
      </c>
      <c r="S2144" s="78">
        <f>IF(AND(K2144&lt;&gt;"", R2144&lt;&gt;""), R2144-K2144, "")</f>
        <v/>
      </c>
      <c r="T2144" s="78" t="n"/>
      <c r="U2144" s="92">
        <f>IF(ISBLANK(P2144),"",IF(C2144="Buy",Q2144-M2144+T2144, IF(C2144="Sell",M2144-Q2144-T2144, X)))</f>
        <v/>
      </c>
      <c r="V2144" s="81">
        <f>IF(ISBLANK(P2144),"",U2144/N2144)</f>
        <v/>
      </c>
      <c r="W2144" s="81">
        <f>IF(ISBLANK(P2144),"",IF(S2144=0,(365/0.5)*V2144,(365/S2144)*V2144))</f>
        <v/>
      </c>
      <c r="X2144" s="75" t="n"/>
      <c r="Y2144" s="77" t="n"/>
      <c r="Z2144" s="77" t="n"/>
      <c r="AA2144" s="75" t="n"/>
      <c r="AB2144" s="75" t="n"/>
      <c r="AC2144" s="6" t="n"/>
      <c r="AD2144" s="75" t="n"/>
      <c r="AE2144" s="75" t="n"/>
      <c r="AF2144" s="75" t="n"/>
    </row>
    <row r="2145" ht="15.75" customHeight="1" s="133">
      <c r="A2145" s="75" t="n"/>
      <c r="B2145" s="75" t="n"/>
      <c r="C2145" s="75" t="n"/>
      <c r="D2145" s="75" t="n"/>
      <c r="E2145" s="76" t="n"/>
      <c r="F2145" s="77" t="n"/>
      <c r="G2145" s="75" t="n"/>
      <c r="H2145" s="75">
        <f>IF(ISBLANK(E2145),"",IF(OR(D2145="Butterfly",D2145="Butterfly ",D2145="Iron Fly", D2145="Iron Fly "),LEN(E2145)-LEN(SUBSTITUTE(E2145,"/",""))+2,LEN(E2145)-LEN(SUBSTITUTE(E2145,"/",""))+1))</f>
        <v/>
      </c>
      <c r="I2145" s="78">
        <f>IF(ISBLANK(G2145),"",IF(D2145="Stock","0",Key!$A$3*H2145*G2145))</f>
        <v/>
      </c>
      <c r="J2145" s="78">
        <f>IF(ISBLANK(E2145),"",IF(ISNUMBER(SEARCH("/",E2145)), IF(LEN(E2145)-LEN(SUBSTITUTE(E2145,"/",""))=1,(RIGHT(E2145,LEN(E2145)-FIND("/",E2145)))-(LEFT(E2145,FIND("/",E2145)-1)),(MID(E2145, SEARCH("/",E2145) + 1, SEARCH("/",E2145, SEARCH("/",E2145)+1) - SEARCH("/",E2145) - 1))-(LEFT(E2145,FIND("/",E2145)-1))), "NA"))</f>
        <v/>
      </c>
      <c r="K2145" s="79">
        <f>IF(A2145&lt;&gt;"", IF(ISBLANK(L2145), TODAY(), K2145), "")</f>
        <v/>
      </c>
      <c r="L2145" s="78" t="n"/>
      <c r="M2145" s="78">
        <f>IF(ISBLANK(L2145),"",IF(D2145="Stock",IF(C2145="Buy",L2145*G2145,IF(C2145="Sell",(L2145*G2145)-I2145, X)),IF(C2145="Buy",(L2145*G2145*100)+I2145,IF(C2145="Sell",(L2145*G2145*100)-I2145, X))))</f>
        <v/>
      </c>
      <c r="N2145" s="78">
        <f>IF(ISBLANK(L2145),"",IF(AND(C2145="Sell",D2145="Stock"),M2145,IF(ISBLANK(L2145),"",IF(C2145="Buy",M2145, IF(AND(C2145="Sell",J2145="NA"),(E2145*G2145*100*0.1)+I2145, IF(C2145="Sell",(J2145-L2145)*(100*G2145)+I2145))))))</f>
        <v/>
      </c>
      <c r="O2145" s="75" t="n"/>
      <c r="P2145" s="75" t="n"/>
      <c r="Q2145" s="75">
        <f>IF(ISBLANK(P2145),"",IF(D2145="Stock",P2145*G2145,IF(P2145=0,"0",G2145*P2145*100-(G2145*$AF$14))))</f>
        <v/>
      </c>
      <c r="R2145" s="79">
        <f>IF(P2145&lt;&gt;"", TODAY(), "")</f>
        <v/>
      </c>
      <c r="S2145" s="78">
        <f>IF(AND(K2145&lt;&gt;"", R2145&lt;&gt;""), R2145-K2145, "")</f>
        <v/>
      </c>
      <c r="T2145" s="78" t="n"/>
      <c r="U2145" s="92">
        <f>IF(ISBLANK(P2145),"",IF(C2145="Buy",Q2145-M2145+T2145, IF(C2145="Sell",M2145-Q2145-T2145, X)))</f>
        <v/>
      </c>
      <c r="V2145" s="81">
        <f>IF(ISBLANK(P2145),"",U2145/N2145)</f>
        <v/>
      </c>
      <c r="W2145" s="81">
        <f>IF(ISBLANK(P2145),"",IF(S2145=0,(365/0.5)*V2145,(365/S2145)*V2145))</f>
        <v/>
      </c>
      <c r="X2145" s="75" t="n"/>
      <c r="Y2145" s="77" t="n"/>
      <c r="Z2145" s="77" t="n"/>
      <c r="AA2145" s="75" t="n"/>
      <c r="AB2145" s="75" t="n"/>
      <c r="AC2145" s="6" t="n"/>
      <c r="AD2145" s="75" t="n"/>
      <c r="AE2145" s="75" t="n"/>
      <c r="AF2145" s="75" t="n"/>
    </row>
    <row r="2146" ht="15.75" customHeight="1" s="133">
      <c r="A2146" s="75" t="n"/>
      <c r="B2146" s="75" t="n"/>
      <c r="C2146" s="75" t="n"/>
      <c r="D2146" s="75" t="n"/>
      <c r="E2146" s="76" t="n"/>
      <c r="F2146" s="77" t="n"/>
      <c r="G2146" s="75" t="n"/>
      <c r="H2146" s="75">
        <f>IF(ISBLANK(E2146),"",IF(OR(D2146="Butterfly",D2146="Butterfly ",D2146="Iron Fly", D2146="Iron Fly "),LEN(E2146)-LEN(SUBSTITUTE(E2146,"/",""))+2,LEN(E2146)-LEN(SUBSTITUTE(E2146,"/",""))+1))</f>
        <v/>
      </c>
      <c r="I2146" s="78">
        <f>IF(ISBLANK(G2146),"",IF(D2146="Stock","0",Key!$A$3*H2146*G2146))</f>
        <v/>
      </c>
      <c r="J2146" s="78">
        <f>IF(ISBLANK(E2146),"",IF(ISNUMBER(SEARCH("/",E2146)), IF(LEN(E2146)-LEN(SUBSTITUTE(E2146,"/",""))=1,(RIGHT(E2146,LEN(E2146)-FIND("/",E2146)))-(LEFT(E2146,FIND("/",E2146)-1)),(MID(E2146, SEARCH("/",E2146) + 1, SEARCH("/",E2146, SEARCH("/",E2146)+1) - SEARCH("/",E2146) - 1))-(LEFT(E2146,FIND("/",E2146)-1))), "NA"))</f>
        <v/>
      </c>
      <c r="K2146" s="79">
        <f>IF(A2146&lt;&gt;"", IF(ISBLANK(L2146), TODAY(), K2146), "")</f>
        <v/>
      </c>
      <c r="L2146" s="78" t="n"/>
      <c r="M2146" s="78">
        <f>IF(ISBLANK(L2146),"",IF(D2146="Stock",IF(C2146="Buy",L2146*G2146,IF(C2146="Sell",(L2146*G2146)-I2146, X)),IF(C2146="Buy",(L2146*G2146*100)+I2146,IF(C2146="Sell",(L2146*G2146*100)-I2146, X))))</f>
        <v/>
      </c>
      <c r="N2146" s="78">
        <f>IF(ISBLANK(L2146),"",IF(AND(C2146="Sell",D2146="Stock"),M2146,IF(ISBLANK(L2146),"",IF(C2146="Buy",M2146, IF(AND(C2146="Sell",J2146="NA"),(E2146*G2146*100*0.1)+I2146, IF(C2146="Sell",(J2146-L2146)*(100*G2146)+I2146))))))</f>
        <v/>
      </c>
      <c r="O2146" s="75" t="n"/>
      <c r="P2146" s="75" t="n"/>
      <c r="Q2146" s="75">
        <f>IF(ISBLANK(P2146),"",IF(D2146="Stock",P2146*G2146,IF(P2146=0,"0",G2146*P2146*100-(G2146*$AF$14))))</f>
        <v/>
      </c>
      <c r="R2146" s="79">
        <f>IF(P2146&lt;&gt;"", TODAY(), "")</f>
        <v/>
      </c>
      <c r="S2146" s="78">
        <f>IF(AND(K2146&lt;&gt;"", R2146&lt;&gt;""), R2146-K2146, "")</f>
        <v/>
      </c>
      <c r="T2146" s="78" t="n"/>
      <c r="U2146" s="92">
        <f>IF(ISBLANK(P2146),"",IF(C2146="Buy",Q2146-M2146+T2146, IF(C2146="Sell",M2146-Q2146-T2146, X)))</f>
        <v/>
      </c>
      <c r="V2146" s="81">
        <f>IF(ISBLANK(P2146),"",U2146/N2146)</f>
        <v/>
      </c>
      <c r="W2146" s="81">
        <f>IF(ISBLANK(P2146),"",IF(S2146=0,(365/0.5)*V2146,(365/S2146)*V2146))</f>
        <v/>
      </c>
      <c r="X2146" s="75" t="n"/>
      <c r="Y2146" s="77" t="n"/>
      <c r="Z2146" s="77" t="n"/>
      <c r="AA2146" s="75" t="n"/>
      <c r="AB2146" s="75" t="n"/>
      <c r="AC2146" s="6" t="n"/>
      <c r="AD2146" s="75" t="n"/>
      <c r="AE2146" s="75" t="n"/>
      <c r="AF2146" s="75" t="n"/>
    </row>
    <row r="2147" ht="15.75" customHeight="1" s="133">
      <c r="A2147" s="75" t="n"/>
      <c r="B2147" s="75" t="n"/>
      <c r="C2147" s="75" t="n"/>
      <c r="D2147" s="75" t="n"/>
      <c r="E2147" s="76" t="n"/>
      <c r="F2147" s="77" t="n"/>
      <c r="G2147" s="75" t="n"/>
      <c r="H2147" s="75">
        <f>IF(ISBLANK(E2147),"",IF(OR(D2147="Butterfly",D2147="Butterfly ",D2147="Iron Fly", D2147="Iron Fly "),LEN(E2147)-LEN(SUBSTITUTE(E2147,"/",""))+2,LEN(E2147)-LEN(SUBSTITUTE(E2147,"/",""))+1))</f>
        <v/>
      </c>
      <c r="I2147" s="78">
        <f>IF(ISBLANK(G2147),"",IF(D2147="Stock","0",Key!$A$3*H2147*G2147))</f>
        <v/>
      </c>
      <c r="J2147" s="78">
        <f>IF(ISBLANK(E2147),"",IF(ISNUMBER(SEARCH("/",E2147)), IF(LEN(E2147)-LEN(SUBSTITUTE(E2147,"/",""))=1,(RIGHT(E2147,LEN(E2147)-FIND("/",E2147)))-(LEFT(E2147,FIND("/",E2147)-1)),(MID(E2147, SEARCH("/",E2147) + 1, SEARCH("/",E2147, SEARCH("/",E2147)+1) - SEARCH("/",E2147) - 1))-(LEFT(E2147,FIND("/",E2147)-1))), "NA"))</f>
        <v/>
      </c>
      <c r="K2147" s="79">
        <f>IF(A2147&lt;&gt;"", IF(ISBLANK(L2147), TODAY(), K2147), "")</f>
        <v/>
      </c>
      <c r="L2147" s="78" t="n"/>
      <c r="M2147" s="78">
        <f>IF(ISBLANK(L2147),"",IF(D2147="Stock",IF(C2147="Buy",L2147*G2147,IF(C2147="Sell",(L2147*G2147)-I2147, X)),IF(C2147="Buy",(L2147*G2147*100)+I2147,IF(C2147="Sell",(L2147*G2147*100)-I2147, X))))</f>
        <v/>
      </c>
      <c r="N2147" s="78">
        <f>IF(ISBLANK(L2147),"",IF(AND(C2147="Sell",D2147="Stock"),M2147,IF(ISBLANK(L2147),"",IF(C2147="Buy",M2147, IF(AND(C2147="Sell",J2147="NA"),(E2147*G2147*100*0.1)+I2147, IF(C2147="Sell",(J2147-L2147)*(100*G2147)+I2147))))))</f>
        <v/>
      </c>
      <c r="O2147" s="75" t="n"/>
      <c r="P2147" s="75" t="n"/>
      <c r="Q2147" s="75">
        <f>IF(ISBLANK(P2147),"",IF(D2147="Stock",P2147*G2147,IF(P2147=0,"0",G2147*P2147*100-(G2147*$AF$14))))</f>
        <v/>
      </c>
      <c r="R2147" s="79">
        <f>IF(P2147&lt;&gt;"", TODAY(), "")</f>
        <v/>
      </c>
      <c r="S2147" s="78">
        <f>IF(AND(K2147&lt;&gt;"", R2147&lt;&gt;""), R2147-K2147, "")</f>
        <v/>
      </c>
      <c r="T2147" s="78" t="n"/>
      <c r="U2147" s="92">
        <f>IF(ISBLANK(P2147),"",IF(C2147="Buy",Q2147-M2147+T2147, IF(C2147="Sell",M2147-Q2147-T2147, X)))</f>
        <v/>
      </c>
      <c r="V2147" s="81">
        <f>IF(ISBLANK(P2147),"",U2147/N2147)</f>
        <v/>
      </c>
      <c r="W2147" s="81">
        <f>IF(ISBLANK(P2147),"",IF(S2147=0,(365/0.5)*V2147,(365/S2147)*V2147))</f>
        <v/>
      </c>
      <c r="X2147" s="75" t="n"/>
      <c r="Y2147" s="77" t="n"/>
      <c r="Z2147" s="77" t="n"/>
      <c r="AA2147" s="75" t="n"/>
      <c r="AB2147" s="75" t="n"/>
      <c r="AC2147" s="6" t="n"/>
      <c r="AD2147" s="75" t="n"/>
      <c r="AE2147" s="75" t="n"/>
      <c r="AF2147" s="75" t="n"/>
    </row>
    <row r="2148" ht="15.75" customHeight="1" s="133">
      <c r="A2148" s="75" t="n"/>
      <c r="B2148" s="75" t="n"/>
      <c r="C2148" s="75" t="n"/>
      <c r="D2148" s="75" t="n"/>
      <c r="E2148" s="76" t="n"/>
      <c r="F2148" s="77" t="n"/>
      <c r="G2148" s="75" t="n"/>
      <c r="H2148" s="75">
        <f>IF(ISBLANK(E2148),"",IF(OR(D2148="Butterfly",D2148="Butterfly ",D2148="Iron Fly", D2148="Iron Fly "),LEN(E2148)-LEN(SUBSTITUTE(E2148,"/",""))+2,LEN(E2148)-LEN(SUBSTITUTE(E2148,"/",""))+1))</f>
        <v/>
      </c>
      <c r="I2148" s="78">
        <f>IF(ISBLANK(G2148),"",IF(D2148="Stock","0",Key!$A$3*H2148*G2148))</f>
        <v/>
      </c>
      <c r="J2148" s="78">
        <f>IF(ISBLANK(E2148),"",IF(ISNUMBER(SEARCH("/",E2148)), IF(LEN(E2148)-LEN(SUBSTITUTE(E2148,"/",""))=1,(RIGHT(E2148,LEN(E2148)-FIND("/",E2148)))-(LEFT(E2148,FIND("/",E2148)-1)),(MID(E2148, SEARCH("/",E2148) + 1, SEARCH("/",E2148, SEARCH("/",E2148)+1) - SEARCH("/",E2148) - 1))-(LEFT(E2148,FIND("/",E2148)-1))), "NA"))</f>
        <v/>
      </c>
      <c r="K2148" s="79">
        <f>IF(A2148&lt;&gt;"", IF(ISBLANK(L2148), TODAY(), K2148), "")</f>
        <v/>
      </c>
      <c r="L2148" s="78" t="n"/>
      <c r="M2148" s="78">
        <f>IF(ISBLANK(L2148),"",IF(D2148="Stock",IF(C2148="Buy",L2148*G2148,IF(C2148="Sell",(L2148*G2148)-I2148, X)),IF(C2148="Buy",(L2148*G2148*100)+I2148,IF(C2148="Sell",(L2148*G2148*100)-I2148, X))))</f>
        <v/>
      </c>
      <c r="N2148" s="78">
        <f>IF(ISBLANK(L2148),"",IF(AND(C2148="Sell",D2148="Stock"),M2148,IF(ISBLANK(L2148),"",IF(C2148="Buy",M2148, IF(AND(C2148="Sell",J2148="NA"),(E2148*G2148*100*0.1)+I2148, IF(C2148="Sell",(J2148-L2148)*(100*G2148)+I2148))))))</f>
        <v/>
      </c>
      <c r="O2148" s="75" t="n"/>
      <c r="P2148" s="75" t="n"/>
      <c r="Q2148" s="75">
        <f>IF(ISBLANK(P2148),"",IF(D2148="Stock",P2148*G2148,IF(P2148=0,"0",G2148*P2148*100-(G2148*$AF$14))))</f>
        <v/>
      </c>
      <c r="R2148" s="79">
        <f>IF(P2148&lt;&gt;"", TODAY(), "")</f>
        <v/>
      </c>
      <c r="S2148" s="78">
        <f>IF(AND(K2148&lt;&gt;"", R2148&lt;&gt;""), R2148-K2148, "")</f>
        <v/>
      </c>
      <c r="T2148" s="78" t="n"/>
      <c r="U2148" s="92">
        <f>IF(ISBLANK(P2148),"",IF(C2148="Buy",Q2148-M2148+T2148, IF(C2148="Sell",M2148-Q2148-T2148, X)))</f>
        <v/>
      </c>
      <c r="V2148" s="81">
        <f>IF(ISBLANK(P2148),"",U2148/N2148)</f>
        <v/>
      </c>
      <c r="W2148" s="81">
        <f>IF(ISBLANK(P2148),"",IF(S2148=0,(365/0.5)*V2148,(365/S2148)*V2148))</f>
        <v/>
      </c>
      <c r="X2148" s="75" t="n"/>
      <c r="Y2148" s="77" t="n"/>
      <c r="Z2148" s="77" t="n"/>
      <c r="AA2148" s="75" t="n"/>
      <c r="AB2148" s="75" t="n"/>
      <c r="AC2148" s="6" t="n"/>
      <c r="AD2148" s="75" t="n"/>
      <c r="AE2148" s="75" t="n"/>
      <c r="AF2148" s="75" t="n"/>
    </row>
    <row r="2149" ht="15.75" customHeight="1" s="133">
      <c r="A2149" s="75" t="n"/>
      <c r="B2149" s="75" t="n"/>
      <c r="C2149" s="75" t="n"/>
      <c r="D2149" s="75" t="n"/>
      <c r="E2149" s="76" t="n"/>
      <c r="F2149" s="77" t="n"/>
      <c r="G2149" s="75" t="n"/>
      <c r="H2149" s="75">
        <f>IF(ISBLANK(E2149),"",IF(OR(D2149="Butterfly",D2149="Butterfly ",D2149="Iron Fly", D2149="Iron Fly "),LEN(E2149)-LEN(SUBSTITUTE(E2149,"/",""))+2,LEN(E2149)-LEN(SUBSTITUTE(E2149,"/",""))+1))</f>
        <v/>
      </c>
      <c r="I2149" s="78">
        <f>IF(ISBLANK(G2149),"",IF(D2149="Stock","0",Key!$A$3*H2149*G2149))</f>
        <v/>
      </c>
      <c r="J2149" s="78">
        <f>IF(ISBLANK(E2149),"",IF(ISNUMBER(SEARCH("/",E2149)), IF(LEN(E2149)-LEN(SUBSTITUTE(E2149,"/",""))=1,(RIGHT(E2149,LEN(E2149)-FIND("/",E2149)))-(LEFT(E2149,FIND("/",E2149)-1)),(MID(E2149, SEARCH("/",E2149) + 1, SEARCH("/",E2149, SEARCH("/",E2149)+1) - SEARCH("/",E2149) - 1))-(LEFT(E2149,FIND("/",E2149)-1))), "NA"))</f>
        <v/>
      </c>
      <c r="K2149" s="79">
        <f>IF(A2149&lt;&gt;"", IF(ISBLANK(L2149), TODAY(), K2149), "")</f>
        <v/>
      </c>
      <c r="L2149" s="78" t="n"/>
      <c r="M2149" s="78">
        <f>IF(ISBLANK(L2149),"",IF(D2149="Stock",IF(C2149="Buy",L2149*G2149,IF(C2149="Sell",(L2149*G2149)-I2149, X)),IF(C2149="Buy",(L2149*G2149*100)+I2149,IF(C2149="Sell",(L2149*G2149*100)-I2149, X))))</f>
        <v/>
      </c>
      <c r="N2149" s="78">
        <f>IF(ISBLANK(L2149),"",IF(AND(C2149="Sell",D2149="Stock"),M2149,IF(ISBLANK(L2149),"",IF(C2149="Buy",M2149, IF(AND(C2149="Sell",J2149="NA"),(E2149*G2149*100*0.1)+I2149, IF(C2149="Sell",(J2149-L2149)*(100*G2149)+I2149))))))</f>
        <v/>
      </c>
      <c r="O2149" s="75" t="n"/>
      <c r="P2149" s="75" t="n"/>
      <c r="Q2149" s="75">
        <f>IF(ISBLANK(P2149),"",IF(D2149="Stock",P2149*G2149,IF(P2149=0,"0",G2149*P2149*100-(G2149*$AF$14))))</f>
        <v/>
      </c>
      <c r="R2149" s="79">
        <f>IF(P2149&lt;&gt;"", TODAY(), "")</f>
        <v/>
      </c>
      <c r="S2149" s="78">
        <f>IF(AND(K2149&lt;&gt;"", R2149&lt;&gt;""), R2149-K2149, "")</f>
        <v/>
      </c>
      <c r="T2149" s="78" t="n"/>
      <c r="U2149" s="92">
        <f>IF(ISBLANK(P2149),"",IF(C2149="Buy",Q2149-M2149+T2149, IF(C2149="Sell",M2149-Q2149-T2149, X)))</f>
        <v/>
      </c>
      <c r="V2149" s="81">
        <f>IF(ISBLANK(P2149),"",U2149/N2149)</f>
        <v/>
      </c>
      <c r="W2149" s="81">
        <f>IF(ISBLANK(P2149),"",IF(S2149=0,(365/0.5)*V2149,(365/S2149)*V2149))</f>
        <v/>
      </c>
      <c r="X2149" s="75" t="n"/>
      <c r="Y2149" s="77" t="n"/>
      <c r="Z2149" s="77" t="n"/>
      <c r="AA2149" s="75" t="n"/>
      <c r="AB2149" s="75" t="n"/>
      <c r="AC2149" s="6" t="n"/>
      <c r="AD2149" s="75" t="n"/>
      <c r="AE2149" s="75" t="n"/>
      <c r="AF2149" s="75" t="n"/>
    </row>
    <row r="2150" ht="15.75" customHeight="1" s="133">
      <c r="A2150" s="75" t="n"/>
      <c r="B2150" s="75" t="n"/>
      <c r="C2150" s="75" t="n"/>
      <c r="D2150" s="75" t="n"/>
      <c r="E2150" s="76" t="n"/>
      <c r="F2150" s="77" t="n"/>
      <c r="G2150" s="75" t="n"/>
      <c r="H2150" s="75">
        <f>IF(ISBLANK(E2150),"",IF(OR(D2150="Butterfly",D2150="Butterfly ",D2150="Iron Fly", D2150="Iron Fly "),LEN(E2150)-LEN(SUBSTITUTE(E2150,"/",""))+2,LEN(E2150)-LEN(SUBSTITUTE(E2150,"/",""))+1))</f>
        <v/>
      </c>
      <c r="I2150" s="78">
        <f>IF(ISBLANK(G2150),"",IF(D2150="Stock","0",Key!$A$3*H2150*G2150))</f>
        <v/>
      </c>
      <c r="J2150" s="78">
        <f>IF(ISBLANK(E2150),"",IF(ISNUMBER(SEARCH("/",E2150)), IF(LEN(E2150)-LEN(SUBSTITUTE(E2150,"/",""))=1,(RIGHT(E2150,LEN(E2150)-FIND("/",E2150)))-(LEFT(E2150,FIND("/",E2150)-1)),(MID(E2150, SEARCH("/",E2150) + 1, SEARCH("/",E2150, SEARCH("/",E2150)+1) - SEARCH("/",E2150) - 1))-(LEFT(E2150,FIND("/",E2150)-1))), "NA"))</f>
        <v/>
      </c>
      <c r="K2150" s="79">
        <f>IF(A2150&lt;&gt;"", IF(ISBLANK(L2150), TODAY(), K2150), "")</f>
        <v/>
      </c>
      <c r="L2150" s="78" t="n"/>
      <c r="M2150" s="78">
        <f>IF(ISBLANK(L2150),"",IF(D2150="Stock",IF(C2150="Buy",L2150*G2150,IF(C2150="Sell",(L2150*G2150)-I2150, X)),IF(C2150="Buy",(L2150*G2150*100)+I2150,IF(C2150="Sell",(L2150*G2150*100)-I2150, X))))</f>
        <v/>
      </c>
      <c r="N2150" s="78">
        <f>IF(ISBLANK(L2150),"",IF(AND(C2150="Sell",D2150="Stock"),M2150,IF(ISBLANK(L2150),"",IF(C2150="Buy",M2150, IF(AND(C2150="Sell",J2150="NA"),(E2150*G2150*100*0.1)+I2150, IF(C2150="Sell",(J2150-L2150)*(100*G2150)+I2150))))))</f>
        <v/>
      </c>
      <c r="O2150" s="75" t="n"/>
      <c r="P2150" s="75" t="n"/>
      <c r="Q2150" s="75">
        <f>IF(ISBLANK(P2150),"",IF(D2150="Stock",P2150*G2150,IF(P2150=0,"0",G2150*P2150*100-(G2150*$AF$14))))</f>
        <v/>
      </c>
      <c r="R2150" s="79">
        <f>IF(P2150&lt;&gt;"", TODAY(), "")</f>
        <v/>
      </c>
      <c r="S2150" s="78">
        <f>IF(AND(K2150&lt;&gt;"", R2150&lt;&gt;""), R2150-K2150, "")</f>
        <v/>
      </c>
      <c r="T2150" s="78" t="n"/>
      <c r="U2150" s="92">
        <f>IF(ISBLANK(P2150),"",IF(C2150="Buy",Q2150-M2150+T2150, IF(C2150="Sell",M2150-Q2150-T2150, X)))</f>
        <v/>
      </c>
      <c r="V2150" s="81">
        <f>IF(ISBLANK(P2150),"",U2150/N2150)</f>
        <v/>
      </c>
      <c r="W2150" s="81">
        <f>IF(ISBLANK(P2150),"",IF(S2150=0,(365/0.5)*V2150,(365/S2150)*V2150))</f>
        <v/>
      </c>
      <c r="X2150" s="75" t="n"/>
      <c r="Y2150" s="77" t="n"/>
      <c r="Z2150" s="77" t="n"/>
      <c r="AA2150" s="75" t="n"/>
      <c r="AB2150" s="75" t="n"/>
      <c r="AC2150" s="6" t="n"/>
      <c r="AD2150" s="75" t="n"/>
      <c r="AE2150" s="75" t="n"/>
      <c r="AF2150" s="75" t="n"/>
    </row>
    <row r="2151" ht="15.75" customHeight="1" s="133">
      <c r="A2151" s="75" t="n"/>
      <c r="B2151" s="75" t="n"/>
      <c r="C2151" s="75" t="n"/>
      <c r="D2151" s="75" t="n"/>
      <c r="E2151" s="76" t="n"/>
      <c r="F2151" s="77" t="n"/>
      <c r="G2151" s="75" t="n"/>
      <c r="H2151" s="75">
        <f>IF(ISBLANK(E2151),"",IF(OR(D2151="Butterfly",D2151="Butterfly ",D2151="Iron Fly", D2151="Iron Fly "),LEN(E2151)-LEN(SUBSTITUTE(E2151,"/",""))+2,LEN(E2151)-LEN(SUBSTITUTE(E2151,"/",""))+1))</f>
        <v/>
      </c>
      <c r="I2151" s="78">
        <f>IF(ISBLANK(G2151),"",IF(D2151="Stock","0",Key!$A$3*H2151*G2151))</f>
        <v/>
      </c>
      <c r="J2151" s="78">
        <f>IF(ISBLANK(E2151),"",IF(ISNUMBER(SEARCH("/",E2151)), IF(LEN(E2151)-LEN(SUBSTITUTE(E2151,"/",""))=1,(RIGHT(E2151,LEN(E2151)-FIND("/",E2151)))-(LEFT(E2151,FIND("/",E2151)-1)),(MID(E2151, SEARCH("/",E2151) + 1, SEARCH("/",E2151, SEARCH("/",E2151)+1) - SEARCH("/",E2151) - 1))-(LEFT(E2151,FIND("/",E2151)-1))), "NA"))</f>
        <v/>
      </c>
      <c r="K2151" s="79">
        <f>IF(A2151&lt;&gt;"", IF(ISBLANK(L2151), TODAY(), K2151), "")</f>
        <v/>
      </c>
      <c r="L2151" s="78" t="n"/>
      <c r="M2151" s="78">
        <f>IF(ISBLANK(L2151),"",IF(D2151="Stock",IF(C2151="Buy",L2151*G2151,IF(C2151="Sell",(L2151*G2151)-I2151, X)),IF(C2151="Buy",(L2151*G2151*100)+I2151,IF(C2151="Sell",(L2151*G2151*100)-I2151, X))))</f>
        <v/>
      </c>
      <c r="N2151" s="78">
        <f>IF(ISBLANK(L2151),"",IF(AND(C2151="Sell",D2151="Stock"),M2151,IF(ISBLANK(L2151),"",IF(C2151="Buy",M2151, IF(AND(C2151="Sell",J2151="NA"),(E2151*G2151*100*0.1)+I2151, IF(C2151="Sell",(J2151-L2151)*(100*G2151)+I2151))))))</f>
        <v/>
      </c>
      <c r="O2151" s="75" t="n"/>
      <c r="P2151" s="75" t="n"/>
      <c r="Q2151" s="75">
        <f>IF(ISBLANK(P2151),"",IF(D2151="Stock",P2151*G2151,IF(P2151=0,"0",G2151*P2151*100-(G2151*$AF$14))))</f>
        <v/>
      </c>
      <c r="R2151" s="79">
        <f>IF(P2151&lt;&gt;"", TODAY(), "")</f>
        <v/>
      </c>
      <c r="S2151" s="78">
        <f>IF(AND(K2151&lt;&gt;"", R2151&lt;&gt;""), R2151-K2151, "")</f>
        <v/>
      </c>
      <c r="T2151" s="78" t="n"/>
      <c r="U2151" s="92">
        <f>IF(ISBLANK(P2151),"",IF(C2151="Buy",Q2151-M2151+T2151, IF(C2151="Sell",M2151-Q2151-T2151, X)))</f>
        <v/>
      </c>
      <c r="V2151" s="81">
        <f>IF(ISBLANK(P2151),"",U2151/N2151)</f>
        <v/>
      </c>
      <c r="W2151" s="81">
        <f>IF(ISBLANK(P2151),"",IF(S2151=0,(365/0.5)*V2151,(365/S2151)*V2151))</f>
        <v/>
      </c>
      <c r="X2151" s="75" t="n"/>
      <c r="Y2151" s="77" t="n"/>
      <c r="Z2151" s="77" t="n"/>
      <c r="AA2151" s="75" t="n"/>
      <c r="AB2151" s="75" t="n"/>
      <c r="AC2151" s="6" t="n"/>
      <c r="AD2151" s="75" t="n"/>
      <c r="AE2151" s="75" t="n"/>
      <c r="AF2151" s="75" t="n"/>
    </row>
    <row r="2152" ht="15.75" customHeight="1" s="133">
      <c r="A2152" s="75" t="n"/>
      <c r="B2152" s="75" t="n"/>
      <c r="C2152" s="75" t="n"/>
      <c r="D2152" s="75" t="n"/>
      <c r="E2152" s="76" t="n"/>
      <c r="F2152" s="77" t="n"/>
      <c r="G2152" s="75" t="n"/>
      <c r="H2152" s="75">
        <f>IF(ISBLANK(E2152),"",IF(OR(D2152="Butterfly",D2152="Butterfly ",D2152="Iron Fly", D2152="Iron Fly "),LEN(E2152)-LEN(SUBSTITUTE(E2152,"/",""))+2,LEN(E2152)-LEN(SUBSTITUTE(E2152,"/",""))+1))</f>
        <v/>
      </c>
      <c r="I2152" s="78">
        <f>IF(ISBLANK(G2152),"",IF(D2152="Stock","0",Key!$A$3*H2152*G2152))</f>
        <v/>
      </c>
      <c r="J2152" s="78">
        <f>IF(ISBLANK(E2152),"",IF(ISNUMBER(SEARCH("/",E2152)), IF(LEN(E2152)-LEN(SUBSTITUTE(E2152,"/",""))=1,(RIGHT(E2152,LEN(E2152)-FIND("/",E2152)))-(LEFT(E2152,FIND("/",E2152)-1)),(MID(E2152, SEARCH("/",E2152) + 1, SEARCH("/",E2152, SEARCH("/",E2152)+1) - SEARCH("/",E2152) - 1))-(LEFT(E2152,FIND("/",E2152)-1))), "NA"))</f>
        <v/>
      </c>
      <c r="K2152" s="79">
        <f>IF(A2152&lt;&gt;"", IF(ISBLANK(L2152), TODAY(), K2152), "")</f>
        <v/>
      </c>
      <c r="L2152" s="78" t="n"/>
      <c r="M2152" s="78">
        <f>IF(ISBLANK(L2152),"",IF(D2152="Stock",IF(C2152="Buy",L2152*G2152,IF(C2152="Sell",(L2152*G2152)-I2152, X)),IF(C2152="Buy",(L2152*G2152*100)+I2152,IF(C2152="Sell",(L2152*G2152*100)-I2152, X))))</f>
        <v/>
      </c>
      <c r="N2152" s="78">
        <f>IF(ISBLANK(L2152),"",IF(AND(C2152="Sell",D2152="Stock"),M2152,IF(ISBLANK(L2152),"",IF(C2152="Buy",M2152, IF(AND(C2152="Sell",J2152="NA"),(E2152*G2152*100*0.1)+I2152, IF(C2152="Sell",(J2152-L2152)*(100*G2152)+I2152))))))</f>
        <v/>
      </c>
      <c r="O2152" s="75" t="n"/>
      <c r="P2152" s="75" t="n"/>
      <c r="Q2152" s="75">
        <f>IF(ISBLANK(P2152),"",IF(D2152="Stock",P2152*G2152,IF(P2152=0,"0",G2152*P2152*100-(G2152*$AF$14))))</f>
        <v/>
      </c>
      <c r="R2152" s="79">
        <f>IF(P2152&lt;&gt;"", TODAY(), "")</f>
        <v/>
      </c>
      <c r="S2152" s="78">
        <f>IF(AND(K2152&lt;&gt;"", R2152&lt;&gt;""), R2152-K2152, "")</f>
        <v/>
      </c>
      <c r="T2152" s="78" t="n"/>
      <c r="U2152" s="92">
        <f>IF(ISBLANK(P2152),"",IF(C2152="Buy",Q2152-M2152+T2152, IF(C2152="Sell",M2152-Q2152-T2152, X)))</f>
        <v/>
      </c>
      <c r="V2152" s="81">
        <f>IF(ISBLANK(P2152),"",U2152/N2152)</f>
        <v/>
      </c>
      <c r="W2152" s="81">
        <f>IF(ISBLANK(P2152),"",IF(S2152=0,(365/0.5)*V2152,(365/S2152)*V2152))</f>
        <v/>
      </c>
      <c r="X2152" s="75" t="n"/>
      <c r="Y2152" s="77" t="n"/>
      <c r="Z2152" s="77" t="n"/>
      <c r="AA2152" s="75" t="n"/>
      <c r="AB2152" s="75" t="n"/>
      <c r="AC2152" s="6" t="n"/>
      <c r="AD2152" s="75" t="n"/>
      <c r="AE2152" s="75" t="n"/>
      <c r="AF2152" s="75" t="n"/>
    </row>
    <row r="2153" ht="15.75" customHeight="1" s="133">
      <c r="A2153" s="75" t="n"/>
      <c r="B2153" s="75" t="n"/>
      <c r="C2153" s="75" t="n"/>
      <c r="D2153" s="75" t="n"/>
      <c r="E2153" s="76" t="n"/>
      <c r="F2153" s="77" t="n"/>
      <c r="G2153" s="75" t="n"/>
      <c r="H2153" s="75">
        <f>IF(ISBLANK(E2153),"",IF(OR(D2153="Butterfly",D2153="Butterfly ",D2153="Iron Fly", D2153="Iron Fly "),LEN(E2153)-LEN(SUBSTITUTE(E2153,"/",""))+2,LEN(E2153)-LEN(SUBSTITUTE(E2153,"/",""))+1))</f>
        <v/>
      </c>
      <c r="I2153" s="78">
        <f>IF(ISBLANK(G2153),"",IF(D2153="Stock","0",Key!$A$3*H2153*G2153))</f>
        <v/>
      </c>
      <c r="J2153" s="78">
        <f>IF(ISBLANK(E2153),"",IF(ISNUMBER(SEARCH("/",E2153)), IF(LEN(E2153)-LEN(SUBSTITUTE(E2153,"/",""))=1,(RIGHT(E2153,LEN(E2153)-FIND("/",E2153)))-(LEFT(E2153,FIND("/",E2153)-1)),(MID(E2153, SEARCH("/",E2153) + 1, SEARCH("/",E2153, SEARCH("/",E2153)+1) - SEARCH("/",E2153) - 1))-(LEFT(E2153,FIND("/",E2153)-1))), "NA"))</f>
        <v/>
      </c>
      <c r="K2153" s="79">
        <f>IF(A2153&lt;&gt;"", IF(ISBLANK(L2153), TODAY(), K2153), "")</f>
        <v/>
      </c>
      <c r="L2153" s="78" t="n"/>
      <c r="M2153" s="78">
        <f>IF(ISBLANK(L2153),"",IF(D2153="Stock",IF(C2153="Buy",L2153*G2153,IF(C2153="Sell",(L2153*G2153)-I2153, X)),IF(C2153="Buy",(L2153*G2153*100)+I2153,IF(C2153="Sell",(L2153*G2153*100)-I2153, X))))</f>
        <v/>
      </c>
      <c r="N2153" s="78">
        <f>IF(ISBLANK(L2153),"",IF(AND(C2153="Sell",D2153="Stock"),M2153,IF(ISBLANK(L2153),"",IF(C2153="Buy",M2153, IF(AND(C2153="Sell",J2153="NA"),(E2153*G2153*100*0.1)+I2153, IF(C2153="Sell",(J2153-L2153)*(100*G2153)+I2153))))))</f>
        <v/>
      </c>
      <c r="O2153" s="75" t="n"/>
      <c r="P2153" s="75" t="n"/>
      <c r="Q2153" s="75">
        <f>IF(ISBLANK(P2153),"",IF(D2153="Stock",P2153*G2153,IF(P2153=0,"0",G2153*P2153*100-(G2153*$AF$14))))</f>
        <v/>
      </c>
      <c r="R2153" s="79">
        <f>IF(P2153&lt;&gt;"", TODAY(), "")</f>
        <v/>
      </c>
      <c r="S2153" s="78">
        <f>IF(AND(K2153&lt;&gt;"", R2153&lt;&gt;""), R2153-K2153, "")</f>
        <v/>
      </c>
      <c r="T2153" s="78" t="n"/>
      <c r="U2153" s="92">
        <f>IF(ISBLANK(P2153),"",IF(C2153="Buy",Q2153-M2153+T2153, IF(C2153="Sell",M2153-Q2153-T2153, X)))</f>
        <v/>
      </c>
      <c r="V2153" s="81">
        <f>IF(ISBLANK(P2153),"",U2153/N2153)</f>
        <v/>
      </c>
      <c r="W2153" s="81">
        <f>IF(ISBLANK(P2153),"",IF(S2153=0,(365/0.5)*V2153,(365/S2153)*V2153))</f>
        <v/>
      </c>
      <c r="X2153" s="75" t="n"/>
      <c r="Y2153" s="77" t="n"/>
      <c r="Z2153" s="77" t="n"/>
      <c r="AA2153" s="75" t="n"/>
      <c r="AB2153" s="75" t="n"/>
      <c r="AC2153" s="6" t="n"/>
      <c r="AD2153" s="75" t="n"/>
      <c r="AE2153" s="75" t="n"/>
      <c r="AF2153" s="75" t="n"/>
    </row>
    <row r="2154" ht="15.75" customHeight="1" s="133">
      <c r="A2154" s="75" t="n"/>
      <c r="B2154" s="75" t="n"/>
      <c r="C2154" s="75" t="n"/>
      <c r="D2154" s="75" t="n"/>
      <c r="E2154" s="76" t="n"/>
      <c r="F2154" s="77" t="n"/>
      <c r="G2154" s="75" t="n"/>
      <c r="H2154" s="75">
        <f>IF(ISBLANK(E2154),"",IF(OR(D2154="Butterfly",D2154="Butterfly ",D2154="Iron Fly", D2154="Iron Fly "),LEN(E2154)-LEN(SUBSTITUTE(E2154,"/",""))+2,LEN(E2154)-LEN(SUBSTITUTE(E2154,"/",""))+1))</f>
        <v/>
      </c>
      <c r="I2154" s="78">
        <f>IF(ISBLANK(G2154),"",IF(D2154="Stock","0",Key!$A$3*H2154*G2154))</f>
        <v/>
      </c>
      <c r="J2154" s="78">
        <f>IF(ISBLANK(E2154),"",IF(ISNUMBER(SEARCH("/",E2154)), IF(LEN(E2154)-LEN(SUBSTITUTE(E2154,"/",""))=1,(RIGHT(E2154,LEN(E2154)-FIND("/",E2154)))-(LEFT(E2154,FIND("/",E2154)-1)),(MID(E2154, SEARCH("/",E2154) + 1, SEARCH("/",E2154, SEARCH("/",E2154)+1) - SEARCH("/",E2154) - 1))-(LEFT(E2154,FIND("/",E2154)-1))), "NA"))</f>
        <v/>
      </c>
      <c r="K2154" s="79">
        <f>IF(A2154&lt;&gt;"", IF(ISBLANK(L2154), TODAY(), K2154), "")</f>
        <v/>
      </c>
      <c r="L2154" s="78" t="n"/>
      <c r="M2154" s="78">
        <f>IF(ISBLANK(L2154),"",IF(D2154="Stock",IF(C2154="Buy",L2154*G2154,IF(C2154="Sell",(L2154*G2154)-I2154, X)),IF(C2154="Buy",(L2154*G2154*100)+I2154,IF(C2154="Sell",(L2154*G2154*100)-I2154, X))))</f>
        <v/>
      </c>
      <c r="N2154" s="78">
        <f>IF(ISBLANK(L2154),"",IF(AND(C2154="Sell",D2154="Stock"),M2154,IF(ISBLANK(L2154),"",IF(C2154="Buy",M2154, IF(AND(C2154="Sell",J2154="NA"),(E2154*G2154*100*0.1)+I2154, IF(C2154="Sell",(J2154-L2154)*(100*G2154)+I2154))))))</f>
        <v/>
      </c>
      <c r="O2154" s="75" t="n"/>
      <c r="P2154" s="75" t="n"/>
      <c r="Q2154" s="75">
        <f>IF(ISBLANK(P2154),"",IF(D2154="Stock",P2154*G2154,IF(P2154=0,"0",G2154*P2154*100-(G2154*$AF$14))))</f>
        <v/>
      </c>
      <c r="R2154" s="79">
        <f>IF(P2154&lt;&gt;"", TODAY(), "")</f>
        <v/>
      </c>
      <c r="S2154" s="78">
        <f>IF(AND(K2154&lt;&gt;"", R2154&lt;&gt;""), R2154-K2154, "")</f>
        <v/>
      </c>
      <c r="T2154" s="78" t="n"/>
      <c r="U2154" s="92">
        <f>IF(ISBLANK(P2154),"",IF(C2154="Buy",Q2154-M2154+T2154, IF(C2154="Sell",M2154-Q2154-T2154, X)))</f>
        <v/>
      </c>
      <c r="V2154" s="81">
        <f>IF(ISBLANK(P2154),"",U2154/N2154)</f>
        <v/>
      </c>
      <c r="W2154" s="81">
        <f>IF(ISBLANK(P2154),"",IF(S2154=0,(365/0.5)*V2154,(365/S2154)*V2154))</f>
        <v/>
      </c>
      <c r="X2154" s="75" t="n"/>
      <c r="Y2154" s="77" t="n"/>
      <c r="Z2154" s="77" t="n"/>
      <c r="AA2154" s="75" t="n"/>
      <c r="AB2154" s="75" t="n"/>
      <c r="AC2154" s="6" t="n"/>
      <c r="AD2154" s="75" t="n"/>
      <c r="AE2154" s="75" t="n"/>
      <c r="AF2154" s="75" t="n"/>
    </row>
    <row r="2155" ht="15.75" customHeight="1" s="133">
      <c r="A2155" s="75" t="n"/>
      <c r="B2155" s="75" t="n"/>
      <c r="C2155" s="75" t="n"/>
      <c r="D2155" s="75" t="n"/>
      <c r="E2155" s="76" t="n"/>
      <c r="F2155" s="77" t="n"/>
      <c r="G2155" s="75" t="n"/>
      <c r="H2155" s="75">
        <f>IF(ISBLANK(E2155),"",IF(OR(D2155="Butterfly",D2155="Butterfly ",D2155="Iron Fly", D2155="Iron Fly "),LEN(E2155)-LEN(SUBSTITUTE(E2155,"/",""))+2,LEN(E2155)-LEN(SUBSTITUTE(E2155,"/",""))+1))</f>
        <v/>
      </c>
      <c r="I2155" s="78">
        <f>IF(ISBLANK(G2155),"",IF(D2155="Stock","0",Key!$A$3*H2155*G2155))</f>
        <v/>
      </c>
      <c r="J2155" s="78">
        <f>IF(ISBLANK(E2155),"",IF(ISNUMBER(SEARCH("/",E2155)), IF(LEN(E2155)-LEN(SUBSTITUTE(E2155,"/",""))=1,(RIGHT(E2155,LEN(E2155)-FIND("/",E2155)))-(LEFT(E2155,FIND("/",E2155)-1)),(MID(E2155, SEARCH("/",E2155) + 1, SEARCH("/",E2155, SEARCH("/",E2155)+1) - SEARCH("/",E2155) - 1))-(LEFT(E2155,FIND("/",E2155)-1))), "NA"))</f>
        <v/>
      </c>
      <c r="K2155" s="79">
        <f>IF(A2155&lt;&gt;"", IF(ISBLANK(L2155), TODAY(), K2155), "")</f>
        <v/>
      </c>
      <c r="L2155" s="78" t="n"/>
      <c r="M2155" s="78">
        <f>IF(ISBLANK(L2155),"",IF(D2155="Stock",IF(C2155="Buy",L2155*G2155,IF(C2155="Sell",(L2155*G2155)-I2155, X)),IF(C2155="Buy",(L2155*G2155*100)+I2155,IF(C2155="Sell",(L2155*G2155*100)-I2155, X))))</f>
        <v/>
      </c>
      <c r="N2155" s="78">
        <f>IF(ISBLANK(L2155),"",IF(AND(C2155="Sell",D2155="Stock"),M2155,IF(ISBLANK(L2155),"",IF(C2155="Buy",M2155, IF(AND(C2155="Sell",J2155="NA"),(E2155*G2155*100*0.1)+I2155, IF(C2155="Sell",(J2155-L2155)*(100*G2155)+I2155))))))</f>
        <v/>
      </c>
      <c r="O2155" s="75" t="n"/>
      <c r="P2155" s="75" t="n"/>
      <c r="Q2155" s="75">
        <f>IF(ISBLANK(P2155),"",IF(D2155="Stock",P2155*G2155,IF(P2155=0,"0",G2155*P2155*100-(G2155*$AF$14))))</f>
        <v/>
      </c>
      <c r="R2155" s="79">
        <f>IF(P2155&lt;&gt;"", TODAY(), "")</f>
        <v/>
      </c>
      <c r="S2155" s="78">
        <f>IF(AND(K2155&lt;&gt;"", R2155&lt;&gt;""), R2155-K2155, "")</f>
        <v/>
      </c>
      <c r="T2155" s="78" t="n"/>
      <c r="U2155" s="92">
        <f>IF(ISBLANK(P2155),"",IF(C2155="Buy",Q2155-M2155+T2155, IF(C2155="Sell",M2155-Q2155-T2155, X)))</f>
        <v/>
      </c>
      <c r="V2155" s="81">
        <f>IF(ISBLANK(P2155),"",U2155/N2155)</f>
        <v/>
      </c>
      <c r="W2155" s="81">
        <f>IF(ISBLANK(P2155),"",IF(S2155=0,(365/0.5)*V2155,(365/S2155)*V2155))</f>
        <v/>
      </c>
      <c r="X2155" s="75" t="n"/>
      <c r="Y2155" s="77" t="n"/>
      <c r="Z2155" s="77" t="n"/>
      <c r="AA2155" s="75" t="n"/>
      <c r="AB2155" s="75" t="n"/>
      <c r="AC2155" s="6" t="n"/>
      <c r="AD2155" s="75" t="n"/>
      <c r="AE2155" s="75" t="n"/>
      <c r="AF2155" s="75" t="n"/>
    </row>
    <row r="2156" ht="15.75" customHeight="1" s="133">
      <c r="A2156" s="75" t="n"/>
      <c r="B2156" s="75" t="n"/>
      <c r="C2156" s="75" t="n"/>
      <c r="D2156" s="75" t="n"/>
      <c r="E2156" s="76" t="n"/>
      <c r="F2156" s="77" t="n"/>
      <c r="G2156" s="75" t="n"/>
      <c r="H2156" s="75">
        <f>IF(ISBLANK(E2156),"",IF(OR(D2156="Butterfly",D2156="Butterfly ",D2156="Iron Fly", D2156="Iron Fly "),LEN(E2156)-LEN(SUBSTITUTE(E2156,"/",""))+2,LEN(E2156)-LEN(SUBSTITUTE(E2156,"/",""))+1))</f>
        <v/>
      </c>
      <c r="I2156" s="78">
        <f>IF(ISBLANK(G2156),"",IF(D2156="Stock","0",Key!$A$3*H2156*G2156))</f>
        <v/>
      </c>
      <c r="J2156" s="78">
        <f>IF(ISBLANK(E2156),"",IF(ISNUMBER(SEARCH("/",E2156)), IF(LEN(E2156)-LEN(SUBSTITUTE(E2156,"/",""))=1,(RIGHT(E2156,LEN(E2156)-FIND("/",E2156)))-(LEFT(E2156,FIND("/",E2156)-1)),(MID(E2156, SEARCH("/",E2156) + 1, SEARCH("/",E2156, SEARCH("/",E2156)+1) - SEARCH("/",E2156) - 1))-(LEFT(E2156,FIND("/",E2156)-1))), "NA"))</f>
        <v/>
      </c>
      <c r="K2156" s="79">
        <f>IF(A2156&lt;&gt;"", IF(ISBLANK(L2156), TODAY(), K2156), "")</f>
        <v/>
      </c>
      <c r="L2156" s="78" t="n"/>
      <c r="M2156" s="78">
        <f>IF(ISBLANK(L2156),"",IF(D2156="Stock",IF(C2156="Buy",L2156*G2156,IF(C2156="Sell",(L2156*G2156)-I2156, X)),IF(C2156="Buy",(L2156*G2156*100)+I2156,IF(C2156="Sell",(L2156*G2156*100)-I2156, X))))</f>
        <v/>
      </c>
      <c r="N2156" s="78">
        <f>IF(ISBLANK(L2156),"",IF(AND(C2156="Sell",D2156="Stock"),M2156,IF(ISBLANK(L2156),"",IF(C2156="Buy",M2156, IF(AND(C2156="Sell",J2156="NA"),(E2156*G2156*100*0.1)+I2156, IF(C2156="Sell",(J2156-L2156)*(100*G2156)+I2156))))))</f>
        <v/>
      </c>
      <c r="O2156" s="75" t="n"/>
      <c r="P2156" s="75" t="n"/>
      <c r="Q2156" s="75">
        <f>IF(ISBLANK(P2156),"",IF(D2156="Stock",P2156*G2156,IF(P2156=0,"0",G2156*P2156*100-(G2156*$AF$14))))</f>
        <v/>
      </c>
      <c r="R2156" s="79">
        <f>IF(P2156&lt;&gt;"", TODAY(), "")</f>
        <v/>
      </c>
      <c r="S2156" s="78">
        <f>IF(AND(K2156&lt;&gt;"", R2156&lt;&gt;""), R2156-K2156, "")</f>
        <v/>
      </c>
      <c r="T2156" s="78" t="n"/>
      <c r="U2156" s="92">
        <f>IF(ISBLANK(P2156),"",IF(C2156="Buy",Q2156-M2156+T2156, IF(C2156="Sell",M2156-Q2156-T2156, X)))</f>
        <v/>
      </c>
      <c r="V2156" s="81">
        <f>IF(ISBLANK(P2156),"",U2156/N2156)</f>
        <v/>
      </c>
      <c r="W2156" s="81">
        <f>IF(ISBLANK(P2156),"",IF(S2156=0,(365/0.5)*V2156,(365/S2156)*V2156))</f>
        <v/>
      </c>
      <c r="X2156" s="75" t="n"/>
      <c r="Y2156" s="77" t="n"/>
      <c r="Z2156" s="77" t="n"/>
      <c r="AA2156" s="75" t="n"/>
      <c r="AB2156" s="75" t="n"/>
      <c r="AC2156" s="6" t="n"/>
      <c r="AD2156" s="75" t="n"/>
      <c r="AE2156" s="75" t="n"/>
      <c r="AF2156" s="75" t="n"/>
    </row>
    <row r="2157" ht="15.75" customHeight="1" s="133">
      <c r="A2157" s="75" t="n"/>
      <c r="B2157" s="75" t="n"/>
      <c r="C2157" s="75" t="n"/>
      <c r="D2157" s="75" t="n"/>
      <c r="E2157" s="76" t="n"/>
      <c r="F2157" s="77" t="n"/>
      <c r="G2157" s="75" t="n"/>
      <c r="H2157" s="75">
        <f>IF(ISBLANK(E2157),"",IF(OR(D2157="Butterfly",D2157="Butterfly ",D2157="Iron Fly", D2157="Iron Fly "),LEN(E2157)-LEN(SUBSTITUTE(E2157,"/",""))+2,LEN(E2157)-LEN(SUBSTITUTE(E2157,"/",""))+1))</f>
        <v/>
      </c>
      <c r="I2157" s="78">
        <f>IF(ISBLANK(G2157),"",IF(D2157="Stock","0",Key!$A$3*H2157*G2157))</f>
        <v/>
      </c>
      <c r="J2157" s="78">
        <f>IF(ISBLANK(E2157),"",IF(ISNUMBER(SEARCH("/",E2157)), IF(LEN(E2157)-LEN(SUBSTITUTE(E2157,"/",""))=1,(RIGHT(E2157,LEN(E2157)-FIND("/",E2157)))-(LEFT(E2157,FIND("/",E2157)-1)),(MID(E2157, SEARCH("/",E2157) + 1, SEARCH("/",E2157, SEARCH("/",E2157)+1) - SEARCH("/",E2157) - 1))-(LEFT(E2157,FIND("/",E2157)-1))), "NA"))</f>
        <v/>
      </c>
      <c r="K2157" s="79">
        <f>IF(A2157&lt;&gt;"", IF(ISBLANK(L2157), TODAY(), K2157), "")</f>
        <v/>
      </c>
      <c r="L2157" s="78" t="n"/>
      <c r="M2157" s="78">
        <f>IF(ISBLANK(L2157),"",IF(D2157="Stock",IF(C2157="Buy",L2157*G2157,IF(C2157="Sell",(L2157*G2157)-I2157, X)),IF(C2157="Buy",(L2157*G2157*100)+I2157,IF(C2157="Sell",(L2157*G2157*100)-I2157, X))))</f>
        <v/>
      </c>
      <c r="N2157" s="78">
        <f>IF(ISBLANK(L2157),"",IF(AND(C2157="Sell",D2157="Stock"),M2157,IF(ISBLANK(L2157),"",IF(C2157="Buy",M2157, IF(AND(C2157="Sell",J2157="NA"),(E2157*G2157*100*0.1)+I2157, IF(C2157="Sell",(J2157-L2157)*(100*G2157)+I2157))))))</f>
        <v/>
      </c>
      <c r="O2157" s="75" t="n"/>
      <c r="P2157" s="75" t="n"/>
      <c r="Q2157" s="75">
        <f>IF(ISBLANK(P2157),"",IF(D2157="Stock",P2157*G2157,IF(P2157=0,"0",G2157*P2157*100-(G2157*$AF$14))))</f>
        <v/>
      </c>
      <c r="R2157" s="79">
        <f>IF(P2157&lt;&gt;"", TODAY(), "")</f>
        <v/>
      </c>
      <c r="S2157" s="78">
        <f>IF(AND(K2157&lt;&gt;"", R2157&lt;&gt;""), R2157-K2157, "")</f>
        <v/>
      </c>
      <c r="T2157" s="78" t="n"/>
      <c r="U2157" s="92">
        <f>IF(ISBLANK(P2157),"",IF(C2157="Buy",Q2157-M2157+T2157, IF(C2157="Sell",M2157-Q2157-T2157, X)))</f>
        <v/>
      </c>
      <c r="V2157" s="81">
        <f>IF(ISBLANK(P2157),"",U2157/N2157)</f>
        <v/>
      </c>
      <c r="W2157" s="81">
        <f>IF(ISBLANK(P2157),"",IF(S2157=0,(365/0.5)*V2157,(365/S2157)*V2157))</f>
        <v/>
      </c>
      <c r="X2157" s="75" t="n"/>
      <c r="Y2157" s="77" t="n"/>
      <c r="Z2157" s="77" t="n"/>
      <c r="AA2157" s="75" t="n"/>
      <c r="AB2157" s="75" t="n"/>
      <c r="AC2157" s="6" t="n"/>
      <c r="AD2157" s="75" t="n"/>
      <c r="AE2157" s="75" t="n"/>
      <c r="AF2157" s="75" t="n"/>
    </row>
    <row r="2158" ht="15.75" customHeight="1" s="133">
      <c r="A2158" s="75" t="n"/>
      <c r="B2158" s="75" t="n"/>
      <c r="C2158" s="75" t="n"/>
      <c r="D2158" s="75" t="n"/>
      <c r="E2158" s="76" t="n"/>
      <c r="F2158" s="77" t="n"/>
      <c r="G2158" s="75" t="n"/>
      <c r="H2158" s="75">
        <f>IF(ISBLANK(E2158),"",IF(OR(D2158="Butterfly",D2158="Butterfly ",D2158="Iron Fly", D2158="Iron Fly "),LEN(E2158)-LEN(SUBSTITUTE(E2158,"/",""))+2,LEN(E2158)-LEN(SUBSTITUTE(E2158,"/",""))+1))</f>
        <v/>
      </c>
      <c r="I2158" s="78">
        <f>IF(ISBLANK(G2158),"",IF(D2158="Stock","0",Key!$A$3*H2158*G2158))</f>
        <v/>
      </c>
      <c r="J2158" s="78">
        <f>IF(ISBLANK(E2158),"",IF(ISNUMBER(SEARCH("/",E2158)), IF(LEN(E2158)-LEN(SUBSTITUTE(E2158,"/",""))=1,(RIGHT(E2158,LEN(E2158)-FIND("/",E2158)))-(LEFT(E2158,FIND("/",E2158)-1)),(MID(E2158, SEARCH("/",E2158) + 1, SEARCH("/",E2158, SEARCH("/",E2158)+1) - SEARCH("/",E2158) - 1))-(LEFT(E2158,FIND("/",E2158)-1))), "NA"))</f>
        <v/>
      </c>
      <c r="K2158" s="79">
        <f>IF(A2158&lt;&gt;"", IF(ISBLANK(L2158), TODAY(), K2158), "")</f>
        <v/>
      </c>
      <c r="L2158" s="78" t="n"/>
      <c r="M2158" s="78">
        <f>IF(ISBLANK(L2158),"",IF(D2158="Stock",IF(C2158="Buy",L2158*G2158,IF(C2158="Sell",(L2158*G2158)-I2158, X)),IF(C2158="Buy",(L2158*G2158*100)+I2158,IF(C2158="Sell",(L2158*G2158*100)-I2158, X))))</f>
        <v/>
      </c>
      <c r="N2158" s="78">
        <f>IF(ISBLANK(L2158),"",IF(AND(C2158="Sell",D2158="Stock"),M2158,IF(ISBLANK(L2158),"",IF(C2158="Buy",M2158, IF(AND(C2158="Sell",J2158="NA"),(E2158*G2158*100*0.1)+I2158, IF(C2158="Sell",(J2158-L2158)*(100*G2158)+I2158))))))</f>
        <v/>
      </c>
      <c r="O2158" s="75" t="n"/>
      <c r="P2158" s="75" t="n"/>
      <c r="Q2158" s="75">
        <f>IF(ISBLANK(P2158),"",IF(D2158="Stock",P2158*G2158,IF(P2158=0,"0",G2158*P2158*100-(G2158*$AF$14))))</f>
        <v/>
      </c>
      <c r="R2158" s="79">
        <f>IF(P2158&lt;&gt;"", TODAY(), "")</f>
        <v/>
      </c>
      <c r="S2158" s="78">
        <f>IF(AND(K2158&lt;&gt;"", R2158&lt;&gt;""), R2158-K2158, "")</f>
        <v/>
      </c>
      <c r="T2158" s="78" t="n"/>
      <c r="U2158" s="92">
        <f>IF(ISBLANK(P2158),"",IF(C2158="Buy",Q2158-M2158+T2158, IF(C2158="Sell",M2158-Q2158-T2158, X)))</f>
        <v/>
      </c>
      <c r="V2158" s="81">
        <f>IF(ISBLANK(P2158),"",U2158/N2158)</f>
        <v/>
      </c>
      <c r="W2158" s="81">
        <f>IF(ISBLANK(P2158),"",IF(S2158=0,(365/0.5)*V2158,(365/S2158)*V2158))</f>
        <v/>
      </c>
      <c r="X2158" s="75" t="n"/>
      <c r="Y2158" s="77" t="n"/>
      <c r="Z2158" s="77" t="n"/>
      <c r="AA2158" s="75" t="n"/>
      <c r="AB2158" s="75" t="n"/>
      <c r="AC2158" s="6" t="n"/>
      <c r="AD2158" s="75" t="n"/>
      <c r="AE2158" s="75" t="n"/>
      <c r="AF2158" s="75" t="n"/>
    </row>
    <row r="2159" ht="15.75" customHeight="1" s="133">
      <c r="A2159" s="75" t="n"/>
      <c r="B2159" s="75" t="n"/>
      <c r="C2159" s="75" t="n"/>
      <c r="D2159" s="75" t="n"/>
      <c r="E2159" s="76" t="n"/>
      <c r="F2159" s="77" t="n"/>
      <c r="G2159" s="75" t="n"/>
      <c r="H2159" s="75">
        <f>IF(ISBLANK(E2159),"",IF(OR(D2159="Butterfly",D2159="Butterfly ",D2159="Iron Fly", D2159="Iron Fly "),LEN(E2159)-LEN(SUBSTITUTE(E2159,"/",""))+2,LEN(E2159)-LEN(SUBSTITUTE(E2159,"/",""))+1))</f>
        <v/>
      </c>
      <c r="I2159" s="78">
        <f>IF(ISBLANK(G2159),"",IF(D2159="Stock","0",Key!$A$3*H2159*G2159))</f>
        <v/>
      </c>
      <c r="J2159" s="78">
        <f>IF(ISBLANK(E2159),"",IF(ISNUMBER(SEARCH("/",E2159)), IF(LEN(E2159)-LEN(SUBSTITUTE(E2159,"/",""))=1,(RIGHT(E2159,LEN(E2159)-FIND("/",E2159)))-(LEFT(E2159,FIND("/",E2159)-1)),(MID(E2159, SEARCH("/",E2159) + 1, SEARCH("/",E2159, SEARCH("/",E2159)+1) - SEARCH("/",E2159) - 1))-(LEFT(E2159,FIND("/",E2159)-1))), "NA"))</f>
        <v/>
      </c>
      <c r="K2159" s="79">
        <f>IF(A2159&lt;&gt;"", IF(ISBLANK(L2159), TODAY(), K2159), "")</f>
        <v/>
      </c>
      <c r="L2159" s="78" t="n"/>
      <c r="M2159" s="78">
        <f>IF(ISBLANK(L2159),"",IF(D2159="Stock",IF(C2159="Buy",L2159*G2159,IF(C2159="Sell",(L2159*G2159)-I2159, X)),IF(C2159="Buy",(L2159*G2159*100)+I2159,IF(C2159="Sell",(L2159*G2159*100)-I2159, X))))</f>
        <v/>
      </c>
      <c r="N2159" s="78">
        <f>IF(ISBLANK(L2159),"",IF(AND(C2159="Sell",D2159="Stock"),M2159,IF(ISBLANK(L2159),"",IF(C2159="Buy",M2159, IF(AND(C2159="Sell",J2159="NA"),(E2159*G2159*100*0.1)+I2159, IF(C2159="Sell",(J2159-L2159)*(100*G2159)+I2159))))))</f>
        <v/>
      </c>
      <c r="O2159" s="75" t="n"/>
      <c r="P2159" s="75" t="n"/>
      <c r="Q2159" s="75">
        <f>IF(ISBLANK(P2159),"",IF(D2159="Stock",P2159*G2159,IF(P2159=0,"0",G2159*P2159*100-(G2159*$AF$14))))</f>
        <v/>
      </c>
      <c r="R2159" s="79">
        <f>IF(P2159&lt;&gt;"", TODAY(), "")</f>
        <v/>
      </c>
      <c r="S2159" s="78">
        <f>IF(AND(K2159&lt;&gt;"", R2159&lt;&gt;""), R2159-K2159, "")</f>
        <v/>
      </c>
      <c r="T2159" s="78" t="n"/>
      <c r="U2159" s="92">
        <f>IF(ISBLANK(P2159),"",IF(C2159="Buy",Q2159-M2159+T2159, IF(C2159="Sell",M2159-Q2159-T2159, X)))</f>
        <v/>
      </c>
      <c r="V2159" s="81">
        <f>IF(ISBLANK(P2159),"",U2159/N2159)</f>
        <v/>
      </c>
      <c r="W2159" s="81">
        <f>IF(ISBLANK(P2159),"",IF(S2159=0,(365/0.5)*V2159,(365/S2159)*V2159))</f>
        <v/>
      </c>
      <c r="X2159" s="75" t="n"/>
      <c r="Y2159" s="77" t="n"/>
      <c r="Z2159" s="77" t="n"/>
      <c r="AA2159" s="75" t="n"/>
      <c r="AB2159" s="75" t="n"/>
      <c r="AC2159" s="6" t="n"/>
      <c r="AD2159" s="75" t="n"/>
      <c r="AE2159" s="75" t="n"/>
      <c r="AF2159" s="75" t="n"/>
    </row>
    <row r="2160" ht="15.75" customHeight="1" s="133">
      <c r="A2160" s="75" t="n"/>
      <c r="B2160" s="75" t="n"/>
      <c r="C2160" s="75" t="n"/>
      <c r="D2160" s="75" t="n"/>
      <c r="E2160" s="76" t="n"/>
      <c r="F2160" s="77" t="n"/>
      <c r="G2160" s="75" t="n"/>
      <c r="H2160" s="75">
        <f>IF(ISBLANK(E2160),"",IF(OR(D2160="Butterfly",D2160="Butterfly ",D2160="Iron Fly", D2160="Iron Fly "),LEN(E2160)-LEN(SUBSTITUTE(E2160,"/",""))+2,LEN(E2160)-LEN(SUBSTITUTE(E2160,"/",""))+1))</f>
        <v/>
      </c>
      <c r="I2160" s="78">
        <f>IF(ISBLANK(G2160),"",IF(D2160="Stock","0",Key!$A$3*H2160*G2160))</f>
        <v/>
      </c>
      <c r="J2160" s="78">
        <f>IF(ISBLANK(E2160),"",IF(ISNUMBER(SEARCH("/",E2160)), IF(LEN(E2160)-LEN(SUBSTITUTE(E2160,"/",""))=1,(RIGHT(E2160,LEN(E2160)-FIND("/",E2160)))-(LEFT(E2160,FIND("/",E2160)-1)),(MID(E2160, SEARCH("/",E2160) + 1, SEARCH("/",E2160, SEARCH("/",E2160)+1) - SEARCH("/",E2160) - 1))-(LEFT(E2160,FIND("/",E2160)-1))), "NA"))</f>
        <v/>
      </c>
      <c r="K2160" s="79">
        <f>IF(A2160&lt;&gt;"", IF(ISBLANK(L2160), TODAY(), K2160), "")</f>
        <v/>
      </c>
      <c r="L2160" s="78" t="n"/>
      <c r="M2160" s="78">
        <f>IF(ISBLANK(L2160),"",IF(D2160="Stock",IF(C2160="Buy",L2160*G2160,IF(C2160="Sell",(L2160*G2160)-I2160, X)),IF(C2160="Buy",(L2160*G2160*100)+I2160,IF(C2160="Sell",(L2160*G2160*100)-I2160, X))))</f>
        <v/>
      </c>
      <c r="N2160" s="78">
        <f>IF(ISBLANK(L2160),"",IF(AND(C2160="Sell",D2160="Stock"),M2160,IF(ISBLANK(L2160),"",IF(C2160="Buy",M2160, IF(AND(C2160="Sell",J2160="NA"),(E2160*G2160*100*0.1)+I2160, IF(C2160="Sell",(J2160-L2160)*(100*G2160)+I2160))))))</f>
        <v/>
      </c>
      <c r="O2160" s="75" t="n"/>
      <c r="P2160" s="75" t="n"/>
      <c r="Q2160" s="75">
        <f>IF(ISBLANK(P2160),"",IF(D2160="Stock",P2160*G2160,IF(P2160=0,"0",G2160*P2160*100-(G2160*$AF$14))))</f>
        <v/>
      </c>
      <c r="R2160" s="79">
        <f>IF(P2160&lt;&gt;"", TODAY(), "")</f>
        <v/>
      </c>
      <c r="S2160" s="78">
        <f>IF(AND(K2160&lt;&gt;"", R2160&lt;&gt;""), R2160-K2160, "")</f>
        <v/>
      </c>
      <c r="T2160" s="78" t="n"/>
      <c r="U2160" s="92">
        <f>IF(ISBLANK(P2160),"",IF(C2160="Buy",Q2160-M2160+T2160, IF(C2160="Sell",M2160-Q2160-T2160, X)))</f>
        <v/>
      </c>
      <c r="V2160" s="81">
        <f>IF(ISBLANK(P2160),"",U2160/N2160)</f>
        <v/>
      </c>
      <c r="W2160" s="81">
        <f>IF(ISBLANK(P2160),"",IF(S2160=0,(365/0.5)*V2160,(365/S2160)*V2160))</f>
        <v/>
      </c>
      <c r="X2160" s="75" t="n"/>
      <c r="Y2160" s="77" t="n"/>
      <c r="Z2160" s="77" t="n"/>
      <c r="AA2160" s="75" t="n"/>
      <c r="AB2160" s="75" t="n"/>
      <c r="AC2160" s="6" t="n"/>
      <c r="AD2160" s="75" t="n"/>
      <c r="AE2160" s="75" t="n"/>
      <c r="AF2160" s="75" t="n"/>
    </row>
    <row r="2161" ht="15.75" customHeight="1" s="133">
      <c r="A2161" s="75" t="n"/>
      <c r="B2161" s="75" t="n"/>
      <c r="C2161" s="75" t="n"/>
      <c r="D2161" s="75" t="n"/>
      <c r="E2161" s="76" t="n"/>
      <c r="F2161" s="77" t="n"/>
      <c r="G2161" s="75" t="n"/>
      <c r="H2161" s="75">
        <f>IF(ISBLANK(E2161),"",IF(OR(D2161="Butterfly",D2161="Butterfly ",D2161="Iron Fly", D2161="Iron Fly "),LEN(E2161)-LEN(SUBSTITUTE(E2161,"/",""))+2,LEN(E2161)-LEN(SUBSTITUTE(E2161,"/",""))+1))</f>
        <v/>
      </c>
      <c r="I2161" s="78">
        <f>IF(ISBLANK(G2161),"",IF(D2161="Stock","0",Key!$A$3*H2161*G2161))</f>
        <v/>
      </c>
      <c r="J2161" s="78">
        <f>IF(ISBLANK(E2161),"",IF(ISNUMBER(SEARCH("/",E2161)), IF(LEN(E2161)-LEN(SUBSTITUTE(E2161,"/",""))=1,(RIGHT(E2161,LEN(E2161)-FIND("/",E2161)))-(LEFT(E2161,FIND("/",E2161)-1)),(MID(E2161, SEARCH("/",E2161) + 1, SEARCH("/",E2161, SEARCH("/",E2161)+1) - SEARCH("/",E2161) - 1))-(LEFT(E2161,FIND("/",E2161)-1))), "NA"))</f>
        <v/>
      </c>
      <c r="K2161" s="79">
        <f>IF(A2161&lt;&gt;"", IF(ISBLANK(L2161), TODAY(), K2161), "")</f>
        <v/>
      </c>
      <c r="L2161" s="78" t="n"/>
      <c r="M2161" s="78">
        <f>IF(ISBLANK(L2161),"",IF(D2161="Stock",IF(C2161="Buy",L2161*G2161,IF(C2161="Sell",(L2161*G2161)-I2161, X)),IF(C2161="Buy",(L2161*G2161*100)+I2161,IF(C2161="Sell",(L2161*G2161*100)-I2161, X))))</f>
        <v/>
      </c>
      <c r="N2161" s="78">
        <f>IF(ISBLANK(L2161),"",IF(AND(C2161="Sell",D2161="Stock"),M2161,IF(ISBLANK(L2161),"",IF(C2161="Buy",M2161, IF(AND(C2161="Sell",J2161="NA"),(E2161*G2161*100*0.1)+I2161, IF(C2161="Sell",(J2161-L2161)*(100*G2161)+I2161))))))</f>
        <v/>
      </c>
      <c r="O2161" s="75" t="n"/>
      <c r="P2161" s="75" t="n"/>
      <c r="Q2161" s="75">
        <f>IF(ISBLANK(P2161),"",IF(D2161="Stock",P2161*G2161,IF(P2161=0,"0",G2161*P2161*100-(G2161*$AF$14))))</f>
        <v/>
      </c>
      <c r="R2161" s="79">
        <f>IF(P2161&lt;&gt;"", TODAY(), "")</f>
        <v/>
      </c>
      <c r="S2161" s="78">
        <f>IF(AND(K2161&lt;&gt;"", R2161&lt;&gt;""), R2161-K2161, "")</f>
        <v/>
      </c>
      <c r="T2161" s="78" t="n"/>
      <c r="U2161" s="92">
        <f>IF(ISBLANK(P2161),"",IF(C2161="Buy",Q2161-M2161+T2161, IF(C2161="Sell",M2161-Q2161-T2161, X)))</f>
        <v/>
      </c>
      <c r="V2161" s="81">
        <f>IF(ISBLANK(P2161),"",U2161/N2161)</f>
        <v/>
      </c>
      <c r="W2161" s="81">
        <f>IF(ISBLANK(P2161),"",IF(S2161=0,(365/0.5)*V2161,(365/S2161)*V2161))</f>
        <v/>
      </c>
      <c r="X2161" s="75" t="n"/>
      <c r="Y2161" s="77" t="n"/>
      <c r="Z2161" s="77" t="n"/>
      <c r="AA2161" s="75" t="n"/>
      <c r="AB2161" s="75" t="n"/>
      <c r="AC2161" s="6" t="n"/>
      <c r="AD2161" s="75" t="n"/>
      <c r="AE2161" s="75" t="n"/>
      <c r="AF2161" s="75" t="n"/>
    </row>
    <row r="2162" ht="15.75" customHeight="1" s="133">
      <c r="A2162" s="75" t="n"/>
      <c r="B2162" s="75" t="n"/>
      <c r="C2162" s="75" t="n"/>
      <c r="D2162" s="75" t="n"/>
      <c r="E2162" s="76" t="n"/>
      <c r="F2162" s="77" t="n"/>
      <c r="G2162" s="75" t="n"/>
      <c r="H2162" s="75">
        <f>IF(ISBLANK(E2162),"",IF(OR(D2162="Butterfly",D2162="Butterfly ",D2162="Iron Fly", D2162="Iron Fly "),LEN(E2162)-LEN(SUBSTITUTE(E2162,"/",""))+2,LEN(E2162)-LEN(SUBSTITUTE(E2162,"/",""))+1))</f>
        <v/>
      </c>
      <c r="I2162" s="78">
        <f>IF(ISBLANK(G2162),"",IF(D2162="Stock","0",Key!$A$3*H2162*G2162))</f>
        <v/>
      </c>
      <c r="J2162" s="78">
        <f>IF(ISBLANK(E2162),"",IF(ISNUMBER(SEARCH("/",E2162)), IF(LEN(E2162)-LEN(SUBSTITUTE(E2162,"/",""))=1,(RIGHT(E2162,LEN(E2162)-FIND("/",E2162)))-(LEFT(E2162,FIND("/",E2162)-1)),(MID(E2162, SEARCH("/",E2162) + 1, SEARCH("/",E2162, SEARCH("/",E2162)+1) - SEARCH("/",E2162) - 1))-(LEFT(E2162,FIND("/",E2162)-1))), "NA"))</f>
        <v/>
      </c>
      <c r="K2162" s="79">
        <f>IF(A2162&lt;&gt;"", IF(ISBLANK(L2162), TODAY(), K2162), "")</f>
        <v/>
      </c>
      <c r="L2162" s="78" t="n"/>
      <c r="M2162" s="78">
        <f>IF(ISBLANK(L2162),"",IF(D2162="Stock",IF(C2162="Buy",L2162*G2162,IF(C2162="Sell",(L2162*G2162)-I2162, X)),IF(C2162="Buy",(L2162*G2162*100)+I2162,IF(C2162="Sell",(L2162*G2162*100)-I2162, X))))</f>
        <v/>
      </c>
      <c r="N2162" s="78">
        <f>IF(ISBLANK(L2162),"",IF(AND(C2162="Sell",D2162="Stock"),M2162,IF(ISBLANK(L2162),"",IF(C2162="Buy",M2162, IF(AND(C2162="Sell",J2162="NA"),(E2162*G2162*100*0.1)+I2162, IF(C2162="Sell",(J2162-L2162)*(100*G2162)+I2162))))))</f>
        <v/>
      </c>
      <c r="O2162" s="75" t="n"/>
      <c r="P2162" s="75" t="n"/>
      <c r="Q2162" s="75">
        <f>IF(ISBLANK(P2162),"",IF(D2162="Stock",P2162*G2162,IF(P2162=0,"0",G2162*P2162*100-(G2162*$AF$14))))</f>
        <v/>
      </c>
      <c r="R2162" s="79">
        <f>IF(P2162&lt;&gt;"", TODAY(), "")</f>
        <v/>
      </c>
      <c r="S2162" s="78">
        <f>IF(AND(K2162&lt;&gt;"", R2162&lt;&gt;""), R2162-K2162, "")</f>
        <v/>
      </c>
      <c r="T2162" s="78" t="n"/>
      <c r="U2162" s="92">
        <f>IF(ISBLANK(P2162),"",IF(C2162="Buy",Q2162-M2162+T2162, IF(C2162="Sell",M2162-Q2162-T2162, X)))</f>
        <v/>
      </c>
      <c r="V2162" s="81">
        <f>IF(ISBLANK(P2162),"",U2162/N2162)</f>
        <v/>
      </c>
      <c r="W2162" s="81">
        <f>IF(ISBLANK(P2162),"",IF(S2162=0,(365/0.5)*V2162,(365/S2162)*V2162))</f>
        <v/>
      </c>
      <c r="X2162" s="75" t="n"/>
      <c r="Y2162" s="77" t="n"/>
      <c r="Z2162" s="77" t="n"/>
      <c r="AA2162" s="75" t="n"/>
      <c r="AB2162" s="75" t="n"/>
      <c r="AC2162" s="6" t="n"/>
      <c r="AD2162" s="75" t="n"/>
      <c r="AE2162" s="75" t="n"/>
      <c r="AF2162" s="75" t="n"/>
    </row>
    <row r="2163" ht="15.75" customHeight="1" s="133">
      <c r="A2163" s="75" t="n"/>
      <c r="B2163" s="75" t="n"/>
      <c r="C2163" s="75" t="n"/>
      <c r="D2163" s="75" t="n"/>
      <c r="E2163" s="76" t="n"/>
      <c r="F2163" s="77" t="n"/>
      <c r="G2163" s="75" t="n"/>
      <c r="H2163" s="75">
        <f>IF(ISBLANK(E2163),"",IF(OR(D2163="Butterfly",D2163="Butterfly ",D2163="Iron Fly", D2163="Iron Fly "),LEN(E2163)-LEN(SUBSTITUTE(E2163,"/",""))+2,LEN(E2163)-LEN(SUBSTITUTE(E2163,"/",""))+1))</f>
        <v/>
      </c>
      <c r="I2163" s="78">
        <f>IF(ISBLANK(G2163),"",IF(D2163="Stock","0",Key!$A$3*H2163*G2163))</f>
        <v/>
      </c>
      <c r="J2163" s="78">
        <f>IF(ISBLANK(E2163),"",IF(ISNUMBER(SEARCH("/",E2163)), IF(LEN(E2163)-LEN(SUBSTITUTE(E2163,"/",""))=1,(RIGHT(E2163,LEN(E2163)-FIND("/",E2163)))-(LEFT(E2163,FIND("/",E2163)-1)),(MID(E2163, SEARCH("/",E2163) + 1, SEARCH("/",E2163, SEARCH("/",E2163)+1) - SEARCH("/",E2163) - 1))-(LEFT(E2163,FIND("/",E2163)-1))), "NA"))</f>
        <v/>
      </c>
      <c r="K2163" s="79">
        <f>IF(A2163&lt;&gt;"", IF(ISBLANK(L2163), TODAY(), K2163), "")</f>
        <v/>
      </c>
      <c r="L2163" s="78" t="n"/>
      <c r="M2163" s="78">
        <f>IF(ISBLANK(L2163),"",IF(D2163="Stock",IF(C2163="Buy",L2163*G2163,IF(C2163="Sell",(L2163*G2163)-I2163, X)),IF(C2163="Buy",(L2163*G2163*100)+I2163,IF(C2163="Sell",(L2163*G2163*100)-I2163, X))))</f>
        <v/>
      </c>
      <c r="N2163" s="78">
        <f>IF(ISBLANK(L2163),"",IF(AND(C2163="Sell",D2163="Stock"),M2163,IF(ISBLANK(L2163),"",IF(C2163="Buy",M2163, IF(AND(C2163="Sell",J2163="NA"),(E2163*G2163*100*0.1)+I2163, IF(C2163="Sell",(J2163-L2163)*(100*G2163)+I2163))))))</f>
        <v/>
      </c>
      <c r="O2163" s="75" t="n"/>
      <c r="P2163" s="75" t="n"/>
      <c r="Q2163" s="75">
        <f>IF(ISBLANK(P2163),"",IF(D2163="Stock",P2163*G2163,IF(P2163=0,"0",G2163*P2163*100-(G2163*$AF$14))))</f>
        <v/>
      </c>
      <c r="R2163" s="79">
        <f>IF(P2163&lt;&gt;"", TODAY(), "")</f>
        <v/>
      </c>
      <c r="S2163" s="78">
        <f>IF(AND(K2163&lt;&gt;"", R2163&lt;&gt;""), R2163-K2163, "")</f>
        <v/>
      </c>
      <c r="T2163" s="78" t="n"/>
      <c r="U2163" s="92">
        <f>IF(ISBLANK(P2163),"",IF(C2163="Buy",Q2163-M2163+T2163, IF(C2163="Sell",M2163-Q2163-T2163, X)))</f>
        <v/>
      </c>
      <c r="V2163" s="81">
        <f>IF(ISBLANK(P2163),"",U2163/N2163)</f>
        <v/>
      </c>
      <c r="W2163" s="81">
        <f>IF(ISBLANK(P2163),"",IF(S2163=0,(365/0.5)*V2163,(365/S2163)*V2163))</f>
        <v/>
      </c>
      <c r="X2163" s="75" t="n"/>
      <c r="Y2163" s="77" t="n"/>
      <c r="Z2163" s="77" t="n"/>
      <c r="AA2163" s="75" t="n"/>
      <c r="AB2163" s="75" t="n"/>
      <c r="AC2163" s="6" t="n"/>
      <c r="AD2163" s="75" t="n"/>
      <c r="AE2163" s="75" t="n"/>
      <c r="AF2163" s="75" t="n"/>
    </row>
    <row r="2164" ht="15.75" customHeight="1" s="133">
      <c r="A2164" s="75" t="n"/>
      <c r="B2164" s="75" t="n"/>
      <c r="C2164" s="75" t="n"/>
      <c r="D2164" s="75" t="n"/>
      <c r="E2164" s="76" t="n"/>
      <c r="F2164" s="77" t="n"/>
      <c r="G2164" s="75" t="n"/>
      <c r="H2164" s="75">
        <f>IF(ISBLANK(E2164),"",IF(OR(D2164="Butterfly",D2164="Butterfly ",D2164="Iron Fly", D2164="Iron Fly "),LEN(E2164)-LEN(SUBSTITUTE(E2164,"/",""))+2,LEN(E2164)-LEN(SUBSTITUTE(E2164,"/",""))+1))</f>
        <v/>
      </c>
      <c r="I2164" s="78">
        <f>IF(ISBLANK(G2164),"",IF(D2164="Stock","0",Key!$A$3*H2164*G2164))</f>
        <v/>
      </c>
      <c r="J2164" s="78">
        <f>IF(ISBLANK(E2164),"",IF(ISNUMBER(SEARCH("/",E2164)), IF(LEN(E2164)-LEN(SUBSTITUTE(E2164,"/",""))=1,(RIGHT(E2164,LEN(E2164)-FIND("/",E2164)))-(LEFT(E2164,FIND("/",E2164)-1)),(MID(E2164, SEARCH("/",E2164) + 1, SEARCH("/",E2164, SEARCH("/",E2164)+1) - SEARCH("/",E2164) - 1))-(LEFT(E2164,FIND("/",E2164)-1))), "NA"))</f>
        <v/>
      </c>
      <c r="K2164" s="79">
        <f>IF(A2164&lt;&gt;"", IF(ISBLANK(L2164), TODAY(), K2164), "")</f>
        <v/>
      </c>
      <c r="L2164" s="78" t="n"/>
      <c r="M2164" s="78">
        <f>IF(ISBLANK(L2164),"",IF(D2164="Stock",IF(C2164="Buy",L2164*G2164,IF(C2164="Sell",(L2164*G2164)-I2164, X)),IF(C2164="Buy",(L2164*G2164*100)+I2164,IF(C2164="Sell",(L2164*G2164*100)-I2164, X))))</f>
        <v/>
      </c>
      <c r="N2164" s="78">
        <f>IF(ISBLANK(L2164),"",IF(AND(C2164="Sell",D2164="Stock"),M2164,IF(ISBLANK(L2164),"",IF(C2164="Buy",M2164, IF(AND(C2164="Sell",J2164="NA"),(E2164*G2164*100*0.1)+I2164, IF(C2164="Sell",(J2164-L2164)*(100*G2164)+I2164))))))</f>
        <v/>
      </c>
      <c r="O2164" s="75" t="n"/>
      <c r="P2164" s="75" t="n"/>
      <c r="Q2164" s="75">
        <f>IF(ISBLANK(P2164),"",IF(D2164="Stock",P2164*G2164,IF(P2164=0,"0",G2164*P2164*100-(G2164*$AF$14))))</f>
        <v/>
      </c>
      <c r="R2164" s="79">
        <f>IF(P2164&lt;&gt;"", TODAY(), "")</f>
        <v/>
      </c>
      <c r="S2164" s="78">
        <f>IF(AND(K2164&lt;&gt;"", R2164&lt;&gt;""), R2164-K2164, "")</f>
        <v/>
      </c>
      <c r="T2164" s="78" t="n"/>
      <c r="U2164" s="92">
        <f>IF(ISBLANK(P2164),"",IF(C2164="Buy",Q2164-M2164+T2164, IF(C2164="Sell",M2164-Q2164-T2164, X)))</f>
        <v/>
      </c>
      <c r="V2164" s="81">
        <f>IF(ISBLANK(P2164),"",U2164/N2164)</f>
        <v/>
      </c>
      <c r="W2164" s="81">
        <f>IF(ISBLANK(P2164),"",IF(S2164=0,(365/0.5)*V2164,(365/S2164)*V2164))</f>
        <v/>
      </c>
      <c r="X2164" s="75" t="n"/>
      <c r="Y2164" s="77" t="n"/>
      <c r="Z2164" s="77" t="n"/>
      <c r="AA2164" s="75" t="n"/>
      <c r="AB2164" s="75" t="n"/>
      <c r="AC2164" s="6" t="n"/>
      <c r="AD2164" s="75" t="n"/>
      <c r="AE2164" s="75" t="n"/>
      <c r="AF2164" s="75" t="n"/>
    </row>
    <row r="2165" ht="15.75" customHeight="1" s="133">
      <c r="A2165" s="75" t="n"/>
      <c r="B2165" s="75" t="n"/>
      <c r="C2165" s="75" t="n"/>
      <c r="D2165" s="75" t="n"/>
      <c r="E2165" s="76" t="n"/>
      <c r="F2165" s="77" t="n"/>
      <c r="G2165" s="75" t="n"/>
      <c r="H2165" s="75">
        <f>IF(ISBLANK(E2165),"",IF(OR(D2165="Butterfly",D2165="Butterfly ",D2165="Iron Fly", D2165="Iron Fly "),LEN(E2165)-LEN(SUBSTITUTE(E2165,"/",""))+2,LEN(E2165)-LEN(SUBSTITUTE(E2165,"/",""))+1))</f>
        <v/>
      </c>
      <c r="I2165" s="78">
        <f>IF(ISBLANK(G2165),"",IF(D2165="Stock","0",Key!$A$3*H2165*G2165))</f>
        <v/>
      </c>
      <c r="J2165" s="78">
        <f>IF(ISBLANK(E2165),"",IF(ISNUMBER(SEARCH("/",E2165)), IF(LEN(E2165)-LEN(SUBSTITUTE(E2165,"/",""))=1,(RIGHT(E2165,LEN(E2165)-FIND("/",E2165)))-(LEFT(E2165,FIND("/",E2165)-1)),(MID(E2165, SEARCH("/",E2165) + 1, SEARCH("/",E2165, SEARCH("/",E2165)+1) - SEARCH("/",E2165) - 1))-(LEFT(E2165,FIND("/",E2165)-1))), "NA"))</f>
        <v/>
      </c>
      <c r="K2165" s="79">
        <f>IF(A2165&lt;&gt;"", IF(ISBLANK(L2165), TODAY(), K2165), "")</f>
        <v/>
      </c>
      <c r="L2165" s="78" t="n"/>
      <c r="M2165" s="78">
        <f>IF(ISBLANK(L2165),"",IF(D2165="Stock",IF(C2165="Buy",L2165*G2165,IF(C2165="Sell",(L2165*G2165)-I2165, X)),IF(C2165="Buy",(L2165*G2165*100)+I2165,IF(C2165="Sell",(L2165*G2165*100)-I2165, X))))</f>
        <v/>
      </c>
      <c r="N2165" s="78">
        <f>IF(ISBLANK(L2165),"",IF(AND(C2165="Sell",D2165="Stock"),M2165,IF(ISBLANK(L2165),"",IF(C2165="Buy",M2165, IF(AND(C2165="Sell",J2165="NA"),(E2165*G2165*100*0.1)+I2165, IF(C2165="Sell",(J2165-L2165)*(100*G2165)+I2165))))))</f>
        <v/>
      </c>
      <c r="O2165" s="75" t="n"/>
      <c r="P2165" s="75" t="n"/>
      <c r="Q2165" s="75">
        <f>IF(ISBLANK(P2165),"",IF(D2165="Stock",P2165*G2165,IF(P2165=0,"0",G2165*P2165*100-(G2165*$AF$14))))</f>
        <v/>
      </c>
      <c r="R2165" s="79">
        <f>IF(P2165&lt;&gt;"", TODAY(), "")</f>
        <v/>
      </c>
      <c r="S2165" s="78">
        <f>IF(AND(K2165&lt;&gt;"", R2165&lt;&gt;""), R2165-K2165, "")</f>
        <v/>
      </c>
      <c r="T2165" s="78" t="n"/>
      <c r="U2165" s="92">
        <f>IF(ISBLANK(P2165),"",IF(C2165="Buy",Q2165-M2165+T2165, IF(C2165="Sell",M2165-Q2165-T2165, X)))</f>
        <v/>
      </c>
      <c r="V2165" s="81">
        <f>IF(ISBLANK(P2165),"",U2165/N2165)</f>
        <v/>
      </c>
      <c r="W2165" s="81">
        <f>IF(ISBLANK(P2165),"",IF(S2165=0,(365/0.5)*V2165,(365/S2165)*V2165))</f>
        <v/>
      </c>
      <c r="X2165" s="75" t="n"/>
      <c r="Y2165" s="77" t="n"/>
      <c r="Z2165" s="77" t="n"/>
      <c r="AA2165" s="75" t="n"/>
      <c r="AB2165" s="75" t="n"/>
      <c r="AC2165" s="6" t="n"/>
      <c r="AD2165" s="75" t="n"/>
      <c r="AE2165" s="75" t="n"/>
      <c r="AF2165" s="75" t="n"/>
    </row>
    <row r="2166" ht="15.75" customHeight="1" s="133">
      <c r="A2166" s="75" t="n"/>
      <c r="B2166" s="75" t="n"/>
      <c r="C2166" s="75" t="n"/>
      <c r="D2166" s="75" t="n"/>
      <c r="E2166" s="76" t="n"/>
      <c r="F2166" s="77" t="n"/>
      <c r="G2166" s="75" t="n"/>
      <c r="H2166" s="75">
        <f>IF(ISBLANK(E2166),"",IF(OR(D2166="Butterfly",D2166="Butterfly ",D2166="Iron Fly", D2166="Iron Fly "),LEN(E2166)-LEN(SUBSTITUTE(E2166,"/",""))+2,LEN(E2166)-LEN(SUBSTITUTE(E2166,"/",""))+1))</f>
        <v/>
      </c>
      <c r="I2166" s="78">
        <f>IF(ISBLANK(G2166),"",IF(D2166="Stock","0",Key!$A$3*H2166*G2166))</f>
        <v/>
      </c>
      <c r="J2166" s="78">
        <f>IF(ISBLANK(E2166),"",IF(ISNUMBER(SEARCH("/",E2166)), IF(LEN(E2166)-LEN(SUBSTITUTE(E2166,"/",""))=1,(RIGHT(E2166,LEN(E2166)-FIND("/",E2166)))-(LEFT(E2166,FIND("/",E2166)-1)),(MID(E2166, SEARCH("/",E2166) + 1, SEARCH("/",E2166, SEARCH("/",E2166)+1) - SEARCH("/",E2166) - 1))-(LEFT(E2166,FIND("/",E2166)-1))), "NA"))</f>
        <v/>
      </c>
      <c r="K2166" s="79">
        <f>IF(A2166&lt;&gt;"", IF(ISBLANK(L2166), TODAY(), K2166), "")</f>
        <v/>
      </c>
      <c r="L2166" s="78" t="n"/>
      <c r="M2166" s="78">
        <f>IF(ISBLANK(L2166),"",IF(D2166="Stock",IF(C2166="Buy",L2166*G2166,IF(C2166="Sell",(L2166*G2166)-I2166, X)),IF(C2166="Buy",(L2166*G2166*100)+I2166,IF(C2166="Sell",(L2166*G2166*100)-I2166, X))))</f>
        <v/>
      </c>
      <c r="N2166" s="78">
        <f>IF(ISBLANK(L2166),"",IF(AND(C2166="Sell",D2166="Stock"),M2166,IF(ISBLANK(L2166),"",IF(C2166="Buy",M2166, IF(AND(C2166="Sell",J2166="NA"),(E2166*G2166*100*0.1)+I2166, IF(C2166="Sell",(J2166-L2166)*(100*G2166)+I2166))))))</f>
        <v/>
      </c>
      <c r="O2166" s="75" t="n"/>
      <c r="P2166" s="75" t="n"/>
      <c r="Q2166" s="75">
        <f>IF(ISBLANK(P2166),"",IF(D2166="Stock",P2166*G2166,IF(P2166=0,"0",G2166*P2166*100-(G2166*$AF$14))))</f>
        <v/>
      </c>
      <c r="R2166" s="79">
        <f>IF(P2166&lt;&gt;"", TODAY(), "")</f>
        <v/>
      </c>
      <c r="S2166" s="78">
        <f>IF(AND(K2166&lt;&gt;"", R2166&lt;&gt;""), R2166-K2166, "")</f>
        <v/>
      </c>
      <c r="T2166" s="78" t="n"/>
      <c r="U2166" s="92">
        <f>IF(ISBLANK(P2166),"",IF(C2166="Buy",Q2166-M2166+T2166, IF(C2166="Sell",M2166-Q2166-T2166, X)))</f>
        <v/>
      </c>
      <c r="V2166" s="81">
        <f>IF(ISBLANK(P2166),"",U2166/N2166)</f>
        <v/>
      </c>
      <c r="W2166" s="81">
        <f>IF(ISBLANK(P2166),"",IF(S2166=0,(365/0.5)*V2166,(365/S2166)*V2166))</f>
        <v/>
      </c>
      <c r="X2166" s="75" t="n"/>
      <c r="Y2166" s="77" t="n"/>
      <c r="Z2166" s="77" t="n"/>
      <c r="AA2166" s="75" t="n"/>
      <c r="AB2166" s="75" t="n"/>
      <c r="AC2166" s="6" t="n"/>
      <c r="AD2166" s="75" t="n"/>
      <c r="AE2166" s="75" t="n"/>
      <c r="AF2166" s="75" t="n"/>
    </row>
    <row r="2167" ht="15.75" customHeight="1" s="133">
      <c r="A2167" s="75" t="n"/>
      <c r="B2167" s="75" t="n"/>
      <c r="C2167" s="75" t="n"/>
      <c r="D2167" s="75" t="n"/>
      <c r="E2167" s="76" t="n"/>
      <c r="F2167" s="77" t="n"/>
      <c r="G2167" s="75" t="n"/>
      <c r="H2167" s="75">
        <f>IF(ISBLANK(E2167),"",IF(OR(D2167="Butterfly",D2167="Butterfly ",D2167="Iron Fly", D2167="Iron Fly "),LEN(E2167)-LEN(SUBSTITUTE(E2167,"/",""))+2,LEN(E2167)-LEN(SUBSTITUTE(E2167,"/",""))+1))</f>
        <v/>
      </c>
      <c r="I2167" s="78">
        <f>IF(ISBLANK(G2167),"",IF(D2167="Stock","0",Key!$A$3*H2167*G2167))</f>
        <v/>
      </c>
      <c r="J2167" s="78">
        <f>IF(ISBLANK(E2167),"",IF(ISNUMBER(SEARCH("/",E2167)), IF(LEN(E2167)-LEN(SUBSTITUTE(E2167,"/",""))=1,(RIGHT(E2167,LEN(E2167)-FIND("/",E2167)))-(LEFT(E2167,FIND("/",E2167)-1)),(MID(E2167, SEARCH("/",E2167) + 1, SEARCH("/",E2167, SEARCH("/",E2167)+1) - SEARCH("/",E2167) - 1))-(LEFT(E2167,FIND("/",E2167)-1))), "NA"))</f>
        <v/>
      </c>
      <c r="K2167" s="79">
        <f>IF(A2167&lt;&gt;"", IF(ISBLANK(L2167), TODAY(), K2167), "")</f>
        <v/>
      </c>
      <c r="L2167" s="78" t="n"/>
      <c r="M2167" s="78">
        <f>IF(ISBLANK(L2167),"",IF(D2167="Stock",IF(C2167="Buy",L2167*G2167,IF(C2167="Sell",(L2167*G2167)-I2167, X)),IF(C2167="Buy",(L2167*G2167*100)+I2167,IF(C2167="Sell",(L2167*G2167*100)-I2167, X))))</f>
        <v/>
      </c>
      <c r="N2167" s="78">
        <f>IF(ISBLANK(L2167),"",IF(AND(C2167="Sell",D2167="Stock"),M2167,IF(ISBLANK(L2167),"",IF(C2167="Buy",M2167, IF(AND(C2167="Sell",J2167="NA"),(E2167*G2167*100*0.1)+I2167, IF(C2167="Sell",(J2167-L2167)*(100*G2167)+I2167))))))</f>
        <v/>
      </c>
      <c r="O2167" s="75" t="n"/>
      <c r="P2167" s="75" t="n"/>
      <c r="Q2167" s="75">
        <f>IF(ISBLANK(P2167),"",IF(D2167="Stock",P2167*G2167,IF(P2167=0,"0",G2167*P2167*100-(G2167*$AF$14))))</f>
        <v/>
      </c>
      <c r="R2167" s="79">
        <f>IF(P2167&lt;&gt;"", TODAY(), "")</f>
        <v/>
      </c>
      <c r="S2167" s="78">
        <f>IF(AND(K2167&lt;&gt;"", R2167&lt;&gt;""), R2167-K2167, "")</f>
        <v/>
      </c>
      <c r="T2167" s="78" t="n"/>
      <c r="U2167" s="92">
        <f>IF(ISBLANK(P2167),"",IF(C2167="Buy",Q2167-M2167+T2167, IF(C2167="Sell",M2167-Q2167-T2167, X)))</f>
        <v/>
      </c>
      <c r="V2167" s="81">
        <f>IF(ISBLANK(P2167),"",U2167/N2167)</f>
        <v/>
      </c>
      <c r="W2167" s="81">
        <f>IF(ISBLANK(P2167),"",IF(S2167=0,(365/0.5)*V2167,(365/S2167)*V2167))</f>
        <v/>
      </c>
      <c r="X2167" s="75" t="n"/>
      <c r="Y2167" s="77" t="n"/>
      <c r="Z2167" s="77" t="n"/>
      <c r="AA2167" s="75" t="n"/>
      <c r="AB2167" s="75" t="n"/>
      <c r="AC2167" s="6" t="n"/>
      <c r="AD2167" s="75" t="n"/>
      <c r="AE2167" s="75" t="n"/>
      <c r="AF2167" s="75" t="n"/>
    </row>
    <row r="2168" ht="15.75" customHeight="1" s="133">
      <c r="A2168" s="75" t="n"/>
      <c r="B2168" s="75" t="n"/>
      <c r="C2168" s="75" t="n"/>
      <c r="D2168" s="75" t="n"/>
      <c r="E2168" s="76" t="n"/>
      <c r="F2168" s="77" t="n"/>
      <c r="G2168" s="75" t="n"/>
      <c r="H2168" s="75">
        <f>IF(ISBLANK(E2168),"",IF(OR(D2168="Butterfly",D2168="Butterfly ",D2168="Iron Fly", D2168="Iron Fly "),LEN(E2168)-LEN(SUBSTITUTE(E2168,"/",""))+2,LEN(E2168)-LEN(SUBSTITUTE(E2168,"/",""))+1))</f>
        <v/>
      </c>
      <c r="I2168" s="78">
        <f>IF(ISBLANK(G2168),"",IF(D2168="Stock","0",Key!$A$3*H2168*G2168))</f>
        <v/>
      </c>
      <c r="J2168" s="78">
        <f>IF(ISBLANK(E2168),"",IF(ISNUMBER(SEARCH("/",E2168)), IF(LEN(E2168)-LEN(SUBSTITUTE(E2168,"/",""))=1,(RIGHT(E2168,LEN(E2168)-FIND("/",E2168)))-(LEFT(E2168,FIND("/",E2168)-1)),(MID(E2168, SEARCH("/",E2168) + 1, SEARCH("/",E2168, SEARCH("/",E2168)+1) - SEARCH("/",E2168) - 1))-(LEFT(E2168,FIND("/",E2168)-1))), "NA"))</f>
        <v/>
      </c>
      <c r="K2168" s="79">
        <f>IF(A2168&lt;&gt;"", IF(ISBLANK(L2168), TODAY(), K2168), "")</f>
        <v/>
      </c>
      <c r="L2168" s="78" t="n"/>
      <c r="M2168" s="78">
        <f>IF(ISBLANK(L2168),"",IF(D2168="Stock",IF(C2168="Buy",L2168*G2168,IF(C2168="Sell",(L2168*G2168)-I2168, X)),IF(C2168="Buy",(L2168*G2168*100)+I2168,IF(C2168="Sell",(L2168*G2168*100)-I2168, X))))</f>
        <v/>
      </c>
      <c r="N2168" s="78">
        <f>IF(ISBLANK(L2168),"",IF(AND(C2168="Sell",D2168="Stock"),M2168,IF(ISBLANK(L2168),"",IF(C2168="Buy",M2168, IF(AND(C2168="Sell",J2168="NA"),(E2168*G2168*100*0.1)+I2168, IF(C2168="Sell",(J2168-L2168)*(100*G2168)+I2168))))))</f>
        <v/>
      </c>
      <c r="O2168" s="75" t="n"/>
      <c r="P2168" s="75" t="n"/>
      <c r="Q2168" s="75">
        <f>IF(ISBLANK(P2168),"",IF(D2168="Stock",P2168*G2168,IF(P2168=0,"0",G2168*P2168*100-(G2168*$AF$14))))</f>
        <v/>
      </c>
      <c r="R2168" s="79">
        <f>IF(P2168&lt;&gt;"", TODAY(), "")</f>
        <v/>
      </c>
      <c r="S2168" s="78">
        <f>IF(AND(K2168&lt;&gt;"", R2168&lt;&gt;""), R2168-K2168, "")</f>
        <v/>
      </c>
      <c r="T2168" s="78" t="n"/>
      <c r="U2168" s="92">
        <f>IF(ISBLANK(P2168),"",IF(C2168="Buy",Q2168-M2168+T2168, IF(C2168="Sell",M2168-Q2168-T2168, X)))</f>
        <v/>
      </c>
      <c r="V2168" s="81">
        <f>IF(ISBLANK(P2168),"",U2168/N2168)</f>
        <v/>
      </c>
      <c r="W2168" s="81">
        <f>IF(ISBLANK(P2168),"",IF(S2168=0,(365/0.5)*V2168,(365/S2168)*V2168))</f>
        <v/>
      </c>
      <c r="X2168" s="75" t="n"/>
      <c r="Y2168" s="77" t="n"/>
      <c r="Z2168" s="77" t="n"/>
      <c r="AA2168" s="75" t="n"/>
      <c r="AB2168" s="75" t="n"/>
      <c r="AC2168" s="6" t="n"/>
      <c r="AD2168" s="75" t="n"/>
      <c r="AE2168" s="75" t="n"/>
      <c r="AF2168" s="75" t="n"/>
    </row>
    <row r="2169" ht="15.75" customHeight="1" s="133">
      <c r="A2169" s="75" t="n"/>
      <c r="B2169" s="75" t="n"/>
      <c r="C2169" s="75" t="n"/>
      <c r="D2169" s="75" t="n"/>
      <c r="E2169" s="76" t="n"/>
      <c r="F2169" s="77" t="n"/>
      <c r="G2169" s="75" t="n"/>
      <c r="H2169" s="75">
        <f>IF(ISBLANK(E2169),"",IF(OR(D2169="Butterfly",D2169="Butterfly ",D2169="Iron Fly", D2169="Iron Fly "),LEN(E2169)-LEN(SUBSTITUTE(E2169,"/",""))+2,LEN(E2169)-LEN(SUBSTITUTE(E2169,"/",""))+1))</f>
        <v/>
      </c>
      <c r="I2169" s="78">
        <f>IF(ISBLANK(G2169),"",IF(D2169="Stock","0",Key!$A$3*H2169*G2169))</f>
        <v/>
      </c>
      <c r="J2169" s="78">
        <f>IF(ISBLANK(E2169),"",IF(ISNUMBER(SEARCH("/",E2169)), IF(LEN(E2169)-LEN(SUBSTITUTE(E2169,"/",""))=1,(RIGHT(E2169,LEN(E2169)-FIND("/",E2169)))-(LEFT(E2169,FIND("/",E2169)-1)),(MID(E2169, SEARCH("/",E2169) + 1, SEARCH("/",E2169, SEARCH("/",E2169)+1) - SEARCH("/",E2169) - 1))-(LEFT(E2169,FIND("/",E2169)-1))), "NA"))</f>
        <v/>
      </c>
      <c r="K2169" s="79">
        <f>IF(A2169&lt;&gt;"", IF(ISBLANK(L2169), TODAY(), K2169), "")</f>
        <v/>
      </c>
      <c r="L2169" s="78" t="n"/>
      <c r="M2169" s="78">
        <f>IF(ISBLANK(L2169),"",IF(D2169="Stock",IF(C2169="Buy",L2169*G2169,IF(C2169="Sell",(L2169*G2169)-I2169, X)),IF(C2169="Buy",(L2169*G2169*100)+I2169,IF(C2169="Sell",(L2169*G2169*100)-I2169, X))))</f>
        <v/>
      </c>
      <c r="N2169" s="78">
        <f>IF(ISBLANK(L2169),"",IF(AND(C2169="Sell",D2169="Stock"),M2169,IF(ISBLANK(L2169),"",IF(C2169="Buy",M2169, IF(AND(C2169="Sell",J2169="NA"),(E2169*G2169*100*0.1)+I2169, IF(C2169="Sell",(J2169-L2169)*(100*G2169)+I2169))))))</f>
        <v/>
      </c>
      <c r="O2169" s="75" t="n"/>
      <c r="P2169" s="75" t="n"/>
      <c r="Q2169" s="75">
        <f>IF(ISBLANK(P2169),"",IF(D2169="Stock",P2169*G2169,IF(P2169=0,"0",G2169*P2169*100-(G2169*$AF$14))))</f>
        <v/>
      </c>
      <c r="R2169" s="79">
        <f>IF(P2169&lt;&gt;"", TODAY(), "")</f>
        <v/>
      </c>
      <c r="S2169" s="78">
        <f>IF(AND(K2169&lt;&gt;"", R2169&lt;&gt;""), R2169-K2169, "")</f>
        <v/>
      </c>
      <c r="T2169" s="78" t="n"/>
      <c r="U2169" s="92">
        <f>IF(ISBLANK(P2169),"",IF(C2169="Buy",Q2169-M2169+T2169, IF(C2169="Sell",M2169-Q2169-T2169, X)))</f>
        <v/>
      </c>
      <c r="V2169" s="81">
        <f>IF(ISBLANK(P2169),"",U2169/N2169)</f>
        <v/>
      </c>
      <c r="W2169" s="81">
        <f>IF(ISBLANK(P2169),"",IF(S2169=0,(365/0.5)*V2169,(365/S2169)*V2169))</f>
        <v/>
      </c>
      <c r="X2169" s="75" t="n"/>
      <c r="Y2169" s="77" t="n"/>
      <c r="Z2169" s="77" t="n"/>
      <c r="AA2169" s="75" t="n"/>
      <c r="AB2169" s="75" t="n"/>
      <c r="AC2169" s="6" t="n"/>
      <c r="AD2169" s="75" t="n"/>
      <c r="AE2169" s="75" t="n"/>
      <c r="AF2169" s="75" t="n"/>
    </row>
    <row r="2170" ht="15.75" customHeight="1" s="133">
      <c r="A2170" s="75" t="n"/>
      <c r="B2170" s="75" t="n"/>
      <c r="C2170" s="75" t="n"/>
      <c r="D2170" s="75" t="n"/>
      <c r="E2170" s="76" t="n"/>
      <c r="F2170" s="77" t="n"/>
      <c r="G2170" s="75" t="n"/>
      <c r="H2170" s="75">
        <f>IF(ISBLANK(E2170),"",IF(OR(D2170="Butterfly",D2170="Butterfly ",D2170="Iron Fly", D2170="Iron Fly "),LEN(E2170)-LEN(SUBSTITUTE(E2170,"/",""))+2,LEN(E2170)-LEN(SUBSTITUTE(E2170,"/",""))+1))</f>
        <v/>
      </c>
      <c r="I2170" s="78">
        <f>IF(ISBLANK(G2170),"",IF(D2170="Stock","0",Key!$A$3*H2170*G2170))</f>
        <v/>
      </c>
      <c r="J2170" s="78">
        <f>IF(ISBLANK(E2170),"",IF(ISNUMBER(SEARCH("/",E2170)), IF(LEN(E2170)-LEN(SUBSTITUTE(E2170,"/",""))=1,(RIGHT(E2170,LEN(E2170)-FIND("/",E2170)))-(LEFT(E2170,FIND("/",E2170)-1)),(MID(E2170, SEARCH("/",E2170) + 1, SEARCH("/",E2170, SEARCH("/",E2170)+1) - SEARCH("/",E2170) - 1))-(LEFT(E2170,FIND("/",E2170)-1))), "NA"))</f>
        <v/>
      </c>
      <c r="K2170" s="79">
        <f>IF(A2170&lt;&gt;"", IF(ISBLANK(L2170), TODAY(), K2170), "")</f>
        <v/>
      </c>
      <c r="L2170" s="78" t="n"/>
      <c r="M2170" s="78">
        <f>IF(ISBLANK(L2170),"",IF(D2170="Stock",IF(C2170="Buy",L2170*G2170,IF(C2170="Sell",(L2170*G2170)-I2170, X)),IF(C2170="Buy",(L2170*G2170*100)+I2170,IF(C2170="Sell",(L2170*G2170*100)-I2170, X))))</f>
        <v/>
      </c>
      <c r="N2170" s="78">
        <f>IF(ISBLANK(L2170),"",IF(AND(C2170="Sell",D2170="Stock"),M2170,IF(ISBLANK(L2170),"",IF(C2170="Buy",M2170, IF(AND(C2170="Sell",J2170="NA"),(E2170*G2170*100*0.1)+I2170, IF(C2170="Sell",(J2170-L2170)*(100*G2170)+I2170))))))</f>
        <v/>
      </c>
      <c r="O2170" s="75" t="n"/>
      <c r="P2170" s="75" t="n"/>
      <c r="Q2170" s="75">
        <f>IF(ISBLANK(P2170),"",IF(D2170="Stock",P2170*G2170,IF(P2170=0,"0",G2170*P2170*100-(G2170*$AF$14))))</f>
        <v/>
      </c>
      <c r="R2170" s="79">
        <f>IF(P2170&lt;&gt;"", TODAY(), "")</f>
        <v/>
      </c>
      <c r="S2170" s="78">
        <f>IF(AND(K2170&lt;&gt;"", R2170&lt;&gt;""), R2170-K2170, "")</f>
        <v/>
      </c>
      <c r="T2170" s="78" t="n"/>
      <c r="U2170" s="92">
        <f>IF(ISBLANK(P2170),"",IF(C2170="Buy",Q2170-M2170+T2170, IF(C2170="Sell",M2170-Q2170-T2170, X)))</f>
        <v/>
      </c>
      <c r="V2170" s="81">
        <f>IF(ISBLANK(P2170),"",U2170/N2170)</f>
        <v/>
      </c>
      <c r="W2170" s="81">
        <f>IF(ISBLANK(P2170),"",IF(S2170=0,(365/0.5)*V2170,(365/S2170)*V2170))</f>
        <v/>
      </c>
      <c r="X2170" s="75" t="n"/>
      <c r="Y2170" s="77" t="n"/>
      <c r="Z2170" s="77" t="n"/>
      <c r="AA2170" s="75" t="n"/>
      <c r="AB2170" s="75" t="n"/>
      <c r="AC2170" s="6" t="n"/>
      <c r="AD2170" s="75" t="n"/>
      <c r="AE2170" s="75" t="n"/>
      <c r="AF2170" s="75" t="n"/>
    </row>
    <row r="2171" ht="15.75" customHeight="1" s="133">
      <c r="A2171" s="75" t="n"/>
      <c r="B2171" s="75" t="n"/>
      <c r="C2171" s="75" t="n"/>
      <c r="D2171" s="75" t="n"/>
      <c r="E2171" s="76" t="n"/>
      <c r="F2171" s="77" t="n"/>
      <c r="G2171" s="75" t="n"/>
      <c r="H2171" s="75">
        <f>IF(ISBLANK(E2171),"",IF(OR(D2171="Butterfly",D2171="Butterfly ",D2171="Iron Fly", D2171="Iron Fly "),LEN(E2171)-LEN(SUBSTITUTE(E2171,"/",""))+2,LEN(E2171)-LEN(SUBSTITUTE(E2171,"/",""))+1))</f>
        <v/>
      </c>
      <c r="I2171" s="78">
        <f>IF(ISBLANK(G2171),"",IF(D2171="Stock","0",Key!$A$3*H2171*G2171))</f>
        <v/>
      </c>
      <c r="J2171" s="78">
        <f>IF(ISBLANK(E2171),"",IF(ISNUMBER(SEARCH("/",E2171)), IF(LEN(E2171)-LEN(SUBSTITUTE(E2171,"/",""))=1,(RIGHT(E2171,LEN(E2171)-FIND("/",E2171)))-(LEFT(E2171,FIND("/",E2171)-1)),(MID(E2171, SEARCH("/",E2171) + 1, SEARCH("/",E2171, SEARCH("/",E2171)+1) - SEARCH("/",E2171) - 1))-(LEFT(E2171,FIND("/",E2171)-1))), "NA"))</f>
        <v/>
      </c>
      <c r="K2171" s="79">
        <f>IF(A2171&lt;&gt;"", IF(ISBLANK(L2171), TODAY(), K2171), "")</f>
        <v/>
      </c>
      <c r="L2171" s="78" t="n"/>
      <c r="M2171" s="78">
        <f>IF(ISBLANK(L2171),"",IF(D2171="Stock",IF(C2171="Buy",L2171*G2171,IF(C2171="Sell",(L2171*G2171)-I2171, X)),IF(C2171="Buy",(L2171*G2171*100)+I2171,IF(C2171="Sell",(L2171*G2171*100)-I2171, X))))</f>
        <v/>
      </c>
      <c r="N2171" s="78">
        <f>IF(ISBLANK(L2171),"",IF(AND(C2171="Sell",D2171="Stock"),M2171,IF(ISBLANK(L2171),"",IF(C2171="Buy",M2171, IF(AND(C2171="Sell",J2171="NA"),(E2171*G2171*100*0.1)+I2171, IF(C2171="Sell",(J2171-L2171)*(100*G2171)+I2171))))))</f>
        <v/>
      </c>
      <c r="O2171" s="75" t="n"/>
      <c r="P2171" s="75" t="n"/>
      <c r="Q2171" s="75">
        <f>IF(ISBLANK(P2171),"",IF(D2171="Stock",P2171*G2171,IF(P2171=0,"0",G2171*P2171*100-(G2171*$AF$14))))</f>
        <v/>
      </c>
      <c r="R2171" s="79">
        <f>IF(P2171&lt;&gt;"", TODAY(), "")</f>
        <v/>
      </c>
      <c r="S2171" s="78">
        <f>IF(AND(K2171&lt;&gt;"", R2171&lt;&gt;""), R2171-K2171, "")</f>
        <v/>
      </c>
      <c r="T2171" s="78" t="n"/>
      <c r="U2171" s="92">
        <f>IF(ISBLANK(P2171),"",IF(C2171="Buy",Q2171-M2171+T2171, IF(C2171="Sell",M2171-Q2171-T2171, X)))</f>
        <v/>
      </c>
      <c r="V2171" s="81">
        <f>IF(ISBLANK(P2171),"",U2171/N2171)</f>
        <v/>
      </c>
      <c r="W2171" s="81">
        <f>IF(ISBLANK(P2171),"",IF(S2171=0,(365/0.5)*V2171,(365/S2171)*V2171))</f>
        <v/>
      </c>
      <c r="X2171" s="75" t="n"/>
      <c r="Y2171" s="77" t="n"/>
      <c r="Z2171" s="77" t="n"/>
      <c r="AA2171" s="75" t="n"/>
      <c r="AB2171" s="75" t="n"/>
      <c r="AC2171" s="6" t="n"/>
      <c r="AD2171" s="75" t="n"/>
      <c r="AE2171" s="75" t="n"/>
      <c r="AF2171" s="75" t="n"/>
    </row>
    <row r="2172" ht="15.75" customHeight="1" s="133">
      <c r="A2172" s="75" t="n"/>
      <c r="B2172" s="75" t="n"/>
      <c r="C2172" s="75" t="n"/>
      <c r="D2172" s="75" t="n"/>
      <c r="E2172" s="76" t="n"/>
      <c r="F2172" s="77" t="n"/>
      <c r="G2172" s="75" t="n"/>
      <c r="H2172" s="75">
        <f>IF(ISBLANK(E2172),"",IF(OR(D2172="Butterfly",D2172="Butterfly ",D2172="Iron Fly", D2172="Iron Fly "),LEN(E2172)-LEN(SUBSTITUTE(E2172,"/",""))+2,LEN(E2172)-LEN(SUBSTITUTE(E2172,"/",""))+1))</f>
        <v/>
      </c>
      <c r="I2172" s="78">
        <f>IF(ISBLANK(G2172),"",IF(D2172="Stock","0",Key!$A$3*H2172*G2172))</f>
        <v/>
      </c>
      <c r="J2172" s="78">
        <f>IF(ISBLANK(E2172),"",IF(ISNUMBER(SEARCH("/",E2172)), IF(LEN(E2172)-LEN(SUBSTITUTE(E2172,"/",""))=1,(RIGHT(E2172,LEN(E2172)-FIND("/",E2172)))-(LEFT(E2172,FIND("/",E2172)-1)),(MID(E2172, SEARCH("/",E2172) + 1, SEARCH("/",E2172, SEARCH("/",E2172)+1) - SEARCH("/",E2172) - 1))-(LEFT(E2172,FIND("/",E2172)-1))), "NA"))</f>
        <v/>
      </c>
      <c r="K2172" s="79">
        <f>IF(A2172&lt;&gt;"", IF(ISBLANK(L2172), TODAY(), K2172), "")</f>
        <v/>
      </c>
      <c r="L2172" s="78" t="n"/>
      <c r="M2172" s="78">
        <f>IF(ISBLANK(L2172),"",IF(D2172="Stock",IF(C2172="Buy",L2172*G2172,IF(C2172="Sell",(L2172*G2172)-I2172, X)),IF(C2172="Buy",(L2172*G2172*100)+I2172,IF(C2172="Sell",(L2172*G2172*100)-I2172, X))))</f>
        <v/>
      </c>
      <c r="N2172" s="78">
        <f>IF(ISBLANK(L2172),"",IF(AND(C2172="Sell",D2172="Stock"),M2172,IF(ISBLANK(L2172),"",IF(C2172="Buy",M2172, IF(AND(C2172="Sell",J2172="NA"),(E2172*G2172*100*0.1)+I2172, IF(C2172="Sell",(J2172-L2172)*(100*G2172)+I2172))))))</f>
        <v/>
      </c>
      <c r="O2172" s="75" t="n"/>
      <c r="P2172" s="75" t="n"/>
      <c r="Q2172" s="75">
        <f>IF(ISBLANK(P2172),"",IF(D2172="Stock",P2172*G2172,IF(P2172=0,"0",G2172*P2172*100-(G2172*$AF$14))))</f>
        <v/>
      </c>
      <c r="R2172" s="79">
        <f>IF(P2172&lt;&gt;"", TODAY(), "")</f>
        <v/>
      </c>
      <c r="S2172" s="78">
        <f>IF(AND(K2172&lt;&gt;"", R2172&lt;&gt;""), R2172-K2172, "")</f>
        <v/>
      </c>
      <c r="T2172" s="78" t="n"/>
      <c r="U2172" s="92">
        <f>IF(ISBLANK(P2172),"",IF(C2172="Buy",Q2172-M2172+T2172, IF(C2172="Sell",M2172-Q2172-T2172, X)))</f>
        <v/>
      </c>
      <c r="V2172" s="81">
        <f>IF(ISBLANK(P2172),"",U2172/N2172)</f>
        <v/>
      </c>
      <c r="W2172" s="81">
        <f>IF(ISBLANK(P2172),"",IF(S2172=0,(365/0.5)*V2172,(365/S2172)*V2172))</f>
        <v/>
      </c>
      <c r="X2172" s="75" t="n"/>
      <c r="Y2172" s="77" t="n"/>
      <c r="Z2172" s="77" t="n"/>
      <c r="AA2172" s="75" t="n"/>
      <c r="AB2172" s="75" t="n"/>
      <c r="AC2172" s="6" t="n"/>
      <c r="AD2172" s="75" t="n"/>
      <c r="AE2172" s="75" t="n"/>
      <c r="AF2172" s="75" t="n"/>
    </row>
    <row r="2173" ht="15.75" customHeight="1" s="133">
      <c r="A2173" s="75" t="n"/>
      <c r="B2173" s="75" t="n"/>
      <c r="C2173" s="75" t="n"/>
      <c r="D2173" s="75" t="n"/>
      <c r="E2173" s="76" t="n"/>
      <c r="F2173" s="77" t="n"/>
      <c r="G2173" s="75" t="n"/>
      <c r="H2173" s="75">
        <f>IF(ISBLANK(E2173),"",IF(OR(D2173="Butterfly",D2173="Butterfly ",D2173="Iron Fly", D2173="Iron Fly "),LEN(E2173)-LEN(SUBSTITUTE(E2173,"/",""))+2,LEN(E2173)-LEN(SUBSTITUTE(E2173,"/",""))+1))</f>
        <v/>
      </c>
      <c r="I2173" s="78">
        <f>IF(ISBLANK(G2173),"",IF(D2173="Stock","0",Key!$A$3*H2173*G2173))</f>
        <v/>
      </c>
      <c r="J2173" s="78">
        <f>IF(ISBLANK(E2173),"",IF(ISNUMBER(SEARCH("/",E2173)), IF(LEN(E2173)-LEN(SUBSTITUTE(E2173,"/",""))=1,(RIGHT(E2173,LEN(E2173)-FIND("/",E2173)))-(LEFT(E2173,FIND("/",E2173)-1)),(MID(E2173, SEARCH("/",E2173) + 1, SEARCH("/",E2173, SEARCH("/",E2173)+1) - SEARCH("/",E2173) - 1))-(LEFT(E2173,FIND("/",E2173)-1))), "NA"))</f>
        <v/>
      </c>
      <c r="K2173" s="79">
        <f>IF(A2173&lt;&gt;"", IF(ISBLANK(L2173), TODAY(), K2173), "")</f>
        <v/>
      </c>
      <c r="L2173" s="78" t="n"/>
      <c r="M2173" s="78">
        <f>IF(ISBLANK(L2173),"",IF(D2173="Stock",IF(C2173="Buy",L2173*G2173,IF(C2173="Sell",(L2173*G2173)-I2173, X)),IF(C2173="Buy",(L2173*G2173*100)+I2173,IF(C2173="Sell",(L2173*G2173*100)-I2173, X))))</f>
        <v/>
      </c>
      <c r="N2173" s="78">
        <f>IF(ISBLANK(L2173),"",IF(AND(C2173="Sell",D2173="Stock"),M2173,IF(ISBLANK(L2173),"",IF(C2173="Buy",M2173, IF(AND(C2173="Sell",J2173="NA"),(E2173*G2173*100*0.1)+I2173, IF(C2173="Sell",(J2173-L2173)*(100*G2173)+I2173))))))</f>
        <v/>
      </c>
      <c r="O2173" s="75" t="n"/>
      <c r="P2173" s="75" t="n"/>
      <c r="Q2173" s="75">
        <f>IF(ISBLANK(P2173),"",IF(D2173="Stock",P2173*G2173,IF(P2173=0,"0",G2173*P2173*100-(G2173*$AF$14))))</f>
        <v/>
      </c>
      <c r="R2173" s="79">
        <f>IF(P2173&lt;&gt;"", TODAY(), "")</f>
        <v/>
      </c>
      <c r="S2173" s="78">
        <f>IF(AND(K2173&lt;&gt;"", R2173&lt;&gt;""), R2173-K2173, "")</f>
        <v/>
      </c>
      <c r="T2173" s="78" t="n"/>
      <c r="U2173" s="92">
        <f>IF(ISBLANK(P2173),"",IF(C2173="Buy",Q2173-M2173+T2173, IF(C2173="Sell",M2173-Q2173-T2173, X)))</f>
        <v/>
      </c>
      <c r="V2173" s="81">
        <f>IF(ISBLANK(P2173),"",U2173/N2173)</f>
        <v/>
      </c>
      <c r="W2173" s="81">
        <f>IF(ISBLANK(P2173),"",IF(S2173=0,(365/0.5)*V2173,(365/S2173)*V2173))</f>
        <v/>
      </c>
      <c r="X2173" s="75" t="n"/>
      <c r="Y2173" s="77" t="n"/>
      <c r="Z2173" s="77" t="n"/>
      <c r="AA2173" s="75" t="n"/>
      <c r="AB2173" s="75" t="n"/>
      <c r="AC2173" s="6" t="n"/>
      <c r="AD2173" s="75" t="n"/>
      <c r="AE2173" s="75" t="n"/>
      <c r="AF2173" s="75" t="n"/>
    </row>
    <row r="2174" ht="15.75" customHeight="1" s="133">
      <c r="A2174" s="75" t="n"/>
      <c r="B2174" s="75" t="n"/>
      <c r="C2174" s="75" t="n"/>
      <c r="D2174" s="75" t="n"/>
      <c r="E2174" s="76" t="n"/>
      <c r="F2174" s="77" t="n"/>
      <c r="G2174" s="75" t="n"/>
      <c r="H2174" s="75">
        <f>IF(ISBLANK(E2174),"",IF(OR(D2174="Butterfly",D2174="Butterfly ",D2174="Iron Fly", D2174="Iron Fly "),LEN(E2174)-LEN(SUBSTITUTE(E2174,"/",""))+2,LEN(E2174)-LEN(SUBSTITUTE(E2174,"/",""))+1))</f>
        <v/>
      </c>
      <c r="I2174" s="78">
        <f>IF(ISBLANK(G2174),"",IF(D2174="Stock","0",Key!$A$3*H2174*G2174))</f>
        <v/>
      </c>
      <c r="J2174" s="78">
        <f>IF(ISBLANK(E2174),"",IF(ISNUMBER(SEARCH("/",E2174)), IF(LEN(E2174)-LEN(SUBSTITUTE(E2174,"/",""))=1,(RIGHT(E2174,LEN(E2174)-FIND("/",E2174)))-(LEFT(E2174,FIND("/",E2174)-1)),(MID(E2174, SEARCH("/",E2174) + 1, SEARCH("/",E2174, SEARCH("/",E2174)+1) - SEARCH("/",E2174) - 1))-(LEFT(E2174,FIND("/",E2174)-1))), "NA"))</f>
        <v/>
      </c>
      <c r="K2174" s="79">
        <f>IF(A2174&lt;&gt;"", IF(ISBLANK(L2174), TODAY(), K2174), "")</f>
        <v/>
      </c>
      <c r="L2174" s="78" t="n"/>
      <c r="M2174" s="78">
        <f>IF(ISBLANK(L2174),"",IF(D2174="Stock",IF(C2174="Buy",L2174*G2174,IF(C2174="Sell",(L2174*G2174)-I2174, X)),IF(C2174="Buy",(L2174*G2174*100)+I2174,IF(C2174="Sell",(L2174*G2174*100)-I2174, X))))</f>
        <v/>
      </c>
      <c r="N2174" s="78">
        <f>IF(ISBLANK(L2174),"",IF(AND(C2174="Sell",D2174="Stock"),M2174,IF(ISBLANK(L2174),"",IF(C2174="Buy",M2174, IF(AND(C2174="Sell",J2174="NA"),(E2174*G2174*100*0.1)+I2174, IF(C2174="Sell",(J2174-L2174)*(100*G2174)+I2174))))))</f>
        <v/>
      </c>
      <c r="O2174" s="75" t="n"/>
      <c r="P2174" s="75" t="n"/>
      <c r="Q2174" s="75">
        <f>IF(ISBLANK(P2174),"",IF(D2174="Stock",P2174*G2174,IF(P2174=0,"0",G2174*P2174*100-(G2174*$AF$14))))</f>
        <v/>
      </c>
      <c r="R2174" s="79">
        <f>IF(P2174&lt;&gt;"", TODAY(), "")</f>
        <v/>
      </c>
      <c r="S2174" s="78">
        <f>IF(AND(K2174&lt;&gt;"", R2174&lt;&gt;""), R2174-K2174, "")</f>
        <v/>
      </c>
      <c r="T2174" s="78" t="n"/>
      <c r="U2174" s="92">
        <f>IF(ISBLANK(P2174),"",IF(C2174="Buy",Q2174-M2174+T2174, IF(C2174="Sell",M2174-Q2174-T2174, X)))</f>
        <v/>
      </c>
      <c r="V2174" s="81">
        <f>IF(ISBLANK(P2174),"",U2174/N2174)</f>
        <v/>
      </c>
      <c r="W2174" s="81">
        <f>IF(ISBLANK(P2174),"",IF(S2174=0,(365/0.5)*V2174,(365/S2174)*V2174))</f>
        <v/>
      </c>
      <c r="X2174" s="75" t="n"/>
      <c r="Y2174" s="77" t="n"/>
      <c r="Z2174" s="77" t="n"/>
      <c r="AA2174" s="75" t="n"/>
      <c r="AB2174" s="75" t="n"/>
      <c r="AC2174" s="6" t="n"/>
      <c r="AD2174" s="75" t="n"/>
      <c r="AE2174" s="75" t="n"/>
      <c r="AF2174" s="75" t="n"/>
    </row>
    <row r="2175" ht="15.75" customHeight="1" s="133">
      <c r="A2175" s="75" t="n"/>
      <c r="B2175" s="75" t="n"/>
      <c r="C2175" s="75" t="n"/>
      <c r="D2175" s="75" t="n"/>
      <c r="E2175" s="76" t="n"/>
      <c r="F2175" s="77" t="n"/>
      <c r="G2175" s="75" t="n"/>
      <c r="H2175" s="75">
        <f>IF(ISBLANK(E2175),"",IF(OR(D2175="Butterfly",D2175="Butterfly ",D2175="Iron Fly", D2175="Iron Fly "),LEN(E2175)-LEN(SUBSTITUTE(E2175,"/",""))+2,LEN(E2175)-LEN(SUBSTITUTE(E2175,"/",""))+1))</f>
        <v/>
      </c>
      <c r="I2175" s="78">
        <f>IF(ISBLANK(G2175),"",IF(D2175="Stock","0",Key!$A$3*H2175*G2175))</f>
        <v/>
      </c>
      <c r="J2175" s="78">
        <f>IF(ISBLANK(E2175),"",IF(ISNUMBER(SEARCH("/",E2175)), IF(LEN(E2175)-LEN(SUBSTITUTE(E2175,"/",""))=1,(RIGHT(E2175,LEN(E2175)-FIND("/",E2175)))-(LEFT(E2175,FIND("/",E2175)-1)),(MID(E2175, SEARCH("/",E2175) + 1, SEARCH("/",E2175, SEARCH("/",E2175)+1) - SEARCH("/",E2175) - 1))-(LEFT(E2175,FIND("/",E2175)-1))), "NA"))</f>
        <v/>
      </c>
      <c r="K2175" s="79">
        <f>IF(A2175&lt;&gt;"", IF(ISBLANK(L2175), TODAY(), K2175), "")</f>
        <v/>
      </c>
      <c r="L2175" s="78" t="n"/>
      <c r="M2175" s="78">
        <f>IF(ISBLANK(L2175),"",IF(D2175="Stock",IF(C2175="Buy",L2175*G2175,IF(C2175="Sell",(L2175*G2175)-I2175, X)),IF(C2175="Buy",(L2175*G2175*100)+I2175,IF(C2175="Sell",(L2175*G2175*100)-I2175, X))))</f>
        <v/>
      </c>
      <c r="N2175" s="78">
        <f>IF(ISBLANK(L2175),"",IF(AND(C2175="Sell",D2175="Stock"),M2175,IF(ISBLANK(L2175),"",IF(C2175="Buy",M2175, IF(AND(C2175="Sell",J2175="NA"),(E2175*G2175*100*0.1)+I2175, IF(C2175="Sell",(J2175-L2175)*(100*G2175)+I2175))))))</f>
        <v/>
      </c>
      <c r="O2175" s="75" t="n"/>
      <c r="P2175" s="75" t="n"/>
      <c r="Q2175" s="75">
        <f>IF(ISBLANK(P2175),"",IF(D2175="Stock",P2175*G2175,IF(P2175=0,"0",G2175*P2175*100-(G2175*$AF$14))))</f>
        <v/>
      </c>
      <c r="R2175" s="79">
        <f>IF(P2175&lt;&gt;"", TODAY(), "")</f>
        <v/>
      </c>
      <c r="S2175" s="78">
        <f>IF(AND(K2175&lt;&gt;"", R2175&lt;&gt;""), R2175-K2175, "")</f>
        <v/>
      </c>
      <c r="T2175" s="78" t="n"/>
      <c r="U2175" s="92">
        <f>IF(ISBLANK(P2175),"",IF(C2175="Buy",Q2175-M2175+T2175, IF(C2175="Sell",M2175-Q2175-T2175, X)))</f>
        <v/>
      </c>
      <c r="V2175" s="81">
        <f>IF(ISBLANK(P2175),"",U2175/N2175)</f>
        <v/>
      </c>
      <c r="W2175" s="81">
        <f>IF(ISBLANK(P2175),"",IF(S2175=0,(365/0.5)*V2175,(365/S2175)*V2175))</f>
        <v/>
      </c>
      <c r="X2175" s="75" t="n"/>
      <c r="Y2175" s="77" t="n"/>
      <c r="Z2175" s="77" t="n"/>
      <c r="AA2175" s="75" t="n"/>
      <c r="AB2175" s="75" t="n"/>
      <c r="AC2175" s="6" t="n"/>
      <c r="AD2175" s="75" t="n"/>
      <c r="AE2175" s="75" t="n"/>
      <c r="AF2175" s="75" t="n"/>
    </row>
    <row r="2176" ht="15.75" customHeight="1" s="133">
      <c r="A2176" s="75" t="n"/>
      <c r="B2176" s="75" t="n"/>
      <c r="C2176" s="75" t="n"/>
      <c r="D2176" s="75" t="n"/>
      <c r="E2176" s="76" t="n"/>
      <c r="F2176" s="77" t="n"/>
      <c r="G2176" s="75" t="n"/>
      <c r="H2176" s="75">
        <f>IF(ISBLANK(E2176),"",IF(OR(D2176="Butterfly",D2176="Butterfly ",D2176="Iron Fly", D2176="Iron Fly "),LEN(E2176)-LEN(SUBSTITUTE(E2176,"/",""))+2,LEN(E2176)-LEN(SUBSTITUTE(E2176,"/",""))+1))</f>
        <v/>
      </c>
      <c r="I2176" s="78">
        <f>IF(ISBLANK(G2176),"",IF(D2176="Stock","0",Key!$A$3*H2176*G2176))</f>
        <v/>
      </c>
      <c r="J2176" s="78">
        <f>IF(ISBLANK(E2176),"",IF(ISNUMBER(SEARCH("/",E2176)), IF(LEN(E2176)-LEN(SUBSTITUTE(E2176,"/",""))=1,(RIGHT(E2176,LEN(E2176)-FIND("/",E2176)))-(LEFT(E2176,FIND("/",E2176)-1)),(MID(E2176, SEARCH("/",E2176) + 1, SEARCH("/",E2176, SEARCH("/",E2176)+1) - SEARCH("/",E2176) - 1))-(LEFT(E2176,FIND("/",E2176)-1))), "NA"))</f>
        <v/>
      </c>
      <c r="K2176" s="79">
        <f>IF(A2176&lt;&gt;"", IF(ISBLANK(L2176), TODAY(), K2176), "")</f>
        <v/>
      </c>
      <c r="L2176" s="78" t="n"/>
      <c r="M2176" s="78">
        <f>IF(ISBLANK(L2176),"",IF(D2176="Stock",IF(C2176="Buy",L2176*G2176,IF(C2176="Sell",(L2176*G2176)-I2176, X)),IF(C2176="Buy",(L2176*G2176*100)+I2176,IF(C2176="Sell",(L2176*G2176*100)-I2176, X))))</f>
        <v/>
      </c>
      <c r="N2176" s="78">
        <f>IF(ISBLANK(L2176),"",IF(AND(C2176="Sell",D2176="Stock"),M2176,IF(ISBLANK(L2176),"",IF(C2176="Buy",M2176, IF(AND(C2176="Sell",J2176="NA"),(E2176*G2176*100*0.1)+I2176, IF(C2176="Sell",(J2176-L2176)*(100*G2176)+I2176))))))</f>
        <v/>
      </c>
      <c r="O2176" s="75" t="n"/>
      <c r="P2176" s="75" t="n"/>
      <c r="Q2176" s="75">
        <f>IF(ISBLANK(P2176),"",IF(D2176="Stock",P2176*G2176,IF(P2176=0,"0",G2176*P2176*100-(G2176*$AF$14))))</f>
        <v/>
      </c>
      <c r="R2176" s="79">
        <f>IF(P2176&lt;&gt;"", TODAY(), "")</f>
        <v/>
      </c>
      <c r="S2176" s="78">
        <f>IF(AND(K2176&lt;&gt;"", R2176&lt;&gt;""), R2176-K2176, "")</f>
        <v/>
      </c>
      <c r="T2176" s="78" t="n"/>
      <c r="U2176" s="92">
        <f>IF(ISBLANK(P2176),"",IF(C2176="Buy",Q2176-M2176+T2176, IF(C2176="Sell",M2176-Q2176-T2176, X)))</f>
        <v/>
      </c>
      <c r="V2176" s="81">
        <f>IF(ISBLANK(P2176),"",U2176/N2176)</f>
        <v/>
      </c>
      <c r="W2176" s="81">
        <f>IF(ISBLANK(P2176),"",IF(S2176=0,(365/0.5)*V2176,(365/S2176)*V2176))</f>
        <v/>
      </c>
      <c r="X2176" s="75" t="n"/>
      <c r="Y2176" s="77" t="n"/>
      <c r="Z2176" s="77" t="n"/>
      <c r="AA2176" s="75" t="n"/>
      <c r="AB2176" s="75" t="n"/>
      <c r="AC2176" s="6" t="n"/>
      <c r="AD2176" s="75" t="n"/>
      <c r="AE2176" s="75" t="n"/>
      <c r="AF2176" s="75" t="n"/>
    </row>
    <row r="2177" ht="15.75" customHeight="1" s="133">
      <c r="A2177" s="75" t="n"/>
      <c r="B2177" s="75" t="n"/>
      <c r="C2177" s="75" t="n"/>
      <c r="D2177" s="75" t="n"/>
      <c r="E2177" s="76" t="n"/>
      <c r="F2177" s="77" t="n"/>
      <c r="G2177" s="75" t="n"/>
      <c r="H2177" s="75">
        <f>IF(ISBLANK(E2177),"",IF(OR(D2177="Butterfly",D2177="Butterfly ",D2177="Iron Fly", D2177="Iron Fly "),LEN(E2177)-LEN(SUBSTITUTE(E2177,"/",""))+2,LEN(E2177)-LEN(SUBSTITUTE(E2177,"/",""))+1))</f>
        <v/>
      </c>
      <c r="I2177" s="78">
        <f>IF(ISBLANK(G2177),"",IF(D2177="Stock","0",Key!$A$3*H2177*G2177))</f>
        <v/>
      </c>
      <c r="J2177" s="78">
        <f>IF(ISBLANK(E2177),"",IF(ISNUMBER(SEARCH("/",E2177)), IF(LEN(E2177)-LEN(SUBSTITUTE(E2177,"/",""))=1,(RIGHT(E2177,LEN(E2177)-FIND("/",E2177)))-(LEFT(E2177,FIND("/",E2177)-1)),(MID(E2177, SEARCH("/",E2177) + 1, SEARCH("/",E2177, SEARCH("/",E2177)+1) - SEARCH("/",E2177) - 1))-(LEFT(E2177,FIND("/",E2177)-1))), "NA"))</f>
        <v/>
      </c>
      <c r="K2177" s="79">
        <f>IF(A2177&lt;&gt;"", IF(ISBLANK(L2177), TODAY(), K2177), "")</f>
        <v/>
      </c>
      <c r="L2177" s="78" t="n"/>
      <c r="M2177" s="78">
        <f>IF(ISBLANK(L2177),"",IF(D2177="Stock",IF(C2177="Buy",L2177*G2177,IF(C2177="Sell",(L2177*G2177)-I2177, X)),IF(C2177="Buy",(L2177*G2177*100)+I2177,IF(C2177="Sell",(L2177*G2177*100)-I2177, X))))</f>
        <v/>
      </c>
      <c r="N2177" s="78">
        <f>IF(ISBLANK(L2177),"",IF(AND(C2177="Sell",D2177="Stock"),M2177,IF(ISBLANK(L2177),"",IF(C2177="Buy",M2177, IF(AND(C2177="Sell",J2177="NA"),(E2177*G2177*100*0.1)+I2177, IF(C2177="Sell",(J2177-L2177)*(100*G2177)+I2177))))))</f>
        <v/>
      </c>
      <c r="O2177" s="75" t="n"/>
      <c r="P2177" s="75" t="n"/>
      <c r="Q2177" s="75">
        <f>IF(ISBLANK(P2177),"",IF(D2177="Stock",P2177*G2177,IF(P2177=0,"0",G2177*P2177*100-(G2177*$AF$14))))</f>
        <v/>
      </c>
      <c r="R2177" s="79">
        <f>IF(P2177&lt;&gt;"", TODAY(), "")</f>
        <v/>
      </c>
      <c r="S2177" s="78">
        <f>IF(AND(K2177&lt;&gt;"", R2177&lt;&gt;""), R2177-K2177, "")</f>
        <v/>
      </c>
      <c r="T2177" s="78" t="n"/>
      <c r="U2177" s="92">
        <f>IF(ISBLANK(P2177),"",IF(C2177="Buy",Q2177-M2177+T2177, IF(C2177="Sell",M2177-Q2177-T2177, X)))</f>
        <v/>
      </c>
      <c r="V2177" s="81">
        <f>IF(ISBLANK(P2177),"",U2177/N2177)</f>
        <v/>
      </c>
      <c r="W2177" s="81">
        <f>IF(ISBLANK(P2177),"",IF(S2177=0,(365/0.5)*V2177,(365/S2177)*V2177))</f>
        <v/>
      </c>
      <c r="X2177" s="75" t="n"/>
      <c r="Y2177" s="77" t="n"/>
      <c r="Z2177" s="77" t="n"/>
      <c r="AA2177" s="75" t="n"/>
      <c r="AB2177" s="75" t="n"/>
      <c r="AC2177" s="6" t="n"/>
      <c r="AD2177" s="75" t="n"/>
      <c r="AE2177" s="75" t="n"/>
      <c r="AF2177" s="75" t="n"/>
    </row>
    <row r="2178" ht="15.75" customHeight="1" s="133">
      <c r="A2178" s="75" t="n"/>
      <c r="B2178" s="75" t="n"/>
      <c r="C2178" s="75" t="n"/>
      <c r="D2178" s="75" t="n"/>
      <c r="E2178" s="76" t="n"/>
      <c r="F2178" s="77" t="n"/>
      <c r="G2178" s="75" t="n"/>
      <c r="H2178" s="75">
        <f>IF(ISBLANK(E2178),"",IF(OR(D2178="Butterfly",D2178="Butterfly ",D2178="Iron Fly", D2178="Iron Fly "),LEN(E2178)-LEN(SUBSTITUTE(E2178,"/",""))+2,LEN(E2178)-LEN(SUBSTITUTE(E2178,"/",""))+1))</f>
        <v/>
      </c>
      <c r="I2178" s="78">
        <f>IF(ISBLANK(G2178),"",IF(D2178="Stock","0",Key!$A$3*H2178*G2178))</f>
        <v/>
      </c>
      <c r="J2178" s="78">
        <f>IF(ISBLANK(E2178),"",IF(ISNUMBER(SEARCH("/",E2178)), IF(LEN(E2178)-LEN(SUBSTITUTE(E2178,"/",""))=1,(RIGHT(E2178,LEN(E2178)-FIND("/",E2178)))-(LEFT(E2178,FIND("/",E2178)-1)),(MID(E2178, SEARCH("/",E2178) + 1, SEARCH("/",E2178, SEARCH("/",E2178)+1) - SEARCH("/",E2178) - 1))-(LEFT(E2178,FIND("/",E2178)-1))), "NA"))</f>
        <v/>
      </c>
      <c r="K2178" s="79">
        <f>IF(A2178&lt;&gt;"", IF(ISBLANK(L2178), TODAY(), K2178), "")</f>
        <v/>
      </c>
      <c r="L2178" s="78" t="n"/>
      <c r="M2178" s="78">
        <f>IF(ISBLANK(L2178),"",IF(D2178="Stock",IF(C2178="Buy",L2178*G2178,IF(C2178="Sell",(L2178*G2178)-I2178, X)),IF(C2178="Buy",(L2178*G2178*100)+I2178,IF(C2178="Sell",(L2178*G2178*100)-I2178, X))))</f>
        <v/>
      </c>
      <c r="N2178" s="78">
        <f>IF(ISBLANK(L2178),"",IF(AND(C2178="Sell",D2178="Stock"),M2178,IF(ISBLANK(L2178),"",IF(C2178="Buy",M2178, IF(AND(C2178="Sell",J2178="NA"),(E2178*G2178*100*0.1)+I2178, IF(C2178="Sell",(J2178-L2178)*(100*G2178)+I2178))))))</f>
        <v/>
      </c>
      <c r="O2178" s="75" t="n"/>
      <c r="P2178" s="75" t="n"/>
      <c r="Q2178" s="75">
        <f>IF(ISBLANK(P2178),"",IF(D2178="Stock",P2178*G2178,IF(P2178=0,"0",G2178*P2178*100-(G2178*$AF$14))))</f>
        <v/>
      </c>
      <c r="R2178" s="79">
        <f>IF(P2178&lt;&gt;"", TODAY(), "")</f>
        <v/>
      </c>
      <c r="S2178" s="78">
        <f>IF(AND(K2178&lt;&gt;"", R2178&lt;&gt;""), R2178-K2178, "")</f>
        <v/>
      </c>
      <c r="T2178" s="78" t="n"/>
      <c r="U2178" s="92">
        <f>IF(ISBLANK(P2178),"",IF(C2178="Buy",Q2178-M2178+T2178, IF(C2178="Sell",M2178-Q2178-T2178, X)))</f>
        <v/>
      </c>
      <c r="V2178" s="81">
        <f>IF(ISBLANK(P2178),"",U2178/N2178)</f>
        <v/>
      </c>
      <c r="W2178" s="81">
        <f>IF(ISBLANK(P2178),"",IF(S2178=0,(365/0.5)*V2178,(365/S2178)*V2178))</f>
        <v/>
      </c>
      <c r="X2178" s="75" t="n"/>
      <c r="Y2178" s="77" t="n"/>
      <c r="Z2178" s="77" t="n"/>
      <c r="AA2178" s="75" t="n"/>
      <c r="AB2178" s="75" t="n"/>
      <c r="AC2178" s="6" t="n"/>
      <c r="AD2178" s="75" t="n"/>
      <c r="AE2178" s="75" t="n"/>
      <c r="AF2178" s="75" t="n"/>
    </row>
    <row r="2179" ht="15.75" customHeight="1" s="133">
      <c r="A2179" s="75" t="n"/>
      <c r="B2179" s="75" t="n"/>
      <c r="C2179" s="75" t="n"/>
      <c r="D2179" s="75" t="n"/>
      <c r="E2179" s="76" t="n"/>
      <c r="F2179" s="77" t="n"/>
      <c r="G2179" s="75" t="n"/>
      <c r="H2179" s="75">
        <f>IF(ISBLANK(E2179),"",IF(OR(D2179="Butterfly",D2179="Butterfly ",D2179="Iron Fly", D2179="Iron Fly "),LEN(E2179)-LEN(SUBSTITUTE(E2179,"/",""))+2,LEN(E2179)-LEN(SUBSTITUTE(E2179,"/",""))+1))</f>
        <v/>
      </c>
      <c r="I2179" s="78">
        <f>IF(ISBLANK(G2179),"",IF(D2179="Stock","0",Key!$A$3*H2179*G2179))</f>
        <v/>
      </c>
      <c r="J2179" s="78">
        <f>IF(ISBLANK(E2179),"",IF(ISNUMBER(SEARCH("/",E2179)), IF(LEN(E2179)-LEN(SUBSTITUTE(E2179,"/",""))=1,(RIGHT(E2179,LEN(E2179)-FIND("/",E2179)))-(LEFT(E2179,FIND("/",E2179)-1)),(MID(E2179, SEARCH("/",E2179) + 1, SEARCH("/",E2179, SEARCH("/",E2179)+1) - SEARCH("/",E2179) - 1))-(LEFT(E2179,FIND("/",E2179)-1))), "NA"))</f>
        <v/>
      </c>
      <c r="K2179" s="79">
        <f>IF(A2179&lt;&gt;"", IF(ISBLANK(L2179), TODAY(), K2179), "")</f>
        <v/>
      </c>
      <c r="L2179" s="78" t="n"/>
      <c r="M2179" s="78">
        <f>IF(ISBLANK(L2179),"",IF(D2179="Stock",IF(C2179="Buy",L2179*G2179,IF(C2179="Sell",(L2179*G2179)-I2179, X)),IF(C2179="Buy",(L2179*G2179*100)+I2179,IF(C2179="Sell",(L2179*G2179*100)-I2179, X))))</f>
        <v/>
      </c>
      <c r="N2179" s="78">
        <f>IF(ISBLANK(L2179),"",IF(AND(C2179="Sell",D2179="Stock"),M2179,IF(ISBLANK(L2179),"",IF(C2179="Buy",M2179, IF(AND(C2179="Sell",J2179="NA"),(E2179*G2179*100*0.1)+I2179, IF(C2179="Sell",(J2179-L2179)*(100*G2179)+I2179))))))</f>
        <v/>
      </c>
      <c r="O2179" s="75" t="n"/>
      <c r="P2179" s="75" t="n"/>
      <c r="Q2179" s="75">
        <f>IF(ISBLANK(P2179),"",IF(D2179="Stock",P2179*G2179,IF(P2179=0,"0",G2179*P2179*100-(G2179*$AF$14))))</f>
        <v/>
      </c>
      <c r="R2179" s="79">
        <f>IF(P2179&lt;&gt;"", TODAY(), "")</f>
        <v/>
      </c>
      <c r="S2179" s="78">
        <f>IF(AND(K2179&lt;&gt;"", R2179&lt;&gt;""), R2179-K2179, "")</f>
        <v/>
      </c>
      <c r="T2179" s="78" t="n"/>
      <c r="U2179" s="92">
        <f>IF(ISBLANK(P2179),"",IF(C2179="Buy",Q2179-M2179+T2179, IF(C2179="Sell",M2179-Q2179-T2179, X)))</f>
        <v/>
      </c>
      <c r="V2179" s="81">
        <f>IF(ISBLANK(P2179),"",U2179/N2179)</f>
        <v/>
      </c>
      <c r="W2179" s="81">
        <f>IF(ISBLANK(P2179),"",IF(S2179=0,(365/0.5)*V2179,(365/S2179)*V2179))</f>
        <v/>
      </c>
      <c r="X2179" s="75" t="n"/>
      <c r="Y2179" s="77" t="n"/>
      <c r="Z2179" s="77" t="n"/>
      <c r="AA2179" s="75" t="n"/>
      <c r="AB2179" s="75" t="n"/>
      <c r="AC2179" s="6" t="n"/>
      <c r="AD2179" s="75" t="n"/>
      <c r="AE2179" s="75" t="n"/>
      <c r="AF2179" s="75" t="n"/>
    </row>
    <row r="2180" ht="15.75" customHeight="1" s="133">
      <c r="A2180" s="75" t="n"/>
      <c r="B2180" s="75" t="n"/>
      <c r="C2180" s="75" t="n"/>
      <c r="D2180" s="75" t="n"/>
      <c r="E2180" s="76" t="n"/>
      <c r="F2180" s="77" t="n"/>
      <c r="G2180" s="75" t="n"/>
      <c r="H2180" s="75">
        <f>IF(ISBLANK(E2180),"",IF(OR(D2180="Butterfly",D2180="Butterfly ",D2180="Iron Fly", D2180="Iron Fly "),LEN(E2180)-LEN(SUBSTITUTE(E2180,"/",""))+2,LEN(E2180)-LEN(SUBSTITUTE(E2180,"/",""))+1))</f>
        <v/>
      </c>
      <c r="I2180" s="78">
        <f>IF(ISBLANK(G2180),"",IF(D2180="Stock","0",Key!$A$3*H2180*G2180))</f>
        <v/>
      </c>
      <c r="J2180" s="78">
        <f>IF(ISBLANK(E2180),"",IF(ISNUMBER(SEARCH("/",E2180)), IF(LEN(E2180)-LEN(SUBSTITUTE(E2180,"/",""))=1,(RIGHT(E2180,LEN(E2180)-FIND("/",E2180)))-(LEFT(E2180,FIND("/",E2180)-1)),(MID(E2180, SEARCH("/",E2180) + 1, SEARCH("/",E2180, SEARCH("/",E2180)+1) - SEARCH("/",E2180) - 1))-(LEFT(E2180,FIND("/",E2180)-1))), "NA"))</f>
        <v/>
      </c>
      <c r="K2180" s="79">
        <f>IF(A2180&lt;&gt;"", IF(ISBLANK(L2180), TODAY(), K2180), "")</f>
        <v/>
      </c>
      <c r="L2180" s="78" t="n"/>
      <c r="M2180" s="78">
        <f>IF(ISBLANK(L2180),"",IF(D2180="Stock",IF(C2180="Buy",L2180*G2180,IF(C2180="Sell",(L2180*G2180)-I2180, X)),IF(C2180="Buy",(L2180*G2180*100)+I2180,IF(C2180="Sell",(L2180*G2180*100)-I2180, X))))</f>
        <v/>
      </c>
      <c r="N2180" s="78">
        <f>IF(ISBLANK(L2180),"",IF(AND(C2180="Sell",D2180="Stock"),M2180,IF(ISBLANK(L2180),"",IF(C2180="Buy",M2180, IF(AND(C2180="Sell",J2180="NA"),(E2180*G2180*100*0.1)+I2180, IF(C2180="Sell",(J2180-L2180)*(100*G2180)+I2180))))))</f>
        <v/>
      </c>
      <c r="O2180" s="75" t="n"/>
      <c r="P2180" s="75" t="n"/>
      <c r="Q2180" s="75">
        <f>IF(ISBLANK(P2180),"",IF(D2180="Stock",P2180*G2180,IF(P2180=0,"0",G2180*P2180*100-(G2180*$AF$14))))</f>
        <v/>
      </c>
      <c r="R2180" s="79">
        <f>IF(P2180&lt;&gt;"", TODAY(), "")</f>
        <v/>
      </c>
      <c r="S2180" s="78">
        <f>IF(AND(K2180&lt;&gt;"", R2180&lt;&gt;""), R2180-K2180, "")</f>
        <v/>
      </c>
      <c r="T2180" s="78" t="n"/>
      <c r="U2180" s="92">
        <f>IF(ISBLANK(P2180),"",IF(C2180="Buy",Q2180-M2180+T2180, IF(C2180="Sell",M2180-Q2180-T2180, X)))</f>
        <v/>
      </c>
      <c r="V2180" s="81">
        <f>IF(ISBLANK(P2180),"",U2180/N2180)</f>
        <v/>
      </c>
      <c r="W2180" s="81">
        <f>IF(ISBLANK(P2180),"",IF(S2180=0,(365/0.5)*V2180,(365/S2180)*V2180))</f>
        <v/>
      </c>
      <c r="X2180" s="75" t="n"/>
      <c r="Y2180" s="77" t="n"/>
      <c r="Z2180" s="77" t="n"/>
      <c r="AA2180" s="75" t="n"/>
      <c r="AB2180" s="75" t="n"/>
      <c r="AC2180" s="6" t="n"/>
      <c r="AD2180" s="75" t="n"/>
      <c r="AE2180" s="75" t="n"/>
      <c r="AF2180" s="75" t="n"/>
    </row>
    <row r="2181" ht="15.75" customHeight="1" s="133">
      <c r="A2181" s="75" t="n"/>
      <c r="B2181" s="75" t="n"/>
      <c r="C2181" s="75" t="n"/>
      <c r="D2181" s="75" t="n"/>
      <c r="E2181" s="76" t="n"/>
      <c r="F2181" s="77" t="n"/>
      <c r="G2181" s="75" t="n"/>
      <c r="H2181" s="75">
        <f>IF(ISBLANK(E2181),"",IF(OR(D2181="Butterfly",D2181="Butterfly ",D2181="Iron Fly", D2181="Iron Fly "),LEN(E2181)-LEN(SUBSTITUTE(E2181,"/",""))+2,LEN(E2181)-LEN(SUBSTITUTE(E2181,"/",""))+1))</f>
        <v/>
      </c>
      <c r="I2181" s="78">
        <f>IF(ISBLANK(G2181),"",IF(D2181="Stock","0",Key!$A$3*H2181*G2181))</f>
        <v/>
      </c>
      <c r="J2181" s="78">
        <f>IF(ISBLANK(E2181),"",IF(ISNUMBER(SEARCH("/",E2181)), IF(LEN(E2181)-LEN(SUBSTITUTE(E2181,"/",""))=1,(RIGHT(E2181,LEN(E2181)-FIND("/",E2181)))-(LEFT(E2181,FIND("/",E2181)-1)),(MID(E2181, SEARCH("/",E2181) + 1, SEARCH("/",E2181, SEARCH("/",E2181)+1) - SEARCH("/",E2181) - 1))-(LEFT(E2181,FIND("/",E2181)-1))), "NA"))</f>
        <v/>
      </c>
      <c r="K2181" s="79">
        <f>IF(A2181&lt;&gt;"", IF(ISBLANK(L2181), TODAY(), K2181), "")</f>
        <v/>
      </c>
      <c r="L2181" s="78" t="n"/>
      <c r="M2181" s="78">
        <f>IF(ISBLANK(L2181),"",IF(D2181="Stock",IF(C2181="Buy",L2181*G2181,IF(C2181="Sell",(L2181*G2181)-I2181, X)),IF(C2181="Buy",(L2181*G2181*100)+I2181,IF(C2181="Sell",(L2181*G2181*100)-I2181, X))))</f>
        <v/>
      </c>
      <c r="N2181" s="78">
        <f>IF(ISBLANK(L2181),"",IF(AND(C2181="Sell",D2181="Stock"),M2181,IF(ISBLANK(L2181),"",IF(C2181="Buy",M2181, IF(AND(C2181="Sell",J2181="NA"),(E2181*G2181*100*0.1)+I2181, IF(C2181="Sell",(J2181-L2181)*(100*G2181)+I2181))))))</f>
        <v/>
      </c>
      <c r="O2181" s="75" t="n"/>
      <c r="P2181" s="75" t="n"/>
      <c r="Q2181" s="75">
        <f>IF(ISBLANK(P2181),"",IF(D2181="Stock",P2181*G2181,IF(P2181=0,"0",G2181*P2181*100-(G2181*$AF$14))))</f>
        <v/>
      </c>
      <c r="R2181" s="79">
        <f>IF(P2181&lt;&gt;"", TODAY(), "")</f>
        <v/>
      </c>
      <c r="S2181" s="78">
        <f>IF(AND(K2181&lt;&gt;"", R2181&lt;&gt;""), R2181-K2181, "")</f>
        <v/>
      </c>
      <c r="T2181" s="78" t="n"/>
      <c r="U2181" s="92">
        <f>IF(ISBLANK(P2181),"",IF(C2181="Buy",Q2181-M2181+T2181, IF(C2181="Sell",M2181-Q2181-T2181, X)))</f>
        <v/>
      </c>
      <c r="V2181" s="81">
        <f>IF(ISBLANK(P2181),"",U2181/N2181)</f>
        <v/>
      </c>
      <c r="W2181" s="81">
        <f>IF(ISBLANK(P2181),"",IF(S2181=0,(365/0.5)*V2181,(365/S2181)*V2181))</f>
        <v/>
      </c>
      <c r="X2181" s="75" t="n"/>
      <c r="Y2181" s="77" t="n"/>
      <c r="Z2181" s="77" t="n"/>
      <c r="AA2181" s="75" t="n"/>
      <c r="AB2181" s="75" t="n"/>
      <c r="AC2181" s="6" t="n"/>
      <c r="AD2181" s="75" t="n"/>
      <c r="AE2181" s="75" t="n"/>
      <c r="AF2181" s="75" t="n"/>
    </row>
    <row r="2182" ht="15.75" customHeight="1" s="133">
      <c r="A2182" s="75" t="n"/>
      <c r="B2182" s="75" t="n"/>
      <c r="C2182" s="75" t="n"/>
      <c r="D2182" s="75" t="n"/>
      <c r="E2182" s="76" t="n"/>
      <c r="F2182" s="77" t="n"/>
      <c r="G2182" s="75" t="n"/>
      <c r="H2182" s="75">
        <f>IF(ISBLANK(E2182),"",IF(OR(D2182="Butterfly",D2182="Butterfly ",D2182="Iron Fly", D2182="Iron Fly "),LEN(E2182)-LEN(SUBSTITUTE(E2182,"/",""))+2,LEN(E2182)-LEN(SUBSTITUTE(E2182,"/",""))+1))</f>
        <v/>
      </c>
      <c r="I2182" s="78">
        <f>IF(ISBLANK(G2182),"",IF(D2182="Stock","0",Key!$A$3*H2182*G2182))</f>
        <v/>
      </c>
      <c r="J2182" s="78">
        <f>IF(ISBLANK(E2182),"",IF(ISNUMBER(SEARCH("/",E2182)), IF(LEN(E2182)-LEN(SUBSTITUTE(E2182,"/",""))=1,(RIGHT(E2182,LEN(E2182)-FIND("/",E2182)))-(LEFT(E2182,FIND("/",E2182)-1)),(MID(E2182, SEARCH("/",E2182) + 1, SEARCH("/",E2182, SEARCH("/",E2182)+1) - SEARCH("/",E2182) - 1))-(LEFT(E2182,FIND("/",E2182)-1))), "NA"))</f>
        <v/>
      </c>
      <c r="K2182" s="79">
        <f>IF(A2182&lt;&gt;"", IF(ISBLANK(L2182), TODAY(), K2182), "")</f>
        <v/>
      </c>
      <c r="L2182" s="78" t="n"/>
      <c r="M2182" s="78">
        <f>IF(ISBLANK(L2182),"",IF(D2182="Stock",IF(C2182="Buy",L2182*G2182,IF(C2182="Sell",(L2182*G2182)-I2182, X)),IF(C2182="Buy",(L2182*G2182*100)+I2182,IF(C2182="Sell",(L2182*G2182*100)-I2182, X))))</f>
        <v/>
      </c>
      <c r="N2182" s="78">
        <f>IF(ISBLANK(L2182),"",IF(AND(C2182="Sell",D2182="Stock"),M2182,IF(ISBLANK(L2182),"",IF(C2182="Buy",M2182, IF(AND(C2182="Sell",J2182="NA"),(E2182*G2182*100*0.1)+I2182, IF(C2182="Sell",(J2182-L2182)*(100*G2182)+I2182))))))</f>
        <v/>
      </c>
      <c r="O2182" s="75" t="n"/>
      <c r="P2182" s="75" t="n"/>
      <c r="Q2182" s="75">
        <f>IF(ISBLANK(P2182),"",IF(D2182="Stock",P2182*G2182,IF(P2182=0,"0",G2182*P2182*100-(G2182*$AF$14))))</f>
        <v/>
      </c>
      <c r="R2182" s="79">
        <f>IF(P2182&lt;&gt;"", TODAY(), "")</f>
        <v/>
      </c>
      <c r="S2182" s="78">
        <f>IF(AND(K2182&lt;&gt;"", R2182&lt;&gt;""), R2182-K2182, "")</f>
        <v/>
      </c>
      <c r="T2182" s="78" t="n"/>
      <c r="U2182" s="92">
        <f>IF(ISBLANK(P2182),"",IF(C2182="Buy",Q2182-M2182+T2182, IF(C2182="Sell",M2182-Q2182-T2182, X)))</f>
        <v/>
      </c>
      <c r="V2182" s="81">
        <f>IF(ISBLANK(P2182),"",U2182/N2182)</f>
        <v/>
      </c>
      <c r="W2182" s="81">
        <f>IF(ISBLANK(P2182),"",IF(S2182=0,(365/0.5)*V2182,(365/S2182)*V2182))</f>
        <v/>
      </c>
      <c r="X2182" s="75" t="n"/>
      <c r="Y2182" s="77" t="n"/>
      <c r="Z2182" s="77" t="n"/>
      <c r="AA2182" s="75" t="n"/>
      <c r="AB2182" s="75" t="n"/>
      <c r="AC2182" s="6" t="n"/>
      <c r="AD2182" s="75" t="n"/>
      <c r="AE2182" s="75" t="n"/>
      <c r="AF2182" s="75" t="n"/>
    </row>
    <row r="2183" ht="15.75" customHeight="1" s="133">
      <c r="A2183" s="75" t="n"/>
      <c r="B2183" s="75" t="n"/>
      <c r="C2183" s="75" t="n"/>
      <c r="D2183" s="75" t="n"/>
      <c r="E2183" s="76" t="n"/>
      <c r="F2183" s="77" t="n"/>
      <c r="G2183" s="75" t="n"/>
      <c r="H2183" s="75">
        <f>IF(ISBLANK(E2183),"",IF(OR(D2183="Butterfly",D2183="Butterfly ",D2183="Iron Fly", D2183="Iron Fly "),LEN(E2183)-LEN(SUBSTITUTE(E2183,"/",""))+2,LEN(E2183)-LEN(SUBSTITUTE(E2183,"/",""))+1))</f>
        <v/>
      </c>
      <c r="I2183" s="78">
        <f>IF(ISBLANK(G2183),"",IF(D2183="Stock","0",Key!$A$3*H2183*G2183))</f>
        <v/>
      </c>
      <c r="J2183" s="78">
        <f>IF(ISBLANK(E2183),"",IF(ISNUMBER(SEARCH("/",E2183)), IF(LEN(E2183)-LEN(SUBSTITUTE(E2183,"/",""))=1,(RIGHT(E2183,LEN(E2183)-FIND("/",E2183)))-(LEFT(E2183,FIND("/",E2183)-1)),(MID(E2183, SEARCH("/",E2183) + 1, SEARCH("/",E2183, SEARCH("/",E2183)+1) - SEARCH("/",E2183) - 1))-(LEFT(E2183,FIND("/",E2183)-1))), "NA"))</f>
        <v/>
      </c>
      <c r="K2183" s="79">
        <f>IF(A2183&lt;&gt;"", IF(ISBLANK(L2183), TODAY(), K2183), "")</f>
        <v/>
      </c>
      <c r="L2183" s="78" t="n"/>
      <c r="M2183" s="78">
        <f>IF(ISBLANK(L2183),"",IF(D2183="Stock",IF(C2183="Buy",L2183*G2183,IF(C2183="Sell",(L2183*G2183)-I2183, X)),IF(C2183="Buy",(L2183*G2183*100)+I2183,IF(C2183="Sell",(L2183*G2183*100)-I2183, X))))</f>
        <v/>
      </c>
      <c r="N2183" s="78">
        <f>IF(ISBLANK(L2183),"",IF(AND(C2183="Sell",D2183="Stock"),M2183,IF(ISBLANK(L2183),"",IF(C2183="Buy",M2183, IF(AND(C2183="Sell",J2183="NA"),(E2183*G2183*100*0.1)+I2183, IF(C2183="Sell",(J2183-L2183)*(100*G2183)+I2183))))))</f>
        <v/>
      </c>
      <c r="O2183" s="75" t="n"/>
      <c r="P2183" s="75" t="n"/>
      <c r="Q2183" s="75">
        <f>IF(ISBLANK(P2183),"",IF(D2183="Stock",P2183*G2183,IF(P2183=0,"0",G2183*P2183*100-(G2183*$AF$14))))</f>
        <v/>
      </c>
      <c r="R2183" s="79">
        <f>IF(P2183&lt;&gt;"", TODAY(), "")</f>
        <v/>
      </c>
      <c r="S2183" s="78">
        <f>IF(AND(K2183&lt;&gt;"", R2183&lt;&gt;""), R2183-K2183, "")</f>
        <v/>
      </c>
      <c r="T2183" s="78" t="n"/>
      <c r="U2183" s="92">
        <f>IF(ISBLANK(P2183),"",IF(C2183="Buy",Q2183-M2183+T2183, IF(C2183="Sell",M2183-Q2183-T2183, X)))</f>
        <v/>
      </c>
      <c r="V2183" s="81">
        <f>IF(ISBLANK(P2183),"",U2183/N2183)</f>
        <v/>
      </c>
      <c r="W2183" s="81">
        <f>IF(ISBLANK(P2183),"",IF(S2183=0,(365/0.5)*V2183,(365/S2183)*V2183))</f>
        <v/>
      </c>
      <c r="X2183" s="75" t="n"/>
      <c r="Y2183" s="77" t="n"/>
      <c r="Z2183" s="77" t="n"/>
      <c r="AA2183" s="75" t="n"/>
      <c r="AB2183" s="75" t="n"/>
      <c r="AC2183" s="6" t="n"/>
      <c r="AD2183" s="75" t="n"/>
      <c r="AE2183" s="75" t="n"/>
      <c r="AF2183" s="75" t="n"/>
    </row>
    <row r="2184" ht="15.75" customHeight="1" s="133">
      <c r="A2184" s="75" t="n"/>
      <c r="B2184" s="75" t="n"/>
      <c r="C2184" s="75" t="n"/>
      <c r="D2184" s="75" t="n"/>
      <c r="E2184" s="76" t="n"/>
      <c r="F2184" s="77" t="n"/>
      <c r="G2184" s="75" t="n"/>
      <c r="H2184" s="75">
        <f>IF(ISBLANK(E2184),"",IF(OR(D2184="Butterfly",D2184="Butterfly ",D2184="Iron Fly", D2184="Iron Fly "),LEN(E2184)-LEN(SUBSTITUTE(E2184,"/",""))+2,LEN(E2184)-LEN(SUBSTITUTE(E2184,"/",""))+1))</f>
        <v/>
      </c>
      <c r="I2184" s="78">
        <f>IF(ISBLANK(G2184),"",IF(D2184="Stock","0",Key!$A$3*H2184*G2184))</f>
        <v/>
      </c>
      <c r="J2184" s="78">
        <f>IF(ISBLANK(E2184),"",IF(ISNUMBER(SEARCH("/",E2184)), IF(LEN(E2184)-LEN(SUBSTITUTE(E2184,"/",""))=1,(RIGHT(E2184,LEN(E2184)-FIND("/",E2184)))-(LEFT(E2184,FIND("/",E2184)-1)),(MID(E2184, SEARCH("/",E2184) + 1, SEARCH("/",E2184, SEARCH("/",E2184)+1) - SEARCH("/",E2184) - 1))-(LEFT(E2184,FIND("/",E2184)-1))), "NA"))</f>
        <v/>
      </c>
      <c r="K2184" s="79">
        <f>IF(A2184&lt;&gt;"", IF(ISBLANK(L2184), TODAY(), K2184), "")</f>
        <v/>
      </c>
      <c r="L2184" s="78" t="n"/>
      <c r="M2184" s="78">
        <f>IF(ISBLANK(L2184),"",IF(D2184="Stock",IF(C2184="Buy",L2184*G2184,IF(C2184="Sell",(L2184*G2184)-I2184, X)),IF(C2184="Buy",(L2184*G2184*100)+I2184,IF(C2184="Sell",(L2184*G2184*100)-I2184, X))))</f>
        <v/>
      </c>
      <c r="N2184" s="78">
        <f>IF(ISBLANK(L2184),"",IF(AND(C2184="Sell",D2184="Stock"),M2184,IF(ISBLANK(L2184),"",IF(C2184="Buy",M2184, IF(AND(C2184="Sell",J2184="NA"),(E2184*G2184*100*0.1)+I2184, IF(C2184="Sell",(J2184-L2184)*(100*G2184)+I2184))))))</f>
        <v/>
      </c>
      <c r="O2184" s="75" t="n"/>
      <c r="P2184" s="75" t="n"/>
      <c r="Q2184" s="75">
        <f>IF(ISBLANK(P2184),"",IF(D2184="Stock",P2184*G2184,IF(P2184=0,"0",G2184*P2184*100-(G2184*$AF$14))))</f>
        <v/>
      </c>
      <c r="R2184" s="79">
        <f>IF(P2184&lt;&gt;"", TODAY(), "")</f>
        <v/>
      </c>
      <c r="S2184" s="78">
        <f>IF(AND(K2184&lt;&gt;"", R2184&lt;&gt;""), R2184-K2184, "")</f>
        <v/>
      </c>
      <c r="T2184" s="78" t="n"/>
      <c r="U2184" s="92">
        <f>IF(ISBLANK(P2184),"",IF(C2184="Buy",Q2184-M2184+T2184, IF(C2184="Sell",M2184-Q2184-T2184, X)))</f>
        <v/>
      </c>
      <c r="V2184" s="81">
        <f>IF(ISBLANK(P2184),"",U2184/N2184)</f>
        <v/>
      </c>
      <c r="W2184" s="81">
        <f>IF(ISBLANK(P2184),"",IF(S2184=0,(365/0.5)*V2184,(365/S2184)*V2184))</f>
        <v/>
      </c>
      <c r="X2184" s="75" t="n"/>
      <c r="Y2184" s="77" t="n"/>
      <c r="Z2184" s="77" t="n"/>
      <c r="AA2184" s="75" t="n"/>
      <c r="AB2184" s="75" t="n"/>
      <c r="AC2184" s="6" t="n"/>
      <c r="AD2184" s="75" t="n"/>
      <c r="AE2184" s="75" t="n"/>
      <c r="AF2184" s="75" t="n"/>
    </row>
    <row r="2185" ht="15.75" customHeight="1" s="133">
      <c r="A2185" s="75" t="n"/>
      <c r="B2185" s="75" t="n"/>
      <c r="C2185" s="75" t="n"/>
      <c r="D2185" s="75" t="n"/>
      <c r="E2185" s="76" t="n"/>
      <c r="F2185" s="77" t="n"/>
      <c r="G2185" s="75" t="n"/>
      <c r="H2185" s="75">
        <f>IF(ISBLANK(E2185),"",IF(OR(D2185="Butterfly",D2185="Butterfly ",D2185="Iron Fly", D2185="Iron Fly "),LEN(E2185)-LEN(SUBSTITUTE(E2185,"/",""))+2,LEN(E2185)-LEN(SUBSTITUTE(E2185,"/",""))+1))</f>
        <v/>
      </c>
      <c r="I2185" s="78">
        <f>IF(ISBLANK(G2185),"",IF(D2185="Stock","0",Key!$A$3*H2185*G2185))</f>
        <v/>
      </c>
      <c r="J2185" s="78">
        <f>IF(ISBLANK(E2185),"",IF(ISNUMBER(SEARCH("/",E2185)), IF(LEN(E2185)-LEN(SUBSTITUTE(E2185,"/",""))=1,(RIGHT(E2185,LEN(E2185)-FIND("/",E2185)))-(LEFT(E2185,FIND("/",E2185)-1)),(MID(E2185, SEARCH("/",E2185) + 1, SEARCH("/",E2185, SEARCH("/",E2185)+1) - SEARCH("/",E2185) - 1))-(LEFT(E2185,FIND("/",E2185)-1))), "NA"))</f>
        <v/>
      </c>
      <c r="K2185" s="79">
        <f>IF(A2185&lt;&gt;"", IF(ISBLANK(L2185), TODAY(), K2185), "")</f>
        <v/>
      </c>
      <c r="L2185" s="78" t="n"/>
      <c r="M2185" s="78">
        <f>IF(ISBLANK(L2185),"",IF(D2185="Stock",IF(C2185="Buy",L2185*G2185,IF(C2185="Sell",(L2185*G2185)-I2185, X)),IF(C2185="Buy",(L2185*G2185*100)+I2185,IF(C2185="Sell",(L2185*G2185*100)-I2185, X))))</f>
        <v/>
      </c>
      <c r="N2185" s="78">
        <f>IF(ISBLANK(L2185),"",IF(AND(C2185="Sell",D2185="Stock"),M2185,IF(ISBLANK(L2185),"",IF(C2185="Buy",M2185, IF(AND(C2185="Sell",J2185="NA"),(E2185*G2185*100*0.1)+I2185, IF(C2185="Sell",(J2185-L2185)*(100*G2185)+I2185))))))</f>
        <v/>
      </c>
      <c r="O2185" s="75" t="n"/>
      <c r="P2185" s="75" t="n"/>
      <c r="Q2185" s="75">
        <f>IF(ISBLANK(P2185),"",IF(D2185="Stock",P2185*G2185,IF(P2185=0,"0",G2185*P2185*100-(G2185*$AF$14))))</f>
        <v/>
      </c>
      <c r="R2185" s="79">
        <f>IF(P2185&lt;&gt;"", TODAY(), "")</f>
        <v/>
      </c>
      <c r="S2185" s="78">
        <f>IF(AND(K2185&lt;&gt;"", R2185&lt;&gt;""), R2185-K2185, "")</f>
        <v/>
      </c>
      <c r="T2185" s="78" t="n"/>
      <c r="U2185" s="92">
        <f>IF(ISBLANK(P2185),"",IF(C2185="Buy",Q2185-M2185+T2185, IF(C2185="Sell",M2185-Q2185-T2185, X)))</f>
        <v/>
      </c>
      <c r="V2185" s="81">
        <f>IF(ISBLANK(P2185),"",U2185/N2185)</f>
        <v/>
      </c>
      <c r="W2185" s="81">
        <f>IF(ISBLANK(P2185),"",IF(S2185=0,(365/0.5)*V2185,(365/S2185)*V2185))</f>
        <v/>
      </c>
      <c r="X2185" s="75" t="n"/>
      <c r="Y2185" s="77" t="n"/>
      <c r="Z2185" s="77" t="n"/>
      <c r="AA2185" s="75" t="n"/>
      <c r="AB2185" s="75" t="n"/>
      <c r="AC2185" s="6" t="n"/>
      <c r="AD2185" s="75" t="n"/>
      <c r="AE2185" s="75" t="n"/>
      <c r="AF2185" s="75" t="n"/>
    </row>
    <row r="2186" ht="15.75" customHeight="1" s="133">
      <c r="A2186" s="75" t="n"/>
      <c r="B2186" s="75" t="n"/>
      <c r="C2186" s="75" t="n"/>
      <c r="D2186" s="75" t="n"/>
      <c r="E2186" s="76" t="n"/>
      <c r="F2186" s="77" t="n"/>
      <c r="G2186" s="75" t="n"/>
      <c r="H2186" s="75">
        <f>IF(ISBLANK(E2186),"",IF(OR(D2186="Butterfly",D2186="Butterfly ",D2186="Iron Fly", D2186="Iron Fly "),LEN(E2186)-LEN(SUBSTITUTE(E2186,"/",""))+2,LEN(E2186)-LEN(SUBSTITUTE(E2186,"/",""))+1))</f>
        <v/>
      </c>
      <c r="I2186" s="78">
        <f>IF(ISBLANK(G2186),"",IF(D2186="Stock","0",Key!$A$3*H2186*G2186))</f>
        <v/>
      </c>
      <c r="J2186" s="78">
        <f>IF(ISBLANK(E2186),"",IF(ISNUMBER(SEARCH("/",E2186)), IF(LEN(E2186)-LEN(SUBSTITUTE(E2186,"/",""))=1,(RIGHT(E2186,LEN(E2186)-FIND("/",E2186)))-(LEFT(E2186,FIND("/",E2186)-1)),(MID(E2186, SEARCH("/",E2186) + 1, SEARCH("/",E2186, SEARCH("/",E2186)+1) - SEARCH("/",E2186) - 1))-(LEFT(E2186,FIND("/",E2186)-1))), "NA"))</f>
        <v/>
      </c>
      <c r="K2186" s="79">
        <f>IF(A2186&lt;&gt;"", IF(ISBLANK(L2186), TODAY(), K2186), "")</f>
        <v/>
      </c>
      <c r="L2186" s="78" t="n"/>
      <c r="M2186" s="78">
        <f>IF(ISBLANK(L2186),"",IF(D2186="Stock",IF(C2186="Buy",L2186*G2186,IF(C2186="Sell",(L2186*G2186)-I2186, X)),IF(C2186="Buy",(L2186*G2186*100)+I2186,IF(C2186="Sell",(L2186*G2186*100)-I2186, X))))</f>
        <v/>
      </c>
      <c r="N2186" s="78">
        <f>IF(ISBLANK(L2186),"",IF(AND(C2186="Sell",D2186="Stock"),M2186,IF(ISBLANK(L2186),"",IF(C2186="Buy",M2186, IF(AND(C2186="Sell",J2186="NA"),(E2186*G2186*100*0.1)+I2186, IF(C2186="Sell",(J2186-L2186)*(100*G2186)+I2186))))))</f>
        <v/>
      </c>
      <c r="O2186" s="75" t="n"/>
      <c r="P2186" s="75" t="n"/>
      <c r="Q2186" s="75">
        <f>IF(ISBLANK(P2186),"",IF(D2186="Stock",P2186*G2186,IF(P2186=0,"0",G2186*P2186*100-(G2186*$AF$14))))</f>
        <v/>
      </c>
      <c r="R2186" s="79">
        <f>IF(P2186&lt;&gt;"", TODAY(), "")</f>
        <v/>
      </c>
      <c r="S2186" s="78">
        <f>IF(AND(K2186&lt;&gt;"", R2186&lt;&gt;""), R2186-K2186, "")</f>
        <v/>
      </c>
      <c r="T2186" s="78" t="n"/>
      <c r="U2186" s="92">
        <f>IF(ISBLANK(P2186),"",IF(C2186="Buy",Q2186-M2186+T2186, IF(C2186="Sell",M2186-Q2186-T2186, X)))</f>
        <v/>
      </c>
      <c r="V2186" s="81">
        <f>IF(ISBLANK(P2186),"",U2186/N2186)</f>
        <v/>
      </c>
      <c r="W2186" s="81">
        <f>IF(ISBLANK(P2186),"",IF(S2186=0,(365/0.5)*V2186,(365/S2186)*V2186))</f>
        <v/>
      </c>
      <c r="X2186" s="75" t="n"/>
      <c r="Y2186" s="77" t="n"/>
      <c r="Z2186" s="77" t="n"/>
      <c r="AA2186" s="75" t="n"/>
      <c r="AB2186" s="75" t="n"/>
      <c r="AC2186" s="6" t="n"/>
      <c r="AD2186" s="75" t="n"/>
      <c r="AE2186" s="75" t="n"/>
      <c r="AF2186" s="75" t="n"/>
    </row>
    <row r="2187" ht="15.75" customHeight="1" s="133">
      <c r="A2187" s="75" t="n"/>
      <c r="B2187" s="75" t="n"/>
      <c r="C2187" s="75" t="n"/>
      <c r="D2187" s="75" t="n"/>
      <c r="E2187" s="76" t="n"/>
      <c r="F2187" s="77" t="n"/>
      <c r="G2187" s="75" t="n"/>
      <c r="H2187" s="75">
        <f>IF(ISBLANK(E2187),"",IF(OR(D2187="Butterfly",D2187="Butterfly ",D2187="Iron Fly", D2187="Iron Fly "),LEN(E2187)-LEN(SUBSTITUTE(E2187,"/",""))+2,LEN(E2187)-LEN(SUBSTITUTE(E2187,"/",""))+1))</f>
        <v/>
      </c>
      <c r="I2187" s="78">
        <f>IF(ISBLANK(G2187),"",IF(D2187="Stock","0",Key!$A$3*H2187*G2187))</f>
        <v/>
      </c>
      <c r="J2187" s="78">
        <f>IF(ISBLANK(E2187),"",IF(ISNUMBER(SEARCH("/",E2187)), IF(LEN(E2187)-LEN(SUBSTITUTE(E2187,"/",""))=1,(RIGHT(E2187,LEN(E2187)-FIND("/",E2187)))-(LEFT(E2187,FIND("/",E2187)-1)),(MID(E2187, SEARCH("/",E2187) + 1, SEARCH("/",E2187, SEARCH("/",E2187)+1) - SEARCH("/",E2187) - 1))-(LEFT(E2187,FIND("/",E2187)-1))), "NA"))</f>
        <v/>
      </c>
      <c r="K2187" s="79">
        <f>IF(A2187&lt;&gt;"", IF(ISBLANK(L2187), TODAY(), K2187), "")</f>
        <v/>
      </c>
      <c r="L2187" s="78" t="n"/>
      <c r="M2187" s="78">
        <f>IF(ISBLANK(L2187),"",IF(D2187="Stock",IF(C2187="Buy",L2187*G2187,IF(C2187="Sell",(L2187*G2187)-I2187, X)),IF(C2187="Buy",(L2187*G2187*100)+I2187,IF(C2187="Sell",(L2187*G2187*100)-I2187, X))))</f>
        <v/>
      </c>
      <c r="N2187" s="78">
        <f>IF(ISBLANK(L2187),"",IF(AND(C2187="Sell",D2187="Stock"),M2187,IF(ISBLANK(L2187),"",IF(C2187="Buy",M2187, IF(AND(C2187="Sell",J2187="NA"),(E2187*G2187*100*0.1)+I2187, IF(C2187="Sell",(J2187-L2187)*(100*G2187)+I2187))))))</f>
        <v/>
      </c>
      <c r="O2187" s="75" t="n"/>
      <c r="P2187" s="75" t="n"/>
      <c r="Q2187" s="75">
        <f>IF(ISBLANK(P2187),"",IF(D2187="Stock",P2187*G2187,IF(P2187=0,"0",G2187*P2187*100-(G2187*$AF$14))))</f>
        <v/>
      </c>
      <c r="R2187" s="79">
        <f>IF(P2187&lt;&gt;"", TODAY(), "")</f>
        <v/>
      </c>
      <c r="S2187" s="78">
        <f>IF(AND(K2187&lt;&gt;"", R2187&lt;&gt;""), R2187-K2187, "")</f>
        <v/>
      </c>
      <c r="T2187" s="78" t="n"/>
      <c r="U2187" s="92">
        <f>IF(ISBLANK(P2187),"",IF(C2187="Buy",Q2187-M2187+T2187, IF(C2187="Sell",M2187-Q2187-T2187, X)))</f>
        <v/>
      </c>
      <c r="V2187" s="81">
        <f>IF(ISBLANK(P2187),"",U2187/N2187)</f>
        <v/>
      </c>
      <c r="W2187" s="81">
        <f>IF(ISBLANK(P2187),"",IF(S2187=0,(365/0.5)*V2187,(365/S2187)*V2187))</f>
        <v/>
      </c>
      <c r="X2187" s="75" t="n"/>
      <c r="Y2187" s="77" t="n"/>
      <c r="Z2187" s="77" t="n"/>
      <c r="AA2187" s="75" t="n"/>
      <c r="AB2187" s="75" t="n"/>
      <c r="AC2187" s="6" t="n"/>
      <c r="AD2187" s="75" t="n"/>
      <c r="AE2187" s="75" t="n"/>
      <c r="AF2187" s="75" t="n"/>
    </row>
    <row r="2188" ht="15.75" customHeight="1" s="133">
      <c r="A2188" s="75" t="n"/>
      <c r="B2188" s="75" t="n"/>
      <c r="C2188" s="75" t="n"/>
      <c r="D2188" s="75" t="n"/>
      <c r="E2188" s="76" t="n"/>
      <c r="F2188" s="77" t="n"/>
      <c r="G2188" s="75" t="n"/>
      <c r="H2188" s="75">
        <f>IF(ISBLANK(E2188),"",IF(OR(D2188="Butterfly",D2188="Butterfly ",D2188="Iron Fly", D2188="Iron Fly "),LEN(E2188)-LEN(SUBSTITUTE(E2188,"/",""))+2,LEN(E2188)-LEN(SUBSTITUTE(E2188,"/",""))+1))</f>
        <v/>
      </c>
      <c r="I2188" s="78">
        <f>IF(ISBLANK(G2188),"",IF(D2188="Stock","0",Key!$A$3*H2188*G2188))</f>
        <v/>
      </c>
      <c r="J2188" s="78">
        <f>IF(ISBLANK(E2188),"",IF(ISNUMBER(SEARCH("/",E2188)), IF(LEN(E2188)-LEN(SUBSTITUTE(E2188,"/",""))=1,(RIGHT(E2188,LEN(E2188)-FIND("/",E2188)))-(LEFT(E2188,FIND("/",E2188)-1)),(MID(E2188, SEARCH("/",E2188) + 1, SEARCH("/",E2188, SEARCH("/",E2188)+1) - SEARCH("/",E2188) - 1))-(LEFT(E2188,FIND("/",E2188)-1))), "NA"))</f>
        <v/>
      </c>
      <c r="K2188" s="79">
        <f>IF(A2188&lt;&gt;"", IF(ISBLANK(L2188), TODAY(), K2188), "")</f>
        <v/>
      </c>
      <c r="L2188" s="78" t="n"/>
      <c r="M2188" s="78">
        <f>IF(ISBLANK(L2188),"",IF(D2188="Stock",IF(C2188="Buy",L2188*G2188,IF(C2188="Sell",(L2188*G2188)-I2188, X)),IF(C2188="Buy",(L2188*G2188*100)+I2188,IF(C2188="Sell",(L2188*G2188*100)-I2188, X))))</f>
        <v/>
      </c>
      <c r="N2188" s="78">
        <f>IF(ISBLANK(L2188),"",IF(AND(C2188="Sell",D2188="Stock"),M2188,IF(ISBLANK(L2188),"",IF(C2188="Buy",M2188, IF(AND(C2188="Sell",J2188="NA"),(E2188*G2188*100*0.1)+I2188, IF(C2188="Sell",(J2188-L2188)*(100*G2188)+I2188))))))</f>
        <v/>
      </c>
      <c r="O2188" s="75" t="n"/>
      <c r="P2188" s="75" t="n"/>
      <c r="Q2188" s="75">
        <f>IF(ISBLANK(P2188),"",IF(D2188="Stock",P2188*G2188,IF(P2188=0,"0",G2188*P2188*100-(G2188*$AF$14))))</f>
        <v/>
      </c>
      <c r="R2188" s="79">
        <f>IF(P2188&lt;&gt;"", TODAY(), "")</f>
        <v/>
      </c>
      <c r="S2188" s="78">
        <f>IF(AND(K2188&lt;&gt;"", R2188&lt;&gt;""), R2188-K2188, "")</f>
        <v/>
      </c>
      <c r="T2188" s="78" t="n"/>
      <c r="U2188" s="92">
        <f>IF(ISBLANK(P2188),"",IF(C2188="Buy",Q2188-M2188+T2188, IF(C2188="Sell",M2188-Q2188-T2188, X)))</f>
        <v/>
      </c>
      <c r="V2188" s="81">
        <f>IF(ISBLANK(P2188),"",U2188/N2188)</f>
        <v/>
      </c>
      <c r="W2188" s="81">
        <f>IF(ISBLANK(P2188),"",IF(S2188=0,(365/0.5)*V2188,(365/S2188)*V2188))</f>
        <v/>
      </c>
      <c r="X2188" s="75" t="n"/>
      <c r="Y2188" s="77" t="n"/>
      <c r="Z2188" s="77" t="n"/>
      <c r="AA2188" s="75" t="n"/>
      <c r="AB2188" s="75" t="n"/>
      <c r="AC2188" s="6" t="n"/>
      <c r="AD2188" s="75" t="n"/>
      <c r="AE2188" s="75" t="n"/>
      <c r="AF2188" s="75" t="n"/>
    </row>
    <row r="2189" ht="15.75" customHeight="1" s="133">
      <c r="A2189" s="75" t="n"/>
      <c r="B2189" s="75" t="n"/>
      <c r="C2189" s="75" t="n"/>
      <c r="D2189" s="75" t="n"/>
      <c r="E2189" s="76" t="n"/>
      <c r="F2189" s="77" t="n"/>
      <c r="G2189" s="75" t="n"/>
      <c r="H2189" s="75">
        <f>IF(ISBLANK(E2189),"",IF(OR(D2189="Butterfly",D2189="Butterfly ",D2189="Iron Fly", D2189="Iron Fly "),LEN(E2189)-LEN(SUBSTITUTE(E2189,"/",""))+2,LEN(E2189)-LEN(SUBSTITUTE(E2189,"/",""))+1))</f>
        <v/>
      </c>
      <c r="I2189" s="78">
        <f>IF(ISBLANK(G2189),"",IF(D2189="Stock","0",Key!$A$3*H2189*G2189))</f>
        <v/>
      </c>
      <c r="J2189" s="78">
        <f>IF(ISBLANK(E2189),"",IF(ISNUMBER(SEARCH("/",E2189)), IF(LEN(E2189)-LEN(SUBSTITUTE(E2189,"/",""))=1,(RIGHT(E2189,LEN(E2189)-FIND("/",E2189)))-(LEFT(E2189,FIND("/",E2189)-1)),(MID(E2189, SEARCH("/",E2189) + 1, SEARCH("/",E2189, SEARCH("/",E2189)+1) - SEARCH("/",E2189) - 1))-(LEFT(E2189,FIND("/",E2189)-1))), "NA"))</f>
        <v/>
      </c>
      <c r="K2189" s="79">
        <f>IF(A2189&lt;&gt;"", IF(ISBLANK(L2189), TODAY(), K2189), "")</f>
        <v/>
      </c>
      <c r="L2189" s="78" t="n"/>
      <c r="M2189" s="78">
        <f>IF(ISBLANK(L2189),"",IF(D2189="Stock",IF(C2189="Buy",L2189*G2189,IF(C2189="Sell",(L2189*G2189)-I2189, X)),IF(C2189="Buy",(L2189*G2189*100)+I2189,IF(C2189="Sell",(L2189*G2189*100)-I2189, X))))</f>
        <v/>
      </c>
      <c r="N2189" s="78">
        <f>IF(ISBLANK(L2189),"",IF(AND(C2189="Sell",D2189="Stock"),M2189,IF(ISBLANK(L2189),"",IF(C2189="Buy",M2189, IF(AND(C2189="Sell",J2189="NA"),(E2189*G2189*100*0.1)+I2189, IF(C2189="Sell",(J2189-L2189)*(100*G2189)+I2189))))))</f>
        <v/>
      </c>
      <c r="O2189" s="75" t="n"/>
      <c r="P2189" s="75" t="n"/>
      <c r="Q2189" s="75">
        <f>IF(ISBLANK(P2189),"",IF(D2189="Stock",P2189*G2189,IF(P2189=0,"0",G2189*P2189*100-(G2189*$AF$14))))</f>
        <v/>
      </c>
      <c r="R2189" s="79">
        <f>IF(P2189&lt;&gt;"", TODAY(), "")</f>
        <v/>
      </c>
      <c r="S2189" s="78">
        <f>IF(AND(K2189&lt;&gt;"", R2189&lt;&gt;""), R2189-K2189, "")</f>
        <v/>
      </c>
      <c r="T2189" s="78" t="n"/>
      <c r="U2189" s="92">
        <f>IF(ISBLANK(P2189),"",IF(C2189="Buy",Q2189-M2189+T2189, IF(C2189="Sell",M2189-Q2189-T2189, X)))</f>
        <v/>
      </c>
      <c r="V2189" s="81">
        <f>IF(ISBLANK(P2189),"",U2189/N2189)</f>
        <v/>
      </c>
      <c r="W2189" s="81">
        <f>IF(ISBLANK(P2189),"",IF(S2189=0,(365/0.5)*V2189,(365/S2189)*V2189))</f>
        <v/>
      </c>
      <c r="X2189" s="75" t="n"/>
      <c r="Y2189" s="77" t="n"/>
      <c r="Z2189" s="77" t="n"/>
      <c r="AA2189" s="75" t="n"/>
      <c r="AB2189" s="75" t="n"/>
      <c r="AC2189" s="6" t="n"/>
      <c r="AD2189" s="75" t="n"/>
      <c r="AE2189" s="75" t="n"/>
      <c r="AF2189" s="75" t="n"/>
    </row>
    <row r="2190" ht="15.75" customHeight="1" s="133">
      <c r="A2190" s="75" t="n"/>
      <c r="B2190" s="75" t="n"/>
      <c r="C2190" s="75" t="n"/>
      <c r="D2190" s="75" t="n"/>
      <c r="E2190" s="76" t="n"/>
      <c r="F2190" s="77" t="n"/>
      <c r="G2190" s="75" t="n"/>
      <c r="H2190" s="75">
        <f>IF(ISBLANK(E2190),"",IF(OR(D2190="Butterfly",D2190="Butterfly ",D2190="Iron Fly", D2190="Iron Fly "),LEN(E2190)-LEN(SUBSTITUTE(E2190,"/",""))+2,LEN(E2190)-LEN(SUBSTITUTE(E2190,"/",""))+1))</f>
        <v/>
      </c>
      <c r="I2190" s="78">
        <f>IF(ISBLANK(G2190),"",IF(D2190="Stock","0",Key!$A$3*H2190*G2190))</f>
        <v/>
      </c>
      <c r="J2190" s="78">
        <f>IF(ISBLANK(E2190),"",IF(ISNUMBER(SEARCH("/",E2190)), IF(LEN(E2190)-LEN(SUBSTITUTE(E2190,"/",""))=1,(RIGHT(E2190,LEN(E2190)-FIND("/",E2190)))-(LEFT(E2190,FIND("/",E2190)-1)),(MID(E2190, SEARCH("/",E2190) + 1, SEARCH("/",E2190, SEARCH("/",E2190)+1) - SEARCH("/",E2190) - 1))-(LEFT(E2190,FIND("/",E2190)-1))), "NA"))</f>
        <v/>
      </c>
      <c r="K2190" s="79">
        <f>IF(A2190&lt;&gt;"", IF(ISBLANK(L2190), TODAY(), K2190), "")</f>
        <v/>
      </c>
      <c r="L2190" s="78" t="n"/>
      <c r="M2190" s="78">
        <f>IF(ISBLANK(L2190),"",IF(D2190="Stock",IF(C2190="Buy",L2190*G2190,IF(C2190="Sell",(L2190*G2190)-I2190, X)),IF(C2190="Buy",(L2190*G2190*100)+I2190,IF(C2190="Sell",(L2190*G2190*100)-I2190, X))))</f>
        <v/>
      </c>
      <c r="N2190" s="78">
        <f>IF(ISBLANK(L2190),"",IF(AND(C2190="Sell",D2190="Stock"),M2190,IF(ISBLANK(L2190),"",IF(C2190="Buy",M2190, IF(AND(C2190="Sell",J2190="NA"),(E2190*G2190*100*0.1)+I2190, IF(C2190="Sell",(J2190-L2190)*(100*G2190)+I2190))))))</f>
        <v/>
      </c>
      <c r="O2190" s="75" t="n"/>
      <c r="P2190" s="75" t="n"/>
      <c r="Q2190" s="75">
        <f>IF(ISBLANK(P2190),"",IF(D2190="Stock",P2190*G2190,IF(P2190=0,"0",G2190*P2190*100-(G2190*$AF$14))))</f>
        <v/>
      </c>
      <c r="R2190" s="79">
        <f>IF(P2190&lt;&gt;"", TODAY(), "")</f>
        <v/>
      </c>
      <c r="S2190" s="78">
        <f>IF(AND(K2190&lt;&gt;"", R2190&lt;&gt;""), R2190-K2190, "")</f>
        <v/>
      </c>
      <c r="T2190" s="78" t="n"/>
      <c r="U2190" s="92">
        <f>IF(ISBLANK(P2190),"",IF(C2190="Buy",Q2190-M2190+T2190, IF(C2190="Sell",M2190-Q2190-T2190, X)))</f>
        <v/>
      </c>
      <c r="V2190" s="81">
        <f>IF(ISBLANK(P2190),"",U2190/N2190)</f>
        <v/>
      </c>
      <c r="W2190" s="81">
        <f>IF(ISBLANK(P2190),"",IF(S2190=0,(365/0.5)*V2190,(365/S2190)*V2190))</f>
        <v/>
      </c>
      <c r="X2190" s="75" t="n"/>
      <c r="Y2190" s="77" t="n"/>
      <c r="Z2190" s="77" t="n"/>
      <c r="AA2190" s="75" t="n"/>
      <c r="AB2190" s="75" t="n"/>
      <c r="AC2190" s="6" t="n"/>
      <c r="AD2190" s="75" t="n"/>
      <c r="AE2190" s="75" t="n"/>
      <c r="AF2190" s="75" t="n"/>
    </row>
    <row r="2191" ht="15.75" customHeight="1" s="133">
      <c r="A2191" s="75" t="n"/>
      <c r="B2191" s="75" t="n"/>
      <c r="C2191" s="75" t="n"/>
      <c r="D2191" s="75" t="n"/>
      <c r="E2191" s="76" t="n"/>
      <c r="F2191" s="77" t="n"/>
      <c r="G2191" s="75" t="n"/>
      <c r="H2191" s="75">
        <f>IF(ISBLANK(E2191),"",IF(OR(D2191="Butterfly",D2191="Butterfly ",D2191="Iron Fly", D2191="Iron Fly "),LEN(E2191)-LEN(SUBSTITUTE(E2191,"/",""))+2,LEN(E2191)-LEN(SUBSTITUTE(E2191,"/",""))+1))</f>
        <v/>
      </c>
      <c r="I2191" s="78">
        <f>IF(ISBLANK(G2191),"",IF(D2191="Stock","0",Key!$A$3*H2191*G2191))</f>
        <v/>
      </c>
      <c r="J2191" s="78">
        <f>IF(ISBLANK(E2191),"",IF(ISNUMBER(SEARCH("/",E2191)), IF(LEN(E2191)-LEN(SUBSTITUTE(E2191,"/",""))=1,(RIGHT(E2191,LEN(E2191)-FIND("/",E2191)))-(LEFT(E2191,FIND("/",E2191)-1)),(MID(E2191, SEARCH("/",E2191) + 1, SEARCH("/",E2191, SEARCH("/",E2191)+1) - SEARCH("/",E2191) - 1))-(LEFT(E2191,FIND("/",E2191)-1))), "NA"))</f>
        <v/>
      </c>
      <c r="K2191" s="79">
        <f>IF(A2191&lt;&gt;"", IF(ISBLANK(L2191), TODAY(), K2191), "")</f>
        <v/>
      </c>
      <c r="L2191" s="78" t="n"/>
      <c r="M2191" s="78">
        <f>IF(ISBLANK(L2191),"",IF(D2191="Stock",IF(C2191="Buy",L2191*G2191,IF(C2191="Sell",(L2191*G2191)-I2191, X)),IF(C2191="Buy",(L2191*G2191*100)+I2191,IF(C2191="Sell",(L2191*G2191*100)-I2191, X))))</f>
        <v/>
      </c>
      <c r="N2191" s="78">
        <f>IF(ISBLANK(L2191),"",IF(AND(C2191="Sell",D2191="Stock"),M2191,IF(ISBLANK(L2191),"",IF(C2191="Buy",M2191, IF(AND(C2191="Sell",J2191="NA"),(E2191*G2191*100*0.1)+I2191, IF(C2191="Sell",(J2191-L2191)*(100*G2191)+I2191))))))</f>
        <v/>
      </c>
      <c r="O2191" s="75" t="n"/>
      <c r="P2191" s="75" t="n"/>
      <c r="Q2191" s="75">
        <f>IF(ISBLANK(P2191),"",IF(D2191="Stock",P2191*G2191,IF(P2191=0,"0",G2191*P2191*100-(G2191*$AF$14))))</f>
        <v/>
      </c>
      <c r="R2191" s="79">
        <f>IF(P2191&lt;&gt;"", TODAY(), "")</f>
        <v/>
      </c>
      <c r="S2191" s="78">
        <f>IF(AND(K2191&lt;&gt;"", R2191&lt;&gt;""), R2191-K2191, "")</f>
        <v/>
      </c>
      <c r="T2191" s="78" t="n"/>
      <c r="U2191" s="92">
        <f>IF(ISBLANK(P2191),"",IF(C2191="Buy",Q2191-M2191+T2191, IF(C2191="Sell",M2191-Q2191-T2191, X)))</f>
        <v/>
      </c>
      <c r="V2191" s="81">
        <f>IF(ISBLANK(P2191),"",U2191/N2191)</f>
        <v/>
      </c>
      <c r="W2191" s="81">
        <f>IF(ISBLANK(P2191),"",IF(S2191=0,(365/0.5)*V2191,(365/S2191)*V2191))</f>
        <v/>
      </c>
      <c r="X2191" s="75" t="n"/>
      <c r="Y2191" s="77" t="n"/>
      <c r="Z2191" s="77" t="n"/>
      <c r="AA2191" s="75" t="n"/>
      <c r="AB2191" s="75" t="n"/>
      <c r="AC2191" s="6" t="n"/>
      <c r="AD2191" s="75" t="n"/>
      <c r="AE2191" s="75" t="n"/>
      <c r="AF2191" s="75" t="n"/>
    </row>
    <row r="2192" ht="15.75" customHeight="1" s="133">
      <c r="A2192" s="75" t="n"/>
      <c r="B2192" s="75" t="n"/>
      <c r="C2192" s="75" t="n"/>
      <c r="D2192" s="75" t="n"/>
      <c r="E2192" s="76" t="n"/>
      <c r="F2192" s="77" t="n"/>
      <c r="G2192" s="75" t="n"/>
      <c r="H2192" s="75">
        <f>IF(ISBLANK(E2192),"",IF(OR(D2192="Butterfly",D2192="Butterfly ",D2192="Iron Fly", D2192="Iron Fly "),LEN(E2192)-LEN(SUBSTITUTE(E2192,"/",""))+2,LEN(E2192)-LEN(SUBSTITUTE(E2192,"/",""))+1))</f>
        <v/>
      </c>
      <c r="I2192" s="78">
        <f>IF(ISBLANK(G2192),"",IF(D2192="Stock","0",Key!$A$3*H2192*G2192))</f>
        <v/>
      </c>
      <c r="J2192" s="78">
        <f>IF(ISBLANK(E2192),"",IF(ISNUMBER(SEARCH("/",E2192)), IF(LEN(E2192)-LEN(SUBSTITUTE(E2192,"/",""))=1,(RIGHT(E2192,LEN(E2192)-FIND("/",E2192)))-(LEFT(E2192,FIND("/",E2192)-1)),(MID(E2192, SEARCH("/",E2192) + 1, SEARCH("/",E2192, SEARCH("/",E2192)+1) - SEARCH("/",E2192) - 1))-(LEFT(E2192,FIND("/",E2192)-1))), "NA"))</f>
        <v/>
      </c>
      <c r="K2192" s="79">
        <f>IF(A2192&lt;&gt;"", IF(ISBLANK(L2192), TODAY(), K2192), "")</f>
        <v/>
      </c>
      <c r="L2192" s="78" t="n"/>
      <c r="M2192" s="78">
        <f>IF(ISBLANK(L2192),"",IF(D2192="Stock",IF(C2192="Buy",L2192*G2192,IF(C2192="Sell",(L2192*G2192)-I2192, X)),IF(C2192="Buy",(L2192*G2192*100)+I2192,IF(C2192="Sell",(L2192*G2192*100)-I2192, X))))</f>
        <v/>
      </c>
      <c r="N2192" s="78">
        <f>IF(ISBLANK(L2192),"",IF(AND(C2192="Sell",D2192="Stock"),M2192,IF(ISBLANK(L2192),"",IF(C2192="Buy",M2192, IF(AND(C2192="Sell",J2192="NA"),(E2192*G2192*100*0.1)+I2192, IF(C2192="Sell",(J2192-L2192)*(100*G2192)+I2192))))))</f>
        <v/>
      </c>
      <c r="O2192" s="75" t="n"/>
      <c r="P2192" s="75" t="n"/>
      <c r="Q2192" s="75">
        <f>IF(ISBLANK(P2192),"",IF(D2192="Stock",P2192*G2192,IF(P2192=0,"0",G2192*P2192*100-(G2192*$AF$14))))</f>
        <v/>
      </c>
      <c r="R2192" s="79">
        <f>IF(P2192&lt;&gt;"", TODAY(), "")</f>
        <v/>
      </c>
      <c r="S2192" s="78">
        <f>IF(AND(K2192&lt;&gt;"", R2192&lt;&gt;""), R2192-K2192, "")</f>
        <v/>
      </c>
      <c r="T2192" s="78" t="n"/>
      <c r="U2192" s="92">
        <f>IF(ISBLANK(P2192),"",IF(C2192="Buy",Q2192-M2192+T2192, IF(C2192="Sell",M2192-Q2192-T2192, X)))</f>
        <v/>
      </c>
      <c r="V2192" s="81">
        <f>IF(ISBLANK(P2192),"",U2192/N2192)</f>
        <v/>
      </c>
      <c r="W2192" s="81">
        <f>IF(ISBLANK(P2192),"",IF(S2192=0,(365/0.5)*V2192,(365/S2192)*V2192))</f>
        <v/>
      </c>
      <c r="X2192" s="75" t="n"/>
      <c r="Y2192" s="77" t="n"/>
      <c r="Z2192" s="77" t="n"/>
      <c r="AA2192" s="75" t="n"/>
      <c r="AB2192" s="75" t="n"/>
      <c r="AC2192" s="6" t="n"/>
      <c r="AD2192" s="75" t="n"/>
      <c r="AE2192" s="75" t="n"/>
      <c r="AF2192" s="75" t="n"/>
    </row>
    <row r="2193" ht="15.75" customHeight="1" s="133">
      <c r="A2193" s="75" t="n"/>
      <c r="B2193" s="75" t="n"/>
      <c r="C2193" s="75" t="n"/>
      <c r="D2193" s="75" t="n"/>
      <c r="E2193" s="76" t="n"/>
      <c r="F2193" s="77" t="n"/>
      <c r="G2193" s="75" t="n"/>
      <c r="H2193" s="75">
        <f>IF(ISBLANK(E2193),"",IF(OR(D2193="Butterfly",D2193="Butterfly ",D2193="Iron Fly", D2193="Iron Fly "),LEN(E2193)-LEN(SUBSTITUTE(E2193,"/",""))+2,LEN(E2193)-LEN(SUBSTITUTE(E2193,"/",""))+1))</f>
        <v/>
      </c>
      <c r="I2193" s="78">
        <f>IF(ISBLANK(G2193),"",IF(D2193="Stock","0",Key!$A$3*H2193*G2193))</f>
        <v/>
      </c>
      <c r="J2193" s="78">
        <f>IF(ISBLANK(E2193),"",IF(ISNUMBER(SEARCH("/",E2193)), IF(LEN(E2193)-LEN(SUBSTITUTE(E2193,"/",""))=1,(RIGHT(E2193,LEN(E2193)-FIND("/",E2193)))-(LEFT(E2193,FIND("/",E2193)-1)),(MID(E2193, SEARCH("/",E2193) + 1, SEARCH("/",E2193, SEARCH("/",E2193)+1) - SEARCH("/",E2193) - 1))-(LEFT(E2193,FIND("/",E2193)-1))), "NA"))</f>
        <v/>
      </c>
      <c r="K2193" s="79">
        <f>IF(A2193&lt;&gt;"", IF(ISBLANK(L2193), TODAY(), K2193), "")</f>
        <v/>
      </c>
      <c r="L2193" s="78" t="n"/>
      <c r="M2193" s="78">
        <f>IF(ISBLANK(L2193),"",IF(D2193="Stock",IF(C2193="Buy",L2193*G2193,IF(C2193="Sell",(L2193*G2193)-I2193, X)),IF(C2193="Buy",(L2193*G2193*100)+I2193,IF(C2193="Sell",(L2193*G2193*100)-I2193, X))))</f>
        <v/>
      </c>
      <c r="N2193" s="78">
        <f>IF(ISBLANK(L2193),"",IF(AND(C2193="Sell",D2193="Stock"),M2193,IF(ISBLANK(L2193),"",IF(C2193="Buy",M2193, IF(AND(C2193="Sell",J2193="NA"),(E2193*G2193*100*0.1)+I2193, IF(C2193="Sell",(J2193-L2193)*(100*G2193)+I2193))))))</f>
        <v/>
      </c>
      <c r="O2193" s="75" t="n"/>
      <c r="P2193" s="75" t="n"/>
      <c r="Q2193" s="75">
        <f>IF(ISBLANK(P2193),"",IF(D2193="Stock",P2193*G2193,IF(P2193=0,"0",G2193*P2193*100-(G2193*$AF$14))))</f>
        <v/>
      </c>
      <c r="R2193" s="79">
        <f>IF(P2193&lt;&gt;"", TODAY(), "")</f>
        <v/>
      </c>
      <c r="S2193" s="78">
        <f>IF(AND(K2193&lt;&gt;"", R2193&lt;&gt;""), R2193-K2193, "")</f>
        <v/>
      </c>
      <c r="T2193" s="78" t="n"/>
      <c r="U2193" s="92">
        <f>IF(ISBLANK(P2193),"",IF(C2193="Buy",Q2193-M2193+T2193, IF(C2193="Sell",M2193-Q2193-T2193, X)))</f>
        <v/>
      </c>
      <c r="V2193" s="81">
        <f>IF(ISBLANK(P2193),"",U2193/N2193)</f>
        <v/>
      </c>
      <c r="W2193" s="81">
        <f>IF(ISBLANK(P2193),"",IF(S2193=0,(365/0.5)*V2193,(365/S2193)*V2193))</f>
        <v/>
      </c>
      <c r="X2193" s="75" t="n"/>
      <c r="Y2193" s="77" t="n"/>
      <c r="Z2193" s="77" t="n"/>
      <c r="AA2193" s="75" t="n"/>
      <c r="AB2193" s="75" t="n"/>
      <c r="AC2193" s="6" t="n"/>
      <c r="AD2193" s="75" t="n"/>
      <c r="AE2193" s="75" t="n"/>
      <c r="AF2193" s="75" t="n"/>
    </row>
    <row r="2194" ht="15.75" customHeight="1" s="133">
      <c r="A2194" s="75" t="n"/>
      <c r="B2194" s="75" t="n"/>
      <c r="C2194" s="75" t="n"/>
      <c r="D2194" s="75" t="n"/>
      <c r="E2194" s="76" t="n"/>
      <c r="F2194" s="77" t="n"/>
      <c r="G2194" s="75" t="n"/>
      <c r="H2194" s="75">
        <f>IF(ISBLANK(E2194),"",IF(OR(D2194="Butterfly",D2194="Butterfly ",D2194="Iron Fly", D2194="Iron Fly "),LEN(E2194)-LEN(SUBSTITUTE(E2194,"/",""))+2,LEN(E2194)-LEN(SUBSTITUTE(E2194,"/",""))+1))</f>
        <v/>
      </c>
      <c r="I2194" s="78">
        <f>IF(ISBLANK(G2194),"",IF(D2194="Stock","0",Key!$A$3*H2194*G2194))</f>
        <v/>
      </c>
      <c r="J2194" s="78">
        <f>IF(ISBLANK(E2194),"",IF(ISNUMBER(SEARCH("/",E2194)), IF(LEN(E2194)-LEN(SUBSTITUTE(E2194,"/",""))=1,(RIGHT(E2194,LEN(E2194)-FIND("/",E2194)))-(LEFT(E2194,FIND("/",E2194)-1)),(MID(E2194, SEARCH("/",E2194) + 1, SEARCH("/",E2194, SEARCH("/",E2194)+1) - SEARCH("/",E2194) - 1))-(LEFT(E2194,FIND("/",E2194)-1))), "NA"))</f>
        <v/>
      </c>
      <c r="K2194" s="79">
        <f>IF(A2194&lt;&gt;"", IF(ISBLANK(L2194), TODAY(), K2194), "")</f>
        <v/>
      </c>
      <c r="L2194" s="78" t="n"/>
      <c r="M2194" s="78">
        <f>IF(ISBLANK(L2194),"",IF(D2194="Stock",IF(C2194="Buy",L2194*G2194,IF(C2194="Sell",(L2194*G2194)-I2194, X)),IF(C2194="Buy",(L2194*G2194*100)+I2194,IF(C2194="Sell",(L2194*G2194*100)-I2194, X))))</f>
        <v/>
      </c>
      <c r="N2194" s="78">
        <f>IF(ISBLANK(L2194),"",IF(AND(C2194="Sell",D2194="Stock"),M2194,IF(ISBLANK(L2194),"",IF(C2194="Buy",M2194, IF(AND(C2194="Sell",J2194="NA"),(E2194*G2194*100*0.1)+I2194, IF(C2194="Sell",(J2194-L2194)*(100*G2194)+I2194))))))</f>
        <v/>
      </c>
      <c r="O2194" s="75" t="n"/>
      <c r="P2194" s="75" t="n"/>
      <c r="Q2194" s="75">
        <f>IF(ISBLANK(P2194),"",IF(D2194="Stock",P2194*G2194,IF(P2194=0,"0",G2194*P2194*100-(G2194*$AF$14))))</f>
        <v/>
      </c>
      <c r="R2194" s="79">
        <f>IF(P2194&lt;&gt;"", TODAY(), "")</f>
        <v/>
      </c>
      <c r="S2194" s="78">
        <f>IF(AND(K2194&lt;&gt;"", R2194&lt;&gt;""), R2194-K2194, "")</f>
        <v/>
      </c>
      <c r="T2194" s="78" t="n"/>
      <c r="U2194" s="92">
        <f>IF(ISBLANK(P2194),"",IF(C2194="Buy",Q2194-M2194+T2194, IF(C2194="Sell",M2194-Q2194-T2194, X)))</f>
        <v/>
      </c>
      <c r="V2194" s="81">
        <f>IF(ISBLANK(P2194),"",U2194/N2194)</f>
        <v/>
      </c>
      <c r="W2194" s="81">
        <f>IF(ISBLANK(P2194),"",IF(S2194=0,(365/0.5)*V2194,(365/S2194)*V2194))</f>
        <v/>
      </c>
      <c r="X2194" s="75" t="n"/>
      <c r="Y2194" s="77" t="n"/>
      <c r="Z2194" s="77" t="n"/>
      <c r="AA2194" s="75" t="n"/>
      <c r="AB2194" s="75" t="n"/>
      <c r="AC2194" s="6" t="n"/>
      <c r="AD2194" s="75" t="n"/>
      <c r="AE2194" s="75" t="n"/>
      <c r="AF2194" s="75" t="n"/>
    </row>
    <row r="2195" ht="15.75" customHeight="1" s="133">
      <c r="A2195" s="75" t="n"/>
      <c r="B2195" s="75" t="n"/>
      <c r="C2195" s="75" t="n"/>
      <c r="D2195" s="75" t="n"/>
      <c r="E2195" s="76" t="n"/>
      <c r="F2195" s="77" t="n"/>
      <c r="G2195" s="75" t="n"/>
      <c r="H2195" s="75">
        <f>IF(ISBLANK(E2195),"",IF(OR(D2195="Butterfly",D2195="Butterfly ",D2195="Iron Fly", D2195="Iron Fly "),LEN(E2195)-LEN(SUBSTITUTE(E2195,"/",""))+2,LEN(E2195)-LEN(SUBSTITUTE(E2195,"/",""))+1))</f>
        <v/>
      </c>
      <c r="I2195" s="78">
        <f>IF(ISBLANK(G2195),"",IF(D2195="Stock","0",Key!$A$3*H2195*G2195))</f>
        <v/>
      </c>
      <c r="J2195" s="78">
        <f>IF(ISBLANK(E2195),"",IF(ISNUMBER(SEARCH("/",E2195)), IF(LEN(E2195)-LEN(SUBSTITUTE(E2195,"/",""))=1,(RIGHT(E2195,LEN(E2195)-FIND("/",E2195)))-(LEFT(E2195,FIND("/",E2195)-1)),(MID(E2195, SEARCH("/",E2195) + 1, SEARCH("/",E2195, SEARCH("/",E2195)+1) - SEARCH("/",E2195) - 1))-(LEFT(E2195,FIND("/",E2195)-1))), "NA"))</f>
        <v/>
      </c>
      <c r="K2195" s="79">
        <f>IF(A2195&lt;&gt;"", IF(ISBLANK(L2195), TODAY(), K2195), "")</f>
        <v/>
      </c>
      <c r="L2195" s="78" t="n"/>
      <c r="M2195" s="78">
        <f>IF(ISBLANK(L2195),"",IF(D2195="Stock",IF(C2195="Buy",L2195*G2195,IF(C2195="Sell",(L2195*G2195)-I2195, X)),IF(C2195="Buy",(L2195*G2195*100)+I2195,IF(C2195="Sell",(L2195*G2195*100)-I2195, X))))</f>
        <v/>
      </c>
      <c r="N2195" s="78">
        <f>IF(ISBLANK(L2195),"",IF(AND(C2195="Sell",D2195="Stock"),M2195,IF(ISBLANK(L2195),"",IF(C2195="Buy",M2195, IF(AND(C2195="Sell",J2195="NA"),(E2195*G2195*100*0.1)+I2195, IF(C2195="Sell",(J2195-L2195)*(100*G2195)+I2195))))))</f>
        <v/>
      </c>
      <c r="O2195" s="75" t="n"/>
      <c r="P2195" s="75" t="n"/>
      <c r="Q2195" s="75">
        <f>IF(ISBLANK(P2195),"",IF(D2195="Stock",P2195*G2195,IF(P2195=0,"0",G2195*P2195*100-(G2195*$AF$14))))</f>
        <v/>
      </c>
      <c r="R2195" s="79">
        <f>IF(P2195&lt;&gt;"", TODAY(), "")</f>
        <v/>
      </c>
      <c r="S2195" s="78">
        <f>IF(AND(K2195&lt;&gt;"", R2195&lt;&gt;""), R2195-K2195, "")</f>
        <v/>
      </c>
      <c r="T2195" s="78" t="n"/>
      <c r="U2195" s="92">
        <f>IF(ISBLANK(P2195),"",IF(C2195="Buy",Q2195-M2195+T2195, IF(C2195="Sell",M2195-Q2195-T2195, X)))</f>
        <v/>
      </c>
      <c r="V2195" s="81">
        <f>IF(ISBLANK(P2195),"",U2195/N2195)</f>
        <v/>
      </c>
      <c r="W2195" s="81">
        <f>IF(ISBLANK(P2195),"",IF(S2195=0,(365/0.5)*V2195,(365/S2195)*V2195))</f>
        <v/>
      </c>
      <c r="X2195" s="75" t="n"/>
      <c r="Y2195" s="77" t="n"/>
      <c r="Z2195" s="77" t="n"/>
      <c r="AA2195" s="75" t="n"/>
      <c r="AB2195" s="75" t="n"/>
      <c r="AC2195" s="6" t="n"/>
      <c r="AD2195" s="75" t="n"/>
      <c r="AE2195" s="75" t="n"/>
      <c r="AF2195" s="75" t="n"/>
    </row>
    <row r="2196" ht="15.75" customHeight="1" s="133">
      <c r="A2196" s="75" t="n"/>
      <c r="B2196" s="75" t="n"/>
      <c r="C2196" s="75" t="n"/>
      <c r="D2196" s="75" t="n"/>
      <c r="E2196" s="76" t="n"/>
      <c r="F2196" s="77" t="n"/>
      <c r="G2196" s="75" t="n"/>
      <c r="H2196" s="75">
        <f>IF(ISBLANK(E2196),"",IF(OR(D2196="Butterfly",D2196="Butterfly ",D2196="Iron Fly", D2196="Iron Fly "),LEN(E2196)-LEN(SUBSTITUTE(E2196,"/",""))+2,LEN(E2196)-LEN(SUBSTITUTE(E2196,"/",""))+1))</f>
        <v/>
      </c>
      <c r="I2196" s="78">
        <f>IF(ISBLANK(G2196),"",IF(D2196="Stock","0",Key!$A$3*H2196*G2196))</f>
        <v/>
      </c>
      <c r="J2196" s="78">
        <f>IF(ISBLANK(E2196),"",IF(ISNUMBER(SEARCH("/",E2196)), IF(LEN(E2196)-LEN(SUBSTITUTE(E2196,"/",""))=1,(RIGHT(E2196,LEN(E2196)-FIND("/",E2196)))-(LEFT(E2196,FIND("/",E2196)-1)),(MID(E2196, SEARCH("/",E2196) + 1, SEARCH("/",E2196, SEARCH("/",E2196)+1) - SEARCH("/",E2196) - 1))-(LEFT(E2196,FIND("/",E2196)-1))), "NA"))</f>
        <v/>
      </c>
      <c r="K2196" s="79">
        <f>IF(A2196&lt;&gt;"", IF(ISBLANK(L2196), TODAY(), K2196), "")</f>
        <v/>
      </c>
      <c r="L2196" s="78" t="n"/>
      <c r="M2196" s="78">
        <f>IF(ISBLANK(L2196),"",IF(D2196="Stock",IF(C2196="Buy",L2196*G2196,IF(C2196="Sell",(L2196*G2196)-I2196, X)),IF(C2196="Buy",(L2196*G2196*100)+I2196,IF(C2196="Sell",(L2196*G2196*100)-I2196, X))))</f>
        <v/>
      </c>
      <c r="N2196" s="78">
        <f>IF(ISBLANK(L2196),"",IF(AND(C2196="Sell",D2196="Stock"),M2196,IF(ISBLANK(L2196),"",IF(C2196="Buy",M2196, IF(AND(C2196="Sell",J2196="NA"),(E2196*G2196*100*0.1)+I2196, IF(C2196="Sell",(J2196-L2196)*(100*G2196)+I2196))))))</f>
        <v/>
      </c>
      <c r="O2196" s="75" t="n"/>
      <c r="P2196" s="75" t="n"/>
      <c r="Q2196" s="75">
        <f>IF(ISBLANK(P2196),"",IF(D2196="Stock",P2196*G2196,IF(P2196=0,"0",G2196*P2196*100-(G2196*$AF$14))))</f>
        <v/>
      </c>
      <c r="R2196" s="79">
        <f>IF(P2196&lt;&gt;"", TODAY(), "")</f>
        <v/>
      </c>
      <c r="S2196" s="78">
        <f>IF(AND(K2196&lt;&gt;"", R2196&lt;&gt;""), R2196-K2196, "")</f>
        <v/>
      </c>
      <c r="T2196" s="78" t="n"/>
      <c r="U2196" s="92">
        <f>IF(ISBLANK(P2196),"",IF(C2196="Buy",Q2196-M2196+T2196, IF(C2196="Sell",M2196-Q2196-T2196, X)))</f>
        <v/>
      </c>
      <c r="V2196" s="81">
        <f>IF(ISBLANK(P2196),"",U2196/N2196)</f>
        <v/>
      </c>
      <c r="W2196" s="81">
        <f>IF(ISBLANK(P2196),"",IF(S2196=0,(365/0.5)*V2196,(365/S2196)*V2196))</f>
        <v/>
      </c>
      <c r="X2196" s="75" t="n"/>
      <c r="Y2196" s="77" t="n"/>
      <c r="Z2196" s="77" t="n"/>
      <c r="AA2196" s="75" t="n"/>
      <c r="AB2196" s="75" t="n"/>
      <c r="AC2196" s="6" t="n"/>
      <c r="AD2196" s="75" t="n"/>
      <c r="AE2196" s="75" t="n"/>
      <c r="AF2196" s="75" t="n"/>
    </row>
    <row r="2197" ht="15.75" customHeight="1" s="133">
      <c r="A2197" s="75" t="n"/>
      <c r="B2197" s="75" t="n"/>
      <c r="C2197" s="75" t="n"/>
      <c r="D2197" s="75" t="n"/>
      <c r="E2197" s="76" t="n"/>
      <c r="F2197" s="77" t="n"/>
      <c r="G2197" s="75" t="n"/>
      <c r="H2197" s="75">
        <f>IF(ISBLANK(E2197),"",IF(OR(D2197="Butterfly",D2197="Butterfly ",D2197="Iron Fly", D2197="Iron Fly "),LEN(E2197)-LEN(SUBSTITUTE(E2197,"/",""))+2,LEN(E2197)-LEN(SUBSTITUTE(E2197,"/",""))+1))</f>
        <v/>
      </c>
      <c r="I2197" s="78">
        <f>IF(ISBLANK(G2197),"",IF(D2197="Stock","0",Key!$A$3*H2197*G2197))</f>
        <v/>
      </c>
      <c r="J2197" s="78">
        <f>IF(ISBLANK(E2197),"",IF(ISNUMBER(SEARCH("/",E2197)), IF(LEN(E2197)-LEN(SUBSTITUTE(E2197,"/",""))=1,(RIGHT(E2197,LEN(E2197)-FIND("/",E2197)))-(LEFT(E2197,FIND("/",E2197)-1)),(MID(E2197, SEARCH("/",E2197) + 1, SEARCH("/",E2197, SEARCH("/",E2197)+1) - SEARCH("/",E2197) - 1))-(LEFT(E2197,FIND("/",E2197)-1))), "NA"))</f>
        <v/>
      </c>
      <c r="K2197" s="79">
        <f>IF(A2197&lt;&gt;"", IF(ISBLANK(L2197), TODAY(), K2197), "")</f>
        <v/>
      </c>
      <c r="L2197" s="78" t="n"/>
      <c r="M2197" s="78">
        <f>IF(ISBLANK(L2197),"",IF(D2197="Stock",IF(C2197="Buy",L2197*G2197,IF(C2197="Sell",(L2197*G2197)-I2197, X)),IF(C2197="Buy",(L2197*G2197*100)+I2197,IF(C2197="Sell",(L2197*G2197*100)-I2197, X))))</f>
        <v/>
      </c>
      <c r="N2197" s="78">
        <f>IF(ISBLANK(L2197),"",IF(AND(C2197="Sell",D2197="Stock"),M2197,IF(ISBLANK(L2197),"",IF(C2197="Buy",M2197, IF(AND(C2197="Sell",J2197="NA"),(E2197*G2197*100*0.1)+I2197, IF(C2197="Sell",(J2197-L2197)*(100*G2197)+I2197))))))</f>
        <v/>
      </c>
      <c r="O2197" s="75" t="n"/>
      <c r="P2197" s="75" t="n"/>
      <c r="Q2197" s="75">
        <f>IF(ISBLANK(P2197),"",IF(D2197="Stock",P2197*G2197,IF(P2197=0,"0",G2197*P2197*100-(G2197*$AF$14))))</f>
        <v/>
      </c>
      <c r="R2197" s="79">
        <f>IF(P2197&lt;&gt;"", TODAY(), "")</f>
        <v/>
      </c>
      <c r="S2197" s="78">
        <f>IF(AND(K2197&lt;&gt;"", R2197&lt;&gt;""), R2197-K2197, "")</f>
        <v/>
      </c>
      <c r="T2197" s="78" t="n"/>
      <c r="U2197" s="92">
        <f>IF(ISBLANK(P2197),"",IF(C2197="Buy",Q2197-M2197+T2197, IF(C2197="Sell",M2197-Q2197-T2197, X)))</f>
        <v/>
      </c>
      <c r="V2197" s="81">
        <f>IF(ISBLANK(P2197),"",U2197/N2197)</f>
        <v/>
      </c>
      <c r="W2197" s="81">
        <f>IF(ISBLANK(P2197),"",IF(S2197=0,(365/0.5)*V2197,(365/S2197)*V2197))</f>
        <v/>
      </c>
      <c r="X2197" s="75" t="n"/>
      <c r="Y2197" s="77" t="n"/>
      <c r="Z2197" s="77" t="n"/>
      <c r="AA2197" s="75" t="n"/>
      <c r="AB2197" s="75" t="n"/>
      <c r="AC2197" s="6" t="n"/>
      <c r="AD2197" s="75" t="n"/>
      <c r="AE2197" s="75" t="n"/>
      <c r="AF2197" s="75" t="n"/>
    </row>
    <row r="2198" ht="15.75" customHeight="1" s="133">
      <c r="A2198" s="75" t="n"/>
      <c r="B2198" s="75" t="n"/>
      <c r="C2198" s="75" t="n"/>
      <c r="D2198" s="75" t="n"/>
      <c r="E2198" s="76" t="n"/>
      <c r="F2198" s="77" t="n"/>
      <c r="G2198" s="75" t="n"/>
      <c r="H2198" s="75">
        <f>IF(ISBLANK(E2198),"",IF(OR(D2198="Butterfly",D2198="Butterfly ",D2198="Iron Fly", D2198="Iron Fly "),LEN(E2198)-LEN(SUBSTITUTE(E2198,"/",""))+2,LEN(E2198)-LEN(SUBSTITUTE(E2198,"/",""))+1))</f>
        <v/>
      </c>
      <c r="I2198" s="78">
        <f>IF(ISBLANK(G2198),"",IF(D2198="Stock","0",Key!$A$3*H2198*G2198))</f>
        <v/>
      </c>
      <c r="J2198" s="78">
        <f>IF(ISBLANK(E2198),"",IF(ISNUMBER(SEARCH("/",E2198)), IF(LEN(E2198)-LEN(SUBSTITUTE(E2198,"/",""))=1,(RIGHT(E2198,LEN(E2198)-FIND("/",E2198)))-(LEFT(E2198,FIND("/",E2198)-1)),(MID(E2198, SEARCH("/",E2198) + 1, SEARCH("/",E2198, SEARCH("/",E2198)+1) - SEARCH("/",E2198) - 1))-(LEFT(E2198,FIND("/",E2198)-1))), "NA"))</f>
        <v/>
      </c>
      <c r="K2198" s="79">
        <f>IF(A2198&lt;&gt;"", IF(ISBLANK(L2198), TODAY(), K2198), "")</f>
        <v/>
      </c>
      <c r="L2198" s="78" t="n"/>
      <c r="M2198" s="78">
        <f>IF(ISBLANK(L2198),"",IF(D2198="Stock",IF(C2198="Buy",L2198*G2198,IF(C2198="Sell",(L2198*G2198)-I2198, X)),IF(C2198="Buy",(L2198*G2198*100)+I2198,IF(C2198="Sell",(L2198*G2198*100)-I2198, X))))</f>
        <v/>
      </c>
      <c r="N2198" s="78">
        <f>IF(ISBLANK(L2198),"",IF(AND(C2198="Sell",D2198="Stock"),M2198,IF(ISBLANK(L2198),"",IF(C2198="Buy",M2198, IF(AND(C2198="Sell",J2198="NA"),(E2198*G2198*100*0.1)+I2198, IF(C2198="Sell",(J2198-L2198)*(100*G2198)+I2198))))))</f>
        <v/>
      </c>
      <c r="O2198" s="75" t="n"/>
      <c r="P2198" s="75" t="n"/>
      <c r="Q2198" s="75">
        <f>IF(ISBLANK(P2198),"",IF(D2198="Stock",P2198*G2198,IF(P2198=0,"0",G2198*P2198*100-(G2198*$AF$14))))</f>
        <v/>
      </c>
      <c r="R2198" s="79">
        <f>IF(P2198&lt;&gt;"", TODAY(), "")</f>
        <v/>
      </c>
      <c r="S2198" s="78">
        <f>IF(AND(K2198&lt;&gt;"", R2198&lt;&gt;""), R2198-K2198, "")</f>
        <v/>
      </c>
      <c r="T2198" s="78" t="n"/>
      <c r="U2198" s="92">
        <f>IF(ISBLANK(P2198),"",IF(C2198="Buy",Q2198-M2198+T2198, IF(C2198="Sell",M2198-Q2198-T2198, X)))</f>
        <v/>
      </c>
      <c r="V2198" s="81">
        <f>IF(ISBLANK(P2198),"",U2198/N2198)</f>
        <v/>
      </c>
      <c r="W2198" s="81">
        <f>IF(ISBLANK(P2198),"",IF(S2198=0,(365/0.5)*V2198,(365/S2198)*V2198))</f>
        <v/>
      </c>
      <c r="X2198" s="75" t="n"/>
      <c r="Y2198" s="77" t="n"/>
      <c r="Z2198" s="77" t="n"/>
      <c r="AA2198" s="75" t="n"/>
      <c r="AB2198" s="75" t="n"/>
      <c r="AC2198" s="6" t="n"/>
      <c r="AD2198" s="75" t="n"/>
      <c r="AE2198" s="75" t="n"/>
      <c r="AF2198" s="75" t="n"/>
    </row>
    <row r="2199" ht="15.75" customHeight="1" s="133">
      <c r="A2199" s="75" t="n"/>
      <c r="B2199" s="75" t="n"/>
      <c r="C2199" s="75" t="n"/>
      <c r="D2199" s="75" t="n"/>
      <c r="E2199" s="76" t="n"/>
      <c r="F2199" s="77" t="n"/>
      <c r="G2199" s="75" t="n"/>
      <c r="H2199" s="75">
        <f>IF(ISBLANK(E2199),"",IF(OR(D2199="Butterfly",D2199="Butterfly ",D2199="Iron Fly", D2199="Iron Fly "),LEN(E2199)-LEN(SUBSTITUTE(E2199,"/",""))+2,LEN(E2199)-LEN(SUBSTITUTE(E2199,"/",""))+1))</f>
        <v/>
      </c>
      <c r="I2199" s="78">
        <f>IF(ISBLANK(G2199),"",IF(D2199="Stock","0",Key!$A$3*H2199*G2199))</f>
        <v/>
      </c>
      <c r="J2199" s="78">
        <f>IF(ISBLANK(E2199),"",IF(ISNUMBER(SEARCH("/",E2199)), IF(LEN(E2199)-LEN(SUBSTITUTE(E2199,"/",""))=1,(RIGHT(E2199,LEN(E2199)-FIND("/",E2199)))-(LEFT(E2199,FIND("/",E2199)-1)),(MID(E2199, SEARCH("/",E2199) + 1, SEARCH("/",E2199, SEARCH("/",E2199)+1) - SEARCH("/",E2199) - 1))-(LEFT(E2199,FIND("/",E2199)-1))), "NA"))</f>
        <v/>
      </c>
      <c r="K2199" s="79">
        <f>IF(A2199&lt;&gt;"", IF(ISBLANK(L2199), TODAY(), K2199), "")</f>
        <v/>
      </c>
      <c r="L2199" s="78" t="n"/>
      <c r="M2199" s="78">
        <f>IF(ISBLANK(L2199),"",IF(D2199="Stock",IF(C2199="Buy",L2199*G2199,IF(C2199="Sell",(L2199*G2199)-I2199, X)),IF(C2199="Buy",(L2199*G2199*100)+I2199,IF(C2199="Sell",(L2199*G2199*100)-I2199, X))))</f>
        <v/>
      </c>
      <c r="N2199" s="78">
        <f>IF(ISBLANK(L2199),"",IF(AND(C2199="Sell",D2199="Stock"),M2199,IF(ISBLANK(L2199),"",IF(C2199="Buy",M2199, IF(AND(C2199="Sell",J2199="NA"),(E2199*G2199*100*0.1)+I2199, IF(C2199="Sell",(J2199-L2199)*(100*G2199)+I2199))))))</f>
        <v/>
      </c>
      <c r="O2199" s="75" t="n"/>
      <c r="P2199" s="75" t="n"/>
      <c r="Q2199" s="75">
        <f>IF(ISBLANK(P2199),"",IF(D2199="Stock",P2199*G2199,IF(P2199=0,"0",G2199*P2199*100-(G2199*$AF$14))))</f>
        <v/>
      </c>
      <c r="R2199" s="79">
        <f>IF(P2199&lt;&gt;"", TODAY(), "")</f>
        <v/>
      </c>
      <c r="S2199" s="78">
        <f>IF(AND(K2199&lt;&gt;"", R2199&lt;&gt;""), R2199-K2199, "")</f>
        <v/>
      </c>
      <c r="T2199" s="78" t="n"/>
      <c r="U2199" s="92">
        <f>IF(ISBLANK(P2199),"",IF(C2199="Buy",Q2199-M2199+T2199, IF(C2199="Sell",M2199-Q2199-T2199, X)))</f>
        <v/>
      </c>
      <c r="V2199" s="81">
        <f>IF(ISBLANK(P2199),"",U2199/N2199)</f>
        <v/>
      </c>
      <c r="W2199" s="81">
        <f>IF(ISBLANK(P2199),"",IF(S2199=0,(365/0.5)*V2199,(365/S2199)*V2199))</f>
        <v/>
      </c>
      <c r="X2199" s="75" t="n"/>
      <c r="Y2199" s="77" t="n"/>
      <c r="Z2199" s="77" t="n"/>
      <c r="AA2199" s="75" t="n"/>
      <c r="AB2199" s="75" t="n"/>
      <c r="AC2199" s="6" t="n"/>
      <c r="AD2199" s="75" t="n"/>
      <c r="AE2199" s="75" t="n"/>
      <c r="AF2199" s="75" t="n"/>
    </row>
    <row r="2200" ht="15.75" customHeight="1" s="133">
      <c r="A2200" s="75" t="n"/>
      <c r="B2200" s="75" t="n"/>
      <c r="C2200" s="75" t="n"/>
      <c r="D2200" s="75" t="n"/>
      <c r="E2200" s="76" t="n"/>
      <c r="F2200" s="77" t="n"/>
      <c r="G2200" s="75" t="n"/>
      <c r="H2200" s="75">
        <f>IF(ISBLANK(E2200),"",IF(OR(D2200="Butterfly",D2200="Butterfly ",D2200="Iron Fly", D2200="Iron Fly "),LEN(E2200)-LEN(SUBSTITUTE(E2200,"/",""))+2,LEN(E2200)-LEN(SUBSTITUTE(E2200,"/",""))+1))</f>
        <v/>
      </c>
      <c r="I2200" s="78">
        <f>IF(ISBLANK(G2200),"",IF(D2200="Stock","0",Key!$A$3*H2200*G2200))</f>
        <v/>
      </c>
      <c r="J2200" s="78">
        <f>IF(ISBLANK(E2200),"",IF(ISNUMBER(SEARCH("/",E2200)), IF(LEN(E2200)-LEN(SUBSTITUTE(E2200,"/",""))=1,(RIGHT(E2200,LEN(E2200)-FIND("/",E2200)))-(LEFT(E2200,FIND("/",E2200)-1)),(MID(E2200, SEARCH("/",E2200) + 1, SEARCH("/",E2200, SEARCH("/",E2200)+1) - SEARCH("/",E2200) - 1))-(LEFT(E2200,FIND("/",E2200)-1))), "NA"))</f>
        <v/>
      </c>
      <c r="K2200" s="79">
        <f>IF(A2200&lt;&gt;"", IF(ISBLANK(L2200), TODAY(), K2200), "")</f>
        <v/>
      </c>
      <c r="L2200" s="78" t="n"/>
      <c r="M2200" s="78">
        <f>IF(ISBLANK(L2200),"",IF(D2200="Stock",IF(C2200="Buy",L2200*G2200,IF(C2200="Sell",(L2200*G2200)-I2200, X)),IF(C2200="Buy",(L2200*G2200*100)+I2200,IF(C2200="Sell",(L2200*G2200*100)-I2200, X))))</f>
        <v/>
      </c>
      <c r="N2200" s="78">
        <f>IF(ISBLANK(L2200),"",IF(AND(C2200="Sell",D2200="Stock"),M2200,IF(ISBLANK(L2200),"",IF(C2200="Buy",M2200, IF(AND(C2200="Sell",J2200="NA"),(E2200*G2200*100*0.1)+I2200, IF(C2200="Sell",(J2200-L2200)*(100*G2200)+I2200))))))</f>
        <v/>
      </c>
      <c r="O2200" s="75" t="n"/>
      <c r="P2200" s="75" t="n"/>
      <c r="Q2200" s="75">
        <f>IF(ISBLANK(P2200),"",IF(D2200="Stock",P2200*G2200,IF(P2200=0,"0",G2200*P2200*100-(G2200*$AF$14))))</f>
        <v/>
      </c>
      <c r="R2200" s="79">
        <f>IF(P2200&lt;&gt;"", TODAY(), "")</f>
        <v/>
      </c>
      <c r="S2200" s="78">
        <f>IF(AND(K2200&lt;&gt;"", R2200&lt;&gt;""), R2200-K2200, "")</f>
        <v/>
      </c>
      <c r="T2200" s="78" t="n"/>
      <c r="U2200" s="92">
        <f>IF(ISBLANK(P2200),"",IF(C2200="Buy",Q2200-M2200+T2200, IF(C2200="Sell",M2200-Q2200-T2200, X)))</f>
        <v/>
      </c>
      <c r="V2200" s="81">
        <f>IF(ISBLANK(P2200),"",U2200/N2200)</f>
        <v/>
      </c>
      <c r="W2200" s="81">
        <f>IF(ISBLANK(P2200),"",IF(S2200=0,(365/0.5)*V2200,(365/S2200)*V2200))</f>
        <v/>
      </c>
      <c r="X2200" s="75" t="n"/>
      <c r="Y2200" s="77" t="n"/>
      <c r="Z2200" s="77" t="n"/>
      <c r="AA2200" s="75" t="n"/>
      <c r="AB2200" s="75" t="n"/>
      <c r="AC2200" s="6" t="n"/>
      <c r="AD2200" s="75" t="n"/>
      <c r="AE2200" s="75" t="n"/>
      <c r="AF2200" s="75" t="n"/>
    </row>
    <row r="2201" ht="15.75" customHeight="1" s="133">
      <c r="A2201" s="75" t="n"/>
      <c r="B2201" s="75" t="n"/>
      <c r="C2201" s="75" t="n"/>
      <c r="D2201" s="75" t="n"/>
      <c r="E2201" s="76" t="n"/>
      <c r="F2201" s="77" t="n"/>
      <c r="G2201" s="75" t="n"/>
      <c r="H2201" s="75">
        <f>IF(ISBLANK(E2201),"",IF(OR(D2201="Butterfly",D2201="Butterfly ",D2201="Iron Fly", D2201="Iron Fly "),LEN(E2201)-LEN(SUBSTITUTE(E2201,"/",""))+2,LEN(E2201)-LEN(SUBSTITUTE(E2201,"/",""))+1))</f>
        <v/>
      </c>
      <c r="I2201" s="78">
        <f>IF(ISBLANK(G2201),"",IF(D2201="Stock","0",Key!$A$3*H2201*G2201))</f>
        <v/>
      </c>
      <c r="J2201" s="78">
        <f>IF(ISBLANK(E2201),"",IF(ISNUMBER(SEARCH("/",E2201)), IF(LEN(E2201)-LEN(SUBSTITUTE(E2201,"/",""))=1,(RIGHT(E2201,LEN(E2201)-FIND("/",E2201)))-(LEFT(E2201,FIND("/",E2201)-1)),(MID(E2201, SEARCH("/",E2201) + 1, SEARCH("/",E2201, SEARCH("/",E2201)+1) - SEARCH("/",E2201) - 1))-(LEFT(E2201,FIND("/",E2201)-1))), "NA"))</f>
        <v/>
      </c>
      <c r="K2201" s="79">
        <f>IF(A2201&lt;&gt;"", IF(ISBLANK(L2201), TODAY(), K2201), "")</f>
        <v/>
      </c>
      <c r="L2201" s="78" t="n"/>
      <c r="M2201" s="78">
        <f>IF(ISBLANK(L2201),"",IF(D2201="Stock",IF(C2201="Buy",L2201*G2201,IF(C2201="Sell",(L2201*G2201)-I2201, X)),IF(C2201="Buy",(L2201*G2201*100)+I2201,IF(C2201="Sell",(L2201*G2201*100)-I2201, X))))</f>
        <v/>
      </c>
      <c r="N2201" s="78">
        <f>IF(ISBLANK(L2201),"",IF(AND(C2201="Sell",D2201="Stock"),M2201,IF(ISBLANK(L2201),"",IF(C2201="Buy",M2201, IF(AND(C2201="Sell",J2201="NA"),(E2201*G2201*100*0.1)+I2201, IF(C2201="Sell",(J2201-L2201)*(100*G2201)+I2201))))))</f>
        <v/>
      </c>
      <c r="O2201" s="75" t="n"/>
      <c r="P2201" s="75" t="n"/>
      <c r="Q2201" s="75">
        <f>IF(ISBLANK(P2201),"",IF(D2201="Stock",P2201*G2201,IF(P2201=0,"0",G2201*P2201*100-(G2201*$AF$14))))</f>
        <v/>
      </c>
      <c r="R2201" s="79">
        <f>IF(P2201&lt;&gt;"", TODAY(), "")</f>
        <v/>
      </c>
      <c r="S2201" s="78">
        <f>IF(AND(K2201&lt;&gt;"", R2201&lt;&gt;""), R2201-K2201, "")</f>
        <v/>
      </c>
      <c r="T2201" s="78" t="n"/>
      <c r="U2201" s="92">
        <f>IF(ISBLANK(P2201),"",IF(C2201="Buy",Q2201-M2201+T2201, IF(C2201="Sell",M2201-Q2201-T2201, X)))</f>
        <v/>
      </c>
      <c r="V2201" s="81">
        <f>IF(ISBLANK(P2201),"",U2201/N2201)</f>
        <v/>
      </c>
      <c r="W2201" s="81">
        <f>IF(ISBLANK(P2201),"",IF(S2201=0,(365/0.5)*V2201,(365/S2201)*V2201))</f>
        <v/>
      </c>
      <c r="X2201" s="75" t="n"/>
      <c r="Y2201" s="77" t="n"/>
      <c r="Z2201" s="77" t="n"/>
      <c r="AA2201" s="75" t="n"/>
      <c r="AB2201" s="75" t="n"/>
      <c r="AC2201" s="6" t="n"/>
      <c r="AD2201" s="75" t="n"/>
      <c r="AE2201" s="75" t="n"/>
      <c r="AF2201" s="75" t="n"/>
    </row>
    <row r="2202" ht="15.75" customHeight="1" s="133">
      <c r="A2202" s="75" t="n"/>
      <c r="B2202" s="75" t="n"/>
      <c r="C2202" s="75" t="n"/>
      <c r="D2202" s="75" t="n"/>
      <c r="E2202" s="76" t="n"/>
      <c r="F2202" s="77" t="n"/>
      <c r="G2202" s="75" t="n"/>
      <c r="H2202" s="75">
        <f>IF(ISBLANK(E2202),"",IF(OR(D2202="Butterfly",D2202="Butterfly ",D2202="Iron Fly", D2202="Iron Fly "),LEN(E2202)-LEN(SUBSTITUTE(E2202,"/",""))+2,LEN(E2202)-LEN(SUBSTITUTE(E2202,"/",""))+1))</f>
        <v/>
      </c>
      <c r="I2202" s="78">
        <f>IF(ISBLANK(G2202),"",IF(D2202="Stock","0",Key!$A$3*H2202*G2202))</f>
        <v/>
      </c>
      <c r="J2202" s="78">
        <f>IF(ISBLANK(E2202),"",IF(ISNUMBER(SEARCH("/",E2202)), IF(LEN(E2202)-LEN(SUBSTITUTE(E2202,"/",""))=1,(RIGHT(E2202,LEN(E2202)-FIND("/",E2202)))-(LEFT(E2202,FIND("/",E2202)-1)),(MID(E2202, SEARCH("/",E2202) + 1, SEARCH("/",E2202, SEARCH("/",E2202)+1) - SEARCH("/",E2202) - 1))-(LEFT(E2202,FIND("/",E2202)-1))), "NA"))</f>
        <v/>
      </c>
      <c r="K2202" s="79">
        <f>IF(A2202&lt;&gt;"", IF(ISBLANK(L2202), TODAY(), K2202), "")</f>
        <v/>
      </c>
      <c r="L2202" s="78" t="n"/>
      <c r="M2202" s="78">
        <f>IF(ISBLANK(L2202),"",IF(D2202="Stock",IF(C2202="Buy",L2202*G2202,IF(C2202="Sell",(L2202*G2202)-I2202, X)),IF(C2202="Buy",(L2202*G2202*100)+I2202,IF(C2202="Sell",(L2202*G2202*100)-I2202, X))))</f>
        <v/>
      </c>
      <c r="N2202" s="78">
        <f>IF(ISBLANK(L2202),"",IF(AND(C2202="Sell",D2202="Stock"),M2202,IF(ISBLANK(L2202),"",IF(C2202="Buy",M2202, IF(AND(C2202="Sell",J2202="NA"),(E2202*G2202*100*0.1)+I2202, IF(C2202="Sell",(J2202-L2202)*(100*G2202)+I2202))))))</f>
        <v/>
      </c>
      <c r="O2202" s="75" t="n"/>
      <c r="P2202" s="75" t="n"/>
      <c r="Q2202" s="75">
        <f>IF(ISBLANK(P2202),"",IF(D2202="Stock",P2202*G2202,IF(P2202=0,"0",G2202*P2202*100-(G2202*$AF$14))))</f>
        <v/>
      </c>
      <c r="R2202" s="79">
        <f>IF(P2202&lt;&gt;"", TODAY(), "")</f>
        <v/>
      </c>
      <c r="S2202" s="78">
        <f>IF(AND(K2202&lt;&gt;"", R2202&lt;&gt;""), R2202-K2202, "")</f>
        <v/>
      </c>
      <c r="T2202" s="78" t="n"/>
      <c r="U2202" s="92">
        <f>IF(ISBLANK(P2202),"",IF(C2202="Buy",Q2202-M2202+T2202, IF(C2202="Sell",M2202-Q2202-T2202, X)))</f>
        <v/>
      </c>
      <c r="V2202" s="81">
        <f>IF(ISBLANK(P2202),"",U2202/N2202)</f>
        <v/>
      </c>
      <c r="W2202" s="81">
        <f>IF(ISBLANK(P2202),"",IF(S2202=0,(365/0.5)*V2202,(365/S2202)*V2202))</f>
        <v/>
      </c>
      <c r="X2202" s="75" t="n"/>
      <c r="Y2202" s="77" t="n"/>
      <c r="Z2202" s="77" t="n"/>
      <c r="AA2202" s="75" t="n"/>
      <c r="AB2202" s="75" t="n"/>
      <c r="AC2202" s="6" t="n"/>
      <c r="AD2202" s="75" t="n"/>
      <c r="AE2202" s="75" t="n"/>
      <c r="AF2202" s="75" t="n"/>
    </row>
    <row r="2203" ht="15.75" customHeight="1" s="133">
      <c r="A2203" s="75" t="n"/>
      <c r="B2203" s="75" t="n"/>
      <c r="C2203" s="75" t="n"/>
      <c r="D2203" s="75" t="n"/>
      <c r="E2203" s="76" t="n"/>
      <c r="F2203" s="77" t="n"/>
      <c r="G2203" s="75" t="n"/>
      <c r="H2203" s="75">
        <f>IF(ISBLANK(E2203),"",IF(OR(D2203="Butterfly",D2203="Butterfly ",D2203="Iron Fly", D2203="Iron Fly "),LEN(E2203)-LEN(SUBSTITUTE(E2203,"/",""))+2,LEN(E2203)-LEN(SUBSTITUTE(E2203,"/",""))+1))</f>
        <v/>
      </c>
      <c r="I2203" s="78">
        <f>IF(ISBLANK(G2203),"",IF(D2203="Stock","0",Key!$A$3*H2203*G2203))</f>
        <v/>
      </c>
      <c r="J2203" s="78">
        <f>IF(ISBLANK(E2203),"",IF(ISNUMBER(SEARCH("/",E2203)), IF(LEN(E2203)-LEN(SUBSTITUTE(E2203,"/",""))=1,(RIGHT(E2203,LEN(E2203)-FIND("/",E2203)))-(LEFT(E2203,FIND("/",E2203)-1)),(MID(E2203, SEARCH("/",E2203) + 1, SEARCH("/",E2203, SEARCH("/",E2203)+1) - SEARCH("/",E2203) - 1))-(LEFT(E2203,FIND("/",E2203)-1))), "NA"))</f>
        <v/>
      </c>
      <c r="K2203" s="79">
        <f>IF(A2203&lt;&gt;"", IF(ISBLANK(L2203), TODAY(), K2203), "")</f>
        <v/>
      </c>
      <c r="L2203" s="78" t="n"/>
      <c r="M2203" s="78">
        <f>IF(ISBLANK(L2203),"",IF(D2203="Stock",IF(C2203="Buy",L2203*G2203,IF(C2203="Sell",(L2203*G2203)-I2203, X)),IF(C2203="Buy",(L2203*G2203*100)+I2203,IF(C2203="Sell",(L2203*G2203*100)-I2203, X))))</f>
        <v/>
      </c>
      <c r="N2203" s="78">
        <f>IF(ISBLANK(L2203),"",IF(AND(C2203="Sell",D2203="Stock"),M2203,IF(ISBLANK(L2203),"",IF(C2203="Buy",M2203, IF(AND(C2203="Sell",J2203="NA"),(E2203*G2203*100*0.1)+I2203, IF(C2203="Sell",(J2203-L2203)*(100*G2203)+I2203))))))</f>
        <v/>
      </c>
      <c r="O2203" s="75" t="n"/>
      <c r="P2203" s="75" t="n"/>
      <c r="Q2203" s="75">
        <f>IF(ISBLANK(P2203),"",IF(D2203="Stock",P2203*G2203,IF(P2203=0,"0",G2203*P2203*100-(G2203*$AF$14))))</f>
        <v/>
      </c>
      <c r="R2203" s="79">
        <f>IF(P2203&lt;&gt;"", TODAY(), "")</f>
        <v/>
      </c>
      <c r="S2203" s="78">
        <f>IF(AND(K2203&lt;&gt;"", R2203&lt;&gt;""), R2203-K2203, "")</f>
        <v/>
      </c>
      <c r="T2203" s="78" t="n"/>
      <c r="U2203" s="92">
        <f>IF(ISBLANK(P2203),"",IF(C2203="Buy",Q2203-M2203+T2203, IF(C2203="Sell",M2203-Q2203-T2203, X)))</f>
        <v/>
      </c>
      <c r="V2203" s="81">
        <f>IF(ISBLANK(P2203),"",U2203/N2203)</f>
        <v/>
      </c>
      <c r="W2203" s="81">
        <f>IF(ISBLANK(P2203),"",IF(S2203=0,(365/0.5)*V2203,(365/S2203)*V2203))</f>
        <v/>
      </c>
      <c r="X2203" s="75" t="n"/>
      <c r="Y2203" s="77" t="n"/>
      <c r="Z2203" s="77" t="n"/>
      <c r="AA2203" s="75" t="n"/>
      <c r="AB2203" s="75" t="n"/>
      <c r="AC2203" s="6" t="n"/>
      <c r="AD2203" s="75" t="n"/>
      <c r="AE2203" s="75" t="n"/>
      <c r="AF2203" s="75" t="n"/>
    </row>
    <row r="2204" ht="15.75" customHeight="1" s="133">
      <c r="A2204" s="75" t="n"/>
      <c r="B2204" s="75" t="n"/>
      <c r="C2204" s="75" t="n"/>
      <c r="D2204" s="75" t="n"/>
      <c r="E2204" s="76" t="n"/>
      <c r="F2204" s="77" t="n"/>
      <c r="G2204" s="75" t="n"/>
      <c r="H2204" s="75">
        <f>IF(ISBLANK(E2204),"",IF(OR(D2204="Butterfly",D2204="Butterfly ",D2204="Iron Fly", D2204="Iron Fly "),LEN(E2204)-LEN(SUBSTITUTE(E2204,"/",""))+2,LEN(E2204)-LEN(SUBSTITUTE(E2204,"/",""))+1))</f>
        <v/>
      </c>
      <c r="I2204" s="78">
        <f>IF(ISBLANK(G2204),"",IF(D2204="Stock","0",Key!$A$3*H2204*G2204))</f>
        <v/>
      </c>
      <c r="J2204" s="78">
        <f>IF(ISBLANK(E2204),"",IF(ISNUMBER(SEARCH("/",E2204)), IF(LEN(E2204)-LEN(SUBSTITUTE(E2204,"/",""))=1,(RIGHT(E2204,LEN(E2204)-FIND("/",E2204)))-(LEFT(E2204,FIND("/",E2204)-1)),(MID(E2204, SEARCH("/",E2204) + 1, SEARCH("/",E2204, SEARCH("/",E2204)+1) - SEARCH("/",E2204) - 1))-(LEFT(E2204,FIND("/",E2204)-1))), "NA"))</f>
        <v/>
      </c>
      <c r="K2204" s="79">
        <f>IF(A2204&lt;&gt;"", IF(ISBLANK(L2204), TODAY(), K2204), "")</f>
        <v/>
      </c>
      <c r="L2204" s="78" t="n"/>
      <c r="M2204" s="78">
        <f>IF(ISBLANK(L2204),"",IF(D2204="Stock",IF(C2204="Buy",L2204*G2204,IF(C2204="Sell",(L2204*G2204)-I2204, X)),IF(C2204="Buy",(L2204*G2204*100)+I2204,IF(C2204="Sell",(L2204*G2204*100)-I2204, X))))</f>
        <v/>
      </c>
      <c r="N2204" s="78">
        <f>IF(ISBLANK(L2204),"",IF(AND(C2204="Sell",D2204="Stock"),M2204,IF(ISBLANK(L2204),"",IF(C2204="Buy",M2204, IF(AND(C2204="Sell",J2204="NA"),(E2204*G2204*100*0.1)+I2204, IF(C2204="Sell",(J2204-L2204)*(100*G2204)+I2204))))))</f>
        <v/>
      </c>
      <c r="O2204" s="75" t="n"/>
      <c r="P2204" s="75" t="n"/>
      <c r="Q2204" s="75">
        <f>IF(ISBLANK(P2204),"",IF(D2204="Stock",P2204*G2204,IF(P2204=0,"0",G2204*P2204*100-(G2204*$AF$14))))</f>
        <v/>
      </c>
      <c r="R2204" s="79">
        <f>IF(P2204&lt;&gt;"", TODAY(), "")</f>
        <v/>
      </c>
      <c r="S2204" s="78">
        <f>IF(AND(K2204&lt;&gt;"", R2204&lt;&gt;""), R2204-K2204, "")</f>
        <v/>
      </c>
      <c r="T2204" s="78" t="n"/>
      <c r="U2204" s="92">
        <f>IF(ISBLANK(P2204),"",IF(C2204="Buy",Q2204-M2204+T2204, IF(C2204="Sell",M2204-Q2204-T2204, X)))</f>
        <v/>
      </c>
      <c r="V2204" s="81">
        <f>IF(ISBLANK(P2204),"",U2204/N2204)</f>
        <v/>
      </c>
      <c r="W2204" s="81">
        <f>IF(ISBLANK(P2204),"",IF(S2204=0,(365/0.5)*V2204,(365/S2204)*V2204))</f>
        <v/>
      </c>
      <c r="X2204" s="75" t="n"/>
      <c r="Y2204" s="77" t="n"/>
      <c r="Z2204" s="77" t="n"/>
      <c r="AA2204" s="75" t="n"/>
      <c r="AB2204" s="75" t="n"/>
      <c r="AC2204" s="6" t="n"/>
      <c r="AD2204" s="75" t="n"/>
      <c r="AE2204" s="75" t="n"/>
      <c r="AF2204" s="75" t="n"/>
    </row>
    <row r="2205" ht="15.75" customHeight="1" s="133">
      <c r="A2205" s="75" t="n"/>
      <c r="B2205" s="75" t="n"/>
      <c r="C2205" s="75" t="n"/>
      <c r="D2205" s="75" t="n"/>
      <c r="E2205" s="76" t="n"/>
      <c r="F2205" s="77" t="n"/>
      <c r="G2205" s="75" t="n"/>
      <c r="H2205" s="75">
        <f>IF(ISBLANK(E2205),"",IF(OR(D2205="Butterfly",D2205="Butterfly ",D2205="Iron Fly", D2205="Iron Fly "),LEN(E2205)-LEN(SUBSTITUTE(E2205,"/",""))+2,LEN(E2205)-LEN(SUBSTITUTE(E2205,"/",""))+1))</f>
        <v/>
      </c>
      <c r="I2205" s="78">
        <f>IF(ISBLANK(G2205),"",IF(D2205="Stock","0",Key!$A$3*H2205*G2205))</f>
        <v/>
      </c>
      <c r="J2205" s="78">
        <f>IF(ISBLANK(E2205),"",IF(ISNUMBER(SEARCH("/",E2205)), IF(LEN(E2205)-LEN(SUBSTITUTE(E2205,"/",""))=1,(RIGHT(E2205,LEN(E2205)-FIND("/",E2205)))-(LEFT(E2205,FIND("/",E2205)-1)),(MID(E2205, SEARCH("/",E2205) + 1, SEARCH("/",E2205, SEARCH("/",E2205)+1) - SEARCH("/",E2205) - 1))-(LEFT(E2205,FIND("/",E2205)-1))), "NA"))</f>
        <v/>
      </c>
      <c r="K2205" s="79">
        <f>IF(A2205&lt;&gt;"", IF(ISBLANK(L2205), TODAY(), K2205), "")</f>
        <v/>
      </c>
      <c r="L2205" s="78" t="n"/>
      <c r="M2205" s="78">
        <f>IF(ISBLANK(L2205),"",IF(D2205="Stock",IF(C2205="Buy",L2205*G2205,IF(C2205="Sell",(L2205*G2205)-I2205, X)),IF(C2205="Buy",(L2205*G2205*100)+I2205,IF(C2205="Sell",(L2205*G2205*100)-I2205, X))))</f>
        <v/>
      </c>
      <c r="N2205" s="78">
        <f>IF(ISBLANK(L2205),"",IF(AND(C2205="Sell",D2205="Stock"),M2205,IF(ISBLANK(L2205),"",IF(C2205="Buy",M2205, IF(AND(C2205="Sell",J2205="NA"),(E2205*G2205*100*0.1)+I2205, IF(C2205="Sell",(J2205-L2205)*(100*G2205)+I2205))))))</f>
        <v/>
      </c>
      <c r="O2205" s="75" t="n"/>
      <c r="P2205" s="75" t="n"/>
      <c r="Q2205" s="75">
        <f>IF(ISBLANK(P2205),"",IF(D2205="Stock",P2205*G2205,IF(P2205=0,"0",G2205*P2205*100-(G2205*$AF$14))))</f>
        <v/>
      </c>
      <c r="R2205" s="79">
        <f>IF(P2205&lt;&gt;"", TODAY(), "")</f>
        <v/>
      </c>
      <c r="S2205" s="78">
        <f>IF(AND(K2205&lt;&gt;"", R2205&lt;&gt;""), R2205-K2205, "")</f>
        <v/>
      </c>
      <c r="T2205" s="78" t="n"/>
      <c r="U2205" s="92">
        <f>IF(ISBLANK(P2205),"",IF(C2205="Buy",Q2205-M2205+T2205, IF(C2205="Sell",M2205-Q2205-T2205, X)))</f>
        <v/>
      </c>
      <c r="V2205" s="81">
        <f>IF(ISBLANK(P2205),"",U2205/N2205)</f>
        <v/>
      </c>
      <c r="W2205" s="81">
        <f>IF(ISBLANK(P2205),"",IF(S2205=0,(365/0.5)*V2205,(365/S2205)*V2205))</f>
        <v/>
      </c>
      <c r="X2205" s="75" t="n"/>
      <c r="Y2205" s="77" t="n"/>
      <c r="Z2205" s="77" t="n"/>
      <c r="AA2205" s="75" t="n"/>
      <c r="AB2205" s="75" t="n"/>
      <c r="AC2205" s="6" t="n"/>
      <c r="AD2205" s="75" t="n"/>
      <c r="AE2205" s="75" t="n"/>
      <c r="AF2205" s="75" t="n"/>
    </row>
    <row r="2206" ht="15.75" customHeight="1" s="133">
      <c r="A2206" s="75" t="n"/>
      <c r="B2206" s="75" t="n"/>
      <c r="C2206" s="75" t="n"/>
      <c r="D2206" s="75" t="n"/>
      <c r="E2206" s="76" t="n"/>
      <c r="F2206" s="77" t="n"/>
      <c r="G2206" s="75" t="n"/>
      <c r="H2206" s="75">
        <f>IF(ISBLANK(E2206),"",IF(OR(D2206="Butterfly",D2206="Butterfly ",D2206="Iron Fly", D2206="Iron Fly "),LEN(E2206)-LEN(SUBSTITUTE(E2206,"/",""))+2,LEN(E2206)-LEN(SUBSTITUTE(E2206,"/",""))+1))</f>
        <v/>
      </c>
      <c r="I2206" s="78">
        <f>IF(ISBLANK(G2206),"",IF(D2206="Stock","0",Key!$A$3*H2206*G2206))</f>
        <v/>
      </c>
      <c r="J2206" s="78">
        <f>IF(ISBLANK(E2206),"",IF(ISNUMBER(SEARCH("/",E2206)), IF(LEN(E2206)-LEN(SUBSTITUTE(E2206,"/",""))=1,(RIGHT(E2206,LEN(E2206)-FIND("/",E2206)))-(LEFT(E2206,FIND("/",E2206)-1)),(MID(E2206, SEARCH("/",E2206) + 1, SEARCH("/",E2206, SEARCH("/",E2206)+1) - SEARCH("/",E2206) - 1))-(LEFT(E2206,FIND("/",E2206)-1))), "NA"))</f>
        <v/>
      </c>
      <c r="K2206" s="79">
        <f>IF(A2206&lt;&gt;"", IF(ISBLANK(L2206), TODAY(), K2206), "")</f>
        <v/>
      </c>
      <c r="L2206" s="78" t="n"/>
      <c r="M2206" s="78">
        <f>IF(ISBLANK(L2206),"",IF(D2206="Stock",IF(C2206="Buy",L2206*G2206,IF(C2206="Sell",(L2206*G2206)-I2206, X)),IF(C2206="Buy",(L2206*G2206*100)+I2206,IF(C2206="Sell",(L2206*G2206*100)-I2206, X))))</f>
        <v/>
      </c>
      <c r="N2206" s="78">
        <f>IF(ISBLANK(L2206),"",IF(AND(C2206="Sell",D2206="Stock"),M2206,IF(ISBLANK(L2206),"",IF(C2206="Buy",M2206, IF(AND(C2206="Sell",J2206="NA"),(E2206*G2206*100*0.1)+I2206, IF(C2206="Sell",(J2206-L2206)*(100*G2206)+I2206))))))</f>
        <v/>
      </c>
      <c r="O2206" s="75" t="n"/>
      <c r="P2206" s="75" t="n"/>
      <c r="Q2206" s="75">
        <f>IF(ISBLANK(P2206),"",IF(D2206="Stock",P2206*G2206,IF(P2206=0,"0",G2206*P2206*100-(G2206*$AF$14))))</f>
        <v/>
      </c>
      <c r="R2206" s="79">
        <f>IF(P2206&lt;&gt;"", TODAY(), "")</f>
        <v/>
      </c>
      <c r="S2206" s="78">
        <f>IF(AND(K2206&lt;&gt;"", R2206&lt;&gt;""), R2206-K2206, "")</f>
        <v/>
      </c>
      <c r="T2206" s="78" t="n"/>
      <c r="U2206" s="92">
        <f>IF(ISBLANK(P2206),"",IF(C2206="Buy",Q2206-M2206+T2206, IF(C2206="Sell",M2206-Q2206-T2206, X)))</f>
        <v/>
      </c>
      <c r="V2206" s="81">
        <f>IF(ISBLANK(P2206),"",U2206/N2206)</f>
        <v/>
      </c>
      <c r="W2206" s="81">
        <f>IF(ISBLANK(P2206),"",IF(S2206=0,(365/0.5)*V2206,(365/S2206)*V2206))</f>
        <v/>
      </c>
      <c r="X2206" s="75" t="n"/>
      <c r="Y2206" s="77" t="n"/>
      <c r="Z2206" s="77" t="n"/>
      <c r="AA2206" s="75" t="n"/>
      <c r="AB2206" s="75" t="n"/>
      <c r="AC2206" s="6" t="n"/>
      <c r="AD2206" s="75" t="n"/>
      <c r="AE2206" s="75" t="n"/>
      <c r="AF2206" s="75" t="n"/>
    </row>
    <row r="2207" ht="15.75" customHeight="1" s="133">
      <c r="A2207" s="75" t="n"/>
      <c r="B2207" s="75" t="n"/>
      <c r="C2207" s="75" t="n"/>
      <c r="D2207" s="75" t="n"/>
      <c r="E2207" s="76" t="n"/>
      <c r="F2207" s="77" t="n"/>
      <c r="G2207" s="75" t="n"/>
      <c r="H2207" s="75">
        <f>IF(ISBLANK(E2207),"",IF(OR(D2207="Butterfly",D2207="Butterfly ",D2207="Iron Fly", D2207="Iron Fly "),LEN(E2207)-LEN(SUBSTITUTE(E2207,"/",""))+2,LEN(E2207)-LEN(SUBSTITUTE(E2207,"/",""))+1))</f>
        <v/>
      </c>
      <c r="I2207" s="78">
        <f>IF(ISBLANK(G2207),"",IF(D2207="Stock","0",Key!$A$3*H2207*G2207))</f>
        <v/>
      </c>
      <c r="J2207" s="78">
        <f>IF(ISBLANK(E2207),"",IF(ISNUMBER(SEARCH("/",E2207)), IF(LEN(E2207)-LEN(SUBSTITUTE(E2207,"/",""))=1,(RIGHT(E2207,LEN(E2207)-FIND("/",E2207)))-(LEFT(E2207,FIND("/",E2207)-1)),(MID(E2207, SEARCH("/",E2207) + 1, SEARCH("/",E2207, SEARCH("/",E2207)+1) - SEARCH("/",E2207) - 1))-(LEFT(E2207,FIND("/",E2207)-1))), "NA"))</f>
        <v/>
      </c>
      <c r="K2207" s="79">
        <f>IF(A2207&lt;&gt;"", IF(ISBLANK(L2207), TODAY(), K2207), "")</f>
        <v/>
      </c>
      <c r="L2207" s="78" t="n"/>
      <c r="M2207" s="78">
        <f>IF(ISBLANK(L2207),"",IF(D2207="Stock",IF(C2207="Buy",L2207*G2207,IF(C2207="Sell",(L2207*G2207)-I2207, X)),IF(C2207="Buy",(L2207*G2207*100)+I2207,IF(C2207="Sell",(L2207*G2207*100)-I2207, X))))</f>
        <v/>
      </c>
      <c r="N2207" s="78">
        <f>IF(ISBLANK(L2207),"",IF(AND(C2207="Sell",D2207="Stock"),M2207,IF(ISBLANK(L2207),"",IF(C2207="Buy",M2207, IF(AND(C2207="Sell",J2207="NA"),(E2207*G2207*100*0.1)+I2207, IF(C2207="Sell",(J2207-L2207)*(100*G2207)+I2207))))))</f>
        <v/>
      </c>
      <c r="O2207" s="75" t="n"/>
      <c r="P2207" s="75" t="n"/>
      <c r="Q2207" s="75">
        <f>IF(ISBLANK(P2207),"",IF(D2207="Stock",P2207*G2207,IF(P2207=0,"0",G2207*P2207*100-(G2207*$AF$14))))</f>
        <v/>
      </c>
      <c r="R2207" s="79">
        <f>IF(P2207&lt;&gt;"", TODAY(), "")</f>
        <v/>
      </c>
      <c r="S2207" s="78">
        <f>IF(AND(K2207&lt;&gt;"", R2207&lt;&gt;""), R2207-K2207, "")</f>
        <v/>
      </c>
      <c r="T2207" s="78" t="n"/>
      <c r="U2207" s="92">
        <f>IF(ISBLANK(P2207),"",IF(C2207="Buy",Q2207-M2207+T2207, IF(C2207="Sell",M2207-Q2207-T2207, X)))</f>
        <v/>
      </c>
      <c r="V2207" s="81">
        <f>IF(ISBLANK(P2207),"",U2207/N2207)</f>
        <v/>
      </c>
      <c r="W2207" s="81">
        <f>IF(ISBLANK(P2207),"",IF(S2207=0,(365/0.5)*V2207,(365/S2207)*V2207))</f>
        <v/>
      </c>
      <c r="X2207" s="75" t="n"/>
      <c r="Y2207" s="77" t="n"/>
      <c r="Z2207" s="77" t="n"/>
      <c r="AA2207" s="75" t="n"/>
      <c r="AB2207" s="75" t="n"/>
      <c r="AC2207" s="6" t="n"/>
      <c r="AD2207" s="75" t="n"/>
      <c r="AE2207" s="75" t="n"/>
      <c r="AF2207" s="75" t="n"/>
    </row>
    <row r="2208" ht="15.75" customHeight="1" s="133">
      <c r="A2208" s="75" t="n"/>
      <c r="B2208" s="75" t="n"/>
      <c r="C2208" s="75" t="n"/>
      <c r="D2208" s="75" t="n"/>
      <c r="E2208" s="76" t="n"/>
      <c r="F2208" s="77" t="n"/>
      <c r="G2208" s="75" t="n"/>
      <c r="H2208" s="75">
        <f>IF(ISBLANK(E2208),"",IF(OR(D2208="Butterfly",D2208="Butterfly ",D2208="Iron Fly", D2208="Iron Fly "),LEN(E2208)-LEN(SUBSTITUTE(E2208,"/",""))+2,LEN(E2208)-LEN(SUBSTITUTE(E2208,"/",""))+1))</f>
        <v/>
      </c>
      <c r="I2208" s="78">
        <f>IF(ISBLANK(G2208),"",IF(D2208="Stock","0",Key!$A$3*H2208*G2208))</f>
        <v/>
      </c>
      <c r="J2208" s="78">
        <f>IF(ISBLANK(E2208),"",IF(ISNUMBER(SEARCH("/",E2208)), IF(LEN(E2208)-LEN(SUBSTITUTE(E2208,"/",""))=1,(RIGHT(E2208,LEN(E2208)-FIND("/",E2208)))-(LEFT(E2208,FIND("/",E2208)-1)),(MID(E2208, SEARCH("/",E2208) + 1, SEARCH("/",E2208, SEARCH("/",E2208)+1) - SEARCH("/",E2208) - 1))-(LEFT(E2208,FIND("/",E2208)-1))), "NA"))</f>
        <v/>
      </c>
      <c r="K2208" s="79">
        <f>IF(A2208&lt;&gt;"", IF(ISBLANK(L2208), TODAY(), K2208), "")</f>
        <v/>
      </c>
      <c r="L2208" s="78" t="n"/>
      <c r="M2208" s="78">
        <f>IF(ISBLANK(L2208),"",IF(D2208="Stock",IF(C2208="Buy",L2208*G2208,IF(C2208="Sell",(L2208*G2208)-I2208, X)),IF(C2208="Buy",(L2208*G2208*100)+I2208,IF(C2208="Sell",(L2208*G2208*100)-I2208, X))))</f>
        <v/>
      </c>
      <c r="N2208" s="78">
        <f>IF(ISBLANK(L2208),"",IF(AND(C2208="Sell",D2208="Stock"),M2208,IF(ISBLANK(L2208),"",IF(C2208="Buy",M2208, IF(AND(C2208="Sell",J2208="NA"),(E2208*G2208*100*0.1)+I2208, IF(C2208="Sell",(J2208-L2208)*(100*G2208)+I2208))))))</f>
        <v/>
      </c>
      <c r="O2208" s="75" t="n"/>
      <c r="P2208" s="75" t="n"/>
      <c r="Q2208" s="75">
        <f>IF(ISBLANK(P2208),"",IF(D2208="Stock",P2208*G2208,IF(P2208=0,"0",G2208*P2208*100-(G2208*$AF$14))))</f>
        <v/>
      </c>
      <c r="R2208" s="79">
        <f>IF(P2208&lt;&gt;"", TODAY(), "")</f>
        <v/>
      </c>
      <c r="S2208" s="78">
        <f>IF(AND(K2208&lt;&gt;"", R2208&lt;&gt;""), R2208-K2208, "")</f>
        <v/>
      </c>
      <c r="T2208" s="78" t="n"/>
      <c r="U2208" s="92">
        <f>IF(ISBLANK(P2208),"",IF(C2208="Buy",Q2208-M2208+T2208, IF(C2208="Sell",M2208-Q2208-T2208, X)))</f>
        <v/>
      </c>
      <c r="V2208" s="81">
        <f>IF(ISBLANK(P2208),"",U2208/N2208)</f>
        <v/>
      </c>
      <c r="W2208" s="81">
        <f>IF(ISBLANK(P2208),"",IF(S2208=0,(365/0.5)*V2208,(365/S2208)*V2208))</f>
        <v/>
      </c>
      <c r="X2208" s="75" t="n"/>
      <c r="Y2208" s="77" t="n"/>
      <c r="Z2208" s="77" t="n"/>
      <c r="AA2208" s="75" t="n"/>
      <c r="AB2208" s="75" t="n"/>
      <c r="AC2208" s="6" t="n"/>
      <c r="AD2208" s="75" t="n"/>
      <c r="AE2208" s="75" t="n"/>
      <c r="AF2208" s="75" t="n"/>
    </row>
    <row r="2209" ht="15.75" customHeight="1" s="133">
      <c r="A2209" s="75" t="n"/>
      <c r="B2209" s="75" t="n"/>
      <c r="C2209" s="75" t="n"/>
      <c r="D2209" s="75" t="n"/>
      <c r="E2209" s="76" t="n"/>
      <c r="F2209" s="77" t="n"/>
      <c r="G2209" s="75" t="n"/>
      <c r="H2209" s="75">
        <f>IF(ISBLANK(E2209),"",IF(OR(D2209="Butterfly",D2209="Butterfly ",D2209="Iron Fly", D2209="Iron Fly "),LEN(E2209)-LEN(SUBSTITUTE(E2209,"/",""))+2,LEN(E2209)-LEN(SUBSTITUTE(E2209,"/",""))+1))</f>
        <v/>
      </c>
      <c r="I2209" s="78">
        <f>IF(ISBLANK(G2209),"",IF(D2209="Stock","0",Key!$A$3*H2209*G2209))</f>
        <v/>
      </c>
      <c r="J2209" s="78">
        <f>IF(ISBLANK(E2209),"",IF(ISNUMBER(SEARCH("/",E2209)), IF(LEN(E2209)-LEN(SUBSTITUTE(E2209,"/",""))=1,(RIGHT(E2209,LEN(E2209)-FIND("/",E2209)))-(LEFT(E2209,FIND("/",E2209)-1)),(MID(E2209, SEARCH("/",E2209) + 1, SEARCH("/",E2209, SEARCH("/",E2209)+1) - SEARCH("/",E2209) - 1))-(LEFT(E2209,FIND("/",E2209)-1))), "NA"))</f>
        <v/>
      </c>
      <c r="K2209" s="79">
        <f>IF(A2209&lt;&gt;"", IF(ISBLANK(L2209), TODAY(), K2209), "")</f>
        <v/>
      </c>
      <c r="L2209" s="78" t="n"/>
      <c r="M2209" s="78">
        <f>IF(ISBLANK(L2209),"",IF(D2209="Stock",IF(C2209="Buy",L2209*G2209,IF(C2209="Sell",(L2209*G2209)-I2209, X)),IF(C2209="Buy",(L2209*G2209*100)+I2209,IF(C2209="Sell",(L2209*G2209*100)-I2209, X))))</f>
        <v/>
      </c>
      <c r="N2209" s="78">
        <f>IF(ISBLANK(L2209),"",IF(AND(C2209="Sell",D2209="Stock"),M2209,IF(ISBLANK(L2209),"",IF(C2209="Buy",M2209, IF(AND(C2209="Sell",J2209="NA"),(E2209*G2209*100*0.1)+I2209, IF(C2209="Sell",(J2209-L2209)*(100*G2209)+I2209))))))</f>
        <v/>
      </c>
      <c r="O2209" s="75" t="n"/>
      <c r="P2209" s="75" t="n"/>
      <c r="Q2209" s="75">
        <f>IF(ISBLANK(P2209),"",IF(D2209="Stock",P2209*G2209,IF(P2209=0,"0",G2209*P2209*100-(G2209*$AF$14))))</f>
        <v/>
      </c>
      <c r="R2209" s="79">
        <f>IF(P2209&lt;&gt;"", TODAY(), "")</f>
        <v/>
      </c>
      <c r="S2209" s="78">
        <f>IF(AND(K2209&lt;&gt;"", R2209&lt;&gt;""), R2209-K2209, "")</f>
        <v/>
      </c>
      <c r="T2209" s="78" t="n"/>
      <c r="U2209" s="92">
        <f>IF(ISBLANK(P2209),"",IF(C2209="Buy",Q2209-M2209+T2209, IF(C2209="Sell",M2209-Q2209-T2209, X)))</f>
        <v/>
      </c>
      <c r="V2209" s="81">
        <f>IF(ISBLANK(P2209),"",U2209/N2209)</f>
        <v/>
      </c>
      <c r="W2209" s="81">
        <f>IF(ISBLANK(P2209),"",IF(S2209=0,(365/0.5)*V2209,(365/S2209)*V2209))</f>
        <v/>
      </c>
      <c r="X2209" s="75" t="n"/>
      <c r="Y2209" s="77" t="n"/>
      <c r="Z2209" s="77" t="n"/>
      <c r="AA2209" s="75" t="n"/>
      <c r="AB2209" s="75" t="n"/>
      <c r="AC2209" s="6" t="n"/>
      <c r="AD2209" s="75" t="n"/>
      <c r="AE2209" s="75" t="n"/>
      <c r="AF2209" s="75" t="n"/>
    </row>
    <row r="2210" ht="15.75" customHeight="1" s="133">
      <c r="A2210" s="75" t="n"/>
      <c r="B2210" s="75" t="n"/>
      <c r="C2210" s="75" t="n"/>
      <c r="D2210" s="75" t="n"/>
      <c r="E2210" s="76" t="n"/>
      <c r="F2210" s="77" t="n"/>
      <c r="G2210" s="75" t="n"/>
      <c r="H2210" s="75">
        <f>IF(ISBLANK(E2210),"",IF(OR(D2210="Butterfly",D2210="Butterfly ",D2210="Iron Fly", D2210="Iron Fly "),LEN(E2210)-LEN(SUBSTITUTE(E2210,"/",""))+2,LEN(E2210)-LEN(SUBSTITUTE(E2210,"/",""))+1))</f>
        <v/>
      </c>
      <c r="I2210" s="78">
        <f>IF(ISBLANK(G2210),"",IF(D2210="Stock","0",Key!$A$3*H2210*G2210))</f>
        <v/>
      </c>
      <c r="J2210" s="78">
        <f>IF(ISBLANK(E2210),"",IF(ISNUMBER(SEARCH("/",E2210)), IF(LEN(E2210)-LEN(SUBSTITUTE(E2210,"/",""))=1,(RIGHT(E2210,LEN(E2210)-FIND("/",E2210)))-(LEFT(E2210,FIND("/",E2210)-1)),(MID(E2210, SEARCH("/",E2210) + 1, SEARCH("/",E2210, SEARCH("/",E2210)+1) - SEARCH("/",E2210) - 1))-(LEFT(E2210,FIND("/",E2210)-1))), "NA"))</f>
        <v/>
      </c>
      <c r="K2210" s="79">
        <f>IF(A2210&lt;&gt;"", IF(ISBLANK(L2210), TODAY(), K2210), "")</f>
        <v/>
      </c>
      <c r="L2210" s="78" t="n"/>
      <c r="M2210" s="78">
        <f>IF(ISBLANK(L2210),"",IF(D2210="Stock",IF(C2210="Buy",L2210*G2210,IF(C2210="Sell",(L2210*G2210)-I2210, X)),IF(C2210="Buy",(L2210*G2210*100)+I2210,IF(C2210="Sell",(L2210*G2210*100)-I2210, X))))</f>
        <v/>
      </c>
      <c r="N2210" s="78">
        <f>IF(ISBLANK(L2210),"",IF(AND(C2210="Sell",D2210="Stock"),M2210,IF(ISBLANK(L2210),"",IF(C2210="Buy",M2210, IF(AND(C2210="Sell",J2210="NA"),(E2210*G2210*100*0.1)+I2210, IF(C2210="Sell",(J2210-L2210)*(100*G2210)+I2210))))))</f>
        <v/>
      </c>
      <c r="O2210" s="75" t="n"/>
      <c r="P2210" s="75" t="n"/>
      <c r="Q2210" s="75">
        <f>IF(ISBLANK(P2210),"",IF(D2210="Stock",P2210*G2210,IF(P2210=0,"0",G2210*P2210*100-(G2210*$AF$14))))</f>
        <v/>
      </c>
      <c r="R2210" s="79">
        <f>IF(P2210&lt;&gt;"", TODAY(), "")</f>
        <v/>
      </c>
      <c r="S2210" s="78">
        <f>IF(AND(K2210&lt;&gt;"", R2210&lt;&gt;""), R2210-K2210, "")</f>
        <v/>
      </c>
      <c r="T2210" s="78" t="n"/>
      <c r="U2210" s="92">
        <f>IF(ISBLANK(P2210),"",IF(C2210="Buy",Q2210-M2210+T2210, IF(C2210="Sell",M2210-Q2210-T2210, X)))</f>
        <v/>
      </c>
      <c r="V2210" s="81">
        <f>IF(ISBLANK(P2210),"",U2210/N2210)</f>
        <v/>
      </c>
      <c r="W2210" s="81">
        <f>IF(ISBLANK(P2210),"",IF(S2210=0,(365/0.5)*V2210,(365/S2210)*V2210))</f>
        <v/>
      </c>
      <c r="X2210" s="75" t="n"/>
      <c r="Y2210" s="77" t="n"/>
      <c r="Z2210" s="77" t="n"/>
      <c r="AA2210" s="75" t="n"/>
      <c r="AB2210" s="75" t="n"/>
      <c r="AC2210" s="6" t="n"/>
      <c r="AD2210" s="75" t="n"/>
      <c r="AE2210" s="75" t="n"/>
      <c r="AF2210" s="75" t="n"/>
    </row>
    <row r="2211" ht="15.75" customHeight="1" s="133">
      <c r="A2211" s="75" t="n"/>
      <c r="B2211" s="75" t="n"/>
      <c r="C2211" s="75" t="n"/>
      <c r="D2211" s="75" t="n"/>
      <c r="E2211" s="76" t="n"/>
      <c r="F2211" s="77" t="n"/>
      <c r="G2211" s="75" t="n"/>
      <c r="H2211" s="75">
        <f>IF(ISBLANK(E2211),"",IF(OR(D2211="Butterfly",D2211="Butterfly ",D2211="Iron Fly", D2211="Iron Fly "),LEN(E2211)-LEN(SUBSTITUTE(E2211,"/",""))+2,LEN(E2211)-LEN(SUBSTITUTE(E2211,"/",""))+1))</f>
        <v/>
      </c>
      <c r="I2211" s="78">
        <f>IF(ISBLANK(G2211),"",IF(D2211="Stock","0",Key!$A$3*H2211*G2211))</f>
        <v/>
      </c>
      <c r="J2211" s="78">
        <f>IF(ISBLANK(E2211),"",IF(ISNUMBER(SEARCH("/",E2211)), IF(LEN(E2211)-LEN(SUBSTITUTE(E2211,"/",""))=1,(RIGHT(E2211,LEN(E2211)-FIND("/",E2211)))-(LEFT(E2211,FIND("/",E2211)-1)),(MID(E2211, SEARCH("/",E2211) + 1, SEARCH("/",E2211, SEARCH("/",E2211)+1) - SEARCH("/",E2211) - 1))-(LEFT(E2211,FIND("/",E2211)-1))), "NA"))</f>
        <v/>
      </c>
      <c r="K2211" s="79">
        <f>IF(A2211&lt;&gt;"", IF(ISBLANK(L2211), TODAY(), K2211), "")</f>
        <v/>
      </c>
      <c r="L2211" s="78" t="n"/>
      <c r="M2211" s="78">
        <f>IF(ISBLANK(L2211),"",IF(D2211="Stock",IF(C2211="Buy",L2211*G2211,IF(C2211="Sell",(L2211*G2211)-I2211, X)),IF(C2211="Buy",(L2211*G2211*100)+I2211,IF(C2211="Sell",(L2211*G2211*100)-I2211, X))))</f>
        <v/>
      </c>
      <c r="N2211" s="78">
        <f>IF(ISBLANK(L2211),"",IF(AND(C2211="Sell",D2211="Stock"),M2211,IF(ISBLANK(L2211),"",IF(C2211="Buy",M2211, IF(AND(C2211="Sell",J2211="NA"),(E2211*G2211*100*0.1)+I2211, IF(C2211="Sell",(J2211-L2211)*(100*G2211)+I2211))))))</f>
        <v/>
      </c>
      <c r="O2211" s="75" t="n"/>
      <c r="P2211" s="75" t="n"/>
      <c r="Q2211" s="75">
        <f>IF(ISBLANK(P2211),"",IF(D2211="Stock",P2211*G2211,IF(P2211=0,"0",G2211*P2211*100-(G2211*$AF$14))))</f>
        <v/>
      </c>
      <c r="R2211" s="79">
        <f>IF(P2211&lt;&gt;"", TODAY(), "")</f>
        <v/>
      </c>
      <c r="S2211" s="78">
        <f>IF(AND(K2211&lt;&gt;"", R2211&lt;&gt;""), R2211-K2211, "")</f>
        <v/>
      </c>
      <c r="T2211" s="78" t="n"/>
      <c r="U2211" s="92">
        <f>IF(ISBLANK(P2211),"",IF(C2211="Buy",Q2211-M2211+T2211, IF(C2211="Sell",M2211-Q2211-T2211, X)))</f>
        <v/>
      </c>
      <c r="V2211" s="81">
        <f>IF(ISBLANK(P2211),"",U2211/N2211)</f>
        <v/>
      </c>
      <c r="W2211" s="81">
        <f>IF(ISBLANK(P2211),"",IF(S2211=0,(365/0.5)*V2211,(365/S2211)*V2211))</f>
        <v/>
      </c>
      <c r="X2211" s="75" t="n"/>
      <c r="Y2211" s="77" t="n"/>
      <c r="Z2211" s="77" t="n"/>
      <c r="AA2211" s="75" t="n"/>
      <c r="AB2211" s="75" t="n"/>
      <c r="AC2211" s="6" t="n"/>
      <c r="AD2211" s="75" t="n"/>
      <c r="AE2211" s="75" t="n"/>
      <c r="AF2211" s="75" t="n"/>
    </row>
    <row r="2212" ht="15.75" customHeight="1" s="133">
      <c r="A2212" s="75" t="n"/>
      <c r="B2212" s="75" t="n"/>
      <c r="C2212" s="75" t="n"/>
      <c r="D2212" s="75" t="n"/>
      <c r="E2212" s="76" t="n"/>
      <c r="F2212" s="77" t="n"/>
      <c r="G2212" s="75" t="n"/>
      <c r="H2212" s="75">
        <f>IF(ISBLANK(E2212),"",IF(OR(D2212="Butterfly",D2212="Butterfly ",D2212="Iron Fly", D2212="Iron Fly "),LEN(E2212)-LEN(SUBSTITUTE(E2212,"/",""))+2,LEN(E2212)-LEN(SUBSTITUTE(E2212,"/",""))+1))</f>
        <v/>
      </c>
      <c r="I2212" s="78">
        <f>IF(ISBLANK(G2212),"",IF(D2212="Stock","0",Key!$A$3*H2212*G2212))</f>
        <v/>
      </c>
      <c r="J2212" s="78">
        <f>IF(ISBLANK(E2212),"",IF(ISNUMBER(SEARCH("/",E2212)), IF(LEN(E2212)-LEN(SUBSTITUTE(E2212,"/",""))=1,(RIGHT(E2212,LEN(E2212)-FIND("/",E2212)))-(LEFT(E2212,FIND("/",E2212)-1)),(MID(E2212, SEARCH("/",E2212) + 1, SEARCH("/",E2212, SEARCH("/",E2212)+1) - SEARCH("/",E2212) - 1))-(LEFT(E2212,FIND("/",E2212)-1))), "NA"))</f>
        <v/>
      </c>
      <c r="K2212" s="79">
        <f>IF(A2212&lt;&gt;"", IF(ISBLANK(L2212), TODAY(), K2212), "")</f>
        <v/>
      </c>
      <c r="L2212" s="78" t="n"/>
      <c r="M2212" s="78">
        <f>IF(ISBLANK(L2212),"",IF(D2212="Stock",IF(C2212="Buy",L2212*G2212,IF(C2212="Sell",(L2212*G2212)-I2212, X)),IF(C2212="Buy",(L2212*G2212*100)+I2212,IF(C2212="Sell",(L2212*G2212*100)-I2212, X))))</f>
        <v/>
      </c>
      <c r="N2212" s="78">
        <f>IF(ISBLANK(L2212),"",IF(AND(C2212="Sell",D2212="Stock"),M2212,IF(ISBLANK(L2212),"",IF(C2212="Buy",M2212, IF(AND(C2212="Sell",J2212="NA"),(E2212*G2212*100*0.1)+I2212, IF(C2212="Sell",(J2212-L2212)*(100*G2212)+I2212))))))</f>
        <v/>
      </c>
      <c r="O2212" s="75" t="n"/>
      <c r="P2212" s="75" t="n"/>
      <c r="Q2212" s="75">
        <f>IF(ISBLANK(P2212),"",IF(D2212="Stock",P2212*G2212,IF(P2212=0,"0",G2212*P2212*100-(G2212*$AF$14))))</f>
        <v/>
      </c>
      <c r="R2212" s="79">
        <f>IF(P2212&lt;&gt;"", TODAY(), "")</f>
        <v/>
      </c>
      <c r="S2212" s="78">
        <f>IF(AND(K2212&lt;&gt;"", R2212&lt;&gt;""), R2212-K2212, "")</f>
        <v/>
      </c>
      <c r="T2212" s="78" t="n"/>
      <c r="U2212" s="92">
        <f>IF(ISBLANK(P2212),"",IF(C2212="Buy",Q2212-M2212+T2212, IF(C2212="Sell",M2212-Q2212-T2212, X)))</f>
        <v/>
      </c>
      <c r="V2212" s="81">
        <f>IF(ISBLANK(P2212),"",U2212/N2212)</f>
        <v/>
      </c>
      <c r="W2212" s="81">
        <f>IF(ISBLANK(P2212),"",IF(S2212=0,(365/0.5)*V2212,(365/S2212)*V2212))</f>
        <v/>
      </c>
      <c r="X2212" s="75" t="n"/>
      <c r="Y2212" s="77" t="n"/>
      <c r="Z2212" s="77" t="n"/>
      <c r="AA2212" s="75" t="n"/>
      <c r="AB2212" s="75" t="n"/>
      <c r="AC2212" s="6" t="n"/>
      <c r="AD2212" s="75" t="n"/>
      <c r="AE2212" s="75" t="n"/>
      <c r="AF2212" s="75" t="n"/>
    </row>
    <row r="2213" ht="15.75" customHeight="1" s="133">
      <c r="A2213" s="75" t="n"/>
      <c r="B2213" s="75" t="n"/>
      <c r="C2213" s="75" t="n"/>
      <c r="D2213" s="75" t="n"/>
      <c r="E2213" s="76" t="n"/>
      <c r="F2213" s="77" t="n"/>
      <c r="G2213" s="75" t="n"/>
      <c r="H2213" s="75">
        <f>IF(ISBLANK(E2213),"",IF(OR(D2213="Butterfly",D2213="Butterfly ",D2213="Iron Fly", D2213="Iron Fly "),LEN(E2213)-LEN(SUBSTITUTE(E2213,"/",""))+2,LEN(E2213)-LEN(SUBSTITUTE(E2213,"/",""))+1))</f>
        <v/>
      </c>
      <c r="I2213" s="78">
        <f>IF(ISBLANK(G2213),"",IF(D2213="Stock","0",Key!$A$3*H2213*G2213))</f>
        <v/>
      </c>
      <c r="J2213" s="78">
        <f>IF(ISBLANK(E2213),"",IF(ISNUMBER(SEARCH("/",E2213)), IF(LEN(E2213)-LEN(SUBSTITUTE(E2213,"/",""))=1,(RIGHT(E2213,LEN(E2213)-FIND("/",E2213)))-(LEFT(E2213,FIND("/",E2213)-1)),(MID(E2213, SEARCH("/",E2213) + 1, SEARCH("/",E2213, SEARCH("/",E2213)+1) - SEARCH("/",E2213) - 1))-(LEFT(E2213,FIND("/",E2213)-1))), "NA"))</f>
        <v/>
      </c>
      <c r="K2213" s="79">
        <f>IF(A2213&lt;&gt;"", IF(ISBLANK(L2213), TODAY(), K2213), "")</f>
        <v/>
      </c>
      <c r="L2213" s="78" t="n"/>
      <c r="M2213" s="78">
        <f>IF(ISBLANK(L2213),"",IF(D2213="Stock",IF(C2213="Buy",L2213*G2213,IF(C2213="Sell",(L2213*G2213)-I2213, X)),IF(C2213="Buy",(L2213*G2213*100)+I2213,IF(C2213="Sell",(L2213*G2213*100)-I2213, X))))</f>
        <v/>
      </c>
      <c r="N2213" s="78">
        <f>IF(ISBLANK(L2213),"",IF(AND(C2213="Sell",D2213="Stock"),M2213,IF(ISBLANK(L2213),"",IF(C2213="Buy",M2213, IF(AND(C2213="Sell",J2213="NA"),(E2213*G2213*100*0.1)+I2213, IF(C2213="Sell",(J2213-L2213)*(100*G2213)+I2213))))))</f>
        <v/>
      </c>
      <c r="O2213" s="75" t="n"/>
      <c r="P2213" s="75" t="n"/>
      <c r="Q2213" s="75">
        <f>IF(ISBLANK(P2213),"",IF(D2213="Stock",P2213*G2213,IF(P2213=0,"0",G2213*P2213*100-(G2213*$AF$14))))</f>
        <v/>
      </c>
      <c r="R2213" s="79">
        <f>IF(P2213&lt;&gt;"", TODAY(), "")</f>
        <v/>
      </c>
      <c r="S2213" s="78">
        <f>IF(AND(K2213&lt;&gt;"", R2213&lt;&gt;""), R2213-K2213, "")</f>
        <v/>
      </c>
      <c r="T2213" s="78" t="n"/>
      <c r="U2213" s="92">
        <f>IF(ISBLANK(P2213),"",IF(C2213="Buy",Q2213-M2213+T2213, IF(C2213="Sell",M2213-Q2213-T2213, X)))</f>
        <v/>
      </c>
      <c r="V2213" s="81">
        <f>IF(ISBLANK(P2213),"",U2213/N2213)</f>
        <v/>
      </c>
      <c r="W2213" s="81">
        <f>IF(ISBLANK(P2213),"",IF(S2213=0,(365/0.5)*V2213,(365/S2213)*V2213))</f>
        <v/>
      </c>
      <c r="X2213" s="75" t="n"/>
      <c r="Y2213" s="77" t="n"/>
      <c r="Z2213" s="77" t="n"/>
      <c r="AA2213" s="75" t="n"/>
      <c r="AB2213" s="75" t="n"/>
      <c r="AC2213" s="6" t="n"/>
      <c r="AD2213" s="75" t="n"/>
      <c r="AE2213" s="75" t="n"/>
      <c r="AF2213" s="75" t="n"/>
    </row>
    <row r="2214" ht="15.75" customHeight="1" s="133">
      <c r="A2214" s="75" t="n"/>
      <c r="B2214" s="75" t="n"/>
      <c r="C2214" s="75" t="n"/>
      <c r="D2214" s="75" t="n"/>
      <c r="E2214" s="76" t="n"/>
      <c r="F2214" s="77" t="n"/>
      <c r="G2214" s="75" t="n"/>
      <c r="H2214" s="75">
        <f>IF(ISBLANK(E2214),"",IF(OR(D2214="Butterfly",D2214="Butterfly ",D2214="Iron Fly", D2214="Iron Fly "),LEN(E2214)-LEN(SUBSTITUTE(E2214,"/",""))+2,LEN(E2214)-LEN(SUBSTITUTE(E2214,"/",""))+1))</f>
        <v/>
      </c>
      <c r="I2214" s="78">
        <f>IF(ISBLANK(G2214),"",IF(D2214="Stock","0",Key!$A$3*H2214*G2214))</f>
        <v/>
      </c>
      <c r="J2214" s="78">
        <f>IF(ISBLANK(E2214),"",IF(ISNUMBER(SEARCH("/",E2214)), IF(LEN(E2214)-LEN(SUBSTITUTE(E2214,"/",""))=1,(RIGHT(E2214,LEN(E2214)-FIND("/",E2214)))-(LEFT(E2214,FIND("/",E2214)-1)),(MID(E2214, SEARCH("/",E2214) + 1, SEARCH("/",E2214, SEARCH("/",E2214)+1) - SEARCH("/",E2214) - 1))-(LEFT(E2214,FIND("/",E2214)-1))), "NA"))</f>
        <v/>
      </c>
      <c r="K2214" s="79">
        <f>IF(A2214&lt;&gt;"", IF(ISBLANK(L2214), TODAY(), K2214), "")</f>
        <v/>
      </c>
      <c r="L2214" s="78" t="n"/>
      <c r="M2214" s="78">
        <f>IF(ISBLANK(L2214),"",IF(D2214="Stock",IF(C2214="Buy",L2214*G2214,IF(C2214="Sell",(L2214*G2214)-I2214, X)),IF(C2214="Buy",(L2214*G2214*100)+I2214,IF(C2214="Sell",(L2214*G2214*100)-I2214, X))))</f>
        <v/>
      </c>
      <c r="N2214" s="78">
        <f>IF(ISBLANK(L2214),"",IF(AND(C2214="Sell",D2214="Stock"),M2214,IF(ISBLANK(L2214),"",IF(C2214="Buy",M2214, IF(AND(C2214="Sell",J2214="NA"),(E2214*G2214*100*0.1)+I2214, IF(C2214="Sell",(J2214-L2214)*(100*G2214)+I2214))))))</f>
        <v/>
      </c>
      <c r="O2214" s="75" t="n"/>
      <c r="P2214" s="75" t="n"/>
      <c r="Q2214" s="75">
        <f>IF(ISBLANK(P2214),"",IF(D2214="Stock",P2214*G2214,IF(P2214=0,"0",G2214*P2214*100-(G2214*$AF$14))))</f>
        <v/>
      </c>
      <c r="R2214" s="79">
        <f>IF(P2214&lt;&gt;"", TODAY(), "")</f>
        <v/>
      </c>
      <c r="S2214" s="78">
        <f>IF(AND(K2214&lt;&gt;"", R2214&lt;&gt;""), R2214-K2214, "")</f>
        <v/>
      </c>
      <c r="T2214" s="78" t="n"/>
      <c r="U2214" s="92">
        <f>IF(ISBLANK(P2214),"",IF(C2214="Buy",Q2214-M2214+T2214, IF(C2214="Sell",M2214-Q2214-T2214, X)))</f>
        <v/>
      </c>
      <c r="V2214" s="81">
        <f>IF(ISBLANK(P2214),"",U2214/N2214)</f>
        <v/>
      </c>
      <c r="W2214" s="81">
        <f>IF(ISBLANK(P2214),"",IF(S2214=0,(365/0.5)*V2214,(365/S2214)*V2214))</f>
        <v/>
      </c>
      <c r="X2214" s="75" t="n"/>
      <c r="Y2214" s="77" t="n"/>
      <c r="Z2214" s="77" t="n"/>
      <c r="AA2214" s="75" t="n"/>
      <c r="AB2214" s="75" t="n"/>
      <c r="AC2214" s="6" t="n"/>
      <c r="AD2214" s="75" t="n"/>
      <c r="AE2214" s="75" t="n"/>
      <c r="AF2214" s="75" t="n"/>
    </row>
    <row r="2215" ht="15.75" customHeight="1" s="133">
      <c r="A2215" s="75" t="n"/>
      <c r="B2215" s="75" t="n"/>
      <c r="C2215" s="75" t="n"/>
      <c r="D2215" s="75" t="n"/>
      <c r="E2215" s="76" t="n"/>
      <c r="F2215" s="77" t="n"/>
      <c r="G2215" s="75" t="n"/>
      <c r="H2215" s="75">
        <f>IF(ISBLANK(E2215),"",IF(OR(D2215="Butterfly",D2215="Butterfly ",D2215="Iron Fly", D2215="Iron Fly "),LEN(E2215)-LEN(SUBSTITUTE(E2215,"/",""))+2,LEN(E2215)-LEN(SUBSTITUTE(E2215,"/",""))+1))</f>
        <v/>
      </c>
      <c r="I2215" s="78">
        <f>IF(ISBLANK(G2215),"",IF(D2215="Stock","0",Key!$A$3*H2215*G2215))</f>
        <v/>
      </c>
      <c r="J2215" s="78">
        <f>IF(ISBLANK(E2215),"",IF(ISNUMBER(SEARCH("/",E2215)), IF(LEN(E2215)-LEN(SUBSTITUTE(E2215,"/",""))=1,(RIGHT(E2215,LEN(E2215)-FIND("/",E2215)))-(LEFT(E2215,FIND("/",E2215)-1)),(MID(E2215, SEARCH("/",E2215) + 1, SEARCH("/",E2215, SEARCH("/",E2215)+1) - SEARCH("/",E2215) - 1))-(LEFT(E2215,FIND("/",E2215)-1))), "NA"))</f>
        <v/>
      </c>
      <c r="K2215" s="79">
        <f>IF(A2215&lt;&gt;"", IF(ISBLANK(L2215), TODAY(), K2215), "")</f>
        <v/>
      </c>
      <c r="L2215" s="78" t="n"/>
      <c r="M2215" s="78">
        <f>IF(ISBLANK(L2215),"",IF(D2215="Stock",IF(C2215="Buy",L2215*G2215,IF(C2215="Sell",(L2215*G2215)-I2215, X)),IF(C2215="Buy",(L2215*G2215*100)+I2215,IF(C2215="Sell",(L2215*G2215*100)-I2215, X))))</f>
        <v/>
      </c>
      <c r="N2215" s="78">
        <f>IF(ISBLANK(L2215),"",IF(AND(C2215="Sell",D2215="Stock"),M2215,IF(ISBLANK(L2215),"",IF(C2215="Buy",M2215, IF(AND(C2215="Sell",J2215="NA"),(E2215*G2215*100*0.1)+I2215, IF(C2215="Sell",(J2215-L2215)*(100*G2215)+I2215))))))</f>
        <v/>
      </c>
      <c r="O2215" s="75" t="n"/>
      <c r="P2215" s="75" t="n"/>
      <c r="Q2215" s="75">
        <f>IF(ISBLANK(P2215),"",IF(D2215="Stock",P2215*G2215,IF(P2215=0,"0",G2215*P2215*100-(G2215*$AF$14))))</f>
        <v/>
      </c>
      <c r="R2215" s="79">
        <f>IF(P2215&lt;&gt;"", TODAY(), "")</f>
        <v/>
      </c>
      <c r="S2215" s="78">
        <f>IF(AND(K2215&lt;&gt;"", R2215&lt;&gt;""), R2215-K2215, "")</f>
        <v/>
      </c>
      <c r="T2215" s="78" t="n"/>
      <c r="U2215" s="92">
        <f>IF(ISBLANK(P2215),"",IF(C2215="Buy",Q2215-M2215+T2215, IF(C2215="Sell",M2215-Q2215-T2215, X)))</f>
        <v/>
      </c>
      <c r="V2215" s="81">
        <f>IF(ISBLANK(P2215),"",U2215/N2215)</f>
        <v/>
      </c>
      <c r="W2215" s="81">
        <f>IF(ISBLANK(P2215),"",IF(S2215=0,(365/0.5)*V2215,(365/S2215)*V2215))</f>
        <v/>
      </c>
      <c r="X2215" s="75" t="n"/>
      <c r="Y2215" s="77" t="n"/>
      <c r="Z2215" s="77" t="n"/>
      <c r="AA2215" s="75" t="n"/>
      <c r="AB2215" s="75" t="n"/>
      <c r="AC2215" s="6" t="n"/>
      <c r="AD2215" s="75" t="n"/>
      <c r="AE2215" s="75" t="n"/>
      <c r="AF2215" s="75" t="n"/>
    </row>
    <row r="2216" ht="15.75" customHeight="1" s="133">
      <c r="A2216" s="75" t="n"/>
      <c r="B2216" s="75" t="n"/>
      <c r="C2216" s="75" t="n"/>
      <c r="D2216" s="75" t="n"/>
      <c r="E2216" s="76" t="n"/>
      <c r="F2216" s="77" t="n"/>
      <c r="G2216" s="75" t="n"/>
      <c r="H2216" s="75">
        <f>IF(ISBLANK(E2216),"",IF(OR(D2216="Butterfly",D2216="Butterfly ",D2216="Iron Fly", D2216="Iron Fly "),LEN(E2216)-LEN(SUBSTITUTE(E2216,"/",""))+2,LEN(E2216)-LEN(SUBSTITUTE(E2216,"/",""))+1))</f>
        <v/>
      </c>
      <c r="I2216" s="78">
        <f>IF(ISBLANK(G2216),"",IF(D2216="Stock","0",Key!$A$3*H2216*G2216))</f>
        <v/>
      </c>
      <c r="J2216" s="78">
        <f>IF(ISBLANK(E2216),"",IF(ISNUMBER(SEARCH("/",E2216)), IF(LEN(E2216)-LEN(SUBSTITUTE(E2216,"/",""))=1,(RIGHT(E2216,LEN(E2216)-FIND("/",E2216)))-(LEFT(E2216,FIND("/",E2216)-1)),(MID(E2216, SEARCH("/",E2216) + 1, SEARCH("/",E2216, SEARCH("/",E2216)+1) - SEARCH("/",E2216) - 1))-(LEFT(E2216,FIND("/",E2216)-1))), "NA"))</f>
        <v/>
      </c>
      <c r="K2216" s="79">
        <f>IF(A2216&lt;&gt;"", IF(ISBLANK(L2216), TODAY(), K2216), "")</f>
        <v/>
      </c>
      <c r="L2216" s="78" t="n"/>
      <c r="M2216" s="78">
        <f>IF(ISBLANK(L2216),"",IF(D2216="Stock",IF(C2216="Buy",L2216*G2216,IF(C2216="Sell",(L2216*G2216)-I2216, X)),IF(C2216="Buy",(L2216*G2216*100)+I2216,IF(C2216="Sell",(L2216*G2216*100)-I2216, X))))</f>
        <v/>
      </c>
      <c r="N2216" s="78">
        <f>IF(ISBLANK(L2216),"",IF(AND(C2216="Sell",D2216="Stock"),M2216,IF(ISBLANK(L2216),"",IF(C2216="Buy",M2216, IF(AND(C2216="Sell",J2216="NA"),(E2216*G2216*100*0.1)+I2216, IF(C2216="Sell",(J2216-L2216)*(100*G2216)+I2216))))))</f>
        <v/>
      </c>
      <c r="O2216" s="75" t="n"/>
      <c r="P2216" s="75" t="n"/>
      <c r="Q2216" s="75">
        <f>IF(ISBLANK(P2216),"",IF(D2216="Stock",P2216*G2216,IF(P2216=0,"0",G2216*P2216*100-(G2216*$AF$14))))</f>
        <v/>
      </c>
      <c r="R2216" s="79">
        <f>IF(P2216&lt;&gt;"", TODAY(), "")</f>
        <v/>
      </c>
      <c r="S2216" s="78">
        <f>IF(AND(K2216&lt;&gt;"", R2216&lt;&gt;""), R2216-K2216, "")</f>
        <v/>
      </c>
      <c r="T2216" s="78" t="n"/>
      <c r="U2216" s="92">
        <f>IF(ISBLANK(P2216),"",IF(C2216="Buy",Q2216-M2216+T2216, IF(C2216="Sell",M2216-Q2216-T2216, X)))</f>
        <v/>
      </c>
      <c r="V2216" s="81">
        <f>IF(ISBLANK(P2216),"",U2216/N2216)</f>
        <v/>
      </c>
      <c r="W2216" s="81">
        <f>IF(ISBLANK(P2216),"",IF(S2216=0,(365/0.5)*V2216,(365/S2216)*V2216))</f>
        <v/>
      </c>
      <c r="X2216" s="75" t="n"/>
      <c r="Y2216" s="77" t="n"/>
      <c r="Z2216" s="77" t="n"/>
      <c r="AA2216" s="75" t="n"/>
      <c r="AB2216" s="75" t="n"/>
      <c r="AC2216" s="6" t="n"/>
      <c r="AD2216" s="75" t="n"/>
      <c r="AE2216" s="75" t="n"/>
      <c r="AF2216" s="75" t="n"/>
    </row>
    <row r="2217" ht="15.75" customHeight="1" s="133">
      <c r="A2217" s="75" t="n"/>
      <c r="B2217" s="75" t="n"/>
      <c r="C2217" s="75" t="n"/>
      <c r="D2217" s="75" t="n"/>
      <c r="E2217" s="76" t="n"/>
      <c r="F2217" s="77" t="n"/>
      <c r="G2217" s="75" t="n"/>
      <c r="H2217" s="75">
        <f>IF(ISBLANK(E2217),"",IF(OR(D2217="Butterfly",D2217="Butterfly ",D2217="Iron Fly", D2217="Iron Fly "),LEN(E2217)-LEN(SUBSTITUTE(E2217,"/",""))+2,LEN(E2217)-LEN(SUBSTITUTE(E2217,"/",""))+1))</f>
        <v/>
      </c>
      <c r="I2217" s="78">
        <f>IF(ISBLANK(G2217),"",IF(D2217="Stock","0",Key!$A$3*H2217*G2217))</f>
        <v/>
      </c>
      <c r="J2217" s="78">
        <f>IF(ISBLANK(E2217),"",IF(ISNUMBER(SEARCH("/",E2217)), IF(LEN(E2217)-LEN(SUBSTITUTE(E2217,"/",""))=1,(RIGHT(E2217,LEN(E2217)-FIND("/",E2217)))-(LEFT(E2217,FIND("/",E2217)-1)),(MID(E2217, SEARCH("/",E2217) + 1, SEARCH("/",E2217, SEARCH("/",E2217)+1) - SEARCH("/",E2217) - 1))-(LEFT(E2217,FIND("/",E2217)-1))), "NA"))</f>
        <v/>
      </c>
      <c r="K2217" s="79">
        <f>IF(A2217&lt;&gt;"", IF(ISBLANK(L2217), TODAY(), K2217), "")</f>
        <v/>
      </c>
      <c r="L2217" s="78" t="n"/>
      <c r="M2217" s="78">
        <f>IF(ISBLANK(L2217),"",IF(D2217="Stock",IF(C2217="Buy",L2217*G2217,IF(C2217="Sell",(L2217*G2217)-I2217, X)),IF(C2217="Buy",(L2217*G2217*100)+I2217,IF(C2217="Sell",(L2217*G2217*100)-I2217, X))))</f>
        <v/>
      </c>
      <c r="N2217" s="78">
        <f>IF(ISBLANK(L2217),"",IF(AND(C2217="Sell",D2217="Stock"),M2217,IF(ISBLANK(L2217),"",IF(C2217="Buy",M2217, IF(AND(C2217="Sell",J2217="NA"),(E2217*G2217*100*0.1)+I2217, IF(C2217="Sell",(J2217-L2217)*(100*G2217)+I2217))))))</f>
        <v/>
      </c>
      <c r="O2217" s="75" t="n"/>
      <c r="P2217" s="75" t="n"/>
      <c r="Q2217" s="75">
        <f>IF(ISBLANK(P2217),"",IF(D2217="Stock",P2217*G2217,IF(P2217=0,"0",G2217*P2217*100-(G2217*$AF$14))))</f>
        <v/>
      </c>
      <c r="R2217" s="79">
        <f>IF(P2217&lt;&gt;"", TODAY(), "")</f>
        <v/>
      </c>
      <c r="S2217" s="78">
        <f>IF(AND(K2217&lt;&gt;"", R2217&lt;&gt;""), R2217-K2217, "")</f>
        <v/>
      </c>
      <c r="T2217" s="78" t="n"/>
      <c r="U2217" s="92">
        <f>IF(ISBLANK(P2217),"",IF(C2217="Buy",Q2217-M2217+T2217, IF(C2217="Sell",M2217-Q2217-T2217, X)))</f>
        <v/>
      </c>
      <c r="V2217" s="81">
        <f>IF(ISBLANK(P2217),"",U2217/N2217)</f>
        <v/>
      </c>
      <c r="W2217" s="81">
        <f>IF(ISBLANK(P2217),"",IF(S2217=0,(365/0.5)*V2217,(365/S2217)*V2217))</f>
        <v/>
      </c>
      <c r="X2217" s="75" t="n"/>
      <c r="Y2217" s="77" t="n"/>
      <c r="Z2217" s="77" t="n"/>
      <c r="AA2217" s="75" t="n"/>
      <c r="AB2217" s="75" t="n"/>
      <c r="AC2217" s="6" t="n"/>
      <c r="AD2217" s="75" t="n"/>
      <c r="AE2217" s="75" t="n"/>
      <c r="AF2217" s="75" t="n"/>
    </row>
    <row r="2218" ht="15.75" customHeight="1" s="133">
      <c r="A2218" s="75" t="n"/>
      <c r="B2218" s="75" t="n"/>
      <c r="C2218" s="75" t="n"/>
      <c r="D2218" s="75" t="n"/>
      <c r="E2218" s="76" t="n"/>
      <c r="F2218" s="77" t="n"/>
      <c r="G2218" s="75" t="n"/>
      <c r="H2218" s="75">
        <f>IF(ISBLANK(E2218),"",IF(OR(D2218="Butterfly",D2218="Butterfly ",D2218="Iron Fly", D2218="Iron Fly "),LEN(E2218)-LEN(SUBSTITUTE(E2218,"/",""))+2,LEN(E2218)-LEN(SUBSTITUTE(E2218,"/",""))+1))</f>
        <v/>
      </c>
      <c r="I2218" s="78">
        <f>IF(ISBLANK(G2218),"",IF(D2218="Stock","0",Key!$A$3*H2218*G2218))</f>
        <v/>
      </c>
      <c r="J2218" s="78">
        <f>IF(ISBLANK(E2218),"",IF(ISNUMBER(SEARCH("/",E2218)), IF(LEN(E2218)-LEN(SUBSTITUTE(E2218,"/",""))=1,(RIGHT(E2218,LEN(E2218)-FIND("/",E2218)))-(LEFT(E2218,FIND("/",E2218)-1)),(MID(E2218, SEARCH("/",E2218) + 1, SEARCH("/",E2218, SEARCH("/",E2218)+1) - SEARCH("/",E2218) - 1))-(LEFT(E2218,FIND("/",E2218)-1))), "NA"))</f>
        <v/>
      </c>
      <c r="K2218" s="79">
        <f>IF(A2218&lt;&gt;"", IF(ISBLANK(L2218), TODAY(), K2218), "")</f>
        <v/>
      </c>
      <c r="L2218" s="78" t="n"/>
      <c r="M2218" s="78">
        <f>IF(ISBLANK(L2218),"",IF(D2218="Stock",IF(C2218="Buy",L2218*G2218,IF(C2218="Sell",(L2218*G2218)-I2218, X)),IF(C2218="Buy",(L2218*G2218*100)+I2218,IF(C2218="Sell",(L2218*G2218*100)-I2218, X))))</f>
        <v/>
      </c>
      <c r="N2218" s="78">
        <f>IF(ISBLANK(L2218),"",IF(AND(C2218="Sell",D2218="Stock"),M2218,IF(ISBLANK(L2218),"",IF(C2218="Buy",M2218, IF(AND(C2218="Sell",J2218="NA"),(E2218*G2218*100*0.1)+I2218, IF(C2218="Sell",(J2218-L2218)*(100*G2218)+I2218))))))</f>
        <v/>
      </c>
      <c r="O2218" s="75" t="n"/>
      <c r="P2218" s="75" t="n"/>
      <c r="Q2218" s="75">
        <f>IF(ISBLANK(P2218),"",IF(D2218="Stock",P2218*G2218,IF(P2218=0,"0",G2218*P2218*100-(G2218*$AF$14))))</f>
        <v/>
      </c>
      <c r="R2218" s="79">
        <f>IF(P2218&lt;&gt;"", TODAY(), "")</f>
        <v/>
      </c>
      <c r="S2218" s="78">
        <f>IF(AND(K2218&lt;&gt;"", R2218&lt;&gt;""), R2218-K2218, "")</f>
        <v/>
      </c>
      <c r="T2218" s="78" t="n"/>
      <c r="U2218" s="92">
        <f>IF(ISBLANK(P2218),"",IF(C2218="Buy",Q2218-M2218+T2218, IF(C2218="Sell",M2218-Q2218-T2218, X)))</f>
        <v/>
      </c>
      <c r="V2218" s="81">
        <f>IF(ISBLANK(P2218),"",U2218/N2218)</f>
        <v/>
      </c>
      <c r="W2218" s="81">
        <f>IF(ISBLANK(P2218),"",IF(S2218=0,(365/0.5)*V2218,(365/S2218)*V2218))</f>
        <v/>
      </c>
      <c r="X2218" s="75" t="n"/>
      <c r="Y2218" s="77" t="n"/>
      <c r="Z2218" s="77" t="n"/>
      <c r="AA2218" s="75" t="n"/>
      <c r="AB2218" s="75" t="n"/>
      <c r="AC2218" s="6" t="n"/>
      <c r="AD2218" s="75" t="n"/>
      <c r="AE2218" s="75" t="n"/>
      <c r="AF2218" s="75" t="n"/>
    </row>
    <row r="2219" ht="15.75" customHeight="1" s="133">
      <c r="A2219" s="75" t="n"/>
      <c r="B2219" s="75" t="n"/>
      <c r="C2219" s="75" t="n"/>
      <c r="D2219" s="75" t="n"/>
      <c r="E2219" s="76" t="n"/>
      <c r="F2219" s="77" t="n"/>
      <c r="G2219" s="75" t="n"/>
      <c r="H2219" s="75">
        <f>IF(ISBLANK(E2219),"",IF(OR(D2219="Butterfly",D2219="Butterfly ",D2219="Iron Fly", D2219="Iron Fly "),LEN(E2219)-LEN(SUBSTITUTE(E2219,"/",""))+2,LEN(E2219)-LEN(SUBSTITUTE(E2219,"/",""))+1))</f>
        <v/>
      </c>
      <c r="I2219" s="78">
        <f>IF(ISBLANK(G2219),"",IF(D2219="Stock","0",Key!$A$3*H2219*G2219))</f>
        <v/>
      </c>
      <c r="J2219" s="78">
        <f>IF(ISBLANK(E2219),"",IF(ISNUMBER(SEARCH("/",E2219)), IF(LEN(E2219)-LEN(SUBSTITUTE(E2219,"/",""))=1,(RIGHT(E2219,LEN(E2219)-FIND("/",E2219)))-(LEFT(E2219,FIND("/",E2219)-1)),(MID(E2219, SEARCH("/",E2219) + 1, SEARCH("/",E2219, SEARCH("/",E2219)+1) - SEARCH("/",E2219) - 1))-(LEFT(E2219,FIND("/",E2219)-1))), "NA"))</f>
        <v/>
      </c>
      <c r="K2219" s="79">
        <f>IF(A2219&lt;&gt;"", IF(ISBLANK(L2219), TODAY(), K2219), "")</f>
        <v/>
      </c>
      <c r="L2219" s="78" t="n"/>
      <c r="M2219" s="78">
        <f>IF(ISBLANK(L2219),"",IF(D2219="Stock",IF(C2219="Buy",L2219*G2219,IF(C2219="Sell",(L2219*G2219)-I2219, X)),IF(C2219="Buy",(L2219*G2219*100)+I2219,IF(C2219="Sell",(L2219*G2219*100)-I2219, X))))</f>
        <v/>
      </c>
      <c r="N2219" s="78">
        <f>IF(ISBLANK(L2219),"",IF(AND(C2219="Sell",D2219="Stock"),M2219,IF(ISBLANK(L2219),"",IF(C2219="Buy",M2219, IF(AND(C2219="Sell",J2219="NA"),(E2219*G2219*100*0.1)+I2219, IF(C2219="Sell",(J2219-L2219)*(100*G2219)+I2219))))))</f>
        <v/>
      </c>
      <c r="O2219" s="75" t="n"/>
      <c r="P2219" s="75" t="n"/>
      <c r="Q2219" s="75">
        <f>IF(ISBLANK(P2219),"",IF(D2219="Stock",P2219*G2219,IF(P2219=0,"0",G2219*P2219*100-(G2219*$AF$14))))</f>
        <v/>
      </c>
      <c r="R2219" s="79">
        <f>IF(P2219&lt;&gt;"", TODAY(), "")</f>
        <v/>
      </c>
      <c r="S2219" s="78">
        <f>IF(AND(K2219&lt;&gt;"", R2219&lt;&gt;""), R2219-K2219, "")</f>
        <v/>
      </c>
      <c r="T2219" s="78" t="n"/>
      <c r="U2219" s="92">
        <f>IF(ISBLANK(P2219),"",IF(C2219="Buy",Q2219-M2219+T2219, IF(C2219="Sell",M2219-Q2219-T2219, X)))</f>
        <v/>
      </c>
      <c r="V2219" s="81">
        <f>IF(ISBLANK(P2219),"",U2219/N2219)</f>
        <v/>
      </c>
      <c r="W2219" s="81">
        <f>IF(ISBLANK(P2219),"",IF(S2219=0,(365/0.5)*V2219,(365/S2219)*V2219))</f>
        <v/>
      </c>
      <c r="X2219" s="75" t="n"/>
      <c r="Y2219" s="77" t="n"/>
      <c r="Z2219" s="77" t="n"/>
      <c r="AA2219" s="75" t="n"/>
      <c r="AB2219" s="75" t="n"/>
      <c r="AC2219" s="6" t="n"/>
      <c r="AD2219" s="75" t="n"/>
      <c r="AE2219" s="75" t="n"/>
      <c r="AF2219" s="75" t="n"/>
    </row>
    <row r="2220" ht="15.75" customHeight="1" s="133">
      <c r="A2220" s="75" t="n"/>
      <c r="B2220" s="75" t="n"/>
      <c r="C2220" s="75" t="n"/>
      <c r="D2220" s="75" t="n"/>
      <c r="E2220" s="76" t="n"/>
      <c r="F2220" s="77" t="n"/>
      <c r="G2220" s="75" t="n"/>
      <c r="H2220" s="75">
        <f>IF(ISBLANK(E2220),"",IF(OR(D2220="Butterfly",D2220="Butterfly ",D2220="Iron Fly", D2220="Iron Fly "),LEN(E2220)-LEN(SUBSTITUTE(E2220,"/",""))+2,LEN(E2220)-LEN(SUBSTITUTE(E2220,"/",""))+1))</f>
        <v/>
      </c>
      <c r="I2220" s="78">
        <f>IF(ISBLANK(G2220),"",IF(D2220="Stock","0",Key!$A$3*H2220*G2220))</f>
        <v/>
      </c>
      <c r="J2220" s="78">
        <f>IF(ISBLANK(E2220),"",IF(ISNUMBER(SEARCH("/",E2220)), IF(LEN(E2220)-LEN(SUBSTITUTE(E2220,"/",""))=1,(RIGHT(E2220,LEN(E2220)-FIND("/",E2220)))-(LEFT(E2220,FIND("/",E2220)-1)),(MID(E2220, SEARCH("/",E2220) + 1, SEARCH("/",E2220, SEARCH("/",E2220)+1) - SEARCH("/",E2220) - 1))-(LEFT(E2220,FIND("/",E2220)-1))), "NA"))</f>
        <v/>
      </c>
      <c r="K2220" s="79">
        <f>IF(A2220&lt;&gt;"", IF(ISBLANK(L2220), TODAY(), K2220), "")</f>
        <v/>
      </c>
      <c r="L2220" s="78" t="n"/>
      <c r="M2220" s="78">
        <f>IF(ISBLANK(L2220),"",IF(D2220="Stock",IF(C2220="Buy",L2220*G2220,IF(C2220="Sell",(L2220*G2220)-I2220, X)),IF(C2220="Buy",(L2220*G2220*100)+I2220,IF(C2220="Sell",(L2220*G2220*100)-I2220, X))))</f>
        <v/>
      </c>
      <c r="N2220" s="78">
        <f>IF(ISBLANK(L2220),"",IF(AND(C2220="Sell",D2220="Stock"),M2220,IF(ISBLANK(L2220),"",IF(C2220="Buy",M2220, IF(AND(C2220="Sell",J2220="NA"),(E2220*G2220*100*0.1)+I2220, IF(C2220="Sell",(J2220-L2220)*(100*G2220)+I2220))))))</f>
        <v/>
      </c>
      <c r="O2220" s="75" t="n"/>
      <c r="P2220" s="75" t="n"/>
      <c r="Q2220" s="75">
        <f>IF(ISBLANK(P2220),"",IF(D2220="Stock",P2220*G2220,IF(P2220=0,"0",G2220*P2220*100-(G2220*$AF$14))))</f>
        <v/>
      </c>
      <c r="R2220" s="79">
        <f>IF(P2220&lt;&gt;"", TODAY(), "")</f>
        <v/>
      </c>
      <c r="S2220" s="78">
        <f>IF(AND(K2220&lt;&gt;"", R2220&lt;&gt;""), R2220-K2220, "")</f>
        <v/>
      </c>
      <c r="T2220" s="78" t="n"/>
      <c r="U2220" s="92">
        <f>IF(ISBLANK(P2220),"",IF(C2220="Buy",Q2220-M2220+T2220, IF(C2220="Sell",M2220-Q2220-T2220, X)))</f>
        <v/>
      </c>
      <c r="V2220" s="81">
        <f>IF(ISBLANK(P2220),"",U2220/N2220)</f>
        <v/>
      </c>
      <c r="W2220" s="81">
        <f>IF(ISBLANK(P2220),"",IF(S2220=0,(365/0.5)*V2220,(365/S2220)*V2220))</f>
        <v/>
      </c>
      <c r="X2220" s="75" t="n"/>
      <c r="Y2220" s="77" t="n"/>
      <c r="Z2220" s="77" t="n"/>
      <c r="AA2220" s="75" t="n"/>
      <c r="AB2220" s="75" t="n"/>
      <c r="AC2220" s="6" t="n"/>
      <c r="AD2220" s="75" t="n"/>
      <c r="AE2220" s="75" t="n"/>
      <c r="AF2220" s="75" t="n"/>
    </row>
    <row r="2221" ht="15.75" customHeight="1" s="133">
      <c r="A2221" s="75" t="n"/>
      <c r="B2221" s="75" t="n"/>
      <c r="C2221" s="75" t="n"/>
      <c r="D2221" s="75" t="n"/>
      <c r="E2221" s="76" t="n"/>
      <c r="F2221" s="77" t="n"/>
      <c r="G2221" s="75" t="n"/>
      <c r="H2221" s="75">
        <f>IF(ISBLANK(E2221),"",IF(OR(D2221="Butterfly",D2221="Butterfly ",D2221="Iron Fly", D2221="Iron Fly "),LEN(E2221)-LEN(SUBSTITUTE(E2221,"/",""))+2,LEN(E2221)-LEN(SUBSTITUTE(E2221,"/",""))+1))</f>
        <v/>
      </c>
      <c r="I2221" s="78">
        <f>IF(ISBLANK(G2221),"",IF(D2221="Stock","0",Key!$A$3*H2221*G2221))</f>
        <v/>
      </c>
      <c r="J2221" s="78">
        <f>IF(ISBLANK(E2221),"",IF(ISNUMBER(SEARCH("/",E2221)), IF(LEN(E2221)-LEN(SUBSTITUTE(E2221,"/",""))=1,(RIGHT(E2221,LEN(E2221)-FIND("/",E2221)))-(LEFT(E2221,FIND("/",E2221)-1)),(MID(E2221, SEARCH("/",E2221) + 1, SEARCH("/",E2221, SEARCH("/",E2221)+1) - SEARCH("/",E2221) - 1))-(LEFT(E2221,FIND("/",E2221)-1))), "NA"))</f>
        <v/>
      </c>
      <c r="K2221" s="79">
        <f>IF(A2221&lt;&gt;"", IF(ISBLANK(L2221), TODAY(), K2221), "")</f>
        <v/>
      </c>
      <c r="L2221" s="78" t="n"/>
      <c r="M2221" s="78">
        <f>IF(ISBLANK(L2221),"",IF(D2221="Stock",IF(C2221="Buy",L2221*G2221,IF(C2221="Sell",(L2221*G2221)-I2221, X)),IF(C2221="Buy",(L2221*G2221*100)+I2221,IF(C2221="Sell",(L2221*G2221*100)-I2221, X))))</f>
        <v/>
      </c>
      <c r="N2221" s="78">
        <f>IF(ISBLANK(L2221),"",IF(AND(C2221="Sell",D2221="Stock"),M2221,IF(ISBLANK(L2221),"",IF(C2221="Buy",M2221, IF(AND(C2221="Sell",J2221="NA"),(E2221*G2221*100*0.1)+I2221, IF(C2221="Sell",(J2221-L2221)*(100*G2221)+I2221))))))</f>
        <v/>
      </c>
      <c r="O2221" s="75" t="n"/>
      <c r="P2221" s="75" t="n"/>
      <c r="Q2221" s="75">
        <f>IF(ISBLANK(P2221),"",IF(D2221="Stock",P2221*G2221,IF(P2221=0,"0",G2221*P2221*100-(G2221*$AF$14))))</f>
        <v/>
      </c>
      <c r="R2221" s="79">
        <f>IF(P2221&lt;&gt;"", TODAY(), "")</f>
        <v/>
      </c>
      <c r="S2221" s="78">
        <f>IF(AND(K2221&lt;&gt;"", R2221&lt;&gt;""), R2221-K2221, "")</f>
        <v/>
      </c>
      <c r="T2221" s="78" t="n"/>
      <c r="U2221" s="92">
        <f>IF(ISBLANK(P2221),"",IF(C2221="Buy",Q2221-M2221+T2221, IF(C2221="Sell",M2221-Q2221-T2221, X)))</f>
        <v/>
      </c>
      <c r="V2221" s="81">
        <f>IF(ISBLANK(P2221),"",U2221/N2221)</f>
        <v/>
      </c>
      <c r="W2221" s="81">
        <f>IF(ISBLANK(P2221),"",IF(S2221=0,(365/0.5)*V2221,(365/S2221)*V2221))</f>
        <v/>
      </c>
      <c r="X2221" s="75" t="n"/>
      <c r="Y2221" s="77" t="n"/>
      <c r="Z2221" s="77" t="n"/>
      <c r="AA2221" s="75" t="n"/>
      <c r="AB2221" s="75" t="n"/>
      <c r="AC2221" s="6" t="n"/>
      <c r="AD2221" s="75" t="n"/>
      <c r="AE2221" s="75" t="n"/>
      <c r="AF2221" s="75" t="n"/>
    </row>
    <row r="2222" ht="15.75" customHeight="1" s="133">
      <c r="A2222" s="75" t="n"/>
      <c r="B2222" s="75" t="n"/>
      <c r="C2222" s="75" t="n"/>
      <c r="D2222" s="75" t="n"/>
      <c r="E2222" s="76" t="n"/>
      <c r="F2222" s="77" t="n"/>
      <c r="G2222" s="75" t="n"/>
      <c r="H2222" s="75">
        <f>IF(ISBLANK(E2222),"",IF(OR(D2222="Butterfly",D2222="Butterfly ",D2222="Iron Fly", D2222="Iron Fly "),LEN(E2222)-LEN(SUBSTITUTE(E2222,"/",""))+2,LEN(E2222)-LEN(SUBSTITUTE(E2222,"/",""))+1))</f>
        <v/>
      </c>
      <c r="I2222" s="78">
        <f>IF(ISBLANK(G2222),"",IF(D2222="Stock","0",Key!$A$3*H2222*G2222))</f>
        <v/>
      </c>
      <c r="J2222" s="78">
        <f>IF(ISBLANK(E2222),"",IF(ISNUMBER(SEARCH("/",E2222)), IF(LEN(E2222)-LEN(SUBSTITUTE(E2222,"/",""))=1,(RIGHT(E2222,LEN(E2222)-FIND("/",E2222)))-(LEFT(E2222,FIND("/",E2222)-1)),(MID(E2222, SEARCH("/",E2222) + 1, SEARCH("/",E2222, SEARCH("/",E2222)+1) - SEARCH("/",E2222) - 1))-(LEFT(E2222,FIND("/",E2222)-1))), "NA"))</f>
        <v/>
      </c>
      <c r="K2222" s="79">
        <f>IF(A2222&lt;&gt;"", IF(ISBLANK(L2222), TODAY(), K2222), "")</f>
        <v/>
      </c>
      <c r="L2222" s="78" t="n"/>
      <c r="M2222" s="78">
        <f>IF(ISBLANK(L2222),"",IF(D2222="Stock",IF(C2222="Buy",L2222*G2222,IF(C2222="Sell",(L2222*G2222)-I2222, X)),IF(C2222="Buy",(L2222*G2222*100)+I2222,IF(C2222="Sell",(L2222*G2222*100)-I2222, X))))</f>
        <v/>
      </c>
      <c r="N2222" s="78">
        <f>IF(ISBLANK(L2222),"",IF(AND(C2222="Sell",D2222="Stock"),M2222,IF(ISBLANK(L2222),"",IF(C2222="Buy",M2222, IF(AND(C2222="Sell",J2222="NA"),(E2222*G2222*100*0.1)+I2222, IF(C2222="Sell",(J2222-L2222)*(100*G2222)+I2222))))))</f>
        <v/>
      </c>
      <c r="O2222" s="75" t="n"/>
      <c r="P2222" s="75" t="n"/>
      <c r="Q2222" s="75">
        <f>IF(ISBLANK(P2222),"",IF(D2222="Stock",P2222*G2222,IF(P2222=0,"0",G2222*P2222*100-(G2222*$AF$14))))</f>
        <v/>
      </c>
      <c r="R2222" s="79">
        <f>IF(P2222&lt;&gt;"", TODAY(), "")</f>
        <v/>
      </c>
      <c r="S2222" s="78">
        <f>IF(AND(K2222&lt;&gt;"", R2222&lt;&gt;""), R2222-K2222, "")</f>
        <v/>
      </c>
      <c r="T2222" s="78" t="n"/>
      <c r="U2222" s="92">
        <f>IF(ISBLANK(P2222),"",IF(C2222="Buy",Q2222-M2222+T2222, IF(C2222="Sell",M2222-Q2222-T2222, X)))</f>
        <v/>
      </c>
      <c r="V2222" s="81">
        <f>IF(ISBLANK(P2222),"",U2222/N2222)</f>
        <v/>
      </c>
      <c r="W2222" s="81">
        <f>IF(ISBLANK(P2222),"",IF(S2222=0,(365/0.5)*V2222,(365/S2222)*V2222))</f>
        <v/>
      </c>
      <c r="X2222" s="75" t="n"/>
      <c r="Y2222" s="77" t="n"/>
      <c r="Z2222" s="77" t="n"/>
      <c r="AA2222" s="75" t="n"/>
      <c r="AB2222" s="75" t="n"/>
      <c r="AC2222" s="6" t="n"/>
      <c r="AD2222" s="75" t="n"/>
      <c r="AE2222" s="75" t="n"/>
      <c r="AF2222" s="75" t="n"/>
    </row>
    <row r="2223" ht="15.75" customHeight="1" s="133">
      <c r="A2223" s="75" t="n"/>
      <c r="B2223" s="75" t="n"/>
      <c r="C2223" s="75" t="n"/>
      <c r="D2223" s="75" t="n"/>
      <c r="E2223" s="76" t="n"/>
      <c r="F2223" s="77" t="n"/>
      <c r="G2223" s="75" t="n"/>
      <c r="H2223" s="75">
        <f>IF(ISBLANK(E2223),"",IF(OR(D2223="Butterfly",D2223="Butterfly ",D2223="Iron Fly", D2223="Iron Fly "),LEN(E2223)-LEN(SUBSTITUTE(E2223,"/",""))+2,LEN(E2223)-LEN(SUBSTITUTE(E2223,"/",""))+1))</f>
        <v/>
      </c>
      <c r="I2223" s="78">
        <f>IF(ISBLANK(G2223),"",IF(D2223="Stock","0",Key!$A$3*H2223*G2223))</f>
        <v/>
      </c>
      <c r="J2223" s="78">
        <f>IF(ISBLANK(E2223),"",IF(ISNUMBER(SEARCH("/",E2223)), IF(LEN(E2223)-LEN(SUBSTITUTE(E2223,"/",""))=1,(RIGHT(E2223,LEN(E2223)-FIND("/",E2223)))-(LEFT(E2223,FIND("/",E2223)-1)),(MID(E2223, SEARCH("/",E2223) + 1, SEARCH("/",E2223, SEARCH("/",E2223)+1) - SEARCH("/",E2223) - 1))-(LEFT(E2223,FIND("/",E2223)-1))), "NA"))</f>
        <v/>
      </c>
      <c r="K2223" s="79">
        <f>IF(A2223&lt;&gt;"", IF(ISBLANK(L2223), TODAY(), K2223), "")</f>
        <v/>
      </c>
      <c r="L2223" s="78" t="n"/>
      <c r="M2223" s="78">
        <f>IF(ISBLANK(L2223),"",IF(D2223="Stock",IF(C2223="Buy",L2223*G2223,IF(C2223="Sell",(L2223*G2223)-I2223, X)),IF(C2223="Buy",(L2223*G2223*100)+I2223,IF(C2223="Sell",(L2223*G2223*100)-I2223, X))))</f>
        <v/>
      </c>
      <c r="N2223" s="78">
        <f>IF(ISBLANK(L2223),"",IF(AND(C2223="Sell",D2223="Stock"),M2223,IF(ISBLANK(L2223),"",IF(C2223="Buy",M2223, IF(AND(C2223="Sell",J2223="NA"),(E2223*G2223*100*0.1)+I2223, IF(C2223="Sell",(J2223-L2223)*(100*G2223)+I2223))))))</f>
        <v/>
      </c>
      <c r="O2223" s="75" t="n"/>
      <c r="P2223" s="75" t="n"/>
      <c r="Q2223" s="75">
        <f>IF(ISBLANK(P2223),"",IF(D2223="Stock",P2223*G2223,IF(P2223=0,"0",G2223*P2223*100-(G2223*$AF$14))))</f>
        <v/>
      </c>
      <c r="R2223" s="79">
        <f>IF(P2223&lt;&gt;"", TODAY(), "")</f>
        <v/>
      </c>
      <c r="S2223" s="78">
        <f>IF(AND(K2223&lt;&gt;"", R2223&lt;&gt;""), R2223-K2223, "")</f>
        <v/>
      </c>
      <c r="T2223" s="78" t="n"/>
      <c r="U2223" s="92">
        <f>IF(ISBLANK(P2223),"",IF(C2223="Buy",Q2223-M2223+T2223, IF(C2223="Sell",M2223-Q2223-T2223, X)))</f>
        <v/>
      </c>
      <c r="V2223" s="81">
        <f>IF(ISBLANK(P2223),"",U2223/N2223)</f>
        <v/>
      </c>
      <c r="W2223" s="81">
        <f>IF(ISBLANK(P2223),"",IF(S2223=0,(365/0.5)*V2223,(365/S2223)*V2223))</f>
        <v/>
      </c>
      <c r="X2223" s="75" t="n"/>
      <c r="Y2223" s="77" t="n"/>
      <c r="Z2223" s="77" t="n"/>
      <c r="AA2223" s="75" t="n"/>
      <c r="AB2223" s="75" t="n"/>
      <c r="AC2223" s="6" t="n"/>
      <c r="AD2223" s="75" t="n"/>
      <c r="AE2223" s="75" t="n"/>
      <c r="AF2223" s="75" t="n"/>
    </row>
    <row r="2224" ht="15.75" customHeight="1" s="133">
      <c r="A2224" s="75" t="n"/>
      <c r="B2224" s="75" t="n"/>
      <c r="C2224" s="75" t="n"/>
      <c r="D2224" s="75" t="n"/>
      <c r="E2224" s="76" t="n"/>
      <c r="F2224" s="77" t="n"/>
      <c r="G2224" s="75" t="n"/>
      <c r="H2224" s="75">
        <f>IF(ISBLANK(E2224),"",IF(OR(D2224="Butterfly",D2224="Butterfly ",D2224="Iron Fly", D2224="Iron Fly "),LEN(E2224)-LEN(SUBSTITUTE(E2224,"/",""))+2,LEN(E2224)-LEN(SUBSTITUTE(E2224,"/",""))+1))</f>
        <v/>
      </c>
      <c r="I2224" s="78">
        <f>IF(ISBLANK(G2224),"",IF(D2224="Stock","0",Key!$A$3*H2224*G2224))</f>
        <v/>
      </c>
      <c r="J2224" s="78">
        <f>IF(ISBLANK(E2224),"",IF(ISNUMBER(SEARCH("/",E2224)), IF(LEN(E2224)-LEN(SUBSTITUTE(E2224,"/",""))=1,(RIGHT(E2224,LEN(E2224)-FIND("/",E2224)))-(LEFT(E2224,FIND("/",E2224)-1)),(MID(E2224, SEARCH("/",E2224) + 1, SEARCH("/",E2224, SEARCH("/",E2224)+1) - SEARCH("/",E2224) - 1))-(LEFT(E2224,FIND("/",E2224)-1))), "NA"))</f>
        <v/>
      </c>
      <c r="K2224" s="79">
        <f>IF(A2224&lt;&gt;"", IF(ISBLANK(L2224), TODAY(), K2224), "")</f>
        <v/>
      </c>
      <c r="L2224" s="78" t="n"/>
      <c r="M2224" s="78">
        <f>IF(ISBLANK(L2224),"",IF(D2224="Stock",IF(C2224="Buy",L2224*G2224,IF(C2224="Sell",(L2224*G2224)-I2224, X)),IF(C2224="Buy",(L2224*G2224*100)+I2224,IF(C2224="Sell",(L2224*G2224*100)-I2224, X))))</f>
        <v/>
      </c>
      <c r="N2224" s="78">
        <f>IF(ISBLANK(L2224),"",IF(AND(C2224="Sell",D2224="Stock"),M2224,IF(ISBLANK(L2224),"",IF(C2224="Buy",M2224, IF(AND(C2224="Sell",J2224="NA"),(E2224*G2224*100*0.1)+I2224, IF(C2224="Sell",(J2224-L2224)*(100*G2224)+I2224))))))</f>
        <v/>
      </c>
      <c r="O2224" s="75" t="n"/>
      <c r="P2224" s="75" t="n"/>
      <c r="Q2224" s="75">
        <f>IF(ISBLANK(P2224),"",IF(D2224="Stock",P2224*G2224,IF(P2224=0,"0",G2224*P2224*100-(G2224*$AF$14))))</f>
        <v/>
      </c>
      <c r="R2224" s="79">
        <f>IF(P2224&lt;&gt;"", TODAY(), "")</f>
        <v/>
      </c>
      <c r="S2224" s="78">
        <f>IF(AND(K2224&lt;&gt;"", R2224&lt;&gt;""), R2224-K2224, "")</f>
        <v/>
      </c>
      <c r="T2224" s="78" t="n"/>
      <c r="U2224" s="92">
        <f>IF(ISBLANK(P2224),"",IF(C2224="Buy",Q2224-M2224+T2224, IF(C2224="Sell",M2224-Q2224-T2224, X)))</f>
        <v/>
      </c>
      <c r="V2224" s="81">
        <f>IF(ISBLANK(P2224),"",U2224/N2224)</f>
        <v/>
      </c>
      <c r="W2224" s="81">
        <f>IF(ISBLANK(P2224),"",IF(S2224=0,(365/0.5)*V2224,(365/S2224)*V2224))</f>
        <v/>
      </c>
      <c r="X2224" s="75" t="n"/>
      <c r="Y2224" s="77" t="n"/>
      <c r="Z2224" s="77" t="n"/>
      <c r="AA2224" s="75" t="n"/>
      <c r="AB2224" s="75" t="n"/>
      <c r="AC2224" s="6" t="n"/>
      <c r="AD2224" s="75" t="n"/>
      <c r="AE2224" s="75" t="n"/>
      <c r="AF2224" s="75" t="n"/>
    </row>
    <row r="2225" ht="15.75" customHeight="1" s="133">
      <c r="A2225" s="75" t="n"/>
      <c r="B2225" s="75" t="n"/>
      <c r="C2225" s="75" t="n"/>
      <c r="D2225" s="75" t="n"/>
      <c r="E2225" s="76" t="n"/>
      <c r="F2225" s="77" t="n"/>
      <c r="G2225" s="75" t="n"/>
      <c r="H2225" s="75">
        <f>IF(ISBLANK(E2225),"",IF(OR(D2225="Butterfly",D2225="Butterfly ",D2225="Iron Fly", D2225="Iron Fly "),LEN(E2225)-LEN(SUBSTITUTE(E2225,"/",""))+2,LEN(E2225)-LEN(SUBSTITUTE(E2225,"/",""))+1))</f>
        <v/>
      </c>
      <c r="I2225" s="78">
        <f>IF(ISBLANK(G2225),"",IF(D2225="Stock","0",Key!$A$3*H2225*G2225))</f>
        <v/>
      </c>
      <c r="J2225" s="78">
        <f>IF(ISBLANK(E2225),"",IF(ISNUMBER(SEARCH("/",E2225)), IF(LEN(E2225)-LEN(SUBSTITUTE(E2225,"/",""))=1,(RIGHT(E2225,LEN(E2225)-FIND("/",E2225)))-(LEFT(E2225,FIND("/",E2225)-1)),(MID(E2225, SEARCH("/",E2225) + 1, SEARCH("/",E2225, SEARCH("/",E2225)+1) - SEARCH("/",E2225) - 1))-(LEFT(E2225,FIND("/",E2225)-1))), "NA"))</f>
        <v/>
      </c>
      <c r="K2225" s="79">
        <f>IF(A2225&lt;&gt;"", IF(ISBLANK(L2225), TODAY(), K2225), "")</f>
        <v/>
      </c>
      <c r="L2225" s="78" t="n"/>
      <c r="M2225" s="78">
        <f>IF(ISBLANK(L2225),"",IF(D2225="Stock",IF(C2225="Buy",L2225*G2225,IF(C2225="Sell",(L2225*G2225)-I2225, X)),IF(C2225="Buy",(L2225*G2225*100)+I2225,IF(C2225="Sell",(L2225*G2225*100)-I2225, X))))</f>
        <v/>
      </c>
      <c r="N2225" s="78">
        <f>IF(ISBLANK(L2225),"",IF(AND(C2225="Sell",D2225="Stock"),M2225,IF(ISBLANK(L2225),"",IF(C2225="Buy",M2225, IF(AND(C2225="Sell",J2225="NA"),(E2225*G2225*100*0.1)+I2225, IF(C2225="Sell",(J2225-L2225)*(100*G2225)+I2225))))))</f>
        <v/>
      </c>
      <c r="O2225" s="75" t="n"/>
      <c r="P2225" s="75" t="n"/>
      <c r="Q2225" s="75">
        <f>IF(ISBLANK(P2225),"",IF(D2225="Stock",P2225*G2225,IF(P2225=0,"0",G2225*P2225*100-(G2225*$AF$14))))</f>
        <v/>
      </c>
      <c r="R2225" s="79">
        <f>IF(P2225&lt;&gt;"", TODAY(), "")</f>
        <v/>
      </c>
      <c r="S2225" s="78">
        <f>IF(AND(K2225&lt;&gt;"", R2225&lt;&gt;""), R2225-K2225, "")</f>
        <v/>
      </c>
      <c r="T2225" s="78" t="n"/>
      <c r="U2225" s="92">
        <f>IF(ISBLANK(P2225),"",IF(C2225="Buy",Q2225-M2225+T2225, IF(C2225="Sell",M2225-Q2225-T2225, X)))</f>
        <v/>
      </c>
      <c r="V2225" s="81">
        <f>IF(ISBLANK(P2225),"",U2225/N2225)</f>
        <v/>
      </c>
      <c r="W2225" s="81">
        <f>IF(ISBLANK(P2225),"",IF(S2225=0,(365/0.5)*V2225,(365/S2225)*V2225))</f>
        <v/>
      </c>
      <c r="X2225" s="75" t="n"/>
      <c r="Y2225" s="77" t="n"/>
      <c r="Z2225" s="77" t="n"/>
      <c r="AA2225" s="75" t="n"/>
      <c r="AB2225" s="75" t="n"/>
      <c r="AC2225" s="6" t="n"/>
      <c r="AD2225" s="75" t="n"/>
      <c r="AE2225" s="75" t="n"/>
      <c r="AF2225" s="75" t="n"/>
    </row>
    <row r="2226" ht="15.75" customHeight="1" s="133">
      <c r="A2226" s="75" t="n"/>
      <c r="B2226" s="75" t="n"/>
      <c r="C2226" s="75" t="n"/>
      <c r="D2226" s="75" t="n"/>
      <c r="E2226" s="76" t="n"/>
      <c r="F2226" s="77" t="n"/>
      <c r="G2226" s="75" t="n"/>
      <c r="H2226" s="75">
        <f>IF(ISBLANK(E2226),"",IF(OR(D2226="Butterfly",D2226="Butterfly ",D2226="Iron Fly", D2226="Iron Fly "),LEN(E2226)-LEN(SUBSTITUTE(E2226,"/",""))+2,LEN(E2226)-LEN(SUBSTITUTE(E2226,"/",""))+1))</f>
        <v/>
      </c>
      <c r="I2226" s="78">
        <f>IF(ISBLANK(G2226),"",IF(D2226="Stock","0",Key!$A$3*H2226*G2226))</f>
        <v/>
      </c>
      <c r="J2226" s="78">
        <f>IF(ISBLANK(E2226),"",IF(ISNUMBER(SEARCH("/",E2226)), IF(LEN(E2226)-LEN(SUBSTITUTE(E2226,"/",""))=1,(RIGHT(E2226,LEN(E2226)-FIND("/",E2226)))-(LEFT(E2226,FIND("/",E2226)-1)),(MID(E2226, SEARCH("/",E2226) + 1, SEARCH("/",E2226, SEARCH("/",E2226)+1) - SEARCH("/",E2226) - 1))-(LEFT(E2226,FIND("/",E2226)-1))), "NA"))</f>
        <v/>
      </c>
      <c r="K2226" s="79">
        <f>IF(A2226&lt;&gt;"", IF(ISBLANK(L2226), TODAY(), K2226), "")</f>
        <v/>
      </c>
      <c r="L2226" s="78" t="n"/>
      <c r="M2226" s="78">
        <f>IF(ISBLANK(L2226),"",IF(D2226="Stock",IF(C2226="Buy",L2226*G2226,IF(C2226="Sell",(L2226*G2226)-I2226, X)),IF(C2226="Buy",(L2226*G2226*100)+I2226,IF(C2226="Sell",(L2226*G2226*100)-I2226, X))))</f>
        <v/>
      </c>
      <c r="N2226" s="78">
        <f>IF(ISBLANK(L2226),"",IF(AND(C2226="Sell",D2226="Stock"),M2226,IF(ISBLANK(L2226),"",IF(C2226="Buy",M2226, IF(AND(C2226="Sell",J2226="NA"),(E2226*G2226*100*0.1)+I2226, IF(C2226="Sell",(J2226-L2226)*(100*G2226)+I2226))))))</f>
        <v/>
      </c>
      <c r="O2226" s="75" t="n"/>
      <c r="P2226" s="75" t="n"/>
      <c r="Q2226" s="75">
        <f>IF(ISBLANK(P2226),"",IF(D2226="Stock",P2226*G2226,IF(P2226=0,"0",G2226*P2226*100-(G2226*$AF$14))))</f>
        <v/>
      </c>
      <c r="R2226" s="79">
        <f>IF(P2226&lt;&gt;"", TODAY(), "")</f>
        <v/>
      </c>
      <c r="S2226" s="78">
        <f>IF(AND(K2226&lt;&gt;"", R2226&lt;&gt;""), R2226-K2226, "")</f>
        <v/>
      </c>
      <c r="T2226" s="78" t="n"/>
      <c r="U2226" s="92">
        <f>IF(ISBLANK(P2226),"",IF(C2226="Buy",Q2226-M2226+T2226, IF(C2226="Sell",M2226-Q2226-T2226, X)))</f>
        <v/>
      </c>
      <c r="V2226" s="81">
        <f>IF(ISBLANK(P2226),"",U2226/N2226)</f>
        <v/>
      </c>
      <c r="W2226" s="81">
        <f>IF(ISBLANK(P2226),"",IF(S2226=0,(365/0.5)*V2226,(365/S2226)*V2226))</f>
        <v/>
      </c>
      <c r="X2226" s="75" t="n"/>
      <c r="Y2226" s="77" t="n"/>
      <c r="Z2226" s="77" t="n"/>
      <c r="AA2226" s="75" t="n"/>
      <c r="AB2226" s="75" t="n"/>
      <c r="AC2226" s="6" t="n"/>
      <c r="AD2226" s="75" t="n"/>
      <c r="AE2226" s="75" t="n"/>
      <c r="AF2226" s="75" t="n"/>
    </row>
    <row r="2227" ht="15.75" customHeight="1" s="133">
      <c r="A2227" s="75" t="n"/>
      <c r="B2227" s="75" t="n"/>
      <c r="C2227" s="75" t="n"/>
      <c r="D2227" s="75" t="n"/>
      <c r="E2227" s="76" t="n"/>
      <c r="F2227" s="77" t="n"/>
      <c r="G2227" s="75" t="n"/>
      <c r="H2227" s="75">
        <f>IF(ISBLANK(E2227),"",IF(OR(D2227="Butterfly",D2227="Butterfly ",D2227="Iron Fly", D2227="Iron Fly "),LEN(E2227)-LEN(SUBSTITUTE(E2227,"/",""))+2,LEN(E2227)-LEN(SUBSTITUTE(E2227,"/",""))+1))</f>
        <v/>
      </c>
      <c r="I2227" s="78">
        <f>IF(ISBLANK(G2227),"",IF(D2227="Stock","0",Key!$A$3*H2227*G2227))</f>
        <v/>
      </c>
      <c r="J2227" s="78">
        <f>IF(ISBLANK(E2227),"",IF(ISNUMBER(SEARCH("/",E2227)), IF(LEN(E2227)-LEN(SUBSTITUTE(E2227,"/",""))=1,(RIGHT(E2227,LEN(E2227)-FIND("/",E2227)))-(LEFT(E2227,FIND("/",E2227)-1)),(MID(E2227, SEARCH("/",E2227) + 1, SEARCH("/",E2227, SEARCH("/",E2227)+1) - SEARCH("/",E2227) - 1))-(LEFT(E2227,FIND("/",E2227)-1))), "NA"))</f>
        <v/>
      </c>
      <c r="K2227" s="79">
        <f>IF(A2227&lt;&gt;"", IF(ISBLANK(L2227), TODAY(), K2227), "")</f>
        <v/>
      </c>
      <c r="L2227" s="78" t="n"/>
      <c r="M2227" s="78">
        <f>IF(ISBLANK(L2227),"",IF(D2227="Stock",IF(C2227="Buy",L2227*G2227,IF(C2227="Sell",(L2227*G2227)-I2227, X)),IF(C2227="Buy",(L2227*G2227*100)+I2227,IF(C2227="Sell",(L2227*G2227*100)-I2227, X))))</f>
        <v/>
      </c>
      <c r="N2227" s="78">
        <f>IF(ISBLANK(L2227),"",IF(AND(C2227="Sell",D2227="Stock"),M2227,IF(ISBLANK(L2227),"",IF(C2227="Buy",M2227, IF(AND(C2227="Sell",J2227="NA"),(E2227*G2227*100*0.1)+I2227, IF(C2227="Sell",(J2227-L2227)*(100*G2227)+I2227))))))</f>
        <v/>
      </c>
      <c r="O2227" s="75" t="n"/>
      <c r="P2227" s="75" t="n"/>
      <c r="Q2227" s="75">
        <f>IF(ISBLANK(P2227),"",IF(D2227="Stock",P2227*G2227,IF(P2227=0,"0",G2227*P2227*100-(G2227*$AF$14))))</f>
        <v/>
      </c>
      <c r="R2227" s="79">
        <f>IF(P2227&lt;&gt;"", TODAY(), "")</f>
        <v/>
      </c>
      <c r="S2227" s="78">
        <f>IF(AND(K2227&lt;&gt;"", R2227&lt;&gt;""), R2227-K2227, "")</f>
        <v/>
      </c>
      <c r="T2227" s="78" t="n"/>
      <c r="U2227" s="92">
        <f>IF(ISBLANK(P2227),"",IF(C2227="Buy",Q2227-M2227+T2227, IF(C2227="Sell",M2227-Q2227-T2227, X)))</f>
        <v/>
      </c>
      <c r="V2227" s="81">
        <f>IF(ISBLANK(P2227),"",U2227/N2227)</f>
        <v/>
      </c>
      <c r="W2227" s="81">
        <f>IF(ISBLANK(P2227),"",IF(S2227=0,(365/0.5)*V2227,(365/S2227)*V2227))</f>
        <v/>
      </c>
      <c r="X2227" s="75" t="n"/>
      <c r="Y2227" s="77" t="n"/>
      <c r="Z2227" s="77" t="n"/>
      <c r="AA2227" s="75" t="n"/>
      <c r="AB2227" s="75" t="n"/>
      <c r="AC2227" s="6" t="n"/>
      <c r="AD2227" s="75" t="n"/>
      <c r="AE2227" s="75" t="n"/>
      <c r="AF2227" s="75" t="n"/>
    </row>
    <row r="2228" ht="15.75" customHeight="1" s="133">
      <c r="A2228" s="75" t="n"/>
      <c r="B2228" s="75" t="n"/>
      <c r="C2228" s="75" t="n"/>
      <c r="D2228" s="75" t="n"/>
      <c r="E2228" s="76" t="n"/>
      <c r="F2228" s="77" t="n"/>
      <c r="G2228" s="75" t="n"/>
      <c r="H2228" s="75">
        <f>IF(ISBLANK(E2228),"",IF(OR(D2228="Butterfly",D2228="Butterfly ",D2228="Iron Fly", D2228="Iron Fly "),LEN(E2228)-LEN(SUBSTITUTE(E2228,"/",""))+2,LEN(E2228)-LEN(SUBSTITUTE(E2228,"/",""))+1))</f>
        <v/>
      </c>
      <c r="I2228" s="78">
        <f>IF(ISBLANK(G2228),"",IF(D2228="Stock","0",Key!$A$3*H2228*G2228))</f>
        <v/>
      </c>
      <c r="J2228" s="78">
        <f>IF(ISBLANK(E2228),"",IF(ISNUMBER(SEARCH("/",E2228)), IF(LEN(E2228)-LEN(SUBSTITUTE(E2228,"/",""))=1,(RIGHT(E2228,LEN(E2228)-FIND("/",E2228)))-(LEFT(E2228,FIND("/",E2228)-1)),(MID(E2228, SEARCH("/",E2228) + 1, SEARCH("/",E2228, SEARCH("/",E2228)+1) - SEARCH("/",E2228) - 1))-(LEFT(E2228,FIND("/",E2228)-1))), "NA"))</f>
        <v/>
      </c>
      <c r="K2228" s="79">
        <f>IF(A2228&lt;&gt;"", IF(ISBLANK(L2228), TODAY(), K2228), "")</f>
        <v/>
      </c>
      <c r="L2228" s="78" t="n"/>
      <c r="M2228" s="78">
        <f>IF(ISBLANK(L2228),"",IF(D2228="Stock",IF(C2228="Buy",L2228*G2228,IF(C2228="Sell",(L2228*G2228)-I2228, X)),IF(C2228="Buy",(L2228*G2228*100)+I2228,IF(C2228="Sell",(L2228*G2228*100)-I2228, X))))</f>
        <v/>
      </c>
      <c r="N2228" s="78">
        <f>IF(ISBLANK(L2228),"",IF(AND(C2228="Sell",D2228="Stock"),M2228,IF(ISBLANK(L2228),"",IF(C2228="Buy",M2228, IF(AND(C2228="Sell",J2228="NA"),(E2228*G2228*100*0.1)+I2228, IF(C2228="Sell",(J2228-L2228)*(100*G2228)+I2228))))))</f>
        <v/>
      </c>
      <c r="O2228" s="75" t="n"/>
      <c r="P2228" s="75" t="n"/>
      <c r="Q2228" s="75">
        <f>IF(ISBLANK(P2228),"",IF(D2228="Stock",P2228*G2228,IF(P2228=0,"0",G2228*P2228*100-(G2228*$AF$14))))</f>
        <v/>
      </c>
      <c r="R2228" s="79">
        <f>IF(P2228&lt;&gt;"", TODAY(), "")</f>
        <v/>
      </c>
      <c r="S2228" s="78">
        <f>IF(AND(K2228&lt;&gt;"", R2228&lt;&gt;""), R2228-K2228, "")</f>
        <v/>
      </c>
      <c r="T2228" s="78" t="n"/>
      <c r="U2228" s="92">
        <f>IF(ISBLANK(P2228),"",IF(C2228="Buy",Q2228-M2228+T2228, IF(C2228="Sell",M2228-Q2228-T2228, X)))</f>
        <v/>
      </c>
      <c r="V2228" s="81">
        <f>IF(ISBLANK(P2228),"",U2228/N2228)</f>
        <v/>
      </c>
      <c r="W2228" s="81">
        <f>IF(ISBLANK(P2228),"",IF(S2228=0,(365/0.5)*V2228,(365/S2228)*V2228))</f>
        <v/>
      </c>
      <c r="X2228" s="75" t="n"/>
      <c r="Y2228" s="77" t="n"/>
      <c r="Z2228" s="77" t="n"/>
      <c r="AA2228" s="75" t="n"/>
      <c r="AB2228" s="75" t="n"/>
      <c r="AC2228" s="6" t="n"/>
      <c r="AD2228" s="75" t="n"/>
      <c r="AE2228" s="75" t="n"/>
      <c r="AF2228" s="75" t="n"/>
    </row>
    <row r="2229" ht="15.75" customHeight="1" s="133">
      <c r="A2229" s="75" t="n"/>
      <c r="B2229" s="75" t="n"/>
      <c r="C2229" s="75" t="n"/>
      <c r="D2229" s="75" t="n"/>
      <c r="E2229" s="76" t="n"/>
      <c r="F2229" s="77" t="n"/>
      <c r="G2229" s="75" t="n"/>
      <c r="H2229" s="75">
        <f>IF(ISBLANK(E2229),"",IF(OR(D2229="Butterfly",D2229="Butterfly ",D2229="Iron Fly", D2229="Iron Fly "),LEN(E2229)-LEN(SUBSTITUTE(E2229,"/",""))+2,LEN(E2229)-LEN(SUBSTITUTE(E2229,"/",""))+1))</f>
        <v/>
      </c>
      <c r="I2229" s="78">
        <f>IF(ISBLANK(G2229),"",IF(D2229="Stock","0",Key!$A$3*H2229*G2229))</f>
        <v/>
      </c>
      <c r="J2229" s="78">
        <f>IF(ISBLANK(E2229),"",IF(ISNUMBER(SEARCH("/",E2229)), IF(LEN(E2229)-LEN(SUBSTITUTE(E2229,"/",""))=1,(RIGHT(E2229,LEN(E2229)-FIND("/",E2229)))-(LEFT(E2229,FIND("/",E2229)-1)),(MID(E2229, SEARCH("/",E2229) + 1, SEARCH("/",E2229, SEARCH("/",E2229)+1) - SEARCH("/",E2229) - 1))-(LEFT(E2229,FIND("/",E2229)-1))), "NA"))</f>
        <v/>
      </c>
      <c r="K2229" s="79">
        <f>IF(A2229&lt;&gt;"", IF(ISBLANK(L2229), TODAY(), K2229), "")</f>
        <v/>
      </c>
      <c r="L2229" s="78" t="n"/>
      <c r="M2229" s="78">
        <f>IF(ISBLANK(L2229),"",IF(D2229="Stock",IF(C2229="Buy",L2229*G2229,IF(C2229="Sell",(L2229*G2229)-I2229, X)),IF(C2229="Buy",(L2229*G2229*100)+I2229,IF(C2229="Sell",(L2229*G2229*100)-I2229, X))))</f>
        <v/>
      </c>
      <c r="N2229" s="78">
        <f>IF(ISBLANK(L2229),"",IF(AND(C2229="Sell",D2229="Stock"),M2229,IF(ISBLANK(L2229),"",IF(C2229="Buy",M2229, IF(AND(C2229="Sell",J2229="NA"),(E2229*G2229*100*0.1)+I2229, IF(C2229="Sell",(J2229-L2229)*(100*G2229)+I2229))))))</f>
        <v/>
      </c>
      <c r="O2229" s="75" t="n"/>
      <c r="P2229" s="75" t="n"/>
      <c r="Q2229" s="75">
        <f>IF(ISBLANK(P2229),"",IF(D2229="Stock",P2229*G2229,IF(P2229=0,"0",G2229*P2229*100-(G2229*$AF$14))))</f>
        <v/>
      </c>
      <c r="R2229" s="79">
        <f>IF(P2229&lt;&gt;"", TODAY(), "")</f>
        <v/>
      </c>
      <c r="S2229" s="78">
        <f>IF(AND(K2229&lt;&gt;"", R2229&lt;&gt;""), R2229-K2229, "")</f>
        <v/>
      </c>
      <c r="T2229" s="78" t="n"/>
      <c r="U2229" s="92">
        <f>IF(ISBLANK(P2229),"",IF(C2229="Buy",Q2229-M2229+T2229, IF(C2229="Sell",M2229-Q2229-T2229, X)))</f>
        <v/>
      </c>
      <c r="V2229" s="81">
        <f>IF(ISBLANK(P2229),"",U2229/N2229)</f>
        <v/>
      </c>
      <c r="W2229" s="81">
        <f>IF(ISBLANK(P2229),"",IF(S2229=0,(365/0.5)*V2229,(365/S2229)*V2229))</f>
        <v/>
      </c>
      <c r="X2229" s="75" t="n"/>
      <c r="Y2229" s="77" t="n"/>
      <c r="Z2229" s="77" t="n"/>
      <c r="AA2229" s="75" t="n"/>
      <c r="AB2229" s="75" t="n"/>
      <c r="AC2229" s="6" t="n"/>
      <c r="AD2229" s="75" t="n"/>
      <c r="AE2229" s="75" t="n"/>
      <c r="AF2229" s="75" t="n"/>
    </row>
    <row r="2230" ht="15.75" customHeight="1" s="133">
      <c r="A2230" s="75" t="n"/>
      <c r="B2230" s="75" t="n"/>
      <c r="C2230" s="75" t="n"/>
      <c r="D2230" s="75" t="n"/>
      <c r="E2230" s="76" t="n"/>
      <c r="F2230" s="77" t="n"/>
      <c r="G2230" s="75" t="n"/>
      <c r="H2230" s="75">
        <f>IF(ISBLANK(E2230),"",IF(OR(D2230="Butterfly",D2230="Butterfly ",D2230="Iron Fly", D2230="Iron Fly "),LEN(E2230)-LEN(SUBSTITUTE(E2230,"/",""))+2,LEN(E2230)-LEN(SUBSTITUTE(E2230,"/",""))+1))</f>
        <v/>
      </c>
      <c r="I2230" s="78">
        <f>IF(ISBLANK(G2230),"",IF(D2230="Stock","0",Key!$A$3*H2230*G2230))</f>
        <v/>
      </c>
      <c r="J2230" s="78">
        <f>IF(ISBLANK(E2230),"",IF(ISNUMBER(SEARCH("/",E2230)), IF(LEN(E2230)-LEN(SUBSTITUTE(E2230,"/",""))=1,(RIGHT(E2230,LEN(E2230)-FIND("/",E2230)))-(LEFT(E2230,FIND("/",E2230)-1)),(MID(E2230, SEARCH("/",E2230) + 1, SEARCH("/",E2230, SEARCH("/",E2230)+1) - SEARCH("/",E2230) - 1))-(LEFT(E2230,FIND("/",E2230)-1))), "NA"))</f>
        <v/>
      </c>
      <c r="K2230" s="79">
        <f>IF(A2230&lt;&gt;"", IF(ISBLANK(L2230), TODAY(), K2230), "")</f>
        <v/>
      </c>
      <c r="L2230" s="78" t="n"/>
      <c r="M2230" s="78">
        <f>IF(ISBLANK(L2230),"",IF(D2230="Stock",IF(C2230="Buy",L2230*G2230,IF(C2230="Sell",(L2230*G2230)-I2230, X)),IF(C2230="Buy",(L2230*G2230*100)+I2230,IF(C2230="Sell",(L2230*G2230*100)-I2230, X))))</f>
        <v/>
      </c>
      <c r="N2230" s="78">
        <f>IF(ISBLANK(L2230),"",IF(AND(C2230="Sell",D2230="Stock"),M2230,IF(ISBLANK(L2230),"",IF(C2230="Buy",M2230, IF(AND(C2230="Sell",J2230="NA"),(E2230*G2230*100*0.1)+I2230, IF(C2230="Sell",(J2230-L2230)*(100*G2230)+I2230))))))</f>
        <v/>
      </c>
      <c r="O2230" s="75" t="n"/>
      <c r="P2230" s="75" t="n"/>
      <c r="Q2230" s="75">
        <f>IF(ISBLANK(P2230),"",IF(D2230="Stock",P2230*G2230,IF(P2230=0,"0",G2230*P2230*100-(G2230*$AF$14))))</f>
        <v/>
      </c>
      <c r="R2230" s="79">
        <f>IF(P2230&lt;&gt;"", TODAY(), "")</f>
        <v/>
      </c>
      <c r="S2230" s="78">
        <f>IF(AND(K2230&lt;&gt;"", R2230&lt;&gt;""), R2230-K2230, "")</f>
        <v/>
      </c>
      <c r="T2230" s="78" t="n"/>
      <c r="U2230" s="92">
        <f>IF(ISBLANK(P2230),"",IF(C2230="Buy",Q2230-M2230+T2230, IF(C2230="Sell",M2230-Q2230-T2230, X)))</f>
        <v/>
      </c>
      <c r="V2230" s="81">
        <f>IF(ISBLANK(P2230),"",U2230/N2230)</f>
        <v/>
      </c>
      <c r="W2230" s="81">
        <f>IF(ISBLANK(P2230),"",IF(S2230=0,(365/0.5)*V2230,(365/S2230)*V2230))</f>
        <v/>
      </c>
      <c r="X2230" s="75" t="n"/>
      <c r="Y2230" s="77" t="n"/>
      <c r="Z2230" s="77" t="n"/>
      <c r="AA2230" s="75" t="n"/>
      <c r="AB2230" s="75" t="n"/>
      <c r="AC2230" s="6" t="n"/>
      <c r="AD2230" s="75" t="n"/>
      <c r="AE2230" s="75" t="n"/>
      <c r="AF2230" s="75" t="n"/>
    </row>
    <row r="2231" ht="15.75" customHeight="1" s="133">
      <c r="A2231" s="75" t="n"/>
      <c r="B2231" s="75" t="n"/>
      <c r="C2231" s="75" t="n"/>
      <c r="D2231" s="75" t="n"/>
      <c r="E2231" s="76" t="n"/>
      <c r="F2231" s="77" t="n"/>
      <c r="G2231" s="75" t="n"/>
      <c r="H2231" s="75">
        <f>IF(ISBLANK(E2231),"",IF(OR(D2231="Butterfly",D2231="Butterfly ",D2231="Iron Fly", D2231="Iron Fly "),LEN(E2231)-LEN(SUBSTITUTE(E2231,"/",""))+2,LEN(E2231)-LEN(SUBSTITUTE(E2231,"/",""))+1))</f>
        <v/>
      </c>
      <c r="I2231" s="78">
        <f>IF(ISBLANK(G2231),"",IF(D2231="Stock","0",Key!$A$3*H2231*G2231))</f>
        <v/>
      </c>
      <c r="J2231" s="78">
        <f>IF(ISBLANK(E2231),"",IF(ISNUMBER(SEARCH("/",E2231)), IF(LEN(E2231)-LEN(SUBSTITUTE(E2231,"/",""))=1,(RIGHT(E2231,LEN(E2231)-FIND("/",E2231)))-(LEFT(E2231,FIND("/",E2231)-1)),(MID(E2231, SEARCH("/",E2231) + 1, SEARCH("/",E2231, SEARCH("/",E2231)+1) - SEARCH("/",E2231) - 1))-(LEFT(E2231,FIND("/",E2231)-1))), "NA"))</f>
        <v/>
      </c>
      <c r="K2231" s="79">
        <f>IF(A2231&lt;&gt;"", IF(ISBLANK(L2231), TODAY(), K2231), "")</f>
        <v/>
      </c>
      <c r="L2231" s="78" t="n"/>
      <c r="M2231" s="78">
        <f>IF(ISBLANK(L2231),"",IF(D2231="Stock",IF(C2231="Buy",L2231*G2231,IF(C2231="Sell",(L2231*G2231)-I2231, X)),IF(C2231="Buy",(L2231*G2231*100)+I2231,IF(C2231="Sell",(L2231*G2231*100)-I2231, X))))</f>
        <v/>
      </c>
      <c r="N2231" s="78">
        <f>IF(ISBLANK(L2231),"",IF(AND(C2231="Sell",D2231="Stock"),M2231,IF(ISBLANK(L2231),"",IF(C2231="Buy",M2231, IF(AND(C2231="Sell",J2231="NA"),(E2231*G2231*100*0.1)+I2231, IF(C2231="Sell",(J2231-L2231)*(100*G2231)+I2231))))))</f>
        <v/>
      </c>
      <c r="O2231" s="75" t="n"/>
      <c r="P2231" s="75" t="n"/>
      <c r="Q2231" s="75">
        <f>IF(ISBLANK(P2231),"",IF(D2231="Stock",P2231*G2231,IF(P2231=0,"0",G2231*P2231*100-(G2231*$AF$14))))</f>
        <v/>
      </c>
      <c r="R2231" s="79">
        <f>IF(P2231&lt;&gt;"", TODAY(), "")</f>
        <v/>
      </c>
      <c r="S2231" s="78">
        <f>IF(AND(K2231&lt;&gt;"", R2231&lt;&gt;""), R2231-K2231, "")</f>
        <v/>
      </c>
      <c r="T2231" s="78" t="n"/>
      <c r="U2231" s="92">
        <f>IF(ISBLANK(P2231),"",IF(C2231="Buy",Q2231-M2231+T2231, IF(C2231="Sell",M2231-Q2231-T2231, X)))</f>
        <v/>
      </c>
      <c r="V2231" s="81">
        <f>IF(ISBLANK(P2231),"",U2231/N2231)</f>
        <v/>
      </c>
      <c r="W2231" s="81">
        <f>IF(ISBLANK(P2231),"",IF(S2231=0,(365/0.5)*V2231,(365/S2231)*V2231))</f>
        <v/>
      </c>
      <c r="X2231" s="75" t="n"/>
      <c r="Y2231" s="77" t="n"/>
      <c r="Z2231" s="77" t="n"/>
      <c r="AA2231" s="75" t="n"/>
      <c r="AB2231" s="75" t="n"/>
      <c r="AC2231" s="6" t="n"/>
      <c r="AD2231" s="75" t="n"/>
      <c r="AE2231" s="75" t="n"/>
      <c r="AF2231" s="75" t="n"/>
    </row>
    <row r="2232" ht="15.75" customHeight="1" s="133">
      <c r="A2232" s="75" t="n"/>
      <c r="B2232" s="75" t="n"/>
      <c r="C2232" s="75" t="n"/>
      <c r="D2232" s="75" t="n"/>
      <c r="E2232" s="76" t="n"/>
      <c r="F2232" s="77" t="n"/>
      <c r="G2232" s="75" t="n"/>
      <c r="H2232" s="75">
        <f>IF(ISBLANK(E2232),"",IF(OR(D2232="Butterfly",D2232="Butterfly ",D2232="Iron Fly", D2232="Iron Fly "),LEN(E2232)-LEN(SUBSTITUTE(E2232,"/",""))+2,LEN(E2232)-LEN(SUBSTITUTE(E2232,"/",""))+1))</f>
        <v/>
      </c>
      <c r="I2232" s="78">
        <f>IF(ISBLANK(G2232),"",IF(D2232="Stock","0",Key!$A$3*H2232*G2232))</f>
        <v/>
      </c>
      <c r="J2232" s="78">
        <f>IF(ISBLANK(E2232),"",IF(ISNUMBER(SEARCH("/",E2232)), IF(LEN(E2232)-LEN(SUBSTITUTE(E2232,"/",""))=1,(RIGHT(E2232,LEN(E2232)-FIND("/",E2232)))-(LEFT(E2232,FIND("/",E2232)-1)),(MID(E2232, SEARCH("/",E2232) + 1, SEARCH("/",E2232, SEARCH("/",E2232)+1) - SEARCH("/",E2232) - 1))-(LEFT(E2232,FIND("/",E2232)-1))), "NA"))</f>
        <v/>
      </c>
      <c r="K2232" s="79">
        <f>IF(A2232&lt;&gt;"", IF(ISBLANK(L2232), TODAY(), K2232), "")</f>
        <v/>
      </c>
      <c r="L2232" s="78" t="n"/>
      <c r="M2232" s="78">
        <f>IF(ISBLANK(L2232),"",IF(D2232="Stock",IF(C2232="Buy",L2232*G2232,IF(C2232="Sell",(L2232*G2232)-I2232, X)),IF(C2232="Buy",(L2232*G2232*100)+I2232,IF(C2232="Sell",(L2232*G2232*100)-I2232, X))))</f>
        <v/>
      </c>
      <c r="N2232" s="78">
        <f>IF(ISBLANK(L2232),"",IF(AND(C2232="Sell",D2232="Stock"),M2232,IF(ISBLANK(L2232),"",IF(C2232="Buy",M2232, IF(AND(C2232="Sell",J2232="NA"),(E2232*G2232*100*0.1)+I2232, IF(C2232="Sell",(J2232-L2232)*(100*G2232)+I2232))))))</f>
        <v/>
      </c>
      <c r="O2232" s="75" t="n"/>
      <c r="P2232" s="75" t="n"/>
      <c r="Q2232" s="75">
        <f>IF(ISBLANK(P2232),"",IF(D2232="Stock",P2232*G2232,IF(P2232=0,"0",G2232*P2232*100-(G2232*$AF$14))))</f>
        <v/>
      </c>
      <c r="R2232" s="79">
        <f>IF(P2232&lt;&gt;"", TODAY(), "")</f>
        <v/>
      </c>
      <c r="S2232" s="78">
        <f>IF(AND(K2232&lt;&gt;"", R2232&lt;&gt;""), R2232-K2232, "")</f>
        <v/>
      </c>
      <c r="T2232" s="78" t="n"/>
      <c r="U2232" s="92">
        <f>IF(ISBLANK(P2232),"",IF(C2232="Buy",Q2232-M2232+T2232, IF(C2232="Sell",M2232-Q2232-T2232, X)))</f>
        <v/>
      </c>
      <c r="V2232" s="81">
        <f>IF(ISBLANK(P2232),"",U2232/N2232)</f>
        <v/>
      </c>
      <c r="W2232" s="81">
        <f>IF(ISBLANK(P2232),"",IF(S2232=0,(365/0.5)*V2232,(365/S2232)*V2232))</f>
        <v/>
      </c>
      <c r="X2232" s="75" t="n"/>
      <c r="Y2232" s="77" t="n"/>
      <c r="Z2232" s="77" t="n"/>
      <c r="AA2232" s="75" t="n"/>
      <c r="AB2232" s="75" t="n"/>
      <c r="AC2232" s="6" t="n"/>
      <c r="AD2232" s="75" t="n"/>
      <c r="AE2232" s="75" t="n"/>
      <c r="AF2232" s="75" t="n"/>
    </row>
    <row r="2233" ht="15.75" customHeight="1" s="133">
      <c r="A2233" s="75" t="n"/>
      <c r="B2233" s="75" t="n"/>
      <c r="C2233" s="75" t="n"/>
      <c r="D2233" s="75" t="n"/>
      <c r="E2233" s="76" t="n"/>
      <c r="F2233" s="77" t="n"/>
      <c r="G2233" s="75" t="n"/>
      <c r="H2233" s="75">
        <f>IF(ISBLANK(E2233),"",IF(OR(D2233="Butterfly",D2233="Butterfly ",D2233="Iron Fly", D2233="Iron Fly "),LEN(E2233)-LEN(SUBSTITUTE(E2233,"/",""))+2,LEN(E2233)-LEN(SUBSTITUTE(E2233,"/",""))+1))</f>
        <v/>
      </c>
      <c r="I2233" s="78">
        <f>IF(ISBLANK(G2233),"",IF(D2233="Stock","0",Key!$A$3*H2233*G2233))</f>
        <v/>
      </c>
      <c r="J2233" s="78">
        <f>IF(ISBLANK(E2233),"",IF(ISNUMBER(SEARCH("/",E2233)), IF(LEN(E2233)-LEN(SUBSTITUTE(E2233,"/",""))=1,(RIGHT(E2233,LEN(E2233)-FIND("/",E2233)))-(LEFT(E2233,FIND("/",E2233)-1)),(MID(E2233, SEARCH("/",E2233) + 1, SEARCH("/",E2233, SEARCH("/",E2233)+1) - SEARCH("/",E2233) - 1))-(LEFT(E2233,FIND("/",E2233)-1))), "NA"))</f>
        <v/>
      </c>
      <c r="K2233" s="79">
        <f>IF(A2233&lt;&gt;"", IF(ISBLANK(L2233), TODAY(), K2233), "")</f>
        <v/>
      </c>
      <c r="L2233" s="78" t="n"/>
      <c r="M2233" s="78">
        <f>IF(ISBLANK(L2233),"",IF(D2233="Stock",IF(C2233="Buy",L2233*G2233,IF(C2233="Sell",(L2233*G2233)-I2233, X)),IF(C2233="Buy",(L2233*G2233*100)+I2233,IF(C2233="Sell",(L2233*G2233*100)-I2233, X))))</f>
        <v/>
      </c>
      <c r="N2233" s="78">
        <f>IF(ISBLANK(L2233),"",IF(AND(C2233="Sell",D2233="Stock"),M2233,IF(ISBLANK(L2233),"",IF(C2233="Buy",M2233, IF(AND(C2233="Sell",J2233="NA"),(E2233*G2233*100*0.1)+I2233, IF(C2233="Sell",(J2233-L2233)*(100*G2233)+I2233))))))</f>
        <v/>
      </c>
      <c r="O2233" s="75" t="n"/>
      <c r="P2233" s="75" t="n"/>
      <c r="Q2233" s="75">
        <f>IF(ISBLANK(P2233),"",IF(D2233="Stock",P2233*G2233,IF(P2233=0,"0",G2233*P2233*100-(G2233*$AF$14))))</f>
        <v/>
      </c>
      <c r="R2233" s="79">
        <f>IF(P2233&lt;&gt;"", TODAY(), "")</f>
        <v/>
      </c>
      <c r="S2233" s="78">
        <f>IF(AND(K2233&lt;&gt;"", R2233&lt;&gt;""), R2233-K2233, "")</f>
        <v/>
      </c>
      <c r="T2233" s="78" t="n"/>
      <c r="U2233" s="92">
        <f>IF(ISBLANK(P2233),"",IF(C2233="Buy",Q2233-M2233+T2233, IF(C2233="Sell",M2233-Q2233-T2233, X)))</f>
        <v/>
      </c>
      <c r="V2233" s="81">
        <f>IF(ISBLANK(P2233),"",U2233/N2233)</f>
        <v/>
      </c>
      <c r="W2233" s="81">
        <f>IF(ISBLANK(P2233),"",IF(S2233=0,(365/0.5)*V2233,(365/S2233)*V2233))</f>
        <v/>
      </c>
      <c r="X2233" s="75" t="n"/>
      <c r="Y2233" s="77" t="n"/>
      <c r="Z2233" s="77" t="n"/>
      <c r="AA2233" s="75" t="n"/>
      <c r="AB2233" s="75" t="n"/>
      <c r="AC2233" s="6" t="n"/>
      <c r="AD2233" s="75" t="n"/>
      <c r="AE2233" s="75" t="n"/>
      <c r="AF2233" s="75" t="n"/>
    </row>
    <row r="2234" ht="15.75" customHeight="1" s="133">
      <c r="A2234" s="75" t="n"/>
      <c r="B2234" s="75" t="n"/>
      <c r="C2234" s="75" t="n"/>
      <c r="D2234" s="75" t="n"/>
      <c r="E2234" s="76" t="n"/>
      <c r="F2234" s="77" t="n"/>
      <c r="G2234" s="75" t="n"/>
      <c r="H2234" s="75">
        <f>IF(ISBLANK(E2234),"",IF(OR(D2234="Butterfly",D2234="Butterfly ",D2234="Iron Fly", D2234="Iron Fly "),LEN(E2234)-LEN(SUBSTITUTE(E2234,"/",""))+2,LEN(E2234)-LEN(SUBSTITUTE(E2234,"/",""))+1))</f>
        <v/>
      </c>
      <c r="I2234" s="78">
        <f>IF(ISBLANK(G2234),"",IF(D2234="Stock","0",Key!$A$3*H2234*G2234))</f>
        <v/>
      </c>
      <c r="J2234" s="78">
        <f>IF(ISBLANK(E2234),"",IF(ISNUMBER(SEARCH("/",E2234)), IF(LEN(E2234)-LEN(SUBSTITUTE(E2234,"/",""))=1,(RIGHT(E2234,LEN(E2234)-FIND("/",E2234)))-(LEFT(E2234,FIND("/",E2234)-1)),(MID(E2234, SEARCH("/",E2234) + 1, SEARCH("/",E2234, SEARCH("/",E2234)+1) - SEARCH("/",E2234) - 1))-(LEFT(E2234,FIND("/",E2234)-1))), "NA"))</f>
        <v/>
      </c>
      <c r="K2234" s="79">
        <f>IF(A2234&lt;&gt;"", IF(ISBLANK(L2234), TODAY(), K2234), "")</f>
        <v/>
      </c>
      <c r="L2234" s="78" t="n"/>
      <c r="M2234" s="78">
        <f>IF(ISBLANK(L2234),"",IF(D2234="Stock",IF(C2234="Buy",L2234*G2234,IF(C2234="Sell",(L2234*G2234)-I2234, X)),IF(C2234="Buy",(L2234*G2234*100)+I2234,IF(C2234="Sell",(L2234*G2234*100)-I2234, X))))</f>
        <v/>
      </c>
      <c r="N2234" s="78">
        <f>IF(ISBLANK(L2234),"",IF(AND(C2234="Sell",D2234="Stock"),M2234,IF(ISBLANK(L2234),"",IF(C2234="Buy",M2234, IF(AND(C2234="Sell",J2234="NA"),(E2234*G2234*100*0.1)+I2234, IF(C2234="Sell",(J2234-L2234)*(100*G2234)+I2234))))))</f>
        <v/>
      </c>
      <c r="O2234" s="75" t="n"/>
      <c r="P2234" s="75" t="n"/>
      <c r="Q2234" s="75">
        <f>IF(ISBLANK(P2234),"",IF(D2234="Stock",P2234*G2234,IF(P2234=0,"0",G2234*P2234*100-(G2234*$AF$14))))</f>
        <v/>
      </c>
      <c r="R2234" s="79">
        <f>IF(P2234&lt;&gt;"", TODAY(), "")</f>
        <v/>
      </c>
      <c r="S2234" s="78">
        <f>IF(AND(K2234&lt;&gt;"", R2234&lt;&gt;""), R2234-K2234, "")</f>
        <v/>
      </c>
      <c r="T2234" s="78" t="n"/>
      <c r="U2234" s="92">
        <f>IF(ISBLANK(P2234),"",IF(C2234="Buy",Q2234-M2234+T2234, IF(C2234="Sell",M2234-Q2234-T2234, X)))</f>
        <v/>
      </c>
      <c r="V2234" s="81">
        <f>IF(ISBLANK(P2234),"",U2234/N2234)</f>
        <v/>
      </c>
      <c r="W2234" s="81">
        <f>IF(ISBLANK(P2234),"",IF(S2234=0,(365/0.5)*V2234,(365/S2234)*V2234))</f>
        <v/>
      </c>
      <c r="X2234" s="75" t="n"/>
      <c r="Y2234" s="77" t="n"/>
      <c r="Z2234" s="77" t="n"/>
      <c r="AA2234" s="75" t="n"/>
      <c r="AB2234" s="75" t="n"/>
      <c r="AC2234" s="6" t="n"/>
      <c r="AD2234" s="75" t="n"/>
      <c r="AE2234" s="75" t="n"/>
      <c r="AF2234" s="75" t="n"/>
    </row>
    <row r="2235" ht="15.75" customHeight="1" s="133">
      <c r="A2235" s="75" t="n"/>
      <c r="B2235" s="75" t="n"/>
      <c r="C2235" s="75" t="n"/>
      <c r="D2235" s="75" t="n"/>
      <c r="E2235" s="76" t="n"/>
      <c r="F2235" s="77" t="n"/>
      <c r="G2235" s="75" t="n"/>
      <c r="H2235" s="75">
        <f>IF(ISBLANK(E2235),"",IF(OR(D2235="Butterfly",D2235="Butterfly ",D2235="Iron Fly", D2235="Iron Fly "),LEN(E2235)-LEN(SUBSTITUTE(E2235,"/",""))+2,LEN(E2235)-LEN(SUBSTITUTE(E2235,"/",""))+1))</f>
        <v/>
      </c>
      <c r="I2235" s="78">
        <f>IF(ISBLANK(G2235),"",IF(D2235="Stock","0",Key!$A$3*H2235*G2235))</f>
        <v/>
      </c>
      <c r="J2235" s="78">
        <f>IF(ISBLANK(E2235),"",IF(ISNUMBER(SEARCH("/",E2235)), IF(LEN(E2235)-LEN(SUBSTITUTE(E2235,"/",""))=1,(RIGHT(E2235,LEN(E2235)-FIND("/",E2235)))-(LEFT(E2235,FIND("/",E2235)-1)),(MID(E2235, SEARCH("/",E2235) + 1, SEARCH("/",E2235, SEARCH("/",E2235)+1) - SEARCH("/",E2235) - 1))-(LEFT(E2235,FIND("/",E2235)-1))), "NA"))</f>
        <v/>
      </c>
      <c r="K2235" s="79">
        <f>IF(A2235&lt;&gt;"", IF(ISBLANK(L2235), TODAY(), K2235), "")</f>
        <v/>
      </c>
      <c r="L2235" s="78" t="n"/>
      <c r="M2235" s="78">
        <f>IF(ISBLANK(L2235),"",IF(D2235="Stock",IF(C2235="Buy",L2235*G2235,IF(C2235="Sell",(L2235*G2235)-I2235, X)),IF(C2235="Buy",(L2235*G2235*100)+I2235,IF(C2235="Sell",(L2235*G2235*100)-I2235, X))))</f>
        <v/>
      </c>
      <c r="N2235" s="78">
        <f>IF(ISBLANK(L2235),"",IF(AND(C2235="Sell",D2235="Stock"),M2235,IF(ISBLANK(L2235),"",IF(C2235="Buy",M2235, IF(AND(C2235="Sell",J2235="NA"),(E2235*G2235*100*0.1)+I2235, IF(C2235="Sell",(J2235-L2235)*(100*G2235)+I2235))))))</f>
        <v/>
      </c>
      <c r="O2235" s="75" t="n"/>
      <c r="P2235" s="75" t="n"/>
      <c r="Q2235" s="75">
        <f>IF(ISBLANK(P2235),"",IF(D2235="Stock",P2235*G2235,IF(P2235=0,"0",G2235*P2235*100-(G2235*$AF$14))))</f>
        <v/>
      </c>
      <c r="R2235" s="79">
        <f>IF(P2235&lt;&gt;"", TODAY(), "")</f>
        <v/>
      </c>
      <c r="S2235" s="78">
        <f>IF(AND(K2235&lt;&gt;"", R2235&lt;&gt;""), R2235-K2235, "")</f>
        <v/>
      </c>
      <c r="T2235" s="78" t="n"/>
      <c r="U2235" s="92">
        <f>IF(ISBLANK(P2235),"",IF(C2235="Buy",Q2235-M2235+T2235, IF(C2235="Sell",M2235-Q2235-T2235, X)))</f>
        <v/>
      </c>
      <c r="V2235" s="81">
        <f>IF(ISBLANK(P2235),"",U2235/N2235)</f>
        <v/>
      </c>
      <c r="W2235" s="81">
        <f>IF(ISBLANK(P2235),"",IF(S2235=0,(365/0.5)*V2235,(365/S2235)*V2235))</f>
        <v/>
      </c>
      <c r="X2235" s="75" t="n"/>
      <c r="Y2235" s="77" t="n"/>
      <c r="Z2235" s="77" t="n"/>
      <c r="AA2235" s="75" t="n"/>
      <c r="AB2235" s="75" t="n"/>
      <c r="AC2235" s="6" t="n"/>
      <c r="AD2235" s="75" t="n"/>
      <c r="AE2235" s="75" t="n"/>
      <c r="AF2235" s="75" t="n"/>
    </row>
    <row r="2236" ht="15.75" customHeight="1" s="133">
      <c r="A2236" s="75" t="n"/>
      <c r="B2236" s="75" t="n"/>
      <c r="C2236" s="75" t="n"/>
      <c r="D2236" s="75" t="n"/>
      <c r="E2236" s="76" t="n"/>
      <c r="F2236" s="77" t="n"/>
      <c r="G2236" s="75" t="n"/>
      <c r="H2236" s="75">
        <f>IF(ISBLANK(E2236),"",IF(OR(D2236="Butterfly",D2236="Butterfly ",D2236="Iron Fly", D2236="Iron Fly "),LEN(E2236)-LEN(SUBSTITUTE(E2236,"/",""))+2,LEN(E2236)-LEN(SUBSTITUTE(E2236,"/",""))+1))</f>
        <v/>
      </c>
      <c r="I2236" s="78">
        <f>IF(ISBLANK(G2236),"",IF(D2236="Stock","0",Key!$A$3*H2236*G2236))</f>
        <v/>
      </c>
      <c r="J2236" s="78">
        <f>IF(ISBLANK(E2236),"",IF(ISNUMBER(SEARCH("/",E2236)), IF(LEN(E2236)-LEN(SUBSTITUTE(E2236,"/",""))=1,(RIGHT(E2236,LEN(E2236)-FIND("/",E2236)))-(LEFT(E2236,FIND("/",E2236)-1)),(MID(E2236, SEARCH("/",E2236) + 1, SEARCH("/",E2236, SEARCH("/",E2236)+1) - SEARCH("/",E2236) - 1))-(LEFT(E2236,FIND("/",E2236)-1))), "NA"))</f>
        <v/>
      </c>
      <c r="K2236" s="79">
        <f>IF(A2236&lt;&gt;"", IF(ISBLANK(L2236), TODAY(), K2236), "")</f>
        <v/>
      </c>
      <c r="L2236" s="78" t="n"/>
      <c r="M2236" s="78">
        <f>IF(ISBLANK(L2236),"",IF(D2236="Stock",IF(C2236="Buy",L2236*G2236,IF(C2236="Sell",(L2236*G2236)-I2236, X)),IF(C2236="Buy",(L2236*G2236*100)+I2236,IF(C2236="Sell",(L2236*G2236*100)-I2236, X))))</f>
        <v/>
      </c>
      <c r="N2236" s="78">
        <f>IF(ISBLANK(L2236),"",IF(AND(C2236="Sell",D2236="Stock"),M2236,IF(ISBLANK(L2236),"",IF(C2236="Buy",M2236, IF(AND(C2236="Sell",J2236="NA"),(E2236*G2236*100*0.1)+I2236, IF(C2236="Sell",(J2236-L2236)*(100*G2236)+I2236))))))</f>
        <v/>
      </c>
      <c r="O2236" s="75" t="n"/>
      <c r="P2236" s="75" t="n"/>
      <c r="Q2236" s="75">
        <f>IF(ISBLANK(P2236),"",IF(D2236="Stock",P2236*G2236,IF(P2236=0,"0",G2236*P2236*100-(G2236*$AF$14))))</f>
        <v/>
      </c>
      <c r="R2236" s="79">
        <f>IF(P2236&lt;&gt;"", TODAY(), "")</f>
        <v/>
      </c>
      <c r="S2236" s="78">
        <f>IF(AND(K2236&lt;&gt;"", R2236&lt;&gt;""), R2236-K2236, "")</f>
        <v/>
      </c>
      <c r="T2236" s="78" t="n"/>
      <c r="U2236" s="92">
        <f>IF(ISBLANK(P2236),"",IF(C2236="Buy",Q2236-M2236+T2236, IF(C2236="Sell",M2236-Q2236-T2236, X)))</f>
        <v/>
      </c>
      <c r="V2236" s="81">
        <f>IF(ISBLANK(P2236),"",U2236/N2236)</f>
        <v/>
      </c>
      <c r="W2236" s="81">
        <f>IF(ISBLANK(P2236),"",IF(S2236=0,(365/0.5)*V2236,(365/S2236)*V2236))</f>
        <v/>
      </c>
      <c r="X2236" s="75" t="n"/>
      <c r="Y2236" s="77" t="n"/>
      <c r="Z2236" s="77" t="n"/>
      <c r="AA2236" s="75" t="n"/>
      <c r="AB2236" s="75" t="n"/>
      <c r="AC2236" s="6" t="n"/>
      <c r="AD2236" s="75" t="n"/>
      <c r="AE2236" s="75" t="n"/>
      <c r="AF2236" s="75" t="n"/>
    </row>
    <row r="2237" ht="15.75" customHeight="1" s="133">
      <c r="A2237" s="75" t="n"/>
      <c r="B2237" s="75" t="n"/>
      <c r="C2237" s="75" t="n"/>
      <c r="D2237" s="75" t="n"/>
      <c r="E2237" s="76" t="n"/>
      <c r="F2237" s="77" t="n"/>
      <c r="G2237" s="75" t="n"/>
      <c r="H2237" s="75">
        <f>IF(ISBLANK(E2237),"",IF(OR(D2237="Butterfly",D2237="Butterfly ",D2237="Iron Fly", D2237="Iron Fly "),LEN(E2237)-LEN(SUBSTITUTE(E2237,"/",""))+2,LEN(E2237)-LEN(SUBSTITUTE(E2237,"/",""))+1))</f>
        <v/>
      </c>
      <c r="I2237" s="78">
        <f>IF(ISBLANK(G2237),"",IF(D2237="Stock","0",Key!$A$3*H2237*G2237))</f>
        <v/>
      </c>
      <c r="J2237" s="78">
        <f>IF(ISBLANK(E2237),"",IF(ISNUMBER(SEARCH("/",E2237)), IF(LEN(E2237)-LEN(SUBSTITUTE(E2237,"/",""))=1,(RIGHT(E2237,LEN(E2237)-FIND("/",E2237)))-(LEFT(E2237,FIND("/",E2237)-1)),(MID(E2237, SEARCH("/",E2237) + 1, SEARCH("/",E2237, SEARCH("/",E2237)+1) - SEARCH("/",E2237) - 1))-(LEFT(E2237,FIND("/",E2237)-1))), "NA"))</f>
        <v/>
      </c>
      <c r="K2237" s="79">
        <f>IF(A2237&lt;&gt;"", IF(ISBLANK(L2237), TODAY(), K2237), "")</f>
        <v/>
      </c>
      <c r="L2237" s="78" t="n"/>
      <c r="M2237" s="78">
        <f>IF(ISBLANK(L2237),"",IF(D2237="Stock",IF(C2237="Buy",L2237*G2237,IF(C2237="Sell",(L2237*G2237)-I2237, X)),IF(C2237="Buy",(L2237*G2237*100)+I2237,IF(C2237="Sell",(L2237*G2237*100)-I2237, X))))</f>
        <v/>
      </c>
      <c r="N2237" s="78">
        <f>IF(ISBLANK(L2237),"",IF(AND(C2237="Sell",D2237="Stock"),M2237,IF(ISBLANK(L2237),"",IF(C2237="Buy",M2237, IF(AND(C2237="Sell",J2237="NA"),(E2237*G2237*100*0.1)+I2237, IF(C2237="Sell",(J2237-L2237)*(100*G2237)+I2237))))))</f>
        <v/>
      </c>
      <c r="O2237" s="75" t="n"/>
      <c r="P2237" s="75" t="n"/>
      <c r="Q2237" s="75">
        <f>IF(ISBLANK(P2237),"",IF(D2237="Stock",P2237*G2237,IF(P2237=0,"0",G2237*P2237*100-(G2237*$AF$14))))</f>
        <v/>
      </c>
      <c r="R2237" s="79">
        <f>IF(P2237&lt;&gt;"", TODAY(), "")</f>
        <v/>
      </c>
      <c r="S2237" s="78">
        <f>IF(AND(K2237&lt;&gt;"", R2237&lt;&gt;""), R2237-K2237, "")</f>
        <v/>
      </c>
      <c r="T2237" s="78" t="n"/>
      <c r="U2237" s="92">
        <f>IF(ISBLANK(P2237),"",IF(C2237="Buy",Q2237-M2237+T2237, IF(C2237="Sell",M2237-Q2237-T2237, X)))</f>
        <v/>
      </c>
      <c r="V2237" s="81">
        <f>IF(ISBLANK(P2237),"",U2237/N2237)</f>
        <v/>
      </c>
      <c r="W2237" s="81">
        <f>IF(ISBLANK(P2237),"",IF(S2237=0,(365/0.5)*V2237,(365/S2237)*V2237))</f>
        <v/>
      </c>
      <c r="X2237" s="75" t="n"/>
      <c r="Y2237" s="77" t="n"/>
      <c r="Z2237" s="77" t="n"/>
      <c r="AA2237" s="75" t="n"/>
      <c r="AB2237" s="75" t="n"/>
      <c r="AC2237" s="6" t="n"/>
      <c r="AD2237" s="75" t="n"/>
      <c r="AE2237" s="75" t="n"/>
      <c r="AF2237" s="75" t="n"/>
    </row>
    <row r="2238" ht="15.75" customHeight="1" s="133">
      <c r="A2238" s="75" t="n"/>
      <c r="B2238" s="75" t="n"/>
      <c r="C2238" s="75" t="n"/>
      <c r="D2238" s="75" t="n"/>
      <c r="E2238" s="76" t="n"/>
      <c r="F2238" s="77" t="n"/>
      <c r="G2238" s="75" t="n"/>
      <c r="H2238" s="75">
        <f>IF(ISBLANK(E2238),"",IF(OR(D2238="Butterfly",D2238="Butterfly ",D2238="Iron Fly", D2238="Iron Fly "),LEN(E2238)-LEN(SUBSTITUTE(E2238,"/",""))+2,LEN(E2238)-LEN(SUBSTITUTE(E2238,"/",""))+1))</f>
        <v/>
      </c>
      <c r="I2238" s="78">
        <f>IF(ISBLANK(G2238),"",IF(D2238="Stock","0",Key!$A$3*H2238*G2238))</f>
        <v/>
      </c>
      <c r="J2238" s="78">
        <f>IF(ISBLANK(E2238),"",IF(ISNUMBER(SEARCH("/",E2238)), IF(LEN(E2238)-LEN(SUBSTITUTE(E2238,"/",""))=1,(RIGHT(E2238,LEN(E2238)-FIND("/",E2238)))-(LEFT(E2238,FIND("/",E2238)-1)),(MID(E2238, SEARCH("/",E2238) + 1, SEARCH("/",E2238, SEARCH("/",E2238)+1) - SEARCH("/",E2238) - 1))-(LEFT(E2238,FIND("/",E2238)-1))), "NA"))</f>
        <v/>
      </c>
      <c r="K2238" s="79">
        <f>IF(A2238&lt;&gt;"", IF(ISBLANK(L2238), TODAY(), K2238), "")</f>
        <v/>
      </c>
      <c r="L2238" s="78" t="n"/>
      <c r="M2238" s="78">
        <f>IF(ISBLANK(L2238),"",IF(D2238="Stock",IF(C2238="Buy",L2238*G2238,IF(C2238="Sell",(L2238*G2238)-I2238, X)),IF(C2238="Buy",(L2238*G2238*100)+I2238,IF(C2238="Sell",(L2238*G2238*100)-I2238, X))))</f>
        <v/>
      </c>
      <c r="N2238" s="78">
        <f>IF(ISBLANK(L2238),"",IF(AND(C2238="Sell",D2238="Stock"),M2238,IF(ISBLANK(L2238),"",IF(C2238="Buy",M2238, IF(AND(C2238="Sell",J2238="NA"),(E2238*G2238*100*0.1)+I2238, IF(C2238="Sell",(J2238-L2238)*(100*G2238)+I2238))))))</f>
        <v/>
      </c>
      <c r="O2238" s="75" t="n"/>
      <c r="P2238" s="75" t="n"/>
      <c r="Q2238" s="75">
        <f>IF(ISBLANK(P2238),"",IF(D2238="Stock",P2238*G2238,IF(P2238=0,"0",G2238*P2238*100-(G2238*$AF$14))))</f>
        <v/>
      </c>
      <c r="R2238" s="79">
        <f>IF(P2238&lt;&gt;"", TODAY(), "")</f>
        <v/>
      </c>
      <c r="S2238" s="78">
        <f>IF(AND(K2238&lt;&gt;"", R2238&lt;&gt;""), R2238-K2238, "")</f>
        <v/>
      </c>
      <c r="T2238" s="78" t="n"/>
      <c r="U2238" s="92">
        <f>IF(ISBLANK(P2238),"",IF(C2238="Buy",Q2238-M2238+T2238, IF(C2238="Sell",M2238-Q2238-T2238, X)))</f>
        <v/>
      </c>
      <c r="V2238" s="81">
        <f>IF(ISBLANK(P2238),"",U2238/N2238)</f>
        <v/>
      </c>
      <c r="W2238" s="81">
        <f>IF(ISBLANK(P2238),"",IF(S2238=0,(365/0.5)*V2238,(365/S2238)*V2238))</f>
        <v/>
      </c>
      <c r="X2238" s="75" t="n"/>
      <c r="Y2238" s="77" t="n"/>
      <c r="Z2238" s="77" t="n"/>
      <c r="AA2238" s="75" t="n"/>
      <c r="AB2238" s="75" t="n"/>
      <c r="AC2238" s="6" t="n"/>
      <c r="AD2238" s="75" t="n"/>
      <c r="AE2238" s="75" t="n"/>
      <c r="AF2238" s="75" t="n"/>
    </row>
    <row r="2239" ht="15.75" customHeight="1" s="133">
      <c r="A2239" s="75" t="n"/>
      <c r="B2239" s="75" t="n"/>
      <c r="C2239" s="75" t="n"/>
      <c r="D2239" s="75" t="n"/>
      <c r="E2239" s="76" t="n"/>
      <c r="F2239" s="77" t="n"/>
      <c r="G2239" s="75" t="n"/>
      <c r="H2239" s="75">
        <f>IF(ISBLANK(E2239),"",IF(OR(D2239="Butterfly",D2239="Butterfly ",D2239="Iron Fly", D2239="Iron Fly "),LEN(E2239)-LEN(SUBSTITUTE(E2239,"/",""))+2,LEN(E2239)-LEN(SUBSTITUTE(E2239,"/",""))+1))</f>
        <v/>
      </c>
      <c r="I2239" s="78">
        <f>IF(ISBLANK(G2239),"",IF(D2239="Stock","0",Key!$A$3*H2239*G2239))</f>
        <v/>
      </c>
      <c r="J2239" s="78">
        <f>IF(ISBLANK(E2239),"",IF(ISNUMBER(SEARCH("/",E2239)), IF(LEN(E2239)-LEN(SUBSTITUTE(E2239,"/",""))=1,(RIGHT(E2239,LEN(E2239)-FIND("/",E2239)))-(LEFT(E2239,FIND("/",E2239)-1)),(MID(E2239, SEARCH("/",E2239) + 1, SEARCH("/",E2239, SEARCH("/",E2239)+1) - SEARCH("/",E2239) - 1))-(LEFT(E2239,FIND("/",E2239)-1))), "NA"))</f>
        <v/>
      </c>
      <c r="K2239" s="79">
        <f>IF(A2239&lt;&gt;"", IF(ISBLANK(L2239), TODAY(), K2239), "")</f>
        <v/>
      </c>
      <c r="L2239" s="78" t="n"/>
      <c r="M2239" s="78">
        <f>IF(ISBLANK(L2239),"",IF(D2239="Stock",IF(C2239="Buy",L2239*G2239,IF(C2239="Sell",(L2239*G2239)-I2239, X)),IF(C2239="Buy",(L2239*G2239*100)+I2239,IF(C2239="Sell",(L2239*G2239*100)-I2239, X))))</f>
        <v/>
      </c>
      <c r="N2239" s="78">
        <f>IF(ISBLANK(L2239),"",IF(AND(C2239="Sell",D2239="Stock"),M2239,IF(ISBLANK(L2239),"",IF(C2239="Buy",M2239, IF(AND(C2239="Sell",J2239="NA"),(E2239*G2239*100*0.1)+I2239, IF(C2239="Sell",(J2239-L2239)*(100*G2239)+I2239))))))</f>
        <v/>
      </c>
      <c r="O2239" s="75" t="n"/>
      <c r="P2239" s="75" t="n"/>
      <c r="Q2239" s="75">
        <f>IF(ISBLANK(P2239),"",IF(D2239="Stock",P2239*G2239,IF(P2239=0,"0",G2239*P2239*100-(G2239*$AF$14))))</f>
        <v/>
      </c>
      <c r="R2239" s="79">
        <f>IF(P2239&lt;&gt;"", TODAY(), "")</f>
        <v/>
      </c>
      <c r="S2239" s="78">
        <f>IF(AND(K2239&lt;&gt;"", R2239&lt;&gt;""), R2239-K2239, "")</f>
        <v/>
      </c>
      <c r="T2239" s="78" t="n"/>
      <c r="U2239" s="92">
        <f>IF(ISBLANK(P2239),"",IF(C2239="Buy",Q2239-M2239+T2239, IF(C2239="Sell",M2239-Q2239-T2239, X)))</f>
        <v/>
      </c>
      <c r="V2239" s="81">
        <f>IF(ISBLANK(P2239),"",U2239/N2239)</f>
        <v/>
      </c>
      <c r="W2239" s="81">
        <f>IF(ISBLANK(P2239),"",IF(S2239=0,(365/0.5)*V2239,(365/S2239)*V2239))</f>
        <v/>
      </c>
      <c r="X2239" s="75" t="n"/>
      <c r="Y2239" s="77" t="n"/>
      <c r="Z2239" s="77" t="n"/>
      <c r="AA2239" s="75" t="n"/>
      <c r="AB2239" s="75" t="n"/>
      <c r="AC2239" s="6" t="n"/>
      <c r="AD2239" s="75" t="n"/>
      <c r="AE2239" s="75" t="n"/>
      <c r="AF2239" s="75" t="n"/>
    </row>
    <row r="2240" ht="15.75" customHeight="1" s="133">
      <c r="A2240" s="75" t="n"/>
      <c r="B2240" s="75" t="n"/>
      <c r="C2240" s="75" t="n"/>
      <c r="D2240" s="75" t="n"/>
      <c r="E2240" s="76" t="n"/>
      <c r="F2240" s="77" t="n"/>
      <c r="G2240" s="75" t="n"/>
      <c r="H2240" s="75">
        <f>IF(ISBLANK(E2240),"",IF(OR(D2240="Butterfly",D2240="Butterfly ",D2240="Iron Fly", D2240="Iron Fly "),LEN(E2240)-LEN(SUBSTITUTE(E2240,"/",""))+2,LEN(E2240)-LEN(SUBSTITUTE(E2240,"/",""))+1))</f>
        <v/>
      </c>
      <c r="I2240" s="78">
        <f>IF(ISBLANK(G2240),"",IF(D2240="Stock","0",Key!$A$3*H2240*G2240))</f>
        <v/>
      </c>
      <c r="J2240" s="78">
        <f>IF(ISBLANK(E2240),"",IF(ISNUMBER(SEARCH("/",E2240)), IF(LEN(E2240)-LEN(SUBSTITUTE(E2240,"/",""))=1,(RIGHT(E2240,LEN(E2240)-FIND("/",E2240)))-(LEFT(E2240,FIND("/",E2240)-1)),(MID(E2240, SEARCH("/",E2240) + 1, SEARCH("/",E2240, SEARCH("/",E2240)+1) - SEARCH("/",E2240) - 1))-(LEFT(E2240,FIND("/",E2240)-1))), "NA"))</f>
        <v/>
      </c>
      <c r="K2240" s="79">
        <f>IF(A2240&lt;&gt;"", IF(ISBLANK(L2240), TODAY(), K2240), "")</f>
        <v/>
      </c>
      <c r="L2240" s="78" t="n"/>
      <c r="M2240" s="78">
        <f>IF(ISBLANK(L2240),"",IF(D2240="Stock",IF(C2240="Buy",L2240*G2240,IF(C2240="Sell",(L2240*G2240)-I2240, X)),IF(C2240="Buy",(L2240*G2240*100)+I2240,IF(C2240="Sell",(L2240*G2240*100)-I2240, X))))</f>
        <v/>
      </c>
      <c r="N2240" s="78">
        <f>IF(ISBLANK(L2240),"",IF(AND(C2240="Sell",D2240="Stock"),M2240,IF(ISBLANK(L2240),"",IF(C2240="Buy",M2240, IF(AND(C2240="Sell",J2240="NA"),(E2240*G2240*100*0.1)+I2240, IF(C2240="Sell",(J2240-L2240)*(100*G2240)+I2240))))))</f>
        <v/>
      </c>
      <c r="O2240" s="75" t="n"/>
      <c r="P2240" s="75" t="n"/>
      <c r="Q2240" s="75">
        <f>IF(ISBLANK(P2240),"",IF(D2240="Stock",P2240*G2240,IF(P2240=0,"0",G2240*P2240*100-(G2240*$AF$14))))</f>
        <v/>
      </c>
      <c r="R2240" s="79">
        <f>IF(P2240&lt;&gt;"", TODAY(), "")</f>
        <v/>
      </c>
      <c r="S2240" s="78">
        <f>IF(AND(K2240&lt;&gt;"", R2240&lt;&gt;""), R2240-K2240, "")</f>
        <v/>
      </c>
      <c r="T2240" s="78" t="n"/>
      <c r="U2240" s="92">
        <f>IF(ISBLANK(P2240),"",IF(C2240="Buy",Q2240-M2240+T2240, IF(C2240="Sell",M2240-Q2240-T2240, X)))</f>
        <v/>
      </c>
      <c r="V2240" s="81">
        <f>IF(ISBLANK(P2240),"",U2240/N2240)</f>
        <v/>
      </c>
      <c r="W2240" s="81">
        <f>IF(ISBLANK(P2240),"",IF(S2240=0,(365/0.5)*V2240,(365/S2240)*V2240))</f>
        <v/>
      </c>
      <c r="X2240" s="75" t="n"/>
      <c r="Y2240" s="77" t="n"/>
      <c r="Z2240" s="77" t="n"/>
      <c r="AA2240" s="75" t="n"/>
      <c r="AB2240" s="75" t="n"/>
      <c r="AC2240" s="6" t="n"/>
      <c r="AD2240" s="75" t="n"/>
      <c r="AE2240" s="75" t="n"/>
      <c r="AF2240" s="75" t="n"/>
    </row>
    <row r="2241" ht="15.75" customHeight="1" s="133">
      <c r="A2241" s="75" t="n"/>
      <c r="B2241" s="75" t="n"/>
      <c r="C2241" s="75" t="n"/>
      <c r="D2241" s="75" t="n"/>
      <c r="E2241" s="76" t="n"/>
      <c r="F2241" s="77" t="n"/>
      <c r="G2241" s="75" t="n"/>
      <c r="H2241" s="75">
        <f>IF(ISBLANK(E2241),"",IF(OR(D2241="Butterfly",D2241="Butterfly ",D2241="Iron Fly", D2241="Iron Fly "),LEN(E2241)-LEN(SUBSTITUTE(E2241,"/",""))+2,LEN(E2241)-LEN(SUBSTITUTE(E2241,"/",""))+1))</f>
        <v/>
      </c>
      <c r="I2241" s="78">
        <f>IF(ISBLANK(G2241),"",IF(D2241="Stock","0",Key!$A$3*H2241*G2241))</f>
        <v/>
      </c>
      <c r="J2241" s="78">
        <f>IF(ISBLANK(E2241),"",IF(ISNUMBER(SEARCH("/",E2241)), IF(LEN(E2241)-LEN(SUBSTITUTE(E2241,"/",""))=1,(RIGHT(E2241,LEN(E2241)-FIND("/",E2241)))-(LEFT(E2241,FIND("/",E2241)-1)),(MID(E2241, SEARCH("/",E2241) + 1, SEARCH("/",E2241, SEARCH("/",E2241)+1) - SEARCH("/",E2241) - 1))-(LEFT(E2241,FIND("/",E2241)-1))), "NA"))</f>
        <v/>
      </c>
      <c r="K2241" s="79">
        <f>IF(A2241&lt;&gt;"", IF(ISBLANK(L2241), TODAY(), K2241), "")</f>
        <v/>
      </c>
      <c r="L2241" s="78" t="n"/>
      <c r="M2241" s="78">
        <f>IF(ISBLANK(L2241),"",IF(D2241="Stock",IF(C2241="Buy",L2241*G2241,IF(C2241="Sell",(L2241*G2241)-I2241, X)),IF(C2241="Buy",(L2241*G2241*100)+I2241,IF(C2241="Sell",(L2241*G2241*100)-I2241, X))))</f>
        <v/>
      </c>
      <c r="N2241" s="78">
        <f>IF(ISBLANK(L2241),"",IF(AND(C2241="Sell",D2241="Stock"),M2241,IF(ISBLANK(L2241),"",IF(C2241="Buy",M2241, IF(AND(C2241="Sell",J2241="NA"),(E2241*G2241*100*0.1)+I2241, IF(C2241="Sell",(J2241-L2241)*(100*G2241)+I2241))))))</f>
        <v/>
      </c>
      <c r="O2241" s="75" t="n"/>
      <c r="P2241" s="75" t="n"/>
      <c r="Q2241" s="75">
        <f>IF(ISBLANK(P2241),"",IF(D2241="Stock",P2241*G2241,IF(P2241=0,"0",G2241*P2241*100-(G2241*$AF$14))))</f>
        <v/>
      </c>
      <c r="R2241" s="79">
        <f>IF(P2241&lt;&gt;"", TODAY(), "")</f>
        <v/>
      </c>
      <c r="S2241" s="78">
        <f>IF(AND(K2241&lt;&gt;"", R2241&lt;&gt;""), R2241-K2241, "")</f>
        <v/>
      </c>
      <c r="T2241" s="78" t="n"/>
      <c r="U2241" s="92">
        <f>IF(ISBLANK(P2241),"",IF(C2241="Buy",Q2241-M2241+T2241, IF(C2241="Sell",M2241-Q2241-T2241, X)))</f>
        <v/>
      </c>
      <c r="V2241" s="81">
        <f>IF(ISBLANK(P2241),"",U2241/N2241)</f>
        <v/>
      </c>
      <c r="W2241" s="81">
        <f>IF(ISBLANK(P2241),"",IF(S2241=0,(365/0.5)*V2241,(365/S2241)*V2241))</f>
        <v/>
      </c>
      <c r="X2241" s="75" t="n"/>
      <c r="Y2241" s="77" t="n"/>
      <c r="Z2241" s="77" t="n"/>
      <c r="AA2241" s="75" t="n"/>
      <c r="AB2241" s="75" t="n"/>
      <c r="AC2241" s="6" t="n"/>
      <c r="AD2241" s="75" t="n"/>
      <c r="AE2241" s="75" t="n"/>
      <c r="AF2241" s="75" t="n"/>
    </row>
    <row r="2242" ht="15.75" customHeight="1" s="133">
      <c r="A2242" s="75" t="n"/>
      <c r="B2242" s="75" t="n"/>
      <c r="C2242" s="75" t="n"/>
      <c r="D2242" s="75" t="n"/>
      <c r="E2242" s="76" t="n"/>
      <c r="F2242" s="77" t="n"/>
      <c r="G2242" s="75" t="n"/>
      <c r="H2242" s="75">
        <f>IF(ISBLANK(E2242),"",IF(OR(D2242="Butterfly",D2242="Butterfly ",D2242="Iron Fly", D2242="Iron Fly "),LEN(E2242)-LEN(SUBSTITUTE(E2242,"/",""))+2,LEN(E2242)-LEN(SUBSTITUTE(E2242,"/",""))+1))</f>
        <v/>
      </c>
      <c r="I2242" s="78">
        <f>IF(ISBLANK(G2242),"",IF(D2242="Stock","0",Key!$A$3*H2242*G2242))</f>
        <v/>
      </c>
      <c r="J2242" s="78">
        <f>IF(ISBLANK(E2242),"",IF(ISNUMBER(SEARCH("/",E2242)), IF(LEN(E2242)-LEN(SUBSTITUTE(E2242,"/",""))=1,(RIGHT(E2242,LEN(E2242)-FIND("/",E2242)))-(LEFT(E2242,FIND("/",E2242)-1)),(MID(E2242, SEARCH("/",E2242) + 1, SEARCH("/",E2242, SEARCH("/",E2242)+1) - SEARCH("/",E2242) - 1))-(LEFT(E2242,FIND("/",E2242)-1))), "NA"))</f>
        <v/>
      </c>
      <c r="K2242" s="79">
        <f>IF(A2242&lt;&gt;"", IF(ISBLANK(L2242), TODAY(), K2242), "")</f>
        <v/>
      </c>
      <c r="L2242" s="78" t="n"/>
      <c r="M2242" s="78">
        <f>IF(ISBLANK(L2242),"",IF(D2242="Stock",IF(C2242="Buy",L2242*G2242,IF(C2242="Sell",(L2242*G2242)-I2242, X)),IF(C2242="Buy",(L2242*G2242*100)+I2242,IF(C2242="Sell",(L2242*G2242*100)-I2242, X))))</f>
        <v/>
      </c>
      <c r="N2242" s="78">
        <f>IF(ISBLANK(L2242),"",IF(AND(C2242="Sell",D2242="Stock"),M2242,IF(ISBLANK(L2242),"",IF(C2242="Buy",M2242, IF(AND(C2242="Sell",J2242="NA"),(E2242*G2242*100*0.1)+I2242, IF(C2242="Sell",(J2242-L2242)*(100*G2242)+I2242))))))</f>
        <v/>
      </c>
      <c r="O2242" s="75" t="n"/>
      <c r="P2242" s="75" t="n"/>
      <c r="Q2242" s="75">
        <f>IF(ISBLANK(P2242),"",IF(D2242="Stock",P2242*G2242,IF(P2242=0,"0",G2242*P2242*100-(G2242*$AF$14))))</f>
        <v/>
      </c>
      <c r="R2242" s="79">
        <f>IF(P2242&lt;&gt;"", TODAY(), "")</f>
        <v/>
      </c>
      <c r="S2242" s="78">
        <f>IF(AND(K2242&lt;&gt;"", R2242&lt;&gt;""), R2242-K2242, "")</f>
        <v/>
      </c>
      <c r="T2242" s="78" t="n"/>
      <c r="U2242" s="92">
        <f>IF(ISBLANK(P2242),"",IF(C2242="Buy",Q2242-M2242+T2242, IF(C2242="Sell",M2242-Q2242-T2242, X)))</f>
        <v/>
      </c>
      <c r="V2242" s="81">
        <f>IF(ISBLANK(P2242),"",U2242/N2242)</f>
        <v/>
      </c>
      <c r="W2242" s="81">
        <f>IF(ISBLANK(P2242),"",IF(S2242=0,(365/0.5)*V2242,(365/S2242)*V2242))</f>
        <v/>
      </c>
      <c r="X2242" s="75" t="n"/>
      <c r="Y2242" s="77" t="n"/>
      <c r="Z2242" s="77" t="n"/>
      <c r="AA2242" s="75" t="n"/>
      <c r="AB2242" s="75" t="n"/>
      <c r="AC2242" s="6" t="n"/>
      <c r="AD2242" s="75" t="n"/>
      <c r="AE2242" s="75" t="n"/>
      <c r="AF2242" s="75" t="n"/>
    </row>
    <row r="2243" ht="15.75" customHeight="1" s="133">
      <c r="A2243" s="75" t="n"/>
      <c r="B2243" s="75" t="n"/>
      <c r="C2243" s="75" t="n"/>
      <c r="D2243" s="75" t="n"/>
      <c r="E2243" s="76" t="n"/>
      <c r="F2243" s="77" t="n"/>
      <c r="G2243" s="75" t="n"/>
      <c r="H2243" s="75">
        <f>IF(ISBLANK(E2243),"",IF(OR(D2243="Butterfly",D2243="Butterfly ",D2243="Iron Fly", D2243="Iron Fly "),LEN(E2243)-LEN(SUBSTITUTE(E2243,"/",""))+2,LEN(E2243)-LEN(SUBSTITUTE(E2243,"/",""))+1))</f>
        <v/>
      </c>
      <c r="I2243" s="78">
        <f>IF(ISBLANK(G2243),"",IF(D2243="Stock","0",Key!$A$3*H2243*G2243))</f>
        <v/>
      </c>
      <c r="J2243" s="78">
        <f>IF(ISBLANK(E2243),"",IF(ISNUMBER(SEARCH("/",E2243)), IF(LEN(E2243)-LEN(SUBSTITUTE(E2243,"/",""))=1,(RIGHT(E2243,LEN(E2243)-FIND("/",E2243)))-(LEFT(E2243,FIND("/",E2243)-1)),(MID(E2243, SEARCH("/",E2243) + 1, SEARCH("/",E2243, SEARCH("/",E2243)+1) - SEARCH("/",E2243) - 1))-(LEFT(E2243,FIND("/",E2243)-1))), "NA"))</f>
        <v/>
      </c>
      <c r="K2243" s="79">
        <f>IF(A2243&lt;&gt;"", IF(ISBLANK(L2243), TODAY(), K2243), "")</f>
        <v/>
      </c>
      <c r="L2243" s="78" t="n"/>
      <c r="M2243" s="78">
        <f>IF(ISBLANK(L2243),"",IF(D2243="Stock",IF(C2243="Buy",L2243*G2243,IF(C2243="Sell",(L2243*G2243)-I2243, X)),IF(C2243="Buy",(L2243*G2243*100)+I2243,IF(C2243="Sell",(L2243*G2243*100)-I2243, X))))</f>
        <v/>
      </c>
      <c r="N2243" s="78">
        <f>IF(ISBLANK(L2243),"",IF(AND(C2243="Sell",D2243="Stock"),M2243,IF(ISBLANK(L2243),"",IF(C2243="Buy",M2243, IF(AND(C2243="Sell",J2243="NA"),(E2243*G2243*100*0.1)+I2243, IF(C2243="Sell",(J2243-L2243)*(100*G2243)+I2243))))))</f>
        <v/>
      </c>
      <c r="O2243" s="75" t="n"/>
      <c r="P2243" s="75" t="n"/>
      <c r="Q2243" s="75">
        <f>IF(ISBLANK(P2243),"",IF(D2243="Stock",P2243*G2243,IF(P2243=0,"0",G2243*P2243*100-(G2243*$AF$14))))</f>
        <v/>
      </c>
      <c r="R2243" s="79">
        <f>IF(P2243&lt;&gt;"", TODAY(), "")</f>
        <v/>
      </c>
      <c r="S2243" s="78">
        <f>IF(AND(K2243&lt;&gt;"", R2243&lt;&gt;""), R2243-K2243, "")</f>
        <v/>
      </c>
      <c r="T2243" s="78" t="n"/>
      <c r="U2243" s="92">
        <f>IF(ISBLANK(P2243),"",IF(C2243="Buy",Q2243-M2243+T2243, IF(C2243="Sell",M2243-Q2243-T2243, X)))</f>
        <v/>
      </c>
      <c r="V2243" s="81">
        <f>IF(ISBLANK(P2243),"",U2243/N2243)</f>
        <v/>
      </c>
      <c r="W2243" s="81">
        <f>IF(ISBLANK(P2243),"",IF(S2243=0,(365/0.5)*V2243,(365/S2243)*V2243))</f>
        <v/>
      </c>
      <c r="X2243" s="75" t="n"/>
      <c r="Y2243" s="77" t="n"/>
      <c r="Z2243" s="77" t="n"/>
      <c r="AA2243" s="75" t="n"/>
      <c r="AB2243" s="75" t="n"/>
      <c r="AC2243" s="6" t="n"/>
      <c r="AD2243" s="75" t="n"/>
      <c r="AE2243" s="75" t="n"/>
      <c r="AF2243" s="75" t="n"/>
    </row>
    <row r="2244" ht="15.75" customHeight="1" s="133">
      <c r="A2244" s="75" t="n"/>
      <c r="B2244" s="75" t="n"/>
      <c r="C2244" s="75" t="n"/>
      <c r="D2244" s="75" t="n"/>
      <c r="E2244" s="76" t="n"/>
      <c r="F2244" s="77" t="n"/>
      <c r="G2244" s="75" t="n"/>
      <c r="H2244" s="75">
        <f>IF(ISBLANK(E2244),"",IF(OR(D2244="Butterfly",D2244="Butterfly ",D2244="Iron Fly", D2244="Iron Fly "),LEN(E2244)-LEN(SUBSTITUTE(E2244,"/",""))+2,LEN(E2244)-LEN(SUBSTITUTE(E2244,"/",""))+1))</f>
        <v/>
      </c>
      <c r="I2244" s="78">
        <f>IF(ISBLANK(G2244),"",IF(D2244="Stock","0",Key!$A$3*H2244*G2244))</f>
        <v/>
      </c>
      <c r="J2244" s="78">
        <f>IF(ISBLANK(E2244),"",IF(ISNUMBER(SEARCH("/",E2244)), IF(LEN(E2244)-LEN(SUBSTITUTE(E2244,"/",""))=1,(RIGHT(E2244,LEN(E2244)-FIND("/",E2244)))-(LEFT(E2244,FIND("/",E2244)-1)),(MID(E2244, SEARCH("/",E2244) + 1, SEARCH("/",E2244, SEARCH("/",E2244)+1) - SEARCH("/",E2244) - 1))-(LEFT(E2244,FIND("/",E2244)-1))), "NA"))</f>
        <v/>
      </c>
      <c r="K2244" s="79">
        <f>IF(A2244&lt;&gt;"", IF(ISBLANK(L2244), TODAY(), K2244), "")</f>
        <v/>
      </c>
      <c r="L2244" s="78" t="n"/>
      <c r="M2244" s="78">
        <f>IF(ISBLANK(L2244),"",IF(D2244="Stock",IF(C2244="Buy",L2244*G2244,IF(C2244="Sell",(L2244*G2244)-I2244, X)),IF(C2244="Buy",(L2244*G2244*100)+I2244,IF(C2244="Sell",(L2244*G2244*100)-I2244, X))))</f>
        <v/>
      </c>
      <c r="N2244" s="78">
        <f>IF(ISBLANK(L2244),"",IF(AND(C2244="Sell",D2244="Stock"),M2244,IF(ISBLANK(L2244),"",IF(C2244="Buy",M2244, IF(AND(C2244="Sell",J2244="NA"),(E2244*G2244*100*0.1)+I2244, IF(C2244="Sell",(J2244-L2244)*(100*G2244)+I2244))))))</f>
        <v/>
      </c>
      <c r="O2244" s="75" t="n"/>
      <c r="P2244" s="75" t="n"/>
      <c r="Q2244" s="75">
        <f>IF(ISBLANK(P2244),"",IF(D2244="Stock",P2244*G2244,IF(P2244=0,"0",G2244*P2244*100-(G2244*$AF$14))))</f>
        <v/>
      </c>
      <c r="R2244" s="79">
        <f>IF(P2244&lt;&gt;"", TODAY(), "")</f>
        <v/>
      </c>
      <c r="S2244" s="78">
        <f>IF(AND(K2244&lt;&gt;"", R2244&lt;&gt;""), R2244-K2244, "")</f>
        <v/>
      </c>
      <c r="T2244" s="78" t="n"/>
      <c r="U2244" s="92">
        <f>IF(ISBLANK(P2244),"",IF(C2244="Buy",Q2244-M2244+T2244, IF(C2244="Sell",M2244-Q2244-T2244, X)))</f>
        <v/>
      </c>
      <c r="V2244" s="81">
        <f>IF(ISBLANK(P2244),"",U2244/N2244)</f>
        <v/>
      </c>
      <c r="W2244" s="81">
        <f>IF(ISBLANK(P2244),"",IF(S2244=0,(365/0.5)*V2244,(365/S2244)*V2244))</f>
        <v/>
      </c>
      <c r="X2244" s="75" t="n"/>
      <c r="Y2244" s="77" t="n"/>
      <c r="Z2244" s="77" t="n"/>
      <c r="AA2244" s="75" t="n"/>
      <c r="AB2244" s="75" t="n"/>
      <c r="AC2244" s="6" t="n"/>
      <c r="AD2244" s="75" t="n"/>
      <c r="AE2244" s="75" t="n"/>
      <c r="AF2244" s="75" t="n"/>
    </row>
    <row r="2245" ht="15.75" customHeight="1" s="133">
      <c r="A2245" s="75" t="n"/>
      <c r="B2245" s="75" t="n"/>
      <c r="C2245" s="75" t="n"/>
      <c r="D2245" s="75" t="n"/>
      <c r="E2245" s="76" t="n"/>
      <c r="F2245" s="77" t="n"/>
      <c r="G2245" s="75" t="n"/>
      <c r="H2245" s="75">
        <f>IF(ISBLANK(E2245),"",IF(OR(D2245="Butterfly",D2245="Butterfly ",D2245="Iron Fly", D2245="Iron Fly "),LEN(E2245)-LEN(SUBSTITUTE(E2245,"/",""))+2,LEN(E2245)-LEN(SUBSTITUTE(E2245,"/",""))+1))</f>
        <v/>
      </c>
      <c r="I2245" s="78">
        <f>IF(ISBLANK(G2245),"",IF(D2245="Stock","0",Key!$A$3*H2245*G2245))</f>
        <v/>
      </c>
      <c r="J2245" s="78">
        <f>IF(ISBLANK(E2245),"",IF(ISNUMBER(SEARCH("/",E2245)), IF(LEN(E2245)-LEN(SUBSTITUTE(E2245,"/",""))=1,(RIGHT(E2245,LEN(E2245)-FIND("/",E2245)))-(LEFT(E2245,FIND("/",E2245)-1)),(MID(E2245, SEARCH("/",E2245) + 1, SEARCH("/",E2245, SEARCH("/",E2245)+1) - SEARCH("/",E2245) - 1))-(LEFT(E2245,FIND("/",E2245)-1))), "NA"))</f>
        <v/>
      </c>
      <c r="K2245" s="79">
        <f>IF(A2245&lt;&gt;"", IF(ISBLANK(L2245), TODAY(), K2245), "")</f>
        <v/>
      </c>
      <c r="L2245" s="78" t="n"/>
      <c r="M2245" s="78">
        <f>IF(ISBLANK(L2245),"",IF(D2245="Stock",IF(C2245="Buy",L2245*G2245,IF(C2245="Sell",(L2245*G2245)-I2245, X)),IF(C2245="Buy",(L2245*G2245*100)+I2245,IF(C2245="Sell",(L2245*G2245*100)-I2245, X))))</f>
        <v/>
      </c>
      <c r="N2245" s="78">
        <f>IF(ISBLANK(L2245),"",IF(AND(C2245="Sell",D2245="Stock"),M2245,IF(ISBLANK(L2245),"",IF(C2245="Buy",M2245, IF(AND(C2245="Sell",J2245="NA"),(E2245*G2245*100*0.1)+I2245, IF(C2245="Sell",(J2245-L2245)*(100*G2245)+I2245))))))</f>
        <v/>
      </c>
      <c r="O2245" s="75" t="n"/>
      <c r="P2245" s="75" t="n"/>
      <c r="Q2245" s="75">
        <f>IF(ISBLANK(P2245),"",IF(D2245="Stock",P2245*G2245,IF(P2245=0,"0",G2245*P2245*100-(G2245*$AF$14))))</f>
        <v/>
      </c>
      <c r="R2245" s="79">
        <f>IF(P2245&lt;&gt;"", TODAY(), "")</f>
        <v/>
      </c>
      <c r="S2245" s="78">
        <f>IF(AND(K2245&lt;&gt;"", R2245&lt;&gt;""), R2245-K2245, "")</f>
        <v/>
      </c>
      <c r="T2245" s="78" t="n"/>
      <c r="U2245" s="92">
        <f>IF(ISBLANK(P2245),"",IF(C2245="Buy",Q2245-M2245+T2245, IF(C2245="Sell",M2245-Q2245-T2245, X)))</f>
        <v/>
      </c>
      <c r="V2245" s="81">
        <f>IF(ISBLANK(P2245),"",U2245/N2245)</f>
        <v/>
      </c>
      <c r="W2245" s="81">
        <f>IF(ISBLANK(P2245),"",IF(S2245=0,(365/0.5)*V2245,(365/S2245)*V2245))</f>
        <v/>
      </c>
      <c r="X2245" s="75" t="n"/>
      <c r="Y2245" s="77" t="n"/>
      <c r="Z2245" s="77" t="n"/>
      <c r="AA2245" s="75" t="n"/>
      <c r="AB2245" s="75" t="n"/>
      <c r="AC2245" s="6" t="n"/>
      <c r="AD2245" s="75" t="n"/>
      <c r="AE2245" s="75" t="n"/>
      <c r="AF2245" s="75" t="n"/>
    </row>
    <row r="2246" ht="15.75" customHeight="1" s="133">
      <c r="A2246" s="75" t="n"/>
      <c r="B2246" s="75" t="n"/>
      <c r="C2246" s="75" t="n"/>
      <c r="D2246" s="75" t="n"/>
      <c r="E2246" s="76" t="n"/>
      <c r="F2246" s="77" t="n"/>
      <c r="G2246" s="75" t="n"/>
      <c r="H2246" s="75">
        <f>IF(ISBLANK(E2246),"",IF(OR(D2246="Butterfly",D2246="Butterfly ",D2246="Iron Fly", D2246="Iron Fly "),LEN(E2246)-LEN(SUBSTITUTE(E2246,"/",""))+2,LEN(E2246)-LEN(SUBSTITUTE(E2246,"/",""))+1))</f>
        <v/>
      </c>
      <c r="I2246" s="78">
        <f>IF(ISBLANK(G2246),"",IF(D2246="Stock","0",Key!$A$3*H2246*G2246))</f>
        <v/>
      </c>
      <c r="J2246" s="78">
        <f>IF(ISBLANK(E2246),"",IF(ISNUMBER(SEARCH("/",E2246)), IF(LEN(E2246)-LEN(SUBSTITUTE(E2246,"/",""))=1,(RIGHT(E2246,LEN(E2246)-FIND("/",E2246)))-(LEFT(E2246,FIND("/",E2246)-1)),(MID(E2246, SEARCH("/",E2246) + 1, SEARCH("/",E2246, SEARCH("/",E2246)+1) - SEARCH("/",E2246) - 1))-(LEFT(E2246,FIND("/",E2246)-1))), "NA"))</f>
        <v/>
      </c>
      <c r="K2246" s="79">
        <f>IF(A2246&lt;&gt;"", IF(ISBLANK(L2246), TODAY(), K2246), "")</f>
        <v/>
      </c>
      <c r="L2246" s="78" t="n"/>
      <c r="M2246" s="78">
        <f>IF(ISBLANK(L2246),"",IF(D2246="Stock",IF(C2246="Buy",L2246*G2246,IF(C2246="Sell",(L2246*G2246)-I2246, X)),IF(C2246="Buy",(L2246*G2246*100)+I2246,IF(C2246="Sell",(L2246*G2246*100)-I2246, X))))</f>
        <v/>
      </c>
      <c r="N2246" s="78">
        <f>IF(ISBLANK(L2246),"",IF(AND(C2246="Sell",D2246="Stock"),M2246,IF(ISBLANK(L2246),"",IF(C2246="Buy",M2246, IF(AND(C2246="Sell",J2246="NA"),(E2246*G2246*100*0.1)+I2246, IF(C2246="Sell",(J2246-L2246)*(100*G2246)+I2246))))))</f>
        <v/>
      </c>
      <c r="O2246" s="75" t="n"/>
      <c r="P2246" s="75" t="n"/>
      <c r="Q2246" s="75">
        <f>IF(ISBLANK(P2246),"",IF(D2246="Stock",P2246*G2246,IF(P2246=0,"0",G2246*P2246*100-(G2246*$AF$14))))</f>
        <v/>
      </c>
      <c r="R2246" s="79">
        <f>IF(P2246&lt;&gt;"", TODAY(), "")</f>
        <v/>
      </c>
      <c r="S2246" s="78">
        <f>IF(AND(K2246&lt;&gt;"", R2246&lt;&gt;""), R2246-K2246, "")</f>
        <v/>
      </c>
      <c r="T2246" s="78" t="n"/>
      <c r="U2246" s="92">
        <f>IF(ISBLANK(P2246),"",IF(C2246="Buy",Q2246-M2246+T2246, IF(C2246="Sell",M2246-Q2246-T2246, X)))</f>
        <v/>
      </c>
      <c r="V2246" s="81">
        <f>IF(ISBLANK(P2246),"",U2246/N2246)</f>
        <v/>
      </c>
      <c r="W2246" s="81">
        <f>IF(ISBLANK(P2246),"",IF(S2246=0,(365/0.5)*V2246,(365/S2246)*V2246))</f>
        <v/>
      </c>
      <c r="X2246" s="75" t="n"/>
      <c r="Y2246" s="77" t="n"/>
      <c r="Z2246" s="77" t="n"/>
      <c r="AA2246" s="75" t="n"/>
      <c r="AB2246" s="75" t="n"/>
      <c r="AC2246" s="6" t="n"/>
      <c r="AD2246" s="75" t="n"/>
      <c r="AE2246" s="75" t="n"/>
      <c r="AF2246" s="75" t="n"/>
    </row>
    <row r="2247" ht="15.75" customHeight="1" s="133">
      <c r="A2247" s="75" t="n"/>
      <c r="B2247" s="75" t="n"/>
      <c r="C2247" s="75" t="n"/>
      <c r="D2247" s="75" t="n"/>
      <c r="E2247" s="76" t="n"/>
      <c r="F2247" s="77" t="n"/>
      <c r="G2247" s="75" t="n"/>
      <c r="H2247" s="75">
        <f>IF(ISBLANK(E2247),"",IF(OR(D2247="Butterfly",D2247="Butterfly ",D2247="Iron Fly", D2247="Iron Fly "),LEN(E2247)-LEN(SUBSTITUTE(E2247,"/",""))+2,LEN(E2247)-LEN(SUBSTITUTE(E2247,"/",""))+1))</f>
        <v/>
      </c>
      <c r="I2247" s="78">
        <f>IF(ISBLANK(G2247),"",IF(D2247="Stock","0",Key!$A$3*H2247*G2247))</f>
        <v/>
      </c>
      <c r="J2247" s="78">
        <f>IF(ISBLANK(E2247),"",IF(ISNUMBER(SEARCH("/",E2247)), IF(LEN(E2247)-LEN(SUBSTITUTE(E2247,"/",""))=1,(RIGHT(E2247,LEN(E2247)-FIND("/",E2247)))-(LEFT(E2247,FIND("/",E2247)-1)),(MID(E2247, SEARCH("/",E2247) + 1, SEARCH("/",E2247, SEARCH("/",E2247)+1) - SEARCH("/",E2247) - 1))-(LEFT(E2247,FIND("/",E2247)-1))), "NA"))</f>
        <v/>
      </c>
      <c r="K2247" s="79">
        <f>IF(A2247&lt;&gt;"", IF(ISBLANK(L2247), TODAY(), K2247), "")</f>
        <v/>
      </c>
      <c r="L2247" s="78" t="n"/>
      <c r="M2247" s="78">
        <f>IF(ISBLANK(L2247),"",IF(D2247="Stock",IF(C2247="Buy",L2247*G2247,IF(C2247="Sell",(L2247*G2247)-I2247, X)),IF(C2247="Buy",(L2247*G2247*100)+I2247,IF(C2247="Sell",(L2247*G2247*100)-I2247, X))))</f>
        <v/>
      </c>
      <c r="N2247" s="78">
        <f>IF(ISBLANK(L2247),"",IF(AND(C2247="Sell",D2247="Stock"),M2247,IF(ISBLANK(L2247),"",IF(C2247="Buy",M2247, IF(AND(C2247="Sell",J2247="NA"),(E2247*G2247*100*0.1)+I2247, IF(C2247="Sell",(J2247-L2247)*(100*G2247)+I2247))))))</f>
        <v/>
      </c>
      <c r="O2247" s="75" t="n"/>
      <c r="P2247" s="75" t="n"/>
      <c r="Q2247" s="75">
        <f>IF(ISBLANK(P2247),"",IF(D2247="Stock",P2247*G2247,IF(P2247=0,"0",G2247*P2247*100-(G2247*$AF$14))))</f>
        <v/>
      </c>
      <c r="R2247" s="79">
        <f>IF(P2247&lt;&gt;"", TODAY(), "")</f>
        <v/>
      </c>
      <c r="S2247" s="78">
        <f>IF(AND(K2247&lt;&gt;"", R2247&lt;&gt;""), R2247-K2247, "")</f>
        <v/>
      </c>
      <c r="T2247" s="78" t="n"/>
      <c r="U2247" s="92">
        <f>IF(ISBLANK(P2247),"",IF(C2247="Buy",Q2247-M2247+T2247, IF(C2247="Sell",M2247-Q2247-T2247, X)))</f>
        <v/>
      </c>
      <c r="V2247" s="81">
        <f>IF(ISBLANK(P2247),"",U2247/N2247)</f>
        <v/>
      </c>
      <c r="W2247" s="81">
        <f>IF(ISBLANK(P2247),"",IF(S2247=0,(365/0.5)*V2247,(365/S2247)*V2247))</f>
        <v/>
      </c>
      <c r="X2247" s="75" t="n"/>
      <c r="Y2247" s="77" t="n"/>
      <c r="Z2247" s="77" t="n"/>
      <c r="AA2247" s="75" t="n"/>
      <c r="AB2247" s="75" t="n"/>
      <c r="AC2247" s="6" t="n"/>
      <c r="AD2247" s="75" t="n"/>
      <c r="AE2247" s="75" t="n"/>
      <c r="AF2247" s="75" t="n"/>
    </row>
    <row r="2248" ht="15.75" customHeight="1" s="133">
      <c r="A2248" s="75" t="n"/>
      <c r="B2248" s="75" t="n"/>
      <c r="C2248" s="75" t="n"/>
      <c r="D2248" s="75" t="n"/>
      <c r="E2248" s="76" t="n"/>
      <c r="F2248" s="77" t="n"/>
      <c r="G2248" s="75" t="n"/>
      <c r="H2248" s="75">
        <f>IF(ISBLANK(E2248),"",IF(OR(D2248="Butterfly",D2248="Butterfly ",D2248="Iron Fly", D2248="Iron Fly "),LEN(E2248)-LEN(SUBSTITUTE(E2248,"/",""))+2,LEN(E2248)-LEN(SUBSTITUTE(E2248,"/",""))+1))</f>
        <v/>
      </c>
      <c r="I2248" s="78">
        <f>IF(ISBLANK(G2248),"",IF(D2248="Stock","0",Key!$A$3*H2248*G2248))</f>
        <v/>
      </c>
      <c r="J2248" s="78">
        <f>IF(ISBLANK(E2248),"",IF(ISNUMBER(SEARCH("/",E2248)), IF(LEN(E2248)-LEN(SUBSTITUTE(E2248,"/",""))=1,(RIGHT(E2248,LEN(E2248)-FIND("/",E2248)))-(LEFT(E2248,FIND("/",E2248)-1)),(MID(E2248, SEARCH("/",E2248) + 1, SEARCH("/",E2248, SEARCH("/",E2248)+1) - SEARCH("/",E2248) - 1))-(LEFT(E2248,FIND("/",E2248)-1))), "NA"))</f>
        <v/>
      </c>
      <c r="K2248" s="79">
        <f>IF(A2248&lt;&gt;"", IF(ISBLANK(L2248), TODAY(), K2248), "")</f>
        <v/>
      </c>
      <c r="L2248" s="78" t="n"/>
      <c r="M2248" s="78">
        <f>IF(ISBLANK(L2248),"",IF(D2248="Stock",IF(C2248="Buy",L2248*G2248,IF(C2248="Sell",(L2248*G2248)-I2248, X)),IF(C2248="Buy",(L2248*G2248*100)+I2248,IF(C2248="Sell",(L2248*G2248*100)-I2248, X))))</f>
        <v/>
      </c>
      <c r="N2248" s="78">
        <f>IF(ISBLANK(L2248),"",IF(AND(C2248="Sell",D2248="Stock"),M2248,IF(ISBLANK(L2248),"",IF(C2248="Buy",M2248, IF(AND(C2248="Sell",J2248="NA"),(E2248*G2248*100*0.1)+I2248, IF(C2248="Sell",(J2248-L2248)*(100*G2248)+I2248))))))</f>
        <v/>
      </c>
      <c r="O2248" s="75" t="n"/>
      <c r="P2248" s="75" t="n"/>
      <c r="Q2248" s="75">
        <f>IF(ISBLANK(P2248),"",IF(D2248="Stock",P2248*G2248,IF(P2248=0,"0",G2248*P2248*100-(G2248*$AF$14))))</f>
        <v/>
      </c>
      <c r="R2248" s="79">
        <f>IF(P2248&lt;&gt;"", TODAY(), "")</f>
        <v/>
      </c>
      <c r="S2248" s="78">
        <f>IF(AND(K2248&lt;&gt;"", R2248&lt;&gt;""), R2248-K2248, "")</f>
        <v/>
      </c>
      <c r="T2248" s="78" t="n"/>
      <c r="U2248" s="92">
        <f>IF(ISBLANK(P2248),"",IF(C2248="Buy",Q2248-M2248+T2248, IF(C2248="Sell",M2248-Q2248-T2248, X)))</f>
        <v/>
      </c>
      <c r="V2248" s="81">
        <f>IF(ISBLANK(P2248),"",U2248/N2248)</f>
        <v/>
      </c>
      <c r="W2248" s="81">
        <f>IF(ISBLANK(P2248),"",IF(S2248=0,(365/0.5)*V2248,(365/S2248)*V2248))</f>
        <v/>
      </c>
      <c r="X2248" s="75" t="n"/>
      <c r="Y2248" s="77" t="n"/>
      <c r="Z2248" s="77" t="n"/>
      <c r="AA2248" s="75" t="n"/>
      <c r="AB2248" s="75" t="n"/>
      <c r="AC2248" s="6" t="n"/>
      <c r="AD2248" s="75" t="n"/>
      <c r="AE2248" s="75" t="n"/>
      <c r="AF2248" s="75" t="n"/>
    </row>
    <row r="2249" ht="15.75" customHeight="1" s="133">
      <c r="A2249" s="75" t="n"/>
      <c r="B2249" s="75" t="n"/>
      <c r="C2249" s="75" t="n"/>
      <c r="D2249" s="75" t="n"/>
      <c r="E2249" s="76" t="n"/>
      <c r="F2249" s="77" t="n"/>
      <c r="G2249" s="75" t="n"/>
      <c r="H2249" s="75">
        <f>IF(ISBLANK(E2249),"",IF(OR(D2249="Butterfly",D2249="Butterfly ",D2249="Iron Fly", D2249="Iron Fly "),LEN(E2249)-LEN(SUBSTITUTE(E2249,"/",""))+2,LEN(E2249)-LEN(SUBSTITUTE(E2249,"/",""))+1))</f>
        <v/>
      </c>
      <c r="I2249" s="78">
        <f>IF(ISBLANK(G2249),"",IF(D2249="Stock","0",Key!$A$3*H2249*G2249))</f>
        <v/>
      </c>
      <c r="J2249" s="78">
        <f>IF(ISBLANK(E2249),"",IF(ISNUMBER(SEARCH("/",E2249)), IF(LEN(E2249)-LEN(SUBSTITUTE(E2249,"/",""))=1,(RIGHT(E2249,LEN(E2249)-FIND("/",E2249)))-(LEFT(E2249,FIND("/",E2249)-1)),(MID(E2249, SEARCH("/",E2249) + 1, SEARCH("/",E2249, SEARCH("/",E2249)+1) - SEARCH("/",E2249) - 1))-(LEFT(E2249,FIND("/",E2249)-1))), "NA"))</f>
        <v/>
      </c>
      <c r="K2249" s="79">
        <f>IF(A2249&lt;&gt;"", IF(ISBLANK(L2249), TODAY(), K2249), "")</f>
        <v/>
      </c>
      <c r="L2249" s="78" t="n"/>
      <c r="M2249" s="78">
        <f>IF(ISBLANK(L2249),"",IF(D2249="Stock",IF(C2249="Buy",L2249*G2249,IF(C2249="Sell",(L2249*G2249)-I2249, X)),IF(C2249="Buy",(L2249*G2249*100)+I2249,IF(C2249="Sell",(L2249*G2249*100)-I2249, X))))</f>
        <v/>
      </c>
      <c r="N2249" s="78">
        <f>IF(ISBLANK(L2249),"",IF(AND(C2249="Sell",D2249="Stock"),M2249,IF(ISBLANK(L2249),"",IF(C2249="Buy",M2249, IF(AND(C2249="Sell",J2249="NA"),(E2249*G2249*100*0.1)+I2249, IF(C2249="Sell",(J2249-L2249)*(100*G2249)+I2249))))))</f>
        <v/>
      </c>
      <c r="O2249" s="75" t="n"/>
      <c r="P2249" s="75" t="n"/>
      <c r="Q2249" s="75">
        <f>IF(ISBLANK(P2249),"",IF(D2249="Stock",P2249*G2249,IF(P2249=0,"0",G2249*P2249*100-(G2249*$AF$14))))</f>
        <v/>
      </c>
      <c r="R2249" s="79">
        <f>IF(P2249&lt;&gt;"", TODAY(), "")</f>
        <v/>
      </c>
      <c r="S2249" s="78">
        <f>IF(AND(K2249&lt;&gt;"", R2249&lt;&gt;""), R2249-K2249, "")</f>
        <v/>
      </c>
      <c r="T2249" s="78" t="n"/>
      <c r="U2249" s="92">
        <f>IF(ISBLANK(P2249),"",IF(C2249="Buy",Q2249-M2249+T2249, IF(C2249="Sell",M2249-Q2249-T2249, X)))</f>
        <v/>
      </c>
      <c r="V2249" s="81">
        <f>IF(ISBLANK(P2249),"",U2249/N2249)</f>
        <v/>
      </c>
      <c r="W2249" s="81">
        <f>IF(ISBLANK(P2249),"",IF(S2249=0,(365/0.5)*V2249,(365/S2249)*V2249))</f>
        <v/>
      </c>
      <c r="X2249" s="75" t="n"/>
      <c r="Y2249" s="77" t="n"/>
      <c r="Z2249" s="77" t="n"/>
      <c r="AA2249" s="75" t="n"/>
      <c r="AB2249" s="75" t="n"/>
      <c r="AC2249" s="6" t="n"/>
      <c r="AD2249" s="75" t="n"/>
      <c r="AE2249" s="75" t="n"/>
      <c r="AF2249" s="75" t="n"/>
    </row>
    <row r="2250" ht="15.75" customHeight="1" s="133">
      <c r="A2250" s="75" t="n"/>
      <c r="B2250" s="75" t="n"/>
      <c r="C2250" s="75" t="n"/>
      <c r="D2250" s="75" t="n"/>
      <c r="E2250" s="76" t="n"/>
      <c r="F2250" s="77" t="n"/>
      <c r="G2250" s="75" t="n"/>
      <c r="H2250" s="75">
        <f>IF(ISBLANK(E2250),"",IF(OR(D2250="Butterfly",D2250="Butterfly ",D2250="Iron Fly", D2250="Iron Fly "),LEN(E2250)-LEN(SUBSTITUTE(E2250,"/",""))+2,LEN(E2250)-LEN(SUBSTITUTE(E2250,"/",""))+1))</f>
        <v/>
      </c>
      <c r="I2250" s="78">
        <f>IF(ISBLANK(G2250),"",IF(D2250="Stock","0",Key!$A$3*H2250*G2250))</f>
        <v/>
      </c>
      <c r="J2250" s="78">
        <f>IF(ISBLANK(E2250),"",IF(ISNUMBER(SEARCH("/",E2250)), IF(LEN(E2250)-LEN(SUBSTITUTE(E2250,"/",""))=1,(RIGHT(E2250,LEN(E2250)-FIND("/",E2250)))-(LEFT(E2250,FIND("/",E2250)-1)),(MID(E2250, SEARCH("/",E2250) + 1, SEARCH("/",E2250, SEARCH("/",E2250)+1) - SEARCH("/",E2250) - 1))-(LEFT(E2250,FIND("/",E2250)-1))), "NA"))</f>
        <v/>
      </c>
      <c r="K2250" s="79">
        <f>IF(A2250&lt;&gt;"", IF(ISBLANK(L2250), TODAY(), K2250), "")</f>
        <v/>
      </c>
      <c r="L2250" s="78" t="n"/>
      <c r="M2250" s="78">
        <f>IF(ISBLANK(L2250),"",IF(D2250="Stock",IF(C2250="Buy",L2250*G2250,IF(C2250="Sell",(L2250*G2250)-I2250, X)),IF(C2250="Buy",(L2250*G2250*100)+I2250,IF(C2250="Sell",(L2250*G2250*100)-I2250, X))))</f>
        <v/>
      </c>
      <c r="N2250" s="78">
        <f>IF(ISBLANK(L2250),"",IF(AND(C2250="Sell",D2250="Stock"),M2250,IF(ISBLANK(L2250),"",IF(C2250="Buy",M2250, IF(AND(C2250="Sell",J2250="NA"),(E2250*G2250*100*0.1)+I2250, IF(C2250="Sell",(J2250-L2250)*(100*G2250)+I2250))))))</f>
        <v/>
      </c>
      <c r="O2250" s="75" t="n"/>
      <c r="P2250" s="75" t="n"/>
      <c r="Q2250" s="75">
        <f>IF(ISBLANK(P2250),"",IF(D2250="Stock",P2250*G2250,IF(P2250=0,"0",G2250*P2250*100-(G2250*$AF$14))))</f>
        <v/>
      </c>
      <c r="R2250" s="79">
        <f>IF(P2250&lt;&gt;"", TODAY(), "")</f>
        <v/>
      </c>
      <c r="S2250" s="78">
        <f>IF(AND(K2250&lt;&gt;"", R2250&lt;&gt;""), R2250-K2250, "")</f>
        <v/>
      </c>
      <c r="T2250" s="78" t="n"/>
      <c r="U2250" s="92">
        <f>IF(ISBLANK(P2250),"",IF(C2250="Buy",Q2250-M2250+T2250, IF(C2250="Sell",M2250-Q2250-T2250, X)))</f>
        <v/>
      </c>
      <c r="V2250" s="81">
        <f>IF(ISBLANK(P2250),"",U2250/N2250)</f>
        <v/>
      </c>
      <c r="W2250" s="81">
        <f>IF(ISBLANK(P2250),"",IF(S2250=0,(365/0.5)*V2250,(365/S2250)*V2250))</f>
        <v/>
      </c>
      <c r="X2250" s="75" t="n"/>
      <c r="Y2250" s="77" t="n"/>
      <c r="Z2250" s="77" t="n"/>
      <c r="AA2250" s="75" t="n"/>
      <c r="AB2250" s="75" t="n"/>
      <c r="AC2250" s="6" t="n"/>
      <c r="AD2250" s="75" t="n"/>
      <c r="AE2250" s="75" t="n"/>
      <c r="AF2250" s="75" t="n"/>
    </row>
    <row r="2251" ht="15.75" customHeight="1" s="133">
      <c r="A2251" s="75" t="n"/>
      <c r="B2251" s="75" t="n"/>
      <c r="C2251" s="75" t="n"/>
      <c r="D2251" s="75" t="n"/>
      <c r="E2251" s="76" t="n"/>
      <c r="F2251" s="77" t="n"/>
      <c r="G2251" s="75" t="n"/>
      <c r="H2251" s="75">
        <f>IF(ISBLANK(E2251),"",IF(OR(D2251="Butterfly",D2251="Butterfly ",D2251="Iron Fly", D2251="Iron Fly "),LEN(E2251)-LEN(SUBSTITUTE(E2251,"/",""))+2,LEN(E2251)-LEN(SUBSTITUTE(E2251,"/",""))+1))</f>
        <v/>
      </c>
      <c r="I2251" s="78">
        <f>IF(ISBLANK(G2251),"",IF(D2251="Stock","0",Key!$A$3*H2251*G2251))</f>
        <v/>
      </c>
      <c r="J2251" s="78">
        <f>IF(ISBLANK(E2251),"",IF(ISNUMBER(SEARCH("/",E2251)), IF(LEN(E2251)-LEN(SUBSTITUTE(E2251,"/",""))=1,(RIGHT(E2251,LEN(E2251)-FIND("/",E2251)))-(LEFT(E2251,FIND("/",E2251)-1)),(MID(E2251, SEARCH("/",E2251) + 1, SEARCH("/",E2251, SEARCH("/",E2251)+1) - SEARCH("/",E2251) - 1))-(LEFT(E2251,FIND("/",E2251)-1))), "NA"))</f>
        <v/>
      </c>
      <c r="K2251" s="79">
        <f>IF(A2251&lt;&gt;"", IF(ISBLANK(L2251), TODAY(), K2251), "")</f>
        <v/>
      </c>
      <c r="L2251" s="78" t="n"/>
      <c r="M2251" s="78">
        <f>IF(ISBLANK(L2251),"",IF(D2251="Stock",IF(C2251="Buy",L2251*G2251,IF(C2251="Sell",(L2251*G2251)-I2251, X)),IF(C2251="Buy",(L2251*G2251*100)+I2251,IF(C2251="Sell",(L2251*G2251*100)-I2251, X))))</f>
        <v/>
      </c>
      <c r="N2251" s="78">
        <f>IF(ISBLANK(L2251),"",IF(AND(C2251="Sell",D2251="Stock"),M2251,IF(ISBLANK(L2251),"",IF(C2251="Buy",M2251, IF(AND(C2251="Sell",J2251="NA"),(E2251*G2251*100*0.1)+I2251, IF(C2251="Sell",(J2251-L2251)*(100*G2251)+I2251))))))</f>
        <v/>
      </c>
      <c r="O2251" s="75" t="n"/>
      <c r="P2251" s="75" t="n"/>
      <c r="Q2251" s="75">
        <f>IF(ISBLANK(P2251),"",IF(D2251="Stock",P2251*G2251,IF(P2251=0,"0",G2251*P2251*100-(G2251*$AF$14))))</f>
        <v/>
      </c>
      <c r="R2251" s="79">
        <f>IF(P2251&lt;&gt;"", TODAY(), "")</f>
        <v/>
      </c>
      <c r="S2251" s="78">
        <f>IF(AND(K2251&lt;&gt;"", R2251&lt;&gt;""), R2251-K2251, "")</f>
        <v/>
      </c>
      <c r="T2251" s="78" t="n"/>
      <c r="U2251" s="92">
        <f>IF(ISBLANK(P2251),"",IF(C2251="Buy",Q2251-M2251+T2251, IF(C2251="Sell",M2251-Q2251-T2251, X)))</f>
        <v/>
      </c>
      <c r="V2251" s="81">
        <f>IF(ISBLANK(P2251),"",U2251/N2251)</f>
        <v/>
      </c>
      <c r="W2251" s="81">
        <f>IF(ISBLANK(P2251),"",IF(S2251=0,(365/0.5)*V2251,(365/S2251)*V2251))</f>
        <v/>
      </c>
      <c r="X2251" s="75" t="n"/>
      <c r="Y2251" s="77" t="n"/>
      <c r="Z2251" s="77" t="n"/>
      <c r="AA2251" s="75" t="n"/>
      <c r="AB2251" s="75" t="n"/>
      <c r="AC2251" s="6" t="n"/>
      <c r="AD2251" s="75" t="n"/>
      <c r="AE2251" s="75" t="n"/>
      <c r="AF2251" s="75" t="n"/>
    </row>
    <row r="2252" ht="15.75" customHeight="1" s="133">
      <c r="A2252" s="75" t="n"/>
      <c r="B2252" s="75" t="n"/>
      <c r="C2252" s="75" t="n"/>
      <c r="D2252" s="75" t="n"/>
      <c r="E2252" s="76" t="n"/>
      <c r="F2252" s="77" t="n"/>
      <c r="G2252" s="75" t="n"/>
      <c r="H2252" s="75">
        <f>IF(ISBLANK(E2252),"",IF(OR(D2252="Butterfly",D2252="Butterfly ",D2252="Iron Fly", D2252="Iron Fly "),LEN(E2252)-LEN(SUBSTITUTE(E2252,"/",""))+2,LEN(E2252)-LEN(SUBSTITUTE(E2252,"/",""))+1))</f>
        <v/>
      </c>
      <c r="I2252" s="78">
        <f>IF(ISBLANK(G2252),"",IF(D2252="Stock","0",Key!$A$3*H2252*G2252))</f>
        <v/>
      </c>
      <c r="J2252" s="78">
        <f>IF(ISBLANK(E2252),"",IF(ISNUMBER(SEARCH("/",E2252)), IF(LEN(E2252)-LEN(SUBSTITUTE(E2252,"/",""))=1,(RIGHT(E2252,LEN(E2252)-FIND("/",E2252)))-(LEFT(E2252,FIND("/",E2252)-1)),(MID(E2252, SEARCH("/",E2252) + 1, SEARCH("/",E2252, SEARCH("/",E2252)+1) - SEARCH("/",E2252) - 1))-(LEFT(E2252,FIND("/",E2252)-1))), "NA"))</f>
        <v/>
      </c>
      <c r="K2252" s="79">
        <f>IF(A2252&lt;&gt;"", IF(ISBLANK(L2252), TODAY(), K2252), "")</f>
        <v/>
      </c>
      <c r="L2252" s="78" t="n"/>
      <c r="M2252" s="78">
        <f>IF(ISBLANK(L2252),"",IF(D2252="Stock",IF(C2252="Buy",L2252*G2252,IF(C2252="Sell",(L2252*G2252)-I2252, X)),IF(C2252="Buy",(L2252*G2252*100)+I2252,IF(C2252="Sell",(L2252*G2252*100)-I2252, X))))</f>
        <v/>
      </c>
      <c r="N2252" s="78">
        <f>IF(ISBLANK(L2252),"",IF(AND(C2252="Sell",D2252="Stock"),M2252,IF(ISBLANK(L2252),"",IF(C2252="Buy",M2252, IF(AND(C2252="Sell",J2252="NA"),(E2252*G2252*100*0.1)+I2252, IF(C2252="Sell",(J2252-L2252)*(100*G2252)+I2252))))))</f>
        <v/>
      </c>
      <c r="O2252" s="75" t="n"/>
      <c r="P2252" s="75" t="n"/>
      <c r="Q2252" s="75">
        <f>IF(ISBLANK(P2252),"",IF(D2252="Stock",P2252*G2252,IF(P2252=0,"0",G2252*P2252*100-(G2252*$AF$14))))</f>
        <v/>
      </c>
      <c r="R2252" s="79">
        <f>IF(P2252&lt;&gt;"", TODAY(), "")</f>
        <v/>
      </c>
      <c r="S2252" s="78">
        <f>IF(AND(K2252&lt;&gt;"", R2252&lt;&gt;""), R2252-K2252, "")</f>
        <v/>
      </c>
      <c r="T2252" s="78" t="n"/>
      <c r="U2252" s="92">
        <f>IF(ISBLANK(P2252),"",IF(C2252="Buy",Q2252-M2252+T2252, IF(C2252="Sell",M2252-Q2252-T2252, X)))</f>
        <v/>
      </c>
      <c r="V2252" s="81">
        <f>IF(ISBLANK(P2252),"",U2252/N2252)</f>
        <v/>
      </c>
      <c r="W2252" s="81">
        <f>IF(ISBLANK(P2252),"",IF(S2252=0,(365/0.5)*V2252,(365/S2252)*V2252))</f>
        <v/>
      </c>
      <c r="X2252" s="75" t="n"/>
      <c r="Y2252" s="77" t="n"/>
      <c r="Z2252" s="77" t="n"/>
      <c r="AA2252" s="75" t="n"/>
      <c r="AB2252" s="75" t="n"/>
      <c r="AC2252" s="6" t="n"/>
      <c r="AD2252" s="75" t="n"/>
      <c r="AE2252" s="75" t="n"/>
      <c r="AF2252" s="75" t="n"/>
    </row>
    <row r="2253" ht="15.75" customHeight="1" s="133">
      <c r="A2253" s="75" t="n"/>
      <c r="B2253" s="75" t="n"/>
      <c r="C2253" s="75" t="n"/>
      <c r="D2253" s="75" t="n"/>
      <c r="E2253" s="76" t="n"/>
      <c r="F2253" s="77" t="n"/>
      <c r="G2253" s="75" t="n"/>
      <c r="H2253" s="75">
        <f>IF(ISBLANK(E2253),"",IF(OR(D2253="Butterfly",D2253="Butterfly ",D2253="Iron Fly", D2253="Iron Fly "),LEN(E2253)-LEN(SUBSTITUTE(E2253,"/",""))+2,LEN(E2253)-LEN(SUBSTITUTE(E2253,"/",""))+1))</f>
        <v/>
      </c>
      <c r="I2253" s="78">
        <f>IF(ISBLANK(G2253),"",IF(D2253="Stock","0",Key!$A$3*H2253*G2253))</f>
        <v/>
      </c>
      <c r="J2253" s="78">
        <f>IF(ISBLANK(E2253),"",IF(ISNUMBER(SEARCH("/",E2253)), IF(LEN(E2253)-LEN(SUBSTITUTE(E2253,"/",""))=1,(RIGHT(E2253,LEN(E2253)-FIND("/",E2253)))-(LEFT(E2253,FIND("/",E2253)-1)),(MID(E2253, SEARCH("/",E2253) + 1, SEARCH("/",E2253, SEARCH("/",E2253)+1) - SEARCH("/",E2253) - 1))-(LEFT(E2253,FIND("/",E2253)-1))), "NA"))</f>
        <v/>
      </c>
      <c r="K2253" s="79">
        <f>IF(A2253&lt;&gt;"", IF(ISBLANK(L2253), TODAY(), K2253), "")</f>
        <v/>
      </c>
      <c r="L2253" s="78" t="n"/>
      <c r="M2253" s="78">
        <f>IF(ISBLANK(L2253),"",IF(D2253="Stock",IF(C2253="Buy",L2253*G2253,IF(C2253="Sell",(L2253*G2253)-I2253, X)),IF(C2253="Buy",(L2253*G2253*100)+I2253,IF(C2253="Sell",(L2253*G2253*100)-I2253, X))))</f>
        <v/>
      </c>
      <c r="N2253" s="78">
        <f>IF(ISBLANK(L2253),"",IF(AND(C2253="Sell",D2253="Stock"),M2253,IF(ISBLANK(L2253),"",IF(C2253="Buy",M2253, IF(AND(C2253="Sell",J2253="NA"),(E2253*G2253*100*0.1)+I2253, IF(C2253="Sell",(J2253-L2253)*(100*G2253)+I2253))))))</f>
        <v/>
      </c>
      <c r="O2253" s="75" t="n"/>
      <c r="P2253" s="75" t="n"/>
      <c r="Q2253" s="75">
        <f>IF(ISBLANK(P2253),"",IF(D2253="Stock",P2253*G2253,IF(P2253=0,"0",G2253*P2253*100-(G2253*$AF$14))))</f>
        <v/>
      </c>
      <c r="R2253" s="79">
        <f>IF(P2253&lt;&gt;"", TODAY(), "")</f>
        <v/>
      </c>
      <c r="S2253" s="78">
        <f>IF(AND(K2253&lt;&gt;"", R2253&lt;&gt;""), R2253-K2253, "")</f>
        <v/>
      </c>
      <c r="T2253" s="78" t="n"/>
      <c r="U2253" s="92">
        <f>IF(ISBLANK(P2253),"",IF(C2253="Buy",Q2253-M2253+T2253, IF(C2253="Sell",M2253-Q2253-T2253, X)))</f>
        <v/>
      </c>
      <c r="V2253" s="81">
        <f>IF(ISBLANK(P2253),"",U2253/N2253)</f>
        <v/>
      </c>
      <c r="W2253" s="81">
        <f>IF(ISBLANK(P2253),"",IF(S2253=0,(365/0.5)*V2253,(365/S2253)*V2253))</f>
        <v/>
      </c>
      <c r="X2253" s="75" t="n"/>
      <c r="Y2253" s="77" t="n"/>
      <c r="Z2253" s="77" t="n"/>
      <c r="AA2253" s="75" t="n"/>
      <c r="AB2253" s="75" t="n"/>
      <c r="AC2253" s="6" t="n"/>
      <c r="AD2253" s="75" t="n"/>
      <c r="AE2253" s="75" t="n"/>
      <c r="AF2253" s="75" t="n"/>
    </row>
    <row r="2254" ht="15.75" customHeight="1" s="133">
      <c r="A2254" s="75" t="n"/>
      <c r="B2254" s="75" t="n"/>
      <c r="C2254" s="75" t="n"/>
      <c r="D2254" s="75" t="n"/>
      <c r="E2254" s="76" t="n"/>
      <c r="F2254" s="77" t="n"/>
      <c r="G2254" s="75" t="n"/>
      <c r="H2254" s="75">
        <f>IF(ISBLANK(E2254),"",IF(OR(D2254="Butterfly",D2254="Butterfly ",D2254="Iron Fly", D2254="Iron Fly "),LEN(E2254)-LEN(SUBSTITUTE(E2254,"/",""))+2,LEN(E2254)-LEN(SUBSTITUTE(E2254,"/",""))+1))</f>
        <v/>
      </c>
      <c r="I2254" s="78">
        <f>IF(ISBLANK(G2254),"",IF(D2254="Stock","0",Key!$A$3*H2254*G2254))</f>
        <v/>
      </c>
      <c r="J2254" s="78">
        <f>IF(ISBLANK(E2254),"",IF(ISNUMBER(SEARCH("/",E2254)), IF(LEN(E2254)-LEN(SUBSTITUTE(E2254,"/",""))=1,(RIGHT(E2254,LEN(E2254)-FIND("/",E2254)))-(LEFT(E2254,FIND("/",E2254)-1)),(MID(E2254, SEARCH("/",E2254) + 1, SEARCH("/",E2254, SEARCH("/",E2254)+1) - SEARCH("/",E2254) - 1))-(LEFT(E2254,FIND("/",E2254)-1))), "NA"))</f>
        <v/>
      </c>
      <c r="K2254" s="79">
        <f>IF(A2254&lt;&gt;"", IF(ISBLANK(L2254), TODAY(), K2254), "")</f>
        <v/>
      </c>
      <c r="L2254" s="78" t="n"/>
      <c r="M2254" s="78">
        <f>IF(ISBLANK(L2254),"",IF(D2254="Stock",IF(C2254="Buy",L2254*G2254,IF(C2254="Sell",(L2254*G2254)-I2254, X)),IF(C2254="Buy",(L2254*G2254*100)+I2254,IF(C2254="Sell",(L2254*G2254*100)-I2254, X))))</f>
        <v/>
      </c>
      <c r="N2254" s="78">
        <f>IF(ISBLANK(L2254),"",IF(AND(C2254="Sell",D2254="Stock"),M2254,IF(ISBLANK(L2254),"",IF(C2254="Buy",M2254, IF(AND(C2254="Sell",J2254="NA"),(E2254*G2254*100*0.1)+I2254, IF(C2254="Sell",(J2254-L2254)*(100*G2254)+I2254))))))</f>
        <v/>
      </c>
      <c r="O2254" s="75" t="n"/>
      <c r="P2254" s="75" t="n"/>
      <c r="Q2254" s="75">
        <f>IF(ISBLANK(P2254),"",IF(D2254="Stock",P2254*G2254,IF(P2254=0,"0",G2254*P2254*100-(G2254*$AF$14))))</f>
        <v/>
      </c>
      <c r="R2254" s="79">
        <f>IF(P2254&lt;&gt;"", TODAY(), "")</f>
        <v/>
      </c>
      <c r="S2254" s="78">
        <f>IF(AND(K2254&lt;&gt;"", R2254&lt;&gt;""), R2254-K2254, "")</f>
        <v/>
      </c>
      <c r="T2254" s="78" t="n"/>
      <c r="U2254" s="92">
        <f>IF(ISBLANK(P2254),"",IF(C2254="Buy",Q2254-M2254+T2254, IF(C2254="Sell",M2254-Q2254-T2254, X)))</f>
        <v/>
      </c>
      <c r="V2254" s="81">
        <f>IF(ISBLANK(P2254),"",U2254/N2254)</f>
        <v/>
      </c>
      <c r="W2254" s="81">
        <f>IF(ISBLANK(P2254),"",IF(S2254=0,(365/0.5)*V2254,(365/S2254)*V2254))</f>
        <v/>
      </c>
      <c r="X2254" s="75" t="n"/>
      <c r="Y2254" s="77" t="n"/>
      <c r="Z2254" s="77" t="n"/>
      <c r="AA2254" s="75" t="n"/>
      <c r="AB2254" s="75" t="n"/>
      <c r="AC2254" s="6" t="n"/>
      <c r="AD2254" s="75" t="n"/>
      <c r="AE2254" s="75" t="n"/>
      <c r="AF2254" s="75" t="n"/>
    </row>
    <row r="2255" ht="15.75" customHeight="1" s="133">
      <c r="A2255" s="75" t="n"/>
      <c r="B2255" s="75" t="n"/>
      <c r="C2255" s="75" t="n"/>
      <c r="D2255" s="75" t="n"/>
      <c r="E2255" s="76" t="n"/>
      <c r="F2255" s="77" t="n"/>
      <c r="G2255" s="75" t="n"/>
      <c r="H2255" s="75">
        <f>IF(ISBLANK(E2255),"",IF(OR(D2255="Butterfly",D2255="Butterfly ",D2255="Iron Fly", D2255="Iron Fly "),LEN(E2255)-LEN(SUBSTITUTE(E2255,"/",""))+2,LEN(E2255)-LEN(SUBSTITUTE(E2255,"/",""))+1))</f>
        <v/>
      </c>
      <c r="I2255" s="78">
        <f>IF(ISBLANK(G2255),"",IF(D2255="Stock","0",Key!$A$3*H2255*G2255))</f>
        <v/>
      </c>
      <c r="J2255" s="78">
        <f>IF(ISBLANK(E2255),"",IF(ISNUMBER(SEARCH("/",E2255)), IF(LEN(E2255)-LEN(SUBSTITUTE(E2255,"/",""))=1,(RIGHT(E2255,LEN(E2255)-FIND("/",E2255)))-(LEFT(E2255,FIND("/",E2255)-1)),(MID(E2255, SEARCH("/",E2255) + 1, SEARCH("/",E2255, SEARCH("/",E2255)+1) - SEARCH("/",E2255) - 1))-(LEFT(E2255,FIND("/",E2255)-1))), "NA"))</f>
        <v/>
      </c>
      <c r="K2255" s="79">
        <f>IF(A2255&lt;&gt;"", IF(ISBLANK(L2255), TODAY(), K2255), "")</f>
        <v/>
      </c>
      <c r="L2255" s="78" t="n"/>
      <c r="M2255" s="78">
        <f>IF(ISBLANK(L2255),"",IF(D2255="Stock",IF(C2255="Buy",L2255*G2255,IF(C2255="Sell",(L2255*G2255)-I2255, X)),IF(C2255="Buy",(L2255*G2255*100)+I2255,IF(C2255="Sell",(L2255*G2255*100)-I2255, X))))</f>
        <v/>
      </c>
      <c r="N2255" s="78">
        <f>IF(ISBLANK(L2255),"",IF(AND(C2255="Sell",D2255="Stock"),M2255,IF(ISBLANK(L2255),"",IF(C2255="Buy",M2255, IF(AND(C2255="Sell",J2255="NA"),(E2255*G2255*100*0.1)+I2255, IF(C2255="Sell",(J2255-L2255)*(100*G2255)+I2255))))))</f>
        <v/>
      </c>
      <c r="O2255" s="75" t="n"/>
      <c r="P2255" s="75" t="n"/>
      <c r="Q2255" s="75">
        <f>IF(ISBLANK(P2255),"",IF(D2255="Stock",P2255*G2255,IF(P2255=0,"0",G2255*P2255*100-(G2255*$AF$14))))</f>
        <v/>
      </c>
      <c r="R2255" s="79">
        <f>IF(P2255&lt;&gt;"", TODAY(), "")</f>
        <v/>
      </c>
      <c r="S2255" s="78">
        <f>IF(AND(K2255&lt;&gt;"", R2255&lt;&gt;""), R2255-K2255, "")</f>
        <v/>
      </c>
      <c r="T2255" s="78" t="n"/>
      <c r="U2255" s="92">
        <f>IF(ISBLANK(P2255),"",IF(C2255="Buy",Q2255-M2255+T2255, IF(C2255="Sell",M2255-Q2255-T2255, X)))</f>
        <v/>
      </c>
      <c r="V2255" s="81">
        <f>IF(ISBLANK(P2255),"",U2255/N2255)</f>
        <v/>
      </c>
      <c r="W2255" s="81">
        <f>IF(ISBLANK(P2255),"",IF(S2255=0,(365/0.5)*V2255,(365/S2255)*V2255))</f>
        <v/>
      </c>
      <c r="X2255" s="75" t="n"/>
      <c r="Y2255" s="77" t="n"/>
      <c r="Z2255" s="77" t="n"/>
      <c r="AA2255" s="75" t="n"/>
      <c r="AB2255" s="75" t="n"/>
      <c r="AC2255" s="6" t="n"/>
      <c r="AD2255" s="75" t="n"/>
      <c r="AE2255" s="75" t="n"/>
      <c r="AF2255" s="75" t="n"/>
    </row>
    <row r="2256" ht="15.75" customHeight="1" s="133">
      <c r="A2256" s="75" t="n"/>
      <c r="B2256" s="75" t="n"/>
      <c r="C2256" s="75" t="n"/>
      <c r="D2256" s="75" t="n"/>
      <c r="E2256" s="76" t="n"/>
      <c r="F2256" s="77" t="n"/>
      <c r="G2256" s="75" t="n"/>
      <c r="H2256" s="75">
        <f>IF(ISBLANK(E2256),"",IF(OR(D2256="Butterfly",D2256="Butterfly ",D2256="Iron Fly", D2256="Iron Fly "),LEN(E2256)-LEN(SUBSTITUTE(E2256,"/",""))+2,LEN(E2256)-LEN(SUBSTITUTE(E2256,"/",""))+1))</f>
        <v/>
      </c>
      <c r="I2256" s="78">
        <f>IF(ISBLANK(G2256),"",IF(D2256="Stock","0",Key!$A$3*H2256*G2256))</f>
        <v/>
      </c>
      <c r="J2256" s="78">
        <f>IF(ISBLANK(E2256),"",IF(ISNUMBER(SEARCH("/",E2256)), IF(LEN(E2256)-LEN(SUBSTITUTE(E2256,"/",""))=1,(RIGHT(E2256,LEN(E2256)-FIND("/",E2256)))-(LEFT(E2256,FIND("/",E2256)-1)),(MID(E2256, SEARCH("/",E2256) + 1, SEARCH("/",E2256, SEARCH("/",E2256)+1) - SEARCH("/",E2256) - 1))-(LEFT(E2256,FIND("/",E2256)-1))), "NA"))</f>
        <v/>
      </c>
      <c r="K2256" s="79">
        <f>IF(A2256&lt;&gt;"", IF(ISBLANK(L2256), TODAY(), K2256), "")</f>
        <v/>
      </c>
      <c r="L2256" s="78" t="n"/>
      <c r="M2256" s="78">
        <f>IF(ISBLANK(L2256),"",IF(D2256="Stock",IF(C2256="Buy",L2256*G2256,IF(C2256="Sell",(L2256*G2256)-I2256, X)),IF(C2256="Buy",(L2256*G2256*100)+I2256,IF(C2256="Sell",(L2256*G2256*100)-I2256, X))))</f>
        <v/>
      </c>
      <c r="N2256" s="78">
        <f>IF(ISBLANK(L2256),"",IF(AND(C2256="Sell",D2256="Stock"),M2256,IF(ISBLANK(L2256),"",IF(C2256="Buy",M2256, IF(AND(C2256="Sell",J2256="NA"),(E2256*G2256*100*0.1)+I2256, IF(C2256="Sell",(J2256-L2256)*(100*G2256)+I2256))))))</f>
        <v/>
      </c>
      <c r="O2256" s="75" t="n"/>
      <c r="P2256" s="75" t="n"/>
      <c r="Q2256" s="75">
        <f>IF(ISBLANK(P2256),"",IF(D2256="Stock",P2256*G2256,IF(P2256=0,"0",G2256*P2256*100-(G2256*$AF$14))))</f>
        <v/>
      </c>
      <c r="R2256" s="79">
        <f>IF(P2256&lt;&gt;"", TODAY(), "")</f>
        <v/>
      </c>
      <c r="S2256" s="78">
        <f>IF(AND(K2256&lt;&gt;"", R2256&lt;&gt;""), R2256-K2256, "")</f>
        <v/>
      </c>
      <c r="T2256" s="78" t="n"/>
      <c r="U2256" s="92">
        <f>IF(ISBLANK(P2256),"",IF(C2256="Buy",Q2256-M2256+T2256, IF(C2256="Sell",M2256-Q2256-T2256, X)))</f>
        <v/>
      </c>
      <c r="V2256" s="81">
        <f>IF(ISBLANK(P2256),"",U2256/N2256)</f>
        <v/>
      </c>
      <c r="W2256" s="81">
        <f>IF(ISBLANK(P2256),"",IF(S2256=0,(365/0.5)*V2256,(365/S2256)*V2256))</f>
        <v/>
      </c>
      <c r="X2256" s="75" t="n"/>
      <c r="Y2256" s="77" t="n"/>
      <c r="Z2256" s="77" t="n"/>
      <c r="AA2256" s="75" t="n"/>
      <c r="AB2256" s="75" t="n"/>
      <c r="AC2256" s="6" t="n"/>
      <c r="AD2256" s="75" t="n"/>
      <c r="AE2256" s="75" t="n"/>
      <c r="AF2256" s="75" t="n"/>
    </row>
    <row r="2257" ht="15.75" customHeight="1" s="133">
      <c r="A2257" s="75" t="n"/>
      <c r="B2257" s="75" t="n"/>
      <c r="C2257" s="75" t="n"/>
      <c r="D2257" s="75" t="n"/>
      <c r="E2257" s="76" t="n"/>
      <c r="F2257" s="77" t="n"/>
      <c r="G2257" s="75" t="n"/>
      <c r="H2257" s="75">
        <f>IF(ISBLANK(E2257),"",IF(OR(D2257="Butterfly",D2257="Butterfly ",D2257="Iron Fly", D2257="Iron Fly "),LEN(E2257)-LEN(SUBSTITUTE(E2257,"/",""))+2,LEN(E2257)-LEN(SUBSTITUTE(E2257,"/",""))+1))</f>
        <v/>
      </c>
      <c r="I2257" s="78">
        <f>IF(ISBLANK(G2257),"",IF(D2257="Stock","0",Key!$A$3*H2257*G2257))</f>
        <v/>
      </c>
      <c r="J2257" s="78">
        <f>IF(ISBLANK(E2257),"",IF(ISNUMBER(SEARCH("/",E2257)), IF(LEN(E2257)-LEN(SUBSTITUTE(E2257,"/",""))=1,(RIGHT(E2257,LEN(E2257)-FIND("/",E2257)))-(LEFT(E2257,FIND("/",E2257)-1)),(MID(E2257, SEARCH("/",E2257) + 1, SEARCH("/",E2257, SEARCH("/",E2257)+1) - SEARCH("/",E2257) - 1))-(LEFT(E2257,FIND("/",E2257)-1))), "NA"))</f>
        <v/>
      </c>
      <c r="K2257" s="79">
        <f>IF(A2257&lt;&gt;"", IF(ISBLANK(L2257), TODAY(), K2257), "")</f>
        <v/>
      </c>
      <c r="L2257" s="78" t="n"/>
      <c r="M2257" s="78">
        <f>IF(ISBLANK(L2257),"",IF(D2257="Stock",IF(C2257="Buy",L2257*G2257,IF(C2257="Sell",(L2257*G2257)-I2257, X)),IF(C2257="Buy",(L2257*G2257*100)+I2257,IF(C2257="Sell",(L2257*G2257*100)-I2257, X))))</f>
        <v/>
      </c>
      <c r="N2257" s="78">
        <f>IF(ISBLANK(L2257),"",IF(AND(C2257="Sell",D2257="Stock"),M2257,IF(ISBLANK(L2257),"",IF(C2257="Buy",M2257, IF(AND(C2257="Sell",J2257="NA"),(E2257*G2257*100*0.1)+I2257, IF(C2257="Sell",(J2257-L2257)*(100*G2257)+I2257))))))</f>
        <v/>
      </c>
      <c r="O2257" s="75" t="n"/>
      <c r="P2257" s="75" t="n"/>
      <c r="Q2257" s="75">
        <f>IF(ISBLANK(P2257),"",IF(D2257="Stock",P2257*G2257,IF(P2257=0,"0",G2257*P2257*100-(G2257*$AF$14))))</f>
        <v/>
      </c>
      <c r="R2257" s="79">
        <f>IF(P2257&lt;&gt;"", TODAY(), "")</f>
        <v/>
      </c>
      <c r="S2257" s="78">
        <f>IF(AND(K2257&lt;&gt;"", R2257&lt;&gt;""), R2257-K2257, "")</f>
        <v/>
      </c>
      <c r="T2257" s="78" t="n"/>
      <c r="U2257" s="92">
        <f>IF(ISBLANK(P2257),"",IF(C2257="Buy",Q2257-M2257+T2257, IF(C2257="Sell",M2257-Q2257-T2257, X)))</f>
        <v/>
      </c>
      <c r="V2257" s="81">
        <f>IF(ISBLANK(P2257),"",U2257/N2257)</f>
        <v/>
      </c>
      <c r="W2257" s="81">
        <f>IF(ISBLANK(P2257),"",IF(S2257=0,(365/0.5)*V2257,(365/S2257)*V2257))</f>
        <v/>
      </c>
      <c r="X2257" s="75" t="n"/>
      <c r="Y2257" s="77" t="n"/>
      <c r="Z2257" s="77" t="n"/>
      <c r="AA2257" s="75" t="n"/>
      <c r="AB2257" s="75" t="n"/>
      <c r="AC2257" s="6" t="n"/>
      <c r="AD2257" s="75" t="n"/>
      <c r="AE2257" s="75" t="n"/>
      <c r="AF2257" s="75" t="n"/>
    </row>
    <row r="2258" ht="15.75" customHeight="1" s="133">
      <c r="A2258" s="75" t="n"/>
      <c r="B2258" s="75" t="n"/>
      <c r="C2258" s="75" t="n"/>
      <c r="D2258" s="75" t="n"/>
      <c r="E2258" s="76" t="n"/>
      <c r="F2258" s="77" t="n"/>
      <c r="G2258" s="75" t="n"/>
      <c r="H2258" s="75">
        <f>IF(ISBLANK(E2258),"",IF(OR(D2258="Butterfly",D2258="Butterfly ",D2258="Iron Fly", D2258="Iron Fly "),LEN(E2258)-LEN(SUBSTITUTE(E2258,"/",""))+2,LEN(E2258)-LEN(SUBSTITUTE(E2258,"/",""))+1))</f>
        <v/>
      </c>
      <c r="I2258" s="78">
        <f>IF(ISBLANK(G2258),"",IF(D2258="Stock","0",Key!$A$3*H2258*G2258))</f>
        <v/>
      </c>
      <c r="J2258" s="78">
        <f>IF(ISBLANK(E2258),"",IF(ISNUMBER(SEARCH("/",E2258)), IF(LEN(E2258)-LEN(SUBSTITUTE(E2258,"/",""))=1,(RIGHT(E2258,LEN(E2258)-FIND("/",E2258)))-(LEFT(E2258,FIND("/",E2258)-1)),(MID(E2258, SEARCH("/",E2258) + 1, SEARCH("/",E2258, SEARCH("/",E2258)+1) - SEARCH("/",E2258) - 1))-(LEFT(E2258,FIND("/",E2258)-1))), "NA"))</f>
        <v/>
      </c>
      <c r="K2258" s="79">
        <f>IF(A2258&lt;&gt;"", IF(ISBLANK(L2258), TODAY(), K2258), "")</f>
        <v/>
      </c>
      <c r="L2258" s="78" t="n"/>
      <c r="M2258" s="78">
        <f>IF(ISBLANK(L2258),"",IF(D2258="Stock",IF(C2258="Buy",L2258*G2258,IF(C2258="Sell",(L2258*G2258)-I2258, X)),IF(C2258="Buy",(L2258*G2258*100)+I2258,IF(C2258="Sell",(L2258*G2258*100)-I2258, X))))</f>
        <v/>
      </c>
      <c r="N2258" s="78">
        <f>IF(ISBLANK(L2258),"",IF(AND(C2258="Sell",D2258="Stock"),M2258,IF(ISBLANK(L2258),"",IF(C2258="Buy",M2258, IF(AND(C2258="Sell",J2258="NA"),(E2258*G2258*100*0.1)+I2258, IF(C2258="Sell",(J2258-L2258)*(100*G2258)+I2258))))))</f>
        <v/>
      </c>
      <c r="O2258" s="75" t="n"/>
      <c r="P2258" s="75" t="n"/>
      <c r="Q2258" s="75">
        <f>IF(ISBLANK(P2258),"",IF(D2258="Stock",P2258*G2258,IF(P2258=0,"0",G2258*P2258*100-(G2258*$AF$14))))</f>
        <v/>
      </c>
      <c r="R2258" s="79">
        <f>IF(P2258&lt;&gt;"", TODAY(), "")</f>
        <v/>
      </c>
      <c r="S2258" s="78">
        <f>IF(AND(K2258&lt;&gt;"", R2258&lt;&gt;""), R2258-K2258, "")</f>
        <v/>
      </c>
      <c r="T2258" s="78" t="n"/>
      <c r="U2258" s="92">
        <f>IF(ISBLANK(P2258),"",IF(C2258="Buy",Q2258-M2258+T2258, IF(C2258="Sell",M2258-Q2258-T2258, X)))</f>
        <v/>
      </c>
      <c r="V2258" s="81">
        <f>IF(ISBLANK(P2258),"",U2258/N2258)</f>
        <v/>
      </c>
      <c r="W2258" s="81">
        <f>IF(ISBLANK(P2258),"",IF(S2258=0,(365/0.5)*V2258,(365/S2258)*V2258))</f>
        <v/>
      </c>
      <c r="X2258" s="75" t="n"/>
      <c r="Y2258" s="77" t="n"/>
      <c r="Z2258" s="77" t="n"/>
      <c r="AA2258" s="75" t="n"/>
      <c r="AB2258" s="75" t="n"/>
      <c r="AC2258" s="6" t="n"/>
      <c r="AD2258" s="75" t="n"/>
      <c r="AE2258" s="75" t="n"/>
      <c r="AF2258" s="75" t="n"/>
    </row>
    <row r="2259" ht="15.75" customHeight="1" s="133">
      <c r="A2259" s="75" t="n"/>
      <c r="B2259" s="75" t="n"/>
      <c r="C2259" s="75" t="n"/>
      <c r="D2259" s="75" t="n"/>
      <c r="E2259" s="76" t="n"/>
      <c r="F2259" s="77" t="n"/>
      <c r="G2259" s="75" t="n"/>
      <c r="H2259" s="75">
        <f>IF(ISBLANK(E2259),"",IF(OR(D2259="Butterfly",D2259="Butterfly ",D2259="Iron Fly", D2259="Iron Fly "),LEN(E2259)-LEN(SUBSTITUTE(E2259,"/",""))+2,LEN(E2259)-LEN(SUBSTITUTE(E2259,"/",""))+1))</f>
        <v/>
      </c>
      <c r="I2259" s="78">
        <f>IF(ISBLANK(G2259),"",IF(D2259="Stock","0",Key!$A$3*H2259*G2259))</f>
        <v/>
      </c>
      <c r="J2259" s="78">
        <f>IF(ISBLANK(E2259),"",IF(ISNUMBER(SEARCH("/",E2259)), IF(LEN(E2259)-LEN(SUBSTITUTE(E2259,"/",""))=1,(RIGHT(E2259,LEN(E2259)-FIND("/",E2259)))-(LEFT(E2259,FIND("/",E2259)-1)),(MID(E2259, SEARCH("/",E2259) + 1, SEARCH("/",E2259, SEARCH("/",E2259)+1) - SEARCH("/",E2259) - 1))-(LEFT(E2259,FIND("/",E2259)-1))), "NA"))</f>
        <v/>
      </c>
      <c r="K2259" s="79">
        <f>IF(A2259&lt;&gt;"", IF(ISBLANK(L2259), TODAY(), K2259), "")</f>
        <v/>
      </c>
      <c r="L2259" s="78" t="n"/>
      <c r="M2259" s="78">
        <f>IF(ISBLANK(L2259),"",IF(D2259="Stock",IF(C2259="Buy",L2259*G2259,IF(C2259="Sell",(L2259*G2259)-I2259, X)),IF(C2259="Buy",(L2259*G2259*100)+I2259,IF(C2259="Sell",(L2259*G2259*100)-I2259, X))))</f>
        <v/>
      </c>
      <c r="N2259" s="78">
        <f>IF(ISBLANK(L2259),"",IF(AND(C2259="Sell",D2259="Stock"),M2259,IF(ISBLANK(L2259),"",IF(C2259="Buy",M2259, IF(AND(C2259="Sell",J2259="NA"),(E2259*G2259*100*0.1)+I2259, IF(C2259="Sell",(J2259-L2259)*(100*G2259)+I2259))))))</f>
        <v/>
      </c>
      <c r="O2259" s="75" t="n"/>
      <c r="P2259" s="75" t="n"/>
      <c r="Q2259" s="75">
        <f>IF(ISBLANK(P2259),"",IF(D2259="Stock",P2259*G2259,IF(P2259=0,"0",G2259*P2259*100-(G2259*$AF$14))))</f>
        <v/>
      </c>
      <c r="R2259" s="79">
        <f>IF(P2259&lt;&gt;"", TODAY(), "")</f>
        <v/>
      </c>
      <c r="S2259" s="78">
        <f>IF(AND(K2259&lt;&gt;"", R2259&lt;&gt;""), R2259-K2259, "")</f>
        <v/>
      </c>
      <c r="T2259" s="78" t="n"/>
      <c r="U2259" s="92">
        <f>IF(ISBLANK(P2259),"",IF(C2259="Buy",Q2259-M2259+T2259, IF(C2259="Sell",M2259-Q2259-T2259, X)))</f>
        <v/>
      </c>
      <c r="V2259" s="81">
        <f>IF(ISBLANK(P2259),"",U2259/N2259)</f>
        <v/>
      </c>
      <c r="W2259" s="81">
        <f>IF(ISBLANK(P2259),"",IF(S2259=0,(365/0.5)*V2259,(365/S2259)*V2259))</f>
        <v/>
      </c>
      <c r="X2259" s="75" t="n"/>
      <c r="Y2259" s="77" t="n"/>
      <c r="Z2259" s="77" t="n"/>
      <c r="AA2259" s="75" t="n"/>
      <c r="AB2259" s="75" t="n"/>
      <c r="AC2259" s="6" t="n"/>
      <c r="AD2259" s="75" t="n"/>
      <c r="AE2259" s="75" t="n"/>
      <c r="AF2259" s="75" t="n"/>
    </row>
    <row r="2260" ht="15.75" customHeight="1" s="133">
      <c r="A2260" s="75" t="n"/>
      <c r="B2260" s="75" t="n"/>
      <c r="C2260" s="75" t="n"/>
      <c r="D2260" s="75" t="n"/>
      <c r="E2260" s="76" t="n"/>
      <c r="F2260" s="77" t="n"/>
      <c r="G2260" s="75" t="n"/>
      <c r="H2260" s="75">
        <f>IF(ISBLANK(E2260),"",IF(OR(D2260="Butterfly",D2260="Butterfly ",D2260="Iron Fly", D2260="Iron Fly "),LEN(E2260)-LEN(SUBSTITUTE(E2260,"/",""))+2,LEN(E2260)-LEN(SUBSTITUTE(E2260,"/",""))+1))</f>
        <v/>
      </c>
      <c r="I2260" s="78">
        <f>IF(ISBLANK(G2260),"",IF(D2260="Stock","0",Key!$A$3*H2260*G2260))</f>
        <v/>
      </c>
      <c r="J2260" s="78">
        <f>IF(ISBLANK(E2260),"",IF(ISNUMBER(SEARCH("/",E2260)), IF(LEN(E2260)-LEN(SUBSTITUTE(E2260,"/",""))=1,(RIGHT(E2260,LEN(E2260)-FIND("/",E2260)))-(LEFT(E2260,FIND("/",E2260)-1)),(MID(E2260, SEARCH("/",E2260) + 1, SEARCH("/",E2260, SEARCH("/",E2260)+1) - SEARCH("/",E2260) - 1))-(LEFT(E2260,FIND("/",E2260)-1))), "NA"))</f>
        <v/>
      </c>
      <c r="K2260" s="79">
        <f>IF(A2260&lt;&gt;"", IF(ISBLANK(L2260), TODAY(), K2260), "")</f>
        <v/>
      </c>
      <c r="L2260" s="78" t="n"/>
      <c r="M2260" s="78">
        <f>IF(ISBLANK(L2260),"",IF(D2260="Stock",IF(C2260="Buy",L2260*G2260,IF(C2260="Sell",(L2260*G2260)-I2260, X)),IF(C2260="Buy",(L2260*G2260*100)+I2260,IF(C2260="Sell",(L2260*G2260*100)-I2260, X))))</f>
        <v/>
      </c>
      <c r="N2260" s="78">
        <f>IF(ISBLANK(L2260),"",IF(AND(C2260="Sell",D2260="Stock"),M2260,IF(ISBLANK(L2260),"",IF(C2260="Buy",M2260, IF(AND(C2260="Sell",J2260="NA"),(E2260*G2260*100*0.1)+I2260, IF(C2260="Sell",(J2260-L2260)*(100*G2260)+I2260))))))</f>
        <v/>
      </c>
      <c r="O2260" s="75" t="n"/>
      <c r="P2260" s="75" t="n"/>
      <c r="Q2260" s="75">
        <f>IF(ISBLANK(P2260),"",IF(D2260="Stock",P2260*G2260,IF(P2260=0,"0",G2260*P2260*100-(G2260*$AF$14))))</f>
        <v/>
      </c>
      <c r="R2260" s="79">
        <f>IF(P2260&lt;&gt;"", TODAY(), "")</f>
        <v/>
      </c>
      <c r="S2260" s="78">
        <f>IF(AND(K2260&lt;&gt;"", R2260&lt;&gt;""), R2260-K2260, "")</f>
        <v/>
      </c>
      <c r="T2260" s="78" t="n"/>
      <c r="U2260" s="92">
        <f>IF(ISBLANK(P2260),"",IF(C2260="Buy",Q2260-M2260+T2260, IF(C2260="Sell",M2260-Q2260-T2260, X)))</f>
        <v/>
      </c>
      <c r="V2260" s="81">
        <f>IF(ISBLANK(P2260),"",U2260/N2260)</f>
        <v/>
      </c>
      <c r="W2260" s="81">
        <f>IF(ISBLANK(P2260),"",IF(S2260=0,(365/0.5)*V2260,(365/S2260)*V2260))</f>
        <v/>
      </c>
      <c r="X2260" s="75" t="n"/>
      <c r="Y2260" s="77" t="n"/>
      <c r="Z2260" s="77" t="n"/>
      <c r="AA2260" s="75" t="n"/>
      <c r="AB2260" s="75" t="n"/>
      <c r="AC2260" s="6" t="n"/>
      <c r="AD2260" s="75" t="n"/>
      <c r="AE2260" s="75" t="n"/>
      <c r="AF2260" s="75" t="n"/>
    </row>
    <row r="2261" ht="15.75" customHeight="1" s="133">
      <c r="A2261" s="75" t="n"/>
      <c r="B2261" s="75" t="n"/>
      <c r="C2261" s="75" t="n"/>
      <c r="D2261" s="75" t="n"/>
      <c r="E2261" s="76" t="n"/>
      <c r="F2261" s="77" t="n"/>
      <c r="G2261" s="75" t="n"/>
      <c r="H2261" s="75">
        <f>IF(ISBLANK(E2261),"",IF(OR(D2261="Butterfly",D2261="Butterfly ",D2261="Iron Fly", D2261="Iron Fly "),LEN(E2261)-LEN(SUBSTITUTE(E2261,"/",""))+2,LEN(E2261)-LEN(SUBSTITUTE(E2261,"/",""))+1))</f>
        <v/>
      </c>
      <c r="I2261" s="78">
        <f>IF(ISBLANK(G2261),"",IF(D2261="Stock","0",Key!$A$3*H2261*G2261))</f>
        <v/>
      </c>
      <c r="J2261" s="78">
        <f>IF(ISBLANK(E2261),"",IF(ISNUMBER(SEARCH("/",E2261)), IF(LEN(E2261)-LEN(SUBSTITUTE(E2261,"/",""))=1,(RIGHT(E2261,LEN(E2261)-FIND("/",E2261)))-(LEFT(E2261,FIND("/",E2261)-1)),(MID(E2261, SEARCH("/",E2261) + 1, SEARCH("/",E2261, SEARCH("/",E2261)+1) - SEARCH("/",E2261) - 1))-(LEFT(E2261,FIND("/",E2261)-1))), "NA"))</f>
        <v/>
      </c>
      <c r="K2261" s="79">
        <f>IF(A2261&lt;&gt;"", IF(ISBLANK(L2261), TODAY(), K2261), "")</f>
        <v/>
      </c>
      <c r="L2261" s="78" t="n"/>
      <c r="M2261" s="78">
        <f>IF(ISBLANK(L2261),"",IF(D2261="Stock",IF(C2261="Buy",L2261*G2261,IF(C2261="Sell",(L2261*G2261)-I2261, X)),IF(C2261="Buy",(L2261*G2261*100)+I2261,IF(C2261="Sell",(L2261*G2261*100)-I2261, X))))</f>
        <v/>
      </c>
      <c r="N2261" s="78">
        <f>IF(ISBLANK(L2261),"",IF(AND(C2261="Sell",D2261="Stock"),M2261,IF(ISBLANK(L2261),"",IF(C2261="Buy",M2261, IF(AND(C2261="Sell",J2261="NA"),(E2261*G2261*100*0.1)+I2261, IF(C2261="Sell",(J2261-L2261)*(100*G2261)+I2261))))))</f>
        <v/>
      </c>
      <c r="O2261" s="75" t="n"/>
      <c r="P2261" s="75" t="n"/>
      <c r="Q2261" s="75">
        <f>IF(ISBLANK(P2261),"",IF(D2261="Stock",P2261*G2261,IF(P2261=0,"0",G2261*P2261*100-(G2261*$AF$14))))</f>
        <v/>
      </c>
      <c r="R2261" s="79">
        <f>IF(P2261&lt;&gt;"", TODAY(), "")</f>
        <v/>
      </c>
      <c r="S2261" s="78">
        <f>IF(AND(K2261&lt;&gt;"", R2261&lt;&gt;""), R2261-K2261, "")</f>
        <v/>
      </c>
      <c r="T2261" s="78" t="n"/>
      <c r="U2261" s="92">
        <f>IF(ISBLANK(P2261),"",IF(C2261="Buy",Q2261-M2261+T2261, IF(C2261="Sell",M2261-Q2261-T2261, X)))</f>
        <v/>
      </c>
      <c r="V2261" s="81">
        <f>IF(ISBLANK(P2261),"",U2261/N2261)</f>
        <v/>
      </c>
      <c r="W2261" s="81">
        <f>IF(ISBLANK(P2261),"",IF(S2261=0,(365/0.5)*V2261,(365/S2261)*V2261))</f>
        <v/>
      </c>
      <c r="X2261" s="75" t="n"/>
      <c r="Y2261" s="77" t="n"/>
      <c r="Z2261" s="77" t="n"/>
      <c r="AA2261" s="75" t="n"/>
      <c r="AB2261" s="75" t="n"/>
      <c r="AC2261" s="6" t="n"/>
      <c r="AD2261" s="75" t="n"/>
      <c r="AE2261" s="75" t="n"/>
      <c r="AF2261" s="75" t="n"/>
    </row>
    <row r="2262" ht="15.75" customHeight="1" s="133">
      <c r="A2262" s="75" t="n"/>
      <c r="B2262" s="75" t="n"/>
      <c r="C2262" s="75" t="n"/>
      <c r="D2262" s="75" t="n"/>
      <c r="E2262" s="76" t="n"/>
      <c r="F2262" s="77" t="n"/>
      <c r="G2262" s="75" t="n"/>
      <c r="H2262" s="75">
        <f>IF(ISBLANK(E2262),"",IF(OR(D2262="Butterfly",D2262="Butterfly ",D2262="Iron Fly", D2262="Iron Fly "),LEN(E2262)-LEN(SUBSTITUTE(E2262,"/",""))+2,LEN(E2262)-LEN(SUBSTITUTE(E2262,"/",""))+1))</f>
        <v/>
      </c>
      <c r="I2262" s="78">
        <f>IF(ISBLANK(G2262),"",IF(D2262="Stock","0",Key!$A$3*H2262*G2262))</f>
        <v/>
      </c>
      <c r="J2262" s="78">
        <f>IF(ISBLANK(E2262),"",IF(ISNUMBER(SEARCH("/",E2262)), IF(LEN(E2262)-LEN(SUBSTITUTE(E2262,"/",""))=1,(RIGHT(E2262,LEN(E2262)-FIND("/",E2262)))-(LEFT(E2262,FIND("/",E2262)-1)),(MID(E2262, SEARCH("/",E2262) + 1, SEARCH("/",E2262, SEARCH("/",E2262)+1) - SEARCH("/",E2262) - 1))-(LEFT(E2262,FIND("/",E2262)-1))), "NA"))</f>
        <v/>
      </c>
      <c r="K2262" s="79">
        <f>IF(A2262&lt;&gt;"", IF(ISBLANK(L2262), TODAY(), K2262), "")</f>
        <v/>
      </c>
      <c r="L2262" s="78" t="n"/>
      <c r="M2262" s="78">
        <f>IF(ISBLANK(L2262),"",IF(D2262="Stock",IF(C2262="Buy",L2262*G2262,IF(C2262="Sell",(L2262*G2262)-I2262, X)),IF(C2262="Buy",(L2262*G2262*100)+I2262,IF(C2262="Sell",(L2262*G2262*100)-I2262, X))))</f>
        <v/>
      </c>
      <c r="N2262" s="78">
        <f>IF(ISBLANK(L2262),"",IF(AND(C2262="Sell",D2262="Stock"),M2262,IF(ISBLANK(L2262),"",IF(C2262="Buy",M2262, IF(AND(C2262="Sell",J2262="NA"),(E2262*G2262*100*0.1)+I2262, IF(C2262="Sell",(J2262-L2262)*(100*G2262)+I2262))))))</f>
        <v/>
      </c>
      <c r="O2262" s="75" t="n"/>
      <c r="P2262" s="75" t="n"/>
      <c r="Q2262" s="75">
        <f>IF(ISBLANK(P2262),"",IF(D2262="Stock",P2262*G2262,IF(P2262=0,"0",G2262*P2262*100-(G2262*$AF$14))))</f>
        <v/>
      </c>
      <c r="R2262" s="79">
        <f>IF(P2262&lt;&gt;"", TODAY(), "")</f>
        <v/>
      </c>
      <c r="S2262" s="78">
        <f>IF(AND(K2262&lt;&gt;"", R2262&lt;&gt;""), R2262-K2262, "")</f>
        <v/>
      </c>
      <c r="T2262" s="78" t="n"/>
      <c r="U2262" s="92">
        <f>IF(ISBLANK(P2262),"",IF(C2262="Buy",Q2262-M2262+T2262, IF(C2262="Sell",M2262-Q2262-T2262, X)))</f>
        <v/>
      </c>
      <c r="V2262" s="81">
        <f>IF(ISBLANK(P2262),"",U2262/N2262)</f>
        <v/>
      </c>
      <c r="W2262" s="81">
        <f>IF(ISBLANK(P2262),"",IF(S2262=0,(365/0.5)*V2262,(365/S2262)*V2262))</f>
        <v/>
      </c>
      <c r="X2262" s="75" t="n"/>
      <c r="Y2262" s="77" t="n"/>
      <c r="Z2262" s="77" t="n"/>
      <c r="AA2262" s="75" t="n"/>
      <c r="AB2262" s="75" t="n"/>
      <c r="AC2262" s="6" t="n"/>
      <c r="AD2262" s="75" t="n"/>
      <c r="AE2262" s="75" t="n"/>
      <c r="AF2262" s="75" t="n"/>
    </row>
    <row r="2263" ht="15.75" customHeight="1" s="133">
      <c r="A2263" s="75" t="n"/>
      <c r="B2263" s="75" t="n"/>
      <c r="C2263" s="75" t="n"/>
      <c r="D2263" s="75" t="n"/>
      <c r="E2263" s="76" t="n"/>
      <c r="F2263" s="77" t="n"/>
      <c r="G2263" s="75" t="n"/>
      <c r="H2263" s="75">
        <f>IF(ISBLANK(E2263),"",IF(OR(D2263="Butterfly",D2263="Butterfly ",D2263="Iron Fly", D2263="Iron Fly "),LEN(E2263)-LEN(SUBSTITUTE(E2263,"/",""))+2,LEN(E2263)-LEN(SUBSTITUTE(E2263,"/",""))+1))</f>
        <v/>
      </c>
      <c r="I2263" s="78">
        <f>IF(ISBLANK(G2263),"",IF(D2263="Stock","0",Key!$A$3*H2263*G2263))</f>
        <v/>
      </c>
      <c r="J2263" s="78">
        <f>IF(ISBLANK(E2263),"",IF(ISNUMBER(SEARCH("/",E2263)), IF(LEN(E2263)-LEN(SUBSTITUTE(E2263,"/",""))=1,(RIGHT(E2263,LEN(E2263)-FIND("/",E2263)))-(LEFT(E2263,FIND("/",E2263)-1)),(MID(E2263, SEARCH("/",E2263) + 1, SEARCH("/",E2263, SEARCH("/",E2263)+1) - SEARCH("/",E2263) - 1))-(LEFT(E2263,FIND("/",E2263)-1))), "NA"))</f>
        <v/>
      </c>
      <c r="K2263" s="79">
        <f>IF(A2263&lt;&gt;"", IF(ISBLANK(L2263), TODAY(), K2263), "")</f>
        <v/>
      </c>
      <c r="L2263" s="78" t="n"/>
      <c r="M2263" s="78">
        <f>IF(ISBLANK(L2263),"",IF(D2263="Stock",IF(C2263="Buy",L2263*G2263,IF(C2263="Sell",(L2263*G2263)-I2263, X)),IF(C2263="Buy",(L2263*G2263*100)+I2263,IF(C2263="Sell",(L2263*G2263*100)-I2263, X))))</f>
        <v/>
      </c>
      <c r="N2263" s="78">
        <f>IF(ISBLANK(L2263),"",IF(AND(C2263="Sell",D2263="Stock"),M2263,IF(ISBLANK(L2263),"",IF(C2263="Buy",M2263, IF(AND(C2263="Sell",J2263="NA"),(E2263*G2263*100*0.1)+I2263, IF(C2263="Sell",(J2263-L2263)*(100*G2263)+I2263))))))</f>
        <v/>
      </c>
      <c r="O2263" s="75" t="n"/>
      <c r="P2263" s="75" t="n"/>
      <c r="Q2263" s="75">
        <f>IF(ISBLANK(P2263),"",IF(D2263="Stock",P2263*G2263,IF(P2263=0,"0",G2263*P2263*100-(G2263*$AF$14))))</f>
        <v/>
      </c>
      <c r="R2263" s="79">
        <f>IF(P2263&lt;&gt;"", TODAY(), "")</f>
        <v/>
      </c>
      <c r="S2263" s="78">
        <f>IF(AND(K2263&lt;&gt;"", R2263&lt;&gt;""), R2263-K2263, "")</f>
        <v/>
      </c>
      <c r="T2263" s="78" t="n"/>
      <c r="U2263" s="92">
        <f>IF(ISBLANK(P2263),"",IF(C2263="Buy",Q2263-M2263+T2263, IF(C2263="Sell",M2263-Q2263-T2263, X)))</f>
        <v/>
      </c>
      <c r="V2263" s="81">
        <f>IF(ISBLANK(P2263),"",U2263/N2263)</f>
        <v/>
      </c>
      <c r="W2263" s="81">
        <f>IF(ISBLANK(P2263),"",IF(S2263=0,(365/0.5)*V2263,(365/S2263)*V2263))</f>
        <v/>
      </c>
      <c r="X2263" s="75" t="n"/>
      <c r="Y2263" s="77" t="n"/>
      <c r="Z2263" s="77" t="n"/>
      <c r="AA2263" s="75" t="n"/>
      <c r="AB2263" s="75" t="n"/>
      <c r="AC2263" s="6" t="n"/>
      <c r="AD2263" s="75" t="n"/>
      <c r="AE2263" s="75" t="n"/>
      <c r="AF2263" s="75" t="n"/>
    </row>
    <row r="2264" ht="15.75" customHeight="1" s="133">
      <c r="A2264" s="75" t="n"/>
      <c r="B2264" s="75" t="n"/>
      <c r="C2264" s="75" t="n"/>
      <c r="D2264" s="75" t="n"/>
      <c r="E2264" s="76" t="n"/>
      <c r="F2264" s="77" t="n"/>
      <c r="G2264" s="75" t="n"/>
      <c r="H2264" s="75">
        <f>IF(ISBLANK(E2264),"",IF(OR(D2264="Butterfly",D2264="Butterfly ",D2264="Iron Fly", D2264="Iron Fly "),LEN(E2264)-LEN(SUBSTITUTE(E2264,"/",""))+2,LEN(E2264)-LEN(SUBSTITUTE(E2264,"/",""))+1))</f>
        <v/>
      </c>
      <c r="I2264" s="78">
        <f>IF(ISBLANK(G2264),"",IF(D2264="Stock","0",Key!$A$3*H2264*G2264))</f>
        <v/>
      </c>
      <c r="J2264" s="78">
        <f>IF(ISBLANK(E2264),"",IF(ISNUMBER(SEARCH("/",E2264)), IF(LEN(E2264)-LEN(SUBSTITUTE(E2264,"/",""))=1,(RIGHT(E2264,LEN(E2264)-FIND("/",E2264)))-(LEFT(E2264,FIND("/",E2264)-1)),(MID(E2264, SEARCH("/",E2264) + 1, SEARCH("/",E2264, SEARCH("/",E2264)+1) - SEARCH("/",E2264) - 1))-(LEFT(E2264,FIND("/",E2264)-1))), "NA"))</f>
        <v/>
      </c>
      <c r="K2264" s="79">
        <f>IF(A2264&lt;&gt;"", IF(ISBLANK(L2264), TODAY(), K2264), "")</f>
        <v/>
      </c>
      <c r="L2264" s="78" t="n"/>
      <c r="M2264" s="78">
        <f>IF(ISBLANK(L2264),"",IF(D2264="Stock",IF(C2264="Buy",L2264*G2264,IF(C2264="Sell",(L2264*G2264)-I2264, X)),IF(C2264="Buy",(L2264*G2264*100)+I2264,IF(C2264="Sell",(L2264*G2264*100)-I2264, X))))</f>
        <v/>
      </c>
      <c r="N2264" s="78">
        <f>IF(ISBLANK(L2264),"",IF(AND(C2264="Sell",D2264="Stock"),M2264,IF(ISBLANK(L2264),"",IF(C2264="Buy",M2264, IF(AND(C2264="Sell",J2264="NA"),(E2264*G2264*100*0.1)+I2264, IF(C2264="Sell",(J2264-L2264)*(100*G2264)+I2264))))))</f>
        <v/>
      </c>
      <c r="O2264" s="75" t="n"/>
      <c r="P2264" s="75" t="n"/>
      <c r="Q2264" s="75">
        <f>IF(ISBLANK(P2264),"",IF(D2264="Stock",P2264*G2264,IF(P2264=0,"0",G2264*P2264*100-(G2264*$AF$14))))</f>
        <v/>
      </c>
      <c r="R2264" s="79">
        <f>IF(P2264&lt;&gt;"", TODAY(), "")</f>
        <v/>
      </c>
      <c r="S2264" s="78">
        <f>IF(AND(K2264&lt;&gt;"", R2264&lt;&gt;""), R2264-K2264, "")</f>
        <v/>
      </c>
      <c r="T2264" s="78" t="n"/>
      <c r="U2264" s="92">
        <f>IF(ISBLANK(P2264),"",IF(C2264="Buy",Q2264-M2264+T2264, IF(C2264="Sell",M2264-Q2264-T2264, X)))</f>
        <v/>
      </c>
      <c r="V2264" s="81">
        <f>IF(ISBLANK(P2264),"",U2264/N2264)</f>
        <v/>
      </c>
      <c r="W2264" s="81">
        <f>IF(ISBLANK(P2264),"",IF(S2264=0,(365/0.5)*V2264,(365/S2264)*V2264))</f>
        <v/>
      </c>
      <c r="X2264" s="75" t="n"/>
      <c r="Y2264" s="77" t="n"/>
      <c r="Z2264" s="77" t="n"/>
      <c r="AA2264" s="75" t="n"/>
      <c r="AB2264" s="75" t="n"/>
      <c r="AC2264" s="6" t="n"/>
      <c r="AD2264" s="75" t="n"/>
      <c r="AE2264" s="75" t="n"/>
      <c r="AF2264" s="75" t="n"/>
    </row>
    <row r="2265" ht="15.75" customHeight="1" s="133">
      <c r="A2265" s="75" t="n"/>
      <c r="B2265" s="75" t="n"/>
      <c r="C2265" s="75" t="n"/>
      <c r="D2265" s="75" t="n"/>
      <c r="E2265" s="76" t="n"/>
      <c r="F2265" s="77" t="n"/>
      <c r="G2265" s="75" t="n"/>
      <c r="H2265" s="75">
        <f>IF(ISBLANK(E2265),"",IF(OR(D2265="Butterfly",D2265="Butterfly ",D2265="Iron Fly", D2265="Iron Fly "),LEN(E2265)-LEN(SUBSTITUTE(E2265,"/",""))+2,LEN(E2265)-LEN(SUBSTITUTE(E2265,"/",""))+1))</f>
        <v/>
      </c>
      <c r="I2265" s="78">
        <f>IF(ISBLANK(G2265),"",IF(D2265="Stock","0",Key!$A$3*H2265*G2265))</f>
        <v/>
      </c>
      <c r="J2265" s="78">
        <f>IF(ISBLANK(E2265),"",IF(ISNUMBER(SEARCH("/",E2265)), IF(LEN(E2265)-LEN(SUBSTITUTE(E2265,"/",""))=1,(RIGHT(E2265,LEN(E2265)-FIND("/",E2265)))-(LEFT(E2265,FIND("/",E2265)-1)),(MID(E2265, SEARCH("/",E2265) + 1, SEARCH("/",E2265, SEARCH("/",E2265)+1) - SEARCH("/",E2265) - 1))-(LEFT(E2265,FIND("/",E2265)-1))), "NA"))</f>
        <v/>
      </c>
      <c r="K2265" s="79">
        <f>IF(A2265&lt;&gt;"", IF(ISBLANK(L2265), TODAY(), K2265), "")</f>
        <v/>
      </c>
      <c r="L2265" s="78" t="n"/>
      <c r="M2265" s="78">
        <f>IF(ISBLANK(L2265),"",IF(D2265="Stock",IF(C2265="Buy",L2265*G2265,IF(C2265="Sell",(L2265*G2265)-I2265, X)),IF(C2265="Buy",(L2265*G2265*100)+I2265,IF(C2265="Sell",(L2265*G2265*100)-I2265, X))))</f>
        <v/>
      </c>
      <c r="N2265" s="78">
        <f>IF(ISBLANK(L2265),"",IF(AND(C2265="Sell",D2265="Stock"),M2265,IF(ISBLANK(L2265),"",IF(C2265="Buy",M2265, IF(AND(C2265="Sell",J2265="NA"),(E2265*G2265*100*0.1)+I2265, IF(C2265="Sell",(J2265-L2265)*(100*G2265)+I2265))))))</f>
        <v/>
      </c>
      <c r="O2265" s="75" t="n"/>
      <c r="P2265" s="75" t="n"/>
      <c r="Q2265" s="75">
        <f>IF(ISBLANK(P2265),"",IF(D2265="Stock",P2265*G2265,IF(P2265=0,"0",G2265*P2265*100-(G2265*$AF$14))))</f>
        <v/>
      </c>
      <c r="R2265" s="79">
        <f>IF(P2265&lt;&gt;"", TODAY(), "")</f>
        <v/>
      </c>
      <c r="S2265" s="78">
        <f>IF(AND(K2265&lt;&gt;"", R2265&lt;&gt;""), R2265-K2265, "")</f>
        <v/>
      </c>
      <c r="T2265" s="78" t="n"/>
      <c r="U2265" s="92">
        <f>IF(ISBLANK(P2265),"",IF(C2265="Buy",Q2265-M2265+T2265, IF(C2265="Sell",M2265-Q2265-T2265, X)))</f>
        <v/>
      </c>
      <c r="V2265" s="81">
        <f>IF(ISBLANK(P2265),"",U2265/N2265)</f>
        <v/>
      </c>
      <c r="W2265" s="81">
        <f>IF(ISBLANK(P2265),"",IF(S2265=0,(365/0.5)*V2265,(365/S2265)*V2265))</f>
        <v/>
      </c>
      <c r="X2265" s="75" t="n"/>
      <c r="Y2265" s="77" t="n"/>
      <c r="Z2265" s="77" t="n"/>
      <c r="AA2265" s="75" t="n"/>
      <c r="AB2265" s="75" t="n"/>
      <c r="AC2265" s="6" t="n"/>
      <c r="AD2265" s="75" t="n"/>
      <c r="AE2265" s="75" t="n"/>
      <c r="AF2265" s="75" t="n"/>
    </row>
    <row r="2266" ht="15.75" customHeight="1" s="133">
      <c r="A2266" s="75" t="n"/>
      <c r="B2266" s="75" t="n"/>
      <c r="C2266" s="75" t="n"/>
      <c r="D2266" s="75" t="n"/>
      <c r="E2266" s="76" t="n"/>
      <c r="F2266" s="77" t="n"/>
      <c r="G2266" s="75" t="n"/>
      <c r="H2266" s="75">
        <f>IF(ISBLANK(E2266),"",IF(OR(D2266="Butterfly",D2266="Butterfly ",D2266="Iron Fly", D2266="Iron Fly "),LEN(E2266)-LEN(SUBSTITUTE(E2266,"/",""))+2,LEN(E2266)-LEN(SUBSTITUTE(E2266,"/",""))+1))</f>
        <v/>
      </c>
      <c r="I2266" s="78">
        <f>IF(ISBLANK(G2266),"",IF(D2266="Stock","0",Key!$A$3*H2266*G2266))</f>
        <v/>
      </c>
      <c r="J2266" s="78">
        <f>IF(ISBLANK(E2266),"",IF(ISNUMBER(SEARCH("/",E2266)), IF(LEN(E2266)-LEN(SUBSTITUTE(E2266,"/",""))=1,(RIGHT(E2266,LEN(E2266)-FIND("/",E2266)))-(LEFT(E2266,FIND("/",E2266)-1)),(MID(E2266, SEARCH("/",E2266) + 1, SEARCH("/",E2266, SEARCH("/",E2266)+1) - SEARCH("/",E2266) - 1))-(LEFT(E2266,FIND("/",E2266)-1))), "NA"))</f>
        <v/>
      </c>
      <c r="K2266" s="79">
        <f>IF(A2266&lt;&gt;"", IF(ISBLANK(L2266), TODAY(), K2266), "")</f>
        <v/>
      </c>
      <c r="L2266" s="78" t="n"/>
      <c r="M2266" s="78">
        <f>IF(ISBLANK(L2266),"",IF(D2266="Stock",IF(C2266="Buy",L2266*G2266,IF(C2266="Sell",(L2266*G2266)-I2266, X)),IF(C2266="Buy",(L2266*G2266*100)+I2266,IF(C2266="Sell",(L2266*G2266*100)-I2266, X))))</f>
        <v/>
      </c>
      <c r="N2266" s="78">
        <f>IF(ISBLANK(L2266),"",IF(AND(C2266="Sell",D2266="Stock"),M2266,IF(ISBLANK(L2266),"",IF(C2266="Buy",M2266, IF(AND(C2266="Sell",J2266="NA"),(E2266*G2266*100*0.1)+I2266, IF(C2266="Sell",(J2266-L2266)*(100*G2266)+I2266))))))</f>
        <v/>
      </c>
      <c r="O2266" s="75" t="n"/>
      <c r="P2266" s="75" t="n"/>
      <c r="Q2266" s="75">
        <f>IF(ISBLANK(P2266),"",IF(D2266="Stock",P2266*G2266,IF(P2266=0,"0",G2266*P2266*100-(G2266*$AF$14))))</f>
        <v/>
      </c>
      <c r="R2266" s="79">
        <f>IF(P2266&lt;&gt;"", TODAY(), "")</f>
        <v/>
      </c>
      <c r="S2266" s="78">
        <f>IF(AND(K2266&lt;&gt;"", R2266&lt;&gt;""), R2266-K2266, "")</f>
        <v/>
      </c>
      <c r="T2266" s="78" t="n"/>
      <c r="U2266" s="92">
        <f>IF(ISBLANK(P2266),"",IF(C2266="Buy",Q2266-M2266+T2266, IF(C2266="Sell",M2266-Q2266-T2266, X)))</f>
        <v/>
      </c>
      <c r="V2266" s="81">
        <f>IF(ISBLANK(P2266),"",U2266/N2266)</f>
        <v/>
      </c>
      <c r="W2266" s="81">
        <f>IF(ISBLANK(P2266),"",IF(S2266=0,(365/0.5)*V2266,(365/S2266)*V2266))</f>
        <v/>
      </c>
      <c r="X2266" s="75" t="n"/>
      <c r="Y2266" s="77" t="n"/>
      <c r="Z2266" s="77" t="n"/>
      <c r="AA2266" s="75" t="n"/>
      <c r="AB2266" s="75" t="n"/>
      <c r="AC2266" s="6" t="n"/>
      <c r="AD2266" s="75" t="n"/>
      <c r="AE2266" s="75" t="n"/>
      <c r="AF2266" s="75" t="n"/>
    </row>
    <row r="2267" ht="15.75" customHeight="1" s="133">
      <c r="A2267" s="75" t="n"/>
      <c r="B2267" s="75" t="n"/>
      <c r="C2267" s="75" t="n"/>
      <c r="D2267" s="75" t="n"/>
      <c r="E2267" s="76" t="n"/>
      <c r="F2267" s="77" t="n"/>
      <c r="G2267" s="75" t="n"/>
      <c r="H2267" s="75">
        <f>IF(ISBLANK(E2267),"",IF(OR(D2267="Butterfly",D2267="Butterfly ",D2267="Iron Fly", D2267="Iron Fly "),LEN(E2267)-LEN(SUBSTITUTE(E2267,"/",""))+2,LEN(E2267)-LEN(SUBSTITUTE(E2267,"/",""))+1))</f>
        <v/>
      </c>
      <c r="I2267" s="78">
        <f>IF(ISBLANK(G2267),"",IF(D2267="Stock","0",Key!$A$3*H2267*G2267))</f>
        <v/>
      </c>
      <c r="J2267" s="78">
        <f>IF(ISBLANK(E2267),"",IF(ISNUMBER(SEARCH("/",E2267)), IF(LEN(E2267)-LEN(SUBSTITUTE(E2267,"/",""))=1,(RIGHT(E2267,LEN(E2267)-FIND("/",E2267)))-(LEFT(E2267,FIND("/",E2267)-1)),(MID(E2267, SEARCH("/",E2267) + 1, SEARCH("/",E2267, SEARCH("/",E2267)+1) - SEARCH("/",E2267) - 1))-(LEFT(E2267,FIND("/",E2267)-1))), "NA"))</f>
        <v/>
      </c>
      <c r="K2267" s="79">
        <f>IF(A2267&lt;&gt;"", IF(ISBLANK(L2267), TODAY(), K2267), "")</f>
        <v/>
      </c>
      <c r="L2267" s="78" t="n"/>
      <c r="M2267" s="78">
        <f>IF(ISBLANK(L2267),"",IF(D2267="Stock",IF(C2267="Buy",L2267*G2267,IF(C2267="Sell",(L2267*G2267)-I2267, X)),IF(C2267="Buy",(L2267*G2267*100)+I2267,IF(C2267="Sell",(L2267*G2267*100)-I2267, X))))</f>
        <v/>
      </c>
      <c r="N2267" s="78">
        <f>IF(ISBLANK(L2267),"",IF(AND(C2267="Sell",D2267="Stock"),M2267,IF(ISBLANK(L2267),"",IF(C2267="Buy",M2267, IF(AND(C2267="Sell",J2267="NA"),(E2267*G2267*100*0.1)+I2267, IF(C2267="Sell",(J2267-L2267)*(100*G2267)+I2267))))))</f>
        <v/>
      </c>
      <c r="O2267" s="75" t="n"/>
      <c r="P2267" s="75" t="n"/>
      <c r="Q2267" s="75">
        <f>IF(ISBLANK(P2267),"",IF(D2267="Stock",P2267*G2267,IF(P2267=0,"0",G2267*P2267*100-(G2267*$AF$14))))</f>
        <v/>
      </c>
      <c r="R2267" s="79">
        <f>IF(P2267&lt;&gt;"", TODAY(), "")</f>
        <v/>
      </c>
      <c r="S2267" s="78">
        <f>IF(AND(K2267&lt;&gt;"", R2267&lt;&gt;""), R2267-K2267, "")</f>
        <v/>
      </c>
      <c r="T2267" s="78" t="n"/>
      <c r="U2267" s="92">
        <f>IF(ISBLANK(P2267),"",IF(C2267="Buy",Q2267-M2267+T2267, IF(C2267="Sell",M2267-Q2267-T2267, X)))</f>
        <v/>
      </c>
      <c r="V2267" s="81">
        <f>IF(ISBLANK(P2267),"",U2267/N2267)</f>
        <v/>
      </c>
      <c r="W2267" s="81">
        <f>IF(ISBLANK(P2267),"",IF(S2267=0,(365/0.5)*V2267,(365/S2267)*V2267))</f>
        <v/>
      </c>
      <c r="X2267" s="75" t="n"/>
      <c r="Y2267" s="77" t="n"/>
      <c r="Z2267" s="77" t="n"/>
      <c r="AA2267" s="75" t="n"/>
      <c r="AB2267" s="75" t="n"/>
      <c r="AC2267" s="6" t="n"/>
      <c r="AD2267" s="75" t="n"/>
      <c r="AE2267" s="75" t="n"/>
      <c r="AF2267" s="75" t="n"/>
    </row>
    <row r="2268" ht="15.75" customHeight="1" s="133">
      <c r="A2268" s="75" t="n"/>
      <c r="B2268" s="75" t="n"/>
      <c r="C2268" s="75" t="n"/>
      <c r="D2268" s="75" t="n"/>
      <c r="E2268" s="76" t="n"/>
      <c r="F2268" s="77" t="n"/>
      <c r="G2268" s="75" t="n"/>
      <c r="H2268" s="75">
        <f>IF(ISBLANK(E2268),"",IF(OR(D2268="Butterfly",D2268="Butterfly ",D2268="Iron Fly", D2268="Iron Fly "),LEN(E2268)-LEN(SUBSTITUTE(E2268,"/",""))+2,LEN(E2268)-LEN(SUBSTITUTE(E2268,"/",""))+1))</f>
        <v/>
      </c>
      <c r="I2268" s="78">
        <f>IF(ISBLANK(G2268),"",IF(D2268="Stock","0",Key!$A$3*H2268*G2268))</f>
        <v/>
      </c>
      <c r="J2268" s="78">
        <f>IF(ISBLANK(E2268),"",IF(ISNUMBER(SEARCH("/",E2268)), IF(LEN(E2268)-LEN(SUBSTITUTE(E2268,"/",""))=1,(RIGHT(E2268,LEN(E2268)-FIND("/",E2268)))-(LEFT(E2268,FIND("/",E2268)-1)),(MID(E2268, SEARCH("/",E2268) + 1, SEARCH("/",E2268, SEARCH("/",E2268)+1) - SEARCH("/",E2268) - 1))-(LEFT(E2268,FIND("/",E2268)-1))), "NA"))</f>
        <v/>
      </c>
      <c r="K2268" s="79">
        <f>IF(A2268&lt;&gt;"", IF(ISBLANK(L2268), TODAY(), K2268), "")</f>
        <v/>
      </c>
      <c r="L2268" s="78" t="n"/>
      <c r="M2268" s="78">
        <f>IF(ISBLANK(L2268),"",IF(D2268="Stock",IF(C2268="Buy",L2268*G2268,IF(C2268="Sell",(L2268*G2268)-I2268, X)),IF(C2268="Buy",(L2268*G2268*100)+I2268,IF(C2268="Sell",(L2268*G2268*100)-I2268, X))))</f>
        <v/>
      </c>
      <c r="N2268" s="78">
        <f>IF(ISBLANK(L2268),"",IF(AND(C2268="Sell",D2268="Stock"),M2268,IF(ISBLANK(L2268),"",IF(C2268="Buy",M2268, IF(AND(C2268="Sell",J2268="NA"),(E2268*G2268*100*0.1)+I2268, IF(C2268="Sell",(J2268-L2268)*(100*G2268)+I2268))))))</f>
        <v/>
      </c>
      <c r="O2268" s="75" t="n"/>
      <c r="P2268" s="75" t="n"/>
      <c r="Q2268" s="75">
        <f>IF(ISBLANK(P2268),"",IF(D2268="Stock",P2268*G2268,IF(P2268=0,"0",G2268*P2268*100-(G2268*$AF$14))))</f>
        <v/>
      </c>
      <c r="R2268" s="79">
        <f>IF(P2268&lt;&gt;"", TODAY(), "")</f>
        <v/>
      </c>
      <c r="S2268" s="78">
        <f>IF(AND(K2268&lt;&gt;"", R2268&lt;&gt;""), R2268-K2268, "")</f>
        <v/>
      </c>
      <c r="T2268" s="78" t="n"/>
      <c r="U2268" s="92">
        <f>IF(ISBLANK(P2268),"",IF(C2268="Buy",Q2268-M2268+T2268, IF(C2268="Sell",M2268-Q2268-T2268, X)))</f>
        <v/>
      </c>
      <c r="V2268" s="81">
        <f>IF(ISBLANK(P2268),"",U2268/N2268)</f>
        <v/>
      </c>
      <c r="W2268" s="81">
        <f>IF(ISBLANK(P2268),"",IF(S2268=0,(365/0.5)*V2268,(365/S2268)*V2268))</f>
        <v/>
      </c>
      <c r="X2268" s="75" t="n"/>
      <c r="Y2268" s="77" t="n"/>
      <c r="Z2268" s="77" t="n"/>
      <c r="AA2268" s="75" t="n"/>
      <c r="AB2268" s="75" t="n"/>
      <c r="AC2268" s="6" t="n"/>
      <c r="AD2268" s="75" t="n"/>
      <c r="AE2268" s="75" t="n"/>
      <c r="AF2268" s="75" t="n"/>
    </row>
    <row r="2269" ht="15.75" customHeight="1" s="133">
      <c r="A2269" s="75" t="n"/>
      <c r="B2269" s="75" t="n"/>
      <c r="C2269" s="75" t="n"/>
      <c r="D2269" s="75" t="n"/>
      <c r="E2269" s="76" t="n"/>
      <c r="F2269" s="77" t="n"/>
      <c r="G2269" s="75" t="n"/>
      <c r="H2269" s="75">
        <f>IF(ISBLANK(E2269),"",IF(OR(D2269="Butterfly",D2269="Butterfly ",D2269="Iron Fly", D2269="Iron Fly "),LEN(E2269)-LEN(SUBSTITUTE(E2269,"/",""))+2,LEN(E2269)-LEN(SUBSTITUTE(E2269,"/",""))+1))</f>
        <v/>
      </c>
      <c r="I2269" s="78">
        <f>IF(ISBLANK(G2269),"",IF(D2269="Stock","0",Key!$A$3*H2269*G2269))</f>
        <v/>
      </c>
      <c r="J2269" s="78">
        <f>IF(ISBLANK(E2269),"",IF(ISNUMBER(SEARCH("/",E2269)), IF(LEN(E2269)-LEN(SUBSTITUTE(E2269,"/",""))=1,(RIGHT(E2269,LEN(E2269)-FIND("/",E2269)))-(LEFT(E2269,FIND("/",E2269)-1)),(MID(E2269, SEARCH("/",E2269) + 1, SEARCH("/",E2269, SEARCH("/",E2269)+1) - SEARCH("/",E2269) - 1))-(LEFT(E2269,FIND("/",E2269)-1))), "NA"))</f>
        <v/>
      </c>
      <c r="K2269" s="79">
        <f>IF(A2269&lt;&gt;"", IF(ISBLANK(L2269), TODAY(), K2269), "")</f>
        <v/>
      </c>
      <c r="L2269" s="78" t="n"/>
      <c r="M2269" s="78">
        <f>IF(ISBLANK(L2269),"",IF(D2269="Stock",IF(C2269="Buy",L2269*G2269,IF(C2269="Sell",(L2269*G2269)-I2269, X)),IF(C2269="Buy",(L2269*G2269*100)+I2269,IF(C2269="Sell",(L2269*G2269*100)-I2269, X))))</f>
        <v/>
      </c>
      <c r="N2269" s="78">
        <f>IF(ISBLANK(L2269),"",IF(AND(C2269="Sell",D2269="Stock"),M2269,IF(ISBLANK(L2269),"",IF(C2269="Buy",M2269, IF(AND(C2269="Sell",J2269="NA"),(E2269*G2269*100*0.1)+I2269, IF(C2269="Sell",(J2269-L2269)*(100*G2269)+I2269))))))</f>
        <v/>
      </c>
      <c r="O2269" s="75" t="n"/>
      <c r="P2269" s="75" t="n"/>
      <c r="Q2269" s="75">
        <f>IF(ISBLANK(P2269),"",IF(D2269="Stock",P2269*G2269,IF(P2269=0,"0",G2269*P2269*100-(G2269*$AF$14))))</f>
        <v/>
      </c>
      <c r="R2269" s="79">
        <f>IF(P2269&lt;&gt;"", TODAY(), "")</f>
        <v/>
      </c>
      <c r="S2269" s="78">
        <f>IF(AND(K2269&lt;&gt;"", R2269&lt;&gt;""), R2269-K2269, "")</f>
        <v/>
      </c>
      <c r="T2269" s="78" t="n"/>
      <c r="U2269" s="92">
        <f>IF(ISBLANK(P2269),"",IF(C2269="Buy",Q2269-M2269+T2269, IF(C2269="Sell",M2269-Q2269-T2269, X)))</f>
        <v/>
      </c>
      <c r="V2269" s="81">
        <f>IF(ISBLANK(P2269),"",U2269/N2269)</f>
        <v/>
      </c>
      <c r="W2269" s="81">
        <f>IF(ISBLANK(P2269),"",IF(S2269=0,(365/0.5)*V2269,(365/S2269)*V2269))</f>
        <v/>
      </c>
      <c r="X2269" s="75" t="n"/>
      <c r="Y2269" s="77" t="n"/>
      <c r="Z2269" s="77" t="n"/>
      <c r="AA2269" s="75" t="n"/>
      <c r="AB2269" s="75" t="n"/>
      <c r="AC2269" s="6" t="n"/>
      <c r="AD2269" s="75" t="n"/>
      <c r="AE2269" s="75" t="n"/>
      <c r="AF2269" s="75" t="n"/>
    </row>
    <row r="2270" ht="15.75" customHeight="1" s="133">
      <c r="A2270" s="75" t="n"/>
      <c r="B2270" s="75" t="n"/>
      <c r="C2270" s="75" t="n"/>
      <c r="D2270" s="75" t="n"/>
      <c r="E2270" s="76" t="n"/>
      <c r="F2270" s="77" t="n"/>
      <c r="G2270" s="75" t="n"/>
      <c r="H2270" s="75">
        <f>IF(ISBLANK(E2270),"",IF(OR(D2270="Butterfly",D2270="Butterfly ",D2270="Iron Fly", D2270="Iron Fly "),LEN(E2270)-LEN(SUBSTITUTE(E2270,"/",""))+2,LEN(E2270)-LEN(SUBSTITUTE(E2270,"/",""))+1))</f>
        <v/>
      </c>
      <c r="I2270" s="78">
        <f>IF(ISBLANK(G2270),"",IF(D2270="Stock","0",Key!$A$3*H2270*G2270))</f>
        <v/>
      </c>
      <c r="J2270" s="78">
        <f>IF(ISBLANK(E2270),"",IF(ISNUMBER(SEARCH("/",E2270)), IF(LEN(E2270)-LEN(SUBSTITUTE(E2270,"/",""))=1,(RIGHT(E2270,LEN(E2270)-FIND("/",E2270)))-(LEFT(E2270,FIND("/",E2270)-1)),(MID(E2270, SEARCH("/",E2270) + 1, SEARCH("/",E2270, SEARCH("/",E2270)+1) - SEARCH("/",E2270) - 1))-(LEFT(E2270,FIND("/",E2270)-1))), "NA"))</f>
        <v/>
      </c>
      <c r="K2270" s="79">
        <f>IF(A2270&lt;&gt;"", IF(ISBLANK(L2270), TODAY(), K2270), "")</f>
        <v/>
      </c>
      <c r="L2270" s="78" t="n"/>
      <c r="M2270" s="78">
        <f>IF(ISBLANK(L2270),"",IF(D2270="Stock",IF(C2270="Buy",L2270*G2270,IF(C2270="Sell",(L2270*G2270)-I2270, X)),IF(C2270="Buy",(L2270*G2270*100)+I2270,IF(C2270="Sell",(L2270*G2270*100)-I2270, X))))</f>
        <v/>
      </c>
      <c r="N2270" s="78">
        <f>IF(ISBLANK(L2270),"",IF(AND(C2270="Sell",D2270="Stock"),M2270,IF(ISBLANK(L2270),"",IF(C2270="Buy",M2270, IF(AND(C2270="Sell",J2270="NA"),(E2270*G2270*100*0.1)+I2270, IF(C2270="Sell",(J2270-L2270)*(100*G2270)+I2270))))))</f>
        <v/>
      </c>
      <c r="O2270" s="75" t="n"/>
      <c r="P2270" s="75" t="n"/>
      <c r="Q2270" s="75">
        <f>IF(ISBLANK(P2270),"",IF(D2270="Stock",P2270*G2270,IF(P2270=0,"0",G2270*P2270*100-(G2270*$AF$14))))</f>
        <v/>
      </c>
      <c r="R2270" s="79">
        <f>IF(P2270&lt;&gt;"", TODAY(), "")</f>
        <v/>
      </c>
      <c r="S2270" s="78">
        <f>IF(AND(K2270&lt;&gt;"", R2270&lt;&gt;""), R2270-K2270, "")</f>
        <v/>
      </c>
      <c r="T2270" s="78" t="n"/>
      <c r="U2270" s="92">
        <f>IF(ISBLANK(P2270),"",IF(C2270="Buy",Q2270-M2270+T2270, IF(C2270="Sell",M2270-Q2270-T2270, X)))</f>
        <v/>
      </c>
      <c r="V2270" s="81">
        <f>IF(ISBLANK(P2270),"",U2270/N2270)</f>
        <v/>
      </c>
      <c r="W2270" s="81">
        <f>IF(ISBLANK(P2270),"",IF(S2270=0,(365/0.5)*V2270,(365/S2270)*V2270))</f>
        <v/>
      </c>
      <c r="X2270" s="75" t="n"/>
      <c r="Y2270" s="77" t="n"/>
      <c r="Z2270" s="77" t="n"/>
      <c r="AA2270" s="75" t="n"/>
      <c r="AB2270" s="75" t="n"/>
      <c r="AC2270" s="6" t="n"/>
      <c r="AD2270" s="75" t="n"/>
      <c r="AE2270" s="75" t="n"/>
      <c r="AF2270" s="75" t="n"/>
    </row>
    <row r="2271" ht="15.75" customHeight="1" s="133">
      <c r="A2271" s="75" t="n"/>
      <c r="B2271" s="75" t="n"/>
      <c r="C2271" s="75" t="n"/>
      <c r="D2271" s="75" t="n"/>
      <c r="E2271" s="76" t="n"/>
      <c r="F2271" s="77" t="n"/>
      <c r="G2271" s="75" t="n"/>
      <c r="H2271" s="75">
        <f>IF(ISBLANK(E2271),"",IF(OR(D2271="Butterfly",D2271="Butterfly ",D2271="Iron Fly", D2271="Iron Fly "),LEN(E2271)-LEN(SUBSTITUTE(E2271,"/",""))+2,LEN(E2271)-LEN(SUBSTITUTE(E2271,"/",""))+1))</f>
        <v/>
      </c>
      <c r="I2271" s="78">
        <f>IF(ISBLANK(G2271),"",IF(D2271="Stock","0",Key!$A$3*H2271*G2271))</f>
        <v/>
      </c>
      <c r="J2271" s="78">
        <f>IF(ISBLANK(E2271),"",IF(ISNUMBER(SEARCH("/",E2271)), IF(LEN(E2271)-LEN(SUBSTITUTE(E2271,"/",""))=1,(RIGHT(E2271,LEN(E2271)-FIND("/",E2271)))-(LEFT(E2271,FIND("/",E2271)-1)),(MID(E2271, SEARCH("/",E2271) + 1, SEARCH("/",E2271, SEARCH("/",E2271)+1) - SEARCH("/",E2271) - 1))-(LEFT(E2271,FIND("/",E2271)-1))), "NA"))</f>
        <v/>
      </c>
      <c r="K2271" s="79">
        <f>IF(A2271&lt;&gt;"", IF(ISBLANK(L2271), TODAY(), K2271), "")</f>
        <v/>
      </c>
      <c r="L2271" s="78" t="n"/>
      <c r="M2271" s="78">
        <f>IF(ISBLANK(L2271),"",IF(D2271="Stock",IF(C2271="Buy",L2271*G2271,IF(C2271="Sell",(L2271*G2271)-I2271, X)),IF(C2271="Buy",(L2271*G2271*100)+I2271,IF(C2271="Sell",(L2271*G2271*100)-I2271, X))))</f>
        <v/>
      </c>
      <c r="N2271" s="78">
        <f>IF(ISBLANK(L2271),"",IF(AND(C2271="Sell",D2271="Stock"),M2271,IF(ISBLANK(L2271),"",IF(C2271="Buy",M2271, IF(AND(C2271="Sell",J2271="NA"),(E2271*G2271*100*0.1)+I2271, IF(C2271="Sell",(J2271-L2271)*(100*G2271)+I2271))))))</f>
        <v/>
      </c>
      <c r="O2271" s="75" t="n"/>
      <c r="P2271" s="75" t="n"/>
      <c r="Q2271" s="75">
        <f>IF(ISBLANK(P2271),"",IF(D2271="Stock",P2271*G2271,IF(P2271=0,"0",G2271*P2271*100-(G2271*$AF$14))))</f>
        <v/>
      </c>
      <c r="R2271" s="79">
        <f>IF(P2271&lt;&gt;"", TODAY(), "")</f>
        <v/>
      </c>
      <c r="S2271" s="78">
        <f>IF(AND(K2271&lt;&gt;"", R2271&lt;&gt;""), R2271-K2271, "")</f>
        <v/>
      </c>
      <c r="T2271" s="78" t="n"/>
      <c r="U2271" s="92">
        <f>IF(ISBLANK(P2271),"",IF(C2271="Buy",Q2271-M2271+T2271, IF(C2271="Sell",M2271-Q2271-T2271, X)))</f>
        <v/>
      </c>
      <c r="V2271" s="81">
        <f>IF(ISBLANK(P2271),"",U2271/N2271)</f>
        <v/>
      </c>
      <c r="W2271" s="81">
        <f>IF(ISBLANK(P2271),"",IF(S2271=0,(365/0.5)*V2271,(365/S2271)*V2271))</f>
        <v/>
      </c>
      <c r="X2271" s="75" t="n"/>
      <c r="Y2271" s="77" t="n"/>
      <c r="Z2271" s="77" t="n"/>
      <c r="AA2271" s="75" t="n"/>
      <c r="AB2271" s="75" t="n"/>
      <c r="AC2271" s="6" t="n"/>
      <c r="AD2271" s="75" t="n"/>
      <c r="AE2271" s="75" t="n"/>
      <c r="AF2271" s="75" t="n"/>
    </row>
    <row r="2272" ht="15.75" customHeight="1" s="133">
      <c r="A2272" s="75" t="n"/>
      <c r="B2272" s="75" t="n"/>
      <c r="C2272" s="75" t="n"/>
      <c r="D2272" s="75" t="n"/>
      <c r="E2272" s="76" t="n"/>
      <c r="F2272" s="77" t="n"/>
      <c r="G2272" s="75" t="n"/>
      <c r="H2272" s="75">
        <f>IF(ISBLANK(E2272),"",IF(OR(D2272="Butterfly",D2272="Butterfly ",D2272="Iron Fly", D2272="Iron Fly "),LEN(E2272)-LEN(SUBSTITUTE(E2272,"/",""))+2,LEN(E2272)-LEN(SUBSTITUTE(E2272,"/",""))+1))</f>
        <v/>
      </c>
      <c r="I2272" s="78">
        <f>IF(ISBLANK(G2272),"",IF(D2272="Stock","0",Key!$A$3*H2272*G2272))</f>
        <v/>
      </c>
      <c r="J2272" s="78">
        <f>IF(ISBLANK(E2272),"",IF(ISNUMBER(SEARCH("/",E2272)), IF(LEN(E2272)-LEN(SUBSTITUTE(E2272,"/",""))=1,(RIGHT(E2272,LEN(E2272)-FIND("/",E2272)))-(LEFT(E2272,FIND("/",E2272)-1)),(MID(E2272, SEARCH("/",E2272) + 1, SEARCH("/",E2272, SEARCH("/",E2272)+1) - SEARCH("/",E2272) - 1))-(LEFT(E2272,FIND("/",E2272)-1))), "NA"))</f>
        <v/>
      </c>
      <c r="K2272" s="79">
        <f>IF(A2272&lt;&gt;"", IF(ISBLANK(L2272), TODAY(), K2272), "")</f>
        <v/>
      </c>
      <c r="L2272" s="78" t="n"/>
      <c r="M2272" s="78">
        <f>IF(ISBLANK(L2272),"",IF(D2272="Stock",IF(C2272="Buy",L2272*G2272,IF(C2272="Sell",(L2272*G2272)-I2272, X)),IF(C2272="Buy",(L2272*G2272*100)+I2272,IF(C2272="Sell",(L2272*G2272*100)-I2272, X))))</f>
        <v/>
      </c>
      <c r="N2272" s="78">
        <f>IF(ISBLANK(L2272),"",IF(AND(C2272="Sell",D2272="Stock"),M2272,IF(ISBLANK(L2272),"",IF(C2272="Buy",M2272, IF(AND(C2272="Sell",J2272="NA"),(E2272*G2272*100*0.1)+I2272, IF(C2272="Sell",(J2272-L2272)*(100*G2272)+I2272))))))</f>
        <v/>
      </c>
      <c r="O2272" s="75" t="n"/>
      <c r="P2272" s="75" t="n"/>
      <c r="Q2272" s="75">
        <f>IF(ISBLANK(P2272),"",IF(D2272="Stock",P2272*G2272,IF(P2272=0,"0",G2272*P2272*100-(G2272*$AF$14))))</f>
        <v/>
      </c>
      <c r="R2272" s="79">
        <f>IF(P2272&lt;&gt;"", TODAY(), "")</f>
        <v/>
      </c>
      <c r="S2272" s="78">
        <f>IF(AND(K2272&lt;&gt;"", R2272&lt;&gt;""), R2272-K2272, "")</f>
        <v/>
      </c>
      <c r="T2272" s="78" t="n"/>
      <c r="U2272" s="92">
        <f>IF(ISBLANK(P2272),"",IF(C2272="Buy",Q2272-M2272+T2272, IF(C2272="Sell",M2272-Q2272-T2272, X)))</f>
        <v/>
      </c>
      <c r="V2272" s="81">
        <f>IF(ISBLANK(P2272),"",U2272/N2272)</f>
        <v/>
      </c>
      <c r="W2272" s="81">
        <f>IF(ISBLANK(P2272),"",IF(S2272=0,(365/0.5)*V2272,(365/S2272)*V2272))</f>
        <v/>
      </c>
      <c r="X2272" s="75" t="n"/>
      <c r="Y2272" s="77" t="n"/>
      <c r="Z2272" s="77" t="n"/>
      <c r="AA2272" s="75" t="n"/>
      <c r="AB2272" s="75" t="n"/>
      <c r="AC2272" s="6" t="n"/>
      <c r="AD2272" s="75" t="n"/>
      <c r="AE2272" s="75" t="n"/>
      <c r="AF2272" s="75" t="n"/>
    </row>
    <row r="2273" ht="15.75" customHeight="1" s="133">
      <c r="A2273" s="75" t="n"/>
      <c r="B2273" s="75" t="n"/>
      <c r="C2273" s="75" t="n"/>
      <c r="D2273" s="75" t="n"/>
      <c r="E2273" s="76" t="n"/>
      <c r="F2273" s="77" t="n"/>
      <c r="G2273" s="75" t="n"/>
      <c r="H2273" s="75">
        <f>IF(ISBLANK(E2273),"",IF(OR(D2273="Butterfly",D2273="Butterfly ",D2273="Iron Fly", D2273="Iron Fly "),LEN(E2273)-LEN(SUBSTITUTE(E2273,"/",""))+2,LEN(E2273)-LEN(SUBSTITUTE(E2273,"/",""))+1))</f>
        <v/>
      </c>
      <c r="I2273" s="78">
        <f>IF(ISBLANK(G2273),"",IF(D2273="Stock","0",Key!$A$3*H2273*G2273))</f>
        <v/>
      </c>
      <c r="J2273" s="78">
        <f>IF(ISBLANK(E2273),"",IF(ISNUMBER(SEARCH("/",E2273)), IF(LEN(E2273)-LEN(SUBSTITUTE(E2273,"/",""))=1,(RIGHT(E2273,LEN(E2273)-FIND("/",E2273)))-(LEFT(E2273,FIND("/",E2273)-1)),(MID(E2273, SEARCH("/",E2273) + 1, SEARCH("/",E2273, SEARCH("/",E2273)+1) - SEARCH("/",E2273) - 1))-(LEFT(E2273,FIND("/",E2273)-1))), "NA"))</f>
        <v/>
      </c>
      <c r="K2273" s="79">
        <f>IF(A2273&lt;&gt;"", IF(ISBLANK(L2273), TODAY(), K2273), "")</f>
        <v/>
      </c>
      <c r="L2273" s="78" t="n"/>
      <c r="M2273" s="78">
        <f>IF(ISBLANK(L2273),"",IF(D2273="Stock",IF(C2273="Buy",L2273*G2273,IF(C2273="Sell",(L2273*G2273)-I2273, X)),IF(C2273="Buy",(L2273*G2273*100)+I2273,IF(C2273="Sell",(L2273*G2273*100)-I2273, X))))</f>
        <v/>
      </c>
      <c r="N2273" s="78">
        <f>IF(ISBLANK(L2273),"",IF(AND(C2273="Sell",D2273="Stock"),M2273,IF(ISBLANK(L2273),"",IF(C2273="Buy",M2273, IF(AND(C2273="Sell",J2273="NA"),(E2273*G2273*100*0.1)+I2273, IF(C2273="Sell",(J2273-L2273)*(100*G2273)+I2273))))))</f>
        <v/>
      </c>
      <c r="O2273" s="75" t="n"/>
      <c r="P2273" s="75" t="n"/>
      <c r="Q2273" s="75">
        <f>IF(ISBLANK(P2273),"",IF(D2273="Stock",P2273*G2273,IF(P2273=0,"0",G2273*P2273*100-(G2273*$AF$14))))</f>
        <v/>
      </c>
      <c r="R2273" s="79">
        <f>IF(P2273&lt;&gt;"", TODAY(), "")</f>
        <v/>
      </c>
      <c r="S2273" s="78">
        <f>IF(AND(K2273&lt;&gt;"", R2273&lt;&gt;""), R2273-K2273, "")</f>
        <v/>
      </c>
      <c r="T2273" s="78" t="n"/>
      <c r="U2273" s="92">
        <f>IF(ISBLANK(P2273),"",IF(C2273="Buy",Q2273-M2273+T2273, IF(C2273="Sell",M2273-Q2273-T2273, X)))</f>
        <v/>
      </c>
      <c r="V2273" s="81">
        <f>IF(ISBLANK(P2273),"",U2273/N2273)</f>
        <v/>
      </c>
      <c r="W2273" s="81">
        <f>IF(ISBLANK(P2273),"",IF(S2273=0,(365/0.5)*V2273,(365/S2273)*V2273))</f>
        <v/>
      </c>
      <c r="X2273" s="75" t="n"/>
      <c r="Y2273" s="77" t="n"/>
      <c r="Z2273" s="77" t="n"/>
      <c r="AA2273" s="75" t="n"/>
      <c r="AB2273" s="75" t="n"/>
      <c r="AC2273" s="6" t="n"/>
      <c r="AD2273" s="75" t="n"/>
      <c r="AE2273" s="75" t="n"/>
      <c r="AF2273" s="75" t="n"/>
    </row>
    <row r="2274" ht="15.75" customHeight="1" s="133">
      <c r="A2274" s="75" t="n"/>
      <c r="B2274" s="75" t="n"/>
      <c r="C2274" s="75" t="n"/>
      <c r="D2274" s="75" t="n"/>
      <c r="E2274" s="76" t="n"/>
      <c r="F2274" s="77" t="n"/>
      <c r="G2274" s="75" t="n"/>
      <c r="H2274" s="75">
        <f>IF(ISBLANK(E2274),"",IF(OR(D2274="Butterfly",D2274="Butterfly ",D2274="Iron Fly", D2274="Iron Fly "),LEN(E2274)-LEN(SUBSTITUTE(E2274,"/",""))+2,LEN(E2274)-LEN(SUBSTITUTE(E2274,"/",""))+1))</f>
        <v/>
      </c>
      <c r="I2274" s="78">
        <f>IF(ISBLANK(G2274),"",IF(D2274="Stock","0",Key!$A$3*H2274*G2274))</f>
        <v/>
      </c>
      <c r="J2274" s="78">
        <f>IF(ISBLANK(E2274),"",IF(ISNUMBER(SEARCH("/",E2274)), IF(LEN(E2274)-LEN(SUBSTITUTE(E2274,"/",""))=1,(RIGHT(E2274,LEN(E2274)-FIND("/",E2274)))-(LEFT(E2274,FIND("/",E2274)-1)),(MID(E2274, SEARCH("/",E2274) + 1, SEARCH("/",E2274, SEARCH("/",E2274)+1) - SEARCH("/",E2274) - 1))-(LEFT(E2274,FIND("/",E2274)-1))), "NA"))</f>
        <v/>
      </c>
      <c r="K2274" s="79">
        <f>IF(A2274&lt;&gt;"", IF(ISBLANK(L2274), TODAY(), K2274), "")</f>
        <v/>
      </c>
      <c r="L2274" s="78" t="n"/>
      <c r="M2274" s="78">
        <f>IF(ISBLANK(L2274),"",IF(D2274="Stock",IF(C2274="Buy",L2274*G2274,IF(C2274="Sell",(L2274*G2274)-I2274, X)),IF(C2274="Buy",(L2274*G2274*100)+I2274,IF(C2274="Sell",(L2274*G2274*100)-I2274, X))))</f>
        <v/>
      </c>
      <c r="N2274" s="78">
        <f>IF(ISBLANK(L2274),"",IF(AND(C2274="Sell",D2274="Stock"),M2274,IF(ISBLANK(L2274),"",IF(C2274="Buy",M2274, IF(AND(C2274="Sell",J2274="NA"),(E2274*G2274*100*0.1)+I2274, IF(C2274="Sell",(J2274-L2274)*(100*G2274)+I2274))))))</f>
        <v/>
      </c>
      <c r="O2274" s="75" t="n"/>
      <c r="P2274" s="75" t="n"/>
      <c r="Q2274" s="75">
        <f>IF(ISBLANK(P2274),"",IF(D2274="Stock",P2274*G2274,IF(P2274=0,"0",G2274*P2274*100-(G2274*$AF$14))))</f>
        <v/>
      </c>
      <c r="R2274" s="79">
        <f>IF(P2274&lt;&gt;"", TODAY(), "")</f>
        <v/>
      </c>
      <c r="S2274" s="78">
        <f>IF(AND(K2274&lt;&gt;"", R2274&lt;&gt;""), R2274-K2274, "")</f>
        <v/>
      </c>
      <c r="T2274" s="78" t="n"/>
      <c r="U2274" s="92">
        <f>IF(ISBLANK(P2274),"",IF(C2274="Buy",Q2274-M2274+T2274, IF(C2274="Sell",M2274-Q2274-T2274, X)))</f>
        <v/>
      </c>
      <c r="V2274" s="81">
        <f>IF(ISBLANK(P2274),"",U2274/N2274)</f>
        <v/>
      </c>
      <c r="W2274" s="81">
        <f>IF(ISBLANK(P2274),"",IF(S2274=0,(365/0.5)*V2274,(365/S2274)*V2274))</f>
        <v/>
      </c>
      <c r="X2274" s="75" t="n"/>
      <c r="Y2274" s="77" t="n"/>
      <c r="Z2274" s="77" t="n"/>
      <c r="AA2274" s="75" t="n"/>
      <c r="AB2274" s="75" t="n"/>
      <c r="AC2274" s="6" t="n"/>
      <c r="AD2274" s="75" t="n"/>
      <c r="AE2274" s="75" t="n"/>
      <c r="AF2274" s="75" t="n"/>
    </row>
    <row r="2275" ht="15.75" customHeight="1" s="133">
      <c r="A2275" s="75" t="n"/>
      <c r="B2275" s="75" t="n"/>
      <c r="C2275" s="75" t="n"/>
      <c r="D2275" s="75" t="n"/>
      <c r="E2275" s="76" t="n"/>
      <c r="F2275" s="77" t="n"/>
      <c r="G2275" s="75" t="n"/>
      <c r="H2275" s="75">
        <f>IF(ISBLANK(E2275),"",IF(OR(D2275="Butterfly",D2275="Butterfly ",D2275="Iron Fly", D2275="Iron Fly "),LEN(E2275)-LEN(SUBSTITUTE(E2275,"/",""))+2,LEN(E2275)-LEN(SUBSTITUTE(E2275,"/",""))+1))</f>
        <v/>
      </c>
      <c r="I2275" s="78">
        <f>IF(ISBLANK(G2275),"",IF(D2275="Stock","0",Key!$A$3*H2275*G2275))</f>
        <v/>
      </c>
      <c r="J2275" s="78">
        <f>IF(ISBLANK(E2275),"",IF(ISNUMBER(SEARCH("/",E2275)), IF(LEN(E2275)-LEN(SUBSTITUTE(E2275,"/",""))=1,(RIGHT(E2275,LEN(E2275)-FIND("/",E2275)))-(LEFT(E2275,FIND("/",E2275)-1)),(MID(E2275, SEARCH("/",E2275) + 1, SEARCH("/",E2275, SEARCH("/",E2275)+1) - SEARCH("/",E2275) - 1))-(LEFT(E2275,FIND("/",E2275)-1))), "NA"))</f>
        <v/>
      </c>
      <c r="K2275" s="79">
        <f>IF(A2275&lt;&gt;"", IF(ISBLANK(L2275), TODAY(), K2275), "")</f>
        <v/>
      </c>
      <c r="L2275" s="78" t="n"/>
      <c r="M2275" s="78">
        <f>IF(ISBLANK(L2275),"",IF(D2275="Stock",IF(C2275="Buy",L2275*G2275,IF(C2275="Sell",(L2275*G2275)-I2275, X)),IF(C2275="Buy",(L2275*G2275*100)+I2275,IF(C2275="Sell",(L2275*G2275*100)-I2275, X))))</f>
        <v/>
      </c>
      <c r="N2275" s="78">
        <f>IF(ISBLANK(L2275),"",IF(AND(C2275="Sell",D2275="Stock"),M2275,IF(ISBLANK(L2275),"",IF(C2275="Buy",M2275, IF(AND(C2275="Sell",J2275="NA"),(E2275*G2275*100*0.1)+I2275, IF(C2275="Sell",(J2275-L2275)*(100*G2275)+I2275))))))</f>
        <v/>
      </c>
      <c r="O2275" s="75" t="n"/>
      <c r="P2275" s="75" t="n"/>
      <c r="Q2275" s="75">
        <f>IF(ISBLANK(P2275),"",IF(D2275="Stock",P2275*G2275,IF(P2275=0,"0",G2275*P2275*100-(G2275*$AF$14))))</f>
        <v/>
      </c>
      <c r="R2275" s="79">
        <f>IF(P2275&lt;&gt;"", TODAY(), "")</f>
        <v/>
      </c>
      <c r="S2275" s="78">
        <f>IF(AND(K2275&lt;&gt;"", R2275&lt;&gt;""), R2275-K2275, "")</f>
        <v/>
      </c>
      <c r="T2275" s="78" t="n"/>
      <c r="U2275" s="92">
        <f>IF(ISBLANK(P2275),"",IF(C2275="Buy",Q2275-M2275+T2275, IF(C2275="Sell",M2275-Q2275-T2275, X)))</f>
        <v/>
      </c>
      <c r="V2275" s="81">
        <f>IF(ISBLANK(P2275),"",U2275/N2275)</f>
        <v/>
      </c>
      <c r="W2275" s="81">
        <f>IF(ISBLANK(P2275),"",IF(S2275=0,(365/0.5)*V2275,(365/S2275)*V2275))</f>
        <v/>
      </c>
      <c r="X2275" s="75" t="n"/>
      <c r="Y2275" s="77" t="n"/>
      <c r="Z2275" s="77" t="n"/>
      <c r="AA2275" s="75" t="n"/>
      <c r="AB2275" s="75" t="n"/>
      <c r="AC2275" s="6" t="n"/>
      <c r="AD2275" s="75" t="n"/>
      <c r="AE2275" s="75" t="n"/>
      <c r="AF2275" s="75" t="n"/>
    </row>
    <row r="2276" ht="15.75" customHeight="1" s="133">
      <c r="A2276" s="75" t="n"/>
      <c r="B2276" s="75" t="n"/>
      <c r="C2276" s="75" t="n"/>
      <c r="D2276" s="75" t="n"/>
      <c r="E2276" s="76" t="n"/>
      <c r="F2276" s="77" t="n"/>
      <c r="G2276" s="75" t="n"/>
      <c r="H2276" s="75">
        <f>IF(ISBLANK(E2276),"",IF(OR(D2276="Butterfly",D2276="Butterfly ",D2276="Iron Fly", D2276="Iron Fly "),LEN(E2276)-LEN(SUBSTITUTE(E2276,"/",""))+2,LEN(E2276)-LEN(SUBSTITUTE(E2276,"/",""))+1))</f>
        <v/>
      </c>
      <c r="I2276" s="78">
        <f>IF(ISBLANK(G2276),"",IF(D2276="Stock","0",Key!$A$3*H2276*G2276))</f>
        <v/>
      </c>
      <c r="J2276" s="78">
        <f>IF(ISBLANK(E2276),"",IF(ISNUMBER(SEARCH("/",E2276)), IF(LEN(E2276)-LEN(SUBSTITUTE(E2276,"/",""))=1,(RIGHT(E2276,LEN(E2276)-FIND("/",E2276)))-(LEFT(E2276,FIND("/",E2276)-1)),(MID(E2276, SEARCH("/",E2276) + 1, SEARCH("/",E2276, SEARCH("/",E2276)+1) - SEARCH("/",E2276) - 1))-(LEFT(E2276,FIND("/",E2276)-1))), "NA"))</f>
        <v/>
      </c>
      <c r="K2276" s="79">
        <f>IF(A2276&lt;&gt;"", IF(ISBLANK(L2276), TODAY(), K2276), "")</f>
        <v/>
      </c>
      <c r="L2276" s="78" t="n"/>
      <c r="M2276" s="78">
        <f>IF(ISBLANK(L2276),"",IF(D2276="Stock",IF(C2276="Buy",L2276*G2276,IF(C2276="Sell",(L2276*G2276)-I2276, X)),IF(C2276="Buy",(L2276*G2276*100)+I2276,IF(C2276="Sell",(L2276*G2276*100)-I2276, X))))</f>
        <v/>
      </c>
      <c r="N2276" s="78">
        <f>IF(ISBLANK(L2276),"",IF(AND(C2276="Sell",D2276="Stock"),M2276,IF(ISBLANK(L2276),"",IF(C2276="Buy",M2276, IF(AND(C2276="Sell",J2276="NA"),(E2276*G2276*100*0.1)+I2276, IF(C2276="Sell",(J2276-L2276)*(100*G2276)+I2276))))))</f>
        <v/>
      </c>
      <c r="O2276" s="75" t="n"/>
      <c r="P2276" s="75" t="n"/>
      <c r="Q2276" s="75">
        <f>IF(ISBLANK(P2276),"",IF(D2276="Stock",P2276*G2276,IF(P2276=0,"0",G2276*P2276*100-(G2276*$AF$14))))</f>
        <v/>
      </c>
      <c r="R2276" s="79">
        <f>IF(P2276&lt;&gt;"", TODAY(), "")</f>
        <v/>
      </c>
      <c r="S2276" s="78">
        <f>IF(AND(K2276&lt;&gt;"", R2276&lt;&gt;""), R2276-K2276, "")</f>
        <v/>
      </c>
      <c r="T2276" s="78" t="n"/>
      <c r="U2276" s="92">
        <f>IF(ISBLANK(P2276),"",IF(C2276="Buy",Q2276-M2276+T2276, IF(C2276="Sell",M2276-Q2276-T2276, X)))</f>
        <v/>
      </c>
      <c r="V2276" s="81">
        <f>IF(ISBLANK(P2276),"",U2276/N2276)</f>
        <v/>
      </c>
      <c r="W2276" s="81">
        <f>IF(ISBLANK(P2276),"",IF(S2276=0,(365/0.5)*V2276,(365/S2276)*V2276))</f>
        <v/>
      </c>
      <c r="X2276" s="75" t="n"/>
      <c r="Y2276" s="77" t="n"/>
      <c r="Z2276" s="77" t="n"/>
      <c r="AA2276" s="75" t="n"/>
      <c r="AB2276" s="75" t="n"/>
      <c r="AC2276" s="6" t="n"/>
      <c r="AD2276" s="75" t="n"/>
      <c r="AE2276" s="75" t="n"/>
      <c r="AF2276" s="75" t="n"/>
    </row>
    <row r="2277" ht="15.75" customHeight="1" s="133">
      <c r="A2277" s="75" t="n"/>
      <c r="B2277" s="75" t="n"/>
      <c r="C2277" s="75" t="n"/>
      <c r="D2277" s="75" t="n"/>
      <c r="E2277" s="76" t="n"/>
      <c r="F2277" s="77" t="n"/>
      <c r="G2277" s="75" t="n"/>
      <c r="H2277" s="75">
        <f>IF(ISBLANK(E2277),"",IF(OR(D2277="Butterfly",D2277="Butterfly ",D2277="Iron Fly", D2277="Iron Fly "),LEN(E2277)-LEN(SUBSTITUTE(E2277,"/",""))+2,LEN(E2277)-LEN(SUBSTITUTE(E2277,"/",""))+1))</f>
        <v/>
      </c>
      <c r="I2277" s="78">
        <f>IF(ISBLANK(G2277),"",IF(D2277="Stock","0",Key!$A$3*H2277*G2277))</f>
        <v/>
      </c>
      <c r="J2277" s="78">
        <f>IF(ISBLANK(E2277),"",IF(ISNUMBER(SEARCH("/",E2277)), IF(LEN(E2277)-LEN(SUBSTITUTE(E2277,"/",""))=1,(RIGHT(E2277,LEN(E2277)-FIND("/",E2277)))-(LEFT(E2277,FIND("/",E2277)-1)),(MID(E2277, SEARCH("/",E2277) + 1, SEARCH("/",E2277, SEARCH("/",E2277)+1) - SEARCH("/",E2277) - 1))-(LEFT(E2277,FIND("/",E2277)-1))), "NA"))</f>
        <v/>
      </c>
      <c r="K2277" s="79">
        <f>IF(A2277&lt;&gt;"", IF(ISBLANK(L2277), TODAY(), K2277), "")</f>
        <v/>
      </c>
      <c r="L2277" s="78" t="n"/>
      <c r="M2277" s="78">
        <f>IF(ISBLANK(L2277),"",IF(D2277="Stock",IF(C2277="Buy",L2277*G2277,IF(C2277="Sell",(L2277*G2277)-I2277, X)),IF(C2277="Buy",(L2277*G2277*100)+I2277,IF(C2277="Sell",(L2277*G2277*100)-I2277, X))))</f>
        <v/>
      </c>
      <c r="N2277" s="78">
        <f>IF(ISBLANK(L2277),"",IF(AND(C2277="Sell",D2277="Stock"),M2277,IF(ISBLANK(L2277),"",IF(C2277="Buy",M2277, IF(AND(C2277="Sell",J2277="NA"),(E2277*G2277*100*0.1)+I2277, IF(C2277="Sell",(J2277-L2277)*(100*G2277)+I2277))))))</f>
        <v/>
      </c>
      <c r="O2277" s="75" t="n"/>
      <c r="P2277" s="75" t="n"/>
      <c r="Q2277" s="75">
        <f>IF(ISBLANK(P2277),"",IF(D2277="Stock",P2277*G2277,IF(P2277=0,"0",G2277*P2277*100-(G2277*$AF$14))))</f>
        <v/>
      </c>
      <c r="R2277" s="79">
        <f>IF(P2277&lt;&gt;"", TODAY(), "")</f>
        <v/>
      </c>
      <c r="S2277" s="78">
        <f>IF(AND(K2277&lt;&gt;"", R2277&lt;&gt;""), R2277-K2277, "")</f>
        <v/>
      </c>
      <c r="T2277" s="78" t="n"/>
      <c r="U2277" s="92">
        <f>IF(ISBLANK(P2277),"",IF(C2277="Buy",Q2277-M2277+T2277, IF(C2277="Sell",M2277-Q2277-T2277, X)))</f>
        <v/>
      </c>
      <c r="V2277" s="81">
        <f>IF(ISBLANK(P2277),"",U2277/N2277)</f>
        <v/>
      </c>
      <c r="W2277" s="81">
        <f>IF(ISBLANK(P2277),"",IF(S2277=0,(365/0.5)*V2277,(365/S2277)*V2277))</f>
        <v/>
      </c>
      <c r="X2277" s="75" t="n"/>
      <c r="Y2277" s="77" t="n"/>
      <c r="Z2277" s="77" t="n"/>
      <c r="AA2277" s="75" t="n"/>
      <c r="AB2277" s="75" t="n"/>
      <c r="AC2277" s="6" t="n"/>
      <c r="AD2277" s="75" t="n"/>
      <c r="AE2277" s="75" t="n"/>
      <c r="AF2277" s="75" t="n"/>
    </row>
    <row r="2278" ht="15.75" customHeight="1" s="133">
      <c r="A2278" s="75" t="n"/>
      <c r="B2278" s="75" t="n"/>
      <c r="C2278" s="75" t="n"/>
      <c r="D2278" s="75" t="n"/>
      <c r="E2278" s="76" t="n"/>
      <c r="F2278" s="77" t="n"/>
      <c r="G2278" s="75" t="n"/>
      <c r="H2278" s="75">
        <f>IF(ISBLANK(E2278),"",IF(OR(D2278="Butterfly",D2278="Butterfly ",D2278="Iron Fly", D2278="Iron Fly "),LEN(E2278)-LEN(SUBSTITUTE(E2278,"/",""))+2,LEN(E2278)-LEN(SUBSTITUTE(E2278,"/",""))+1))</f>
        <v/>
      </c>
      <c r="I2278" s="78">
        <f>IF(ISBLANK(G2278),"",IF(D2278="Stock","0",Key!$A$3*H2278*G2278))</f>
        <v/>
      </c>
      <c r="J2278" s="78">
        <f>IF(ISBLANK(E2278),"",IF(ISNUMBER(SEARCH("/",E2278)), IF(LEN(E2278)-LEN(SUBSTITUTE(E2278,"/",""))=1,(RIGHT(E2278,LEN(E2278)-FIND("/",E2278)))-(LEFT(E2278,FIND("/",E2278)-1)),(MID(E2278, SEARCH("/",E2278) + 1, SEARCH("/",E2278, SEARCH("/",E2278)+1) - SEARCH("/",E2278) - 1))-(LEFT(E2278,FIND("/",E2278)-1))), "NA"))</f>
        <v/>
      </c>
      <c r="K2278" s="79">
        <f>IF(A2278&lt;&gt;"", IF(ISBLANK(L2278), TODAY(), K2278), "")</f>
        <v/>
      </c>
      <c r="L2278" s="78" t="n"/>
      <c r="M2278" s="78">
        <f>IF(ISBLANK(L2278),"",IF(D2278="Stock",IF(C2278="Buy",L2278*G2278,IF(C2278="Sell",(L2278*G2278)-I2278, X)),IF(C2278="Buy",(L2278*G2278*100)+I2278,IF(C2278="Sell",(L2278*G2278*100)-I2278, X))))</f>
        <v/>
      </c>
      <c r="N2278" s="78">
        <f>IF(ISBLANK(L2278),"",IF(AND(C2278="Sell",D2278="Stock"),M2278,IF(ISBLANK(L2278),"",IF(C2278="Buy",M2278, IF(AND(C2278="Sell",J2278="NA"),(E2278*G2278*100*0.1)+I2278, IF(C2278="Sell",(J2278-L2278)*(100*G2278)+I2278))))))</f>
        <v/>
      </c>
      <c r="O2278" s="75" t="n"/>
      <c r="P2278" s="75" t="n"/>
      <c r="Q2278" s="75">
        <f>IF(ISBLANK(P2278),"",IF(D2278="Stock",P2278*G2278,IF(P2278=0,"0",G2278*P2278*100-(G2278*$AF$14))))</f>
        <v/>
      </c>
      <c r="R2278" s="79">
        <f>IF(P2278&lt;&gt;"", TODAY(), "")</f>
        <v/>
      </c>
      <c r="S2278" s="78">
        <f>IF(AND(K2278&lt;&gt;"", R2278&lt;&gt;""), R2278-K2278, "")</f>
        <v/>
      </c>
      <c r="T2278" s="78" t="n"/>
      <c r="U2278" s="92">
        <f>IF(ISBLANK(P2278),"",IF(C2278="Buy",Q2278-M2278+T2278, IF(C2278="Sell",M2278-Q2278-T2278, X)))</f>
        <v/>
      </c>
      <c r="V2278" s="81">
        <f>IF(ISBLANK(P2278),"",U2278/N2278)</f>
        <v/>
      </c>
      <c r="W2278" s="81">
        <f>IF(ISBLANK(P2278),"",IF(S2278=0,(365/0.5)*V2278,(365/S2278)*V2278))</f>
        <v/>
      </c>
      <c r="X2278" s="75" t="n"/>
      <c r="Y2278" s="77" t="n"/>
      <c r="Z2278" s="77" t="n"/>
      <c r="AA2278" s="75" t="n"/>
      <c r="AB2278" s="75" t="n"/>
      <c r="AC2278" s="6" t="n"/>
      <c r="AD2278" s="75" t="n"/>
      <c r="AE2278" s="75" t="n"/>
      <c r="AF2278" s="75" t="n"/>
    </row>
    <row r="2279" ht="15.75" customHeight="1" s="133">
      <c r="A2279" s="75" t="n"/>
      <c r="B2279" s="75" t="n"/>
      <c r="C2279" s="75" t="n"/>
      <c r="D2279" s="75" t="n"/>
      <c r="E2279" s="76" t="n"/>
      <c r="F2279" s="77" t="n"/>
      <c r="G2279" s="75" t="n"/>
      <c r="H2279" s="75">
        <f>IF(ISBLANK(E2279),"",IF(OR(D2279="Butterfly",D2279="Butterfly ",D2279="Iron Fly", D2279="Iron Fly "),LEN(E2279)-LEN(SUBSTITUTE(E2279,"/",""))+2,LEN(E2279)-LEN(SUBSTITUTE(E2279,"/",""))+1))</f>
        <v/>
      </c>
      <c r="I2279" s="78">
        <f>IF(ISBLANK(G2279),"",IF(D2279="Stock","0",Key!$A$3*H2279*G2279))</f>
        <v/>
      </c>
      <c r="J2279" s="78">
        <f>IF(ISBLANK(E2279),"",IF(ISNUMBER(SEARCH("/",E2279)), IF(LEN(E2279)-LEN(SUBSTITUTE(E2279,"/",""))=1,(RIGHT(E2279,LEN(E2279)-FIND("/",E2279)))-(LEFT(E2279,FIND("/",E2279)-1)),(MID(E2279, SEARCH("/",E2279) + 1, SEARCH("/",E2279, SEARCH("/",E2279)+1) - SEARCH("/",E2279) - 1))-(LEFT(E2279,FIND("/",E2279)-1))), "NA"))</f>
        <v/>
      </c>
      <c r="K2279" s="79">
        <f>IF(A2279&lt;&gt;"", IF(ISBLANK(L2279), TODAY(), K2279), "")</f>
        <v/>
      </c>
      <c r="L2279" s="78" t="n"/>
      <c r="M2279" s="78">
        <f>IF(ISBLANK(L2279),"",IF(D2279="Stock",IF(C2279="Buy",L2279*G2279,IF(C2279="Sell",(L2279*G2279)-I2279, X)),IF(C2279="Buy",(L2279*G2279*100)+I2279,IF(C2279="Sell",(L2279*G2279*100)-I2279, X))))</f>
        <v/>
      </c>
      <c r="N2279" s="78">
        <f>IF(ISBLANK(L2279),"",IF(AND(C2279="Sell",D2279="Stock"),M2279,IF(ISBLANK(L2279),"",IF(C2279="Buy",M2279, IF(AND(C2279="Sell",J2279="NA"),(E2279*G2279*100*0.1)+I2279, IF(C2279="Sell",(J2279-L2279)*(100*G2279)+I2279))))))</f>
        <v/>
      </c>
      <c r="O2279" s="75" t="n"/>
      <c r="P2279" s="75" t="n"/>
      <c r="Q2279" s="75">
        <f>IF(ISBLANK(P2279),"",IF(D2279="Stock",P2279*G2279,IF(P2279=0,"0",G2279*P2279*100-(G2279*$AF$14))))</f>
        <v/>
      </c>
      <c r="R2279" s="79">
        <f>IF(P2279&lt;&gt;"", TODAY(), "")</f>
        <v/>
      </c>
      <c r="S2279" s="78">
        <f>IF(AND(K2279&lt;&gt;"", R2279&lt;&gt;""), R2279-K2279, "")</f>
        <v/>
      </c>
      <c r="T2279" s="78" t="n"/>
      <c r="U2279" s="92">
        <f>IF(ISBLANK(P2279),"",IF(C2279="Buy",Q2279-M2279+T2279, IF(C2279="Sell",M2279-Q2279-T2279, X)))</f>
        <v/>
      </c>
      <c r="V2279" s="81">
        <f>IF(ISBLANK(P2279),"",U2279/N2279)</f>
        <v/>
      </c>
      <c r="W2279" s="81">
        <f>IF(ISBLANK(P2279),"",IF(S2279=0,(365/0.5)*V2279,(365/S2279)*V2279))</f>
        <v/>
      </c>
      <c r="X2279" s="75" t="n"/>
      <c r="Y2279" s="77" t="n"/>
      <c r="Z2279" s="77" t="n"/>
      <c r="AA2279" s="75" t="n"/>
      <c r="AB2279" s="75" t="n"/>
      <c r="AC2279" s="6" t="n"/>
      <c r="AD2279" s="75" t="n"/>
      <c r="AE2279" s="75" t="n"/>
      <c r="AF2279" s="75" t="n"/>
    </row>
    <row r="2280" ht="15.75" customHeight="1" s="133">
      <c r="A2280" s="75" t="n"/>
      <c r="B2280" s="75" t="n"/>
      <c r="C2280" s="75" t="n"/>
      <c r="D2280" s="75" t="n"/>
      <c r="E2280" s="76" t="n"/>
      <c r="F2280" s="77" t="n"/>
      <c r="G2280" s="75" t="n"/>
      <c r="H2280" s="75">
        <f>IF(ISBLANK(E2280),"",IF(OR(D2280="Butterfly",D2280="Butterfly ",D2280="Iron Fly", D2280="Iron Fly "),LEN(E2280)-LEN(SUBSTITUTE(E2280,"/",""))+2,LEN(E2280)-LEN(SUBSTITUTE(E2280,"/",""))+1))</f>
        <v/>
      </c>
      <c r="I2280" s="78">
        <f>IF(ISBLANK(G2280),"",IF(D2280="Stock","0",Key!$A$3*H2280*G2280))</f>
        <v/>
      </c>
      <c r="J2280" s="78">
        <f>IF(ISBLANK(E2280),"",IF(ISNUMBER(SEARCH("/",E2280)), IF(LEN(E2280)-LEN(SUBSTITUTE(E2280,"/",""))=1,(RIGHT(E2280,LEN(E2280)-FIND("/",E2280)))-(LEFT(E2280,FIND("/",E2280)-1)),(MID(E2280, SEARCH("/",E2280) + 1, SEARCH("/",E2280, SEARCH("/",E2280)+1) - SEARCH("/",E2280) - 1))-(LEFT(E2280,FIND("/",E2280)-1))), "NA"))</f>
        <v/>
      </c>
      <c r="K2280" s="79">
        <f>IF(A2280&lt;&gt;"", IF(ISBLANK(L2280), TODAY(), K2280), "")</f>
        <v/>
      </c>
      <c r="L2280" s="78" t="n"/>
      <c r="M2280" s="78">
        <f>IF(ISBLANK(L2280),"",IF(D2280="Stock",IF(C2280="Buy",L2280*G2280,IF(C2280="Sell",(L2280*G2280)-I2280, X)),IF(C2280="Buy",(L2280*G2280*100)+I2280,IF(C2280="Sell",(L2280*G2280*100)-I2280, X))))</f>
        <v/>
      </c>
      <c r="N2280" s="78">
        <f>IF(ISBLANK(L2280),"",IF(AND(C2280="Sell",D2280="Stock"),M2280,IF(ISBLANK(L2280),"",IF(C2280="Buy",M2280, IF(AND(C2280="Sell",J2280="NA"),(E2280*G2280*100*0.1)+I2280, IF(C2280="Sell",(J2280-L2280)*(100*G2280)+I2280))))))</f>
        <v/>
      </c>
      <c r="O2280" s="75" t="n"/>
      <c r="P2280" s="75" t="n"/>
      <c r="Q2280" s="75">
        <f>IF(ISBLANK(P2280),"",IF(D2280="Stock",P2280*G2280,IF(P2280=0,"0",G2280*P2280*100-(G2280*$AF$14))))</f>
        <v/>
      </c>
      <c r="R2280" s="79">
        <f>IF(P2280&lt;&gt;"", TODAY(), "")</f>
        <v/>
      </c>
      <c r="S2280" s="78">
        <f>IF(AND(K2280&lt;&gt;"", R2280&lt;&gt;""), R2280-K2280, "")</f>
        <v/>
      </c>
      <c r="T2280" s="78" t="n"/>
      <c r="U2280" s="92">
        <f>IF(ISBLANK(P2280),"",IF(C2280="Buy",Q2280-M2280+T2280, IF(C2280="Sell",M2280-Q2280-T2280, X)))</f>
        <v/>
      </c>
      <c r="V2280" s="81">
        <f>IF(ISBLANK(P2280),"",U2280/N2280)</f>
        <v/>
      </c>
      <c r="W2280" s="81">
        <f>IF(ISBLANK(P2280),"",IF(S2280=0,(365/0.5)*V2280,(365/S2280)*V2280))</f>
        <v/>
      </c>
      <c r="X2280" s="75" t="n"/>
      <c r="Y2280" s="77" t="n"/>
      <c r="Z2280" s="77" t="n"/>
      <c r="AA2280" s="75" t="n"/>
      <c r="AB2280" s="75" t="n"/>
      <c r="AC2280" s="6" t="n"/>
      <c r="AD2280" s="75" t="n"/>
      <c r="AE2280" s="75" t="n"/>
      <c r="AF2280" s="75" t="n"/>
    </row>
    <row r="2281" ht="15.75" customHeight="1" s="133">
      <c r="A2281" s="75" t="n"/>
      <c r="B2281" s="75" t="n"/>
      <c r="C2281" s="75" t="n"/>
      <c r="D2281" s="75" t="n"/>
      <c r="E2281" s="76" t="n"/>
      <c r="F2281" s="77" t="n"/>
      <c r="G2281" s="75" t="n"/>
      <c r="H2281" s="75">
        <f>IF(ISBLANK(E2281),"",IF(OR(D2281="Butterfly",D2281="Butterfly ",D2281="Iron Fly", D2281="Iron Fly "),LEN(E2281)-LEN(SUBSTITUTE(E2281,"/",""))+2,LEN(E2281)-LEN(SUBSTITUTE(E2281,"/",""))+1))</f>
        <v/>
      </c>
      <c r="I2281" s="78">
        <f>IF(ISBLANK(G2281),"",IF(D2281="Stock","0",Key!$A$3*H2281*G2281))</f>
        <v/>
      </c>
      <c r="J2281" s="78">
        <f>IF(ISBLANK(E2281),"",IF(ISNUMBER(SEARCH("/",E2281)), IF(LEN(E2281)-LEN(SUBSTITUTE(E2281,"/",""))=1,(RIGHT(E2281,LEN(E2281)-FIND("/",E2281)))-(LEFT(E2281,FIND("/",E2281)-1)),(MID(E2281, SEARCH("/",E2281) + 1, SEARCH("/",E2281, SEARCH("/",E2281)+1) - SEARCH("/",E2281) - 1))-(LEFT(E2281,FIND("/",E2281)-1))), "NA"))</f>
        <v/>
      </c>
      <c r="K2281" s="79">
        <f>IF(A2281&lt;&gt;"", IF(ISBLANK(L2281), TODAY(), K2281), "")</f>
        <v/>
      </c>
      <c r="L2281" s="78" t="n"/>
      <c r="M2281" s="78">
        <f>IF(ISBLANK(L2281),"",IF(D2281="Stock",IF(C2281="Buy",L2281*G2281,IF(C2281="Sell",(L2281*G2281)-I2281, X)),IF(C2281="Buy",(L2281*G2281*100)+I2281,IF(C2281="Sell",(L2281*G2281*100)-I2281, X))))</f>
        <v/>
      </c>
      <c r="N2281" s="78">
        <f>IF(ISBLANK(L2281),"",IF(AND(C2281="Sell",D2281="Stock"),M2281,IF(ISBLANK(L2281),"",IF(C2281="Buy",M2281, IF(AND(C2281="Sell",J2281="NA"),(E2281*G2281*100*0.1)+I2281, IF(C2281="Sell",(J2281-L2281)*(100*G2281)+I2281))))))</f>
        <v/>
      </c>
      <c r="O2281" s="75" t="n"/>
      <c r="P2281" s="75" t="n"/>
      <c r="Q2281" s="75">
        <f>IF(ISBLANK(P2281),"",IF(D2281="Stock",P2281*G2281,IF(P2281=0,"0",G2281*P2281*100-(G2281*$AF$14))))</f>
        <v/>
      </c>
      <c r="R2281" s="79">
        <f>IF(P2281&lt;&gt;"", TODAY(), "")</f>
        <v/>
      </c>
      <c r="S2281" s="78">
        <f>IF(AND(K2281&lt;&gt;"", R2281&lt;&gt;""), R2281-K2281, "")</f>
        <v/>
      </c>
      <c r="T2281" s="78" t="n"/>
      <c r="U2281" s="92">
        <f>IF(ISBLANK(P2281),"",IF(C2281="Buy",Q2281-M2281+T2281, IF(C2281="Sell",M2281-Q2281-T2281, X)))</f>
        <v/>
      </c>
      <c r="V2281" s="81">
        <f>IF(ISBLANK(P2281),"",U2281/N2281)</f>
        <v/>
      </c>
      <c r="W2281" s="81">
        <f>IF(ISBLANK(P2281),"",IF(S2281=0,(365/0.5)*V2281,(365/S2281)*V2281))</f>
        <v/>
      </c>
      <c r="X2281" s="75" t="n"/>
      <c r="Y2281" s="77" t="n"/>
      <c r="Z2281" s="77" t="n"/>
      <c r="AA2281" s="75" t="n"/>
      <c r="AB2281" s="75" t="n"/>
      <c r="AC2281" s="6" t="n"/>
      <c r="AD2281" s="75" t="n"/>
      <c r="AE2281" s="75" t="n"/>
      <c r="AF2281" s="75" t="n"/>
    </row>
    <row r="2282" ht="15.75" customHeight="1" s="133">
      <c r="A2282" s="75" t="n"/>
      <c r="B2282" s="75" t="n"/>
      <c r="C2282" s="75" t="n"/>
      <c r="D2282" s="75" t="n"/>
      <c r="E2282" s="76" t="n"/>
      <c r="F2282" s="77" t="n"/>
      <c r="G2282" s="75" t="n"/>
      <c r="H2282" s="75">
        <f>IF(ISBLANK(E2282),"",IF(OR(D2282="Butterfly",D2282="Butterfly ",D2282="Iron Fly", D2282="Iron Fly "),LEN(E2282)-LEN(SUBSTITUTE(E2282,"/",""))+2,LEN(E2282)-LEN(SUBSTITUTE(E2282,"/",""))+1))</f>
        <v/>
      </c>
      <c r="I2282" s="78">
        <f>IF(ISBLANK(G2282),"",IF(D2282="Stock","0",Key!$A$3*H2282*G2282))</f>
        <v/>
      </c>
      <c r="J2282" s="78">
        <f>IF(ISBLANK(E2282),"",IF(ISNUMBER(SEARCH("/",E2282)), IF(LEN(E2282)-LEN(SUBSTITUTE(E2282,"/",""))=1,(RIGHT(E2282,LEN(E2282)-FIND("/",E2282)))-(LEFT(E2282,FIND("/",E2282)-1)),(MID(E2282, SEARCH("/",E2282) + 1, SEARCH("/",E2282, SEARCH("/",E2282)+1) - SEARCH("/",E2282) - 1))-(LEFT(E2282,FIND("/",E2282)-1))), "NA"))</f>
        <v/>
      </c>
      <c r="K2282" s="79">
        <f>IF(A2282&lt;&gt;"", IF(ISBLANK(L2282), TODAY(), K2282), "")</f>
        <v/>
      </c>
      <c r="L2282" s="78" t="n"/>
      <c r="M2282" s="78">
        <f>IF(ISBLANK(L2282),"",IF(D2282="Stock",IF(C2282="Buy",L2282*G2282,IF(C2282="Sell",(L2282*G2282)-I2282, X)),IF(C2282="Buy",(L2282*G2282*100)+I2282,IF(C2282="Sell",(L2282*G2282*100)-I2282, X))))</f>
        <v/>
      </c>
      <c r="N2282" s="78">
        <f>IF(ISBLANK(L2282),"",IF(AND(C2282="Sell",D2282="Stock"),M2282,IF(ISBLANK(L2282),"",IF(C2282="Buy",M2282, IF(AND(C2282="Sell",J2282="NA"),(E2282*G2282*100*0.1)+I2282, IF(C2282="Sell",(J2282-L2282)*(100*G2282)+I2282))))))</f>
        <v/>
      </c>
      <c r="O2282" s="75" t="n"/>
      <c r="P2282" s="75" t="n"/>
      <c r="Q2282" s="75">
        <f>IF(ISBLANK(P2282),"",IF(D2282="Stock",P2282*G2282,IF(P2282=0,"0",G2282*P2282*100-(G2282*$AF$14))))</f>
        <v/>
      </c>
      <c r="R2282" s="79">
        <f>IF(P2282&lt;&gt;"", TODAY(), "")</f>
        <v/>
      </c>
      <c r="S2282" s="78">
        <f>IF(AND(K2282&lt;&gt;"", R2282&lt;&gt;""), R2282-K2282, "")</f>
        <v/>
      </c>
      <c r="T2282" s="78" t="n"/>
      <c r="U2282" s="92">
        <f>IF(ISBLANK(P2282),"",IF(C2282="Buy",Q2282-M2282+T2282, IF(C2282="Sell",M2282-Q2282-T2282, X)))</f>
        <v/>
      </c>
      <c r="V2282" s="81">
        <f>IF(ISBLANK(P2282),"",U2282/N2282)</f>
        <v/>
      </c>
      <c r="W2282" s="81">
        <f>IF(ISBLANK(P2282),"",IF(S2282=0,(365/0.5)*V2282,(365/S2282)*V2282))</f>
        <v/>
      </c>
      <c r="X2282" s="75" t="n"/>
      <c r="Y2282" s="77" t="n"/>
      <c r="Z2282" s="77" t="n"/>
      <c r="AA2282" s="75" t="n"/>
      <c r="AB2282" s="75" t="n"/>
      <c r="AC2282" s="6" t="n"/>
      <c r="AD2282" s="75" t="n"/>
      <c r="AE2282" s="75" t="n"/>
      <c r="AF2282" s="75" t="n"/>
    </row>
    <row r="2283" ht="15.75" customHeight="1" s="133">
      <c r="A2283" s="75" t="n"/>
      <c r="B2283" s="75" t="n"/>
      <c r="C2283" s="75" t="n"/>
      <c r="D2283" s="75" t="n"/>
      <c r="E2283" s="76" t="n"/>
      <c r="F2283" s="77" t="n"/>
      <c r="G2283" s="75" t="n"/>
      <c r="H2283" s="75">
        <f>IF(ISBLANK(E2283),"",IF(OR(D2283="Butterfly",D2283="Butterfly ",D2283="Iron Fly", D2283="Iron Fly "),LEN(E2283)-LEN(SUBSTITUTE(E2283,"/",""))+2,LEN(E2283)-LEN(SUBSTITUTE(E2283,"/",""))+1))</f>
        <v/>
      </c>
      <c r="I2283" s="78">
        <f>IF(ISBLANK(G2283),"",IF(D2283="Stock","0",Key!$A$3*H2283*G2283))</f>
        <v/>
      </c>
      <c r="J2283" s="78">
        <f>IF(ISBLANK(E2283),"",IF(ISNUMBER(SEARCH("/",E2283)), IF(LEN(E2283)-LEN(SUBSTITUTE(E2283,"/",""))=1,(RIGHT(E2283,LEN(E2283)-FIND("/",E2283)))-(LEFT(E2283,FIND("/",E2283)-1)),(MID(E2283, SEARCH("/",E2283) + 1, SEARCH("/",E2283, SEARCH("/",E2283)+1) - SEARCH("/",E2283) - 1))-(LEFT(E2283,FIND("/",E2283)-1))), "NA"))</f>
        <v/>
      </c>
      <c r="K2283" s="79">
        <f>IF(A2283&lt;&gt;"", IF(ISBLANK(L2283), TODAY(), K2283), "")</f>
        <v/>
      </c>
      <c r="L2283" s="78" t="n"/>
      <c r="M2283" s="78">
        <f>IF(ISBLANK(L2283),"",IF(D2283="Stock",IF(C2283="Buy",L2283*G2283,IF(C2283="Sell",(L2283*G2283)-I2283, X)),IF(C2283="Buy",(L2283*G2283*100)+I2283,IF(C2283="Sell",(L2283*G2283*100)-I2283, X))))</f>
        <v/>
      </c>
      <c r="N2283" s="78">
        <f>IF(ISBLANK(L2283),"",IF(AND(C2283="Sell",D2283="Stock"),M2283,IF(ISBLANK(L2283),"",IF(C2283="Buy",M2283, IF(AND(C2283="Sell",J2283="NA"),(E2283*G2283*100*0.1)+I2283, IF(C2283="Sell",(J2283-L2283)*(100*G2283)+I2283))))))</f>
        <v/>
      </c>
      <c r="O2283" s="75" t="n"/>
      <c r="P2283" s="75" t="n"/>
      <c r="Q2283" s="75">
        <f>IF(ISBLANK(P2283),"",IF(D2283="Stock",P2283*G2283,IF(P2283=0,"0",G2283*P2283*100-(G2283*$AF$14))))</f>
        <v/>
      </c>
      <c r="R2283" s="79">
        <f>IF(P2283&lt;&gt;"", TODAY(), "")</f>
        <v/>
      </c>
      <c r="S2283" s="78">
        <f>IF(AND(K2283&lt;&gt;"", R2283&lt;&gt;""), R2283-K2283, "")</f>
        <v/>
      </c>
      <c r="T2283" s="78" t="n"/>
      <c r="U2283" s="92">
        <f>IF(ISBLANK(P2283),"",IF(C2283="Buy",Q2283-M2283+T2283, IF(C2283="Sell",M2283-Q2283-T2283, X)))</f>
        <v/>
      </c>
      <c r="V2283" s="81">
        <f>IF(ISBLANK(P2283),"",U2283/N2283)</f>
        <v/>
      </c>
      <c r="W2283" s="81">
        <f>IF(ISBLANK(P2283),"",IF(S2283=0,(365/0.5)*V2283,(365/S2283)*V2283))</f>
        <v/>
      </c>
      <c r="X2283" s="75" t="n"/>
      <c r="Y2283" s="77" t="n"/>
      <c r="Z2283" s="77" t="n"/>
      <c r="AA2283" s="75" t="n"/>
      <c r="AB2283" s="75" t="n"/>
      <c r="AC2283" s="6" t="n"/>
      <c r="AD2283" s="75" t="n"/>
      <c r="AE2283" s="75" t="n"/>
      <c r="AF2283" s="75" t="n"/>
    </row>
    <row r="2284" ht="15.75" customHeight="1" s="133">
      <c r="A2284" s="75" t="n"/>
      <c r="B2284" s="75" t="n"/>
      <c r="C2284" s="75" t="n"/>
      <c r="D2284" s="75" t="n"/>
      <c r="E2284" s="76" t="n"/>
      <c r="F2284" s="77" t="n"/>
      <c r="G2284" s="75" t="n"/>
      <c r="H2284" s="75">
        <f>IF(ISBLANK(E2284),"",IF(OR(D2284="Butterfly",D2284="Butterfly ",D2284="Iron Fly", D2284="Iron Fly "),LEN(E2284)-LEN(SUBSTITUTE(E2284,"/",""))+2,LEN(E2284)-LEN(SUBSTITUTE(E2284,"/",""))+1))</f>
        <v/>
      </c>
      <c r="I2284" s="78">
        <f>IF(ISBLANK(G2284),"",IF(D2284="Stock","0",Key!$A$3*H2284*G2284))</f>
        <v/>
      </c>
      <c r="J2284" s="78">
        <f>IF(ISBLANK(E2284),"",IF(ISNUMBER(SEARCH("/",E2284)), IF(LEN(E2284)-LEN(SUBSTITUTE(E2284,"/",""))=1,(RIGHT(E2284,LEN(E2284)-FIND("/",E2284)))-(LEFT(E2284,FIND("/",E2284)-1)),(MID(E2284, SEARCH("/",E2284) + 1, SEARCH("/",E2284, SEARCH("/",E2284)+1) - SEARCH("/",E2284) - 1))-(LEFT(E2284,FIND("/",E2284)-1))), "NA"))</f>
        <v/>
      </c>
      <c r="K2284" s="79">
        <f>IF(A2284&lt;&gt;"", IF(ISBLANK(L2284), TODAY(), K2284), "")</f>
        <v/>
      </c>
      <c r="L2284" s="78" t="n"/>
      <c r="M2284" s="78">
        <f>IF(ISBLANK(L2284),"",IF(D2284="Stock",IF(C2284="Buy",L2284*G2284,IF(C2284="Sell",(L2284*G2284)-I2284, X)),IF(C2284="Buy",(L2284*G2284*100)+I2284,IF(C2284="Sell",(L2284*G2284*100)-I2284, X))))</f>
        <v/>
      </c>
      <c r="N2284" s="78">
        <f>IF(ISBLANK(L2284),"",IF(AND(C2284="Sell",D2284="Stock"),M2284,IF(ISBLANK(L2284),"",IF(C2284="Buy",M2284, IF(AND(C2284="Sell",J2284="NA"),(E2284*G2284*100*0.1)+I2284, IF(C2284="Sell",(J2284-L2284)*(100*G2284)+I2284))))))</f>
        <v/>
      </c>
      <c r="O2284" s="75" t="n"/>
      <c r="P2284" s="75" t="n"/>
      <c r="Q2284" s="75">
        <f>IF(ISBLANK(P2284),"",IF(D2284="Stock",P2284*G2284,IF(P2284=0,"0",G2284*P2284*100-(G2284*$AF$14))))</f>
        <v/>
      </c>
      <c r="R2284" s="79">
        <f>IF(P2284&lt;&gt;"", TODAY(), "")</f>
        <v/>
      </c>
      <c r="S2284" s="78">
        <f>IF(AND(K2284&lt;&gt;"", R2284&lt;&gt;""), R2284-K2284, "")</f>
        <v/>
      </c>
      <c r="T2284" s="78" t="n"/>
      <c r="U2284" s="92">
        <f>IF(ISBLANK(P2284),"",IF(C2284="Buy",Q2284-M2284+T2284, IF(C2284="Sell",M2284-Q2284-T2284, X)))</f>
        <v/>
      </c>
      <c r="V2284" s="81">
        <f>IF(ISBLANK(P2284),"",U2284/N2284)</f>
        <v/>
      </c>
      <c r="W2284" s="81">
        <f>IF(ISBLANK(P2284),"",IF(S2284=0,(365/0.5)*V2284,(365/S2284)*V2284))</f>
        <v/>
      </c>
      <c r="X2284" s="75" t="n"/>
      <c r="Y2284" s="77" t="n"/>
      <c r="Z2284" s="77" t="n"/>
      <c r="AA2284" s="75" t="n"/>
      <c r="AB2284" s="75" t="n"/>
      <c r="AC2284" s="6" t="n"/>
      <c r="AD2284" s="75" t="n"/>
      <c r="AE2284" s="75" t="n"/>
      <c r="AF2284" s="75" t="n"/>
    </row>
    <row r="2285" ht="15.75" customHeight="1" s="133">
      <c r="A2285" s="75" t="n"/>
      <c r="B2285" s="75" t="n"/>
      <c r="C2285" s="75" t="n"/>
      <c r="D2285" s="75" t="n"/>
      <c r="E2285" s="76" t="n"/>
      <c r="F2285" s="77" t="n"/>
      <c r="G2285" s="75" t="n"/>
      <c r="H2285" s="75">
        <f>IF(ISBLANK(E2285),"",IF(OR(D2285="Butterfly",D2285="Butterfly ",D2285="Iron Fly", D2285="Iron Fly "),LEN(E2285)-LEN(SUBSTITUTE(E2285,"/",""))+2,LEN(E2285)-LEN(SUBSTITUTE(E2285,"/",""))+1))</f>
        <v/>
      </c>
      <c r="I2285" s="78">
        <f>IF(ISBLANK(G2285),"",IF(D2285="Stock","0",Key!$A$3*H2285*G2285))</f>
        <v/>
      </c>
      <c r="J2285" s="78">
        <f>IF(ISBLANK(E2285),"",IF(ISNUMBER(SEARCH("/",E2285)), IF(LEN(E2285)-LEN(SUBSTITUTE(E2285,"/",""))=1,(RIGHT(E2285,LEN(E2285)-FIND("/",E2285)))-(LEFT(E2285,FIND("/",E2285)-1)),(MID(E2285, SEARCH("/",E2285) + 1, SEARCH("/",E2285, SEARCH("/",E2285)+1) - SEARCH("/",E2285) - 1))-(LEFT(E2285,FIND("/",E2285)-1))), "NA"))</f>
        <v/>
      </c>
      <c r="K2285" s="79">
        <f>IF(A2285&lt;&gt;"", IF(ISBLANK(L2285), TODAY(), K2285), "")</f>
        <v/>
      </c>
      <c r="L2285" s="78" t="n"/>
      <c r="M2285" s="78">
        <f>IF(ISBLANK(L2285),"",IF(D2285="Stock",IF(C2285="Buy",L2285*G2285,IF(C2285="Sell",(L2285*G2285)-I2285, X)),IF(C2285="Buy",(L2285*G2285*100)+I2285,IF(C2285="Sell",(L2285*G2285*100)-I2285, X))))</f>
        <v/>
      </c>
      <c r="N2285" s="78">
        <f>IF(ISBLANK(L2285),"",IF(AND(C2285="Sell",D2285="Stock"),M2285,IF(ISBLANK(L2285),"",IF(C2285="Buy",M2285, IF(AND(C2285="Sell",J2285="NA"),(E2285*G2285*100*0.1)+I2285, IF(C2285="Sell",(J2285-L2285)*(100*G2285)+I2285))))))</f>
        <v/>
      </c>
      <c r="O2285" s="75" t="n"/>
      <c r="P2285" s="75" t="n"/>
      <c r="Q2285" s="75">
        <f>IF(ISBLANK(P2285),"",IF(D2285="Stock",P2285*G2285,IF(P2285=0,"0",G2285*P2285*100-(G2285*$AF$14))))</f>
        <v/>
      </c>
      <c r="R2285" s="79">
        <f>IF(P2285&lt;&gt;"", TODAY(), "")</f>
        <v/>
      </c>
      <c r="S2285" s="78">
        <f>IF(AND(K2285&lt;&gt;"", R2285&lt;&gt;""), R2285-K2285, "")</f>
        <v/>
      </c>
      <c r="T2285" s="78" t="n"/>
      <c r="U2285" s="92">
        <f>IF(ISBLANK(P2285),"",IF(C2285="Buy",Q2285-M2285+T2285, IF(C2285="Sell",M2285-Q2285-T2285, X)))</f>
        <v/>
      </c>
      <c r="V2285" s="81">
        <f>IF(ISBLANK(P2285),"",U2285/N2285)</f>
        <v/>
      </c>
      <c r="W2285" s="81">
        <f>IF(ISBLANK(P2285),"",IF(S2285=0,(365/0.5)*V2285,(365/S2285)*V2285))</f>
        <v/>
      </c>
      <c r="X2285" s="75" t="n"/>
      <c r="Y2285" s="77" t="n"/>
      <c r="Z2285" s="77" t="n"/>
      <c r="AA2285" s="75" t="n"/>
      <c r="AB2285" s="75" t="n"/>
      <c r="AC2285" s="6" t="n"/>
      <c r="AD2285" s="75" t="n"/>
      <c r="AE2285" s="75" t="n"/>
      <c r="AF2285" s="75" t="n"/>
    </row>
    <row r="2286" ht="15.75" customHeight="1" s="133">
      <c r="A2286" s="75" t="n"/>
      <c r="B2286" s="75" t="n"/>
      <c r="C2286" s="75" t="n"/>
      <c r="D2286" s="75" t="n"/>
      <c r="E2286" s="76" t="n"/>
      <c r="F2286" s="77" t="n"/>
      <c r="G2286" s="75" t="n"/>
      <c r="H2286" s="75">
        <f>IF(ISBLANK(E2286),"",IF(OR(D2286="Butterfly",D2286="Butterfly ",D2286="Iron Fly", D2286="Iron Fly "),LEN(E2286)-LEN(SUBSTITUTE(E2286,"/",""))+2,LEN(E2286)-LEN(SUBSTITUTE(E2286,"/",""))+1))</f>
        <v/>
      </c>
      <c r="I2286" s="78">
        <f>IF(ISBLANK(G2286),"",IF(D2286="Stock","0",Key!$A$3*H2286*G2286))</f>
        <v/>
      </c>
      <c r="J2286" s="78">
        <f>IF(ISBLANK(E2286),"",IF(ISNUMBER(SEARCH("/",E2286)), IF(LEN(E2286)-LEN(SUBSTITUTE(E2286,"/",""))=1,(RIGHT(E2286,LEN(E2286)-FIND("/",E2286)))-(LEFT(E2286,FIND("/",E2286)-1)),(MID(E2286, SEARCH("/",E2286) + 1, SEARCH("/",E2286, SEARCH("/",E2286)+1) - SEARCH("/",E2286) - 1))-(LEFT(E2286,FIND("/",E2286)-1))), "NA"))</f>
        <v/>
      </c>
      <c r="K2286" s="79">
        <f>IF(A2286&lt;&gt;"", IF(ISBLANK(L2286), TODAY(), K2286), "")</f>
        <v/>
      </c>
      <c r="L2286" s="78" t="n"/>
      <c r="M2286" s="78">
        <f>IF(ISBLANK(L2286),"",IF(D2286="Stock",IF(C2286="Buy",L2286*G2286,IF(C2286="Sell",(L2286*G2286)-I2286, X)),IF(C2286="Buy",(L2286*G2286*100)+I2286,IF(C2286="Sell",(L2286*G2286*100)-I2286, X))))</f>
        <v/>
      </c>
      <c r="N2286" s="78">
        <f>IF(ISBLANK(L2286),"",IF(AND(C2286="Sell",D2286="Stock"),M2286,IF(ISBLANK(L2286),"",IF(C2286="Buy",M2286, IF(AND(C2286="Sell",J2286="NA"),(E2286*G2286*100*0.1)+I2286, IF(C2286="Sell",(J2286-L2286)*(100*G2286)+I2286))))))</f>
        <v/>
      </c>
      <c r="O2286" s="75" t="n"/>
      <c r="P2286" s="75" t="n"/>
      <c r="Q2286" s="75">
        <f>IF(ISBLANK(P2286),"",IF(D2286="Stock",P2286*G2286,IF(P2286=0,"0",G2286*P2286*100-(G2286*$AF$14))))</f>
        <v/>
      </c>
      <c r="R2286" s="79">
        <f>IF(P2286&lt;&gt;"", TODAY(), "")</f>
        <v/>
      </c>
      <c r="S2286" s="78">
        <f>IF(AND(K2286&lt;&gt;"", R2286&lt;&gt;""), R2286-K2286, "")</f>
        <v/>
      </c>
      <c r="T2286" s="78" t="n"/>
      <c r="U2286" s="92">
        <f>IF(ISBLANK(P2286),"",IF(C2286="Buy",Q2286-M2286+T2286, IF(C2286="Sell",M2286-Q2286-T2286, X)))</f>
        <v/>
      </c>
      <c r="V2286" s="81">
        <f>IF(ISBLANK(P2286),"",U2286/N2286)</f>
        <v/>
      </c>
      <c r="W2286" s="81">
        <f>IF(ISBLANK(P2286),"",IF(S2286=0,(365/0.5)*V2286,(365/S2286)*V2286))</f>
        <v/>
      </c>
      <c r="X2286" s="75" t="n"/>
      <c r="Y2286" s="77" t="n"/>
      <c r="Z2286" s="77" t="n"/>
      <c r="AA2286" s="75" t="n"/>
      <c r="AB2286" s="75" t="n"/>
      <c r="AC2286" s="6" t="n"/>
      <c r="AD2286" s="75" t="n"/>
      <c r="AE2286" s="75" t="n"/>
      <c r="AF2286" s="75" t="n"/>
    </row>
    <row r="2287" ht="15.75" customHeight="1" s="133">
      <c r="A2287" s="75" t="n"/>
      <c r="B2287" s="75" t="n"/>
      <c r="C2287" s="75" t="n"/>
      <c r="D2287" s="75" t="n"/>
      <c r="E2287" s="76" t="n"/>
      <c r="F2287" s="77" t="n"/>
      <c r="G2287" s="75" t="n"/>
      <c r="H2287" s="75">
        <f>IF(ISBLANK(E2287),"",IF(OR(D2287="Butterfly",D2287="Butterfly ",D2287="Iron Fly", D2287="Iron Fly "),LEN(E2287)-LEN(SUBSTITUTE(E2287,"/",""))+2,LEN(E2287)-LEN(SUBSTITUTE(E2287,"/",""))+1))</f>
        <v/>
      </c>
      <c r="I2287" s="78">
        <f>IF(ISBLANK(G2287),"",IF(D2287="Stock","0",Key!$A$3*H2287*G2287))</f>
        <v/>
      </c>
      <c r="J2287" s="78">
        <f>IF(ISBLANK(E2287),"",IF(ISNUMBER(SEARCH("/",E2287)), IF(LEN(E2287)-LEN(SUBSTITUTE(E2287,"/",""))=1,(RIGHT(E2287,LEN(E2287)-FIND("/",E2287)))-(LEFT(E2287,FIND("/",E2287)-1)),(MID(E2287, SEARCH("/",E2287) + 1, SEARCH("/",E2287, SEARCH("/",E2287)+1) - SEARCH("/",E2287) - 1))-(LEFT(E2287,FIND("/",E2287)-1))), "NA"))</f>
        <v/>
      </c>
      <c r="K2287" s="79">
        <f>IF(A2287&lt;&gt;"", IF(ISBLANK(L2287), TODAY(), K2287), "")</f>
        <v/>
      </c>
      <c r="L2287" s="78" t="n"/>
      <c r="M2287" s="78">
        <f>IF(ISBLANK(L2287),"",IF(D2287="Stock",IF(C2287="Buy",L2287*G2287,IF(C2287="Sell",(L2287*G2287)-I2287, X)),IF(C2287="Buy",(L2287*G2287*100)+I2287,IF(C2287="Sell",(L2287*G2287*100)-I2287, X))))</f>
        <v/>
      </c>
      <c r="N2287" s="78">
        <f>IF(ISBLANK(L2287),"",IF(AND(C2287="Sell",D2287="Stock"),M2287,IF(ISBLANK(L2287),"",IF(C2287="Buy",M2287, IF(AND(C2287="Sell",J2287="NA"),(E2287*G2287*100*0.1)+I2287, IF(C2287="Sell",(J2287-L2287)*(100*G2287)+I2287))))))</f>
        <v/>
      </c>
      <c r="O2287" s="75" t="n"/>
      <c r="P2287" s="75" t="n"/>
      <c r="Q2287" s="75">
        <f>IF(ISBLANK(P2287),"",IF(D2287="Stock",P2287*G2287,IF(P2287=0,"0",G2287*P2287*100-(G2287*$AF$14))))</f>
        <v/>
      </c>
      <c r="R2287" s="79">
        <f>IF(P2287&lt;&gt;"", TODAY(), "")</f>
        <v/>
      </c>
      <c r="S2287" s="78">
        <f>IF(AND(K2287&lt;&gt;"", R2287&lt;&gt;""), R2287-K2287, "")</f>
        <v/>
      </c>
      <c r="T2287" s="78" t="n"/>
      <c r="U2287" s="92">
        <f>IF(ISBLANK(P2287),"",IF(C2287="Buy",Q2287-M2287+T2287, IF(C2287="Sell",M2287-Q2287-T2287, X)))</f>
        <v/>
      </c>
      <c r="V2287" s="81">
        <f>IF(ISBLANK(P2287),"",U2287/N2287)</f>
        <v/>
      </c>
      <c r="W2287" s="81">
        <f>IF(ISBLANK(P2287),"",IF(S2287=0,(365/0.5)*V2287,(365/S2287)*V2287))</f>
        <v/>
      </c>
      <c r="X2287" s="75" t="n"/>
      <c r="Y2287" s="77" t="n"/>
      <c r="Z2287" s="77" t="n"/>
      <c r="AA2287" s="75" t="n"/>
      <c r="AB2287" s="75" t="n"/>
      <c r="AC2287" s="6" t="n"/>
      <c r="AD2287" s="75" t="n"/>
      <c r="AE2287" s="75" t="n"/>
      <c r="AF2287" s="75" t="n"/>
    </row>
    <row r="2288" ht="15.75" customHeight="1" s="133">
      <c r="A2288" s="75" t="n"/>
      <c r="B2288" s="75" t="n"/>
      <c r="C2288" s="75" t="n"/>
      <c r="D2288" s="75" t="n"/>
      <c r="E2288" s="76" t="n"/>
      <c r="F2288" s="77" t="n"/>
      <c r="G2288" s="75" t="n"/>
      <c r="H2288" s="75">
        <f>IF(ISBLANK(E2288),"",IF(OR(D2288="Butterfly",D2288="Butterfly ",D2288="Iron Fly", D2288="Iron Fly "),LEN(E2288)-LEN(SUBSTITUTE(E2288,"/",""))+2,LEN(E2288)-LEN(SUBSTITUTE(E2288,"/",""))+1))</f>
        <v/>
      </c>
      <c r="I2288" s="78">
        <f>IF(ISBLANK(G2288),"",IF(D2288="Stock","0",Key!$A$3*H2288*G2288))</f>
        <v/>
      </c>
      <c r="J2288" s="78">
        <f>IF(ISBLANK(E2288),"",IF(ISNUMBER(SEARCH("/",E2288)), IF(LEN(E2288)-LEN(SUBSTITUTE(E2288,"/",""))=1,(RIGHT(E2288,LEN(E2288)-FIND("/",E2288)))-(LEFT(E2288,FIND("/",E2288)-1)),(MID(E2288, SEARCH("/",E2288) + 1, SEARCH("/",E2288, SEARCH("/",E2288)+1) - SEARCH("/",E2288) - 1))-(LEFT(E2288,FIND("/",E2288)-1))), "NA"))</f>
        <v/>
      </c>
      <c r="K2288" s="79">
        <f>IF(A2288&lt;&gt;"", IF(ISBLANK(L2288), TODAY(), K2288), "")</f>
        <v/>
      </c>
      <c r="L2288" s="78" t="n"/>
      <c r="M2288" s="78">
        <f>IF(ISBLANK(L2288),"",IF(D2288="Stock",IF(C2288="Buy",L2288*G2288,IF(C2288="Sell",(L2288*G2288)-I2288, X)),IF(C2288="Buy",(L2288*G2288*100)+I2288,IF(C2288="Sell",(L2288*G2288*100)-I2288, X))))</f>
        <v/>
      </c>
      <c r="N2288" s="78">
        <f>IF(ISBLANK(L2288),"",IF(AND(C2288="Sell",D2288="Stock"),M2288,IF(ISBLANK(L2288),"",IF(C2288="Buy",M2288, IF(AND(C2288="Sell",J2288="NA"),(E2288*G2288*100*0.1)+I2288, IF(C2288="Sell",(J2288-L2288)*(100*G2288)+I2288))))))</f>
        <v/>
      </c>
      <c r="O2288" s="75" t="n"/>
      <c r="P2288" s="75" t="n"/>
      <c r="Q2288" s="75">
        <f>IF(ISBLANK(P2288),"",IF(D2288="Stock",P2288*G2288,IF(P2288=0,"0",G2288*P2288*100-(G2288*$AF$14))))</f>
        <v/>
      </c>
      <c r="R2288" s="79">
        <f>IF(P2288&lt;&gt;"", TODAY(), "")</f>
        <v/>
      </c>
      <c r="S2288" s="78">
        <f>IF(AND(K2288&lt;&gt;"", R2288&lt;&gt;""), R2288-K2288, "")</f>
        <v/>
      </c>
      <c r="T2288" s="78" t="n"/>
      <c r="U2288" s="92">
        <f>IF(ISBLANK(P2288),"",IF(C2288="Buy",Q2288-M2288+T2288, IF(C2288="Sell",M2288-Q2288-T2288, X)))</f>
        <v/>
      </c>
      <c r="V2288" s="81">
        <f>IF(ISBLANK(P2288),"",U2288/N2288)</f>
        <v/>
      </c>
      <c r="W2288" s="81">
        <f>IF(ISBLANK(P2288),"",IF(S2288=0,(365/0.5)*V2288,(365/S2288)*V2288))</f>
        <v/>
      </c>
      <c r="X2288" s="75" t="n"/>
      <c r="Y2288" s="77" t="n"/>
      <c r="Z2288" s="77" t="n"/>
      <c r="AA2288" s="75" t="n"/>
      <c r="AB2288" s="75" t="n"/>
      <c r="AC2288" s="6" t="n"/>
      <c r="AD2288" s="75" t="n"/>
      <c r="AE2288" s="75" t="n"/>
      <c r="AF2288" s="75" t="n"/>
    </row>
    <row r="2289" ht="15.75" customHeight="1" s="133">
      <c r="A2289" s="75" t="n"/>
      <c r="B2289" s="75" t="n"/>
      <c r="C2289" s="75" t="n"/>
      <c r="D2289" s="75" t="n"/>
      <c r="E2289" s="76" t="n"/>
      <c r="F2289" s="77" t="n"/>
      <c r="G2289" s="75" t="n"/>
      <c r="H2289" s="75">
        <f>IF(ISBLANK(E2289),"",IF(OR(D2289="Butterfly",D2289="Butterfly ",D2289="Iron Fly", D2289="Iron Fly "),LEN(E2289)-LEN(SUBSTITUTE(E2289,"/",""))+2,LEN(E2289)-LEN(SUBSTITUTE(E2289,"/",""))+1))</f>
        <v/>
      </c>
      <c r="I2289" s="78">
        <f>IF(ISBLANK(G2289),"",IF(D2289="Stock","0",Key!$A$3*H2289*G2289))</f>
        <v/>
      </c>
      <c r="J2289" s="78">
        <f>IF(ISBLANK(E2289),"",IF(ISNUMBER(SEARCH("/",E2289)), IF(LEN(E2289)-LEN(SUBSTITUTE(E2289,"/",""))=1,(RIGHT(E2289,LEN(E2289)-FIND("/",E2289)))-(LEFT(E2289,FIND("/",E2289)-1)),(MID(E2289, SEARCH("/",E2289) + 1, SEARCH("/",E2289, SEARCH("/",E2289)+1) - SEARCH("/",E2289) - 1))-(LEFT(E2289,FIND("/",E2289)-1))), "NA"))</f>
        <v/>
      </c>
      <c r="K2289" s="79">
        <f>IF(A2289&lt;&gt;"", IF(ISBLANK(L2289), TODAY(), K2289), "")</f>
        <v/>
      </c>
      <c r="L2289" s="78" t="n"/>
      <c r="M2289" s="78">
        <f>IF(ISBLANK(L2289),"",IF(D2289="Stock",IF(C2289="Buy",L2289*G2289,IF(C2289="Sell",(L2289*G2289)-I2289, X)),IF(C2289="Buy",(L2289*G2289*100)+I2289,IF(C2289="Sell",(L2289*G2289*100)-I2289, X))))</f>
        <v/>
      </c>
      <c r="N2289" s="78">
        <f>IF(ISBLANK(L2289),"",IF(AND(C2289="Sell",D2289="Stock"),M2289,IF(ISBLANK(L2289),"",IF(C2289="Buy",M2289, IF(AND(C2289="Sell",J2289="NA"),(E2289*G2289*100*0.1)+I2289, IF(C2289="Sell",(J2289-L2289)*(100*G2289)+I2289))))))</f>
        <v/>
      </c>
      <c r="O2289" s="75" t="n"/>
      <c r="P2289" s="75" t="n"/>
      <c r="Q2289" s="75">
        <f>IF(ISBLANK(P2289),"",IF(D2289="Stock",P2289*G2289,IF(P2289=0,"0",G2289*P2289*100-(G2289*$AF$14))))</f>
        <v/>
      </c>
      <c r="R2289" s="79">
        <f>IF(P2289&lt;&gt;"", TODAY(), "")</f>
        <v/>
      </c>
      <c r="S2289" s="78">
        <f>IF(AND(K2289&lt;&gt;"", R2289&lt;&gt;""), R2289-K2289, "")</f>
        <v/>
      </c>
      <c r="T2289" s="78" t="n"/>
      <c r="U2289" s="92">
        <f>IF(ISBLANK(P2289),"",IF(C2289="Buy",Q2289-M2289+T2289, IF(C2289="Sell",M2289-Q2289-T2289, X)))</f>
        <v/>
      </c>
      <c r="V2289" s="81">
        <f>IF(ISBLANK(P2289),"",U2289/N2289)</f>
        <v/>
      </c>
      <c r="W2289" s="81">
        <f>IF(ISBLANK(P2289),"",IF(S2289=0,(365/0.5)*V2289,(365/S2289)*V2289))</f>
        <v/>
      </c>
      <c r="X2289" s="75" t="n"/>
      <c r="Y2289" s="77" t="n"/>
      <c r="Z2289" s="77" t="n"/>
      <c r="AA2289" s="75" t="n"/>
      <c r="AB2289" s="75" t="n"/>
      <c r="AC2289" s="6" t="n"/>
      <c r="AD2289" s="75" t="n"/>
      <c r="AE2289" s="75" t="n"/>
      <c r="AF2289" s="75" t="n"/>
    </row>
    <row r="2290" ht="15.75" customHeight="1" s="133">
      <c r="A2290" s="75" t="n"/>
      <c r="B2290" s="75" t="n"/>
      <c r="C2290" s="75" t="n"/>
      <c r="D2290" s="75" t="n"/>
      <c r="E2290" s="76" t="n"/>
      <c r="F2290" s="77" t="n"/>
      <c r="G2290" s="75" t="n"/>
      <c r="H2290" s="75">
        <f>IF(ISBLANK(E2290),"",IF(OR(D2290="Butterfly",D2290="Butterfly ",D2290="Iron Fly", D2290="Iron Fly "),LEN(E2290)-LEN(SUBSTITUTE(E2290,"/",""))+2,LEN(E2290)-LEN(SUBSTITUTE(E2290,"/",""))+1))</f>
        <v/>
      </c>
      <c r="I2290" s="78">
        <f>IF(ISBLANK(G2290),"",IF(D2290="Stock","0",Key!$A$3*H2290*G2290))</f>
        <v/>
      </c>
      <c r="J2290" s="78">
        <f>IF(ISBLANK(E2290),"",IF(ISNUMBER(SEARCH("/",E2290)), IF(LEN(E2290)-LEN(SUBSTITUTE(E2290,"/",""))=1,(RIGHT(E2290,LEN(E2290)-FIND("/",E2290)))-(LEFT(E2290,FIND("/",E2290)-1)),(MID(E2290, SEARCH("/",E2290) + 1, SEARCH("/",E2290, SEARCH("/",E2290)+1) - SEARCH("/",E2290) - 1))-(LEFT(E2290,FIND("/",E2290)-1))), "NA"))</f>
        <v/>
      </c>
      <c r="K2290" s="79">
        <f>IF(A2290&lt;&gt;"", IF(ISBLANK(L2290), TODAY(), K2290), "")</f>
        <v/>
      </c>
      <c r="L2290" s="78" t="n"/>
      <c r="M2290" s="78">
        <f>IF(ISBLANK(L2290),"",IF(D2290="Stock",IF(C2290="Buy",L2290*G2290,IF(C2290="Sell",(L2290*G2290)-I2290, X)),IF(C2290="Buy",(L2290*G2290*100)+I2290,IF(C2290="Sell",(L2290*G2290*100)-I2290, X))))</f>
        <v/>
      </c>
      <c r="N2290" s="78">
        <f>IF(ISBLANK(L2290),"",IF(AND(C2290="Sell",D2290="Stock"),M2290,IF(ISBLANK(L2290),"",IF(C2290="Buy",M2290, IF(AND(C2290="Sell",J2290="NA"),(E2290*G2290*100*0.1)+I2290, IF(C2290="Sell",(J2290-L2290)*(100*G2290)+I2290))))))</f>
        <v/>
      </c>
      <c r="O2290" s="75" t="n"/>
      <c r="P2290" s="75" t="n"/>
      <c r="Q2290" s="75">
        <f>IF(ISBLANK(P2290),"",IF(D2290="Stock",P2290*G2290,IF(P2290=0,"0",G2290*P2290*100-(G2290*$AF$14))))</f>
        <v/>
      </c>
      <c r="R2290" s="79">
        <f>IF(P2290&lt;&gt;"", TODAY(), "")</f>
        <v/>
      </c>
      <c r="S2290" s="78">
        <f>IF(AND(K2290&lt;&gt;"", R2290&lt;&gt;""), R2290-K2290, "")</f>
        <v/>
      </c>
      <c r="T2290" s="78" t="n"/>
      <c r="U2290" s="92">
        <f>IF(ISBLANK(P2290),"",IF(C2290="Buy",Q2290-M2290+T2290, IF(C2290="Sell",M2290-Q2290-T2290, X)))</f>
        <v/>
      </c>
      <c r="V2290" s="81">
        <f>IF(ISBLANK(P2290),"",U2290/N2290)</f>
        <v/>
      </c>
      <c r="W2290" s="81">
        <f>IF(ISBLANK(P2290),"",IF(S2290=0,(365/0.5)*V2290,(365/S2290)*V2290))</f>
        <v/>
      </c>
      <c r="X2290" s="75" t="n"/>
      <c r="Y2290" s="77" t="n"/>
      <c r="Z2290" s="77" t="n"/>
      <c r="AA2290" s="75" t="n"/>
      <c r="AB2290" s="75" t="n"/>
      <c r="AC2290" s="6" t="n"/>
      <c r="AD2290" s="75" t="n"/>
      <c r="AE2290" s="75" t="n"/>
      <c r="AF2290" s="75" t="n"/>
    </row>
    <row r="2291" ht="15.75" customHeight="1" s="133">
      <c r="A2291" s="75" t="n"/>
      <c r="B2291" s="75" t="n"/>
      <c r="C2291" s="75" t="n"/>
      <c r="D2291" s="75" t="n"/>
      <c r="E2291" s="76" t="n"/>
      <c r="F2291" s="77" t="n"/>
      <c r="G2291" s="75" t="n"/>
      <c r="H2291" s="75">
        <f>IF(ISBLANK(E2291),"",IF(OR(D2291="Butterfly",D2291="Butterfly ",D2291="Iron Fly", D2291="Iron Fly "),LEN(E2291)-LEN(SUBSTITUTE(E2291,"/",""))+2,LEN(E2291)-LEN(SUBSTITUTE(E2291,"/",""))+1))</f>
        <v/>
      </c>
      <c r="I2291" s="78">
        <f>IF(ISBLANK(G2291),"",IF(D2291="Stock","0",Key!$A$3*H2291*G2291))</f>
        <v/>
      </c>
      <c r="J2291" s="78">
        <f>IF(ISBLANK(E2291),"",IF(ISNUMBER(SEARCH("/",E2291)), IF(LEN(E2291)-LEN(SUBSTITUTE(E2291,"/",""))=1,(RIGHT(E2291,LEN(E2291)-FIND("/",E2291)))-(LEFT(E2291,FIND("/",E2291)-1)),(MID(E2291, SEARCH("/",E2291) + 1, SEARCH("/",E2291, SEARCH("/",E2291)+1) - SEARCH("/",E2291) - 1))-(LEFT(E2291,FIND("/",E2291)-1))), "NA"))</f>
        <v/>
      </c>
      <c r="K2291" s="79">
        <f>IF(A2291&lt;&gt;"", IF(ISBLANK(L2291), TODAY(), K2291), "")</f>
        <v/>
      </c>
      <c r="L2291" s="78" t="n"/>
      <c r="M2291" s="78">
        <f>IF(ISBLANK(L2291),"",IF(D2291="Stock",IF(C2291="Buy",L2291*G2291,IF(C2291="Sell",(L2291*G2291)-I2291, X)),IF(C2291="Buy",(L2291*G2291*100)+I2291,IF(C2291="Sell",(L2291*G2291*100)-I2291, X))))</f>
        <v/>
      </c>
      <c r="N2291" s="78">
        <f>IF(ISBLANK(L2291),"",IF(AND(C2291="Sell",D2291="Stock"),M2291,IF(ISBLANK(L2291),"",IF(C2291="Buy",M2291, IF(AND(C2291="Sell",J2291="NA"),(E2291*G2291*100*0.1)+I2291, IF(C2291="Sell",(J2291-L2291)*(100*G2291)+I2291))))))</f>
        <v/>
      </c>
      <c r="O2291" s="75" t="n"/>
      <c r="P2291" s="75" t="n"/>
      <c r="Q2291" s="75">
        <f>IF(ISBLANK(P2291),"",IF(D2291="Stock",P2291*G2291,IF(P2291=0,"0",G2291*P2291*100-(G2291*$AF$14))))</f>
        <v/>
      </c>
      <c r="R2291" s="79">
        <f>IF(P2291&lt;&gt;"", TODAY(), "")</f>
        <v/>
      </c>
      <c r="S2291" s="78">
        <f>IF(AND(K2291&lt;&gt;"", R2291&lt;&gt;""), R2291-K2291, "")</f>
        <v/>
      </c>
      <c r="T2291" s="78" t="n"/>
      <c r="U2291" s="92">
        <f>IF(ISBLANK(P2291),"",IF(C2291="Buy",Q2291-M2291+T2291, IF(C2291="Sell",M2291-Q2291-T2291, X)))</f>
        <v/>
      </c>
      <c r="V2291" s="81">
        <f>IF(ISBLANK(P2291),"",U2291/N2291)</f>
        <v/>
      </c>
      <c r="W2291" s="81">
        <f>IF(ISBLANK(P2291),"",IF(S2291=0,(365/0.5)*V2291,(365/S2291)*V2291))</f>
        <v/>
      </c>
      <c r="X2291" s="75" t="n"/>
      <c r="Y2291" s="77" t="n"/>
      <c r="Z2291" s="77" t="n"/>
      <c r="AA2291" s="75" t="n"/>
      <c r="AB2291" s="75" t="n"/>
      <c r="AC2291" s="6" t="n"/>
      <c r="AD2291" s="75" t="n"/>
      <c r="AE2291" s="75" t="n"/>
      <c r="AF2291" s="75" t="n"/>
    </row>
    <row r="2292" ht="15.75" customHeight="1" s="133">
      <c r="A2292" s="75" t="n"/>
      <c r="B2292" s="75" t="n"/>
      <c r="C2292" s="75" t="n"/>
      <c r="D2292" s="75" t="n"/>
      <c r="E2292" s="76" t="n"/>
      <c r="F2292" s="77" t="n"/>
      <c r="G2292" s="75" t="n"/>
      <c r="H2292" s="75">
        <f>IF(ISBLANK(E2292),"",IF(OR(D2292="Butterfly",D2292="Butterfly ",D2292="Iron Fly", D2292="Iron Fly "),LEN(E2292)-LEN(SUBSTITUTE(E2292,"/",""))+2,LEN(E2292)-LEN(SUBSTITUTE(E2292,"/",""))+1))</f>
        <v/>
      </c>
      <c r="I2292" s="78">
        <f>IF(ISBLANK(G2292),"",IF(D2292="Stock","0",Key!$A$3*H2292*G2292))</f>
        <v/>
      </c>
      <c r="J2292" s="78">
        <f>IF(ISBLANK(E2292),"",IF(ISNUMBER(SEARCH("/",E2292)), IF(LEN(E2292)-LEN(SUBSTITUTE(E2292,"/",""))=1,(RIGHT(E2292,LEN(E2292)-FIND("/",E2292)))-(LEFT(E2292,FIND("/",E2292)-1)),(MID(E2292, SEARCH("/",E2292) + 1, SEARCH("/",E2292, SEARCH("/",E2292)+1) - SEARCH("/",E2292) - 1))-(LEFT(E2292,FIND("/",E2292)-1))), "NA"))</f>
        <v/>
      </c>
      <c r="K2292" s="79">
        <f>IF(A2292&lt;&gt;"", IF(ISBLANK(L2292), TODAY(), K2292), "")</f>
        <v/>
      </c>
      <c r="L2292" s="78" t="n"/>
      <c r="M2292" s="78">
        <f>IF(ISBLANK(L2292),"",IF(D2292="Stock",IF(C2292="Buy",L2292*G2292,IF(C2292="Sell",(L2292*G2292)-I2292, X)),IF(C2292="Buy",(L2292*G2292*100)+I2292,IF(C2292="Sell",(L2292*G2292*100)-I2292, X))))</f>
        <v/>
      </c>
      <c r="N2292" s="78">
        <f>IF(ISBLANK(L2292),"",IF(AND(C2292="Sell",D2292="Stock"),M2292,IF(ISBLANK(L2292),"",IF(C2292="Buy",M2292, IF(AND(C2292="Sell",J2292="NA"),(E2292*G2292*100*0.1)+I2292, IF(C2292="Sell",(J2292-L2292)*(100*G2292)+I2292))))))</f>
        <v/>
      </c>
      <c r="O2292" s="75" t="n"/>
      <c r="P2292" s="75" t="n"/>
      <c r="Q2292" s="75">
        <f>IF(ISBLANK(P2292),"",IF(D2292="Stock",P2292*G2292,IF(P2292=0,"0",G2292*P2292*100-(G2292*$AF$14))))</f>
        <v/>
      </c>
      <c r="R2292" s="79">
        <f>IF(P2292&lt;&gt;"", TODAY(), "")</f>
        <v/>
      </c>
      <c r="S2292" s="78">
        <f>IF(AND(K2292&lt;&gt;"", R2292&lt;&gt;""), R2292-K2292, "")</f>
        <v/>
      </c>
      <c r="T2292" s="78" t="n"/>
      <c r="U2292" s="92">
        <f>IF(ISBLANK(P2292),"",IF(C2292="Buy",Q2292-M2292+T2292, IF(C2292="Sell",M2292-Q2292-T2292, X)))</f>
        <v/>
      </c>
      <c r="V2292" s="81">
        <f>IF(ISBLANK(P2292),"",U2292/N2292)</f>
        <v/>
      </c>
      <c r="W2292" s="81">
        <f>IF(ISBLANK(P2292),"",IF(S2292=0,(365/0.5)*V2292,(365/S2292)*V2292))</f>
        <v/>
      </c>
      <c r="X2292" s="75" t="n"/>
      <c r="Y2292" s="77" t="n"/>
      <c r="Z2292" s="77" t="n"/>
      <c r="AA2292" s="75" t="n"/>
      <c r="AB2292" s="75" t="n"/>
      <c r="AC2292" s="6" t="n"/>
      <c r="AD2292" s="75" t="n"/>
      <c r="AE2292" s="75" t="n"/>
      <c r="AF2292" s="75" t="n"/>
    </row>
    <row r="2293" ht="15.75" customHeight="1" s="133">
      <c r="A2293" s="75" t="n"/>
      <c r="B2293" s="75" t="n"/>
      <c r="C2293" s="75" t="n"/>
      <c r="D2293" s="75" t="n"/>
      <c r="E2293" s="76" t="n"/>
      <c r="F2293" s="77" t="n"/>
      <c r="G2293" s="75" t="n"/>
      <c r="H2293" s="75">
        <f>IF(ISBLANK(E2293),"",IF(OR(D2293="Butterfly",D2293="Butterfly ",D2293="Iron Fly", D2293="Iron Fly "),LEN(E2293)-LEN(SUBSTITUTE(E2293,"/",""))+2,LEN(E2293)-LEN(SUBSTITUTE(E2293,"/",""))+1))</f>
        <v/>
      </c>
      <c r="I2293" s="78">
        <f>IF(ISBLANK(G2293),"",IF(D2293="Stock","0",Key!$A$3*H2293*G2293))</f>
        <v/>
      </c>
      <c r="J2293" s="78">
        <f>IF(ISBLANK(E2293),"",IF(ISNUMBER(SEARCH("/",E2293)), IF(LEN(E2293)-LEN(SUBSTITUTE(E2293,"/",""))=1,(RIGHT(E2293,LEN(E2293)-FIND("/",E2293)))-(LEFT(E2293,FIND("/",E2293)-1)),(MID(E2293, SEARCH("/",E2293) + 1, SEARCH("/",E2293, SEARCH("/",E2293)+1) - SEARCH("/",E2293) - 1))-(LEFT(E2293,FIND("/",E2293)-1))), "NA"))</f>
        <v/>
      </c>
      <c r="K2293" s="79">
        <f>IF(A2293&lt;&gt;"", IF(ISBLANK(L2293), TODAY(), K2293), "")</f>
        <v/>
      </c>
      <c r="L2293" s="78" t="n"/>
      <c r="M2293" s="78">
        <f>IF(ISBLANK(L2293),"",IF(D2293="Stock",IF(C2293="Buy",L2293*G2293,IF(C2293="Sell",(L2293*G2293)-I2293, X)),IF(C2293="Buy",(L2293*G2293*100)+I2293,IF(C2293="Sell",(L2293*G2293*100)-I2293, X))))</f>
        <v/>
      </c>
      <c r="N2293" s="78">
        <f>IF(ISBLANK(L2293),"",IF(AND(C2293="Sell",D2293="Stock"),M2293,IF(ISBLANK(L2293),"",IF(C2293="Buy",M2293, IF(AND(C2293="Sell",J2293="NA"),(E2293*G2293*100*0.1)+I2293, IF(C2293="Sell",(J2293-L2293)*(100*G2293)+I2293))))))</f>
        <v/>
      </c>
      <c r="O2293" s="75" t="n"/>
      <c r="P2293" s="75" t="n"/>
      <c r="Q2293" s="75">
        <f>IF(ISBLANK(P2293),"",IF(D2293="Stock",P2293*G2293,IF(P2293=0,"0",G2293*P2293*100-(G2293*$AF$14))))</f>
        <v/>
      </c>
      <c r="R2293" s="79">
        <f>IF(P2293&lt;&gt;"", TODAY(), "")</f>
        <v/>
      </c>
      <c r="S2293" s="78">
        <f>IF(AND(K2293&lt;&gt;"", R2293&lt;&gt;""), R2293-K2293, "")</f>
        <v/>
      </c>
      <c r="T2293" s="78" t="n"/>
      <c r="U2293" s="92">
        <f>IF(ISBLANK(P2293),"",IF(C2293="Buy",Q2293-M2293+T2293, IF(C2293="Sell",M2293-Q2293-T2293, X)))</f>
        <v/>
      </c>
      <c r="V2293" s="81">
        <f>IF(ISBLANK(P2293),"",U2293/N2293)</f>
        <v/>
      </c>
      <c r="W2293" s="81">
        <f>IF(ISBLANK(P2293),"",IF(S2293=0,(365/0.5)*V2293,(365/S2293)*V2293))</f>
        <v/>
      </c>
      <c r="X2293" s="75" t="n"/>
      <c r="Y2293" s="77" t="n"/>
      <c r="Z2293" s="77" t="n"/>
      <c r="AA2293" s="75" t="n"/>
      <c r="AB2293" s="75" t="n"/>
      <c r="AC2293" s="6" t="n"/>
      <c r="AD2293" s="75" t="n"/>
      <c r="AE2293" s="75" t="n"/>
      <c r="AF2293" s="75" t="n"/>
    </row>
    <row r="2294" ht="15.75" customHeight="1" s="133">
      <c r="A2294" s="75" t="n"/>
      <c r="B2294" s="75" t="n"/>
      <c r="C2294" s="75" t="n"/>
      <c r="D2294" s="75" t="n"/>
      <c r="E2294" s="76" t="n"/>
      <c r="F2294" s="77" t="n"/>
      <c r="G2294" s="75" t="n"/>
      <c r="H2294" s="75">
        <f>IF(ISBLANK(E2294),"",IF(OR(D2294="Butterfly",D2294="Butterfly ",D2294="Iron Fly", D2294="Iron Fly "),LEN(E2294)-LEN(SUBSTITUTE(E2294,"/",""))+2,LEN(E2294)-LEN(SUBSTITUTE(E2294,"/",""))+1))</f>
        <v/>
      </c>
      <c r="I2294" s="78">
        <f>IF(ISBLANK(G2294),"",IF(D2294="Stock","0",Key!$A$3*H2294*G2294))</f>
        <v/>
      </c>
      <c r="J2294" s="78">
        <f>IF(ISBLANK(E2294),"",IF(ISNUMBER(SEARCH("/",E2294)), IF(LEN(E2294)-LEN(SUBSTITUTE(E2294,"/",""))=1,(RIGHT(E2294,LEN(E2294)-FIND("/",E2294)))-(LEFT(E2294,FIND("/",E2294)-1)),(MID(E2294, SEARCH("/",E2294) + 1, SEARCH("/",E2294, SEARCH("/",E2294)+1) - SEARCH("/",E2294) - 1))-(LEFT(E2294,FIND("/",E2294)-1))), "NA"))</f>
        <v/>
      </c>
      <c r="K2294" s="79">
        <f>IF(A2294&lt;&gt;"", IF(ISBLANK(L2294), TODAY(), K2294), "")</f>
        <v/>
      </c>
      <c r="L2294" s="78" t="n"/>
      <c r="M2294" s="78">
        <f>IF(ISBLANK(L2294),"",IF(D2294="Stock",IF(C2294="Buy",L2294*G2294,IF(C2294="Sell",(L2294*G2294)-I2294, X)),IF(C2294="Buy",(L2294*G2294*100)+I2294,IF(C2294="Sell",(L2294*G2294*100)-I2294, X))))</f>
        <v/>
      </c>
      <c r="N2294" s="78">
        <f>IF(ISBLANK(L2294),"",IF(AND(C2294="Sell",D2294="Stock"),M2294,IF(ISBLANK(L2294),"",IF(C2294="Buy",M2294, IF(AND(C2294="Sell",J2294="NA"),(E2294*G2294*100*0.1)+I2294, IF(C2294="Sell",(J2294-L2294)*(100*G2294)+I2294))))))</f>
        <v/>
      </c>
      <c r="O2294" s="75" t="n"/>
      <c r="P2294" s="75" t="n"/>
      <c r="Q2294" s="75">
        <f>IF(ISBLANK(P2294),"",IF(D2294="Stock",P2294*G2294,IF(P2294=0,"0",G2294*P2294*100-(G2294*$AF$14))))</f>
        <v/>
      </c>
      <c r="R2294" s="79">
        <f>IF(P2294&lt;&gt;"", TODAY(), "")</f>
        <v/>
      </c>
      <c r="S2294" s="78">
        <f>IF(AND(K2294&lt;&gt;"", R2294&lt;&gt;""), R2294-K2294, "")</f>
        <v/>
      </c>
      <c r="T2294" s="78" t="n"/>
      <c r="U2294" s="92">
        <f>IF(ISBLANK(P2294),"",IF(C2294="Buy",Q2294-M2294+T2294, IF(C2294="Sell",M2294-Q2294-T2294, X)))</f>
        <v/>
      </c>
      <c r="V2294" s="81">
        <f>IF(ISBLANK(P2294),"",U2294/N2294)</f>
        <v/>
      </c>
      <c r="W2294" s="81">
        <f>IF(ISBLANK(P2294),"",IF(S2294=0,(365/0.5)*V2294,(365/S2294)*V2294))</f>
        <v/>
      </c>
      <c r="X2294" s="75" t="n"/>
      <c r="Y2294" s="77" t="n"/>
      <c r="Z2294" s="77" t="n"/>
      <c r="AA2294" s="75" t="n"/>
      <c r="AB2294" s="75" t="n"/>
      <c r="AC2294" s="6" t="n"/>
      <c r="AD2294" s="75" t="n"/>
      <c r="AE2294" s="75" t="n"/>
      <c r="AF2294" s="75" t="n"/>
    </row>
    <row r="2295" ht="15.75" customHeight="1" s="133">
      <c r="A2295" s="75" t="n"/>
      <c r="B2295" s="75" t="n"/>
      <c r="C2295" s="75" t="n"/>
      <c r="D2295" s="75" t="n"/>
      <c r="E2295" s="76" t="n"/>
      <c r="F2295" s="77" t="n"/>
      <c r="G2295" s="75" t="n"/>
      <c r="H2295" s="75">
        <f>IF(ISBLANK(E2295),"",IF(OR(D2295="Butterfly",D2295="Butterfly ",D2295="Iron Fly", D2295="Iron Fly "),LEN(E2295)-LEN(SUBSTITUTE(E2295,"/",""))+2,LEN(E2295)-LEN(SUBSTITUTE(E2295,"/",""))+1))</f>
        <v/>
      </c>
      <c r="I2295" s="78">
        <f>IF(ISBLANK(G2295),"",IF(D2295="Stock","0",Key!$A$3*H2295*G2295))</f>
        <v/>
      </c>
      <c r="J2295" s="78">
        <f>IF(ISBLANK(E2295),"",IF(ISNUMBER(SEARCH("/",E2295)), IF(LEN(E2295)-LEN(SUBSTITUTE(E2295,"/",""))=1,(RIGHT(E2295,LEN(E2295)-FIND("/",E2295)))-(LEFT(E2295,FIND("/",E2295)-1)),(MID(E2295, SEARCH("/",E2295) + 1, SEARCH("/",E2295, SEARCH("/",E2295)+1) - SEARCH("/",E2295) - 1))-(LEFT(E2295,FIND("/",E2295)-1))), "NA"))</f>
        <v/>
      </c>
      <c r="K2295" s="79">
        <f>IF(A2295&lt;&gt;"", IF(ISBLANK(L2295), TODAY(), K2295), "")</f>
        <v/>
      </c>
      <c r="L2295" s="78" t="n"/>
      <c r="M2295" s="78">
        <f>IF(ISBLANK(L2295),"",IF(D2295="Stock",IF(C2295="Buy",L2295*G2295,IF(C2295="Sell",(L2295*G2295)-I2295, X)),IF(C2295="Buy",(L2295*G2295*100)+I2295,IF(C2295="Sell",(L2295*G2295*100)-I2295, X))))</f>
        <v/>
      </c>
      <c r="N2295" s="78">
        <f>IF(ISBLANK(L2295),"",IF(AND(C2295="Sell",D2295="Stock"),M2295,IF(ISBLANK(L2295),"",IF(C2295="Buy",M2295, IF(AND(C2295="Sell",J2295="NA"),(E2295*G2295*100*0.1)+I2295, IF(C2295="Sell",(J2295-L2295)*(100*G2295)+I2295))))))</f>
        <v/>
      </c>
      <c r="O2295" s="75" t="n"/>
      <c r="P2295" s="75" t="n"/>
      <c r="Q2295" s="75">
        <f>IF(ISBLANK(P2295),"",IF(D2295="Stock",P2295*G2295,IF(P2295=0,"0",G2295*P2295*100-(G2295*$AF$14))))</f>
        <v/>
      </c>
      <c r="R2295" s="79">
        <f>IF(P2295&lt;&gt;"", TODAY(), "")</f>
        <v/>
      </c>
      <c r="S2295" s="78">
        <f>IF(AND(K2295&lt;&gt;"", R2295&lt;&gt;""), R2295-K2295, "")</f>
        <v/>
      </c>
      <c r="T2295" s="78" t="n"/>
      <c r="U2295" s="92">
        <f>IF(ISBLANK(P2295),"",IF(C2295="Buy",Q2295-M2295+T2295, IF(C2295="Sell",M2295-Q2295-T2295, X)))</f>
        <v/>
      </c>
      <c r="V2295" s="81">
        <f>IF(ISBLANK(P2295),"",U2295/N2295)</f>
        <v/>
      </c>
      <c r="W2295" s="81">
        <f>IF(ISBLANK(P2295),"",IF(S2295=0,(365/0.5)*V2295,(365/S2295)*V2295))</f>
        <v/>
      </c>
      <c r="X2295" s="75" t="n"/>
      <c r="Y2295" s="77" t="n"/>
      <c r="Z2295" s="77" t="n"/>
      <c r="AA2295" s="75" t="n"/>
      <c r="AB2295" s="75" t="n"/>
      <c r="AC2295" s="6" t="n"/>
      <c r="AD2295" s="75" t="n"/>
      <c r="AE2295" s="75" t="n"/>
      <c r="AF2295" s="75" t="n"/>
    </row>
    <row r="2296" ht="15.75" customHeight="1" s="133">
      <c r="A2296" s="75" t="n"/>
      <c r="B2296" s="75" t="n"/>
      <c r="C2296" s="75" t="n"/>
      <c r="D2296" s="75" t="n"/>
      <c r="E2296" s="76" t="n"/>
      <c r="F2296" s="77" t="n"/>
      <c r="G2296" s="75" t="n"/>
      <c r="H2296" s="75">
        <f>IF(ISBLANK(E2296),"",IF(OR(D2296="Butterfly",D2296="Butterfly ",D2296="Iron Fly", D2296="Iron Fly "),LEN(E2296)-LEN(SUBSTITUTE(E2296,"/",""))+2,LEN(E2296)-LEN(SUBSTITUTE(E2296,"/",""))+1))</f>
        <v/>
      </c>
      <c r="I2296" s="78">
        <f>IF(ISBLANK(G2296),"",IF(D2296="Stock","0",Key!$A$3*H2296*G2296))</f>
        <v/>
      </c>
      <c r="J2296" s="78">
        <f>IF(ISBLANK(E2296),"",IF(ISNUMBER(SEARCH("/",E2296)), IF(LEN(E2296)-LEN(SUBSTITUTE(E2296,"/",""))=1,(RIGHT(E2296,LEN(E2296)-FIND("/",E2296)))-(LEFT(E2296,FIND("/",E2296)-1)),(MID(E2296, SEARCH("/",E2296) + 1, SEARCH("/",E2296, SEARCH("/",E2296)+1) - SEARCH("/",E2296) - 1))-(LEFT(E2296,FIND("/",E2296)-1))), "NA"))</f>
        <v/>
      </c>
      <c r="K2296" s="79">
        <f>IF(A2296&lt;&gt;"", IF(ISBLANK(L2296), TODAY(), K2296), "")</f>
        <v/>
      </c>
      <c r="L2296" s="78" t="n"/>
      <c r="M2296" s="78">
        <f>IF(ISBLANK(L2296),"",IF(D2296="Stock",IF(C2296="Buy",L2296*G2296,IF(C2296="Sell",(L2296*G2296)-I2296, X)),IF(C2296="Buy",(L2296*G2296*100)+I2296,IF(C2296="Sell",(L2296*G2296*100)-I2296, X))))</f>
        <v/>
      </c>
      <c r="N2296" s="78">
        <f>IF(ISBLANK(L2296),"",IF(AND(C2296="Sell",D2296="Stock"),M2296,IF(ISBLANK(L2296),"",IF(C2296="Buy",M2296, IF(AND(C2296="Sell",J2296="NA"),(E2296*G2296*100*0.1)+I2296, IF(C2296="Sell",(J2296-L2296)*(100*G2296)+I2296))))))</f>
        <v/>
      </c>
      <c r="O2296" s="75" t="n"/>
      <c r="P2296" s="75" t="n"/>
      <c r="Q2296" s="75">
        <f>IF(ISBLANK(P2296),"",IF(D2296="Stock",P2296*G2296,IF(P2296=0,"0",G2296*P2296*100-(G2296*$AF$14))))</f>
        <v/>
      </c>
      <c r="R2296" s="79">
        <f>IF(P2296&lt;&gt;"", TODAY(), "")</f>
        <v/>
      </c>
      <c r="S2296" s="78">
        <f>IF(AND(K2296&lt;&gt;"", R2296&lt;&gt;""), R2296-K2296, "")</f>
        <v/>
      </c>
      <c r="T2296" s="78" t="n"/>
      <c r="U2296" s="92">
        <f>IF(ISBLANK(P2296),"",IF(C2296="Buy",Q2296-M2296+T2296, IF(C2296="Sell",M2296-Q2296-T2296, X)))</f>
        <v/>
      </c>
      <c r="V2296" s="81">
        <f>IF(ISBLANK(P2296),"",U2296/N2296)</f>
        <v/>
      </c>
      <c r="W2296" s="81">
        <f>IF(ISBLANK(P2296),"",IF(S2296=0,(365/0.5)*V2296,(365/S2296)*V2296))</f>
        <v/>
      </c>
      <c r="X2296" s="75" t="n"/>
      <c r="Y2296" s="77" t="n"/>
      <c r="Z2296" s="77" t="n"/>
      <c r="AA2296" s="75" t="n"/>
      <c r="AB2296" s="75" t="n"/>
      <c r="AC2296" s="6" t="n"/>
      <c r="AD2296" s="75" t="n"/>
      <c r="AE2296" s="75" t="n"/>
      <c r="AF2296" s="75" t="n"/>
    </row>
    <row r="2297" ht="15.75" customHeight="1" s="133">
      <c r="A2297" s="75" t="n"/>
      <c r="B2297" s="75" t="n"/>
      <c r="C2297" s="75" t="n"/>
      <c r="D2297" s="75" t="n"/>
      <c r="E2297" s="76" t="n"/>
      <c r="F2297" s="77" t="n"/>
      <c r="G2297" s="75" t="n"/>
      <c r="H2297" s="75">
        <f>IF(ISBLANK(E2297),"",IF(OR(D2297="Butterfly",D2297="Butterfly ",D2297="Iron Fly", D2297="Iron Fly "),LEN(E2297)-LEN(SUBSTITUTE(E2297,"/",""))+2,LEN(E2297)-LEN(SUBSTITUTE(E2297,"/",""))+1))</f>
        <v/>
      </c>
      <c r="I2297" s="78">
        <f>IF(ISBLANK(G2297),"",IF(D2297="Stock","0",Key!$A$3*H2297*G2297))</f>
        <v/>
      </c>
      <c r="J2297" s="78">
        <f>IF(ISBLANK(E2297),"",IF(ISNUMBER(SEARCH("/",E2297)), IF(LEN(E2297)-LEN(SUBSTITUTE(E2297,"/",""))=1,(RIGHT(E2297,LEN(E2297)-FIND("/",E2297)))-(LEFT(E2297,FIND("/",E2297)-1)),(MID(E2297, SEARCH("/",E2297) + 1, SEARCH("/",E2297, SEARCH("/",E2297)+1) - SEARCH("/",E2297) - 1))-(LEFT(E2297,FIND("/",E2297)-1))), "NA"))</f>
        <v/>
      </c>
      <c r="K2297" s="79">
        <f>IF(A2297&lt;&gt;"", IF(ISBLANK(L2297), TODAY(), K2297), "")</f>
        <v/>
      </c>
      <c r="L2297" s="78" t="n"/>
      <c r="M2297" s="78">
        <f>IF(ISBLANK(L2297),"",IF(D2297="Stock",IF(C2297="Buy",L2297*G2297,IF(C2297="Sell",(L2297*G2297)-I2297, X)),IF(C2297="Buy",(L2297*G2297*100)+I2297,IF(C2297="Sell",(L2297*G2297*100)-I2297, X))))</f>
        <v/>
      </c>
      <c r="N2297" s="78">
        <f>IF(ISBLANK(L2297),"",IF(AND(C2297="Sell",D2297="Stock"),M2297,IF(ISBLANK(L2297),"",IF(C2297="Buy",M2297, IF(AND(C2297="Sell",J2297="NA"),(E2297*G2297*100*0.1)+I2297, IF(C2297="Sell",(J2297-L2297)*(100*G2297)+I2297))))))</f>
        <v/>
      </c>
      <c r="O2297" s="75" t="n"/>
      <c r="P2297" s="75" t="n"/>
      <c r="Q2297" s="75">
        <f>IF(ISBLANK(P2297),"",IF(D2297="Stock",P2297*G2297,IF(P2297=0,"0",G2297*P2297*100-(G2297*$AF$14))))</f>
        <v/>
      </c>
      <c r="R2297" s="79">
        <f>IF(P2297&lt;&gt;"", TODAY(), "")</f>
        <v/>
      </c>
      <c r="S2297" s="78">
        <f>IF(AND(K2297&lt;&gt;"", R2297&lt;&gt;""), R2297-K2297, "")</f>
        <v/>
      </c>
      <c r="T2297" s="78" t="n"/>
      <c r="U2297" s="92">
        <f>IF(ISBLANK(P2297),"",IF(C2297="Buy",Q2297-M2297+T2297, IF(C2297="Sell",M2297-Q2297-T2297, X)))</f>
        <v/>
      </c>
      <c r="V2297" s="81">
        <f>IF(ISBLANK(P2297),"",U2297/N2297)</f>
        <v/>
      </c>
      <c r="W2297" s="81">
        <f>IF(ISBLANK(P2297),"",IF(S2297=0,(365/0.5)*V2297,(365/S2297)*V2297))</f>
        <v/>
      </c>
      <c r="X2297" s="75" t="n"/>
      <c r="Y2297" s="77" t="n"/>
      <c r="Z2297" s="77" t="n"/>
      <c r="AA2297" s="75" t="n"/>
      <c r="AB2297" s="75" t="n"/>
      <c r="AC2297" s="6" t="n"/>
      <c r="AD2297" s="75" t="n"/>
      <c r="AE2297" s="75" t="n"/>
      <c r="AF2297" s="75" t="n"/>
    </row>
    <row r="2298" ht="15.75" customHeight="1" s="133">
      <c r="A2298" s="75" t="n"/>
      <c r="B2298" s="75" t="n"/>
      <c r="C2298" s="75" t="n"/>
      <c r="D2298" s="75" t="n"/>
      <c r="E2298" s="76" t="n"/>
      <c r="F2298" s="77" t="n"/>
      <c r="G2298" s="75" t="n"/>
      <c r="H2298" s="75">
        <f>IF(ISBLANK(E2298),"",IF(OR(D2298="Butterfly",D2298="Butterfly ",D2298="Iron Fly", D2298="Iron Fly "),LEN(E2298)-LEN(SUBSTITUTE(E2298,"/",""))+2,LEN(E2298)-LEN(SUBSTITUTE(E2298,"/",""))+1))</f>
        <v/>
      </c>
      <c r="I2298" s="78">
        <f>IF(ISBLANK(G2298),"",IF(D2298="Stock","0",Key!$A$3*H2298*G2298))</f>
        <v/>
      </c>
      <c r="J2298" s="78">
        <f>IF(ISBLANK(E2298),"",IF(ISNUMBER(SEARCH("/",E2298)), IF(LEN(E2298)-LEN(SUBSTITUTE(E2298,"/",""))=1,(RIGHT(E2298,LEN(E2298)-FIND("/",E2298)))-(LEFT(E2298,FIND("/",E2298)-1)),(MID(E2298, SEARCH("/",E2298) + 1, SEARCH("/",E2298, SEARCH("/",E2298)+1) - SEARCH("/",E2298) - 1))-(LEFT(E2298,FIND("/",E2298)-1))), "NA"))</f>
        <v/>
      </c>
      <c r="K2298" s="79">
        <f>IF(A2298&lt;&gt;"", IF(ISBLANK(L2298), TODAY(), K2298), "")</f>
        <v/>
      </c>
      <c r="L2298" s="78" t="n"/>
      <c r="M2298" s="78">
        <f>IF(ISBLANK(L2298),"",IF(D2298="Stock",IF(C2298="Buy",L2298*G2298,IF(C2298="Sell",(L2298*G2298)-I2298, X)),IF(C2298="Buy",(L2298*G2298*100)+I2298,IF(C2298="Sell",(L2298*G2298*100)-I2298, X))))</f>
        <v/>
      </c>
      <c r="N2298" s="78">
        <f>IF(ISBLANK(L2298),"",IF(AND(C2298="Sell",D2298="Stock"),M2298,IF(ISBLANK(L2298),"",IF(C2298="Buy",M2298, IF(AND(C2298="Sell",J2298="NA"),(E2298*G2298*100*0.1)+I2298, IF(C2298="Sell",(J2298-L2298)*(100*G2298)+I2298))))))</f>
        <v/>
      </c>
      <c r="O2298" s="75" t="n"/>
      <c r="P2298" s="75" t="n"/>
      <c r="Q2298" s="75">
        <f>IF(ISBLANK(P2298),"",IF(D2298="Stock",P2298*G2298,IF(P2298=0,"0",G2298*P2298*100-(G2298*$AF$14))))</f>
        <v/>
      </c>
      <c r="R2298" s="79">
        <f>IF(P2298&lt;&gt;"", TODAY(), "")</f>
        <v/>
      </c>
      <c r="S2298" s="78">
        <f>IF(AND(K2298&lt;&gt;"", R2298&lt;&gt;""), R2298-K2298, "")</f>
        <v/>
      </c>
      <c r="T2298" s="78" t="n"/>
      <c r="U2298" s="92">
        <f>IF(ISBLANK(P2298),"",IF(C2298="Buy",Q2298-M2298+T2298, IF(C2298="Sell",M2298-Q2298-T2298, X)))</f>
        <v/>
      </c>
      <c r="V2298" s="81">
        <f>IF(ISBLANK(P2298),"",U2298/N2298)</f>
        <v/>
      </c>
      <c r="W2298" s="81">
        <f>IF(ISBLANK(P2298),"",IF(S2298=0,(365/0.5)*V2298,(365/S2298)*V2298))</f>
        <v/>
      </c>
      <c r="X2298" s="75" t="n"/>
      <c r="Y2298" s="77" t="n"/>
      <c r="Z2298" s="77" t="n"/>
      <c r="AA2298" s="75" t="n"/>
      <c r="AB2298" s="75" t="n"/>
      <c r="AC2298" s="6" t="n"/>
      <c r="AD2298" s="75" t="n"/>
      <c r="AE2298" s="75" t="n"/>
      <c r="AF2298" s="75" t="n"/>
    </row>
    <row r="2299" ht="15.75" customHeight="1" s="133">
      <c r="A2299" s="75" t="n"/>
      <c r="B2299" s="75" t="n"/>
      <c r="C2299" s="75" t="n"/>
      <c r="D2299" s="75" t="n"/>
      <c r="E2299" s="76" t="n"/>
      <c r="F2299" s="77" t="n"/>
      <c r="G2299" s="75" t="n"/>
      <c r="H2299" s="75">
        <f>IF(ISBLANK(E2299),"",IF(OR(D2299="Butterfly",D2299="Butterfly ",D2299="Iron Fly", D2299="Iron Fly "),LEN(E2299)-LEN(SUBSTITUTE(E2299,"/",""))+2,LEN(E2299)-LEN(SUBSTITUTE(E2299,"/",""))+1))</f>
        <v/>
      </c>
      <c r="I2299" s="78">
        <f>IF(ISBLANK(G2299),"",IF(D2299="Stock","0",Key!$A$3*H2299*G2299))</f>
        <v/>
      </c>
      <c r="J2299" s="78">
        <f>IF(ISBLANK(E2299),"",IF(ISNUMBER(SEARCH("/",E2299)), IF(LEN(E2299)-LEN(SUBSTITUTE(E2299,"/",""))=1,(RIGHT(E2299,LEN(E2299)-FIND("/",E2299)))-(LEFT(E2299,FIND("/",E2299)-1)),(MID(E2299, SEARCH("/",E2299) + 1, SEARCH("/",E2299, SEARCH("/",E2299)+1) - SEARCH("/",E2299) - 1))-(LEFT(E2299,FIND("/",E2299)-1))), "NA"))</f>
        <v/>
      </c>
      <c r="K2299" s="79">
        <f>IF(A2299&lt;&gt;"", IF(ISBLANK(L2299), TODAY(), K2299), "")</f>
        <v/>
      </c>
      <c r="L2299" s="78" t="n"/>
      <c r="M2299" s="78">
        <f>IF(ISBLANK(L2299),"",IF(D2299="Stock",IF(C2299="Buy",L2299*G2299,IF(C2299="Sell",(L2299*G2299)-I2299, X)),IF(C2299="Buy",(L2299*G2299*100)+I2299,IF(C2299="Sell",(L2299*G2299*100)-I2299, X))))</f>
        <v/>
      </c>
      <c r="N2299" s="78">
        <f>IF(ISBLANK(L2299),"",IF(AND(C2299="Sell",D2299="Stock"),M2299,IF(ISBLANK(L2299),"",IF(C2299="Buy",M2299, IF(AND(C2299="Sell",J2299="NA"),(E2299*G2299*100*0.1)+I2299, IF(C2299="Sell",(J2299-L2299)*(100*G2299)+I2299))))))</f>
        <v/>
      </c>
      <c r="O2299" s="75" t="n"/>
      <c r="P2299" s="75" t="n"/>
      <c r="Q2299" s="75">
        <f>IF(ISBLANK(P2299),"",IF(D2299="Stock",P2299*G2299,IF(P2299=0,"0",G2299*P2299*100-(G2299*$AF$14))))</f>
        <v/>
      </c>
      <c r="R2299" s="79">
        <f>IF(P2299&lt;&gt;"", TODAY(), "")</f>
        <v/>
      </c>
      <c r="S2299" s="78">
        <f>IF(AND(K2299&lt;&gt;"", R2299&lt;&gt;""), R2299-K2299, "")</f>
        <v/>
      </c>
      <c r="T2299" s="78" t="n"/>
      <c r="U2299" s="92">
        <f>IF(ISBLANK(P2299),"",IF(C2299="Buy",Q2299-M2299+T2299, IF(C2299="Sell",M2299-Q2299-T2299, X)))</f>
        <v/>
      </c>
      <c r="V2299" s="81">
        <f>IF(ISBLANK(P2299),"",U2299/N2299)</f>
        <v/>
      </c>
      <c r="W2299" s="81">
        <f>IF(ISBLANK(P2299),"",IF(S2299=0,(365/0.5)*V2299,(365/S2299)*V2299))</f>
        <v/>
      </c>
      <c r="X2299" s="75" t="n"/>
      <c r="Y2299" s="77" t="n"/>
      <c r="Z2299" s="77" t="n"/>
      <c r="AA2299" s="75" t="n"/>
      <c r="AB2299" s="75" t="n"/>
      <c r="AC2299" s="6" t="n"/>
      <c r="AD2299" s="75" t="n"/>
      <c r="AE2299" s="75" t="n"/>
      <c r="AF2299" s="75" t="n"/>
    </row>
    <row r="2300" ht="15.75" customHeight="1" s="133">
      <c r="A2300" s="75" t="n"/>
      <c r="B2300" s="75" t="n"/>
      <c r="C2300" s="75" t="n"/>
      <c r="D2300" s="75" t="n"/>
      <c r="E2300" s="76" t="n"/>
      <c r="F2300" s="77" t="n"/>
      <c r="G2300" s="75" t="n"/>
      <c r="H2300" s="75">
        <f>IF(ISBLANK(E2300),"",IF(OR(D2300="Butterfly",D2300="Butterfly ",D2300="Iron Fly", D2300="Iron Fly "),LEN(E2300)-LEN(SUBSTITUTE(E2300,"/",""))+2,LEN(E2300)-LEN(SUBSTITUTE(E2300,"/",""))+1))</f>
        <v/>
      </c>
      <c r="I2300" s="78">
        <f>IF(ISBLANK(G2300),"",IF(D2300="Stock","0",Key!$A$3*H2300*G2300))</f>
        <v/>
      </c>
      <c r="J2300" s="78">
        <f>IF(ISBLANK(E2300),"",IF(ISNUMBER(SEARCH("/",E2300)), IF(LEN(E2300)-LEN(SUBSTITUTE(E2300,"/",""))=1,(RIGHT(E2300,LEN(E2300)-FIND("/",E2300)))-(LEFT(E2300,FIND("/",E2300)-1)),(MID(E2300, SEARCH("/",E2300) + 1, SEARCH("/",E2300, SEARCH("/",E2300)+1) - SEARCH("/",E2300) - 1))-(LEFT(E2300,FIND("/",E2300)-1))), "NA"))</f>
        <v/>
      </c>
      <c r="K2300" s="79">
        <f>IF(A2300&lt;&gt;"", IF(ISBLANK(L2300), TODAY(), K2300), "")</f>
        <v/>
      </c>
      <c r="L2300" s="78" t="n"/>
      <c r="M2300" s="78">
        <f>IF(ISBLANK(L2300),"",IF(D2300="Stock",IF(C2300="Buy",L2300*G2300,IF(C2300="Sell",(L2300*G2300)-I2300, X)),IF(C2300="Buy",(L2300*G2300*100)+I2300,IF(C2300="Sell",(L2300*G2300*100)-I2300, X))))</f>
        <v/>
      </c>
      <c r="N2300" s="78">
        <f>IF(ISBLANK(L2300),"",IF(AND(C2300="Sell",D2300="Stock"),M2300,IF(ISBLANK(L2300),"",IF(C2300="Buy",M2300, IF(AND(C2300="Sell",J2300="NA"),(E2300*G2300*100*0.1)+I2300, IF(C2300="Sell",(J2300-L2300)*(100*G2300)+I2300))))))</f>
        <v/>
      </c>
      <c r="O2300" s="75" t="n"/>
      <c r="P2300" s="75" t="n"/>
      <c r="Q2300" s="75">
        <f>IF(ISBLANK(P2300),"",IF(D2300="Stock",P2300*G2300,IF(P2300=0,"0",G2300*P2300*100-(G2300*$AF$14))))</f>
        <v/>
      </c>
      <c r="R2300" s="79">
        <f>IF(P2300&lt;&gt;"", TODAY(), "")</f>
        <v/>
      </c>
      <c r="S2300" s="78">
        <f>IF(AND(K2300&lt;&gt;"", R2300&lt;&gt;""), R2300-K2300, "")</f>
        <v/>
      </c>
      <c r="T2300" s="78" t="n"/>
      <c r="U2300" s="92">
        <f>IF(ISBLANK(P2300),"",IF(C2300="Buy",Q2300-M2300+T2300, IF(C2300="Sell",M2300-Q2300-T2300, X)))</f>
        <v/>
      </c>
      <c r="V2300" s="81">
        <f>IF(ISBLANK(P2300),"",U2300/N2300)</f>
        <v/>
      </c>
      <c r="W2300" s="81">
        <f>IF(ISBLANK(P2300),"",IF(S2300=0,(365/0.5)*V2300,(365/S2300)*V2300))</f>
        <v/>
      </c>
      <c r="X2300" s="75" t="n"/>
      <c r="Y2300" s="77" t="n"/>
      <c r="Z2300" s="77" t="n"/>
      <c r="AA2300" s="75" t="n"/>
      <c r="AB2300" s="75" t="n"/>
      <c r="AC2300" s="6" t="n"/>
      <c r="AD2300" s="75" t="n"/>
      <c r="AE2300" s="75" t="n"/>
      <c r="AF2300" s="75" t="n"/>
    </row>
    <row r="2301" ht="15.75" customHeight="1" s="133">
      <c r="A2301" s="75" t="n"/>
      <c r="B2301" s="75" t="n"/>
      <c r="C2301" s="75" t="n"/>
      <c r="D2301" s="75" t="n"/>
      <c r="E2301" s="76" t="n"/>
      <c r="F2301" s="77" t="n"/>
      <c r="G2301" s="75" t="n"/>
      <c r="H2301" s="75">
        <f>IF(ISBLANK(E2301),"",IF(OR(D2301="Butterfly",D2301="Butterfly ",D2301="Iron Fly", D2301="Iron Fly "),LEN(E2301)-LEN(SUBSTITUTE(E2301,"/",""))+2,LEN(E2301)-LEN(SUBSTITUTE(E2301,"/",""))+1))</f>
        <v/>
      </c>
      <c r="I2301" s="78">
        <f>IF(ISBLANK(G2301),"",IF(D2301="Stock","0",Key!$A$3*H2301*G2301))</f>
        <v/>
      </c>
      <c r="J2301" s="78">
        <f>IF(ISBLANK(E2301),"",IF(ISNUMBER(SEARCH("/",E2301)), IF(LEN(E2301)-LEN(SUBSTITUTE(E2301,"/",""))=1,(RIGHT(E2301,LEN(E2301)-FIND("/",E2301)))-(LEFT(E2301,FIND("/",E2301)-1)),(MID(E2301, SEARCH("/",E2301) + 1, SEARCH("/",E2301, SEARCH("/",E2301)+1) - SEARCH("/",E2301) - 1))-(LEFT(E2301,FIND("/",E2301)-1))), "NA"))</f>
        <v/>
      </c>
      <c r="K2301" s="79">
        <f>IF(A2301&lt;&gt;"", IF(ISBLANK(L2301), TODAY(), K2301), "")</f>
        <v/>
      </c>
      <c r="L2301" s="78" t="n"/>
      <c r="M2301" s="78">
        <f>IF(ISBLANK(L2301),"",IF(D2301="Stock",IF(C2301="Buy",L2301*G2301,IF(C2301="Sell",(L2301*G2301)-I2301, X)),IF(C2301="Buy",(L2301*G2301*100)+I2301,IF(C2301="Sell",(L2301*G2301*100)-I2301, X))))</f>
        <v/>
      </c>
      <c r="N2301" s="78">
        <f>IF(ISBLANK(L2301),"",IF(AND(C2301="Sell",D2301="Stock"),M2301,IF(ISBLANK(L2301),"",IF(C2301="Buy",M2301, IF(AND(C2301="Sell",J2301="NA"),(E2301*G2301*100*0.1)+I2301, IF(C2301="Sell",(J2301-L2301)*(100*G2301)+I2301))))))</f>
        <v/>
      </c>
      <c r="O2301" s="75" t="n"/>
      <c r="P2301" s="75" t="n"/>
      <c r="Q2301" s="75">
        <f>IF(ISBLANK(P2301),"",IF(D2301="Stock",P2301*G2301,IF(P2301=0,"0",G2301*P2301*100-(G2301*$AF$14))))</f>
        <v/>
      </c>
      <c r="R2301" s="79">
        <f>IF(P2301&lt;&gt;"", TODAY(), "")</f>
        <v/>
      </c>
      <c r="S2301" s="78">
        <f>IF(AND(K2301&lt;&gt;"", R2301&lt;&gt;""), R2301-K2301, "")</f>
        <v/>
      </c>
      <c r="T2301" s="78" t="n"/>
      <c r="U2301" s="92">
        <f>IF(ISBLANK(P2301),"",IF(C2301="Buy",Q2301-M2301+T2301, IF(C2301="Sell",M2301-Q2301-T2301, X)))</f>
        <v/>
      </c>
      <c r="V2301" s="81">
        <f>IF(ISBLANK(P2301),"",U2301/N2301)</f>
        <v/>
      </c>
      <c r="W2301" s="81">
        <f>IF(ISBLANK(P2301),"",IF(S2301=0,(365/0.5)*V2301,(365/S2301)*V2301))</f>
        <v/>
      </c>
      <c r="X2301" s="75" t="n"/>
      <c r="Y2301" s="77" t="n"/>
      <c r="Z2301" s="77" t="n"/>
      <c r="AA2301" s="75" t="n"/>
      <c r="AB2301" s="75" t="n"/>
      <c r="AC2301" s="6" t="n"/>
      <c r="AD2301" s="75" t="n"/>
      <c r="AE2301" s="75" t="n"/>
      <c r="AF2301" s="75" t="n"/>
    </row>
    <row r="2302" ht="15.75" customHeight="1" s="133">
      <c r="A2302" s="75" t="n"/>
      <c r="B2302" s="75" t="n"/>
      <c r="C2302" s="75" t="n"/>
      <c r="D2302" s="75" t="n"/>
      <c r="E2302" s="76" t="n"/>
      <c r="F2302" s="77" t="n"/>
      <c r="G2302" s="75" t="n"/>
      <c r="H2302" s="75">
        <f>IF(ISBLANK(E2302),"",IF(OR(D2302="Butterfly",D2302="Butterfly ",D2302="Iron Fly", D2302="Iron Fly "),LEN(E2302)-LEN(SUBSTITUTE(E2302,"/",""))+2,LEN(E2302)-LEN(SUBSTITUTE(E2302,"/",""))+1))</f>
        <v/>
      </c>
      <c r="I2302" s="78">
        <f>IF(ISBLANK(G2302),"",IF(D2302="Stock","0",Key!$A$3*H2302*G2302))</f>
        <v/>
      </c>
      <c r="J2302" s="78">
        <f>IF(ISBLANK(E2302),"",IF(ISNUMBER(SEARCH("/",E2302)), IF(LEN(E2302)-LEN(SUBSTITUTE(E2302,"/",""))=1,(RIGHT(E2302,LEN(E2302)-FIND("/",E2302)))-(LEFT(E2302,FIND("/",E2302)-1)),(MID(E2302, SEARCH("/",E2302) + 1, SEARCH("/",E2302, SEARCH("/",E2302)+1) - SEARCH("/",E2302) - 1))-(LEFT(E2302,FIND("/",E2302)-1))), "NA"))</f>
        <v/>
      </c>
      <c r="K2302" s="79">
        <f>IF(A2302&lt;&gt;"", IF(ISBLANK(L2302), TODAY(), K2302), "")</f>
        <v/>
      </c>
      <c r="L2302" s="78" t="n"/>
      <c r="M2302" s="78">
        <f>IF(ISBLANK(L2302),"",IF(D2302="Stock",IF(C2302="Buy",L2302*G2302,IF(C2302="Sell",(L2302*G2302)-I2302, X)),IF(C2302="Buy",(L2302*G2302*100)+I2302,IF(C2302="Sell",(L2302*G2302*100)-I2302, X))))</f>
        <v/>
      </c>
      <c r="N2302" s="78">
        <f>IF(ISBLANK(L2302),"",IF(AND(C2302="Sell",D2302="Stock"),M2302,IF(ISBLANK(L2302),"",IF(C2302="Buy",M2302, IF(AND(C2302="Sell",J2302="NA"),(E2302*G2302*100*0.1)+I2302, IF(C2302="Sell",(J2302-L2302)*(100*G2302)+I2302))))))</f>
        <v/>
      </c>
      <c r="O2302" s="75" t="n"/>
      <c r="P2302" s="75" t="n"/>
      <c r="Q2302" s="75">
        <f>IF(ISBLANK(P2302),"",IF(D2302="Stock",P2302*G2302,IF(P2302=0,"0",G2302*P2302*100-(G2302*$AF$14))))</f>
        <v/>
      </c>
      <c r="R2302" s="79">
        <f>IF(P2302&lt;&gt;"", TODAY(), "")</f>
        <v/>
      </c>
      <c r="S2302" s="78">
        <f>IF(AND(K2302&lt;&gt;"", R2302&lt;&gt;""), R2302-K2302, "")</f>
        <v/>
      </c>
      <c r="T2302" s="78" t="n"/>
      <c r="U2302" s="92">
        <f>IF(ISBLANK(P2302),"",IF(C2302="Buy",Q2302-M2302+T2302, IF(C2302="Sell",M2302-Q2302-T2302, X)))</f>
        <v/>
      </c>
      <c r="V2302" s="81">
        <f>IF(ISBLANK(P2302),"",U2302/N2302)</f>
        <v/>
      </c>
      <c r="W2302" s="81">
        <f>IF(ISBLANK(P2302),"",IF(S2302=0,(365/0.5)*V2302,(365/S2302)*V2302))</f>
        <v/>
      </c>
      <c r="X2302" s="75" t="n"/>
      <c r="Y2302" s="77" t="n"/>
      <c r="Z2302" s="77" t="n"/>
      <c r="AA2302" s="75" t="n"/>
      <c r="AB2302" s="75" t="n"/>
      <c r="AC2302" s="6" t="n"/>
      <c r="AD2302" s="75" t="n"/>
      <c r="AE2302" s="75" t="n"/>
      <c r="AF2302" s="75" t="n"/>
    </row>
    <row r="2303" ht="15.75" customHeight="1" s="133">
      <c r="A2303" s="75" t="n"/>
      <c r="B2303" s="75" t="n"/>
      <c r="C2303" s="75" t="n"/>
      <c r="D2303" s="75" t="n"/>
      <c r="E2303" s="76" t="n"/>
      <c r="F2303" s="77" t="n"/>
      <c r="G2303" s="75" t="n"/>
      <c r="H2303" s="75">
        <f>IF(ISBLANK(E2303),"",IF(OR(D2303="Butterfly",D2303="Butterfly ",D2303="Iron Fly", D2303="Iron Fly "),LEN(E2303)-LEN(SUBSTITUTE(E2303,"/",""))+2,LEN(E2303)-LEN(SUBSTITUTE(E2303,"/",""))+1))</f>
        <v/>
      </c>
      <c r="I2303" s="78">
        <f>IF(ISBLANK(G2303),"",IF(D2303="Stock","0",Key!$A$3*H2303*G2303))</f>
        <v/>
      </c>
      <c r="J2303" s="78">
        <f>IF(ISBLANK(E2303),"",IF(ISNUMBER(SEARCH("/",E2303)), IF(LEN(E2303)-LEN(SUBSTITUTE(E2303,"/",""))=1,(RIGHT(E2303,LEN(E2303)-FIND("/",E2303)))-(LEFT(E2303,FIND("/",E2303)-1)),(MID(E2303, SEARCH("/",E2303) + 1, SEARCH("/",E2303, SEARCH("/",E2303)+1) - SEARCH("/",E2303) - 1))-(LEFT(E2303,FIND("/",E2303)-1))), "NA"))</f>
        <v/>
      </c>
      <c r="K2303" s="79">
        <f>IF(A2303&lt;&gt;"", IF(ISBLANK(L2303), TODAY(), K2303), "")</f>
        <v/>
      </c>
      <c r="L2303" s="78" t="n"/>
      <c r="M2303" s="78">
        <f>IF(ISBLANK(L2303),"",IF(D2303="Stock",IF(C2303="Buy",L2303*G2303,IF(C2303="Sell",(L2303*G2303)-I2303, X)),IF(C2303="Buy",(L2303*G2303*100)+I2303,IF(C2303="Sell",(L2303*G2303*100)-I2303, X))))</f>
        <v/>
      </c>
      <c r="N2303" s="78">
        <f>IF(ISBLANK(L2303),"",IF(AND(C2303="Sell",D2303="Stock"),M2303,IF(ISBLANK(L2303),"",IF(C2303="Buy",M2303, IF(AND(C2303="Sell",J2303="NA"),(E2303*G2303*100*0.1)+I2303, IF(C2303="Sell",(J2303-L2303)*(100*G2303)+I2303))))))</f>
        <v/>
      </c>
      <c r="O2303" s="75" t="n"/>
      <c r="P2303" s="75" t="n"/>
      <c r="Q2303" s="75">
        <f>IF(ISBLANK(P2303),"",IF(D2303="Stock",P2303*G2303,IF(P2303=0,"0",G2303*P2303*100-(G2303*$AF$14))))</f>
        <v/>
      </c>
      <c r="R2303" s="79">
        <f>IF(P2303&lt;&gt;"", TODAY(), "")</f>
        <v/>
      </c>
      <c r="S2303" s="78">
        <f>IF(AND(K2303&lt;&gt;"", R2303&lt;&gt;""), R2303-K2303, "")</f>
        <v/>
      </c>
      <c r="T2303" s="78" t="n"/>
      <c r="U2303" s="92">
        <f>IF(ISBLANK(P2303),"",IF(C2303="Buy",Q2303-M2303+T2303, IF(C2303="Sell",M2303-Q2303-T2303, X)))</f>
        <v/>
      </c>
      <c r="V2303" s="81">
        <f>IF(ISBLANK(P2303),"",U2303/N2303)</f>
        <v/>
      </c>
      <c r="W2303" s="81">
        <f>IF(ISBLANK(P2303),"",IF(S2303=0,(365/0.5)*V2303,(365/S2303)*V2303))</f>
        <v/>
      </c>
      <c r="X2303" s="75" t="n"/>
      <c r="Y2303" s="77" t="n"/>
      <c r="Z2303" s="77" t="n"/>
      <c r="AA2303" s="75" t="n"/>
      <c r="AB2303" s="75" t="n"/>
      <c r="AC2303" s="6" t="n"/>
      <c r="AD2303" s="75" t="n"/>
      <c r="AE2303" s="75" t="n"/>
      <c r="AF2303" s="75" t="n"/>
    </row>
    <row r="2304" ht="15.75" customHeight="1" s="133">
      <c r="A2304" s="75" t="n"/>
      <c r="B2304" s="75" t="n"/>
      <c r="C2304" s="75" t="n"/>
      <c r="D2304" s="75" t="n"/>
      <c r="E2304" s="76" t="n"/>
      <c r="F2304" s="77" t="n"/>
      <c r="G2304" s="75" t="n"/>
      <c r="H2304" s="75">
        <f>IF(ISBLANK(E2304),"",IF(OR(D2304="Butterfly",D2304="Butterfly ",D2304="Iron Fly", D2304="Iron Fly "),LEN(E2304)-LEN(SUBSTITUTE(E2304,"/",""))+2,LEN(E2304)-LEN(SUBSTITUTE(E2304,"/",""))+1))</f>
        <v/>
      </c>
      <c r="I2304" s="78">
        <f>IF(ISBLANK(G2304),"",IF(D2304="Stock","0",Key!$A$3*H2304*G2304))</f>
        <v/>
      </c>
      <c r="J2304" s="78">
        <f>IF(ISBLANK(E2304),"",IF(ISNUMBER(SEARCH("/",E2304)), IF(LEN(E2304)-LEN(SUBSTITUTE(E2304,"/",""))=1,(RIGHT(E2304,LEN(E2304)-FIND("/",E2304)))-(LEFT(E2304,FIND("/",E2304)-1)),(MID(E2304, SEARCH("/",E2304) + 1, SEARCH("/",E2304, SEARCH("/",E2304)+1) - SEARCH("/",E2304) - 1))-(LEFT(E2304,FIND("/",E2304)-1))), "NA"))</f>
        <v/>
      </c>
      <c r="K2304" s="79">
        <f>IF(A2304&lt;&gt;"", IF(ISBLANK(L2304), TODAY(), K2304), "")</f>
        <v/>
      </c>
      <c r="L2304" s="78" t="n"/>
      <c r="M2304" s="78">
        <f>IF(ISBLANK(L2304),"",IF(D2304="Stock",IF(C2304="Buy",L2304*G2304,IF(C2304="Sell",(L2304*G2304)-I2304, X)),IF(C2304="Buy",(L2304*G2304*100)+I2304,IF(C2304="Sell",(L2304*G2304*100)-I2304, X))))</f>
        <v/>
      </c>
      <c r="N2304" s="78">
        <f>IF(ISBLANK(L2304),"",IF(AND(C2304="Sell",D2304="Stock"),M2304,IF(ISBLANK(L2304),"",IF(C2304="Buy",M2304, IF(AND(C2304="Sell",J2304="NA"),(E2304*G2304*100*0.1)+I2304, IF(C2304="Sell",(J2304-L2304)*(100*G2304)+I2304))))))</f>
        <v/>
      </c>
      <c r="O2304" s="75" t="n"/>
      <c r="P2304" s="75" t="n"/>
      <c r="Q2304" s="75">
        <f>IF(ISBLANK(P2304),"",IF(D2304="Stock",P2304*G2304,IF(P2304=0,"0",G2304*P2304*100-(G2304*$AF$14))))</f>
        <v/>
      </c>
      <c r="R2304" s="79">
        <f>IF(P2304&lt;&gt;"", TODAY(), "")</f>
        <v/>
      </c>
      <c r="S2304" s="78">
        <f>IF(AND(K2304&lt;&gt;"", R2304&lt;&gt;""), R2304-K2304, "")</f>
        <v/>
      </c>
      <c r="T2304" s="78" t="n"/>
      <c r="U2304" s="92">
        <f>IF(ISBLANK(P2304),"",IF(C2304="Buy",Q2304-M2304+T2304, IF(C2304="Sell",M2304-Q2304-T2304, X)))</f>
        <v/>
      </c>
      <c r="V2304" s="81">
        <f>IF(ISBLANK(P2304),"",U2304/N2304)</f>
        <v/>
      </c>
      <c r="W2304" s="81">
        <f>IF(ISBLANK(P2304),"",IF(S2304=0,(365/0.5)*V2304,(365/S2304)*V2304))</f>
        <v/>
      </c>
      <c r="X2304" s="75" t="n"/>
      <c r="Y2304" s="77" t="n"/>
      <c r="Z2304" s="77" t="n"/>
      <c r="AA2304" s="75" t="n"/>
      <c r="AB2304" s="75" t="n"/>
      <c r="AC2304" s="6" t="n"/>
      <c r="AD2304" s="75" t="n"/>
      <c r="AE2304" s="75" t="n"/>
      <c r="AF2304" s="75" t="n"/>
    </row>
    <row r="2305" ht="15.75" customHeight="1" s="133">
      <c r="A2305" s="75" t="n"/>
      <c r="B2305" s="75" t="n"/>
      <c r="C2305" s="75" t="n"/>
      <c r="D2305" s="75" t="n"/>
      <c r="E2305" s="76" t="n"/>
      <c r="F2305" s="77" t="n"/>
      <c r="G2305" s="75" t="n"/>
      <c r="H2305" s="75">
        <f>IF(ISBLANK(E2305),"",IF(OR(D2305="Butterfly",D2305="Butterfly ",D2305="Iron Fly", D2305="Iron Fly "),LEN(E2305)-LEN(SUBSTITUTE(E2305,"/",""))+2,LEN(E2305)-LEN(SUBSTITUTE(E2305,"/",""))+1))</f>
        <v/>
      </c>
      <c r="I2305" s="78">
        <f>IF(ISBLANK(G2305),"",IF(D2305="Stock","0",Key!$A$3*H2305*G2305))</f>
        <v/>
      </c>
      <c r="J2305" s="78">
        <f>IF(ISBLANK(E2305),"",IF(ISNUMBER(SEARCH("/",E2305)), IF(LEN(E2305)-LEN(SUBSTITUTE(E2305,"/",""))=1,(RIGHT(E2305,LEN(E2305)-FIND("/",E2305)))-(LEFT(E2305,FIND("/",E2305)-1)),(MID(E2305, SEARCH("/",E2305) + 1, SEARCH("/",E2305, SEARCH("/",E2305)+1) - SEARCH("/",E2305) - 1))-(LEFT(E2305,FIND("/",E2305)-1))), "NA"))</f>
        <v/>
      </c>
      <c r="K2305" s="79">
        <f>IF(A2305&lt;&gt;"", IF(ISBLANK(L2305), TODAY(), K2305), "")</f>
        <v/>
      </c>
      <c r="L2305" s="78" t="n"/>
      <c r="M2305" s="78">
        <f>IF(ISBLANK(L2305),"",IF(D2305="Stock",IF(C2305="Buy",L2305*G2305,IF(C2305="Sell",(L2305*G2305)-I2305, X)),IF(C2305="Buy",(L2305*G2305*100)+I2305,IF(C2305="Sell",(L2305*G2305*100)-I2305, X))))</f>
        <v/>
      </c>
      <c r="N2305" s="78">
        <f>IF(ISBLANK(L2305),"",IF(AND(C2305="Sell",D2305="Stock"),M2305,IF(ISBLANK(L2305),"",IF(C2305="Buy",M2305, IF(AND(C2305="Sell",J2305="NA"),(E2305*G2305*100*0.1)+I2305, IF(C2305="Sell",(J2305-L2305)*(100*G2305)+I2305))))))</f>
        <v/>
      </c>
      <c r="O2305" s="75" t="n"/>
      <c r="P2305" s="75" t="n"/>
      <c r="Q2305" s="75">
        <f>IF(ISBLANK(P2305),"",IF(D2305="Stock",P2305*G2305,IF(P2305=0,"0",G2305*P2305*100-(G2305*$AF$14))))</f>
        <v/>
      </c>
      <c r="R2305" s="79">
        <f>IF(P2305&lt;&gt;"", TODAY(), "")</f>
        <v/>
      </c>
      <c r="S2305" s="78">
        <f>IF(AND(K2305&lt;&gt;"", R2305&lt;&gt;""), R2305-K2305, "")</f>
        <v/>
      </c>
      <c r="T2305" s="78" t="n"/>
      <c r="U2305" s="92">
        <f>IF(ISBLANK(P2305),"",IF(C2305="Buy",Q2305-M2305+T2305, IF(C2305="Sell",M2305-Q2305-T2305, X)))</f>
        <v/>
      </c>
      <c r="V2305" s="81">
        <f>IF(ISBLANK(P2305),"",U2305/N2305)</f>
        <v/>
      </c>
      <c r="W2305" s="81">
        <f>IF(ISBLANK(P2305),"",IF(S2305=0,(365/0.5)*V2305,(365/S2305)*V2305))</f>
        <v/>
      </c>
      <c r="X2305" s="75" t="n"/>
      <c r="Y2305" s="77" t="n"/>
      <c r="Z2305" s="77" t="n"/>
      <c r="AA2305" s="75" t="n"/>
      <c r="AB2305" s="75" t="n"/>
      <c r="AC2305" s="6" t="n"/>
      <c r="AD2305" s="75" t="n"/>
      <c r="AE2305" s="75" t="n"/>
      <c r="AF2305" s="75" t="n"/>
    </row>
    <row r="2306" ht="15.75" customHeight="1" s="133">
      <c r="A2306" s="75" t="n"/>
      <c r="B2306" s="75" t="n"/>
      <c r="C2306" s="75" t="n"/>
      <c r="D2306" s="75" t="n"/>
      <c r="E2306" s="76" t="n"/>
      <c r="F2306" s="77" t="n"/>
      <c r="G2306" s="75" t="n"/>
      <c r="H2306" s="75">
        <f>IF(ISBLANK(E2306),"",IF(OR(D2306="Butterfly",D2306="Butterfly ",D2306="Iron Fly", D2306="Iron Fly "),LEN(E2306)-LEN(SUBSTITUTE(E2306,"/",""))+2,LEN(E2306)-LEN(SUBSTITUTE(E2306,"/",""))+1))</f>
        <v/>
      </c>
      <c r="I2306" s="78">
        <f>IF(ISBLANK(G2306),"",IF(D2306="Stock","0",Key!$A$3*H2306*G2306))</f>
        <v/>
      </c>
      <c r="J2306" s="78">
        <f>IF(ISBLANK(E2306),"",IF(ISNUMBER(SEARCH("/",E2306)), IF(LEN(E2306)-LEN(SUBSTITUTE(E2306,"/",""))=1,(RIGHT(E2306,LEN(E2306)-FIND("/",E2306)))-(LEFT(E2306,FIND("/",E2306)-1)),(MID(E2306, SEARCH("/",E2306) + 1, SEARCH("/",E2306, SEARCH("/",E2306)+1) - SEARCH("/",E2306) - 1))-(LEFT(E2306,FIND("/",E2306)-1))), "NA"))</f>
        <v/>
      </c>
      <c r="K2306" s="79">
        <f>IF(A2306&lt;&gt;"", IF(ISBLANK(L2306), TODAY(), K2306), "")</f>
        <v/>
      </c>
      <c r="L2306" s="78" t="n"/>
      <c r="M2306" s="78">
        <f>IF(ISBLANK(L2306),"",IF(D2306="Stock",IF(C2306="Buy",L2306*G2306,IF(C2306="Sell",(L2306*G2306)-I2306, X)),IF(C2306="Buy",(L2306*G2306*100)+I2306,IF(C2306="Sell",(L2306*G2306*100)-I2306, X))))</f>
        <v/>
      </c>
      <c r="N2306" s="78">
        <f>IF(ISBLANK(L2306),"",IF(AND(C2306="Sell",D2306="Stock"),M2306,IF(ISBLANK(L2306),"",IF(C2306="Buy",M2306, IF(AND(C2306="Sell",J2306="NA"),(E2306*G2306*100*0.1)+I2306, IF(C2306="Sell",(J2306-L2306)*(100*G2306)+I2306))))))</f>
        <v/>
      </c>
      <c r="O2306" s="75" t="n"/>
      <c r="P2306" s="75" t="n"/>
      <c r="Q2306" s="75">
        <f>IF(ISBLANK(P2306),"",IF(D2306="Stock",P2306*G2306,IF(P2306=0,"0",G2306*P2306*100-(G2306*$AF$14))))</f>
        <v/>
      </c>
      <c r="R2306" s="79">
        <f>IF(P2306&lt;&gt;"", TODAY(), "")</f>
        <v/>
      </c>
      <c r="S2306" s="78">
        <f>IF(AND(K2306&lt;&gt;"", R2306&lt;&gt;""), R2306-K2306, "")</f>
        <v/>
      </c>
      <c r="T2306" s="78" t="n"/>
      <c r="U2306" s="92">
        <f>IF(ISBLANK(P2306),"",IF(C2306="Buy",Q2306-M2306+T2306, IF(C2306="Sell",M2306-Q2306-T2306, X)))</f>
        <v/>
      </c>
      <c r="V2306" s="81">
        <f>IF(ISBLANK(P2306),"",U2306/N2306)</f>
        <v/>
      </c>
      <c r="W2306" s="81">
        <f>IF(ISBLANK(P2306),"",IF(S2306=0,(365/0.5)*V2306,(365/S2306)*V2306))</f>
        <v/>
      </c>
      <c r="X2306" s="75" t="n"/>
      <c r="Y2306" s="77" t="n"/>
      <c r="Z2306" s="77" t="n"/>
      <c r="AA2306" s="75" t="n"/>
      <c r="AB2306" s="75" t="n"/>
      <c r="AC2306" s="6" t="n"/>
      <c r="AD2306" s="75" t="n"/>
      <c r="AE2306" s="75" t="n"/>
      <c r="AF2306" s="75" t="n"/>
    </row>
    <row r="2307" ht="15.75" customHeight="1" s="133">
      <c r="A2307" s="75" t="n"/>
      <c r="B2307" s="75" t="n"/>
      <c r="C2307" s="75" t="n"/>
      <c r="D2307" s="75" t="n"/>
      <c r="E2307" s="76" t="n"/>
      <c r="F2307" s="77" t="n"/>
      <c r="G2307" s="75" t="n"/>
      <c r="H2307" s="75">
        <f>IF(ISBLANK(E2307),"",IF(OR(D2307="Butterfly",D2307="Butterfly ",D2307="Iron Fly", D2307="Iron Fly "),LEN(E2307)-LEN(SUBSTITUTE(E2307,"/",""))+2,LEN(E2307)-LEN(SUBSTITUTE(E2307,"/",""))+1))</f>
        <v/>
      </c>
      <c r="I2307" s="78">
        <f>IF(ISBLANK(G2307),"",IF(D2307="Stock","0",Key!$A$3*H2307*G2307))</f>
        <v/>
      </c>
      <c r="J2307" s="78">
        <f>IF(ISBLANK(E2307),"",IF(ISNUMBER(SEARCH("/",E2307)), IF(LEN(E2307)-LEN(SUBSTITUTE(E2307,"/",""))=1,(RIGHT(E2307,LEN(E2307)-FIND("/",E2307)))-(LEFT(E2307,FIND("/",E2307)-1)),(MID(E2307, SEARCH("/",E2307) + 1, SEARCH("/",E2307, SEARCH("/",E2307)+1) - SEARCH("/",E2307) - 1))-(LEFT(E2307,FIND("/",E2307)-1))), "NA"))</f>
        <v/>
      </c>
      <c r="K2307" s="79">
        <f>IF(A2307&lt;&gt;"", IF(ISBLANK(L2307), TODAY(), K2307), "")</f>
        <v/>
      </c>
      <c r="L2307" s="78" t="n"/>
      <c r="M2307" s="78">
        <f>IF(ISBLANK(L2307),"",IF(D2307="Stock",IF(C2307="Buy",L2307*G2307,IF(C2307="Sell",(L2307*G2307)-I2307, X)),IF(C2307="Buy",(L2307*G2307*100)+I2307,IF(C2307="Sell",(L2307*G2307*100)-I2307, X))))</f>
        <v/>
      </c>
      <c r="N2307" s="78">
        <f>IF(ISBLANK(L2307),"",IF(AND(C2307="Sell",D2307="Stock"),M2307,IF(ISBLANK(L2307),"",IF(C2307="Buy",M2307, IF(AND(C2307="Sell",J2307="NA"),(E2307*G2307*100*0.1)+I2307, IF(C2307="Sell",(J2307-L2307)*(100*G2307)+I2307))))))</f>
        <v/>
      </c>
      <c r="O2307" s="75" t="n"/>
      <c r="P2307" s="75" t="n"/>
      <c r="Q2307" s="75">
        <f>IF(ISBLANK(P2307),"",IF(D2307="Stock",P2307*G2307,IF(P2307=0,"0",G2307*P2307*100-(G2307*$AF$14))))</f>
        <v/>
      </c>
      <c r="R2307" s="79">
        <f>IF(P2307&lt;&gt;"", TODAY(), "")</f>
        <v/>
      </c>
      <c r="S2307" s="78">
        <f>IF(AND(K2307&lt;&gt;"", R2307&lt;&gt;""), R2307-K2307, "")</f>
        <v/>
      </c>
      <c r="T2307" s="78" t="n"/>
      <c r="U2307" s="92">
        <f>IF(ISBLANK(P2307),"",IF(C2307="Buy",Q2307-M2307+T2307, IF(C2307="Sell",M2307-Q2307-T2307, X)))</f>
        <v/>
      </c>
      <c r="V2307" s="81">
        <f>IF(ISBLANK(P2307),"",U2307/N2307)</f>
        <v/>
      </c>
      <c r="W2307" s="81">
        <f>IF(ISBLANK(P2307),"",IF(S2307=0,(365/0.5)*V2307,(365/S2307)*V2307))</f>
        <v/>
      </c>
      <c r="X2307" s="75" t="n"/>
      <c r="Y2307" s="77" t="n"/>
      <c r="Z2307" s="77" t="n"/>
      <c r="AA2307" s="75" t="n"/>
      <c r="AB2307" s="75" t="n"/>
      <c r="AC2307" s="6" t="n"/>
      <c r="AD2307" s="75" t="n"/>
      <c r="AE2307" s="75" t="n"/>
      <c r="AF2307" s="75" t="n"/>
    </row>
    <row r="2308" ht="15.75" customHeight="1" s="133">
      <c r="A2308" s="75" t="n"/>
      <c r="B2308" s="75" t="n"/>
      <c r="C2308" s="75" t="n"/>
      <c r="D2308" s="75" t="n"/>
      <c r="E2308" s="76" t="n"/>
      <c r="F2308" s="77" t="n"/>
      <c r="G2308" s="75" t="n"/>
      <c r="H2308" s="75">
        <f>IF(ISBLANK(E2308),"",IF(OR(D2308="Butterfly",D2308="Butterfly ",D2308="Iron Fly", D2308="Iron Fly "),LEN(E2308)-LEN(SUBSTITUTE(E2308,"/",""))+2,LEN(E2308)-LEN(SUBSTITUTE(E2308,"/",""))+1))</f>
        <v/>
      </c>
      <c r="I2308" s="78">
        <f>IF(ISBLANK(G2308),"",IF(D2308="Stock","0",Key!$A$3*H2308*G2308))</f>
        <v/>
      </c>
      <c r="J2308" s="78">
        <f>IF(ISBLANK(E2308),"",IF(ISNUMBER(SEARCH("/",E2308)), IF(LEN(E2308)-LEN(SUBSTITUTE(E2308,"/",""))=1,(RIGHT(E2308,LEN(E2308)-FIND("/",E2308)))-(LEFT(E2308,FIND("/",E2308)-1)),(MID(E2308, SEARCH("/",E2308) + 1, SEARCH("/",E2308, SEARCH("/",E2308)+1) - SEARCH("/",E2308) - 1))-(LEFT(E2308,FIND("/",E2308)-1))), "NA"))</f>
        <v/>
      </c>
      <c r="K2308" s="79">
        <f>IF(A2308&lt;&gt;"", IF(ISBLANK(L2308), TODAY(), K2308), "")</f>
        <v/>
      </c>
      <c r="L2308" s="78" t="n"/>
      <c r="M2308" s="78">
        <f>IF(ISBLANK(L2308),"",IF(D2308="Stock",IF(C2308="Buy",L2308*G2308,IF(C2308="Sell",(L2308*G2308)-I2308, X)),IF(C2308="Buy",(L2308*G2308*100)+I2308,IF(C2308="Sell",(L2308*G2308*100)-I2308, X))))</f>
        <v/>
      </c>
      <c r="N2308" s="78">
        <f>IF(ISBLANK(L2308),"",IF(AND(C2308="Sell",D2308="Stock"),M2308,IF(ISBLANK(L2308),"",IF(C2308="Buy",M2308, IF(AND(C2308="Sell",J2308="NA"),(E2308*G2308*100*0.1)+I2308, IF(C2308="Sell",(J2308-L2308)*(100*G2308)+I2308))))))</f>
        <v/>
      </c>
      <c r="O2308" s="75" t="n"/>
      <c r="P2308" s="75" t="n"/>
      <c r="Q2308" s="75">
        <f>IF(ISBLANK(P2308),"",IF(D2308="Stock",P2308*G2308,IF(P2308=0,"0",G2308*P2308*100-(G2308*$AF$14))))</f>
        <v/>
      </c>
      <c r="R2308" s="79">
        <f>IF(P2308&lt;&gt;"", TODAY(), "")</f>
        <v/>
      </c>
      <c r="S2308" s="78">
        <f>IF(AND(K2308&lt;&gt;"", R2308&lt;&gt;""), R2308-K2308, "")</f>
        <v/>
      </c>
      <c r="T2308" s="78" t="n"/>
      <c r="U2308" s="92">
        <f>IF(ISBLANK(P2308),"",IF(C2308="Buy",Q2308-M2308+T2308, IF(C2308="Sell",M2308-Q2308-T2308, X)))</f>
        <v/>
      </c>
      <c r="V2308" s="81">
        <f>IF(ISBLANK(P2308),"",U2308/N2308)</f>
        <v/>
      </c>
      <c r="W2308" s="81">
        <f>IF(ISBLANK(P2308),"",IF(S2308=0,(365/0.5)*V2308,(365/S2308)*V2308))</f>
        <v/>
      </c>
      <c r="X2308" s="75" t="n"/>
      <c r="Y2308" s="77" t="n"/>
      <c r="Z2308" s="77" t="n"/>
      <c r="AA2308" s="75" t="n"/>
      <c r="AB2308" s="75" t="n"/>
      <c r="AC2308" s="6" t="n"/>
      <c r="AD2308" s="75" t="n"/>
      <c r="AE2308" s="75" t="n"/>
      <c r="AF2308" s="75" t="n"/>
    </row>
    <row r="2309" ht="15.75" customHeight="1" s="133">
      <c r="A2309" s="75" t="n"/>
      <c r="B2309" s="75" t="n"/>
      <c r="C2309" s="75" t="n"/>
      <c r="D2309" s="75" t="n"/>
      <c r="E2309" s="76" t="n"/>
      <c r="F2309" s="77" t="n"/>
      <c r="G2309" s="75" t="n"/>
      <c r="H2309" s="75">
        <f>IF(ISBLANK(E2309),"",IF(OR(D2309="Butterfly",D2309="Butterfly ",D2309="Iron Fly", D2309="Iron Fly "),LEN(E2309)-LEN(SUBSTITUTE(E2309,"/",""))+2,LEN(E2309)-LEN(SUBSTITUTE(E2309,"/",""))+1))</f>
        <v/>
      </c>
      <c r="I2309" s="78">
        <f>IF(ISBLANK(G2309),"",IF(D2309="Stock","0",Key!$A$3*H2309*G2309))</f>
        <v/>
      </c>
      <c r="J2309" s="78">
        <f>IF(ISBLANK(E2309),"",IF(ISNUMBER(SEARCH("/",E2309)), IF(LEN(E2309)-LEN(SUBSTITUTE(E2309,"/",""))=1,(RIGHT(E2309,LEN(E2309)-FIND("/",E2309)))-(LEFT(E2309,FIND("/",E2309)-1)),(MID(E2309, SEARCH("/",E2309) + 1, SEARCH("/",E2309, SEARCH("/",E2309)+1) - SEARCH("/",E2309) - 1))-(LEFT(E2309,FIND("/",E2309)-1))), "NA"))</f>
        <v/>
      </c>
      <c r="K2309" s="79">
        <f>IF(A2309&lt;&gt;"", IF(ISBLANK(L2309), TODAY(), K2309), "")</f>
        <v/>
      </c>
      <c r="L2309" s="78" t="n"/>
      <c r="M2309" s="78">
        <f>IF(ISBLANK(L2309),"",IF(D2309="Stock",IF(C2309="Buy",L2309*G2309,IF(C2309="Sell",(L2309*G2309)-I2309, X)),IF(C2309="Buy",(L2309*G2309*100)+I2309,IF(C2309="Sell",(L2309*G2309*100)-I2309, X))))</f>
        <v/>
      </c>
      <c r="N2309" s="78">
        <f>IF(ISBLANK(L2309),"",IF(AND(C2309="Sell",D2309="Stock"),M2309,IF(ISBLANK(L2309),"",IF(C2309="Buy",M2309, IF(AND(C2309="Sell",J2309="NA"),(E2309*G2309*100*0.1)+I2309, IF(C2309="Sell",(J2309-L2309)*(100*G2309)+I2309))))))</f>
        <v/>
      </c>
      <c r="O2309" s="75" t="n"/>
      <c r="P2309" s="75" t="n"/>
      <c r="Q2309" s="75">
        <f>IF(ISBLANK(P2309),"",IF(D2309="Stock",P2309*G2309,IF(P2309=0,"0",G2309*P2309*100-(G2309*$AF$14))))</f>
        <v/>
      </c>
      <c r="R2309" s="79">
        <f>IF(P2309&lt;&gt;"", TODAY(), "")</f>
        <v/>
      </c>
      <c r="S2309" s="78">
        <f>IF(AND(K2309&lt;&gt;"", R2309&lt;&gt;""), R2309-K2309, "")</f>
        <v/>
      </c>
      <c r="T2309" s="78" t="n"/>
      <c r="U2309" s="92">
        <f>IF(ISBLANK(P2309),"",IF(C2309="Buy",Q2309-M2309+T2309, IF(C2309="Sell",M2309-Q2309-T2309, X)))</f>
        <v/>
      </c>
      <c r="V2309" s="81">
        <f>IF(ISBLANK(P2309),"",U2309/N2309)</f>
        <v/>
      </c>
      <c r="W2309" s="81">
        <f>IF(ISBLANK(P2309),"",IF(S2309=0,(365/0.5)*V2309,(365/S2309)*V2309))</f>
        <v/>
      </c>
      <c r="X2309" s="75" t="n"/>
      <c r="Y2309" s="77" t="n"/>
      <c r="Z2309" s="77" t="n"/>
      <c r="AA2309" s="75" t="n"/>
      <c r="AB2309" s="75" t="n"/>
      <c r="AC2309" s="6" t="n"/>
      <c r="AD2309" s="75" t="n"/>
      <c r="AE2309" s="75" t="n"/>
      <c r="AF2309" s="75" t="n"/>
    </row>
    <row r="2310" ht="15.75" customHeight="1" s="133">
      <c r="A2310" s="75" t="n"/>
      <c r="B2310" s="75" t="n"/>
      <c r="C2310" s="75" t="n"/>
      <c r="D2310" s="75" t="n"/>
      <c r="E2310" s="76" t="n"/>
      <c r="F2310" s="77" t="n"/>
      <c r="G2310" s="75" t="n"/>
      <c r="H2310" s="75">
        <f>IF(ISBLANK(E2310),"",IF(OR(D2310="Butterfly",D2310="Butterfly ",D2310="Iron Fly", D2310="Iron Fly "),LEN(E2310)-LEN(SUBSTITUTE(E2310,"/",""))+2,LEN(E2310)-LEN(SUBSTITUTE(E2310,"/",""))+1))</f>
        <v/>
      </c>
      <c r="I2310" s="78">
        <f>IF(ISBLANK(G2310),"",IF(D2310="Stock","0",Key!$A$3*H2310*G2310))</f>
        <v/>
      </c>
      <c r="J2310" s="78">
        <f>IF(ISBLANK(E2310),"",IF(ISNUMBER(SEARCH("/",E2310)), IF(LEN(E2310)-LEN(SUBSTITUTE(E2310,"/",""))=1,(RIGHT(E2310,LEN(E2310)-FIND("/",E2310)))-(LEFT(E2310,FIND("/",E2310)-1)),(MID(E2310, SEARCH("/",E2310) + 1, SEARCH("/",E2310, SEARCH("/",E2310)+1) - SEARCH("/",E2310) - 1))-(LEFT(E2310,FIND("/",E2310)-1))), "NA"))</f>
        <v/>
      </c>
      <c r="K2310" s="79">
        <f>IF(A2310&lt;&gt;"", IF(ISBLANK(L2310), TODAY(), K2310), "")</f>
        <v/>
      </c>
      <c r="L2310" s="78" t="n"/>
      <c r="M2310" s="78">
        <f>IF(ISBLANK(L2310),"",IF(D2310="Stock",IF(C2310="Buy",L2310*G2310,IF(C2310="Sell",(L2310*G2310)-I2310, X)),IF(C2310="Buy",(L2310*G2310*100)+I2310,IF(C2310="Sell",(L2310*G2310*100)-I2310, X))))</f>
        <v/>
      </c>
      <c r="N2310" s="78">
        <f>IF(ISBLANK(L2310),"",IF(AND(C2310="Sell",D2310="Stock"),M2310,IF(ISBLANK(L2310),"",IF(C2310="Buy",M2310, IF(AND(C2310="Sell",J2310="NA"),(E2310*G2310*100*0.1)+I2310, IF(C2310="Sell",(J2310-L2310)*(100*G2310)+I2310))))))</f>
        <v/>
      </c>
      <c r="O2310" s="75" t="n"/>
      <c r="P2310" s="75" t="n"/>
      <c r="Q2310" s="75">
        <f>IF(ISBLANK(P2310),"",IF(D2310="Stock",P2310*G2310,IF(P2310=0,"0",G2310*P2310*100-(G2310*$AF$14))))</f>
        <v/>
      </c>
      <c r="R2310" s="79">
        <f>IF(P2310&lt;&gt;"", TODAY(), "")</f>
        <v/>
      </c>
      <c r="S2310" s="78">
        <f>IF(AND(K2310&lt;&gt;"", R2310&lt;&gt;""), R2310-K2310, "")</f>
        <v/>
      </c>
      <c r="T2310" s="78" t="n"/>
      <c r="U2310" s="92">
        <f>IF(ISBLANK(P2310),"",IF(C2310="Buy",Q2310-M2310+T2310, IF(C2310="Sell",M2310-Q2310-T2310, X)))</f>
        <v/>
      </c>
      <c r="V2310" s="81">
        <f>IF(ISBLANK(P2310),"",U2310/N2310)</f>
        <v/>
      </c>
      <c r="W2310" s="81">
        <f>IF(ISBLANK(P2310),"",IF(S2310=0,(365/0.5)*V2310,(365/S2310)*V2310))</f>
        <v/>
      </c>
      <c r="X2310" s="75" t="n"/>
      <c r="Y2310" s="77" t="n"/>
      <c r="Z2310" s="77" t="n"/>
      <c r="AA2310" s="75" t="n"/>
      <c r="AB2310" s="75" t="n"/>
      <c r="AC2310" s="6" t="n"/>
      <c r="AD2310" s="75" t="n"/>
      <c r="AE2310" s="75" t="n"/>
      <c r="AF2310" s="75" t="n"/>
    </row>
    <row r="2311" ht="15.75" customHeight="1" s="133">
      <c r="A2311" s="75" t="n"/>
      <c r="B2311" s="75" t="n"/>
      <c r="C2311" s="75" t="n"/>
      <c r="D2311" s="75" t="n"/>
      <c r="E2311" s="76" t="n"/>
      <c r="F2311" s="77" t="n"/>
      <c r="G2311" s="75" t="n"/>
      <c r="H2311" s="75">
        <f>IF(ISBLANK(E2311),"",IF(OR(D2311="Butterfly",D2311="Butterfly ",D2311="Iron Fly", D2311="Iron Fly "),LEN(E2311)-LEN(SUBSTITUTE(E2311,"/",""))+2,LEN(E2311)-LEN(SUBSTITUTE(E2311,"/",""))+1))</f>
        <v/>
      </c>
      <c r="I2311" s="78">
        <f>IF(ISBLANK(G2311),"",IF(D2311="Stock","0",Key!$A$3*H2311*G2311))</f>
        <v/>
      </c>
      <c r="J2311" s="78">
        <f>IF(ISBLANK(E2311),"",IF(ISNUMBER(SEARCH("/",E2311)), IF(LEN(E2311)-LEN(SUBSTITUTE(E2311,"/",""))=1,(RIGHT(E2311,LEN(E2311)-FIND("/",E2311)))-(LEFT(E2311,FIND("/",E2311)-1)),(MID(E2311, SEARCH("/",E2311) + 1, SEARCH("/",E2311, SEARCH("/",E2311)+1) - SEARCH("/",E2311) - 1))-(LEFT(E2311,FIND("/",E2311)-1))), "NA"))</f>
        <v/>
      </c>
      <c r="K2311" s="79">
        <f>IF(A2311&lt;&gt;"", IF(ISBLANK(L2311), TODAY(), K2311), "")</f>
        <v/>
      </c>
      <c r="L2311" s="78" t="n"/>
      <c r="M2311" s="78">
        <f>IF(ISBLANK(L2311),"",IF(D2311="Stock",IF(C2311="Buy",L2311*G2311,IF(C2311="Sell",(L2311*G2311)-I2311, X)),IF(C2311="Buy",(L2311*G2311*100)+I2311,IF(C2311="Sell",(L2311*G2311*100)-I2311, X))))</f>
        <v/>
      </c>
      <c r="N2311" s="78">
        <f>IF(ISBLANK(L2311),"",IF(AND(C2311="Sell",D2311="Stock"),M2311,IF(ISBLANK(L2311),"",IF(C2311="Buy",M2311, IF(AND(C2311="Sell",J2311="NA"),(E2311*G2311*100*0.1)+I2311, IF(C2311="Sell",(J2311-L2311)*(100*G2311)+I2311))))))</f>
        <v/>
      </c>
      <c r="O2311" s="75" t="n"/>
      <c r="P2311" s="75" t="n"/>
      <c r="Q2311" s="75">
        <f>IF(ISBLANK(P2311),"",IF(D2311="Stock",P2311*G2311,IF(P2311=0,"0",G2311*P2311*100-(G2311*$AF$14))))</f>
        <v/>
      </c>
      <c r="R2311" s="79">
        <f>IF(P2311&lt;&gt;"", TODAY(), "")</f>
        <v/>
      </c>
      <c r="S2311" s="78">
        <f>IF(AND(K2311&lt;&gt;"", R2311&lt;&gt;""), R2311-K2311, "")</f>
        <v/>
      </c>
      <c r="T2311" s="78" t="n"/>
      <c r="U2311" s="92">
        <f>IF(ISBLANK(P2311),"",IF(C2311="Buy",Q2311-M2311+T2311, IF(C2311="Sell",M2311-Q2311-T2311, X)))</f>
        <v/>
      </c>
      <c r="V2311" s="81">
        <f>IF(ISBLANK(P2311),"",U2311/N2311)</f>
        <v/>
      </c>
      <c r="W2311" s="81">
        <f>IF(ISBLANK(P2311),"",IF(S2311=0,(365/0.5)*V2311,(365/S2311)*V2311))</f>
        <v/>
      </c>
      <c r="X2311" s="75" t="n"/>
      <c r="Y2311" s="77" t="n"/>
      <c r="Z2311" s="77" t="n"/>
      <c r="AA2311" s="75" t="n"/>
      <c r="AB2311" s="75" t="n"/>
      <c r="AC2311" s="6" t="n"/>
      <c r="AD2311" s="75" t="n"/>
      <c r="AE2311" s="75" t="n"/>
      <c r="AF2311" s="75" t="n"/>
    </row>
    <row r="2312" ht="15.75" customHeight="1" s="133">
      <c r="A2312" s="75" t="n"/>
      <c r="B2312" s="75" t="n"/>
      <c r="C2312" s="75" t="n"/>
      <c r="D2312" s="75" t="n"/>
      <c r="E2312" s="76" t="n"/>
      <c r="F2312" s="77" t="n"/>
      <c r="G2312" s="75" t="n"/>
      <c r="H2312" s="75">
        <f>IF(ISBLANK(E2312),"",IF(OR(D2312="Butterfly",D2312="Butterfly ",D2312="Iron Fly", D2312="Iron Fly "),LEN(E2312)-LEN(SUBSTITUTE(E2312,"/",""))+2,LEN(E2312)-LEN(SUBSTITUTE(E2312,"/",""))+1))</f>
        <v/>
      </c>
      <c r="I2312" s="78">
        <f>IF(ISBLANK(G2312),"",IF(D2312="Stock","0",Key!$A$3*H2312*G2312))</f>
        <v/>
      </c>
      <c r="J2312" s="78">
        <f>IF(ISBLANK(E2312),"",IF(ISNUMBER(SEARCH("/",E2312)), IF(LEN(E2312)-LEN(SUBSTITUTE(E2312,"/",""))=1,(RIGHT(E2312,LEN(E2312)-FIND("/",E2312)))-(LEFT(E2312,FIND("/",E2312)-1)),(MID(E2312, SEARCH("/",E2312) + 1, SEARCH("/",E2312, SEARCH("/",E2312)+1) - SEARCH("/",E2312) - 1))-(LEFT(E2312,FIND("/",E2312)-1))), "NA"))</f>
        <v/>
      </c>
      <c r="K2312" s="79">
        <f>IF(A2312&lt;&gt;"", IF(ISBLANK(L2312), TODAY(), K2312), "")</f>
        <v/>
      </c>
      <c r="L2312" s="78" t="n"/>
      <c r="M2312" s="78">
        <f>IF(ISBLANK(L2312),"",IF(D2312="Stock",IF(C2312="Buy",L2312*G2312,IF(C2312="Sell",(L2312*G2312)-I2312, X)),IF(C2312="Buy",(L2312*G2312*100)+I2312,IF(C2312="Sell",(L2312*G2312*100)-I2312, X))))</f>
        <v/>
      </c>
      <c r="N2312" s="78">
        <f>IF(ISBLANK(L2312),"",IF(AND(C2312="Sell",D2312="Stock"),M2312,IF(ISBLANK(L2312),"",IF(C2312="Buy",M2312, IF(AND(C2312="Sell",J2312="NA"),(E2312*G2312*100*0.1)+I2312, IF(C2312="Sell",(J2312-L2312)*(100*G2312)+I2312))))))</f>
        <v/>
      </c>
      <c r="O2312" s="75" t="n"/>
      <c r="P2312" s="75" t="n"/>
      <c r="Q2312" s="75">
        <f>IF(ISBLANK(P2312),"",IF(D2312="Stock",P2312*G2312,IF(P2312=0,"0",G2312*P2312*100-(G2312*$AF$14))))</f>
        <v/>
      </c>
      <c r="R2312" s="79">
        <f>IF(P2312&lt;&gt;"", TODAY(), "")</f>
        <v/>
      </c>
      <c r="S2312" s="78">
        <f>IF(AND(K2312&lt;&gt;"", R2312&lt;&gt;""), R2312-K2312, "")</f>
        <v/>
      </c>
      <c r="T2312" s="78" t="n"/>
      <c r="U2312" s="92">
        <f>IF(ISBLANK(P2312),"",IF(C2312="Buy",Q2312-M2312+T2312, IF(C2312="Sell",M2312-Q2312-T2312, X)))</f>
        <v/>
      </c>
      <c r="V2312" s="81">
        <f>IF(ISBLANK(P2312),"",U2312/N2312)</f>
        <v/>
      </c>
      <c r="W2312" s="81">
        <f>IF(ISBLANK(P2312),"",IF(S2312=0,(365/0.5)*V2312,(365/S2312)*V2312))</f>
        <v/>
      </c>
      <c r="X2312" s="75" t="n"/>
      <c r="Y2312" s="77" t="n"/>
      <c r="Z2312" s="77" t="n"/>
      <c r="AA2312" s="75" t="n"/>
      <c r="AB2312" s="75" t="n"/>
      <c r="AC2312" s="6" t="n"/>
      <c r="AD2312" s="75" t="n"/>
      <c r="AE2312" s="75" t="n"/>
      <c r="AF2312" s="75" t="n"/>
    </row>
    <row r="2313" ht="15.75" customHeight="1" s="133">
      <c r="A2313" s="75" t="n"/>
      <c r="B2313" s="75" t="n"/>
      <c r="C2313" s="75" t="n"/>
      <c r="D2313" s="75" t="n"/>
      <c r="E2313" s="76" t="n"/>
      <c r="F2313" s="77" t="n"/>
      <c r="G2313" s="75" t="n"/>
      <c r="H2313" s="75">
        <f>IF(ISBLANK(E2313),"",IF(OR(D2313="Butterfly",D2313="Butterfly ",D2313="Iron Fly", D2313="Iron Fly "),LEN(E2313)-LEN(SUBSTITUTE(E2313,"/",""))+2,LEN(E2313)-LEN(SUBSTITUTE(E2313,"/",""))+1))</f>
        <v/>
      </c>
      <c r="I2313" s="78">
        <f>IF(ISBLANK(G2313),"",IF(D2313="Stock","0",Key!$A$3*H2313*G2313))</f>
        <v/>
      </c>
      <c r="J2313" s="78">
        <f>IF(ISBLANK(E2313),"",IF(ISNUMBER(SEARCH("/",E2313)), IF(LEN(E2313)-LEN(SUBSTITUTE(E2313,"/",""))=1,(RIGHT(E2313,LEN(E2313)-FIND("/",E2313)))-(LEFT(E2313,FIND("/",E2313)-1)),(MID(E2313, SEARCH("/",E2313) + 1, SEARCH("/",E2313, SEARCH("/",E2313)+1) - SEARCH("/",E2313) - 1))-(LEFT(E2313,FIND("/",E2313)-1))), "NA"))</f>
        <v/>
      </c>
      <c r="K2313" s="79">
        <f>IF(A2313&lt;&gt;"", IF(ISBLANK(L2313), TODAY(), K2313), "")</f>
        <v/>
      </c>
      <c r="L2313" s="78" t="n"/>
      <c r="M2313" s="78">
        <f>IF(ISBLANK(L2313),"",IF(D2313="Stock",IF(C2313="Buy",L2313*G2313,IF(C2313="Sell",(L2313*G2313)-I2313, X)),IF(C2313="Buy",(L2313*G2313*100)+I2313,IF(C2313="Sell",(L2313*G2313*100)-I2313, X))))</f>
        <v/>
      </c>
      <c r="N2313" s="78">
        <f>IF(ISBLANK(L2313),"",IF(AND(C2313="Sell",D2313="Stock"),M2313,IF(ISBLANK(L2313),"",IF(C2313="Buy",M2313, IF(AND(C2313="Sell",J2313="NA"),(E2313*G2313*100*0.1)+I2313, IF(C2313="Sell",(J2313-L2313)*(100*G2313)+I2313))))))</f>
        <v/>
      </c>
      <c r="O2313" s="75" t="n"/>
      <c r="P2313" s="75" t="n"/>
      <c r="Q2313" s="75">
        <f>IF(ISBLANK(P2313),"",IF(D2313="Stock",P2313*G2313,IF(P2313=0,"0",G2313*P2313*100-(G2313*$AF$14))))</f>
        <v/>
      </c>
      <c r="R2313" s="79">
        <f>IF(P2313&lt;&gt;"", TODAY(), "")</f>
        <v/>
      </c>
      <c r="S2313" s="78">
        <f>IF(AND(K2313&lt;&gt;"", R2313&lt;&gt;""), R2313-K2313, "")</f>
        <v/>
      </c>
      <c r="T2313" s="78" t="n"/>
      <c r="U2313" s="92">
        <f>IF(ISBLANK(P2313),"",IF(C2313="Buy",Q2313-M2313+T2313, IF(C2313="Sell",M2313-Q2313-T2313, X)))</f>
        <v/>
      </c>
      <c r="V2313" s="81">
        <f>IF(ISBLANK(P2313),"",U2313/N2313)</f>
        <v/>
      </c>
      <c r="W2313" s="81">
        <f>IF(ISBLANK(P2313),"",IF(S2313=0,(365/0.5)*V2313,(365/S2313)*V2313))</f>
        <v/>
      </c>
      <c r="X2313" s="75" t="n"/>
      <c r="Y2313" s="77" t="n"/>
      <c r="Z2313" s="77" t="n"/>
      <c r="AA2313" s="75" t="n"/>
      <c r="AB2313" s="75" t="n"/>
      <c r="AC2313" s="6" t="n"/>
      <c r="AD2313" s="75" t="n"/>
      <c r="AE2313" s="75" t="n"/>
      <c r="AF2313" s="75" t="n"/>
    </row>
    <row r="2314" ht="15.75" customHeight="1" s="133">
      <c r="A2314" s="75" t="n"/>
      <c r="B2314" s="75" t="n"/>
      <c r="C2314" s="75" t="n"/>
      <c r="D2314" s="75" t="n"/>
      <c r="E2314" s="76" t="n"/>
      <c r="F2314" s="77" t="n"/>
      <c r="G2314" s="75" t="n"/>
      <c r="H2314" s="75">
        <f>IF(ISBLANK(E2314),"",IF(OR(D2314="Butterfly",D2314="Butterfly ",D2314="Iron Fly", D2314="Iron Fly "),LEN(E2314)-LEN(SUBSTITUTE(E2314,"/",""))+2,LEN(E2314)-LEN(SUBSTITUTE(E2314,"/",""))+1))</f>
        <v/>
      </c>
      <c r="I2314" s="78">
        <f>IF(ISBLANK(G2314),"",IF(D2314="Stock","0",Key!$A$3*H2314*G2314))</f>
        <v/>
      </c>
      <c r="J2314" s="78">
        <f>IF(ISBLANK(E2314),"",IF(ISNUMBER(SEARCH("/",E2314)), IF(LEN(E2314)-LEN(SUBSTITUTE(E2314,"/",""))=1,(RIGHT(E2314,LEN(E2314)-FIND("/",E2314)))-(LEFT(E2314,FIND("/",E2314)-1)),(MID(E2314, SEARCH("/",E2314) + 1, SEARCH("/",E2314, SEARCH("/",E2314)+1) - SEARCH("/",E2314) - 1))-(LEFT(E2314,FIND("/",E2314)-1))), "NA"))</f>
        <v/>
      </c>
      <c r="K2314" s="79">
        <f>IF(A2314&lt;&gt;"", IF(ISBLANK(L2314), TODAY(), K2314), "")</f>
        <v/>
      </c>
      <c r="L2314" s="78" t="n"/>
      <c r="M2314" s="78">
        <f>IF(ISBLANK(L2314),"",IF(D2314="Stock",IF(C2314="Buy",L2314*G2314,IF(C2314="Sell",(L2314*G2314)-I2314, X)),IF(C2314="Buy",(L2314*G2314*100)+I2314,IF(C2314="Sell",(L2314*G2314*100)-I2314, X))))</f>
        <v/>
      </c>
      <c r="N2314" s="78">
        <f>IF(ISBLANK(L2314),"",IF(AND(C2314="Sell",D2314="Stock"),M2314,IF(ISBLANK(L2314),"",IF(C2314="Buy",M2314, IF(AND(C2314="Sell",J2314="NA"),(E2314*G2314*100*0.1)+I2314, IF(C2314="Sell",(J2314-L2314)*(100*G2314)+I2314))))))</f>
        <v/>
      </c>
      <c r="O2314" s="75" t="n"/>
      <c r="P2314" s="75" t="n"/>
      <c r="Q2314" s="75">
        <f>IF(ISBLANK(P2314),"",IF(D2314="Stock",P2314*G2314,IF(P2314=0,"0",G2314*P2314*100-(G2314*$AF$14))))</f>
        <v/>
      </c>
      <c r="R2314" s="79">
        <f>IF(P2314&lt;&gt;"", TODAY(), "")</f>
        <v/>
      </c>
      <c r="S2314" s="78">
        <f>IF(AND(K2314&lt;&gt;"", R2314&lt;&gt;""), R2314-K2314, "")</f>
        <v/>
      </c>
      <c r="T2314" s="78" t="n"/>
      <c r="U2314" s="92">
        <f>IF(ISBLANK(P2314),"",IF(C2314="Buy",Q2314-M2314+T2314, IF(C2314="Sell",M2314-Q2314-T2314, X)))</f>
        <v/>
      </c>
      <c r="V2314" s="81">
        <f>IF(ISBLANK(P2314),"",U2314/N2314)</f>
        <v/>
      </c>
      <c r="W2314" s="81">
        <f>IF(ISBLANK(P2314),"",IF(S2314=0,(365/0.5)*V2314,(365/S2314)*V2314))</f>
        <v/>
      </c>
      <c r="X2314" s="75" t="n"/>
      <c r="Y2314" s="77" t="n"/>
      <c r="Z2314" s="77" t="n"/>
      <c r="AA2314" s="75" t="n"/>
      <c r="AB2314" s="75" t="n"/>
      <c r="AC2314" s="6" t="n"/>
      <c r="AD2314" s="75" t="n"/>
      <c r="AE2314" s="75" t="n"/>
      <c r="AF2314" s="75" t="n"/>
    </row>
    <row r="2315" ht="15.75" customHeight="1" s="133">
      <c r="A2315" s="75" t="n"/>
      <c r="B2315" s="75" t="n"/>
      <c r="C2315" s="75" t="n"/>
      <c r="D2315" s="75" t="n"/>
      <c r="E2315" s="76" t="n"/>
      <c r="F2315" s="77" t="n"/>
      <c r="G2315" s="75" t="n"/>
      <c r="H2315" s="75">
        <f>IF(ISBLANK(E2315),"",IF(OR(D2315="Butterfly",D2315="Butterfly ",D2315="Iron Fly", D2315="Iron Fly "),LEN(E2315)-LEN(SUBSTITUTE(E2315,"/",""))+2,LEN(E2315)-LEN(SUBSTITUTE(E2315,"/",""))+1))</f>
        <v/>
      </c>
      <c r="I2315" s="78">
        <f>IF(ISBLANK(G2315),"",IF(D2315="Stock","0",Key!$A$3*H2315*G2315))</f>
        <v/>
      </c>
      <c r="J2315" s="78">
        <f>IF(ISBLANK(E2315),"",IF(ISNUMBER(SEARCH("/",E2315)), IF(LEN(E2315)-LEN(SUBSTITUTE(E2315,"/",""))=1,(RIGHT(E2315,LEN(E2315)-FIND("/",E2315)))-(LEFT(E2315,FIND("/",E2315)-1)),(MID(E2315, SEARCH("/",E2315) + 1, SEARCH("/",E2315, SEARCH("/",E2315)+1) - SEARCH("/",E2315) - 1))-(LEFT(E2315,FIND("/",E2315)-1))), "NA"))</f>
        <v/>
      </c>
      <c r="K2315" s="79">
        <f>IF(A2315&lt;&gt;"", IF(ISBLANK(L2315), TODAY(), K2315), "")</f>
        <v/>
      </c>
      <c r="L2315" s="78" t="n"/>
      <c r="M2315" s="78">
        <f>IF(ISBLANK(L2315),"",IF(D2315="Stock",IF(C2315="Buy",L2315*G2315,IF(C2315="Sell",(L2315*G2315)-I2315, X)),IF(C2315="Buy",(L2315*G2315*100)+I2315,IF(C2315="Sell",(L2315*G2315*100)-I2315, X))))</f>
        <v/>
      </c>
      <c r="N2315" s="78">
        <f>IF(ISBLANK(L2315),"",IF(AND(C2315="Sell",D2315="Stock"),M2315,IF(ISBLANK(L2315),"",IF(C2315="Buy",M2315, IF(AND(C2315="Sell",J2315="NA"),(E2315*G2315*100*0.1)+I2315, IF(C2315="Sell",(J2315-L2315)*(100*G2315)+I2315))))))</f>
        <v/>
      </c>
      <c r="O2315" s="75" t="n"/>
      <c r="P2315" s="75" t="n"/>
      <c r="Q2315" s="75">
        <f>IF(ISBLANK(P2315),"",IF(D2315="Stock",P2315*G2315,IF(P2315=0,"0",G2315*P2315*100-(G2315*$AF$14))))</f>
        <v/>
      </c>
      <c r="R2315" s="79">
        <f>IF(P2315&lt;&gt;"", TODAY(), "")</f>
        <v/>
      </c>
      <c r="S2315" s="78">
        <f>IF(AND(K2315&lt;&gt;"", R2315&lt;&gt;""), R2315-K2315, "")</f>
        <v/>
      </c>
      <c r="T2315" s="78" t="n"/>
      <c r="U2315" s="92">
        <f>IF(ISBLANK(P2315),"",IF(C2315="Buy",Q2315-M2315+T2315, IF(C2315="Sell",M2315-Q2315-T2315, X)))</f>
        <v/>
      </c>
      <c r="V2315" s="81">
        <f>IF(ISBLANK(P2315),"",U2315/N2315)</f>
        <v/>
      </c>
      <c r="W2315" s="81">
        <f>IF(ISBLANK(P2315),"",IF(S2315=0,(365/0.5)*V2315,(365/S2315)*V2315))</f>
        <v/>
      </c>
      <c r="X2315" s="75" t="n"/>
      <c r="Y2315" s="77" t="n"/>
      <c r="Z2315" s="77" t="n"/>
      <c r="AA2315" s="75" t="n"/>
      <c r="AB2315" s="75" t="n"/>
      <c r="AC2315" s="6" t="n"/>
      <c r="AD2315" s="75" t="n"/>
      <c r="AE2315" s="75" t="n"/>
      <c r="AF2315" s="75" t="n"/>
    </row>
    <row r="2316" ht="15.75" customHeight="1" s="133">
      <c r="A2316" s="75" t="n"/>
      <c r="B2316" s="75" t="n"/>
      <c r="C2316" s="75" t="n"/>
      <c r="D2316" s="75" t="n"/>
      <c r="E2316" s="76" t="n"/>
      <c r="F2316" s="77" t="n"/>
      <c r="G2316" s="75" t="n"/>
      <c r="H2316" s="75">
        <f>IF(ISBLANK(E2316),"",IF(OR(D2316="Butterfly",D2316="Butterfly ",D2316="Iron Fly", D2316="Iron Fly "),LEN(E2316)-LEN(SUBSTITUTE(E2316,"/",""))+2,LEN(E2316)-LEN(SUBSTITUTE(E2316,"/",""))+1))</f>
        <v/>
      </c>
      <c r="I2316" s="78">
        <f>IF(ISBLANK(G2316),"",IF(D2316="Stock","0",Key!$A$3*H2316*G2316))</f>
        <v/>
      </c>
      <c r="J2316" s="78">
        <f>IF(ISBLANK(E2316),"",IF(ISNUMBER(SEARCH("/",E2316)), IF(LEN(E2316)-LEN(SUBSTITUTE(E2316,"/",""))=1,(RIGHT(E2316,LEN(E2316)-FIND("/",E2316)))-(LEFT(E2316,FIND("/",E2316)-1)),(MID(E2316, SEARCH("/",E2316) + 1, SEARCH("/",E2316, SEARCH("/",E2316)+1) - SEARCH("/",E2316) - 1))-(LEFT(E2316,FIND("/",E2316)-1))), "NA"))</f>
        <v/>
      </c>
      <c r="K2316" s="79">
        <f>IF(A2316&lt;&gt;"", IF(ISBLANK(L2316), TODAY(), K2316), "")</f>
        <v/>
      </c>
      <c r="L2316" s="78" t="n"/>
      <c r="M2316" s="78">
        <f>IF(ISBLANK(L2316),"",IF(D2316="Stock",IF(C2316="Buy",L2316*G2316,IF(C2316="Sell",(L2316*G2316)-I2316, X)),IF(C2316="Buy",(L2316*G2316*100)+I2316,IF(C2316="Sell",(L2316*G2316*100)-I2316, X))))</f>
        <v/>
      </c>
      <c r="N2316" s="78">
        <f>IF(ISBLANK(L2316),"",IF(AND(C2316="Sell",D2316="Stock"),M2316,IF(ISBLANK(L2316),"",IF(C2316="Buy",M2316, IF(AND(C2316="Sell",J2316="NA"),(E2316*G2316*100*0.1)+I2316, IF(C2316="Sell",(J2316-L2316)*(100*G2316)+I2316))))))</f>
        <v/>
      </c>
      <c r="O2316" s="75" t="n"/>
      <c r="P2316" s="75" t="n"/>
      <c r="Q2316" s="75">
        <f>IF(ISBLANK(P2316),"",IF(D2316="Stock",P2316*G2316,IF(P2316=0,"0",G2316*P2316*100-(G2316*$AF$14))))</f>
        <v/>
      </c>
      <c r="R2316" s="79">
        <f>IF(P2316&lt;&gt;"", TODAY(), "")</f>
        <v/>
      </c>
      <c r="S2316" s="78">
        <f>IF(AND(K2316&lt;&gt;"", R2316&lt;&gt;""), R2316-K2316, "")</f>
        <v/>
      </c>
      <c r="T2316" s="78" t="n"/>
      <c r="U2316" s="92">
        <f>IF(ISBLANK(P2316),"",IF(C2316="Buy",Q2316-M2316+T2316, IF(C2316="Sell",M2316-Q2316-T2316, X)))</f>
        <v/>
      </c>
      <c r="V2316" s="81">
        <f>IF(ISBLANK(P2316),"",U2316/N2316)</f>
        <v/>
      </c>
      <c r="W2316" s="81">
        <f>IF(ISBLANK(P2316),"",IF(S2316=0,(365/0.5)*V2316,(365/S2316)*V2316))</f>
        <v/>
      </c>
      <c r="X2316" s="75" t="n"/>
      <c r="Y2316" s="77" t="n"/>
      <c r="Z2316" s="77" t="n"/>
      <c r="AA2316" s="75" t="n"/>
      <c r="AB2316" s="75" t="n"/>
      <c r="AC2316" s="6" t="n"/>
      <c r="AD2316" s="75" t="n"/>
      <c r="AE2316" s="75" t="n"/>
      <c r="AF2316" s="75" t="n"/>
    </row>
    <row r="2317" ht="15.75" customHeight="1" s="133">
      <c r="A2317" s="75" t="n"/>
      <c r="B2317" s="75" t="n"/>
      <c r="C2317" s="75" t="n"/>
      <c r="D2317" s="75" t="n"/>
      <c r="E2317" s="76" t="n"/>
      <c r="F2317" s="77" t="n"/>
      <c r="G2317" s="75" t="n"/>
      <c r="H2317" s="75">
        <f>IF(ISBLANK(E2317),"",IF(OR(D2317="Butterfly",D2317="Butterfly ",D2317="Iron Fly", D2317="Iron Fly "),LEN(E2317)-LEN(SUBSTITUTE(E2317,"/",""))+2,LEN(E2317)-LEN(SUBSTITUTE(E2317,"/",""))+1))</f>
        <v/>
      </c>
      <c r="I2317" s="78">
        <f>IF(ISBLANK(G2317),"",IF(D2317="Stock","0",Key!$A$3*H2317*G2317))</f>
        <v/>
      </c>
      <c r="J2317" s="78">
        <f>IF(ISBLANK(E2317),"",IF(ISNUMBER(SEARCH("/",E2317)), IF(LEN(E2317)-LEN(SUBSTITUTE(E2317,"/",""))=1,(RIGHT(E2317,LEN(E2317)-FIND("/",E2317)))-(LEFT(E2317,FIND("/",E2317)-1)),(MID(E2317, SEARCH("/",E2317) + 1, SEARCH("/",E2317, SEARCH("/",E2317)+1) - SEARCH("/",E2317) - 1))-(LEFT(E2317,FIND("/",E2317)-1))), "NA"))</f>
        <v/>
      </c>
      <c r="K2317" s="79">
        <f>IF(A2317&lt;&gt;"", IF(ISBLANK(L2317), TODAY(), K2317), "")</f>
        <v/>
      </c>
      <c r="L2317" s="78" t="n"/>
      <c r="M2317" s="78">
        <f>IF(ISBLANK(L2317),"",IF(D2317="Stock",IF(C2317="Buy",L2317*G2317,IF(C2317="Sell",(L2317*G2317)-I2317, X)),IF(C2317="Buy",(L2317*G2317*100)+I2317,IF(C2317="Sell",(L2317*G2317*100)-I2317, X))))</f>
        <v/>
      </c>
      <c r="N2317" s="78">
        <f>IF(ISBLANK(L2317),"",IF(AND(C2317="Sell",D2317="Stock"),M2317,IF(ISBLANK(L2317),"",IF(C2317="Buy",M2317, IF(AND(C2317="Sell",J2317="NA"),(E2317*G2317*100*0.1)+I2317, IF(C2317="Sell",(J2317-L2317)*(100*G2317)+I2317))))))</f>
        <v/>
      </c>
      <c r="O2317" s="75" t="n"/>
      <c r="P2317" s="75" t="n"/>
      <c r="Q2317" s="75">
        <f>IF(ISBLANK(P2317),"",IF(D2317="Stock",P2317*G2317,IF(P2317=0,"0",G2317*P2317*100-(G2317*$AF$14))))</f>
        <v/>
      </c>
      <c r="R2317" s="79">
        <f>IF(P2317&lt;&gt;"", TODAY(), "")</f>
        <v/>
      </c>
      <c r="S2317" s="78">
        <f>IF(AND(K2317&lt;&gt;"", R2317&lt;&gt;""), R2317-K2317, "")</f>
        <v/>
      </c>
      <c r="T2317" s="78" t="n"/>
      <c r="U2317" s="92">
        <f>IF(ISBLANK(P2317),"",IF(C2317="Buy",Q2317-M2317+T2317, IF(C2317="Sell",M2317-Q2317-T2317, X)))</f>
        <v/>
      </c>
      <c r="V2317" s="81">
        <f>IF(ISBLANK(P2317),"",U2317/N2317)</f>
        <v/>
      </c>
      <c r="W2317" s="81">
        <f>IF(ISBLANK(P2317),"",IF(S2317=0,(365/0.5)*V2317,(365/S2317)*V2317))</f>
        <v/>
      </c>
      <c r="X2317" s="75" t="n"/>
      <c r="Y2317" s="77" t="n"/>
      <c r="Z2317" s="77" t="n"/>
      <c r="AA2317" s="75" t="n"/>
      <c r="AB2317" s="75" t="n"/>
      <c r="AC2317" s="6" t="n"/>
      <c r="AD2317" s="75" t="n"/>
      <c r="AE2317" s="75" t="n"/>
      <c r="AF2317" s="75" t="n"/>
    </row>
    <row r="2318" ht="15.75" customHeight="1" s="133">
      <c r="A2318" s="75" t="n"/>
      <c r="B2318" s="75" t="n"/>
      <c r="C2318" s="75" t="n"/>
      <c r="D2318" s="75" t="n"/>
      <c r="E2318" s="76" t="n"/>
      <c r="F2318" s="77" t="n"/>
      <c r="G2318" s="75" t="n"/>
      <c r="H2318" s="75">
        <f>IF(ISBLANK(E2318),"",IF(OR(D2318="Butterfly",D2318="Butterfly ",D2318="Iron Fly", D2318="Iron Fly "),LEN(E2318)-LEN(SUBSTITUTE(E2318,"/",""))+2,LEN(E2318)-LEN(SUBSTITUTE(E2318,"/",""))+1))</f>
        <v/>
      </c>
      <c r="I2318" s="78">
        <f>IF(ISBLANK(G2318),"",IF(D2318="Stock","0",Key!$A$3*H2318*G2318))</f>
        <v/>
      </c>
      <c r="J2318" s="78">
        <f>IF(ISBLANK(E2318),"",IF(ISNUMBER(SEARCH("/",E2318)), IF(LEN(E2318)-LEN(SUBSTITUTE(E2318,"/",""))=1,(RIGHT(E2318,LEN(E2318)-FIND("/",E2318)))-(LEFT(E2318,FIND("/",E2318)-1)),(MID(E2318, SEARCH("/",E2318) + 1, SEARCH("/",E2318, SEARCH("/",E2318)+1) - SEARCH("/",E2318) - 1))-(LEFT(E2318,FIND("/",E2318)-1))), "NA"))</f>
        <v/>
      </c>
      <c r="K2318" s="79">
        <f>IF(A2318&lt;&gt;"", IF(ISBLANK(L2318), TODAY(), K2318), "")</f>
        <v/>
      </c>
      <c r="L2318" s="78" t="n"/>
      <c r="M2318" s="78">
        <f>IF(ISBLANK(L2318),"",IF(D2318="Stock",IF(C2318="Buy",L2318*G2318,IF(C2318="Sell",(L2318*G2318)-I2318, X)),IF(C2318="Buy",(L2318*G2318*100)+I2318,IF(C2318="Sell",(L2318*G2318*100)-I2318, X))))</f>
        <v/>
      </c>
      <c r="N2318" s="78">
        <f>IF(ISBLANK(L2318),"",IF(AND(C2318="Sell",D2318="Stock"),M2318,IF(ISBLANK(L2318),"",IF(C2318="Buy",M2318, IF(AND(C2318="Sell",J2318="NA"),(E2318*G2318*100*0.1)+I2318, IF(C2318="Sell",(J2318-L2318)*(100*G2318)+I2318))))))</f>
        <v/>
      </c>
      <c r="O2318" s="75" t="n"/>
      <c r="P2318" s="75" t="n"/>
      <c r="Q2318" s="75">
        <f>IF(ISBLANK(P2318),"",IF(D2318="Stock",P2318*G2318,IF(P2318=0,"0",G2318*P2318*100-(G2318*$AF$14))))</f>
        <v/>
      </c>
      <c r="R2318" s="79">
        <f>IF(P2318&lt;&gt;"", TODAY(), "")</f>
        <v/>
      </c>
      <c r="S2318" s="78">
        <f>IF(AND(K2318&lt;&gt;"", R2318&lt;&gt;""), R2318-K2318, "")</f>
        <v/>
      </c>
      <c r="T2318" s="78" t="n"/>
      <c r="U2318" s="92">
        <f>IF(ISBLANK(P2318),"",IF(C2318="Buy",Q2318-M2318+T2318, IF(C2318="Sell",M2318-Q2318-T2318, X)))</f>
        <v/>
      </c>
      <c r="V2318" s="81">
        <f>IF(ISBLANK(P2318),"",U2318/N2318)</f>
        <v/>
      </c>
      <c r="W2318" s="81">
        <f>IF(ISBLANK(P2318),"",IF(S2318=0,(365/0.5)*V2318,(365/S2318)*V2318))</f>
        <v/>
      </c>
      <c r="X2318" s="75" t="n"/>
      <c r="Y2318" s="77" t="n"/>
      <c r="Z2318" s="77" t="n"/>
      <c r="AA2318" s="75" t="n"/>
      <c r="AB2318" s="75" t="n"/>
      <c r="AC2318" s="6" t="n"/>
      <c r="AD2318" s="75" t="n"/>
      <c r="AE2318" s="75" t="n"/>
      <c r="AF2318" s="75" t="n"/>
    </row>
    <row r="2319" ht="15.75" customHeight="1" s="133">
      <c r="A2319" s="75" t="n"/>
      <c r="B2319" s="75" t="n"/>
      <c r="C2319" s="75" t="n"/>
      <c r="D2319" s="75" t="n"/>
      <c r="E2319" s="76" t="n"/>
      <c r="F2319" s="77" t="n"/>
      <c r="G2319" s="75" t="n"/>
      <c r="H2319" s="75">
        <f>IF(ISBLANK(E2319),"",IF(OR(D2319="Butterfly",D2319="Butterfly ",D2319="Iron Fly", D2319="Iron Fly "),LEN(E2319)-LEN(SUBSTITUTE(E2319,"/",""))+2,LEN(E2319)-LEN(SUBSTITUTE(E2319,"/",""))+1))</f>
        <v/>
      </c>
      <c r="I2319" s="78">
        <f>IF(ISBLANK(G2319),"",IF(D2319="Stock","0",Key!$A$3*H2319*G2319))</f>
        <v/>
      </c>
      <c r="J2319" s="78">
        <f>IF(ISBLANK(E2319),"",IF(ISNUMBER(SEARCH("/",E2319)), IF(LEN(E2319)-LEN(SUBSTITUTE(E2319,"/",""))=1,(RIGHT(E2319,LEN(E2319)-FIND("/",E2319)))-(LEFT(E2319,FIND("/",E2319)-1)),(MID(E2319, SEARCH("/",E2319) + 1, SEARCH("/",E2319, SEARCH("/",E2319)+1) - SEARCH("/",E2319) - 1))-(LEFT(E2319,FIND("/",E2319)-1))), "NA"))</f>
        <v/>
      </c>
      <c r="K2319" s="79">
        <f>IF(A2319&lt;&gt;"", IF(ISBLANK(L2319), TODAY(), K2319), "")</f>
        <v/>
      </c>
      <c r="L2319" s="78" t="n"/>
      <c r="M2319" s="78">
        <f>IF(ISBLANK(L2319),"",IF(D2319="Stock",IF(C2319="Buy",L2319*G2319,IF(C2319="Sell",(L2319*G2319)-I2319, X)),IF(C2319="Buy",(L2319*G2319*100)+I2319,IF(C2319="Sell",(L2319*G2319*100)-I2319, X))))</f>
        <v/>
      </c>
      <c r="N2319" s="78">
        <f>IF(ISBLANK(L2319),"",IF(AND(C2319="Sell",D2319="Stock"),M2319,IF(ISBLANK(L2319),"",IF(C2319="Buy",M2319, IF(AND(C2319="Sell",J2319="NA"),(E2319*G2319*100*0.1)+I2319, IF(C2319="Sell",(J2319-L2319)*(100*G2319)+I2319))))))</f>
        <v/>
      </c>
      <c r="O2319" s="75" t="n"/>
      <c r="P2319" s="75" t="n"/>
      <c r="Q2319" s="75">
        <f>IF(ISBLANK(P2319),"",IF(D2319="Stock",P2319*G2319,IF(P2319=0,"0",G2319*P2319*100-(G2319*$AF$14))))</f>
        <v/>
      </c>
      <c r="R2319" s="79">
        <f>IF(P2319&lt;&gt;"", TODAY(), "")</f>
        <v/>
      </c>
      <c r="S2319" s="78">
        <f>IF(AND(K2319&lt;&gt;"", R2319&lt;&gt;""), R2319-K2319, "")</f>
        <v/>
      </c>
      <c r="T2319" s="78" t="n"/>
      <c r="U2319" s="92">
        <f>IF(ISBLANK(P2319),"",IF(C2319="Buy",Q2319-M2319+T2319, IF(C2319="Sell",M2319-Q2319-T2319, X)))</f>
        <v/>
      </c>
      <c r="V2319" s="81">
        <f>IF(ISBLANK(P2319),"",U2319/N2319)</f>
        <v/>
      </c>
      <c r="W2319" s="81">
        <f>IF(ISBLANK(P2319),"",IF(S2319=0,(365/0.5)*V2319,(365/S2319)*V2319))</f>
        <v/>
      </c>
      <c r="X2319" s="75" t="n"/>
      <c r="Y2319" s="77" t="n"/>
      <c r="Z2319" s="77" t="n"/>
      <c r="AA2319" s="75" t="n"/>
      <c r="AB2319" s="75" t="n"/>
      <c r="AC2319" s="6" t="n"/>
      <c r="AD2319" s="75" t="n"/>
      <c r="AE2319" s="75" t="n"/>
      <c r="AF2319" s="75" t="n"/>
    </row>
    <row r="2320" ht="15.75" customHeight="1" s="133">
      <c r="A2320" s="75" t="n"/>
      <c r="B2320" s="75" t="n"/>
      <c r="C2320" s="75" t="n"/>
      <c r="D2320" s="75" t="n"/>
      <c r="E2320" s="76" t="n"/>
      <c r="F2320" s="77" t="n"/>
      <c r="G2320" s="75" t="n"/>
      <c r="H2320" s="75">
        <f>IF(ISBLANK(E2320),"",IF(OR(D2320="Butterfly",D2320="Butterfly ",D2320="Iron Fly", D2320="Iron Fly "),LEN(E2320)-LEN(SUBSTITUTE(E2320,"/",""))+2,LEN(E2320)-LEN(SUBSTITUTE(E2320,"/",""))+1))</f>
        <v/>
      </c>
      <c r="I2320" s="78">
        <f>IF(ISBLANK(G2320),"",IF(D2320="Stock","0",Key!$A$3*H2320*G2320))</f>
        <v/>
      </c>
      <c r="J2320" s="78">
        <f>IF(ISBLANK(E2320),"",IF(ISNUMBER(SEARCH("/",E2320)), IF(LEN(E2320)-LEN(SUBSTITUTE(E2320,"/",""))=1,(RIGHT(E2320,LEN(E2320)-FIND("/",E2320)))-(LEFT(E2320,FIND("/",E2320)-1)),(MID(E2320, SEARCH("/",E2320) + 1, SEARCH("/",E2320, SEARCH("/",E2320)+1) - SEARCH("/",E2320) - 1))-(LEFT(E2320,FIND("/",E2320)-1))), "NA"))</f>
        <v/>
      </c>
      <c r="K2320" s="79">
        <f>IF(A2320&lt;&gt;"", IF(ISBLANK(L2320), TODAY(), K2320), "")</f>
        <v/>
      </c>
      <c r="L2320" s="78" t="n"/>
      <c r="M2320" s="78">
        <f>IF(ISBLANK(L2320),"",IF(D2320="Stock",IF(C2320="Buy",L2320*G2320,IF(C2320="Sell",(L2320*G2320)-I2320, X)),IF(C2320="Buy",(L2320*G2320*100)+I2320,IF(C2320="Sell",(L2320*G2320*100)-I2320, X))))</f>
        <v/>
      </c>
      <c r="N2320" s="78">
        <f>IF(ISBLANK(L2320),"",IF(AND(C2320="Sell",D2320="Stock"),M2320,IF(ISBLANK(L2320),"",IF(C2320="Buy",M2320, IF(AND(C2320="Sell",J2320="NA"),(E2320*G2320*100*0.1)+I2320, IF(C2320="Sell",(J2320-L2320)*(100*G2320)+I2320))))))</f>
        <v/>
      </c>
      <c r="O2320" s="75" t="n"/>
      <c r="P2320" s="75" t="n"/>
      <c r="Q2320" s="75">
        <f>IF(ISBLANK(P2320),"",IF(D2320="Stock",P2320*G2320,IF(P2320=0,"0",G2320*P2320*100-(G2320*$AF$14))))</f>
        <v/>
      </c>
      <c r="R2320" s="79">
        <f>IF(P2320&lt;&gt;"", TODAY(), "")</f>
        <v/>
      </c>
      <c r="S2320" s="78">
        <f>IF(AND(K2320&lt;&gt;"", R2320&lt;&gt;""), R2320-K2320, "")</f>
        <v/>
      </c>
      <c r="T2320" s="78" t="n"/>
      <c r="U2320" s="92">
        <f>IF(ISBLANK(P2320),"",IF(C2320="Buy",Q2320-M2320+T2320, IF(C2320="Sell",M2320-Q2320-T2320, X)))</f>
        <v/>
      </c>
      <c r="V2320" s="81">
        <f>IF(ISBLANK(P2320),"",U2320/N2320)</f>
        <v/>
      </c>
      <c r="W2320" s="81">
        <f>IF(ISBLANK(P2320),"",IF(S2320=0,(365/0.5)*V2320,(365/S2320)*V2320))</f>
        <v/>
      </c>
      <c r="X2320" s="75" t="n"/>
      <c r="Y2320" s="77" t="n"/>
      <c r="Z2320" s="77" t="n"/>
      <c r="AA2320" s="75" t="n"/>
      <c r="AB2320" s="75" t="n"/>
      <c r="AC2320" s="6" t="n"/>
      <c r="AD2320" s="75" t="n"/>
      <c r="AE2320" s="75" t="n"/>
      <c r="AF2320" s="75" t="n"/>
    </row>
    <row r="2321" ht="15.75" customHeight="1" s="133">
      <c r="A2321" s="75" t="n"/>
      <c r="B2321" s="75" t="n"/>
      <c r="C2321" s="75" t="n"/>
      <c r="D2321" s="75" t="n"/>
      <c r="E2321" s="76" t="n"/>
      <c r="F2321" s="77" t="n"/>
      <c r="G2321" s="75" t="n"/>
      <c r="H2321" s="75">
        <f>IF(ISBLANK(E2321),"",IF(OR(D2321="Butterfly",D2321="Butterfly ",D2321="Iron Fly", D2321="Iron Fly "),LEN(E2321)-LEN(SUBSTITUTE(E2321,"/",""))+2,LEN(E2321)-LEN(SUBSTITUTE(E2321,"/",""))+1))</f>
        <v/>
      </c>
      <c r="I2321" s="78">
        <f>IF(ISBLANK(G2321),"",IF(D2321="Stock","0",Key!$A$3*H2321*G2321))</f>
        <v/>
      </c>
      <c r="J2321" s="78">
        <f>IF(ISBLANK(E2321),"",IF(ISNUMBER(SEARCH("/",E2321)), IF(LEN(E2321)-LEN(SUBSTITUTE(E2321,"/",""))=1,(RIGHT(E2321,LEN(E2321)-FIND("/",E2321)))-(LEFT(E2321,FIND("/",E2321)-1)),(MID(E2321, SEARCH("/",E2321) + 1, SEARCH("/",E2321, SEARCH("/",E2321)+1) - SEARCH("/",E2321) - 1))-(LEFT(E2321,FIND("/",E2321)-1))), "NA"))</f>
        <v/>
      </c>
      <c r="K2321" s="79">
        <f>IF(A2321&lt;&gt;"", IF(ISBLANK(L2321), TODAY(), K2321), "")</f>
        <v/>
      </c>
      <c r="L2321" s="78" t="n"/>
      <c r="M2321" s="78">
        <f>IF(ISBLANK(L2321),"",IF(D2321="Stock",IF(C2321="Buy",L2321*G2321,IF(C2321="Sell",(L2321*G2321)-I2321, X)),IF(C2321="Buy",(L2321*G2321*100)+I2321,IF(C2321="Sell",(L2321*G2321*100)-I2321, X))))</f>
        <v/>
      </c>
      <c r="N2321" s="78">
        <f>IF(ISBLANK(L2321),"",IF(AND(C2321="Sell",D2321="Stock"),M2321,IF(ISBLANK(L2321),"",IF(C2321="Buy",M2321, IF(AND(C2321="Sell",J2321="NA"),(E2321*G2321*100*0.1)+I2321, IF(C2321="Sell",(J2321-L2321)*(100*G2321)+I2321))))))</f>
        <v/>
      </c>
      <c r="O2321" s="75" t="n"/>
      <c r="P2321" s="75" t="n"/>
      <c r="Q2321" s="75">
        <f>IF(ISBLANK(P2321),"",IF(D2321="Stock",P2321*G2321,IF(P2321=0,"0",G2321*P2321*100-(G2321*$AF$14))))</f>
        <v/>
      </c>
      <c r="R2321" s="79">
        <f>IF(P2321&lt;&gt;"", TODAY(), "")</f>
        <v/>
      </c>
      <c r="S2321" s="78">
        <f>IF(AND(K2321&lt;&gt;"", R2321&lt;&gt;""), R2321-K2321, "")</f>
        <v/>
      </c>
      <c r="T2321" s="78" t="n"/>
      <c r="U2321" s="92">
        <f>IF(ISBLANK(P2321),"",IF(C2321="Buy",Q2321-M2321+T2321, IF(C2321="Sell",M2321-Q2321-T2321, X)))</f>
        <v/>
      </c>
      <c r="V2321" s="81">
        <f>IF(ISBLANK(P2321),"",U2321/N2321)</f>
        <v/>
      </c>
      <c r="W2321" s="81">
        <f>IF(ISBLANK(P2321),"",IF(S2321=0,(365/0.5)*V2321,(365/S2321)*V2321))</f>
        <v/>
      </c>
      <c r="X2321" s="75" t="n"/>
      <c r="Y2321" s="77" t="n"/>
      <c r="Z2321" s="77" t="n"/>
      <c r="AA2321" s="75" t="n"/>
      <c r="AB2321" s="75" t="n"/>
      <c r="AC2321" s="6" t="n"/>
      <c r="AD2321" s="75" t="n"/>
      <c r="AE2321" s="75" t="n"/>
      <c r="AF2321" s="75" t="n"/>
    </row>
    <row r="2322" ht="15.75" customHeight="1" s="133">
      <c r="A2322" s="75" t="n"/>
      <c r="B2322" s="75" t="n"/>
      <c r="C2322" s="75" t="n"/>
      <c r="D2322" s="75" t="n"/>
      <c r="E2322" s="76" t="n"/>
      <c r="F2322" s="77" t="n"/>
      <c r="G2322" s="75" t="n"/>
      <c r="H2322" s="75">
        <f>IF(ISBLANK(E2322),"",IF(OR(D2322="Butterfly",D2322="Butterfly ",D2322="Iron Fly", D2322="Iron Fly "),LEN(E2322)-LEN(SUBSTITUTE(E2322,"/",""))+2,LEN(E2322)-LEN(SUBSTITUTE(E2322,"/",""))+1))</f>
        <v/>
      </c>
      <c r="I2322" s="78">
        <f>IF(ISBLANK(G2322),"",IF(D2322="Stock","0",Key!$A$3*H2322*G2322))</f>
        <v/>
      </c>
      <c r="J2322" s="78">
        <f>IF(ISBLANK(E2322),"",IF(ISNUMBER(SEARCH("/",E2322)), IF(LEN(E2322)-LEN(SUBSTITUTE(E2322,"/",""))=1,(RIGHT(E2322,LEN(E2322)-FIND("/",E2322)))-(LEFT(E2322,FIND("/",E2322)-1)),(MID(E2322, SEARCH("/",E2322) + 1, SEARCH("/",E2322, SEARCH("/",E2322)+1) - SEARCH("/",E2322) - 1))-(LEFT(E2322,FIND("/",E2322)-1))), "NA"))</f>
        <v/>
      </c>
      <c r="K2322" s="79">
        <f>IF(A2322&lt;&gt;"", IF(ISBLANK(L2322), TODAY(), K2322), "")</f>
        <v/>
      </c>
      <c r="L2322" s="78" t="n"/>
      <c r="M2322" s="78">
        <f>IF(ISBLANK(L2322),"",IF(D2322="Stock",IF(C2322="Buy",L2322*G2322,IF(C2322="Sell",(L2322*G2322)-I2322, X)),IF(C2322="Buy",(L2322*G2322*100)+I2322,IF(C2322="Sell",(L2322*G2322*100)-I2322, X))))</f>
        <v/>
      </c>
      <c r="N2322" s="78">
        <f>IF(ISBLANK(L2322),"",IF(AND(C2322="Sell",D2322="Stock"),M2322,IF(ISBLANK(L2322),"",IF(C2322="Buy",M2322, IF(AND(C2322="Sell",J2322="NA"),(E2322*G2322*100*0.1)+I2322, IF(C2322="Sell",(J2322-L2322)*(100*G2322)+I2322))))))</f>
        <v/>
      </c>
      <c r="O2322" s="75" t="n"/>
      <c r="P2322" s="75" t="n"/>
      <c r="Q2322" s="75">
        <f>IF(ISBLANK(P2322),"",IF(D2322="Stock",P2322*G2322,IF(P2322=0,"0",G2322*P2322*100-(G2322*$AF$14))))</f>
        <v/>
      </c>
      <c r="R2322" s="79">
        <f>IF(P2322&lt;&gt;"", TODAY(), "")</f>
        <v/>
      </c>
      <c r="S2322" s="78">
        <f>IF(AND(K2322&lt;&gt;"", R2322&lt;&gt;""), R2322-K2322, "")</f>
        <v/>
      </c>
      <c r="T2322" s="78" t="n"/>
      <c r="U2322" s="92">
        <f>IF(ISBLANK(P2322),"",IF(C2322="Buy",Q2322-M2322+T2322, IF(C2322="Sell",M2322-Q2322-T2322, X)))</f>
        <v/>
      </c>
      <c r="V2322" s="81">
        <f>IF(ISBLANK(P2322),"",U2322/N2322)</f>
        <v/>
      </c>
      <c r="W2322" s="81">
        <f>IF(ISBLANK(P2322),"",IF(S2322=0,(365/0.5)*V2322,(365/S2322)*V2322))</f>
        <v/>
      </c>
      <c r="X2322" s="75" t="n"/>
      <c r="Y2322" s="77" t="n"/>
      <c r="Z2322" s="77" t="n"/>
      <c r="AA2322" s="75" t="n"/>
      <c r="AB2322" s="75" t="n"/>
      <c r="AC2322" s="6" t="n"/>
      <c r="AD2322" s="75" t="n"/>
      <c r="AE2322" s="75" t="n"/>
      <c r="AF2322" s="75" t="n"/>
    </row>
    <row r="2323" ht="15.75" customHeight="1" s="133">
      <c r="A2323" s="75" t="n"/>
      <c r="B2323" s="75" t="n"/>
      <c r="C2323" s="75" t="n"/>
      <c r="D2323" s="75" t="n"/>
      <c r="E2323" s="76" t="n"/>
      <c r="F2323" s="77" t="n"/>
      <c r="G2323" s="75" t="n"/>
      <c r="H2323" s="75">
        <f>IF(ISBLANK(E2323),"",IF(OR(D2323="Butterfly",D2323="Butterfly ",D2323="Iron Fly", D2323="Iron Fly "),LEN(E2323)-LEN(SUBSTITUTE(E2323,"/",""))+2,LEN(E2323)-LEN(SUBSTITUTE(E2323,"/",""))+1))</f>
        <v/>
      </c>
      <c r="I2323" s="78">
        <f>IF(ISBLANK(G2323),"",IF(D2323="Stock","0",Key!$A$3*H2323*G2323))</f>
        <v/>
      </c>
      <c r="J2323" s="78">
        <f>IF(ISBLANK(E2323),"",IF(ISNUMBER(SEARCH("/",E2323)), IF(LEN(E2323)-LEN(SUBSTITUTE(E2323,"/",""))=1,(RIGHT(E2323,LEN(E2323)-FIND("/",E2323)))-(LEFT(E2323,FIND("/",E2323)-1)),(MID(E2323, SEARCH("/",E2323) + 1, SEARCH("/",E2323, SEARCH("/",E2323)+1) - SEARCH("/",E2323) - 1))-(LEFT(E2323,FIND("/",E2323)-1))), "NA"))</f>
        <v/>
      </c>
      <c r="K2323" s="79">
        <f>IF(A2323&lt;&gt;"", IF(ISBLANK(L2323), TODAY(), K2323), "")</f>
        <v/>
      </c>
      <c r="L2323" s="78" t="n"/>
      <c r="M2323" s="78">
        <f>IF(ISBLANK(L2323),"",IF(D2323="Stock",IF(C2323="Buy",L2323*G2323,IF(C2323="Sell",(L2323*G2323)-I2323, X)),IF(C2323="Buy",(L2323*G2323*100)+I2323,IF(C2323="Sell",(L2323*G2323*100)-I2323, X))))</f>
        <v/>
      </c>
      <c r="N2323" s="78">
        <f>IF(ISBLANK(L2323),"",IF(AND(C2323="Sell",D2323="Stock"),M2323,IF(ISBLANK(L2323),"",IF(C2323="Buy",M2323, IF(AND(C2323="Sell",J2323="NA"),(E2323*G2323*100*0.1)+I2323, IF(C2323="Sell",(J2323-L2323)*(100*G2323)+I2323))))))</f>
        <v/>
      </c>
      <c r="O2323" s="75" t="n"/>
      <c r="P2323" s="75" t="n"/>
      <c r="Q2323" s="75">
        <f>IF(ISBLANK(P2323),"",IF(D2323="Stock",P2323*G2323,IF(P2323=0,"0",G2323*P2323*100-(G2323*$AF$14))))</f>
        <v/>
      </c>
      <c r="R2323" s="79">
        <f>IF(P2323&lt;&gt;"", TODAY(), "")</f>
        <v/>
      </c>
      <c r="S2323" s="78">
        <f>IF(AND(K2323&lt;&gt;"", R2323&lt;&gt;""), R2323-K2323, "")</f>
        <v/>
      </c>
      <c r="T2323" s="78" t="n"/>
      <c r="U2323" s="92">
        <f>IF(ISBLANK(P2323),"",IF(C2323="Buy",Q2323-M2323+T2323, IF(C2323="Sell",M2323-Q2323-T2323, X)))</f>
        <v/>
      </c>
      <c r="V2323" s="81">
        <f>IF(ISBLANK(P2323),"",U2323/N2323)</f>
        <v/>
      </c>
      <c r="W2323" s="81">
        <f>IF(ISBLANK(P2323),"",IF(S2323=0,(365/0.5)*V2323,(365/S2323)*V2323))</f>
        <v/>
      </c>
      <c r="X2323" s="75" t="n"/>
      <c r="Y2323" s="77" t="n"/>
      <c r="Z2323" s="77" t="n"/>
      <c r="AA2323" s="75" t="n"/>
      <c r="AB2323" s="75" t="n"/>
      <c r="AC2323" s="6" t="n"/>
      <c r="AD2323" s="75" t="n"/>
      <c r="AE2323" s="75" t="n"/>
      <c r="AF2323" s="75" t="n"/>
    </row>
    <row r="2324" ht="15.75" customHeight="1" s="133">
      <c r="A2324" s="75" t="n"/>
      <c r="B2324" s="75" t="n"/>
      <c r="C2324" s="75" t="n"/>
      <c r="D2324" s="75" t="n"/>
      <c r="E2324" s="76" t="n"/>
      <c r="F2324" s="77" t="n"/>
      <c r="G2324" s="75" t="n"/>
      <c r="H2324" s="75">
        <f>IF(ISBLANK(E2324),"",IF(OR(D2324="Butterfly",D2324="Butterfly ",D2324="Iron Fly", D2324="Iron Fly "),LEN(E2324)-LEN(SUBSTITUTE(E2324,"/",""))+2,LEN(E2324)-LEN(SUBSTITUTE(E2324,"/",""))+1))</f>
        <v/>
      </c>
      <c r="I2324" s="78">
        <f>IF(ISBLANK(G2324),"",IF(D2324="Stock","0",Key!$A$3*H2324*G2324))</f>
        <v/>
      </c>
      <c r="J2324" s="78">
        <f>IF(ISBLANK(E2324),"",IF(ISNUMBER(SEARCH("/",E2324)), IF(LEN(E2324)-LEN(SUBSTITUTE(E2324,"/",""))=1,(RIGHT(E2324,LEN(E2324)-FIND("/",E2324)))-(LEFT(E2324,FIND("/",E2324)-1)),(MID(E2324, SEARCH("/",E2324) + 1, SEARCH("/",E2324, SEARCH("/",E2324)+1) - SEARCH("/",E2324) - 1))-(LEFT(E2324,FIND("/",E2324)-1))), "NA"))</f>
        <v/>
      </c>
      <c r="K2324" s="79">
        <f>IF(A2324&lt;&gt;"", IF(ISBLANK(L2324), TODAY(), K2324), "")</f>
        <v/>
      </c>
      <c r="L2324" s="78" t="n"/>
      <c r="M2324" s="78">
        <f>IF(ISBLANK(L2324),"",IF(D2324="Stock",IF(C2324="Buy",L2324*G2324,IF(C2324="Sell",(L2324*G2324)-I2324, X)),IF(C2324="Buy",(L2324*G2324*100)+I2324,IF(C2324="Sell",(L2324*G2324*100)-I2324, X))))</f>
        <v/>
      </c>
      <c r="N2324" s="78">
        <f>IF(ISBLANK(L2324),"",IF(AND(C2324="Sell",D2324="Stock"),M2324,IF(ISBLANK(L2324),"",IF(C2324="Buy",M2324, IF(AND(C2324="Sell",J2324="NA"),(E2324*G2324*100*0.1)+I2324, IF(C2324="Sell",(J2324-L2324)*(100*G2324)+I2324))))))</f>
        <v/>
      </c>
      <c r="O2324" s="75" t="n"/>
      <c r="P2324" s="75" t="n"/>
      <c r="Q2324" s="75">
        <f>IF(ISBLANK(P2324),"",IF(D2324="Stock",P2324*G2324,IF(P2324=0,"0",G2324*P2324*100-(G2324*$AF$14))))</f>
        <v/>
      </c>
      <c r="R2324" s="79">
        <f>IF(P2324&lt;&gt;"", TODAY(), "")</f>
        <v/>
      </c>
      <c r="S2324" s="78">
        <f>IF(AND(K2324&lt;&gt;"", R2324&lt;&gt;""), R2324-K2324, "")</f>
        <v/>
      </c>
      <c r="T2324" s="78" t="n"/>
      <c r="U2324" s="92">
        <f>IF(ISBLANK(P2324),"",IF(C2324="Buy",Q2324-M2324+T2324, IF(C2324="Sell",M2324-Q2324-T2324, X)))</f>
        <v/>
      </c>
      <c r="V2324" s="81">
        <f>IF(ISBLANK(P2324),"",U2324/N2324)</f>
        <v/>
      </c>
      <c r="W2324" s="81">
        <f>IF(ISBLANK(P2324),"",IF(S2324=0,(365/0.5)*V2324,(365/S2324)*V2324))</f>
        <v/>
      </c>
      <c r="X2324" s="75" t="n"/>
      <c r="Y2324" s="77" t="n"/>
      <c r="Z2324" s="77" t="n"/>
      <c r="AA2324" s="75" t="n"/>
      <c r="AB2324" s="75" t="n"/>
      <c r="AC2324" s="6" t="n"/>
      <c r="AD2324" s="75" t="n"/>
      <c r="AE2324" s="75" t="n"/>
      <c r="AF2324" s="75" t="n"/>
    </row>
    <row r="2325" ht="15.75" customHeight="1" s="133">
      <c r="A2325" s="75" t="n"/>
      <c r="B2325" s="75" t="n"/>
      <c r="C2325" s="75" t="n"/>
      <c r="D2325" s="75" t="n"/>
      <c r="E2325" s="76" t="n"/>
      <c r="F2325" s="77" t="n"/>
      <c r="G2325" s="75" t="n"/>
      <c r="H2325" s="75">
        <f>IF(ISBLANK(E2325),"",IF(OR(D2325="Butterfly",D2325="Butterfly ",D2325="Iron Fly", D2325="Iron Fly "),LEN(E2325)-LEN(SUBSTITUTE(E2325,"/",""))+2,LEN(E2325)-LEN(SUBSTITUTE(E2325,"/",""))+1))</f>
        <v/>
      </c>
      <c r="I2325" s="78">
        <f>IF(ISBLANK(G2325),"",IF(D2325="Stock","0",Key!$A$3*H2325*G2325))</f>
        <v/>
      </c>
      <c r="J2325" s="78">
        <f>IF(ISBLANK(E2325),"",IF(ISNUMBER(SEARCH("/",E2325)), IF(LEN(E2325)-LEN(SUBSTITUTE(E2325,"/",""))=1,(RIGHT(E2325,LEN(E2325)-FIND("/",E2325)))-(LEFT(E2325,FIND("/",E2325)-1)),(MID(E2325, SEARCH("/",E2325) + 1, SEARCH("/",E2325, SEARCH("/",E2325)+1) - SEARCH("/",E2325) - 1))-(LEFT(E2325,FIND("/",E2325)-1))), "NA"))</f>
        <v/>
      </c>
      <c r="K2325" s="79">
        <f>IF(A2325&lt;&gt;"", IF(ISBLANK(L2325), TODAY(), K2325), "")</f>
        <v/>
      </c>
      <c r="L2325" s="78" t="n"/>
      <c r="M2325" s="78">
        <f>IF(ISBLANK(L2325),"",IF(D2325="Stock",IF(C2325="Buy",L2325*G2325,IF(C2325="Sell",(L2325*G2325)-I2325, X)),IF(C2325="Buy",(L2325*G2325*100)+I2325,IF(C2325="Sell",(L2325*G2325*100)-I2325, X))))</f>
        <v/>
      </c>
      <c r="N2325" s="78">
        <f>IF(ISBLANK(L2325),"",IF(AND(C2325="Sell",D2325="Stock"),M2325,IF(ISBLANK(L2325),"",IF(C2325="Buy",M2325, IF(AND(C2325="Sell",J2325="NA"),(E2325*G2325*100*0.1)+I2325, IF(C2325="Sell",(J2325-L2325)*(100*G2325)+I2325))))))</f>
        <v/>
      </c>
      <c r="O2325" s="75" t="n"/>
      <c r="P2325" s="75" t="n"/>
      <c r="Q2325" s="75">
        <f>IF(ISBLANK(P2325),"",IF(D2325="Stock",P2325*G2325,IF(P2325=0,"0",G2325*P2325*100-(G2325*$AF$14))))</f>
        <v/>
      </c>
      <c r="R2325" s="79">
        <f>IF(P2325&lt;&gt;"", TODAY(), "")</f>
        <v/>
      </c>
      <c r="S2325" s="78">
        <f>IF(AND(K2325&lt;&gt;"", R2325&lt;&gt;""), R2325-K2325, "")</f>
        <v/>
      </c>
      <c r="T2325" s="78" t="n"/>
      <c r="U2325" s="92">
        <f>IF(ISBLANK(P2325),"",IF(C2325="Buy",Q2325-M2325+T2325, IF(C2325="Sell",M2325-Q2325-T2325, X)))</f>
        <v/>
      </c>
      <c r="V2325" s="81">
        <f>IF(ISBLANK(P2325),"",U2325/N2325)</f>
        <v/>
      </c>
      <c r="W2325" s="81">
        <f>IF(ISBLANK(P2325),"",IF(S2325=0,(365/0.5)*V2325,(365/S2325)*V2325))</f>
        <v/>
      </c>
      <c r="X2325" s="75" t="n"/>
      <c r="Y2325" s="77" t="n"/>
      <c r="Z2325" s="77" t="n"/>
      <c r="AA2325" s="75" t="n"/>
      <c r="AB2325" s="75" t="n"/>
      <c r="AC2325" s="6" t="n"/>
      <c r="AD2325" s="75" t="n"/>
      <c r="AE2325" s="75" t="n"/>
      <c r="AF2325" s="75" t="n"/>
    </row>
    <row r="2326" ht="15.75" customHeight="1" s="133">
      <c r="A2326" s="75" t="n"/>
      <c r="B2326" s="75" t="n"/>
      <c r="C2326" s="75" t="n"/>
      <c r="D2326" s="75" t="n"/>
      <c r="E2326" s="76" t="n"/>
      <c r="F2326" s="77" t="n"/>
      <c r="G2326" s="75" t="n"/>
      <c r="H2326" s="75">
        <f>IF(ISBLANK(E2326),"",IF(OR(D2326="Butterfly",D2326="Butterfly ",D2326="Iron Fly", D2326="Iron Fly "),LEN(E2326)-LEN(SUBSTITUTE(E2326,"/",""))+2,LEN(E2326)-LEN(SUBSTITUTE(E2326,"/",""))+1))</f>
        <v/>
      </c>
      <c r="I2326" s="78">
        <f>IF(ISBLANK(G2326),"",IF(D2326="Stock","0",Key!$A$3*H2326*G2326))</f>
        <v/>
      </c>
      <c r="J2326" s="78">
        <f>IF(ISBLANK(E2326),"",IF(ISNUMBER(SEARCH("/",E2326)), IF(LEN(E2326)-LEN(SUBSTITUTE(E2326,"/",""))=1,(RIGHT(E2326,LEN(E2326)-FIND("/",E2326)))-(LEFT(E2326,FIND("/",E2326)-1)),(MID(E2326, SEARCH("/",E2326) + 1, SEARCH("/",E2326, SEARCH("/",E2326)+1) - SEARCH("/",E2326) - 1))-(LEFT(E2326,FIND("/",E2326)-1))), "NA"))</f>
        <v/>
      </c>
      <c r="K2326" s="79">
        <f>IF(A2326&lt;&gt;"", IF(ISBLANK(L2326), TODAY(), K2326), "")</f>
        <v/>
      </c>
      <c r="L2326" s="78" t="n"/>
      <c r="M2326" s="78">
        <f>IF(ISBLANK(L2326),"",IF(D2326="Stock",IF(C2326="Buy",L2326*G2326,IF(C2326="Sell",(L2326*G2326)-I2326, X)),IF(C2326="Buy",(L2326*G2326*100)+I2326,IF(C2326="Sell",(L2326*G2326*100)-I2326, X))))</f>
        <v/>
      </c>
      <c r="N2326" s="78">
        <f>IF(ISBLANK(L2326),"",IF(AND(C2326="Sell",D2326="Stock"),M2326,IF(ISBLANK(L2326),"",IF(C2326="Buy",M2326, IF(AND(C2326="Sell",J2326="NA"),(E2326*G2326*100*0.1)+I2326, IF(C2326="Sell",(J2326-L2326)*(100*G2326)+I2326))))))</f>
        <v/>
      </c>
      <c r="O2326" s="75" t="n"/>
      <c r="P2326" s="75" t="n"/>
      <c r="Q2326" s="75">
        <f>IF(ISBLANK(P2326),"",IF(D2326="Stock",P2326*G2326,IF(P2326=0,"0",G2326*P2326*100-(G2326*$AF$14))))</f>
        <v/>
      </c>
      <c r="R2326" s="79">
        <f>IF(P2326&lt;&gt;"", TODAY(), "")</f>
        <v/>
      </c>
      <c r="S2326" s="78">
        <f>IF(AND(K2326&lt;&gt;"", R2326&lt;&gt;""), R2326-K2326, "")</f>
        <v/>
      </c>
      <c r="T2326" s="78" t="n"/>
      <c r="U2326" s="92">
        <f>IF(ISBLANK(P2326),"",IF(C2326="Buy",Q2326-M2326+T2326, IF(C2326="Sell",M2326-Q2326-T2326, X)))</f>
        <v/>
      </c>
      <c r="V2326" s="81">
        <f>IF(ISBLANK(P2326),"",U2326/N2326)</f>
        <v/>
      </c>
      <c r="W2326" s="81">
        <f>IF(ISBLANK(P2326),"",IF(S2326=0,(365/0.5)*V2326,(365/S2326)*V2326))</f>
        <v/>
      </c>
      <c r="X2326" s="75" t="n"/>
      <c r="Y2326" s="77" t="n"/>
      <c r="Z2326" s="77" t="n"/>
      <c r="AA2326" s="75" t="n"/>
      <c r="AB2326" s="75" t="n"/>
      <c r="AC2326" s="6" t="n"/>
      <c r="AD2326" s="75" t="n"/>
      <c r="AE2326" s="75" t="n"/>
      <c r="AF2326" s="75" t="n"/>
    </row>
    <row r="2327" ht="15.75" customHeight="1" s="133">
      <c r="A2327" s="75" t="n"/>
      <c r="B2327" s="75" t="n"/>
      <c r="C2327" s="75" t="n"/>
      <c r="D2327" s="75" t="n"/>
      <c r="E2327" s="76" t="n"/>
      <c r="F2327" s="77" t="n"/>
      <c r="G2327" s="75" t="n"/>
      <c r="H2327" s="75">
        <f>IF(ISBLANK(E2327),"",IF(OR(D2327="Butterfly",D2327="Butterfly ",D2327="Iron Fly", D2327="Iron Fly "),LEN(E2327)-LEN(SUBSTITUTE(E2327,"/",""))+2,LEN(E2327)-LEN(SUBSTITUTE(E2327,"/",""))+1))</f>
        <v/>
      </c>
      <c r="I2327" s="78">
        <f>IF(ISBLANK(G2327),"",IF(D2327="Stock","0",Key!$A$3*H2327*G2327))</f>
        <v/>
      </c>
      <c r="J2327" s="78">
        <f>IF(ISBLANK(E2327),"",IF(ISNUMBER(SEARCH("/",E2327)), IF(LEN(E2327)-LEN(SUBSTITUTE(E2327,"/",""))=1,(RIGHT(E2327,LEN(E2327)-FIND("/",E2327)))-(LEFT(E2327,FIND("/",E2327)-1)),(MID(E2327, SEARCH("/",E2327) + 1, SEARCH("/",E2327, SEARCH("/",E2327)+1) - SEARCH("/",E2327) - 1))-(LEFT(E2327,FIND("/",E2327)-1))), "NA"))</f>
        <v/>
      </c>
      <c r="K2327" s="79">
        <f>IF(A2327&lt;&gt;"", IF(ISBLANK(L2327), TODAY(), K2327), "")</f>
        <v/>
      </c>
      <c r="L2327" s="78" t="n"/>
      <c r="M2327" s="78">
        <f>IF(ISBLANK(L2327),"",IF(D2327="Stock",IF(C2327="Buy",L2327*G2327,IF(C2327="Sell",(L2327*G2327)-I2327, X)),IF(C2327="Buy",(L2327*G2327*100)+I2327,IF(C2327="Sell",(L2327*G2327*100)-I2327, X))))</f>
        <v/>
      </c>
      <c r="N2327" s="78">
        <f>IF(ISBLANK(L2327),"",IF(AND(C2327="Sell",D2327="Stock"),M2327,IF(ISBLANK(L2327),"",IF(C2327="Buy",M2327, IF(AND(C2327="Sell",J2327="NA"),(E2327*G2327*100*0.1)+I2327, IF(C2327="Sell",(J2327-L2327)*(100*G2327)+I2327))))))</f>
        <v/>
      </c>
      <c r="O2327" s="75" t="n"/>
      <c r="P2327" s="75" t="n"/>
      <c r="Q2327" s="75">
        <f>IF(ISBLANK(P2327),"",IF(D2327="Stock",P2327*G2327,IF(P2327=0,"0",G2327*P2327*100-(G2327*$AF$14))))</f>
        <v/>
      </c>
      <c r="R2327" s="79">
        <f>IF(P2327&lt;&gt;"", TODAY(), "")</f>
        <v/>
      </c>
      <c r="S2327" s="78">
        <f>IF(AND(K2327&lt;&gt;"", R2327&lt;&gt;""), R2327-K2327, "")</f>
        <v/>
      </c>
      <c r="T2327" s="78" t="n"/>
      <c r="U2327" s="92">
        <f>IF(ISBLANK(P2327),"",IF(C2327="Buy",Q2327-M2327+T2327, IF(C2327="Sell",M2327-Q2327-T2327, X)))</f>
        <v/>
      </c>
      <c r="V2327" s="81">
        <f>IF(ISBLANK(P2327),"",U2327/N2327)</f>
        <v/>
      </c>
      <c r="W2327" s="81">
        <f>IF(ISBLANK(P2327),"",IF(S2327=0,(365/0.5)*V2327,(365/S2327)*V2327))</f>
        <v/>
      </c>
      <c r="X2327" s="75" t="n"/>
      <c r="Y2327" s="77" t="n"/>
      <c r="Z2327" s="77" t="n"/>
      <c r="AA2327" s="75" t="n"/>
      <c r="AB2327" s="75" t="n"/>
      <c r="AC2327" s="6" t="n"/>
      <c r="AD2327" s="75" t="n"/>
      <c r="AE2327" s="75" t="n"/>
      <c r="AF2327" s="75" t="n"/>
    </row>
    <row r="2328" ht="15.75" customHeight="1" s="133">
      <c r="A2328" s="75" t="n"/>
      <c r="B2328" s="75" t="n"/>
      <c r="C2328" s="75" t="n"/>
      <c r="D2328" s="75" t="n"/>
      <c r="E2328" s="76" t="n"/>
      <c r="F2328" s="77" t="n"/>
      <c r="G2328" s="75" t="n"/>
      <c r="H2328" s="75">
        <f>IF(ISBLANK(E2328),"",IF(OR(D2328="Butterfly",D2328="Butterfly ",D2328="Iron Fly", D2328="Iron Fly "),LEN(E2328)-LEN(SUBSTITUTE(E2328,"/",""))+2,LEN(E2328)-LEN(SUBSTITUTE(E2328,"/",""))+1))</f>
        <v/>
      </c>
      <c r="I2328" s="78">
        <f>IF(ISBLANK(G2328),"",IF(D2328="Stock","0",Key!$A$3*H2328*G2328))</f>
        <v/>
      </c>
      <c r="J2328" s="78">
        <f>IF(ISBLANK(E2328),"",IF(ISNUMBER(SEARCH("/",E2328)), IF(LEN(E2328)-LEN(SUBSTITUTE(E2328,"/",""))=1,(RIGHT(E2328,LEN(E2328)-FIND("/",E2328)))-(LEFT(E2328,FIND("/",E2328)-1)),(MID(E2328, SEARCH("/",E2328) + 1, SEARCH("/",E2328, SEARCH("/",E2328)+1) - SEARCH("/",E2328) - 1))-(LEFT(E2328,FIND("/",E2328)-1))), "NA"))</f>
        <v/>
      </c>
      <c r="K2328" s="79">
        <f>IF(A2328&lt;&gt;"", IF(ISBLANK(L2328), TODAY(), K2328), "")</f>
        <v/>
      </c>
      <c r="L2328" s="78" t="n"/>
      <c r="M2328" s="78">
        <f>IF(ISBLANK(L2328),"",IF(D2328="Stock",IF(C2328="Buy",L2328*G2328,IF(C2328="Sell",(L2328*G2328)-I2328, X)),IF(C2328="Buy",(L2328*G2328*100)+I2328,IF(C2328="Sell",(L2328*G2328*100)-I2328, X))))</f>
        <v/>
      </c>
      <c r="N2328" s="78">
        <f>IF(ISBLANK(L2328),"",IF(AND(C2328="Sell",D2328="Stock"),M2328,IF(ISBLANK(L2328),"",IF(C2328="Buy",M2328, IF(AND(C2328="Sell",J2328="NA"),(E2328*G2328*100*0.1)+I2328, IF(C2328="Sell",(J2328-L2328)*(100*G2328)+I2328))))))</f>
        <v/>
      </c>
      <c r="O2328" s="75" t="n"/>
      <c r="P2328" s="75" t="n"/>
      <c r="Q2328" s="75">
        <f>IF(ISBLANK(P2328),"",IF(D2328="Stock",P2328*G2328,IF(P2328=0,"0",G2328*P2328*100-(G2328*$AF$14))))</f>
        <v/>
      </c>
      <c r="R2328" s="79">
        <f>IF(P2328&lt;&gt;"", TODAY(), "")</f>
        <v/>
      </c>
      <c r="S2328" s="78">
        <f>IF(AND(K2328&lt;&gt;"", R2328&lt;&gt;""), R2328-K2328, "")</f>
        <v/>
      </c>
      <c r="T2328" s="78" t="n"/>
      <c r="U2328" s="92">
        <f>IF(ISBLANK(P2328),"",IF(C2328="Buy",Q2328-M2328+T2328, IF(C2328="Sell",M2328-Q2328-T2328, X)))</f>
        <v/>
      </c>
      <c r="V2328" s="81">
        <f>IF(ISBLANK(P2328),"",U2328/N2328)</f>
        <v/>
      </c>
      <c r="W2328" s="81">
        <f>IF(ISBLANK(P2328),"",IF(S2328=0,(365/0.5)*V2328,(365/S2328)*V2328))</f>
        <v/>
      </c>
      <c r="X2328" s="75" t="n"/>
      <c r="Y2328" s="77" t="n"/>
      <c r="Z2328" s="77" t="n"/>
      <c r="AA2328" s="75" t="n"/>
      <c r="AB2328" s="75" t="n"/>
      <c r="AC2328" s="6" t="n"/>
      <c r="AD2328" s="75" t="n"/>
      <c r="AE2328" s="75" t="n"/>
      <c r="AF2328" s="75" t="n"/>
    </row>
    <row r="2329" ht="15.75" customHeight="1" s="133">
      <c r="A2329" s="75" t="n"/>
      <c r="B2329" s="75" t="n"/>
      <c r="C2329" s="75" t="n"/>
      <c r="D2329" s="75" t="n"/>
      <c r="E2329" s="76" t="n"/>
      <c r="F2329" s="77" t="n"/>
      <c r="G2329" s="75" t="n"/>
      <c r="H2329" s="75">
        <f>IF(ISBLANK(E2329),"",IF(OR(D2329="Butterfly",D2329="Butterfly ",D2329="Iron Fly", D2329="Iron Fly "),LEN(E2329)-LEN(SUBSTITUTE(E2329,"/",""))+2,LEN(E2329)-LEN(SUBSTITUTE(E2329,"/",""))+1))</f>
        <v/>
      </c>
      <c r="I2329" s="78">
        <f>IF(ISBLANK(G2329),"",IF(D2329="Stock","0",Key!$A$3*H2329*G2329))</f>
        <v/>
      </c>
      <c r="J2329" s="78">
        <f>IF(ISBLANK(E2329),"",IF(ISNUMBER(SEARCH("/",E2329)), IF(LEN(E2329)-LEN(SUBSTITUTE(E2329,"/",""))=1,(RIGHT(E2329,LEN(E2329)-FIND("/",E2329)))-(LEFT(E2329,FIND("/",E2329)-1)),(MID(E2329, SEARCH("/",E2329) + 1, SEARCH("/",E2329, SEARCH("/",E2329)+1) - SEARCH("/",E2329) - 1))-(LEFT(E2329,FIND("/",E2329)-1))), "NA"))</f>
        <v/>
      </c>
      <c r="K2329" s="79">
        <f>IF(A2329&lt;&gt;"", IF(ISBLANK(L2329), TODAY(), K2329), "")</f>
        <v/>
      </c>
      <c r="L2329" s="78" t="n"/>
      <c r="M2329" s="78">
        <f>IF(ISBLANK(L2329),"",IF(D2329="Stock",IF(C2329="Buy",L2329*G2329,IF(C2329="Sell",(L2329*G2329)-I2329, X)),IF(C2329="Buy",(L2329*G2329*100)+I2329,IF(C2329="Sell",(L2329*G2329*100)-I2329, X))))</f>
        <v/>
      </c>
      <c r="N2329" s="78">
        <f>IF(ISBLANK(L2329),"",IF(AND(C2329="Sell",D2329="Stock"),M2329,IF(ISBLANK(L2329),"",IF(C2329="Buy",M2329, IF(AND(C2329="Sell",J2329="NA"),(E2329*G2329*100*0.1)+I2329, IF(C2329="Sell",(J2329-L2329)*(100*G2329)+I2329))))))</f>
        <v/>
      </c>
      <c r="O2329" s="75" t="n"/>
      <c r="P2329" s="75" t="n"/>
      <c r="Q2329" s="75">
        <f>IF(ISBLANK(P2329),"",IF(D2329="Stock",P2329*G2329,IF(P2329=0,"0",G2329*P2329*100-(G2329*$AF$14))))</f>
        <v/>
      </c>
      <c r="R2329" s="79">
        <f>IF(P2329&lt;&gt;"", TODAY(), "")</f>
        <v/>
      </c>
      <c r="S2329" s="78">
        <f>IF(AND(K2329&lt;&gt;"", R2329&lt;&gt;""), R2329-K2329, "")</f>
        <v/>
      </c>
      <c r="T2329" s="78" t="n"/>
      <c r="U2329" s="92">
        <f>IF(ISBLANK(P2329),"",IF(C2329="Buy",Q2329-M2329+T2329, IF(C2329="Sell",M2329-Q2329-T2329, X)))</f>
        <v/>
      </c>
      <c r="V2329" s="81">
        <f>IF(ISBLANK(P2329),"",U2329/N2329)</f>
        <v/>
      </c>
      <c r="W2329" s="81">
        <f>IF(ISBLANK(P2329),"",IF(S2329=0,(365/0.5)*V2329,(365/S2329)*V2329))</f>
        <v/>
      </c>
      <c r="X2329" s="75" t="n"/>
      <c r="Y2329" s="77" t="n"/>
      <c r="Z2329" s="77" t="n"/>
      <c r="AA2329" s="75" t="n"/>
      <c r="AB2329" s="75" t="n"/>
      <c r="AC2329" s="6" t="n"/>
      <c r="AD2329" s="75" t="n"/>
      <c r="AE2329" s="75" t="n"/>
      <c r="AF2329" s="75" t="n"/>
    </row>
    <row r="2330" ht="15.75" customHeight="1" s="133">
      <c r="A2330" s="75" t="n"/>
      <c r="B2330" s="75" t="n"/>
      <c r="C2330" s="75" t="n"/>
      <c r="D2330" s="75" t="n"/>
      <c r="E2330" s="76" t="n"/>
      <c r="F2330" s="77" t="n"/>
      <c r="G2330" s="75" t="n"/>
      <c r="H2330" s="75">
        <f>IF(ISBLANK(E2330),"",IF(OR(D2330="Butterfly",D2330="Butterfly ",D2330="Iron Fly", D2330="Iron Fly "),LEN(E2330)-LEN(SUBSTITUTE(E2330,"/",""))+2,LEN(E2330)-LEN(SUBSTITUTE(E2330,"/",""))+1))</f>
        <v/>
      </c>
      <c r="I2330" s="78">
        <f>IF(ISBLANK(G2330),"",IF(D2330="Stock","0",Key!$A$3*H2330*G2330))</f>
        <v/>
      </c>
      <c r="J2330" s="78">
        <f>IF(ISBLANK(E2330),"",IF(ISNUMBER(SEARCH("/",E2330)), IF(LEN(E2330)-LEN(SUBSTITUTE(E2330,"/",""))=1,(RIGHT(E2330,LEN(E2330)-FIND("/",E2330)))-(LEFT(E2330,FIND("/",E2330)-1)),(MID(E2330, SEARCH("/",E2330) + 1, SEARCH("/",E2330, SEARCH("/",E2330)+1) - SEARCH("/",E2330) - 1))-(LEFT(E2330,FIND("/",E2330)-1))), "NA"))</f>
        <v/>
      </c>
      <c r="K2330" s="79">
        <f>IF(A2330&lt;&gt;"", IF(ISBLANK(L2330), TODAY(), K2330), "")</f>
        <v/>
      </c>
      <c r="L2330" s="78" t="n"/>
      <c r="M2330" s="78">
        <f>IF(ISBLANK(L2330),"",IF(D2330="Stock",IF(C2330="Buy",L2330*G2330,IF(C2330="Sell",(L2330*G2330)-I2330, X)),IF(C2330="Buy",(L2330*G2330*100)+I2330,IF(C2330="Sell",(L2330*G2330*100)-I2330, X))))</f>
        <v/>
      </c>
      <c r="N2330" s="78">
        <f>IF(ISBLANK(L2330),"",IF(AND(C2330="Sell",D2330="Stock"),M2330,IF(ISBLANK(L2330),"",IF(C2330="Buy",M2330, IF(AND(C2330="Sell",J2330="NA"),(E2330*G2330*100*0.1)+I2330, IF(C2330="Sell",(J2330-L2330)*(100*G2330)+I2330))))))</f>
        <v/>
      </c>
      <c r="O2330" s="75" t="n"/>
      <c r="P2330" s="75" t="n"/>
      <c r="Q2330" s="75">
        <f>IF(ISBLANK(P2330),"",IF(D2330="Stock",P2330*G2330,IF(P2330=0,"0",G2330*P2330*100-(G2330*$AF$14))))</f>
        <v/>
      </c>
      <c r="R2330" s="79">
        <f>IF(P2330&lt;&gt;"", TODAY(), "")</f>
        <v/>
      </c>
      <c r="S2330" s="78">
        <f>IF(AND(K2330&lt;&gt;"", R2330&lt;&gt;""), R2330-K2330, "")</f>
        <v/>
      </c>
      <c r="T2330" s="78" t="n"/>
      <c r="U2330" s="92">
        <f>IF(ISBLANK(P2330),"",IF(C2330="Buy",Q2330-M2330+T2330, IF(C2330="Sell",M2330-Q2330-T2330, X)))</f>
        <v/>
      </c>
      <c r="V2330" s="81">
        <f>IF(ISBLANK(P2330),"",U2330/N2330)</f>
        <v/>
      </c>
      <c r="W2330" s="81">
        <f>IF(ISBLANK(P2330),"",IF(S2330=0,(365/0.5)*V2330,(365/S2330)*V2330))</f>
        <v/>
      </c>
      <c r="X2330" s="75" t="n"/>
      <c r="Y2330" s="77" t="n"/>
      <c r="Z2330" s="77" t="n"/>
      <c r="AA2330" s="75" t="n"/>
      <c r="AB2330" s="75" t="n"/>
      <c r="AC2330" s="6" t="n"/>
      <c r="AD2330" s="75" t="n"/>
      <c r="AE2330" s="75" t="n"/>
      <c r="AF2330" s="75" t="n"/>
    </row>
    <row r="2331" ht="15.75" customHeight="1" s="133">
      <c r="A2331" s="75" t="n"/>
      <c r="B2331" s="75" t="n"/>
      <c r="C2331" s="75" t="n"/>
      <c r="D2331" s="75" t="n"/>
      <c r="E2331" s="76" t="n"/>
      <c r="F2331" s="77" t="n"/>
      <c r="G2331" s="75" t="n"/>
      <c r="H2331" s="75">
        <f>IF(ISBLANK(E2331),"",IF(OR(D2331="Butterfly",D2331="Butterfly ",D2331="Iron Fly", D2331="Iron Fly "),LEN(E2331)-LEN(SUBSTITUTE(E2331,"/",""))+2,LEN(E2331)-LEN(SUBSTITUTE(E2331,"/",""))+1))</f>
        <v/>
      </c>
      <c r="I2331" s="78">
        <f>IF(ISBLANK(G2331),"",IF(D2331="Stock","0",Key!$A$3*H2331*G2331))</f>
        <v/>
      </c>
      <c r="J2331" s="78">
        <f>IF(ISBLANK(E2331),"",IF(ISNUMBER(SEARCH("/",E2331)), IF(LEN(E2331)-LEN(SUBSTITUTE(E2331,"/",""))=1,(RIGHT(E2331,LEN(E2331)-FIND("/",E2331)))-(LEFT(E2331,FIND("/",E2331)-1)),(MID(E2331, SEARCH("/",E2331) + 1, SEARCH("/",E2331, SEARCH("/",E2331)+1) - SEARCH("/",E2331) - 1))-(LEFT(E2331,FIND("/",E2331)-1))), "NA"))</f>
        <v/>
      </c>
      <c r="K2331" s="79">
        <f>IF(A2331&lt;&gt;"", IF(ISBLANK(L2331), TODAY(), K2331), "")</f>
        <v/>
      </c>
      <c r="L2331" s="78" t="n"/>
      <c r="M2331" s="78">
        <f>IF(ISBLANK(L2331),"",IF(D2331="Stock",IF(C2331="Buy",L2331*G2331,IF(C2331="Sell",(L2331*G2331)-I2331, X)),IF(C2331="Buy",(L2331*G2331*100)+I2331,IF(C2331="Sell",(L2331*G2331*100)-I2331, X))))</f>
        <v/>
      </c>
      <c r="N2331" s="78">
        <f>IF(ISBLANK(L2331),"",IF(AND(C2331="Sell",D2331="Stock"),M2331,IF(ISBLANK(L2331),"",IF(C2331="Buy",M2331, IF(AND(C2331="Sell",J2331="NA"),(E2331*G2331*100*0.1)+I2331, IF(C2331="Sell",(J2331-L2331)*(100*G2331)+I2331))))))</f>
        <v/>
      </c>
      <c r="O2331" s="75" t="n"/>
      <c r="P2331" s="75" t="n"/>
      <c r="Q2331" s="75">
        <f>IF(ISBLANK(P2331),"",IF(D2331="Stock",P2331*G2331,IF(P2331=0,"0",G2331*P2331*100-(G2331*$AF$14))))</f>
        <v/>
      </c>
      <c r="R2331" s="79">
        <f>IF(P2331&lt;&gt;"", TODAY(), "")</f>
        <v/>
      </c>
      <c r="S2331" s="78">
        <f>IF(AND(K2331&lt;&gt;"", R2331&lt;&gt;""), R2331-K2331, "")</f>
        <v/>
      </c>
      <c r="T2331" s="78" t="n"/>
      <c r="U2331" s="92">
        <f>IF(ISBLANK(P2331),"",IF(C2331="Buy",Q2331-M2331+T2331, IF(C2331="Sell",M2331-Q2331-T2331, X)))</f>
        <v/>
      </c>
      <c r="V2331" s="81">
        <f>IF(ISBLANK(P2331),"",U2331/N2331)</f>
        <v/>
      </c>
      <c r="W2331" s="81">
        <f>IF(ISBLANK(P2331),"",IF(S2331=0,(365/0.5)*V2331,(365/S2331)*V2331))</f>
        <v/>
      </c>
      <c r="X2331" s="75" t="n"/>
      <c r="Y2331" s="77" t="n"/>
      <c r="Z2331" s="77" t="n"/>
      <c r="AA2331" s="75" t="n"/>
      <c r="AB2331" s="75" t="n"/>
      <c r="AC2331" s="6" t="n"/>
      <c r="AD2331" s="75" t="n"/>
      <c r="AE2331" s="75" t="n"/>
      <c r="AF2331" s="75" t="n"/>
    </row>
    <row r="2332" ht="15.75" customHeight="1" s="133">
      <c r="A2332" s="75" t="n"/>
      <c r="B2332" s="75" t="n"/>
      <c r="C2332" s="75" t="n"/>
      <c r="D2332" s="75" t="n"/>
      <c r="E2332" s="76" t="n"/>
      <c r="F2332" s="77" t="n"/>
      <c r="G2332" s="75" t="n"/>
      <c r="H2332" s="75">
        <f>IF(ISBLANK(E2332),"",IF(OR(D2332="Butterfly",D2332="Butterfly ",D2332="Iron Fly", D2332="Iron Fly "),LEN(E2332)-LEN(SUBSTITUTE(E2332,"/",""))+2,LEN(E2332)-LEN(SUBSTITUTE(E2332,"/",""))+1))</f>
        <v/>
      </c>
      <c r="I2332" s="78">
        <f>IF(ISBLANK(G2332),"",IF(D2332="Stock","0",Key!$A$3*H2332*G2332))</f>
        <v/>
      </c>
      <c r="J2332" s="78">
        <f>IF(ISBLANK(E2332),"",IF(ISNUMBER(SEARCH("/",E2332)), IF(LEN(E2332)-LEN(SUBSTITUTE(E2332,"/",""))=1,(RIGHT(E2332,LEN(E2332)-FIND("/",E2332)))-(LEFT(E2332,FIND("/",E2332)-1)),(MID(E2332, SEARCH("/",E2332) + 1, SEARCH("/",E2332, SEARCH("/",E2332)+1) - SEARCH("/",E2332) - 1))-(LEFT(E2332,FIND("/",E2332)-1))), "NA"))</f>
        <v/>
      </c>
      <c r="K2332" s="79">
        <f>IF(A2332&lt;&gt;"", IF(ISBLANK(L2332), TODAY(), K2332), "")</f>
        <v/>
      </c>
      <c r="L2332" s="78" t="n"/>
      <c r="M2332" s="78">
        <f>IF(ISBLANK(L2332),"",IF(D2332="Stock",IF(C2332="Buy",L2332*G2332,IF(C2332="Sell",(L2332*G2332)-I2332, X)),IF(C2332="Buy",(L2332*G2332*100)+I2332,IF(C2332="Sell",(L2332*G2332*100)-I2332, X))))</f>
        <v/>
      </c>
      <c r="N2332" s="78">
        <f>IF(ISBLANK(L2332),"",IF(AND(C2332="Sell",D2332="Stock"),M2332,IF(ISBLANK(L2332),"",IF(C2332="Buy",M2332, IF(AND(C2332="Sell",J2332="NA"),(E2332*G2332*100*0.1)+I2332, IF(C2332="Sell",(J2332-L2332)*(100*G2332)+I2332))))))</f>
        <v/>
      </c>
      <c r="O2332" s="75" t="n"/>
      <c r="P2332" s="75" t="n"/>
      <c r="Q2332" s="75">
        <f>IF(ISBLANK(P2332),"",IF(D2332="Stock",P2332*G2332,IF(P2332=0,"0",G2332*P2332*100-(G2332*$AF$14))))</f>
        <v/>
      </c>
      <c r="R2332" s="79">
        <f>IF(P2332&lt;&gt;"", TODAY(), "")</f>
        <v/>
      </c>
      <c r="S2332" s="78">
        <f>IF(AND(K2332&lt;&gt;"", R2332&lt;&gt;""), R2332-K2332, "")</f>
        <v/>
      </c>
      <c r="T2332" s="78" t="n"/>
      <c r="U2332" s="92">
        <f>IF(ISBLANK(P2332),"",IF(C2332="Buy",Q2332-M2332+T2332, IF(C2332="Sell",M2332-Q2332-T2332, X)))</f>
        <v/>
      </c>
      <c r="V2332" s="81">
        <f>IF(ISBLANK(P2332),"",U2332/N2332)</f>
        <v/>
      </c>
      <c r="W2332" s="81">
        <f>IF(ISBLANK(P2332),"",IF(S2332=0,(365/0.5)*V2332,(365/S2332)*V2332))</f>
        <v/>
      </c>
      <c r="X2332" s="75" t="n"/>
      <c r="Y2332" s="77" t="n"/>
      <c r="Z2332" s="77" t="n"/>
      <c r="AA2332" s="75" t="n"/>
      <c r="AB2332" s="75" t="n"/>
      <c r="AC2332" s="6" t="n"/>
      <c r="AD2332" s="75" t="n"/>
      <c r="AE2332" s="75" t="n"/>
      <c r="AF2332" s="75" t="n"/>
    </row>
    <row r="2333" ht="15.75" customHeight="1" s="133">
      <c r="A2333" s="75" t="n"/>
      <c r="B2333" s="75" t="n"/>
      <c r="C2333" s="75" t="n"/>
      <c r="D2333" s="75" t="n"/>
      <c r="E2333" s="76" t="n"/>
      <c r="F2333" s="77" t="n"/>
      <c r="G2333" s="75" t="n"/>
      <c r="H2333" s="75">
        <f>IF(ISBLANK(E2333),"",IF(OR(D2333="Butterfly",D2333="Butterfly ",D2333="Iron Fly", D2333="Iron Fly "),LEN(E2333)-LEN(SUBSTITUTE(E2333,"/",""))+2,LEN(E2333)-LEN(SUBSTITUTE(E2333,"/",""))+1))</f>
        <v/>
      </c>
      <c r="I2333" s="78">
        <f>IF(ISBLANK(G2333),"",IF(D2333="Stock","0",Key!$A$3*H2333*G2333))</f>
        <v/>
      </c>
      <c r="J2333" s="78">
        <f>IF(ISBLANK(E2333),"",IF(ISNUMBER(SEARCH("/",E2333)), IF(LEN(E2333)-LEN(SUBSTITUTE(E2333,"/",""))=1,(RIGHT(E2333,LEN(E2333)-FIND("/",E2333)))-(LEFT(E2333,FIND("/",E2333)-1)),(MID(E2333, SEARCH("/",E2333) + 1, SEARCH("/",E2333, SEARCH("/",E2333)+1) - SEARCH("/",E2333) - 1))-(LEFT(E2333,FIND("/",E2333)-1))), "NA"))</f>
        <v/>
      </c>
      <c r="K2333" s="79">
        <f>IF(A2333&lt;&gt;"", IF(ISBLANK(L2333), TODAY(), K2333), "")</f>
        <v/>
      </c>
      <c r="L2333" s="78" t="n"/>
      <c r="M2333" s="78">
        <f>IF(ISBLANK(L2333),"",IF(D2333="Stock",IF(C2333="Buy",L2333*G2333,IF(C2333="Sell",(L2333*G2333)-I2333, X)),IF(C2333="Buy",(L2333*G2333*100)+I2333,IF(C2333="Sell",(L2333*G2333*100)-I2333, X))))</f>
        <v/>
      </c>
      <c r="N2333" s="78">
        <f>IF(ISBLANK(L2333),"",IF(AND(C2333="Sell",D2333="Stock"),M2333,IF(ISBLANK(L2333),"",IF(C2333="Buy",M2333, IF(AND(C2333="Sell",J2333="NA"),(E2333*G2333*100*0.1)+I2333, IF(C2333="Sell",(J2333-L2333)*(100*G2333)+I2333))))))</f>
        <v/>
      </c>
      <c r="O2333" s="75" t="n"/>
      <c r="P2333" s="75" t="n"/>
      <c r="Q2333" s="75">
        <f>IF(ISBLANK(P2333),"",IF(D2333="Stock",P2333*G2333,IF(P2333=0,"0",G2333*P2333*100-(G2333*$AF$14))))</f>
        <v/>
      </c>
      <c r="R2333" s="79">
        <f>IF(P2333&lt;&gt;"", TODAY(), "")</f>
        <v/>
      </c>
      <c r="S2333" s="78">
        <f>IF(AND(K2333&lt;&gt;"", R2333&lt;&gt;""), R2333-K2333, "")</f>
        <v/>
      </c>
      <c r="T2333" s="78" t="n"/>
      <c r="U2333" s="92">
        <f>IF(ISBLANK(P2333),"",IF(C2333="Buy",Q2333-M2333+T2333, IF(C2333="Sell",M2333-Q2333-T2333, X)))</f>
        <v/>
      </c>
      <c r="V2333" s="81">
        <f>IF(ISBLANK(P2333),"",U2333/N2333)</f>
        <v/>
      </c>
      <c r="W2333" s="81">
        <f>IF(ISBLANK(P2333),"",IF(S2333=0,(365/0.5)*V2333,(365/S2333)*V2333))</f>
        <v/>
      </c>
      <c r="X2333" s="75" t="n"/>
      <c r="Y2333" s="77" t="n"/>
      <c r="Z2333" s="77" t="n"/>
      <c r="AA2333" s="75" t="n"/>
      <c r="AB2333" s="75" t="n"/>
      <c r="AC2333" s="6" t="n"/>
      <c r="AD2333" s="75" t="n"/>
      <c r="AE2333" s="75" t="n"/>
      <c r="AF2333" s="75" t="n"/>
    </row>
    <row r="2334" ht="15.75" customHeight="1" s="133">
      <c r="A2334" s="75" t="n"/>
      <c r="B2334" s="75" t="n"/>
      <c r="C2334" s="75" t="n"/>
      <c r="D2334" s="75" t="n"/>
      <c r="E2334" s="76" t="n"/>
      <c r="F2334" s="77" t="n"/>
      <c r="G2334" s="75" t="n"/>
      <c r="H2334" s="75">
        <f>IF(ISBLANK(E2334),"",IF(OR(D2334="Butterfly",D2334="Butterfly ",D2334="Iron Fly", D2334="Iron Fly "),LEN(E2334)-LEN(SUBSTITUTE(E2334,"/",""))+2,LEN(E2334)-LEN(SUBSTITUTE(E2334,"/",""))+1))</f>
        <v/>
      </c>
      <c r="I2334" s="78">
        <f>IF(ISBLANK(G2334),"",IF(D2334="Stock","0",Key!$A$3*H2334*G2334))</f>
        <v/>
      </c>
      <c r="J2334" s="78">
        <f>IF(ISBLANK(E2334),"",IF(ISNUMBER(SEARCH("/",E2334)), IF(LEN(E2334)-LEN(SUBSTITUTE(E2334,"/",""))=1,(RIGHT(E2334,LEN(E2334)-FIND("/",E2334)))-(LEFT(E2334,FIND("/",E2334)-1)),(MID(E2334, SEARCH("/",E2334) + 1, SEARCH("/",E2334, SEARCH("/",E2334)+1) - SEARCH("/",E2334) - 1))-(LEFT(E2334,FIND("/",E2334)-1))), "NA"))</f>
        <v/>
      </c>
      <c r="K2334" s="79">
        <f>IF(A2334&lt;&gt;"", IF(ISBLANK(L2334), TODAY(), K2334), "")</f>
        <v/>
      </c>
      <c r="L2334" s="78" t="n"/>
      <c r="M2334" s="78">
        <f>IF(ISBLANK(L2334),"",IF(D2334="Stock",IF(C2334="Buy",L2334*G2334,IF(C2334="Sell",(L2334*G2334)-I2334, X)),IF(C2334="Buy",(L2334*G2334*100)+I2334,IF(C2334="Sell",(L2334*G2334*100)-I2334, X))))</f>
        <v/>
      </c>
      <c r="N2334" s="78">
        <f>IF(ISBLANK(L2334),"",IF(AND(C2334="Sell",D2334="Stock"),M2334,IF(ISBLANK(L2334),"",IF(C2334="Buy",M2334, IF(AND(C2334="Sell",J2334="NA"),(E2334*G2334*100*0.1)+I2334, IF(C2334="Sell",(J2334-L2334)*(100*G2334)+I2334))))))</f>
        <v/>
      </c>
      <c r="O2334" s="75" t="n"/>
      <c r="P2334" s="75" t="n"/>
      <c r="Q2334" s="75">
        <f>IF(ISBLANK(P2334),"",IF(D2334="Stock",P2334*G2334,IF(P2334=0,"0",G2334*P2334*100-(G2334*$AF$14))))</f>
        <v/>
      </c>
      <c r="R2334" s="79">
        <f>IF(P2334&lt;&gt;"", TODAY(), "")</f>
        <v/>
      </c>
      <c r="S2334" s="78">
        <f>IF(AND(K2334&lt;&gt;"", R2334&lt;&gt;""), R2334-K2334, "")</f>
        <v/>
      </c>
      <c r="T2334" s="78" t="n"/>
      <c r="U2334" s="92">
        <f>IF(ISBLANK(P2334),"",IF(C2334="Buy",Q2334-M2334+T2334, IF(C2334="Sell",M2334-Q2334-T2334, X)))</f>
        <v/>
      </c>
      <c r="V2334" s="81">
        <f>IF(ISBLANK(P2334),"",U2334/N2334)</f>
        <v/>
      </c>
      <c r="W2334" s="81">
        <f>IF(ISBLANK(P2334),"",IF(S2334=0,(365/0.5)*V2334,(365/S2334)*V2334))</f>
        <v/>
      </c>
      <c r="X2334" s="75" t="n"/>
      <c r="Y2334" s="77" t="n"/>
      <c r="Z2334" s="77" t="n"/>
      <c r="AA2334" s="75" t="n"/>
      <c r="AB2334" s="75" t="n"/>
      <c r="AC2334" s="6" t="n"/>
      <c r="AD2334" s="75" t="n"/>
      <c r="AE2334" s="75" t="n"/>
      <c r="AF2334" s="75" t="n"/>
    </row>
    <row r="2335" ht="15.75" customHeight="1" s="133">
      <c r="A2335" s="75" t="n"/>
      <c r="B2335" s="75" t="n"/>
      <c r="C2335" s="75" t="n"/>
      <c r="D2335" s="75" t="n"/>
      <c r="E2335" s="76" t="n"/>
      <c r="F2335" s="77" t="n"/>
      <c r="G2335" s="75" t="n"/>
      <c r="H2335" s="75">
        <f>IF(ISBLANK(E2335),"",IF(OR(D2335="Butterfly",D2335="Butterfly ",D2335="Iron Fly", D2335="Iron Fly "),LEN(E2335)-LEN(SUBSTITUTE(E2335,"/",""))+2,LEN(E2335)-LEN(SUBSTITUTE(E2335,"/",""))+1))</f>
        <v/>
      </c>
      <c r="I2335" s="78">
        <f>IF(ISBLANK(G2335),"",IF(D2335="Stock","0",Key!$A$3*H2335*G2335))</f>
        <v/>
      </c>
      <c r="J2335" s="78">
        <f>IF(ISBLANK(E2335),"",IF(ISNUMBER(SEARCH("/",E2335)), IF(LEN(E2335)-LEN(SUBSTITUTE(E2335,"/",""))=1,(RIGHT(E2335,LEN(E2335)-FIND("/",E2335)))-(LEFT(E2335,FIND("/",E2335)-1)),(MID(E2335, SEARCH("/",E2335) + 1, SEARCH("/",E2335, SEARCH("/",E2335)+1) - SEARCH("/",E2335) - 1))-(LEFT(E2335,FIND("/",E2335)-1))), "NA"))</f>
        <v/>
      </c>
      <c r="K2335" s="79">
        <f>IF(A2335&lt;&gt;"", IF(ISBLANK(L2335), TODAY(), K2335), "")</f>
        <v/>
      </c>
      <c r="L2335" s="78" t="n"/>
      <c r="M2335" s="78">
        <f>IF(ISBLANK(L2335),"",IF(D2335="Stock",IF(C2335="Buy",L2335*G2335,IF(C2335="Sell",(L2335*G2335)-I2335, X)),IF(C2335="Buy",(L2335*G2335*100)+I2335,IF(C2335="Sell",(L2335*G2335*100)-I2335, X))))</f>
        <v/>
      </c>
      <c r="N2335" s="78">
        <f>IF(ISBLANK(L2335),"",IF(AND(C2335="Sell",D2335="Stock"),M2335,IF(ISBLANK(L2335),"",IF(C2335="Buy",M2335, IF(AND(C2335="Sell",J2335="NA"),(E2335*G2335*100*0.1)+I2335, IF(C2335="Sell",(J2335-L2335)*(100*G2335)+I2335))))))</f>
        <v/>
      </c>
      <c r="O2335" s="75" t="n"/>
      <c r="P2335" s="75" t="n"/>
      <c r="Q2335" s="75">
        <f>IF(ISBLANK(P2335),"",IF(D2335="Stock",P2335*G2335,IF(P2335=0,"0",G2335*P2335*100-(G2335*$AF$14))))</f>
        <v/>
      </c>
      <c r="R2335" s="79">
        <f>IF(P2335&lt;&gt;"", TODAY(), "")</f>
        <v/>
      </c>
      <c r="S2335" s="78">
        <f>IF(AND(K2335&lt;&gt;"", R2335&lt;&gt;""), R2335-K2335, "")</f>
        <v/>
      </c>
      <c r="T2335" s="78" t="n"/>
      <c r="U2335" s="92">
        <f>IF(ISBLANK(P2335),"",IF(C2335="Buy",Q2335-M2335+T2335, IF(C2335="Sell",M2335-Q2335-T2335, X)))</f>
        <v/>
      </c>
      <c r="V2335" s="81">
        <f>IF(ISBLANK(P2335),"",U2335/N2335)</f>
        <v/>
      </c>
      <c r="W2335" s="81">
        <f>IF(ISBLANK(P2335),"",IF(S2335=0,(365/0.5)*V2335,(365/S2335)*V2335))</f>
        <v/>
      </c>
      <c r="X2335" s="75" t="n"/>
      <c r="Y2335" s="77" t="n"/>
      <c r="Z2335" s="77" t="n"/>
      <c r="AA2335" s="75" t="n"/>
      <c r="AB2335" s="75" t="n"/>
      <c r="AC2335" s="6" t="n"/>
      <c r="AD2335" s="75" t="n"/>
      <c r="AE2335" s="75" t="n"/>
      <c r="AF2335" s="75" t="n"/>
    </row>
    <row r="2336" ht="15.75" customHeight="1" s="133">
      <c r="A2336" s="75" t="n"/>
      <c r="B2336" s="75" t="n"/>
      <c r="C2336" s="75" t="n"/>
      <c r="D2336" s="75" t="n"/>
      <c r="E2336" s="76" t="n"/>
      <c r="F2336" s="77" t="n"/>
      <c r="G2336" s="75" t="n"/>
      <c r="H2336" s="75">
        <f>IF(ISBLANK(E2336),"",IF(OR(D2336="Butterfly",D2336="Butterfly ",D2336="Iron Fly", D2336="Iron Fly "),LEN(E2336)-LEN(SUBSTITUTE(E2336,"/",""))+2,LEN(E2336)-LEN(SUBSTITUTE(E2336,"/",""))+1))</f>
        <v/>
      </c>
      <c r="I2336" s="78">
        <f>IF(ISBLANK(G2336),"",IF(D2336="Stock","0",Key!$A$3*H2336*G2336))</f>
        <v/>
      </c>
      <c r="J2336" s="78">
        <f>IF(ISBLANK(E2336),"",IF(ISNUMBER(SEARCH("/",E2336)), IF(LEN(E2336)-LEN(SUBSTITUTE(E2336,"/",""))=1,(RIGHT(E2336,LEN(E2336)-FIND("/",E2336)))-(LEFT(E2336,FIND("/",E2336)-1)),(MID(E2336, SEARCH("/",E2336) + 1, SEARCH("/",E2336, SEARCH("/",E2336)+1) - SEARCH("/",E2336) - 1))-(LEFT(E2336,FIND("/",E2336)-1))), "NA"))</f>
        <v/>
      </c>
      <c r="K2336" s="79">
        <f>IF(A2336&lt;&gt;"", IF(ISBLANK(L2336), TODAY(), K2336), "")</f>
        <v/>
      </c>
      <c r="L2336" s="78" t="n"/>
      <c r="M2336" s="78">
        <f>IF(ISBLANK(L2336),"",IF(D2336="Stock",IF(C2336="Buy",L2336*G2336,IF(C2336="Sell",(L2336*G2336)-I2336, X)),IF(C2336="Buy",(L2336*G2336*100)+I2336,IF(C2336="Sell",(L2336*G2336*100)-I2336, X))))</f>
        <v/>
      </c>
      <c r="N2336" s="78">
        <f>IF(ISBLANK(L2336),"",IF(AND(C2336="Sell",D2336="Stock"),M2336,IF(ISBLANK(L2336),"",IF(C2336="Buy",M2336, IF(AND(C2336="Sell",J2336="NA"),(E2336*G2336*100*0.1)+I2336, IF(C2336="Sell",(J2336-L2336)*(100*G2336)+I2336))))))</f>
        <v/>
      </c>
      <c r="O2336" s="75" t="n"/>
      <c r="P2336" s="75" t="n"/>
      <c r="Q2336" s="75">
        <f>IF(ISBLANK(P2336),"",IF(D2336="Stock",P2336*G2336,IF(P2336=0,"0",G2336*P2336*100-(G2336*$AF$14))))</f>
        <v/>
      </c>
      <c r="R2336" s="79">
        <f>IF(P2336&lt;&gt;"", TODAY(), "")</f>
        <v/>
      </c>
      <c r="S2336" s="78">
        <f>IF(AND(K2336&lt;&gt;"", R2336&lt;&gt;""), R2336-K2336, "")</f>
        <v/>
      </c>
      <c r="T2336" s="78" t="n"/>
      <c r="U2336" s="92">
        <f>IF(ISBLANK(P2336),"",IF(C2336="Buy",Q2336-M2336+T2336, IF(C2336="Sell",M2336-Q2336-T2336, X)))</f>
        <v/>
      </c>
      <c r="V2336" s="81">
        <f>IF(ISBLANK(P2336),"",U2336/N2336)</f>
        <v/>
      </c>
      <c r="W2336" s="81">
        <f>IF(ISBLANK(P2336),"",IF(S2336=0,(365/0.5)*V2336,(365/S2336)*V2336))</f>
        <v/>
      </c>
      <c r="X2336" s="75" t="n"/>
      <c r="Y2336" s="77" t="n"/>
      <c r="Z2336" s="77" t="n"/>
      <c r="AA2336" s="75" t="n"/>
      <c r="AB2336" s="75" t="n"/>
      <c r="AC2336" s="6" t="n"/>
      <c r="AD2336" s="75" t="n"/>
      <c r="AE2336" s="75" t="n"/>
      <c r="AF2336" s="75" t="n"/>
    </row>
    <row r="2337" ht="15.75" customHeight="1" s="133">
      <c r="A2337" s="75" t="n"/>
      <c r="B2337" s="75" t="n"/>
      <c r="C2337" s="75" t="n"/>
      <c r="D2337" s="75" t="n"/>
      <c r="E2337" s="76" t="n"/>
      <c r="F2337" s="77" t="n"/>
      <c r="G2337" s="75" t="n"/>
      <c r="H2337" s="75">
        <f>IF(ISBLANK(E2337),"",IF(OR(D2337="Butterfly",D2337="Butterfly ",D2337="Iron Fly", D2337="Iron Fly "),LEN(E2337)-LEN(SUBSTITUTE(E2337,"/",""))+2,LEN(E2337)-LEN(SUBSTITUTE(E2337,"/",""))+1))</f>
        <v/>
      </c>
      <c r="I2337" s="78">
        <f>IF(ISBLANK(G2337),"",IF(D2337="Stock","0",Key!$A$3*H2337*G2337))</f>
        <v/>
      </c>
      <c r="J2337" s="78">
        <f>IF(ISBLANK(E2337),"",IF(ISNUMBER(SEARCH("/",E2337)), IF(LEN(E2337)-LEN(SUBSTITUTE(E2337,"/",""))=1,(RIGHT(E2337,LEN(E2337)-FIND("/",E2337)))-(LEFT(E2337,FIND("/",E2337)-1)),(MID(E2337, SEARCH("/",E2337) + 1, SEARCH("/",E2337, SEARCH("/",E2337)+1) - SEARCH("/",E2337) - 1))-(LEFT(E2337,FIND("/",E2337)-1))), "NA"))</f>
        <v/>
      </c>
      <c r="K2337" s="79">
        <f>IF(A2337&lt;&gt;"", IF(ISBLANK(L2337), TODAY(), K2337), "")</f>
        <v/>
      </c>
      <c r="L2337" s="78" t="n"/>
      <c r="M2337" s="78">
        <f>IF(ISBLANK(L2337),"",IF(D2337="Stock",IF(C2337="Buy",L2337*G2337,IF(C2337="Sell",(L2337*G2337)-I2337, X)),IF(C2337="Buy",(L2337*G2337*100)+I2337,IF(C2337="Sell",(L2337*G2337*100)-I2337, X))))</f>
        <v/>
      </c>
      <c r="N2337" s="78">
        <f>IF(ISBLANK(L2337),"",IF(AND(C2337="Sell",D2337="Stock"),M2337,IF(ISBLANK(L2337),"",IF(C2337="Buy",M2337, IF(AND(C2337="Sell",J2337="NA"),(E2337*G2337*100*0.1)+I2337, IF(C2337="Sell",(J2337-L2337)*(100*G2337)+I2337))))))</f>
        <v/>
      </c>
      <c r="O2337" s="75" t="n"/>
      <c r="P2337" s="75" t="n"/>
      <c r="Q2337" s="75">
        <f>IF(ISBLANK(P2337),"",IF(D2337="Stock",P2337*G2337,IF(P2337=0,"0",G2337*P2337*100-(G2337*$AF$14))))</f>
        <v/>
      </c>
      <c r="R2337" s="79">
        <f>IF(P2337&lt;&gt;"", TODAY(), "")</f>
        <v/>
      </c>
      <c r="S2337" s="78">
        <f>IF(AND(K2337&lt;&gt;"", R2337&lt;&gt;""), R2337-K2337, "")</f>
        <v/>
      </c>
      <c r="T2337" s="78" t="n"/>
      <c r="U2337" s="92">
        <f>IF(ISBLANK(P2337),"",IF(C2337="Buy",Q2337-M2337+T2337, IF(C2337="Sell",M2337-Q2337-T2337, X)))</f>
        <v/>
      </c>
      <c r="V2337" s="81">
        <f>IF(ISBLANK(P2337),"",U2337/N2337)</f>
        <v/>
      </c>
      <c r="W2337" s="81">
        <f>IF(ISBLANK(P2337),"",IF(S2337=0,(365/0.5)*V2337,(365/S2337)*V2337))</f>
        <v/>
      </c>
      <c r="X2337" s="75" t="n"/>
      <c r="Y2337" s="77" t="n"/>
      <c r="Z2337" s="77" t="n"/>
      <c r="AA2337" s="75" t="n"/>
      <c r="AB2337" s="75" t="n"/>
      <c r="AC2337" s="6" t="n"/>
      <c r="AD2337" s="75" t="n"/>
      <c r="AE2337" s="75" t="n"/>
      <c r="AF2337" s="75" t="n"/>
    </row>
    <row r="2338" ht="15.75" customHeight="1" s="133">
      <c r="A2338" s="75" t="n"/>
      <c r="B2338" s="75" t="n"/>
      <c r="C2338" s="75" t="n"/>
      <c r="D2338" s="75" t="n"/>
      <c r="E2338" s="76" t="n"/>
      <c r="F2338" s="77" t="n"/>
      <c r="G2338" s="75" t="n"/>
      <c r="H2338" s="75">
        <f>IF(ISBLANK(E2338),"",IF(OR(D2338="Butterfly",D2338="Butterfly ",D2338="Iron Fly", D2338="Iron Fly "),LEN(E2338)-LEN(SUBSTITUTE(E2338,"/",""))+2,LEN(E2338)-LEN(SUBSTITUTE(E2338,"/",""))+1))</f>
        <v/>
      </c>
      <c r="I2338" s="78">
        <f>IF(ISBLANK(G2338),"",IF(D2338="Stock","0",Key!$A$3*H2338*G2338))</f>
        <v/>
      </c>
      <c r="J2338" s="78">
        <f>IF(ISBLANK(E2338),"",IF(ISNUMBER(SEARCH("/",E2338)), IF(LEN(E2338)-LEN(SUBSTITUTE(E2338,"/",""))=1,(RIGHT(E2338,LEN(E2338)-FIND("/",E2338)))-(LEFT(E2338,FIND("/",E2338)-1)),(MID(E2338, SEARCH("/",E2338) + 1, SEARCH("/",E2338, SEARCH("/",E2338)+1) - SEARCH("/",E2338) - 1))-(LEFT(E2338,FIND("/",E2338)-1))), "NA"))</f>
        <v/>
      </c>
      <c r="K2338" s="79">
        <f>IF(A2338&lt;&gt;"", IF(ISBLANK(L2338), TODAY(), K2338), "")</f>
        <v/>
      </c>
      <c r="L2338" s="78" t="n"/>
      <c r="M2338" s="78">
        <f>IF(ISBLANK(L2338),"",IF(D2338="Stock",IF(C2338="Buy",L2338*G2338,IF(C2338="Sell",(L2338*G2338)-I2338, X)),IF(C2338="Buy",(L2338*G2338*100)+I2338,IF(C2338="Sell",(L2338*G2338*100)-I2338, X))))</f>
        <v/>
      </c>
      <c r="N2338" s="78">
        <f>IF(ISBLANK(L2338),"",IF(AND(C2338="Sell",D2338="Stock"),M2338,IF(ISBLANK(L2338),"",IF(C2338="Buy",M2338, IF(AND(C2338="Sell",J2338="NA"),(E2338*G2338*100*0.1)+I2338, IF(C2338="Sell",(J2338-L2338)*(100*G2338)+I2338))))))</f>
        <v/>
      </c>
      <c r="O2338" s="75" t="n"/>
      <c r="P2338" s="75" t="n"/>
      <c r="Q2338" s="75">
        <f>IF(ISBLANK(P2338),"",IF(D2338="Stock",P2338*G2338,IF(P2338=0,"0",G2338*P2338*100-(G2338*$AF$14))))</f>
        <v/>
      </c>
      <c r="R2338" s="79">
        <f>IF(P2338&lt;&gt;"", TODAY(), "")</f>
        <v/>
      </c>
      <c r="S2338" s="78">
        <f>IF(AND(K2338&lt;&gt;"", R2338&lt;&gt;""), R2338-K2338, "")</f>
        <v/>
      </c>
      <c r="T2338" s="78" t="n"/>
      <c r="U2338" s="92">
        <f>IF(ISBLANK(P2338),"",IF(C2338="Buy",Q2338-M2338+T2338, IF(C2338="Sell",M2338-Q2338-T2338, X)))</f>
        <v/>
      </c>
      <c r="V2338" s="81">
        <f>IF(ISBLANK(P2338),"",U2338/N2338)</f>
        <v/>
      </c>
      <c r="W2338" s="81">
        <f>IF(ISBLANK(P2338),"",IF(S2338=0,(365/0.5)*V2338,(365/S2338)*V2338))</f>
        <v/>
      </c>
      <c r="X2338" s="75" t="n"/>
      <c r="Y2338" s="77" t="n"/>
      <c r="Z2338" s="77" t="n"/>
      <c r="AA2338" s="75" t="n"/>
      <c r="AB2338" s="75" t="n"/>
      <c r="AC2338" s="6" t="n"/>
      <c r="AD2338" s="75" t="n"/>
      <c r="AE2338" s="75" t="n"/>
      <c r="AF2338" s="75" t="n"/>
    </row>
    <row r="2339" ht="15.75" customHeight="1" s="133">
      <c r="A2339" s="75" t="n"/>
      <c r="B2339" s="75" t="n"/>
      <c r="C2339" s="75" t="n"/>
      <c r="D2339" s="75" t="n"/>
      <c r="E2339" s="76" t="n"/>
      <c r="F2339" s="77" t="n"/>
      <c r="G2339" s="75" t="n"/>
      <c r="H2339" s="75">
        <f>IF(ISBLANK(E2339),"",IF(OR(D2339="Butterfly",D2339="Butterfly ",D2339="Iron Fly", D2339="Iron Fly "),LEN(E2339)-LEN(SUBSTITUTE(E2339,"/",""))+2,LEN(E2339)-LEN(SUBSTITUTE(E2339,"/",""))+1))</f>
        <v/>
      </c>
      <c r="I2339" s="78">
        <f>IF(ISBLANK(G2339),"",IF(D2339="Stock","0",Key!$A$3*H2339*G2339))</f>
        <v/>
      </c>
      <c r="J2339" s="78">
        <f>IF(ISBLANK(E2339),"",IF(ISNUMBER(SEARCH("/",E2339)), IF(LEN(E2339)-LEN(SUBSTITUTE(E2339,"/",""))=1,(RIGHT(E2339,LEN(E2339)-FIND("/",E2339)))-(LEFT(E2339,FIND("/",E2339)-1)),(MID(E2339, SEARCH("/",E2339) + 1, SEARCH("/",E2339, SEARCH("/",E2339)+1) - SEARCH("/",E2339) - 1))-(LEFT(E2339,FIND("/",E2339)-1))), "NA"))</f>
        <v/>
      </c>
      <c r="K2339" s="79">
        <f>IF(A2339&lt;&gt;"", IF(ISBLANK(L2339), TODAY(), K2339), "")</f>
        <v/>
      </c>
      <c r="L2339" s="78" t="n"/>
      <c r="M2339" s="78">
        <f>IF(ISBLANK(L2339),"",IF(D2339="Stock",IF(C2339="Buy",L2339*G2339,IF(C2339="Sell",(L2339*G2339)-I2339, X)),IF(C2339="Buy",(L2339*G2339*100)+I2339,IF(C2339="Sell",(L2339*G2339*100)-I2339, X))))</f>
        <v/>
      </c>
      <c r="N2339" s="78">
        <f>IF(ISBLANK(L2339),"",IF(AND(C2339="Sell",D2339="Stock"),M2339,IF(ISBLANK(L2339),"",IF(C2339="Buy",M2339, IF(AND(C2339="Sell",J2339="NA"),(E2339*G2339*100*0.1)+I2339, IF(C2339="Sell",(J2339-L2339)*(100*G2339)+I2339))))))</f>
        <v/>
      </c>
      <c r="O2339" s="75" t="n"/>
      <c r="P2339" s="75" t="n"/>
      <c r="Q2339" s="75">
        <f>IF(ISBLANK(P2339),"",IF(D2339="Stock",P2339*G2339,IF(P2339=0,"0",G2339*P2339*100-(G2339*$AF$14))))</f>
        <v/>
      </c>
      <c r="R2339" s="79">
        <f>IF(P2339&lt;&gt;"", TODAY(), "")</f>
        <v/>
      </c>
      <c r="S2339" s="78">
        <f>IF(AND(K2339&lt;&gt;"", R2339&lt;&gt;""), R2339-K2339, "")</f>
        <v/>
      </c>
      <c r="T2339" s="78" t="n"/>
      <c r="U2339" s="92">
        <f>IF(ISBLANK(P2339),"",IF(C2339="Buy",Q2339-M2339+T2339, IF(C2339="Sell",M2339-Q2339-T2339, X)))</f>
        <v/>
      </c>
      <c r="V2339" s="81">
        <f>IF(ISBLANK(P2339),"",U2339/N2339)</f>
        <v/>
      </c>
      <c r="W2339" s="81">
        <f>IF(ISBLANK(P2339),"",IF(S2339=0,(365/0.5)*V2339,(365/S2339)*V2339))</f>
        <v/>
      </c>
      <c r="X2339" s="75" t="n"/>
      <c r="Y2339" s="77" t="n"/>
      <c r="Z2339" s="77" t="n"/>
      <c r="AA2339" s="75" t="n"/>
      <c r="AB2339" s="75" t="n"/>
      <c r="AC2339" s="6" t="n"/>
      <c r="AD2339" s="75" t="n"/>
      <c r="AE2339" s="75" t="n"/>
      <c r="AF2339" s="75" t="n"/>
    </row>
    <row r="2340" ht="15.75" customHeight="1" s="133">
      <c r="A2340" s="75" t="n"/>
      <c r="B2340" s="75" t="n"/>
      <c r="C2340" s="75" t="n"/>
      <c r="D2340" s="75" t="n"/>
      <c r="E2340" s="76" t="n"/>
      <c r="F2340" s="77" t="n"/>
      <c r="G2340" s="75" t="n"/>
      <c r="H2340" s="75">
        <f>IF(ISBLANK(E2340),"",IF(OR(D2340="Butterfly",D2340="Butterfly ",D2340="Iron Fly", D2340="Iron Fly "),LEN(E2340)-LEN(SUBSTITUTE(E2340,"/",""))+2,LEN(E2340)-LEN(SUBSTITUTE(E2340,"/",""))+1))</f>
        <v/>
      </c>
      <c r="I2340" s="78">
        <f>IF(ISBLANK(G2340),"",IF(D2340="Stock","0",Key!$A$3*H2340*G2340))</f>
        <v/>
      </c>
      <c r="J2340" s="78">
        <f>IF(ISBLANK(E2340),"",IF(ISNUMBER(SEARCH("/",E2340)), IF(LEN(E2340)-LEN(SUBSTITUTE(E2340,"/",""))=1,(RIGHT(E2340,LEN(E2340)-FIND("/",E2340)))-(LEFT(E2340,FIND("/",E2340)-1)),(MID(E2340, SEARCH("/",E2340) + 1, SEARCH("/",E2340, SEARCH("/",E2340)+1) - SEARCH("/",E2340) - 1))-(LEFT(E2340,FIND("/",E2340)-1))), "NA"))</f>
        <v/>
      </c>
      <c r="K2340" s="79">
        <f>IF(A2340&lt;&gt;"", IF(ISBLANK(L2340), TODAY(), K2340), "")</f>
        <v/>
      </c>
      <c r="L2340" s="78" t="n"/>
      <c r="M2340" s="78">
        <f>IF(ISBLANK(L2340),"",IF(D2340="Stock",IF(C2340="Buy",L2340*G2340,IF(C2340="Sell",(L2340*G2340)-I2340, X)),IF(C2340="Buy",(L2340*G2340*100)+I2340,IF(C2340="Sell",(L2340*G2340*100)-I2340, X))))</f>
        <v/>
      </c>
      <c r="N2340" s="78">
        <f>IF(ISBLANK(L2340),"",IF(AND(C2340="Sell",D2340="Stock"),M2340,IF(ISBLANK(L2340),"",IF(C2340="Buy",M2340, IF(AND(C2340="Sell",J2340="NA"),(E2340*G2340*100*0.1)+I2340, IF(C2340="Sell",(J2340-L2340)*(100*G2340)+I2340))))))</f>
        <v/>
      </c>
      <c r="O2340" s="75" t="n"/>
      <c r="P2340" s="75" t="n"/>
      <c r="Q2340" s="75">
        <f>IF(ISBLANK(P2340),"",IF(D2340="Stock",P2340*G2340,IF(P2340=0,"0",G2340*P2340*100-(G2340*$AF$14))))</f>
        <v/>
      </c>
      <c r="R2340" s="79">
        <f>IF(P2340&lt;&gt;"", TODAY(), "")</f>
        <v/>
      </c>
      <c r="S2340" s="78">
        <f>IF(AND(K2340&lt;&gt;"", R2340&lt;&gt;""), R2340-K2340, "")</f>
        <v/>
      </c>
      <c r="T2340" s="78" t="n"/>
      <c r="U2340" s="92">
        <f>IF(ISBLANK(P2340),"",IF(C2340="Buy",Q2340-M2340+T2340, IF(C2340="Sell",M2340-Q2340-T2340, X)))</f>
        <v/>
      </c>
      <c r="V2340" s="81">
        <f>IF(ISBLANK(P2340),"",U2340/N2340)</f>
        <v/>
      </c>
      <c r="W2340" s="81">
        <f>IF(ISBLANK(P2340),"",IF(S2340=0,(365/0.5)*V2340,(365/S2340)*V2340))</f>
        <v/>
      </c>
      <c r="X2340" s="75" t="n"/>
      <c r="Y2340" s="77" t="n"/>
      <c r="Z2340" s="77" t="n"/>
      <c r="AA2340" s="75" t="n"/>
      <c r="AB2340" s="75" t="n"/>
      <c r="AC2340" s="6" t="n"/>
      <c r="AD2340" s="75" t="n"/>
      <c r="AE2340" s="75" t="n"/>
      <c r="AF2340" s="75" t="n"/>
    </row>
    <row r="2341" ht="15.75" customHeight="1" s="133">
      <c r="A2341" s="75" t="n"/>
      <c r="B2341" s="75" t="n"/>
      <c r="C2341" s="75" t="n"/>
      <c r="D2341" s="75" t="n"/>
      <c r="E2341" s="76" t="n"/>
      <c r="F2341" s="77" t="n"/>
      <c r="G2341" s="75" t="n"/>
      <c r="H2341" s="75">
        <f>IF(ISBLANK(E2341),"",IF(OR(D2341="Butterfly",D2341="Butterfly ",D2341="Iron Fly", D2341="Iron Fly "),LEN(E2341)-LEN(SUBSTITUTE(E2341,"/",""))+2,LEN(E2341)-LEN(SUBSTITUTE(E2341,"/",""))+1))</f>
        <v/>
      </c>
      <c r="I2341" s="78">
        <f>IF(ISBLANK(G2341),"",IF(D2341="Stock","0",Key!$A$3*H2341*G2341))</f>
        <v/>
      </c>
      <c r="J2341" s="78">
        <f>IF(ISBLANK(E2341),"",IF(ISNUMBER(SEARCH("/",E2341)), IF(LEN(E2341)-LEN(SUBSTITUTE(E2341,"/",""))=1,(RIGHT(E2341,LEN(E2341)-FIND("/",E2341)))-(LEFT(E2341,FIND("/",E2341)-1)),(MID(E2341, SEARCH("/",E2341) + 1, SEARCH("/",E2341, SEARCH("/",E2341)+1) - SEARCH("/",E2341) - 1))-(LEFT(E2341,FIND("/",E2341)-1))), "NA"))</f>
        <v/>
      </c>
      <c r="K2341" s="79">
        <f>IF(A2341&lt;&gt;"", IF(ISBLANK(L2341), TODAY(), K2341), "")</f>
        <v/>
      </c>
      <c r="L2341" s="78" t="n"/>
      <c r="M2341" s="78">
        <f>IF(ISBLANK(L2341),"",IF(D2341="Stock",IF(C2341="Buy",L2341*G2341,IF(C2341="Sell",(L2341*G2341)-I2341, X)),IF(C2341="Buy",(L2341*G2341*100)+I2341,IF(C2341="Sell",(L2341*G2341*100)-I2341, X))))</f>
        <v/>
      </c>
      <c r="N2341" s="78">
        <f>IF(ISBLANK(L2341),"",IF(AND(C2341="Sell",D2341="Stock"),M2341,IF(ISBLANK(L2341),"",IF(C2341="Buy",M2341, IF(AND(C2341="Sell",J2341="NA"),(E2341*G2341*100*0.1)+I2341, IF(C2341="Sell",(J2341-L2341)*(100*G2341)+I2341))))))</f>
        <v/>
      </c>
      <c r="O2341" s="75" t="n"/>
      <c r="P2341" s="75" t="n"/>
      <c r="Q2341" s="75">
        <f>IF(ISBLANK(P2341),"",IF(D2341="Stock",P2341*G2341,IF(P2341=0,"0",G2341*P2341*100-(G2341*$AF$14))))</f>
        <v/>
      </c>
      <c r="R2341" s="79">
        <f>IF(P2341&lt;&gt;"", TODAY(), "")</f>
        <v/>
      </c>
      <c r="S2341" s="78">
        <f>IF(AND(K2341&lt;&gt;"", R2341&lt;&gt;""), R2341-K2341, "")</f>
        <v/>
      </c>
      <c r="T2341" s="78" t="n"/>
      <c r="U2341" s="92">
        <f>IF(ISBLANK(P2341),"",IF(C2341="Buy",Q2341-M2341+T2341, IF(C2341="Sell",M2341-Q2341-T2341, X)))</f>
        <v/>
      </c>
      <c r="V2341" s="81">
        <f>IF(ISBLANK(P2341),"",U2341/N2341)</f>
        <v/>
      </c>
      <c r="W2341" s="81">
        <f>IF(ISBLANK(P2341),"",IF(S2341=0,(365/0.5)*V2341,(365/S2341)*V2341))</f>
        <v/>
      </c>
      <c r="X2341" s="75" t="n"/>
      <c r="Y2341" s="77" t="n"/>
      <c r="Z2341" s="77" t="n"/>
      <c r="AA2341" s="75" t="n"/>
      <c r="AB2341" s="75" t="n"/>
      <c r="AC2341" s="6" t="n"/>
      <c r="AD2341" s="75" t="n"/>
      <c r="AE2341" s="75" t="n"/>
      <c r="AF2341" s="75" t="n"/>
    </row>
    <row r="2342" ht="15.75" customHeight="1" s="133">
      <c r="A2342" s="75" t="n"/>
      <c r="B2342" s="75" t="n"/>
      <c r="C2342" s="75" t="n"/>
      <c r="D2342" s="75" t="n"/>
      <c r="E2342" s="76" t="n"/>
      <c r="F2342" s="77" t="n"/>
      <c r="G2342" s="75" t="n"/>
      <c r="H2342" s="75">
        <f>IF(ISBLANK(E2342),"",IF(OR(D2342="Butterfly",D2342="Butterfly ",D2342="Iron Fly", D2342="Iron Fly "),LEN(E2342)-LEN(SUBSTITUTE(E2342,"/",""))+2,LEN(E2342)-LEN(SUBSTITUTE(E2342,"/",""))+1))</f>
        <v/>
      </c>
      <c r="I2342" s="78">
        <f>IF(ISBLANK(G2342),"",IF(D2342="Stock","0",Key!$A$3*H2342*G2342))</f>
        <v/>
      </c>
      <c r="J2342" s="78">
        <f>IF(ISBLANK(E2342),"",IF(ISNUMBER(SEARCH("/",E2342)), IF(LEN(E2342)-LEN(SUBSTITUTE(E2342,"/",""))=1,(RIGHT(E2342,LEN(E2342)-FIND("/",E2342)))-(LEFT(E2342,FIND("/",E2342)-1)),(MID(E2342, SEARCH("/",E2342) + 1, SEARCH("/",E2342, SEARCH("/",E2342)+1) - SEARCH("/",E2342) - 1))-(LEFT(E2342,FIND("/",E2342)-1))), "NA"))</f>
        <v/>
      </c>
      <c r="K2342" s="79">
        <f>IF(A2342&lt;&gt;"", IF(ISBLANK(L2342), TODAY(), K2342), "")</f>
        <v/>
      </c>
      <c r="L2342" s="78" t="n"/>
      <c r="M2342" s="78">
        <f>IF(ISBLANK(L2342),"",IF(D2342="Stock",IF(C2342="Buy",L2342*G2342,IF(C2342="Sell",(L2342*G2342)-I2342, X)),IF(C2342="Buy",(L2342*G2342*100)+I2342,IF(C2342="Sell",(L2342*G2342*100)-I2342, X))))</f>
        <v/>
      </c>
      <c r="N2342" s="78">
        <f>IF(ISBLANK(L2342),"",IF(AND(C2342="Sell",D2342="Stock"),M2342,IF(ISBLANK(L2342),"",IF(C2342="Buy",M2342, IF(AND(C2342="Sell",J2342="NA"),(E2342*G2342*100*0.1)+I2342, IF(C2342="Sell",(J2342-L2342)*(100*G2342)+I2342))))))</f>
        <v/>
      </c>
      <c r="O2342" s="75" t="n"/>
      <c r="P2342" s="75" t="n"/>
      <c r="Q2342" s="75">
        <f>IF(ISBLANK(P2342),"",IF(D2342="Stock",P2342*G2342,IF(P2342=0,"0",G2342*P2342*100-(G2342*$AF$14))))</f>
        <v/>
      </c>
      <c r="R2342" s="79">
        <f>IF(P2342&lt;&gt;"", TODAY(), "")</f>
        <v/>
      </c>
      <c r="S2342" s="78">
        <f>IF(AND(K2342&lt;&gt;"", R2342&lt;&gt;""), R2342-K2342, "")</f>
        <v/>
      </c>
      <c r="T2342" s="78" t="n"/>
      <c r="U2342" s="92">
        <f>IF(ISBLANK(P2342),"",IF(C2342="Buy",Q2342-M2342+T2342, IF(C2342="Sell",M2342-Q2342-T2342, X)))</f>
        <v/>
      </c>
      <c r="V2342" s="81">
        <f>IF(ISBLANK(P2342),"",U2342/N2342)</f>
        <v/>
      </c>
      <c r="W2342" s="81">
        <f>IF(ISBLANK(P2342),"",IF(S2342=0,(365/0.5)*V2342,(365/S2342)*V2342))</f>
        <v/>
      </c>
      <c r="X2342" s="75" t="n"/>
      <c r="Y2342" s="77" t="n"/>
      <c r="Z2342" s="77" t="n"/>
      <c r="AA2342" s="75" t="n"/>
      <c r="AB2342" s="75" t="n"/>
      <c r="AC2342" s="6" t="n"/>
      <c r="AD2342" s="75" t="n"/>
      <c r="AE2342" s="75" t="n"/>
      <c r="AF2342" s="75" t="n"/>
    </row>
    <row r="2343" ht="15.75" customHeight="1" s="133">
      <c r="A2343" s="75" t="n"/>
      <c r="B2343" s="75" t="n"/>
      <c r="C2343" s="75" t="n"/>
      <c r="D2343" s="75" t="n"/>
      <c r="E2343" s="76" t="n"/>
      <c r="F2343" s="77" t="n"/>
      <c r="G2343" s="75" t="n"/>
      <c r="H2343" s="75">
        <f>IF(ISBLANK(E2343),"",IF(OR(D2343="Butterfly",D2343="Butterfly ",D2343="Iron Fly", D2343="Iron Fly "),LEN(E2343)-LEN(SUBSTITUTE(E2343,"/",""))+2,LEN(E2343)-LEN(SUBSTITUTE(E2343,"/",""))+1))</f>
        <v/>
      </c>
      <c r="I2343" s="78">
        <f>IF(ISBLANK(G2343),"",IF(D2343="Stock","0",Key!$A$3*H2343*G2343))</f>
        <v/>
      </c>
      <c r="J2343" s="78">
        <f>IF(ISBLANK(E2343),"",IF(ISNUMBER(SEARCH("/",E2343)), IF(LEN(E2343)-LEN(SUBSTITUTE(E2343,"/",""))=1,(RIGHT(E2343,LEN(E2343)-FIND("/",E2343)))-(LEFT(E2343,FIND("/",E2343)-1)),(MID(E2343, SEARCH("/",E2343) + 1, SEARCH("/",E2343, SEARCH("/",E2343)+1) - SEARCH("/",E2343) - 1))-(LEFT(E2343,FIND("/",E2343)-1))), "NA"))</f>
        <v/>
      </c>
      <c r="K2343" s="79">
        <f>IF(A2343&lt;&gt;"", IF(ISBLANK(L2343), TODAY(), K2343), "")</f>
        <v/>
      </c>
      <c r="L2343" s="78" t="n"/>
      <c r="M2343" s="78">
        <f>IF(ISBLANK(L2343),"",IF(D2343="Stock",IF(C2343="Buy",L2343*G2343,IF(C2343="Sell",(L2343*G2343)-I2343, X)),IF(C2343="Buy",(L2343*G2343*100)+I2343,IF(C2343="Sell",(L2343*G2343*100)-I2343, X))))</f>
        <v/>
      </c>
      <c r="N2343" s="78">
        <f>IF(ISBLANK(L2343),"",IF(AND(C2343="Sell",D2343="Stock"),M2343,IF(ISBLANK(L2343),"",IF(C2343="Buy",M2343, IF(AND(C2343="Sell",J2343="NA"),(E2343*G2343*100*0.1)+I2343, IF(C2343="Sell",(J2343-L2343)*(100*G2343)+I2343))))))</f>
        <v/>
      </c>
      <c r="O2343" s="75" t="n"/>
      <c r="P2343" s="75" t="n"/>
      <c r="Q2343" s="75">
        <f>IF(ISBLANK(P2343),"",IF(D2343="Stock",P2343*G2343,IF(P2343=0,"0",G2343*P2343*100-(G2343*$AF$14))))</f>
        <v/>
      </c>
      <c r="R2343" s="79">
        <f>IF(P2343&lt;&gt;"", TODAY(), "")</f>
        <v/>
      </c>
      <c r="S2343" s="78">
        <f>IF(AND(K2343&lt;&gt;"", R2343&lt;&gt;""), R2343-K2343, "")</f>
        <v/>
      </c>
      <c r="T2343" s="78" t="n"/>
      <c r="U2343" s="92">
        <f>IF(ISBLANK(P2343),"",IF(C2343="Buy",Q2343-M2343+T2343, IF(C2343="Sell",M2343-Q2343-T2343, X)))</f>
        <v/>
      </c>
      <c r="V2343" s="81">
        <f>IF(ISBLANK(P2343),"",U2343/N2343)</f>
        <v/>
      </c>
      <c r="W2343" s="81">
        <f>IF(ISBLANK(P2343),"",IF(S2343=0,(365/0.5)*V2343,(365/S2343)*V2343))</f>
        <v/>
      </c>
      <c r="X2343" s="75" t="n"/>
      <c r="Y2343" s="77" t="n"/>
      <c r="Z2343" s="77" t="n"/>
      <c r="AA2343" s="75" t="n"/>
      <c r="AB2343" s="75" t="n"/>
      <c r="AC2343" s="6" t="n"/>
      <c r="AD2343" s="75" t="n"/>
      <c r="AE2343" s="75" t="n"/>
      <c r="AF2343" s="75" t="n"/>
    </row>
    <row r="2344" ht="15.75" customHeight="1" s="133">
      <c r="A2344" s="75" t="n"/>
      <c r="B2344" s="75" t="n"/>
      <c r="C2344" s="75" t="n"/>
      <c r="D2344" s="75" t="n"/>
      <c r="E2344" s="76" t="n"/>
      <c r="F2344" s="77" t="n"/>
      <c r="G2344" s="75" t="n"/>
      <c r="H2344" s="75">
        <f>IF(ISBLANK(E2344),"",IF(OR(D2344="Butterfly",D2344="Butterfly ",D2344="Iron Fly", D2344="Iron Fly "),LEN(E2344)-LEN(SUBSTITUTE(E2344,"/",""))+2,LEN(E2344)-LEN(SUBSTITUTE(E2344,"/",""))+1))</f>
        <v/>
      </c>
      <c r="I2344" s="78">
        <f>IF(ISBLANK(G2344),"",IF(D2344="Stock","0",Key!$A$3*H2344*G2344))</f>
        <v/>
      </c>
      <c r="J2344" s="78">
        <f>IF(ISBLANK(E2344),"",IF(ISNUMBER(SEARCH("/",E2344)), IF(LEN(E2344)-LEN(SUBSTITUTE(E2344,"/",""))=1,(RIGHT(E2344,LEN(E2344)-FIND("/",E2344)))-(LEFT(E2344,FIND("/",E2344)-1)),(MID(E2344, SEARCH("/",E2344) + 1, SEARCH("/",E2344, SEARCH("/",E2344)+1) - SEARCH("/",E2344) - 1))-(LEFT(E2344,FIND("/",E2344)-1))), "NA"))</f>
        <v/>
      </c>
      <c r="K2344" s="79">
        <f>IF(A2344&lt;&gt;"", IF(ISBLANK(L2344), TODAY(), K2344), "")</f>
        <v/>
      </c>
      <c r="L2344" s="78" t="n"/>
      <c r="M2344" s="78">
        <f>IF(ISBLANK(L2344),"",IF(D2344="Stock",IF(C2344="Buy",L2344*G2344,IF(C2344="Sell",(L2344*G2344)-I2344, X)),IF(C2344="Buy",(L2344*G2344*100)+I2344,IF(C2344="Sell",(L2344*G2344*100)-I2344, X))))</f>
        <v/>
      </c>
      <c r="N2344" s="78">
        <f>IF(ISBLANK(L2344),"",IF(AND(C2344="Sell",D2344="Stock"),M2344,IF(ISBLANK(L2344),"",IF(C2344="Buy",M2344, IF(AND(C2344="Sell",J2344="NA"),(E2344*G2344*100*0.1)+I2344, IF(C2344="Sell",(J2344-L2344)*(100*G2344)+I2344))))))</f>
        <v/>
      </c>
      <c r="O2344" s="75" t="n"/>
      <c r="P2344" s="75" t="n"/>
      <c r="Q2344" s="75">
        <f>IF(ISBLANK(P2344),"",IF(D2344="Stock",P2344*G2344,IF(P2344=0,"0",G2344*P2344*100-(G2344*$AF$14))))</f>
        <v/>
      </c>
      <c r="R2344" s="79">
        <f>IF(P2344&lt;&gt;"", TODAY(), "")</f>
        <v/>
      </c>
      <c r="S2344" s="78">
        <f>IF(AND(K2344&lt;&gt;"", R2344&lt;&gt;""), R2344-K2344, "")</f>
        <v/>
      </c>
      <c r="T2344" s="78" t="n"/>
      <c r="U2344" s="92">
        <f>IF(ISBLANK(P2344),"",IF(C2344="Buy",Q2344-M2344+T2344, IF(C2344="Sell",M2344-Q2344-T2344, X)))</f>
        <v/>
      </c>
      <c r="V2344" s="81">
        <f>IF(ISBLANK(P2344),"",U2344/N2344)</f>
        <v/>
      </c>
      <c r="W2344" s="81">
        <f>IF(ISBLANK(P2344),"",IF(S2344=0,(365/0.5)*V2344,(365/S2344)*V2344))</f>
        <v/>
      </c>
      <c r="X2344" s="75" t="n"/>
      <c r="Y2344" s="77" t="n"/>
      <c r="Z2344" s="77" t="n"/>
      <c r="AA2344" s="75" t="n"/>
      <c r="AB2344" s="75" t="n"/>
      <c r="AC2344" s="6" t="n"/>
      <c r="AD2344" s="75" t="n"/>
      <c r="AE2344" s="75" t="n"/>
      <c r="AF2344" s="75" t="n"/>
    </row>
    <row r="2345" ht="15.75" customHeight="1" s="133">
      <c r="A2345" s="75" t="n"/>
      <c r="B2345" s="75" t="n"/>
      <c r="C2345" s="75" t="n"/>
      <c r="D2345" s="75" t="n"/>
      <c r="E2345" s="76" t="n"/>
      <c r="F2345" s="77" t="n"/>
      <c r="G2345" s="75" t="n"/>
      <c r="H2345" s="75">
        <f>IF(ISBLANK(E2345),"",IF(OR(D2345="Butterfly",D2345="Butterfly ",D2345="Iron Fly", D2345="Iron Fly "),LEN(E2345)-LEN(SUBSTITUTE(E2345,"/",""))+2,LEN(E2345)-LEN(SUBSTITUTE(E2345,"/",""))+1))</f>
        <v/>
      </c>
      <c r="I2345" s="78">
        <f>IF(ISBLANK(G2345),"",IF(D2345="Stock","0",Key!$A$3*H2345*G2345))</f>
        <v/>
      </c>
      <c r="J2345" s="78">
        <f>IF(ISBLANK(E2345),"",IF(ISNUMBER(SEARCH("/",E2345)), IF(LEN(E2345)-LEN(SUBSTITUTE(E2345,"/",""))=1,(RIGHT(E2345,LEN(E2345)-FIND("/",E2345)))-(LEFT(E2345,FIND("/",E2345)-1)),(MID(E2345, SEARCH("/",E2345) + 1, SEARCH("/",E2345, SEARCH("/",E2345)+1) - SEARCH("/",E2345) - 1))-(LEFT(E2345,FIND("/",E2345)-1))), "NA"))</f>
        <v/>
      </c>
      <c r="K2345" s="79">
        <f>IF(A2345&lt;&gt;"", IF(ISBLANK(L2345), TODAY(), K2345), "")</f>
        <v/>
      </c>
      <c r="L2345" s="78" t="n"/>
      <c r="M2345" s="78">
        <f>IF(ISBLANK(L2345),"",IF(D2345="Stock",IF(C2345="Buy",L2345*G2345,IF(C2345="Sell",(L2345*G2345)-I2345, X)),IF(C2345="Buy",(L2345*G2345*100)+I2345,IF(C2345="Sell",(L2345*G2345*100)-I2345, X))))</f>
        <v/>
      </c>
      <c r="N2345" s="78">
        <f>IF(ISBLANK(L2345),"",IF(AND(C2345="Sell",D2345="Stock"),M2345,IF(ISBLANK(L2345),"",IF(C2345="Buy",M2345, IF(AND(C2345="Sell",J2345="NA"),(E2345*G2345*100*0.1)+I2345, IF(C2345="Sell",(J2345-L2345)*(100*G2345)+I2345))))))</f>
        <v/>
      </c>
      <c r="O2345" s="75" t="n"/>
      <c r="P2345" s="75" t="n"/>
      <c r="Q2345" s="75">
        <f>IF(ISBLANK(P2345),"",IF(D2345="Stock",P2345*G2345,IF(P2345=0,"0",G2345*P2345*100-(G2345*$AF$14))))</f>
        <v/>
      </c>
      <c r="R2345" s="79">
        <f>IF(P2345&lt;&gt;"", TODAY(), "")</f>
        <v/>
      </c>
      <c r="S2345" s="78">
        <f>IF(AND(K2345&lt;&gt;"", R2345&lt;&gt;""), R2345-K2345, "")</f>
        <v/>
      </c>
      <c r="T2345" s="78" t="n"/>
      <c r="U2345" s="92">
        <f>IF(ISBLANK(P2345),"",IF(C2345="Buy",Q2345-M2345+T2345, IF(C2345="Sell",M2345-Q2345-T2345, X)))</f>
        <v/>
      </c>
      <c r="V2345" s="81">
        <f>IF(ISBLANK(P2345),"",U2345/N2345)</f>
        <v/>
      </c>
      <c r="W2345" s="81">
        <f>IF(ISBLANK(P2345),"",IF(S2345=0,(365/0.5)*V2345,(365/S2345)*V2345))</f>
        <v/>
      </c>
      <c r="X2345" s="75" t="n"/>
      <c r="Y2345" s="77" t="n"/>
      <c r="Z2345" s="77" t="n"/>
      <c r="AA2345" s="75" t="n"/>
      <c r="AB2345" s="75" t="n"/>
      <c r="AC2345" s="6" t="n"/>
      <c r="AD2345" s="75" t="n"/>
      <c r="AE2345" s="75" t="n"/>
      <c r="AF2345" s="75" t="n"/>
    </row>
    <row r="2346" ht="15.75" customHeight="1" s="133">
      <c r="A2346" s="75" t="n"/>
      <c r="B2346" s="75" t="n"/>
      <c r="C2346" s="75" t="n"/>
      <c r="D2346" s="75" t="n"/>
      <c r="E2346" s="76" t="n"/>
      <c r="F2346" s="77" t="n"/>
      <c r="G2346" s="75" t="n"/>
      <c r="H2346" s="75">
        <f>IF(ISBLANK(E2346),"",IF(OR(D2346="Butterfly",D2346="Butterfly ",D2346="Iron Fly", D2346="Iron Fly "),LEN(E2346)-LEN(SUBSTITUTE(E2346,"/",""))+2,LEN(E2346)-LEN(SUBSTITUTE(E2346,"/",""))+1))</f>
        <v/>
      </c>
      <c r="I2346" s="78">
        <f>IF(ISBLANK(G2346),"",IF(D2346="Stock","0",Key!$A$3*H2346*G2346))</f>
        <v/>
      </c>
      <c r="J2346" s="78">
        <f>IF(ISBLANK(E2346),"",IF(ISNUMBER(SEARCH("/",E2346)), IF(LEN(E2346)-LEN(SUBSTITUTE(E2346,"/",""))=1,(RIGHT(E2346,LEN(E2346)-FIND("/",E2346)))-(LEFT(E2346,FIND("/",E2346)-1)),(MID(E2346, SEARCH("/",E2346) + 1, SEARCH("/",E2346, SEARCH("/",E2346)+1) - SEARCH("/",E2346) - 1))-(LEFT(E2346,FIND("/",E2346)-1))), "NA"))</f>
        <v/>
      </c>
      <c r="K2346" s="79">
        <f>IF(A2346&lt;&gt;"", IF(ISBLANK(L2346), TODAY(), K2346), "")</f>
        <v/>
      </c>
      <c r="L2346" s="78" t="n"/>
      <c r="M2346" s="78">
        <f>IF(ISBLANK(L2346),"",IF(D2346="Stock",IF(C2346="Buy",L2346*G2346,IF(C2346="Sell",(L2346*G2346)-I2346, X)),IF(C2346="Buy",(L2346*G2346*100)+I2346,IF(C2346="Sell",(L2346*G2346*100)-I2346, X))))</f>
        <v/>
      </c>
      <c r="N2346" s="78">
        <f>IF(ISBLANK(L2346),"",IF(AND(C2346="Sell",D2346="Stock"),M2346,IF(ISBLANK(L2346),"",IF(C2346="Buy",M2346, IF(AND(C2346="Sell",J2346="NA"),(E2346*G2346*100*0.1)+I2346, IF(C2346="Sell",(J2346-L2346)*(100*G2346)+I2346))))))</f>
        <v/>
      </c>
      <c r="O2346" s="75" t="n"/>
      <c r="P2346" s="75" t="n"/>
      <c r="Q2346" s="75">
        <f>IF(ISBLANK(P2346),"",IF(D2346="Stock",P2346*G2346,IF(P2346=0,"0",G2346*P2346*100-(G2346*$AF$14))))</f>
        <v/>
      </c>
      <c r="R2346" s="79">
        <f>IF(P2346&lt;&gt;"", TODAY(), "")</f>
        <v/>
      </c>
      <c r="S2346" s="78">
        <f>IF(AND(K2346&lt;&gt;"", R2346&lt;&gt;""), R2346-K2346, "")</f>
        <v/>
      </c>
      <c r="T2346" s="78" t="n"/>
      <c r="U2346" s="92">
        <f>IF(ISBLANK(P2346),"",IF(C2346="Buy",Q2346-M2346+T2346, IF(C2346="Sell",M2346-Q2346-T2346, X)))</f>
        <v/>
      </c>
      <c r="V2346" s="81">
        <f>IF(ISBLANK(P2346),"",U2346/N2346)</f>
        <v/>
      </c>
      <c r="W2346" s="81">
        <f>IF(ISBLANK(P2346),"",IF(S2346=0,(365/0.5)*V2346,(365/S2346)*V2346))</f>
        <v/>
      </c>
      <c r="X2346" s="75" t="n"/>
      <c r="Y2346" s="77" t="n"/>
      <c r="Z2346" s="77" t="n"/>
      <c r="AA2346" s="75" t="n"/>
      <c r="AB2346" s="75" t="n"/>
      <c r="AC2346" s="6" t="n"/>
      <c r="AD2346" s="75" t="n"/>
      <c r="AE2346" s="75" t="n"/>
      <c r="AF2346" s="75" t="n"/>
    </row>
    <row r="2347" ht="15.75" customHeight="1" s="133">
      <c r="A2347" s="75" t="n"/>
      <c r="B2347" s="75" t="n"/>
      <c r="C2347" s="75" t="n"/>
      <c r="D2347" s="75" t="n"/>
      <c r="E2347" s="76" t="n"/>
      <c r="F2347" s="77" t="n"/>
      <c r="G2347" s="75" t="n"/>
      <c r="H2347" s="75">
        <f>IF(ISBLANK(E2347),"",IF(OR(D2347="Butterfly",D2347="Butterfly ",D2347="Iron Fly", D2347="Iron Fly "),LEN(E2347)-LEN(SUBSTITUTE(E2347,"/",""))+2,LEN(E2347)-LEN(SUBSTITUTE(E2347,"/",""))+1))</f>
        <v/>
      </c>
      <c r="I2347" s="78">
        <f>IF(ISBLANK(G2347),"",IF(D2347="Stock","0",Key!$A$3*H2347*G2347))</f>
        <v/>
      </c>
      <c r="J2347" s="78">
        <f>IF(ISBLANK(E2347),"",IF(ISNUMBER(SEARCH("/",E2347)), IF(LEN(E2347)-LEN(SUBSTITUTE(E2347,"/",""))=1,(RIGHT(E2347,LEN(E2347)-FIND("/",E2347)))-(LEFT(E2347,FIND("/",E2347)-1)),(MID(E2347, SEARCH("/",E2347) + 1, SEARCH("/",E2347, SEARCH("/",E2347)+1) - SEARCH("/",E2347) - 1))-(LEFT(E2347,FIND("/",E2347)-1))), "NA"))</f>
        <v/>
      </c>
      <c r="K2347" s="79">
        <f>IF(A2347&lt;&gt;"", IF(ISBLANK(L2347), TODAY(), K2347), "")</f>
        <v/>
      </c>
      <c r="L2347" s="78" t="n"/>
      <c r="M2347" s="78">
        <f>IF(ISBLANK(L2347),"",IF(D2347="Stock",IF(C2347="Buy",L2347*G2347,IF(C2347="Sell",(L2347*G2347)-I2347, X)),IF(C2347="Buy",(L2347*G2347*100)+I2347,IF(C2347="Sell",(L2347*G2347*100)-I2347, X))))</f>
        <v/>
      </c>
      <c r="N2347" s="78">
        <f>IF(ISBLANK(L2347),"",IF(AND(C2347="Sell",D2347="Stock"),M2347,IF(ISBLANK(L2347),"",IF(C2347="Buy",M2347, IF(AND(C2347="Sell",J2347="NA"),(E2347*G2347*100*0.1)+I2347, IF(C2347="Sell",(J2347-L2347)*(100*G2347)+I2347))))))</f>
        <v/>
      </c>
      <c r="O2347" s="75" t="n"/>
      <c r="P2347" s="75" t="n"/>
      <c r="Q2347" s="75">
        <f>IF(ISBLANK(P2347),"",IF(D2347="Stock",P2347*G2347,IF(P2347=0,"0",G2347*P2347*100-(G2347*$AF$14))))</f>
        <v/>
      </c>
      <c r="R2347" s="79">
        <f>IF(P2347&lt;&gt;"", TODAY(), "")</f>
        <v/>
      </c>
      <c r="S2347" s="78">
        <f>IF(AND(K2347&lt;&gt;"", R2347&lt;&gt;""), R2347-K2347, "")</f>
        <v/>
      </c>
      <c r="T2347" s="78" t="n"/>
      <c r="U2347" s="92">
        <f>IF(ISBLANK(P2347),"",IF(C2347="Buy",Q2347-M2347+T2347, IF(C2347="Sell",M2347-Q2347-T2347, X)))</f>
        <v/>
      </c>
      <c r="V2347" s="81">
        <f>IF(ISBLANK(P2347),"",U2347/N2347)</f>
        <v/>
      </c>
      <c r="W2347" s="81">
        <f>IF(ISBLANK(P2347),"",IF(S2347=0,(365/0.5)*V2347,(365/S2347)*V2347))</f>
        <v/>
      </c>
      <c r="X2347" s="75" t="n"/>
      <c r="Y2347" s="77" t="n"/>
      <c r="Z2347" s="77" t="n"/>
      <c r="AA2347" s="75" t="n"/>
      <c r="AB2347" s="75" t="n"/>
      <c r="AC2347" s="6" t="n"/>
      <c r="AD2347" s="75" t="n"/>
      <c r="AE2347" s="75" t="n"/>
      <c r="AF2347" s="75" t="n"/>
    </row>
    <row r="2348" ht="15.75" customHeight="1" s="133">
      <c r="A2348" s="75" t="n"/>
      <c r="B2348" s="75" t="n"/>
      <c r="C2348" s="75" t="n"/>
      <c r="D2348" s="75" t="n"/>
      <c r="E2348" s="76" t="n"/>
      <c r="F2348" s="77" t="n"/>
      <c r="G2348" s="75" t="n"/>
      <c r="H2348" s="75">
        <f>IF(ISBLANK(E2348),"",IF(OR(D2348="Butterfly",D2348="Butterfly ",D2348="Iron Fly", D2348="Iron Fly "),LEN(E2348)-LEN(SUBSTITUTE(E2348,"/",""))+2,LEN(E2348)-LEN(SUBSTITUTE(E2348,"/",""))+1))</f>
        <v/>
      </c>
      <c r="I2348" s="78">
        <f>IF(ISBLANK(G2348),"",IF(D2348="Stock","0",Key!$A$3*H2348*G2348))</f>
        <v/>
      </c>
      <c r="J2348" s="78">
        <f>IF(ISBLANK(E2348),"",IF(ISNUMBER(SEARCH("/",E2348)), IF(LEN(E2348)-LEN(SUBSTITUTE(E2348,"/",""))=1,(RIGHT(E2348,LEN(E2348)-FIND("/",E2348)))-(LEFT(E2348,FIND("/",E2348)-1)),(MID(E2348, SEARCH("/",E2348) + 1, SEARCH("/",E2348, SEARCH("/",E2348)+1) - SEARCH("/",E2348) - 1))-(LEFT(E2348,FIND("/",E2348)-1))), "NA"))</f>
        <v/>
      </c>
      <c r="K2348" s="79">
        <f>IF(A2348&lt;&gt;"", IF(ISBLANK(L2348), TODAY(), K2348), "")</f>
        <v/>
      </c>
      <c r="L2348" s="78" t="n"/>
      <c r="M2348" s="78">
        <f>IF(ISBLANK(L2348),"",IF(D2348="Stock",IF(C2348="Buy",L2348*G2348,IF(C2348="Sell",(L2348*G2348)-I2348, X)),IF(C2348="Buy",(L2348*G2348*100)+I2348,IF(C2348="Sell",(L2348*G2348*100)-I2348, X))))</f>
        <v/>
      </c>
      <c r="N2348" s="78">
        <f>IF(ISBLANK(L2348),"",IF(AND(C2348="Sell",D2348="Stock"),M2348,IF(ISBLANK(L2348),"",IF(C2348="Buy",M2348, IF(AND(C2348="Sell",J2348="NA"),(E2348*G2348*100*0.1)+I2348, IF(C2348="Sell",(J2348-L2348)*(100*G2348)+I2348))))))</f>
        <v/>
      </c>
      <c r="O2348" s="75" t="n"/>
      <c r="P2348" s="75" t="n"/>
      <c r="Q2348" s="75">
        <f>IF(ISBLANK(P2348),"",IF(D2348="Stock",P2348*G2348,IF(P2348=0,"0",G2348*P2348*100-(G2348*$AF$14))))</f>
        <v/>
      </c>
      <c r="R2348" s="79">
        <f>IF(P2348&lt;&gt;"", TODAY(), "")</f>
        <v/>
      </c>
      <c r="S2348" s="78">
        <f>IF(AND(K2348&lt;&gt;"", R2348&lt;&gt;""), R2348-K2348, "")</f>
        <v/>
      </c>
      <c r="T2348" s="78" t="n"/>
      <c r="U2348" s="92">
        <f>IF(ISBLANK(P2348),"",IF(C2348="Buy",Q2348-M2348+T2348, IF(C2348="Sell",M2348-Q2348-T2348, X)))</f>
        <v/>
      </c>
      <c r="V2348" s="81">
        <f>IF(ISBLANK(P2348),"",U2348/N2348)</f>
        <v/>
      </c>
      <c r="W2348" s="81">
        <f>IF(ISBLANK(P2348),"",IF(S2348=0,(365/0.5)*V2348,(365/S2348)*V2348))</f>
        <v/>
      </c>
      <c r="X2348" s="75" t="n"/>
      <c r="Y2348" s="77" t="n"/>
      <c r="Z2348" s="77" t="n"/>
      <c r="AA2348" s="75" t="n"/>
      <c r="AB2348" s="75" t="n"/>
      <c r="AC2348" s="6" t="n"/>
      <c r="AD2348" s="75" t="n"/>
      <c r="AE2348" s="75" t="n"/>
      <c r="AF2348" s="75" t="n"/>
    </row>
    <row r="2349" ht="15.75" customHeight="1" s="133">
      <c r="A2349" s="75" t="n"/>
      <c r="B2349" s="75" t="n"/>
      <c r="C2349" s="75" t="n"/>
      <c r="D2349" s="75" t="n"/>
      <c r="E2349" s="76" t="n"/>
      <c r="F2349" s="77" t="n"/>
      <c r="G2349" s="75" t="n"/>
      <c r="H2349" s="75">
        <f>IF(ISBLANK(E2349),"",IF(OR(D2349="Butterfly",D2349="Butterfly ",D2349="Iron Fly", D2349="Iron Fly "),LEN(E2349)-LEN(SUBSTITUTE(E2349,"/",""))+2,LEN(E2349)-LEN(SUBSTITUTE(E2349,"/",""))+1))</f>
        <v/>
      </c>
      <c r="I2349" s="78">
        <f>IF(ISBLANK(G2349),"",IF(D2349="Stock","0",Key!$A$3*H2349*G2349))</f>
        <v/>
      </c>
      <c r="J2349" s="78">
        <f>IF(ISBLANK(E2349),"",IF(ISNUMBER(SEARCH("/",E2349)), IF(LEN(E2349)-LEN(SUBSTITUTE(E2349,"/",""))=1,(RIGHT(E2349,LEN(E2349)-FIND("/",E2349)))-(LEFT(E2349,FIND("/",E2349)-1)),(MID(E2349, SEARCH("/",E2349) + 1, SEARCH("/",E2349, SEARCH("/",E2349)+1) - SEARCH("/",E2349) - 1))-(LEFT(E2349,FIND("/",E2349)-1))), "NA"))</f>
        <v/>
      </c>
      <c r="K2349" s="79">
        <f>IF(A2349&lt;&gt;"", IF(ISBLANK(L2349), TODAY(), K2349), "")</f>
        <v/>
      </c>
      <c r="L2349" s="78" t="n"/>
      <c r="M2349" s="78">
        <f>IF(ISBLANK(L2349),"",IF(D2349="Stock",IF(C2349="Buy",L2349*G2349,IF(C2349="Sell",(L2349*G2349)-I2349, X)),IF(C2349="Buy",(L2349*G2349*100)+I2349,IF(C2349="Sell",(L2349*G2349*100)-I2349, X))))</f>
        <v/>
      </c>
      <c r="N2349" s="78">
        <f>IF(ISBLANK(L2349),"",IF(AND(C2349="Sell",D2349="Stock"),M2349,IF(ISBLANK(L2349),"",IF(C2349="Buy",M2349, IF(AND(C2349="Sell",J2349="NA"),(E2349*G2349*100*0.1)+I2349, IF(C2349="Sell",(J2349-L2349)*(100*G2349)+I2349))))))</f>
        <v/>
      </c>
      <c r="O2349" s="75" t="n"/>
      <c r="P2349" s="75" t="n"/>
      <c r="Q2349" s="75">
        <f>IF(ISBLANK(P2349),"",IF(D2349="Stock",P2349*G2349,IF(P2349=0,"0",G2349*P2349*100-(G2349*$AF$14))))</f>
        <v/>
      </c>
      <c r="R2349" s="79">
        <f>IF(P2349&lt;&gt;"", TODAY(), "")</f>
        <v/>
      </c>
      <c r="S2349" s="78">
        <f>IF(AND(K2349&lt;&gt;"", R2349&lt;&gt;""), R2349-K2349, "")</f>
        <v/>
      </c>
      <c r="T2349" s="78" t="n"/>
      <c r="U2349" s="92">
        <f>IF(ISBLANK(P2349),"",IF(C2349="Buy",Q2349-M2349+T2349, IF(C2349="Sell",M2349-Q2349-T2349, X)))</f>
        <v/>
      </c>
      <c r="V2349" s="81">
        <f>IF(ISBLANK(P2349),"",U2349/N2349)</f>
        <v/>
      </c>
      <c r="W2349" s="81">
        <f>IF(ISBLANK(P2349),"",IF(S2349=0,(365/0.5)*V2349,(365/S2349)*V2349))</f>
        <v/>
      </c>
      <c r="X2349" s="75" t="n"/>
      <c r="Y2349" s="77" t="n"/>
      <c r="Z2349" s="77" t="n"/>
      <c r="AA2349" s="75" t="n"/>
      <c r="AB2349" s="75" t="n"/>
      <c r="AC2349" s="6" t="n"/>
      <c r="AD2349" s="75" t="n"/>
      <c r="AE2349" s="75" t="n"/>
      <c r="AF2349" s="75" t="n"/>
    </row>
    <row r="2350" ht="15.75" customHeight="1" s="133">
      <c r="A2350" s="75" t="n"/>
      <c r="B2350" s="75" t="n"/>
      <c r="C2350" s="75" t="n"/>
      <c r="D2350" s="75" t="n"/>
      <c r="E2350" s="76" t="n"/>
      <c r="F2350" s="77" t="n"/>
      <c r="G2350" s="75" t="n"/>
      <c r="H2350" s="75">
        <f>IF(ISBLANK(E2350),"",IF(OR(D2350="Butterfly",D2350="Butterfly ",D2350="Iron Fly", D2350="Iron Fly "),LEN(E2350)-LEN(SUBSTITUTE(E2350,"/",""))+2,LEN(E2350)-LEN(SUBSTITUTE(E2350,"/",""))+1))</f>
        <v/>
      </c>
      <c r="I2350" s="78">
        <f>IF(ISBLANK(G2350),"",IF(D2350="Stock","0",Key!$A$3*H2350*G2350))</f>
        <v/>
      </c>
      <c r="J2350" s="78">
        <f>IF(ISBLANK(E2350),"",IF(ISNUMBER(SEARCH("/",E2350)), IF(LEN(E2350)-LEN(SUBSTITUTE(E2350,"/",""))=1,(RIGHT(E2350,LEN(E2350)-FIND("/",E2350)))-(LEFT(E2350,FIND("/",E2350)-1)),(MID(E2350, SEARCH("/",E2350) + 1, SEARCH("/",E2350, SEARCH("/",E2350)+1) - SEARCH("/",E2350) - 1))-(LEFT(E2350,FIND("/",E2350)-1))), "NA"))</f>
        <v/>
      </c>
      <c r="K2350" s="79">
        <f>IF(A2350&lt;&gt;"", IF(ISBLANK(L2350), TODAY(), K2350), "")</f>
        <v/>
      </c>
      <c r="L2350" s="78" t="n"/>
      <c r="M2350" s="78">
        <f>IF(ISBLANK(L2350),"",IF(D2350="Stock",IF(C2350="Buy",L2350*G2350,IF(C2350="Sell",(L2350*G2350)-I2350, X)),IF(C2350="Buy",(L2350*G2350*100)+I2350,IF(C2350="Sell",(L2350*G2350*100)-I2350, X))))</f>
        <v/>
      </c>
      <c r="N2350" s="78">
        <f>IF(ISBLANK(L2350),"",IF(AND(C2350="Sell",D2350="Stock"),M2350,IF(ISBLANK(L2350),"",IF(C2350="Buy",M2350, IF(AND(C2350="Sell",J2350="NA"),(E2350*G2350*100*0.1)+I2350, IF(C2350="Sell",(J2350-L2350)*(100*G2350)+I2350))))))</f>
        <v/>
      </c>
      <c r="O2350" s="75" t="n"/>
      <c r="P2350" s="75" t="n"/>
      <c r="Q2350" s="75">
        <f>IF(ISBLANK(P2350),"",IF(D2350="Stock",P2350*G2350,IF(P2350=0,"0",G2350*P2350*100-(G2350*$AF$14))))</f>
        <v/>
      </c>
      <c r="R2350" s="79">
        <f>IF(P2350&lt;&gt;"", TODAY(), "")</f>
        <v/>
      </c>
      <c r="S2350" s="78">
        <f>IF(AND(K2350&lt;&gt;"", R2350&lt;&gt;""), R2350-K2350, "")</f>
        <v/>
      </c>
      <c r="T2350" s="78" t="n"/>
      <c r="U2350" s="92">
        <f>IF(ISBLANK(P2350),"",IF(C2350="Buy",Q2350-M2350+T2350, IF(C2350="Sell",M2350-Q2350-T2350, X)))</f>
        <v/>
      </c>
      <c r="V2350" s="81">
        <f>IF(ISBLANK(P2350),"",U2350/N2350)</f>
        <v/>
      </c>
      <c r="W2350" s="81">
        <f>IF(ISBLANK(P2350),"",IF(S2350=0,(365/0.5)*V2350,(365/S2350)*V2350))</f>
        <v/>
      </c>
      <c r="X2350" s="75" t="n"/>
      <c r="Y2350" s="77" t="n"/>
      <c r="Z2350" s="77" t="n"/>
      <c r="AA2350" s="75" t="n"/>
      <c r="AB2350" s="75" t="n"/>
      <c r="AC2350" s="6" t="n"/>
      <c r="AD2350" s="75" t="n"/>
      <c r="AE2350" s="75" t="n"/>
      <c r="AF2350" s="75" t="n"/>
    </row>
    <row r="2351" ht="15.75" customHeight="1" s="133">
      <c r="A2351" s="75" t="n"/>
      <c r="B2351" s="75" t="n"/>
      <c r="C2351" s="75" t="n"/>
      <c r="D2351" s="75" t="n"/>
      <c r="E2351" s="76" t="n"/>
      <c r="F2351" s="77" t="n"/>
      <c r="G2351" s="75" t="n"/>
      <c r="H2351" s="75">
        <f>IF(ISBLANK(E2351),"",IF(OR(D2351="Butterfly",D2351="Butterfly ",D2351="Iron Fly", D2351="Iron Fly "),LEN(E2351)-LEN(SUBSTITUTE(E2351,"/",""))+2,LEN(E2351)-LEN(SUBSTITUTE(E2351,"/",""))+1))</f>
        <v/>
      </c>
      <c r="I2351" s="78">
        <f>IF(ISBLANK(G2351),"",IF(D2351="Stock","0",Key!$A$3*H2351*G2351))</f>
        <v/>
      </c>
      <c r="J2351" s="78">
        <f>IF(ISBLANK(E2351),"",IF(ISNUMBER(SEARCH("/",E2351)), IF(LEN(E2351)-LEN(SUBSTITUTE(E2351,"/",""))=1,(RIGHT(E2351,LEN(E2351)-FIND("/",E2351)))-(LEFT(E2351,FIND("/",E2351)-1)),(MID(E2351, SEARCH("/",E2351) + 1, SEARCH("/",E2351, SEARCH("/",E2351)+1) - SEARCH("/",E2351) - 1))-(LEFT(E2351,FIND("/",E2351)-1))), "NA"))</f>
        <v/>
      </c>
      <c r="K2351" s="79">
        <f>IF(A2351&lt;&gt;"", IF(ISBLANK(L2351), TODAY(), K2351), "")</f>
        <v/>
      </c>
      <c r="L2351" s="78" t="n"/>
      <c r="M2351" s="78">
        <f>IF(ISBLANK(L2351),"",IF(D2351="Stock",IF(C2351="Buy",L2351*G2351,IF(C2351="Sell",(L2351*G2351)-I2351, X)),IF(C2351="Buy",(L2351*G2351*100)+I2351,IF(C2351="Sell",(L2351*G2351*100)-I2351, X))))</f>
        <v/>
      </c>
      <c r="N2351" s="78">
        <f>IF(ISBLANK(L2351),"",IF(AND(C2351="Sell",D2351="Stock"),M2351,IF(ISBLANK(L2351),"",IF(C2351="Buy",M2351, IF(AND(C2351="Sell",J2351="NA"),(E2351*G2351*100*0.1)+I2351, IF(C2351="Sell",(J2351-L2351)*(100*G2351)+I2351))))))</f>
        <v/>
      </c>
      <c r="O2351" s="75" t="n"/>
      <c r="P2351" s="75" t="n"/>
      <c r="Q2351" s="75">
        <f>IF(ISBLANK(P2351),"",IF(D2351="Stock",P2351*G2351,IF(P2351=0,"0",G2351*P2351*100-(G2351*$AF$14))))</f>
        <v/>
      </c>
      <c r="R2351" s="79">
        <f>IF(P2351&lt;&gt;"", TODAY(), "")</f>
        <v/>
      </c>
      <c r="S2351" s="78">
        <f>IF(AND(K2351&lt;&gt;"", R2351&lt;&gt;""), R2351-K2351, "")</f>
        <v/>
      </c>
      <c r="T2351" s="78" t="n"/>
      <c r="U2351" s="92">
        <f>IF(ISBLANK(P2351),"",IF(C2351="Buy",Q2351-M2351+T2351, IF(C2351="Sell",M2351-Q2351-T2351, X)))</f>
        <v/>
      </c>
      <c r="V2351" s="81">
        <f>IF(ISBLANK(P2351),"",U2351/N2351)</f>
        <v/>
      </c>
      <c r="W2351" s="81">
        <f>IF(ISBLANK(P2351),"",IF(S2351=0,(365/0.5)*V2351,(365/S2351)*V2351))</f>
        <v/>
      </c>
      <c r="X2351" s="75" t="n"/>
      <c r="Y2351" s="77" t="n"/>
      <c r="Z2351" s="77" t="n"/>
      <c r="AA2351" s="75" t="n"/>
      <c r="AB2351" s="75" t="n"/>
      <c r="AC2351" s="6" t="n"/>
      <c r="AD2351" s="75" t="n"/>
      <c r="AE2351" s="75" t="n"/>
      <c r="AF2351" s="75" t="n"/>
    </row>
    <row r="2352" ht="15.75" customHeight="1" s="133">
      <c r="A2352" s="75" t="n"/>
      <c r="B2352" s="75" t="n"/>
      <c r="C2352" s="75" t="n"/>
      <c r="D2352" s="75" t="n"/>
      <c r="E2352" s="76" t="n"/>
      <c r="F2352" s="77" t="n"/>
      <c r="G2352" s="75" t="n"/>
      <c r="H2352" s="75">
        <f>IF(ISBLANK(E2352),"",IF(OR(D2352="Butterfly",D2352="Butterfly ",D2352="Iron Fly", D2352="Iron Fly "),LEN(E2352)-LEN(SUBSTITUTE(E2352,"/",""))+2,LEN(E2352)-LEN(SUBSTITUTE(E2352,"/",""))+1))</f>
        <v/>
      </c>
      <c r="I2352" s="78">
        <f>IF(ISBLANK(G2352),"",IF(D2352="Stock","0",Key!$A$3*H2352*G2352))</f>
        <v/>
      </c>
      <c r="J2352" s="78">
        <f>IF(ISBLANK(E2352),"",IF(ISNUMBER(SEARCH("/",E2352)), IF(LEN(E2352)-LEN(SUBSTITUTE(E2352,"/",""))=1,(RIGHT(E2352,LEN(E2352)-FIND("/",E2352)))-(LEFT(E2352,FIND("/",E2352)-1)),(MID(E2352, SEARCH("/",E2352) + 1, SEARCH("/",E2352, SEARCH("/",E2352)+1) - SEARCH("/",E2352) - 1))-(LEFT(E2352,FIND("/",E2352)-1))), "NA"))</f>
        <v/>
      </c>
      <c r="K2352" s="79">
        <f>IF(A2352&lt;&gt;"", IF(ISBLANK(L2352), TODAY(), K2352), "")</f>
        <v/>
      </c>
      <c r="L2352" s="78" t="n"/>
      <c r="M2352" s="78">
        <f>IF(ISBLANK(L2352),"",IF(D2352="Stock",IF(C2352="Buy",L2352*G2352,IF(C2352="Sell",(L2352*G2352)-I2352, X)),IF(C2352="Buy",(L2352*G2352*100)+I2352,IF(C2352="Sell",(L2352*G2352*100)-I2352, X))))</f>
        <v/>
      </c>
      <c r="N2352" s="78">
        <f>IF(ISBLANK(L2352),"",IF(AND(C2352="Sell",D2352="Stock"),M2352,IF(ISBLANK(L2352),"",IF(C2352="Buy",M2352, IF(AND(C2352="Sell",J2352="NA"),(E2352*G2352*100*0.1)+I2352, IF(C2352="Sell",(J2352-L2352)*(100*G2352)+I2352))))))</f>
        <v/>
      </c>
      <c r="O2352" s="75" t="n"/>
      <c r="P2352" s="75" t="n"/>
      <c r="Q2352" s="75">
        <f>IF(ISBLANK(P2352),"",IF(D2352="Stock",P2352*G2352,IF(P2352=0,"0",G2352*P2352*100-(G2352*$AF$14))))</f>
        <v/>
      </c>
      <c r="R2352" s="79">
        <f>IF(P2352&lt;&gt;"", TODAY(), "")</f>
        <v/>
      </c>
      <c r="S2352" s="78">
        <f>IF(AND(K2352&lt;&gt;"", R2352&lt;&gt;""), R2352-K2352, "")</f>
        <v/>
      </c>
      <c r="T2352" s="78" t="n"/>
      <c r="U2352" s="92">
        <f>IF(ISBLANK(P2352),"",IF(C2352="Buy",Q2352-M2352+T2352, IF(C2352="Sell",M2352-Q2352-T2352, X)))</f>
        <v/>
      </c>
      <c r="V2352" s="81">
        <f>IF(ISBLANK(P2352),"",U2352/N2352)</f>
        <v/>
      </c>
      <c r="W2352" s="81">
        <f>IF(ISBLANK(P2352),"",IF(S2352=0,(365/0.5)*V2352,(365/S2352)*V2352))</f>
        <v/>
      </c>
      <c r="X2352" s="75" t="n"/>
      <c r="Y2352" s="77" t="n"/>
      <c r="Z2352" s="77" t="n"/>
      <c r="AA2352" s="75" t="n"/>
      <c r="AB2352" s="75" t="n"/>
      <c r="AC2352" s="6" t="n"/>
      <c r="AD2352" s="75" t="n"/>
      <c r="AE2352" s="75" t="n"/>
      <c r="AF2352" s="75" t="n"/>
    </row>
    <row r="2353" ht="15.75" customHeight="1" s="133">
      <c r="A2353" s="75" t="n"/>
      <c r="B2353" s="75" t="n"/>
      <c r="C2353" s="75" t="n"/>
      <c r="D2353" s="75" t="n"/>
      <c r="E2353" s="76" t="n"/>
      <c r="F2353" s="77" t="n"/>
      <c r="G2353" s="75" t="n"/>
      <c r="H2353" s="75">
        <f>IF(ISBLANK(E2353),"",IF(OR(D2353="Butterfly",D2353="Butterfly ",D2353="Iron Fly", D2353="Iron Fly "),LEN(E2353)-LEN(SUBSTITUTE(E2353,"/",""))+2,LEN(E2353)-LEN(SUBSTITUTE(E2353,"/",""))+1))</f>
        <v/>
      </c>
      <c r="I2353" s="78">
        <f>IF(ISBLANK(G2353),"",IF(D2353="Stock","0",Key!$A$3*H2353*G2353))</f>
        <v/>
      </c>
      <c r="J2353" s="78">
        <f>IF(ISBLANK(E2353),"",IF(ISNUMBER(SEARCH("/",E2353)), IF(LEN(E2353)-LEN(SUBSTITUTE(E2353,"/",""))=1,(RIGHT(E2353,LEN(E2353)-FIND("/",E2353)))-(LEFT(E2353,FIND("/",E2353)-1)),(MID(E2353, SEARCH("/",E2353) + 1, SEARCH("/",E2353, SEARCH("/",E2353)+1) - SEARCH("/",E2353) - 1))-(LEFT(E2353,FIND("/",E2353)-1))), "NA"))</f>
        <v/>
      </c>
      <c r="K2353" s="79">
        <f>IF(A2353&lt;&gt;"", IF(ISBLANK(L2353), TODAY(), K2353), "")</f>
        <v/>
      </c>
      <c r="L2353" s="78" t="n"/>
      <c r="M2353" s="78">
        <f>IF(ISBLANK(L2353),"",IF(D2353="Stock",IF(C2353="Buy",L2353*G2353,IF(C2353="Sell",(L2353*G2353)-I2353, X)),IF(C2353="Buy",(L2353*G2353*100)+I2353,IF(C2353="Sell",(L2353*G2353*100)-I2353, X))))</f>
        <v/>
      </c>
      <c r="N2353" s="78">
        <f>IF(ISBLANK(L2353),"",IF(AND(C2353="Sell",D2353="Stock"),M2353,IF(ISBLANK(L2353),"",IF(C2353="Buy",M2353, IF(AND(C2353="Sell",J2353="NA"),(E2353*G2353*100*0.1)+I2353, IF(C2353="Sell",(J2353-L2353)*(100*G2353)+I2353))))))</f>
        <v/>
      </c>
      <c r="O2353" s="75" t="n"/>
      <c r="P2353" s="75" t="n"/>
      <c r="Q2353" s="75">
        <f>IF(ISBLANK(P2353),"",IF(D2353="Stock",P2353*G2353,IF(P2353=0,"0",G2353*P2353*100-(G2353*$AF$14))))</f>
        <v/>
      </c>
      <c r="R2353" s="79">
        <f>IF(P2353&lt;&gt;"", TODAY(), "")</f>
        <v/>
      </c>
      <c r="S2353" s="78">
        <f>IF(AND(K2353&lt;&gt;"", R2353&lt;&gt;""), R2353-K2353, "")</f>
        <v/>
      </c>
      <c r="T2353" s="78" t="n"/>
      <c r="U2353" s="92">
        <f>IF(ISBLANK(P2353),"",IF(C2353="Buy",Q2353-M2353+T2353, IF(C2353="Sell",M2353-Q2353-T2353, X)))</f>
        <v/>
      </c>
      <c r="V2353" s="81">
        <f>IF(ISBLANK(P2353),"",U2353/N2353)</f>
        <v/>
      </c>
      <c r="W2353" s="81">
        <f>IF(ISBLANK(P2353),"",IF(S2353=0,(365/0.5)*V2353,(365/S2353)*V2353))</f>
        <v/>
      </c>
      <c r="X2353" s="75" t="n"/>
      <c r="Y2353" s="77" t="n"/>
      <c r="Z2353" s="77" t="n"/>
      <c r="AA2353" s="75" t="n"/>
      <c r="AB2353" s="75" t="n"/>
      <c r="AC2353" s="6" t="n"/>
      <c r="AD2353" s="75" t="n"/>
      <c r="AE2353" s="75" t="n"/>
      <c r="AF2353" s="75" t="n"/>
    </row>
    <row r="2354" ht="15.75" customHeight="1" s="133">
      <c r="A2354" s="75" t="n"/>
      <c r="B2354" s="75" t="n"/>
      <c r="C2354" s="75" t="n"/>
      <c r="D2354" s="75" t="n"/>
      <c r="E2354" s="76" t="n"/>
      <c r="F2354" s="77" t="n"/>
      <c r="G2354" s="75" t="n"/>
      <c r="H2354" s="75">
        <f>IF(ISBLANK(E2354),"",IF(OR(D2354="Butterfly",D2354="Butterfly ",D2354="Iron Fly", D2354="Iron Fly "),LEN(E2354)-LEN(SUBSTITUTE(E2354,"/",""))+2,LEN(E2354)-LEN(SUBSTITUTE(E2354,"/",""))+1))</f>
        <v/>
      </c>
      <c r="I2354" s="78">
        <f>IF(ISBLANK(G2354),"",IF(D2354="Stock","0",Key!$A$3*H2354*G2354))</f>
        <v/>
      </c>
      <c r="J2354" s="78">
        <f>IF(ISBLANK(E2354),"",IF(ISNUMBER(SEARCH("/",E2354)), IF(LEN(E2354)-LEN(SUBSTITUTE(E2354,"/",""))=1,(RIGHT(E2354,LEN(E2354)-FIND("/",E2354)))-(LEFT(E2354,FIND("/",E2354)-1)),(MID(E2354, SEARCH("/",E2354) + 1, SEARCH("/",E2354, SEARCH("/",E2354)+1) - SEARCH("/",E2354) - 1))-(LEFT(E2354,FIND("/",E2354)-1))), "NA"))</f>
        <v/>
      </c>
      <c r="K2354" s="79">
        <f>IF(A2354&lt;&gt;"", IF(ISBLANK(L2354), TODAY(), K2354), "")</f>
        <v/>
      </c>
      <c r="L2354" s="78" t="n"/>
      <c r="M2354" s="78">
        <f>IF(ISBLANK(L2354),"",IF(D2354="Stock",IF(C2354="Buy",L2354*G2354,IF(C2354="Sell",(L2354*G2354)-I2354, X)),IF(C2354="Buy",(L2354*G2354*100)+I2354,IF(C2354="Sell",(L2354*G2354*100)-I2354, X))))</f>
        <v/>
      </c>
      <c r="N2354" s="78">
        <f>IF(ISBLANK(L2354),"",IF(AND(C2354="Sell",D2354="Stock"),M2354,IF(ISBLANK(L2354),"",IF(C2354="Buy",M2354, IF(AND(C2354="Sell",J2354="NA"),(E2354*G2354*100*0.1)+I2354, IF(C2354="Sell",(J2354-L2354)*(100*G2354)+I2354))))))</f>
        <v/>
      </c>
      <c r="O2354" s="75" t="n"/>
      <c r="P2354" s="75" t="n"/>
      <c r="Q2354" s="75">
        <f>IF(ISBLANK(P2354),"",IF(D2354="Stock",P2354*G2354,IF(P2354=0,"0",G2354*P2354*100-(G2354*$AF$14))))</f>
        <v/>
      </c>
      <c r="R2354" s="79">
        <f>IF(P2354&lt;&gt;"", TODAY(), "")</f>
        <v/>
      </c>
      <c r="S2354" s="78">
        <f>IF(AND(K2354&lt;&gt;"", R2354&lt;&gt;""), R2354-K2354, "")</f>
        <v/>
      </c>
      <c r="T2354" s="78" t="n"/>
      <c r="U2354" s="92">
        <f>IF(ISBLANK(P2354),"",IF(C2354="Buy",Q2354-M2354+T2354, IF(C2354="Sell",M2354-Q2354-T2354, X)))</f>
        <v/>
      </c>
      <c r="V2354" s="81">
        <f>IF(ISBLANK(P2354),"",U2354/N2354)</f>
        <v/>
      </c>
      <c r="W2354" s="81">
        <f>IF(ISBLANK(P2354),"",IF(S2354=0,(365/0.5)*V2354,(365/S2354)*V2354))</f>
        <v/>
      </c>
      <c r="X2354" s="75" t="n"/>
      <c r="Y2354" s="77" t="n"/>
      <c r="Z2354" s="77" t="n"/>
      <c r="AA2354" s="75" t="n"/>
      <c r="AB2354" s="75" t="n"/>
      <c r="AC2354" s="6" t="n"/>
      <c r="AD2354" s="75" t="n"/>
      <c r="AE2354" s="75" t="n"/>
      <c r="AF2354" s="75" t="n"/>
    </row>
    <row r="2355" ht="15.75" customHeight="1" s="133">
      <c r="A2355" s="75" t="n"/>
      <c r="B2355" s="75" t="n"/>
      <c r="C2355" s="75" t="n"/>
      <c r="D2355" s="75" t="n"/>
      <c r="E2355" s="76" t="n"/>
      <c r="F2355" s="77" t="n"/>
      <c r="G2355" s="75" t="n"/>
      <c r="H2355" s="75">
        <f>IF(ISBLANK(E2355),"",IF(OR(D2355="Butterfly",D2355="Butterfly ",D2355="Iron Fly", D2355="Iron Fly "),LEN(E2355)-LEN(SUBSTITUTE(E2355,"/",""))+2,LEN(E2355)-LEN(SUBSTITUTE(E2355,"/",""))+1))</f>
        <v/>
      </c>
      <c r="I2355" s="78">
        <f>IF(ISBLANK(G2355),"",IF(D2355="Stock","0",Key!$A$3*H2355*G2355))</f>
        <v/>
      </c>
      <c r="J2355" s="78">
        <f>IF(ISBLANK(E2355),"",IF(ISNUMBER(SEARCH("/",E2355)), IF(LEN(E2355)-LEN(SUBSTITUTE(E2355,"/",""))=1,(RIGHT(E2355,LEN(E2355)-FIND("/",E2355)))-(LEFT(E2355,FIND("/",E2355)-1)),(MID(E2355, SEARCH("/",E2355) + 1, SEARCH("/",E2355, SEARCH("/",E2355)+1) - SEARCH("/",E2355) - 1))-(LEFT(E2355,FIND("/",E2355)-1))), "NA"))</f>
        <v/>
      </c>
      <c r="K2355" s="79">
        <f>IF(A2355&lt;&gt;"", IF(ISBLANK(L2355), TODAY(), K2355), "")</f>
        <v/>
      </c>
      <c r="L2355" s="78" t="n"/>
      <c r="M2355" s="78">
        <f>IF(ISBLANK(L2355),"",IF(D2355="Stock",IF(C2355="Buy",L2355*G2355,IF(C2355="Sell",(L2355*G2355)-I2355, X)),IF(C2355="Buy",(L2355*G2355*100)+I2355,IF(C2355="Sell",(L2355*G2355*100)-I2355, X))))</f>
        <v/>
      </c>
      <c r="N2355" s="78">
        <f>IF(ISBLANK(L2355),"",IF(AND(C2355="Sell",D2355="Stock"),M2355,IF(ISBLANK(L2355),"",IF(C2355="Buy",M2355, IF(AND(C2355="Sell",J2355="NA"),(E2355*G2355*100*0.1)+I2355, IF(C2355="Sell",(J2355-L2355)*(100*G2355)+I2355))))))</f>
        <v/>
      </c>
      <c r="O2355" s="75" t="n"/>
      <c r="P2355" s="75" t="n"/>
      <c r="Q2355" s="75">
        <f>IF(ISBLANK(P2355),"",IF(D2355="Stock",P2355*G2355,IF(P2355=0,"0",G2355*P2355*100-(G2355*$AF$14))))</f>
        <v/>
      </c>
      <c r="R2355" s="79">
        <f>IF(P2355&lt;&gt;"", TODAY(), "")</f>
        <v/>
      </c>
      <c r="S2355" s="78">
        <f>IF(AND(K2355&lt;&gt;"", R2355&lt;&gt;""), R2355-K2355, "")</f>
        <v/>
      </c>
      <c r="T2355" s="78" t="n"/>
      <c r="U2355" s="92">
        <f>IF(ISBLANK(P2355),"",IF(C2355="Buy",Q2355-M2355+T2355, IF(C2355="Sell",M2355-Q2355-T2355, X)))</f>
        <v/>
      </c>
      <c r="V2355" s="81">
        <f>IF(ISBLANK(P2355),"",U2355/N2355)</f>
        <v/>
      </c>
      <c r="W2355" s="81">
        <f>IF(ISBLANK(P2355),"",IF(S2355=0,(365/0.5)*V2355,(365/S2355)*V2355))</f>
        <v/>
      </c>
      <c r="X2355" s="75" t="n"/>
      <c r="Y2355" s="77" t="n"/>
      <c r="Z2355" s="77" t="n"/>
      <c r="AA2355" s="75" t="n"/>
      <c r="AB2355" s="75" t="n"/>
      <c r="AC2355" s="6" t="n"/>
      <c r="AD2355" s="75" t="n"/>
      <c r="AE2355" s="75" t="n"/>
      <c r="AF2355" s="75" t="n"/>
    </row>
    <row r="2356" ht="15.75" customHeight="1" s="133">
      <c r="A2356" s="75" t="n"/>
      <c r="B2356" s="75" t="n"/>
      <c r="C2356" s="75" t="n"/>
      <c r="D2356" s="75" t="n"/>
      <c r="E2356" s="76" t="n"/>
      <c r="F2356" s="77" t="n"/>
      <c r="G2356" s="75" t="n"/>
      <c r="H2356" s="75">
        <f>IF(ISBLANK(E2356),"",IF(OR(D2356="Butterfly",D2356="Butterfly ",D2356="Iron Fly", D2356="Iron Fly "),LEN(E2356)-LEN(SUBSTITUTE(E2356,"/",""))+2,LEN(E2356)-LEN(SUBSTITUTE(E2356,"/",""))+1))</f>
        <v/>
      </c>
      <c r="I2356" s="78">
        <f>IF(ISBLANK(G2356),"",IF(D2356="Stock","0",Key!$A$3*H2356*G2356))</f>
        <v/>
      </c>
      <c r="J2356" s="78">
        <f>IF(ISBLANK(E2356),"",IF(ISNUMBER(SEARCH("/",E2356)), IF(LEN(E2356)-LEN(SUBSTITUTE(E2356,"/",""))=1,(RIGHT(E2356,LEN(E2356)-FIND("/",E2356)))-(LEFT(E2356,FIND("/",E2356)-1)),(MID(E2356, SEARCH("/",E2356) + 1, SEARCH("/",E2356, SEARCH("/",E2356)+1) - SEARCH("/",E2356) - 1))-(LEFT(E2356,FIND("/",E2356)-1))), "NA"))</f>
        <v/>
      </c>
      <c r="K2356" s="79">
        <f>IF(A2356&lt;&gt;"", IF(ISBLANK(L2356), TODAY(), K2356), "")</f>
        <v/>
      </c>
      <c r="L2356" s="78" t="n"/>
      <c r="M2356" s="78">
        <f>IF(ISBLANK(L2356),"",IF(D2356="Stock",IF(C2356="Buy",L2356*G2356,IF(C2356="Sell",(L2356*G2356)-I2356, X)),IF(C2356="Buy",(L2356*G2356*100)+I2356,IF(C2356="Sell",(L2356*G2356*100)-I2356, X))))</f>
        <v/>
      </c>
      <c r="N2356" s="78">
        <f>IF(ISBLANK(L2356),"",IF(AND(C2356="Sell",D2356="Stock"),M2356,IF(ISBLANK(L2356),"",IF(C2356="Buy",M2356, IF(AND(C2356="Sell",J2356="NA"),(E2356*G2356*100*0.1)+I2356, IF(C2356="Sell",(J2356-L2356)*(100*G2356)+I2356))))))</f>
        <v/>
      </c>
      <c r="O2356" s="75" t="n"/>
      <c r="P2356" s="75" t="n"/>
      <c r="Q2356" s="75">
        <f>IF(ISBLANK(P2356),"",IF(D2356="Stock",P2356*G2356,IF(P2356=0,"0",G2356*P2356*100-(G2356*$AF$14))))</f>
        <v/>
      </c>
      <c r="R2356" s="79">
        <f>IF(P2356&lt;&gt;"", TODAY(), "")</f>
        <v/>
      </c>
      <c r="S2356" s="78">
        <f>IF(AND(K2356&lt;&gt;"", R2356&lt;&gt;""), R2356-K2356, "")</f>
        <v/>
      </c>
      <c r="T2356" s="78" t="n"/>
      <c r="U2356" s="92">
        <f>IF(ISBLANK(P2356),"",IF(C2356="Buy",Q2356-M2356+T2356, IF(C2356="Sell",M2356-Q2356-T2356, X)))</f>
        <v/>
      </c>
      <c r="V2356" s="81">
        <f>IF(ISBLANK(P2356),"",U2356/N2356)</f>
        <v/>
      </c>
      <c r="W2356" s="81">
        <f>IF(ISBLANK(P2356),"",IF(S2356=0,(365/0.5)*V2356,(365/S2356)*V2356))</f>
        <v/>
      </c>
      <c r="X2356" s="75" t="n"/>
      <c r="Y2356" s="77" t="n"/>
      <c r="Z2356" s="77" t="n"/>
      <c r="AA2356" s="75" t="n"/>
      <c r="AB2356" s="75" t="n"/>
      <c r="AC2356" s="6" t="n"/>
      <c r="AD2356" s="75" t="n"/>
      <c r="AE2356" s="75" t="n"/>
      <c r="AF2356" s="75" t="n"/>
    </row>
    <row r="2357" ht="15.75" customHeight="1" s="133">
      <c r="A2357" s="75" t="n"/>
      <c r="B2357" s="75" t="n"/>
      <c r="C2357" s="75" t="n"/>
      <c r="D2357" s="75" t="n"/>
      <c r="E2357" s="76" t="n"/>
      <c r="F2357" s="77" t="n"/>
      <c r="G2357" s="75" t="n"/>
      <c r="H2357" s="75">
        <f>IF(ISBLANK(E2357),"",IF(OR(D2357="Butterfly",D2357="Butterfly ",D2357="Iron Fly", D2357="Iron Fly "),LEN(E2357)-LEN(SUBSTITUTE(E2357,"/",""))+2,LEN(E2357)-LEN(SUBSTITUTE(E2357,"/",""))+1))</f>
        <v/>
      </c>
      <c r="I2357" s="78">
        <f>IF(ISBLANK(G2357),"",IF(D2357="Stock","0",Key!$A$3*H2357*G2357))</f>
        <v/>
      </c>
      <c r="J2357" s="78">
        <f>IF(ISBLANK(E2357),"",IF(ISNUMBER(SEARCH("/",E2357)), IF(LEN(E2357)-LEN(SUBSTITUTE(E2357,"/",""))=1,(RIGHT(E2357,LEN(E2357)-FIND("/",E2357)))-(LEFT(E2357,FIND("/",E2357)-1)),(MID(E2357, SEARCH("/",E2357) + 1, SEARCH("/",E2357, SEARCH("/",E2357)+1) - SEARCH("/",E2357) - 1))-(LEFT(E2357,FIND("/",E2357)-1))), "NA"))</f>
        <v/>
      </c>
      <c r="K2357" s="79">
        <f>IF(A2357&lt;&gt;"", IF(ISBLANK(L2357), TODAY(), K2357), "")</f>
        <v/>
      </c>
      <c r="L2357" s="78" t="n"/>
      <c r="M2357" s="78">
        <f>IF(ISBLANK(L2357),"",IF(D2357="Stock",IF(C2357="Buy",L2357*G2357,IF(C2357="Sell",(L2357*G2357)-I2357, X)),IF(C2357="Buy",(L2357*G2357*100)+I2357,IF(C2357="Sell",(L2357*G2357*100)-I2357, X))))</f>
        <v/>
      </c>
      <c r="N2357" s="78">
        <f>IF(ISBLANK(L2357),"",IF(AND(C2357="Sell",D2357="Stock"),M2357,IF(ISBLANK(L2357),"",IF(C2357="Buy",M2357, IF(AND(C2357="Sell",J2357="NA"),(E2357*G2357*100*0.1)+I2357, IF(C2357="Sell",(J2357-L2357)*(100*G2357)+I2357))))))</f>
        <v/>
      </c>
      <c r="O2357" s="75" t="n"/>
      <c r="P2357" s="75" t="n"/>
      <c r="Q2357" s="75">
        <f>IF(ISBLANK(P2357),"",IF(D2357="Stock",P2357*G2357,IF(P2357=0,"0",G2357*P2357*100-(G2357*$AF$14))))</f>
        <v/>
      </c>
      <c r="R2357" s="79">
        <f>IF(P2357&lt;&gt;"", TODAY(), "")</f>
        <v/>
      </c>
      <c r="S2357" s="78">
        <f>IF(AND(K2357&lt;&gt;"", R2357&lt;&gt;""), R2357-K2357, "")</f>
        <v/>
      </c>
      <c r="T2357" s="78" t="n"/>
      <c r="U2357" s="92">
        <f>IF(ISBLANK(P2357),"",IF(C2357="Buy",Q2357-M2357+T2357, IF(C2357="Sell",M2357-Q2357-T2357, X)))</f>
        <v/>
      </c>
      <c r="V2357" s="81">
        <f>IF(ISBLANK(P2357),"",U2357/N2357)</f>
        <v/>
      </c>
      <c r="W2357" s="81">
        <f>IF(ISBLANK(P2357),"",IF(S2357=0,(365/0.5)*V2357,(365/S2357)*V2357))</f>
        <v/>
      </c>
      <c r="X2357" s="75" t="n"/>
      <c r="Y2357" s="77" t="n"/>
      <c r="Z2357" s="77" t="n"/>
      <c r="AA2357" s="75" t="n"/>
      <c r="AB2357" s="75" t="n"/>
      <c r="AC2357" s="6" t="n"/>
      <c r="AD2357" s="75" t="n"/>
      <c r="AE2357" s="75" t="n"/>
      <c r="AF2357" s="75" t="n"/>
    </row>
    <row r="2358" ht="15.75" customHeight="1" s="133">
      <c r="A2358" s="75" t="n"/>
      <c r="B2358" s="75" t="n"/>
      <c r="C2358" s="75" t="n"/>
      <c r="D2358" s="75" t="n"/>
      <c r="E2358" s="76" t="n"/>
      <c r="F2358" s="77" t="n"/>
      <c r="G2358" s="75" t="n"/>
      <c r="H2358" s="75">
        <f>IF(ISBLANK(E2358),"",IF(OR(D2358="Butterfly",D2358="Butterfly ",D2358="Iron Fly", D2358="Iron Fly "),LEN(E2358)-LEN(SUBSTITUTE(E2358,"/",""))+2,LEN(E2358)-LEN(SUBSTITUTE(E2358,"/",""))+1))</f>
        <v/>
      </c>
      <c r="I2358" s="78">
        <f>IF(ISBLANK(G2358),"",IF(D2358="Stock","0",Key!$A$3*H2358*G2358))</f>
        <v/>
      </c>
      <c r="J2358" s="78">
        <f>IF(ISBLANK(E2358),"",IF(ISNUMBER(SEARCH("/",E2358)), IF(LEN(E2358)-LEN(SUBSTITUTE(E2358,"/",""))=1,(RIGHT(E2358,LEN(E2358)-FIND("/",E2358)))-(LEFT(E2358,FIND("/",E2358)-1)),(MID(E2358, SEARCH("/",E2358) + 1, SEARCH("/",E2358, SEARCH("/",E2358)+1) - SEARCH("/",E2358) - 1))-(LEFT(E2358,FIND("/",E2358)-1))), "NA"))</f>
        <v/>
      </c>
      <c r="K2358" s="79">
        <f>IF(A2358&lt;&gt;"", IF(ISBLANK(L2358), TODAY(), K2358), "")</f>
        <v/>
      </c>
      <c r="L2358" s="78" t="n"/>
      <c r="M2358" s="78">
        <f>IF(ISBLANK(L2358),"",IF(D2358="Stock",IF(C2358="Buy",L2358*G2358,IF(C2358="Sell",(L2358*G2358)-I2358, X)),IF(C2358="Buy",(L2358*G2358*100)+I2358,IF(C2358="Sell",(L2358*G2358*100)-I2358, X))))</f>
        <v/>
      </c>
      <c r="N2358" s="78">
        <f>IF(ISBLANK(L2358),"",IF(AND(C2358="Sell",D2358="Stock"),M2358,IF(ISBLANK(L2358),"",IF(C2358="Buy",M2358, IF(AND(C2358="Sell",J2358="NA"),(E2358*G2358*100*0.1)+I2358, IF(C2358="Sell",(J2358-L2358)*(100*G2358)+I2358))))))</f>
        <v/>
      </c>
      <c r="O2358" s="75" t="n"/>
      <c r="P2358" s="75" t="n"/>
      <c r="Q2358" s="75">
        <f>IF(ISBLANK(P2358),"",IF(D2358="Stock",P2358*G2358,IF(P2358=0,"0",G2358*P2358*100-(G2358*$AF$14))))</f>
        <v/>
      </c>
      <c r="R2358" s="79">
        <f>IF(P2358&lt;&gt;"", TODAY(), "")</f>
        <v/>
      </c>
      <c r="S2358" s="78">
        <f>IF(AND(K2358&lt;&gt;"", R2358&lt;&gt;""), R2358-K2358, "")</f>
        <v/>
      </c>
      <c r="T2358" s="78" t="n"/>
      <c r="U2358" s="92">
        <f>IF(ISBLANK(P2358),"",IF(C2358="Buy",Q2358-M2358+T2358, IF(C2358="Sell",M2358-Q2358-T2358, X)))</f>
        <v/>
      </c>
      <c r="V2358" s="81">
        <f>IF(ISBLANK(P2358),"",U2358/N2358)</f>
        <v/>
      </c>
      <c r="W2358" s="81">
        <f>IF(ISBLANK(P2358),"",IF(S2358=0,(365/0.5)*V2358,(365/S2358)*V2358))</f>
        <v/>
      </c>
      <c r="X2358" s="75" t="n"/>
      <c r="Y2358" s="77" t="n"/>
      <c r="Z2358" s="77" t="n"/>
      <c r="AA2358" s="75" t="n"/>
      <c r="AB2358" s="75" t="n"/>
      <c r="AC2358" s="6" t="n"/>
      <c r="AD2358" s="75" t="n"/>
      <c r="AE2358" s="75" t="n"/>
      <c r="AF2358" s="75" t="n"/>
    </row>
    <row r="2359" ht="15.75" customHeight="1" s="133">
      <c r="A2359" s="75" t="n"/>
      <c r="B2359" s="75" t="n"/>
      <c r="C2359" s="75" t="n"/>
      <c r="D2359" s="75" t="n"/>
      <c r="E2359" s="76" t="n"/>
      <c r="F2359" s="77" t="n"/>
      <c r="G2359" s="75" t="n"/>
      <c r="H2359" s="75">
        <f>IF(ISBLANK(E2359),"",IF(OR(D2359="Butterfly",D2359="Butterfly ",D2359="Iron Fly", D2359="Iron Fly "),LEN(E2359)-LEN(SUBSTITUTE(E2359,"/",""))+2,LEN(E2359)-LEN(SUBSTITUTE(E2359,"/",""))+1))</f>
        <v/>
      </c>
      <c r="I2359" s="78">
        <f>IF(ISBLANK(G2359),"",IF(D2359="Stock","0",Key!$A$3*H2359*G2359))</f>
        <v/>
      </c>
      <c r="J2359" s="78">
        <f>IF(ISBLANK(E2359),"",IF(ISNUMBER(SEARCH("/",E2359)), IF(LEN(E2359)-LEN(SUBSTITUTE(E2359,"/",""))=1,(RIGHT(E2359,LEN(E2359)-FIND("/",E2359)))-(LEFT(E2359,FIND("/",E2359)-1)),(MID(E2359, SEARCH("/",E2359) + 1, SEARCH("/",E2359, SEARCH("/",E2359)+1) - SEARCH("/",E2359) - 1))-(LEFT(E2359,FIND("/",E2359)-1))), "NA"))</f>
        <v/>
      </c>
      <c r="K2359" s="79">
        <f>IF(A2359&lt;&gt;"", IF(ISBLANK(L2359), TODAY(), K2359), "")</f>
        <v/>
      </c>
      <c r="L2359" s="78" t="n"/>
      <c r="M2359" s="78">
        <f>IF(ISBLANK(L2359),"",IF(D2359="Stock",IF(C2359="Buy",L2359*G2359,IF(C2359="Sell",(L2359*G2359)-I2359, X)),IF(C2359="Buy",(L2359*G2359*100)+I2359,IF(C2359="Sell",(L2359*G2359*100)-I2359, X))))</f>
        <v/>
      </c>
      <c r="N2359" s="78">
        <f>IF(ISBLANK(L2359),"",IF(AND(C2359="Sell",D2359="Stock"),M2359,IF(ISBLANK(L2359),"",IF(C2359="Buy",M2359, IF(AND(C2359="Sell",J2359="NA"),(E2359*G2359*100*0.1)+I2359, IF(C2359="Sell",(J2359-L2359)*(100*G2359)+I2359))))))</f>
        <v/>
      </c>
      <c r="O2359" s="75" t="n"/>
      <c r="P2359" s="75" t="n"/>
      <c r="Q2359" s="75">
        <f>IF(ISBLANK(P2359),"",IF(D2359="Stock",P2359*G2359,IF(P2359=0,"0",G2359*P2359*100-(G2359*$AF$14))))</f>
        <v/>
      </c>
      <c r="R2359" s="79">
        <f>IF(P2359&lt;&gt;"", TODAY(), "")</f>
        <v/>
      </c>
      <c r="S2359" s="78">
        <f>IF(AND(K2359&lt;&gt;"", R2359&lt;&gt;""), R2359-K2359, "")</f>
        <v/>
      </c>
      <c r="T2359" s="78" t="n"/>
      <c r="U2359" s="92">
        <f>IF(ISBLANK(P2359),"",IF(C2359="Buy",Q2359-M2359+T2359, IF(C2359="Sell",M2359-Q2359-T2359, X)))</f>
        <v/>
      </c>
      <c r="V2359" s="81">
        <f>IF(ISBLANK(P2359),"",U2359/N2359)</f>
        <v/>
      </c>
      <c r="W2359" s="81">
        <f>IF(ISBLANK(P2359),"",IF(S2359=0,(365/0.5)*V2359,(365/S2359)*V2359))</f>
        <v/>
      </c>
      <c r="X2359" s="75" t="n"/>
      <c r="Y2359" s="77" t="n"/>
      <c r="Z2359" s="77" t="n"/>
      <c r="AA2359" s="75" t="n"/>
      <c r="AB2359" s="75" t="n"/>
      <c r="AC2359" s="6" t="n"/>
      <c r="AD2359" s="75" t="n"/>
      <c r="AE2359" s="75" t="n"/>
      <c r="AF2359" s="75" t="n"/>
    </row>
    <row r="2360" ht="15.75" customHeight="1" s="133">
      <c r="A2360" s="75" t="n"/>
      <c r="B2360" s="75" t="n"/>
      <c r="C2360" s="75" t="n"/>
      <c r="D2360" s="75" t="n"/>
      <c r="E2360" s="76" t="n"/>
      <c r="F2360" s="77" t="n"/>
      <c r="G2360" s="75" t="n"/>
      <c r="H2360" s="75">
        <f>IF(ISBLANK(E2360),"",IF(OR(D2360="Butterfly",D2360="Butterfly ",D2360="Iron Fly", D2360="Iron Fly "),LEN(E2360)-LEN(SUBSTITUTE(E2360,"/",""))+2,LEN(E2360)-LEN(SUBSTITUTE(E2360,"/",""))+1))</f>
        <v/>
      </c>
      <c r="I2360" s="78">
        <f>IF(ISBLANK(G2360),"",IF(D2360="Stock","0",Key!$A$3*H2360*G2360))</f>
        <v/>
      </c>
      <c r="J2360" s="78">
        <f>IF(ISBLANK(E2360),"",IF(ISNUMBER(SEARCH("/",E2360)), IF(LEN(E2360)-LEN(SUBSTITUTE(E2360,"/",""))=1,(RIGHT(E2360,LEN(E2360)-FIND("/",E2360)))-(LEFT(E2360,FIND("/",E2360)-1)),(MID(E2360, SEARCH("/",E2360) + 1, SEARCH("/",E2360, SEARCH("/",E2360)+1) - SEARCH("/",E2360) - 1))-(LEFT(E2360,FIND("/",E2360)-1))), "NA"))</f>
        <v/>
      </c>
      <c r="K2360" s="79">
        <f>IF(A2360&lt;&gt;"", IF(ISBLANK(L2360), TODAY(), K2360), "")</f>
        <v/>
      </c>
      <c r="L2360" s="78" t="n"/>
      <c r="M2360" s="78">
        <f>IF(ISBLANK(L2360),"",IF(D2360="Stock",IF(C2360="Buy",L2360*G2360,IF(C2360="Sell",(L2360*G2360)-I2360, X)),IF(C2360="Buy",(L2360*G2360*100)+I2360,IF(C2360="Sell",(L2360*G2360*100)-I2360, X))))</f>
        <v/>
      </c>
      <c r="N2360" s="78">
        <f>IF(ISBLANK(L2360),"",IF(AND(C2360="Sell",D2360="Stock"),M2360,IF(ISBLANK(L2360),"",IF(C2360="Buy",M2360, IF(AND(C2360="Sell",J2360="NA"),(E2360*G2360*100*0.1)+I2360, IF(C2360="Sell",(J2360-L2360)*(100*G2360)+I2360))))))</f>
        <v/>
      </c>
      <c r="O2360" s="75" t="n"/>
      <c r="P2360" s="75" t="n"/>
      <c r="Q2360" s="75">
        <f>IF(ISBLANK(P2360),"",IF(D2360="Stock",P2360*G2360,IF(P2360=0,"0",G2360*P2360*100-(G2360*$AF$14))))</f>
        <v/>
      </c>
      <c r="R2360" s="79">
        <f>IF(P2360&lt;&gt;"", TODAY(), "")</f>
        <v/>
      </c>
      <c r="S2360" s="78">
        <f>IF(AND(K2360&lt;&gt;"", R2360&lt;&gt;""), R2360-K2360, "")</f>
        <v/>
      </c>
      <c r="T2360" s="78" t="n"/>
      <c r="U2360" s="92">
        <f>IF(ISBLANK(P2360),"",IF(C2360="Buy",Q2360-M2360+T2360, IF(C2360="Sell",M2360-Q2360-T2360, X)))</f>
        <v/>
      </c>
      <c r="V2360" s="81">
        <f>IF(ISBLANK(P2360),"",U2360/N2360)</f>
        <v/>
      </c>
      <c r="W2360" s="81">
        <f>IF(ISBLANK(P2360),"",IF(S2360=0,(365/0.5)*V2360,(365/S2360)*V2360))</f>
        <v/>
      </c>
      <c r="X2360" s="75" t="n"/>
      <c r="Y2360" s="77" t="n"/>
      <c r="Z2360" s="77" t="n"/>
      <c r="AA2360" s="75" t="n"/>
      <c r="AB2360" s="75" t="n"/>
      <c r="AC2360" s="6" t="n"/>
      <c r="AD2360" s="75" t="n"/>
      <c r="AE2360" s="75" t="n"/>
      <c r="AF2360" s="75" t="n"/>
    </row>
    <row r="2361" ht="15.75" customHeight="1" s="133">
      <c r="A2361" s="75" t="n"/>
      <c r="B2361" s="75" t="n"/>
      <c r="C2361" s="75" t="n"/>
      <c r="D2361" s="75" t="n"/>
      <c r="E2361" s="76" t="n"/>
      <c r="F2361" s="77" t="n"/>
      <c r="G2361" s="75" t="n"/>
      <c r="H2361" s="75">
        <f>IF(ISBLANK(E2361),"",IF(OR(D2361="Butterfly",D2361="Butterfly ",D2361="Iron Fly", D2361="Iron Fly "),LEN(E2361)-LEN(SUBSTITUTE(E2361,"/",""))+2,LEN(E2361)-LEN(SUBSTITUTE(E2361,"/",""))+1))</f>
        <v/>
      </c>
      <c r="I2361" s="78">
        <f>IF(ISBLANK(G2361),"",IF(D2361="Stock","0",Key!$A$3*H2361*G2361))</f>
        <v/>
      </c>
      <c r="J2361" s="78">
        <f>IF(ISBLANK(E2361),"",IF(ISNUMBER(SEARCH("/",E2361)), IF(LEN(E2361)-LEN(SUBSTITUTE(E2361,"/",""))=1,(RIGHT(E2361,LEN(E2361)-FIND("/",E2361)))-(LEFT(E2361,FIND("/",E2361)-1)),(MID(E2361, SEARCH("/",E2361) + 1, SEARCH("/",E2361, SEARCH("/",E2361)+1) - SEARCH("/",E2361) - 1))-(LEFT(E2361,FIND("/",E2361)-1))), "NA"))</f>
        <v/>
      </c>
      <c r="K2361" s="79">
        <f>IF(A2361&lt;&gt;"", IF(ISBLANK(L2361), TODAY(), K2361), "")</f>
        <v/>
      </c>
      <c r="L2361" s="78" t="n"/>
      <c r="M2361" s="78">
        <f>IF(ISBLANK(L2361),"",IF(D2361="Stock",IF(C2361="Buy",L2361*G2361,IF(C2361="Sell",(L2361*G2361)-I2361, X)),IF(C2361="Buy",(L2361*G2361*100)+I2361,IF(C2361="Sell",(L2361*G2361*100)-I2361, X))))</f>
        <v/>
      </c>
      <c r="N2361" s="78">
        <f>IF(ISBLANK(L2361),"",IF(AND(C2361="Sell",D2361="Stock"),M2361,IF(ISBLANK(L2361),"",IF(C2361="Buy",M2361, IF(AND(C2361="Sell",J2361="NA"),(E2361*G2361*100*0.1)+I2361, IF(C2361="Sell",(J2361-L2361)*(100*G2361)+I2361))))))</f>
        <v/>
      </c>
      <c r="O2361" s="75" t="n"/>
      <c r="P2361" s="75" t="n"/>
      <c r="Q2361" s="75">
        <f>IF(ISBLANK(P2361),"",IF(D2361="Stock",P2361*G2361,IF(P2361=0,"0",G2361*P2361*100-(G2361*$AF$14))))</f>
        <v/>
      </c>
      <c r="R2361" s="79">
        <f>IF(P2361&lt;&gt;"", TODAY(), "")</f>
        <v/>
      </c>
      <c r="S2361" s="78">
        <f>IF(AND(K2361&lt;&gt;"", R2361&lt;&gt;""), R2361-K2361, "")</f>
        <v/>
      </c>
      <c r="T2361" s="78" t="n"/>
      <c r="U2361" s="92">
        <f>IF(ISBLANK(P2361),"",IF(C2361="Buy",Q2361-M2361+T2361, IF(C2361="Sell",M2361-Q2361-T2361, X)))</f>
        <v/>
      </c>
      <c r="V2361" s="81">
        <f>IF(ISBLANK(P2361),"",U2361/N2361)</f>
        <v/>
      </c>
      <c r="W2361" s="81">
        <f>IF(ISBLANK(P2361),"",IF(S2361=0,(365/0.5)*V2361,(365/S2361)*V2361))</f>
        <v/>
      </c>
      <c r="X2361" s="75" t="n"/>
      <c r="Y2361" s="77" t="n"/>
      <c r="Z2361" s="77" t="n"/>
      <c r="AA2361" s="75" t="n"/>
      <c r="AB2361" s="75" t="n"/>
      <c r="AC2361" s="6" t="n"/>
      <c r="AD2361" s="75" t="n"/>
      <c r="AE2361" s="75" t="n"/>
      <c r="AF2361" s="75" t="n"/>
    </row>
    <row r="2362" ht="15.75" customHeight="1" s="133">
      <c r="A2362" s="75" t="n"/>
      <c r="B2362" s="75" t="n"/>
      <c r="C2362" s="75" t="n"/>
      <c r="D2362" s="75" t="n"/>
      <c r="E2362" s="76" t="n"/>
      <c r="F2362" s="77" t="n"/>
      <c r="G2362" s="75" t="n"/>
      <c r="H2362" s="75">
        <f>IF(ISBLANK(E2362),"",IF(OR(D2362="Butterfly",D2362="Butterfly ",D2362="Iron Fly", D2362="Iron Fly "),LEN(E2362)-LEN(SUBSTITUTE(E2362,"/",""))+2,LEN(E2362)-LEN(SUBSTITUTE(E2362,"/",""))+1))</f>
        <v/>
      </c>
      <c r="I2362" s="78">
        <f>IF(ISBLANK(G2362),"",IF(D2362="Stock","0",Key!$A$3*H2362*G2362))</f>
        <v/>
      </c>
      <c r="J2362" s="78">
        <f>IF(ISBLANK(E2362),"",IF(ISNUMBER(SEARCH("/",E2362)), IF(LEN(E2362)-LEN(SUBSTITUTE(E2362,"/",""))=1,(RIGHT(E2362,LEN(E2362)-FIND("/",E2362)))-(LEFT(E2362,FIND("/",E2362)-1)),(MID(E2362, SEARCH("/",E2362) + 1, SEARCH("/",E2362, SEARCH("/",E2362)+1) - SEARCH("/",E2362) - 1))-(LEFT(E2362,FIND("/",E2362)-1))), "NA"))</f>
        <v/>
      </c>
      <c r="K2362" s="79">
        <f>IF(A2362&lt;&gt;"", IF(ISBLANK(L2362), TODAY(), K2362), "")</f>
        <v/>
      </c>
      <c r="L2362" s="78" t="n"/>
      <c r="M2362" s="78">
        <f>IF(ISBLANK(L2362),"",IF(D2362="Stock",IF(C2362="Buy",L2362*G2362,IF(C2362="Sell",(L2362*G2362)-I2362, X)),IF(C2362="Buy",(L2362*G2362*100)+I2362,IF(C2362="Sell",(L2362*G2362*100)-I2362, X))))</f>
        <v/>
      </c>
      <c r="N2362" s="78">
        <f>IF(ISBLANK(L2362),"",IF(AND(C2362="Sell",D2362="Stock"),M2362,IF(ISBLANK(L2362),"",IF(C2362="Buy",M2362, IF(AND(C2362="Sell",J2362="NA"),(E2362*G2362*100*0.1)+I2362, IF(C2362="Sell",(J2362-L2362)*(100*G2362)+I2362))))))</f>
        <v/>
      </c>
      <c r="O2362" s="75" t="n"/>
      <c r="P2362" s="75" t="n"/>
      <c r="Q2362" s="75">
        <f>IF(ISBLANK(P2362),"",IF(D2362="Stock",P2362*G2362,IF(P2362=0,"0",G2362*P2362*100-(G2362*$AF$14))))</f>
        <v/>
      </c>
      <c r="R2362" s="79">
        <f>IF(P2362&lt;&gt;"", TODAY(), "")</f>
        <v/>
      </c>
      <c r="S2362" s="78">
        <f>IF(AND(K2362&lt;&gt;"", R2362&lt;&gt;""), R2362-K2362, "")</f>
        <v/>
      </c>
      <c r="T2362" s="78" t="n"/>
      <c r="U2362" s="92">
        <f>IF(ISBLANK(P2362),"",IF(C2362="Buy",Q2362-M2362+T2362, IF(C2362="Sell",M2362-Q2362-T2362, X)))</f>
        <v/>
      </c>
      <c r="V2362" s="81">
        <f>IF(ISBLANK(P2362),"",U2362/N2362)</f>
        <v/>
      </c>
      <c r="W2362" s="81">
        <f>IF(ISBLANK(P2362),"",IF(S2362=0,(365/0.5)*V2362,(365/S2362)*V2362))</f>
        <v/>
      </c>
      <c r="X2362" s="75" t="n"/>
      <c r="Y2362" s="77" t="n"/>
      <c r="Z2362" s="77" t="n"/>
      <c r="AA2362" s="75" t="n"/>
      <c r="AB2362" s="75" t="n"/>
      <c r="AC2362" s="6" t="n"/>
      <c r="AD2362" s="75" t="n"/>
      <c r="AE2362" s="75" t="n"/>
      <c r="AF2362" s="75" t="n"/>
    </row>
    <row r="2363" ht="15.75" customHeight="1" s="133">
      <c r="A2363" s="75" t="n"/>
      <c r="B2363" s="75" t="n"/>
      <c r="C2363" s="75" t="n"/>
      <c r="D2363" s="75" t="n"/>
      <c r="E2363" s="76" t="n"/>
      <c r="F2363" s="77" t="n"/>
      <c r="G2363" s="75" t="n"/>
      <c r="H2363" s="75">
        <f>IF(ISBLANK(E2363),"",IF(OR(D2363="Butterfly",D2363="Butterfly ",D2363="Iron Fly", D2363="Iron Fly "),LEN(E2363)-LEN(SUBSTITUTE(E2363,"/",""))+2,LEN(E2363)-LEN(SUBSTITUTE(E2363,"/",""))+1))</f>
        <v/>
      </c>
      <c r="I2363" s="78">
        <f>IF(ISBLANK(G2363),"",IF(D2363="Stock","0",Key!$A$3*H2363*G2363))</f>
        <v/>
      </c>
      <c r="J2363" s="78">
        <f>IF(ISBLANK(E2363),"",IF(ISNUMBER(SEARCH("/",E2363)), IF(LEN(E2363)-LEN(SUBSTITUTE(E2363,"/",""))=1,(RIGHT(E2363,LEN(E2363)-FIND("/",E2363)))-(LEFT(E2363,FIND("/",E2363)-1)),(MID(E2363, SEARCH("/",E2363) + 1, SEARCH("/",E2363, SEARCH("/",E2363)+1) - SEARCH("/",E2363) - 1))-(LEFT(E2363,FIND("/",E2363)-1))), "NA"))</f>
        <v/>
      </c>
      <c r="K2363" s="79">
        <f>IF(A2363&lt;&gt;"", IF(ISBLANK(L2363), TODAY(), K2363), "")</f>
        <v/>
      </c>
      <c r="L2363" s="78" t="n"/>
      <c r="M2363" s="78">
        <f>IF(ISBLANK(L2363),"",IF(D2363="Stock",IF(C2363="Buy",L2363*G2363,IF(C2363="Sell",(L2363*G2363)-I2363, X)),IF(C2363="Buy",(L2363*G2363*100)+I2363,IF(C2363="Sell",(L2363*G2363*100)-I2363, X))))</f>
        <v/>
      </c>
      <c r="N2363" s="78">
        <f>IF(ISBLANK(L2363),"",IF(AND(C2363="Sell",D2363="Stock"),M2363,IF(ISBLANK(L2363),"",IF(C2363="Buy",M2363, IF(AND(C2363="Sell",J2363="NA"),(E2363*G2363*100*0.1)+I2363, IF(C2363="Sell",(J2363-L2363)*(100*G2363)+I2363))))))</f>
        <v/>
      </c>
      <c r="O2363" s="75" t="n"/>
      <c r="P2363" s="75" t="n"/>
      <c r="Q2363" s="75">
        <f>IF(ISBLANK(P2363),"",IF(D2363="Stock",P2363*G2363,IF(P2363=0,"0",G2363*P2363*100-(G2363*$AF$14))))</f>
        <v/>
      </c>
      <c r="R2363" s="79">
        <f>IF(P2363&lt;&gt;"", TODAY(), "")</f>
        <v/>
      </c>
      <c r="S2363" s="78">
        <f>IF(AND(K2363&lt;&gt;"", R2363&lt;&gt;""), R2363-K2363, "")</f>
        <v/>
      </c>
      <c r="T2363" s="78" t="n"/>
      <c r="U2363" s="92">
        <f>IF(ISBLANK(P2363),"",IF(C2363="Buy",Q2363-M2363+T2363, IF(C2363="Sell",M2363-Q2363-T2363, X)))</f>
        <v/>
      </c>
      <c r="V2363" s="81">
        <f>IF(ISBLANK(P2363),"",U2363/N2363)</f>
        <v/>
      </c>
      <c r="W2363" s="81">
        <f>IF(ISBLANK(P2363),"",IF(S2363=0,(365/0.5)*V2363,(365/S2363)*V2363))</f>
        <v/>
      </c>
      <c r="X2363" s="75" t="n"/>
      <c r="Y2363" s="77" t="n"/>
      <c r="Z2363" s="77" t="n"/>
      <c r="AA2363" s="75" t="n"/>
      <c r="AB2363" s="75" t="n"/>
      <c r="AC2363" s="6" t="n"/>
      <c r="AD2363" s="75" t="n"/>
      <c r="AE2363" s="75" t="n"/>
      <c r="AF2363" s="75" t="n"/>
    </row>
    <row r="2364" ht="15.75" customHeight="1" s="133">
      <c r="A2364" s="75" t="n"/>
      <c r="B2364" s="75" t="n"/>
      <c r="C2364" s="75" t="n"/>
      <c r="D2364" s="75" t="n"/>
      <c r="E2364" s="76" t="n"/>
      <c r="F2364" s="77" t="n"/>
      <c r="G2364" s="75" t="n"/>
      <c r="H2364" s="75">
        <f>IF(ISBLANK(E2364),"",IF(OR(D2364="Butterfly",D2364="Butterfly ",D2364="Iron Fly", D2364="Iron Fly "),LEN(E2364)-LEN(SUBSTITUTE(E2364,"/",""))+2,LEN(E2364)-LEN(SUBSTITUTE(E2364,"/",""))+1))</f>
        <v/>
      </c>
      <c r="I2364" s="78">
        <f>IF(ISBLANK(G2364),"",IF(D2364="Stock","0",Key!$A$3*H2364*G2364))</f>
        <v/>
      </c>
      <c r="J2364" s="78">
        <f>IF(ISBLANK(E2364),"",IF(ISNUMBER(SEARCH("/",E2364)), IF(LEN(E2364)-LEN(SUBSTITUTE(E2364,"/",""))=1,(RIGHT(E2364,LEN(E2364)-FIND("/",E2364)))-(LEFT(E2364,FIND("/",E2364)-1)),(MID(E2364, SEARCH("/",E2364) + 1, SEARCH("/",E2364, SEARCH("/",E2364)+1) - SEARCH("/",E2364) - 1))-(LEFT(E2364,FIND("/",E2364)-1))), "NA"))</f>
        <v/>
      </c>
      <c r="K2364" s="79">
        <f>IF(A2364&lt;&gt;"", IF(ISBLANK(L2364), TODAY(), K2364), "")</f>
        <v/>
      </c>
      <c r="L2364" s="78" t="n"/>
      <c r="M2364" s="78">
        <f>IF(ISBLANK(L2364),"",IF(D2364="Stock",IF(C2364="Buy",L2364*G2364,IF(C2364="Sell",(L2364*G2364)-I2364, X)),IF(C2364="Buy",(L2364*G2364*100)+I2364,IF(C2364="Sell",(L2364*G2364*100)-I2364, X))))</f>
        <v/>
      </c>
      <c r="N2364" s="78">
        <f>IF(ISBLANK(L2364),"",IF(AND(C2364="Sell",D2364="Stock"),M2364,IF(ISBLANK(L2364),"",IF(C2364="Buy",M2364, IF(AND(C2364="Sell",J2364="NA"),(E2364*G2364*100*0.1)+I2364, IF(C2364="Sell",(J2364-L2364)*(100*G2364)+I2364))))))</f>
        <v/>
      </c>
      <c r="O2364" s="75" t="n"/>
      <c r="P2364" s="75" t="n"/>
      <c r="Q2364" s="75">
        <f>IF(ISBLANK(P2364),"",IF(D2364="Stock",P2364*G2364,IF(P2364=0,"0",G2364*P2364*100-(G2364*$AF$14))))</f>
        <v/>
      </c>
      <c r="R2364" s="79">
        <f>IF(P2364&lt;&gt;"", TODAY(), "")</f>
        <v/>
      </c>
      <c r="S2364" s="78">
        <f>IF(AND(K2364&lt;&gt;"", R2364&lt;&gt;""), R2364-K2364, "")</f>
        <v/>
      </c>
      <c r="T2364" s="78" t="n"/>
      <c r="U2364" s="92">
        <f>IF(ISBLANK(P2364),"",IF(C2364="Buy",Q2364-M2364+T2364, IF(C2364="Sell",M2364-Q2364-T2364, X)))</f>
        <v/>
      </c>
      <c r="V2364" s="81">
        <f>IF(ISBLANK(P2364),"",U2364/N2364)</f>
        <v/>
      </c>
      <c r="W2364" s="81">
        <f>IF(ISBLANK(P2364),"",IF(S2364=0,(365/0.5)*V2364,(365/S2364)*V2364))</f>
        <v/>
      </c>
      <c r="X2364" s="75" t="n"/>
      <c r="Y2364" s="77" t="n"/>
      <c r="Z2364" s="77" t="n"/>
      <c r="AA2364" s="75" t="n"/>
      <c r="AB2364" s="75" t="n"/>
      <c r="AC2364" s="6" t="n"/>
      <c r="AD2364" s="75" t="n"/>
      <c r="AE2364" s="75" t="n"/>
      <c r="AF2364" s="75" t="n"/>
    </row>
    <row r="2365" ht="15.75" customHeight="1" s="133">
      <c r="A2365" s="75" t="n"/>
      <c r="B2365" s="75" t="n"/>
      <c r="C2365" s="75" t="n"/>
      <c r="D2365" s="75" t="n"/>
      <c r="E2365" s="76" t="n"/>
      <c r="F2365" s="77" t="n"/>
      <c r="G2365" s="75" t="n"/>
      <c r="H2365" s="75">
        <f>IF(ISBLANK(E2365),"",IF(OR(D2365="Butterfly",D2365="Butterfly ",D2365="Iron Fly", D2365="Iron Fly "),LEN(E2365)-LEN(SUBSTITUTE(E2365,"/",""))+2,LEN(E2365)-LEN(SUBSTITUTE(E2365,"/",""))+1))</f>
        <v/>
      </c>
      <c r="I2365" s="78">
        <f>IF(ISBLANK(G2365),"",IF(D2365="Stock","0",Key!$A$3*H2365*G2365))</f>
        <v/>
      </c>
      <c r="J2365" s="78">
        <f>IF(ISBLANK(E2365),"",IF(ISNUMBER(SEARCH("/",E2365)), IF(LEN(E2365)-LEN(SUBSTITUTE(E2365,"/",""))=1,(RIGHT(E2365,LEN(E2365)-FIND("/",E2365)))-(LEFT(E2365,FIND("/",E2365)-1)),(MID(E2365, SEARCH("/",E2365) + 1, SEARCH("/",E2365, SEARCH("/",E2365)+1) - SEARCH("/",E2365) - 1))-(LEFT(E2365,FIND("/",E2365)-1))), "NA"))</f>
        <v/>
      </c>
      <c r="K2365" s="79">
        <f>IF(A2365&lt;&gt;"", IF(ISBLANK(L2365), TODAY(), K2365), "")</f>
        <v/>
      </c>
      <c r="L2365" s="78" t="n"/>
      <c r="M2365" s="78">
        <f>IF(ISBLANK(L2365),"",IF(D2365="Stock",IF(C2365="Buy",L2365*G2365,IF(C2365="Sell",(L2365*G2365)-I2365, X)),IF(C2365="Buy",(L2365*G2365*100)+I2365,IF(C2365="Sell",(L2365*G2365*100)-I2365, X))))</f>
        <v/>
      </c>
      <c r="N2365" s="78">
        <f>IF(ISBLANK(L2365),"",IF(AND(C2365="Sell",D2365="Stock"),M2365,IF(ISBLANK(L2365),"",IF(C2365="Buy",M2365, IF(AND(C2365="Sell",J2365="NA"),(E2365*G2365*100*0.1)+I2365, IF(C2365="Sell",(J2365-L2365)*(100*G2365)+I2365))))))</f>
        <v/>
      </c>
      <c r="O2365" s="75" t="n"/>
      <c r="P2365" s="75" t="n"/>
      <c r="Q2365" s="75">
        <f>IF(ISBLANK(P2365),"",IF(D2365="Stock",P2365*G2365,IF(P2365=0,"0",G2365*P2365*100-(G2365*$AF$14))))</f>
        <v/>
      </c>
      <c r="R2365" s="79">
        <f>IF(P2365&lt;&gt;"", TODAY(), "")</f>
        <v/>
      </c>
      <c r="S2365" s="78">
        <f>IF(AND(K2365&lt;&gt;"", R2365&lt;&gt;""), R2365-K2365, "")</f>
        <v/>
      </c>
      <c r="T2365" s="78" t="n"/>
      <c r="U2365" s="92">
        <f>IF(ISBLANK(P2365),"",IF(C2365="Buy",Q2365-M2365+T2365, IF(C2365="Sell",M2365-Q2365-T2365, X)))</f>
        <v/>
      </c>
      <c r="V2365" s="81">
        <f>IF(ISBLANK(P2365),"",U2365/N2365)</f>
        <v/>
      </c>
      <c r="W2365" s="81">
        <f>IF(ISBLANK(P2365),"",IF(S2365=0,(365/0.5)*V2365,(365/S2365)*V2365))</f>
        <v/>
      </c>
      <c r="X2365" s="75" t="n"/>
      <c r="Y2365" s="77" t="n"/>
      <c r="Z2365" s="77" t="n"/>
      <c r="AA2365" s="75" t="n"/>
      <c r="AB2365" s="75" t="n"/>
      <c r="AC2365" s="6" t="n"/>
      <c r="AD2365" s="75" t="n"/>
      <c r="AE2365" s="75" t="n"/>
      <c r="AF2365" s="75" t="n"/>
    </row>
    <row r="2366" ht="15.75" customHeight="1" s="133">
      <c r="A2366" s="75" t="n"/>
      <c r="B2366" s="75" t="n"/>
      <c r="C2366" s="75" t="n"/>
      <c r="D2366" s="75" t="n"/>
      <c r="E2366" s="76" t="n"/>
      <c r="F2366" s="77" t="n"/>
      <c r="G2366" s="75" t="n"/>
      <c r="H2366" s="75">
        <f>IF(ISBLANK(E2366),"",IF(OR(D2366="Butterfly",D2366="Butterfly ",D2366="Iron Fly", D2366="Iron Fly "),LEN(E2366)-LEN(SUBSTITUTE(E2366,"/",""))+2,LEN(E2366)-LEN(SUBSTITUTE(E2366,"/",""))+1))</f>
        <v/>
      </c>
      <c r="I2366" s="78">
        <f>IF(ISBLANK(G2366),"",IF(D2366="Stock","0",Key!$A$3*H2366*G2366))</f>
        <v/>
      </c>
      <c r="J2366" s="78">
        <f>IF(ISBLANK(E2366),"",IF(ISNUMBER(SEARCH("/",E2366)), IF(LEN(E2366)-LEN(SUBSTITUTE(E2366,"/",""))=1,(RIGHT(E2366,LEN(E2366)-FIND("/",E2366)))-(LEFT(E2366,FIND("/",E2366)-1)),(MID(E2366, SEARCH("/",E2366) + 1, SEARCH("/",E2366, SEARCH("/",E2366)+1) - SEARCH("/",E2366) - 1))-(LEFT(E2366,FIND("/",E2366)-1))), "NA"))</f>
        <v/>
      </c>
      <c r="K2366" s="79">
        <f>IF(A2366&lt;&gt;"", IF(ISBLANK(L2366), TODAY(), K2366), "")</f>
        <v/>
      </c>
      <c r="L2366" s="78" t="n"/>
      <c r="M2366" s="78">
        <f>IF(ISBLANK(L2366),"",IF(D2366="Stock",IF(C2366="Buy",L2366*G2366,IF(C2366="Sell",(L2366*G2366)-I2366, X)),IF(C2366="Buy",(L2366*G2366*100)+I2366,IF(C2366="Sell",(L2366*G2366*100)-I2366, X))))</f>
        <v/>
      </c>
      <c r="N2366" s="78">
        <f>IF(ISBLANK(L2366),"",IF(AND(C2366="Sell",D2366="Stock"),M2366,IF(ISBLANK(L2366),"",IF(C2366="Buy",M2366, IF(AND(C2366="Sell",J2366="NA"),(E2366*G2366*100*0.1)+I2366, IF(C2366="Sell",(J2366-L2366)*(100*G2366)+I2366))))))</f>
        <v/>
      </c>
      <c r="O2366" s="75" t="n"/>
      <c r="P2366" s="75" t="n"/>
      <c r="Q2366" s="75">
        <f>IF(ISBLANK(P2366),"",IF(D2366="Stock",P2366*G2366,IF(P2366=0,"0",G2366*P2366*100-(G2366*$AF$14))))</f>
        <v/>
      </c>
      <c r="R2366" s="79">
        <f>IF(P2366&lt;&gt;"", TODAY(), "")</f>
        <v/>
      </c>
      <c r="S2366" s="78">
        <f>IF(AND(K2366&lt;&gt;"", R2366&lt;&gt;""), R2366-K2366, "")</f>
        <v/>
      </c>
      <c r="T2366" s="78" t="n"/>
      <c r="U2366" s="92">
        <f>IF(ISBLANK(P2366),"",IF(C2366="Buy",Q2366-M2366+T2366, IF(C2366="Sell",M2366-Q2366-T2366, X)))</f>
        <v/>
      </c>
      <c r="V2366" s="81">
        <f>IF(ISBLANK(P2366),"",U2366/N2366)</f>
        <v/>
      </c>
      <c r="W2366" s="81">
        <f>IF(ISBLANK(P2366),"",IF(S2366=0,(365/0.5)*V2366,(365/S2366)*V2366))</f>
        <v/>
      </c>
      <c r="X2366" s="75" t="n"/>
      <c r="Y2366" s="77" t="n"/>
      <c r="Z2366" s="77" t="n"/>
      <c r="AA2366" s="75" t="n"/>
      <c r="AB2366" s="75" t="n"/>
      <c r="AC2366" s="6" t="n"/>
      <c r="AD2366" s="75" t="n"/>
      <c r="AE2366" s="75" t="n"/>
      <c r="AF2366" s="75" t="n"/>
    </row>
    <row r="2367" ht="15.75" customHeight="1" s="133">
      <c r="A2367" s="75" t="n"/>
      <c r="B2367" s="75" t="n"/>
      <c r="C2367" s="75" t="n"/>
      <c r="D2367" s="75" t="n"/>
      <c r="E2367" s="76" t="n"/>
      <c r="F2367" s="77" t="n"/>
      <c r="G2367" s="75" t="n"/>
      <c r="H2367" s="75">
        <f>IF(ISBLANK(E2367),"",IF(OR(D2367="Butterfly",D2367="Butterfly ",D2367="Iron Fly", D2367="Iron Fly "),LEN(E2367)-LEN(SUBSTITUTE(E2367,"/",""))+2,LEN(E2367)-LEN(SUBSTITUTE(E2367,"/",""))+1))</f>
        <v/>
      </c>
      <c r="I2367" s="78">
        <f>IF(ISBLANK(G2367),"",IF(D2367="Stock","0",Key!$A$3*H2367*G2367))</f>
        <v/>
      </c>
      <c r="J2367" s="78">
        <f>IF(ISBLANK(E2367),"",IF(ISNUMBER(SEARCH("/",E2367)), IF(LEN(E2367)-LEN(SUBSTITUTE(E2367,"/",""))=1,(RIGHT(E2367,LEN(E2367)-FIND("/",E2367)))-(LEFT(E2367,FIND("/",E2367)-1)),(MID(E2367, SEARCH("/",E2367) + 1, SEARCH("/",E2367, SEARCH("/",E2367)+1) - SEARCH("/",E2367) - 1))-(LEFT(E2367,FIND("/",E2367)-1))), "NA"))</f>
        <v/>
      </c>
      <c r="K2367" s="79">
        <f>IF(A2367&lt;&gt;"", IF(ISBLANK(L2367), TODAY(), K2367), "")</f>
        <v/>
      </c>
      <c r="L2367" s="78" t="n"/>
      <c r="M2367" s="78">
        <f>IF(ISBLANK(L2367),"",IF(D2367="Stock",IF(C2367="Buy",L2367*G2367,IF(C2367="Sell",(L2367*G2367)-I2367, X)),IF(C2367="Buy",(L2367*G2367*100)+I2367,IF(C2367="Sell",(L2367*G2367*100)-I2367, X))))</f>
        <v/>
      </c>
      <c r="N2367" s="78">
        <f>IF(ISBLANK(L2367),"",IF(AND(C2367="Sell",D2367="Stock"),M2367,IF(ISBLANK(L2367),"",IF(C2367="Buy",M2367, IF(AND(C2367="Sell",J2367="NA"),(E2367*G2367*100*0.1)+I2367, IF(C2367="Sell",(J2367-L2367)*(100*G2367)+I2367))))))</f>
        <v/>
      </c>
      <c r="O2367" s="75" t="n"/>
      <c r="P2367" s="75" t="n"/>
      <c r="Q2367" s="75">
        <f>IF(ISBLANK(P2367),"",IF(D2367="Stock",P2367*G2367,IF(P2367=0,"0",G2367*P2367*100-(G2367*$AF$14))))</f>
        <v/>
      </c>
      <c r="R2367" s="79">
        <f>IF(P2367&lt;&gt;"", TODAY(), "")</f>
        <v/>
      </c>
      <c r="S2367" s="78">
        <f>IF(AND(K2367&lt;&gt;"", R2367&lt;&gt;""), R2367-K2367, "")</f>
        <v/>
      </c>
      <c r="T2367" s="78" t="n"/>
      <c r="U2367" s="92">
        <f>IF(ISBLANK(P2367),"",IF(C2367="Buy",Q2367-M2367+T2367, IF(C2367="Sell",M2367-Q2367-T2367, X)))</f>
        <v/>
      </c>
      <c r="V2367" s="81">
        <f>IF(ISBLANK(P2367),"",U2367/N2367)</f>
        <v/>
      </c>
      <c r="W2367" s="81">
        <f>IF(ISBLANK(P2367),"",IF(S2367=0,(365/0.5)*V2367,(365/S2367)*V2367))</f>
        <v/>
      </c>
      <c r="X2367" s="75" t="n"/>
      <c r="Y2367" s="77" t="n"/>
      <c r="Z2367" s="77" t="n"/>
      <c r="AA2367" s="75" t="n"/>
      <c r="AB2367" s="75" t="n"/>
      <c r="AC2367" s="6" t="n"/>
      <c r="AD2367" s="75" t="n"/>
      <c r="AE2367" s="75" t="n"/>
      <c r="AF2367" s="75" t="n"/>
    </row>
    <row r="2368" ht="15.75" customHeight="1" s="133">
      <c r="A2368" s="75" t="n"/>
      <c r="B2368" s="75" t="n"/>
      <c r="C2368" s="75" t="n"/>
      <c r="D2368" s="75" t="n"/>
      <c r="E2368" s="76" t="n"/>
      <c r="F2368" s="77" t="n"/>
      <c r="G2368" s="75" t="n"/>
      <c r="H2368" s="75">
        <f>IF(ISBLANK(E2368),"",IF(OR(D2368="Butterfly",D2368="Butterfly ",D2368="Iron Fly", D2368="Iron Fly "),LEN(E2368)-LEN(SUBSTITUTE(E2368,"/",""))+2,LEN(E2368)-LEN(SUBSTITUTE(E2368,"/",""))+1))</f>
        <v/>
      </c>
      <c r="I2368" s="78">
        <f>IF(ISBLANK(G2368),"",IF(D2368="Stock","0",Key!$A$3*H2368*G2368))</f>
        <v/>
      </c>
      <c r="J2368" s="78">
        <f>IF(ISBLANK(E2368),"",IF(ISNUMBER(SEARCH("/",E2368)), IF(LEN(E2368)-LEN(SUBSTITUTE(E2368,"/",""))=1,(RIGHT(E2368,LEN(E2368)-FIND("/",E2368)))-(LEFT(E2368,FIND("/",E2368)-1)),(MID(E2368, SEARCH("/",E2368) + 1, SEARCH("/",E2368, SEARCH("/",E2368)+1) - SEARCH("/",E2368) - 1))-(LEFT(E2368,FIND("/",E2368)-1))), "NA"))</f>
        <v/>
      </c>
      <c r="K2368" s="79">
        <f>IF(A2368&lt;&gt;"", IF(ISBLANK(L2368), TODAY(), K2368), "")</f>
        <v/>
      </c>
      <c r="L2368" s="78" t="n"/>
      <c r="M2368" s="78">
        <f>IF(ISBLANK(L2368),"",IF(D2368="Stock",IF(C2368="Buy",L2368*G2368,IF(C2368="Sell",(L2368*G2368)-I2368, X)),IF(C2368="Buy",(L2368*G2368*100)+I2368,IF(C2368="Sell",(L2368*G2368*100)-I2368, X))))</f>
        <v/>
      </c>
      <c r="N2368" s="78">
        <f>IF(ISBLANK(L2368),"",IF(AND(C2368="Sell",D2368="Stock"),M2368,IF(ISBLANK(L2368),"",IF(C2368="Buy",M2368, IF(AND(C2368="Sell",J2368="NA"),(E2368*G2368*100*0.1)+I2368, IF(C2368="Sell",(J2368-L2368)*(100*G2368)+I2368))))))</f>
        <v/>
      </c>
      <c r="O2368" s="75" t="n"/>
      <c r="P2368" s="75" t="n"/>
      <c r="Q2368" s="75">
        <f>IF(ISBLANK(P2368),"",IF(D2368="Stock",P2368*G2368,IF(P2368=0,"0",G2368*P2368*100-(G2368*$AF$14))))</f>
        <v/>
      </c>
      <c r="R2368" s="79">
        <f>IF(P2368&lt;&gt;"", TODAY(), "")</f>
        <v/>
      </c>
      <c r="S2368" s="78">
        <f>IF(AND(K2368&lt;&gt;"", R2368&lt;&gt;""), R2368-K2368, "")</f>
        <v/>
      </c>
      <c r="T2368" s="78" t="n"/>
      <c r="U2368" s="92">
        <f>IF(ISBLANK(P2368),"",IF(C2368="Buy",Q2368-M2368+T2368, IF(C2368="Sell",M2368-Q2368-T2368, X)))</f>
        <v/>
      </c>
      <c r="V2368" s="81">
        <f>IF(ISBLANK(P2368),"",U2368/N2368)</f>
        <v/>
      </c>
      <c r="W2368" s="81">
        <f>IF(ISBLANK(P2368),"",IF(S2368=0,(365/0.5)*V2368,(365/S2368)*V2368))</f>
        <v/>
      </c>
      <c r="X2368" s="75" t="n"/>
      <c r="Y2368" s="77" t="n"/>
      <c r="Z2368" s="77" t="n"/>
      <c r="AA2368" s="75" t="n"/>
      <c r="AB2368" s="75" t="n"/>
      <c r="AC2368" s="6" t="n"/>
      <c r="AD2368" s="75" t="n"/>
      <c r="AE2368" s="75" t="n"/>
      <c r="AF2368" s="75" t="n"/>
    </row>
    <row r="2369" ht="15.75" customHeight="1" s="133">
      <c r="A2369" s="75" t="n"/>
      <c r="B2369" s="75" t="n"/>
      <c r="C2369" s="75" t="n"/>
      <c r="D2369" s="75" t="n"/>
      <c r="E2369" s="76" t="n"/>
      <c r="F2369" s="77" t="n"/>
      <c r="G2369" s="75" t="n"/>
      <c r="H2369" s="75">
        <f>IF(ISBLANK(E2369),"",IF(OR(D2369="Butterfly",D2369="Butterfly ",D2369="Iron Fly", D2369="Iron Fly "),LEN(E2369)-LEN(SUBSTITUTE(E2369,"/",""))+2,LEN(E2369)-LEN(SUBSTITUTE(E2369,"/",""))+1))</f>
        <v/>
      </c>
      <c r="I2369" s="78">
        <f>IF(ISBLANK(G2369),"",IF(D2369="Stock","0",Key!$A$3*H2369*G2369))</f>
        <v/>
      </c>
      <c r="J2369" s="78">
        <f>IF(ISBLANK(E2369),"",IF(ISNUMBER(SEARCH("/",E2369)), IF(LEN(E2369)-LEN(SUBSTITUTE(E2369,"/",""))=1,(RIGHT(E2369,LEN(E2369)-FIND("/",E2369)))-(LEFT(E2369,FIND("/",E2369)-1)),(MID(E2369, SEARCH("/",E2369) + 1, SEARCH("/",E2369, SEARCH("/",E2369)+1) - SEARCH("/",E2369) - 1))-(LEFT(E2369,FIND("/",E2369)-1))), "NA"))</f>
        <v/>
      </c>
      <c r="K2369" s="79">
        <f>IF(A2369&lt;&gt;"", IF(ISBLANK(L2369), TODAY(), K2369), "")</f>
        <v/>
      </c>
      <c r="L2369" s="78" t="n"/>
      <c r="M2369" s="78">
        <f>IF(ISBLANK(L2369),"",IF(D2369="Stock",IF(C2369="Buy",L2369*G2369,IF(C2369="Sell",(L2369*G2369)-I2369, X)),IF(C2369="Buy",(L2369*G2369*100)+I2369,IF(C2369="Sell",(L2369*G2369*100)-I2369, X))))</f>
        <v/>
      </c>
      <c r="N2369" s="78">
        <f>IF(ISBLANK(L2369),"",IF(AND(C2369="Sell",D2369="Stock"),M2369,IF(ISBLANK(L2369),"",IF(C2369="Buy",M2369, IF(AND(C2369="Sell",J2369="NA"),(E2369*G2369*100*0.1)+I2369, IF(C2369="Sell",(J2369-L2369)*(100*G2369)+I2369))))))</f>
        <v/>
      </c>
      <c r="O2369" s="75" t="n"/>
      <c r="P2369" s="75" t="n"/>
      <c r="Q2369" s="75">
        <f>IF(ISBLANK(P2369),"",IF(D2369="Stock",P2369*G2369,IF(P2369=0,"0",G2369*P2369*100-(G2369*$AF$14))))</f>
        <v/>
      </c>
      <c r="R2369" s="79">
        <f>IF(P2369&lt;&gt;"", TODAY(), "")</f>
        <v/>
      </c>
      <c r="S2369" s="78">
        <f>IF(AND(K2369&lt;&gt;"", R2369&lt;&gt;""), R2369-K2369, "")</f>
        <v/>
      </c>
      <c r="T2369" s="78" t="n"/>
      <c r="U2369" s="92">
        <f>IF(ISBLANK(P2369),"",IF(C2369="Buy",Q2369-M2369+T2369, IF(C2369="Sell",M2369-Q2369-T2369, X)))</f>
        <v/>
      </c>
      <c r="V2369" s="81">
        <f>IF(ISBLANK(P2369),"",U2369/N2369)</f>
        <v/>
      </c>
      <c r="W2369" s="81">
        <f>IF(ISBLANK(P2369),"",IF(S2369=0,(365/0.5)*V2369,(365/S2369)*V2369))</f>
        <v/>
      </c>
      <c r="X2369" s="75" t="n"/>
      <c r="Y2369" s="77" t="n"/>
      <c r="Z2369" s="77" t="n"/>
      <c r="AA2369" s="75" t="n"/>
      <c r="AB2369" s="75" t="n"/>
      <c r="AC2369" s="6" t="n"/>
      <c r="AD2369" s="75" t="n"/>
      <c r="AE2369" s="75" t="n"/>
      <c r="AF2369" s="75" t="n"/>
    </row>
    <row r="2370" ht="15.75" customHeight="1" s="133">
      <c r="A2370" s="75" t="n"/>
      <c r="B2370" s="75" t="n"/>
      <c r="C2370" s="75" t="n"/>
      <c r="D2370" s="75" t="n"/>
      <c r="E2370" s="76" t="n"/>
      <c r="F2370" s="77" t="n"/>
      <c r="G2370" s="75" t="n"/>
      <c r="H2370" s="75">
        <f>IF(ISBLANK(E2370),"",IF(OR(D2370="Butterfly",D2370="Butterfly ",D2370="Iron Fly", D2370="Iron Fly "),LEN(E2370)-LEN(SUBSTITUTE(E2370,"/",""))+2,LEN(E2370)-LEN(SUBSTITUTE(E2370,"/",""))+1))</f>
        <v/>
      </c>
      <c r="I2370" s="78">
        <f>IF(ISBLANK(G2370),"",IF(D2370="Stock","0",Key!$A$3*H2370*G2370))</f>
        <v/>
      </c>
      <c r="J2370" s="78">
        <f>IF(ISBLANK(E2370),"",IF(ISNUMBER(SEARCH("/",E2370)), IF(LEN(E2370)-LEN(SUBSTITUTE(E2370,"/",""))=1,(RIGHT(E2370,LEN(E2370)-FIND("/",E2370)))-(LEFT(E2370,FIND("/",E2370)-1)),(MID(E2370, SEARCH("/",E2370) + 1, SEARCH("/",E2370, SEARCH("/",E2370)+1) - SEARCH("/",E2370) - 1))-(LEFT(E2370,FIND("/",E2370)-1))), "NA"))</f>
        <v/>
      </c>
      <c r="K2370" s="79">
        <f>IF(A2370&lt;&gt;"", IF(ISBLANK(L2370), TODAY(), K2370), "")</f>
        <v/>
      </c>
      <c r="L2370" s="78" t="n"/>
      <c r="M2370" s="78">
        <f>IF(ISBLANK(L2370),"",IF(D2370="Stock",IF(C2370="Buy",L2370*G2370,IF(C2370="Sell",(L2370*G2370)-I2370, X)),IF(C2370="Buy",(L2370*G2370*100)+I2370,IF(C2370="Sell",(L2370*G2370*100)-I2370, X))))</f>
        <v/>
      </c>
      <c r="N2370" s="78">
        <f>IF(ISBLANK(L2370),"",IF(AND(C2370="Sell",D2370="Stock"),M2370,IF(ISBLANK(L2370),"",IF(C2370="Buy",M2370, IF(AND(C2370="Sell",J2370="NA"),(E2370*G2370*100*0.1)+I2370, IF(C2370="Sell",(J2370-L2370)*(100*G2370)+I2370))))))</f>
        <v/>
      </c>
      <c r="O2370" s="75" t="n"/>
      <c r="P2370" s="75" t="n"/>
      <c r="Q2370" s="75">
        <f>IF(ISBLANK(P2370),"",IF(D2370="Stock",P2370*G2370,IF(P2370=0,"0",G2370*P2370*100-(G2370*$AF$14))))</f>
        <v/>
      </c>
      <c r="R2370" s="79">
        <f>IF(P2370&lt;&gt;"", TODAY(), "")</f>
        <v/>
      </c>
      <c r="S2370" s="78">
        <f>IF(AND(K2370&lt;&gt;"", R2370&lt;&gt;""), R2370-K2370, "")</f>
        <v/>
      </c>
      <c r="T2370" s="78" t="n"/>
      <c r="U2370" s="92">
        <f>IF(ISBLANK(P2370),"",IF(C2370="Buy",Q2370-M2370+T2370, IF(C2370="Sell",M2370-Q2370-T2370, X)))</f>
        <v/>
      </c>
      <c r="V2370" s="81">
        <f>IF(ISBLANK(P2370),"",U2370/N2370)</f>
        <v/>
      </c>
      <c r="W2370" s="81">
        <f>IF(ISBLANK(P2370),"",IF(S2370=0,(365/0.5)*V2370,(365/S2370)*V2370))</f>
        <v/>
      </c>
      <c r="X2370" s="75" t="n"/>
      <c r="Y2370" s="77" t="n"/>
      <c r="Z2370" s="77" t="n"/>
      <c r="AA2370" s="75" t="n"/>
      <c r="AB2370" s="75" t="n"/>
      <c r="AC2370" s="6" t="n"/>
      <c r="AD2370" s="75" t="n"/>
      <c r="AE2370" s="75" t="n"/>
      <c r="AF2370" s="75" t="n"/>
    </row>
    <row r="2371" ht="15.75" customHeight="1" s="133">
      <c r="A2371" s="75" t="n"/>
      <c r="B2371" s="75" t="n"/>
      <c r="C2371" s="75" t="n"/>
      <c r="D2371" s="75" t="n"/>
      <c r="E2371" s="76" t="n"/>
      <c r="F2371" s="77" t="n"/>
      <c r="G2371" s="75" t="n"/>
      <c r="H2371" s="75">
        <f>IF(ISBLANK(E2371),"",IF(OR(D2371="Butterfly",D2371="Butterfly ",D2371="Iron Fly", D2371="Iron Fly "),LEN(E2371)-LEN(SUBSTITUTE(E2371,"/",""))+2,LEN(E2371)-LEN(SUBSTITUTE(E2371,"/",""))+1))</f>
        <v/>
      </c>
      <c r="I2371" s="78">
        <f>IF(ISBLANK(G2371),"",IF(D2371="Stock","0",Key!$A$3*H2371*G2371))</f>
        <v/>
      </c>
      <c r="J2371" s="78">
        <f>IF(ISBLANK(E2371),"",IF(ISNUMBER(SEARCH("/",E2371)), IF(LEN(E2371)-LEN(SUBSTITUTE(E2371,"/",""))=1,(RIGHT(E2371,LEN(E2371)-FIND("/",E2371)))-(LEFT(E2371,FIND("/",E2371)-1)),(MID(E2371, SEARCH("/",E2371) + 1, SEARCH("/",E2371, SEARCH("/",E2371)+1) - SEARCH("/",E2371) - 1))-(LEFT(E2371,FIND("/",E2371)-1))), "NA"))</f>
        <v/>
      </c>
      <c r="K2371" s="79">
        <f>IF(A2371&lt;&gt;"", IF(ISBLANK(L2371), TODAY(), K2371), "")</f>
        <v/>
      </c>
      <c r="L2371" s="78" t="n"/>
      <c r="M2371" s="78">
        <f>IF(ISBLANK(L2371),"",IF(D2371="Stock",IF(C2371="Buy",L2371*G2371,IF(C2371="Sell",(L2371*G2371)-I2371, X)),IF(C2371="Buy",(L2371*G2371*100)+I2371,IF(C2371="Sell",(L2371*G2371*100)-I2371, X))))</f>
        <v/>
      </c>
      <c r="N2371" s="78">
        <f>IF(ISBLANK(L2371),"",IF(AND(C2371="Sell",D2371="Stock"),M2371,IF(ISBLANK(L2371),"",IF(C2371="Buy",M2371, IF(AND(C2371="Sell",J2371="NA"),(E2371*G2371*100*0.1)+I2371, IF(C2371="Sell",(J2371-L2371)*(100*G2371)+I2371))))))</f>
        <v/>
      </c>
      <c r="O2371" s="75" t="n"/>
      <c r="P2371" s="75" t="n"/>
      <c r="Q2371" s="75">
        <f>IF(ISBLANK(P2371),"",IF(D2371="Stock",P2371*G2371,IF(P2371=0,"0",G2371*P2371*100-(G2371*$AF$14))))</f>
        <v/>
      </c>
      <c r="R2371" s="79">
        <f>IF(P2371&lt;&gt;"", TODAY(), "")</f>
        <v/>
      </c>
      <c r="S2371" s="78">
        <f>IF(AND(K2371&lt;&gt;"", R2371&lt;&gt;""), R2371-K2371, "")</f>
        <v/>
      </c>
      <c r="T2371" s="78" t="n"/>
      <c r="U2371" s="92">
        <f>IF(ISBLANK(P2371),"",IF(C2371="Buy",Q2371-M2371+T2371, IF(C2371="Sell",M2371-Q2371-T2371, X)))</f>
        <v/>
      </c>
      <c r="V2371" s="81">
        <f>IF(ISBLANK(P2371),"",U2371/N2371)</f>
        <v/>
      </c>
      <c r="W2371" s="81">
        <f>IF(ISBLANK(P2371),"",IF(S2371=0,(365/0.5)*V2371,(365/S2371)*V2371))</f>
        <v/>
      </c>
      <c r="X2371" s="75" t="n"/>
      <c r="Y2371" s="77" t="n"/>
      <c r="Z2371" s="77" t="n"/>
      <c r="AA2371" s="75" t="n"/>
      <c r="AB2371" s="75" t="n"/>
      <c r="AC2371" s="6" t="n"/>
      <c r="AD2371" s="75" t="n"/>
      <c r="AE2371" s="75" t="n"/>
      <c r="AF2371" s="75" t="n"/>
    </row>
    <row r="2372" ht="15.75" customHeight="1" s="133">
      <c r="A2372" s="75" t="n"/>
      <c r="B2372" s="75" t="n"/>
      <c r="C2372" s="75" t="n"/>
      <c r="D2372" s="75" t="n"/>
      <c r="E2372" s="76" t="n"/>
      <c r="F2372" s="77" t="n"/>
      <c r="G2372" s="75" t="n"/>
      <c r="H2372" s="75">
        <f>IF(ISBLANK(E2372),"",IF(OR(D2372="Butterfly",D2372="Butterfly ",D2372="Iron Fly", D2372="Iron Fly "),LEN(E2372)-LEN(SUBSTITUTE(E2372,"/",""))+2,LEN(E2372)-LEN(SUBSTITUTE(E2372,"/",""))+1))</f>
        <v/>
      </c>
      <c r="I2372" s="78">
        <f>IF(ISBLANK(G2372),"",IF(D2372="Stock","0",Key!$A$3*H2372*G2372))</f>
        <v/>
      </c>
      <c r="J2372" s="78">
        <f>IF(ISBLANK(E2372),"",IF(ISNUMBER(SEARCH("/",E2372)), IF(LEN(E2372)-LEN(SUBSTITUTE(E2372,"/",""))=1,(RIGHT(E2372,LEN(E2372)-FIND("/",E2372)))-(LEFT(E2372,FIND("/",E2372)-1)),(MID(E2372, SEARCH("/",E2372) + 1, SEARCH("/",E2372, SEARCH("/",E2372)+1) - SEARCH("/",E2372) - 1))-(LEFT(E2372,FIND("/",E2372)-1))), "NA"))</f>
        <v/>
      </c>
      <c r="K2372" s="79">
        <f>IF(A2372&lt;&gt;"", IF(ISBLANK(L2372), TODAY(), K2372), "")</f>
        <v/>
      </c>
      <c r="L2372" s="78" t="n"/>
      <c r="M2372" s="78">
        <f>IF(ISBLANK(L2372),"",IF(D2372="Stock",IF(C2372="Buy",L2372*G2372,IF(C2372="Sell",(L2372*G2372)-I2372, X)),IF(C2372="Buy",(L2372*G2372*100)+I2372,IF(C2372="Sell",(L2372*G2372*100)-I2372, X))))</f>
        <v/>
      </c>
      <c r="N2372" s="78">
        <f>IF(ISBLANK(L2372),"",IF(AND(C2372="Sell",D2372="Stock"),M2372,IF(ISBLANK(L2372),"",IF(C2372="Buy",M2372, IF(AND(C2372="Sell",J2372="NA"),(E2372*G2372*100*0.1)+I2372, IF(C2372="Sell",(J2372-L2372)*(100*G2372)+I2372))))))</f>
        <v/>
      </c>
      <c r="O2372" s="75" t="n"/>
      <c r="P2372" s="75" t="n"/>
      <c r="Q2372" s="75">
        <f>IF(ISBLANK(P2372),"",IF(D2372="Stock",P2372*G2372,IF(P2372=0,"0",G2372*P2372*100-(G2372*$AF$14))))</f>
        <v/>
      </c>
      <c r="R2372" s="79">
        <f>IF(P2372&lt;&gt;"", TODAY(), "")</f>
        <v/>
      </c>
      <c r="S2372" s="78">
        <f>IF(AND(K2372&lt;&gt;"", R2372&lt;&gt;""), R2372-K2372, "")</f>
        <v/>
      </c>
      <c r="T2372" s="78" t="n"/>
      <c r="U2372" s="92">
        <f>IF(ISBLANK(P2372),"",IF(C2372="Buy",Q2372-M2372+T2372, IF(C2372="Sell",M2372-Q2372-T2372, X)))</f>
        <v/>
      </c>
      <c r="V2372" s="81">
        <f>IF(ISBLANK(P2372),"",U2372/N2372)</f>
        <v/>
      </c>
      <c r="W2372" s="81">
        <f>IF(ISBLANK(P2372),"",IF(S2372=0,(365/0.5)*V2372,(365/S2372)*V2372))</f>
        <v/>
      </c>
      <c r="X2372" s="75" t="n"/>
      <c r="Y2372" s="77" t="n"/>
      <c r="Z2372" s="77" t="n"/>
      <c r="AA2372" s="75" t="n"/>
      <c r="AB2372" s="75" t="n"/>
      <c r="AC2372" s="6" t="n"/>
      <c r="AD2372" s="75" t="n"/>
      <c r="AE2372" s="75" t="n"/>
      <c r="AF2372" s="75" t="n"/>
    </row>
    <row r="2373" ht="15.75" customHeight="1" s="133">
      <c r="A2373" s="75" t="n"/>
      <c r="B2373" s="75" t="n"/>
      <c r="C2373" s="75" t="n"/>
      <c r="D2373" s="75" t="n"/>
      <c r="E2373" s="76" t="n"/>
      <c r="F2373" s="77" t="n"/>
      <c r="G2373" s="75" t="n"/>
      <c r="H2373" s="75">
        <f>IF(ISBLANK(E2373),"",IF(OR(D2373="Butterfly",D2373="Butterfly ",D2373="Iron Fly", D2373="Iron Fly "),LEN(E2373)-LEN(SUBSTITUTE(E2373,"/",""))+2,LEN(E2373)-LEN(SUBSTITUTE(E2373,"/",""))+1))</f>
        <v/>
      </c>
      <c r="I2373" s="78">
        <f>IF(ISBLANK(G2373),"",IF(D2373="Stock","0",Key!$A$3*H2373*G2373))</f>
        <v/>
      </c>
      <c r="J2373" s="78">
        <f>IF(ISBLANK(E2373),"",IF(ISNUMBER(SEARCH("/",E2373)), IF(LEN(E2373)-LEN(SUBSTITUTE(E2373,"/",""))=1,(RIGHT(E2373,LEN(E2373)-FIND("/",E2373)))-(LEFT(E2373,FIND("/",E2373)-1)),(MID(E2373, SEARCH("/",E2373) + 1, SEARCH("/",E2373, SEARCH("/",E2373)+1) - SEARCH("/",E2373) - 1))-(LEFT(E2373,FIND("/",E2373)-1))), "NA"))</f>
        <v/>
      </c>
      <c r="K2373" s="79">
        <f>IF(A2373&lt;&gt;"", IF(ISBLANK(L2373), TODAY(), K2373), "")</f>
        <v/>
      </c>
      <c r="L2373" s="78" t="n"/>
      <c r="M2373" s="78">
        <f>IF(ISBLANK(L2373),"",IF(D2373="Stock",IF(C2373="Buy",L2373*G2373,IF(C2373="Sell",(L2373*G2373)-I2373, X)),IF(C2373="Buy",(L2373*G2373*100)+I2373,IF(C2373="Sell",(L2373*G2373*100)-I2373, X))))</f>
        <v/>
      </c>
      <c r="N2373" s="78">
        <f>IF(ISBLANK(L2373),"",IF(AND(C2373="Sell",D2373="Stock"),M2373,IF(ISBLANK(L2373),"",IF(C2373="Buy",M2373, IF(AND(C2373="Sell",J2373="NA"),(E2373*G2373*100*0.1)+I2373, IF(C2373="Sell",(J2373-L2373)*(100*G2373)+I2373))))))</f>
        <v/>
      </c>
      <c r="O2373" s="75" t="n"/>
      <c r="P2373" s="75" t="n"/>
      <c r="Q2373" s="75">
        <f>IF(ISBLANK(P2373),"",IF(D2373="Stock",P2373*G2373,IF(P2373=0,"0",G2373*P2373*100-(G2373*$AF$14))))</f>
        <v/>
      </c>
      <c r="R2373" s="79">
        <f>IF(P2373&lt;&gt;"", TODAY(), "")</f>
        <v/>
      </c>
      <c r="S2373" s="78">
        <f>IF(AND(K2373&lt;&gt;"", R2373&lt;&gt;""), R2373-K2373, "")</f>
        <v/>
      </c>
      <c r="T2373" s="78" t="n"/>
      <c r="U2373" s="92">
        <f>IF(ISBLANK(P2373),"",IF(C2373="Buy",Q2373-M2373+T2373, IF(C2373="Sell",M2373-Q2373-T2373, X)))</f>
        <v/>
      </c>
      <c r="V2373" s="81">
        <f>IF(ISBLANK(P2373),"",U2373/N2373)</f>
        <v/>
      </c>
      <c r="W2373" s="81">
        <f>IF(ISBLANK(P2373),"",IF(S2373=0,(365/0.5)*V2373,(365/S2373)*V2373))</f>
        <v/>
      </c>
      <c r="X2373" s="75" t="n"/>
      <c r="Y2373" s="77" t="n"/>
      <c r="Z2373" s="77" t="n"/>
      <c r="AA2373" s="75" t="n"/>
      <c r="AB2373" s="75" t="n"/>
      <c r="AC2373" s="6" t="n"/>
      <c r="AD2373" s="75" t="n"/>
      <c r="AE2373" s="75" t="n"/>
      <c r="AF2373" s="75" t="n"/>
    </row>
    <row r="2374" ht="15.75" customHeight="1" s="133">
      <c r="A2374" s="75" t="n"/>
      <c r="B2374" s="75" t="n"/>
      <c r="C2374" s="75" t="n"/>
      <c r="D2374" s="75" t="n"/>
      <c r="E2374" s="76" t="n"/>
      <c r="F2374" s="77" t="n"/>
      <c r="G2374" s="75" t="n"/>
      <c r="H2374" s="75">
        <f>IF(ISBLANK(E2374),"",IF(OR(D2374="Butterfly",D2374="Butterfly ",D2374="Iron Fly", D2374="Iron Fly "),LEN(E2374)-LEN(SUBSTITUTE(E2374,"/",""))+2,LEN(E2374)-LEN(SUBSTITUTE(E2374,"/",""))+1))</f>
        <v/>
      </c>
      <c r="I2374" s="78">
        <f>IF(ISBLANK(G2374),"",IF(D2374="Stock","0",Key!$A$3*H2374*G2374))</f>
        <v/>
      </c>
      <c r="J2374" s="78">
        <f>IF(ISBLANK(E2374),"",IF(ISNUMBER(SEARCH("/",E2374)), IF(LEN(E2374)-LEN(SUBSTITUTE(E2374,"/",""))=1,(RIGHT(E2374,LEN(E2374)-FIND("/",E2374)))-(LEFT(E2374,FIND("/",E2374)-1)),(MID(E2374, SEARCH("/",E2374) + 1, SEARCH("/",E2374, SEARCH("/",E2374)+1) - SEARCH("/",E2374) - 1))-(LEFT(E2374,FIND("/",E2374)-1))), "NA"))</f>
        <v/>
      </c>
      <c r="K2374" s="79">
        <f>IF(A2374&lt;&gt;"", IF(ISBLANK(L2374), TODAY(), K2374), "")</f>
        <v/>
      </c>
      <c r="L2374" s="78" t="n"/>
      <c r="M2374" s="78">
        <f>IF(ISBLANK(L2374),"",IF(D2374="Stock",IF(C2374="Buy",L2374*G2374,IF(C2374="Sell",(L2374*G2374)-I2374, X)),IF(C2374="Buy",(L2374*G2374*100)+I2374,IF(C2374="Sell",(L2374*G2374*100)-I2374, X))))</f>
        <v/>
      </c>
      <c r="N2374" s="78">
        <f>IF(ISBLANK(L2374),"",IF(AND(C2374="Sell",D2374="Stock"),M2374,IF(ISBLANK(L2374),"",IF(C2374="Buy",M2374, IF(AND(C2374="Sell",J2374="NA"),(E2374*G2374*100*0.1)+I2374, IF(C2374="Sell",(J2374-L2374)*(100*G2374)+I2374))))))</f>
        <v/>
      </c>
      <c r="O2374" s="75" t="n"/>
      <c r="P2374" s="75" t="n"/>
      <c r="Q2374" s="75">
        <f>IF(ISBLANK(P2374),"",IF(D2374="Stock",P2374*G2374,IF(P2374=0,"0",G2374*P2374*100-(G2374*$AF$14))))</f>
        <v/>
      </c>
      <c r="R2374" s="79">
        <f>IF(P2374&lt;&gt;"", TODAY(), "")</f>
        <v/>
      </c>
      <c r="S2374" s="78">
        <f>IF(AND(K2374&lt;&gt;"", R2374&lt;&gt;""), R2374-K2374, "")</f>
        <v/>
      </c>
      <c r="T2374" s="78" t="n"/>
      <c r="U2374" s="92">
        <f>IF(ISBLANK(P2374),"",IF(C2374="Buy",Q2374-M2374+T2374, IF(C2374="Sell",M2374-Q2374-T2374, X)))</f>
        <v/>
      </c>
      <c r="V2374" s="81">
        <f>IF(ISBLANK(P2374),"",U2374/N2374)</f>
        <v/>
      </c>
      <c r="W2374" s="81">
        <f>IF(ISBLANK(P2374),"",IF(S2374=0,(365/0.5)*V2374,(365/S2374)*V2374))</f>
        <v/>
      </c>
      <c r="X2374" s="75" t="n"/>
      <c r="Y2374" s="77" t="n"/>
      <c r="Z2374" s="77" t="n"/>
      <c r="AA2374" s="75" t="n"/>
      <c r="AB2374" s="75" t="n"/>
      <c r="AC2374" s="6" t="n"/>
      <c r="AD2374" s="75" t="n"/>
      <c r="AE2374" s="75" t="n"/>
      <c r="AF2374" s="75" t="n"/>
    </row>
    <row r="2375" ht="15.75" customHeight="1" s="133">
      <c r="A2375" s="75" t="n"/>
      <c r="B2375" s="75" t="n"/>
      <c r="C2375" s="75" t="n"/>
      <c r="D2375" s="75" t="n"/>
      <c r="E2375" s="76" t="n"/>
      <c r="F2375" s="77" t="n"/>
      <c r="G2375" s="75" t="n"/>
      <c r="H2375" s="75">
        <f>IF(ISBLANK(E2375),"",IF(OR(D2375="Butterfly",D2375="Butterfly ",D2375="Iron Fly", D2375="Iron Fly "),LEN(E2375)-LEN(SUBSTITUTE(E2375,"/",""))+2,LEN(E2375)-LEN(SUBSTITUTE(E2375,"/",""))+1))</f>
        <v/>
      </c>
      <c r="I2375" s="78">
        <f>IF(ISBLANK(G2375),"",IF(D2375="Stock","0",Key!$A$3*H2375*G2375))</f>
        <v/>
      </c>
      <c r="J2375" s="78">
        <f>IF(ISBLANK(E2375),"",IF(ISNUMBER(SEARCH("/",E2375)), IF(LEN(E2375)-LEN(SUBSTITUTE(E2375,"/",""))=1,(RIGHT(E2375,LEN(E2375)-FIND("/",E2375)))-(LEFT(E2375,FIND("/",E2375)-1)),(MID(E2375, SEARCH("/",E2375) + 1, SEARCH("/",E2375, SEARCH("/",E2375)+1) - SEARCH("/",E2375) - 1))-(LEFT(E2375,FIND("/",E2375)-1))), "NA"))</f>
        <v/>
      </c>
      <c r="K2375" s="79">
        <f>IF(A2375&lt;&gt;"", IF(ISBLANK(L2375), TODAY(), K2375), "")</f>
        <v/>
      </c>
      <c r="L2375" s="78" t="n"/>
      <c r="M2375" s="78">
        <f>IF(ISBLANK(L2375),"",IF(D2375="Stock",IF(C2375="Buy",L2375*G2375,IF(C2375="Sell",(L2375*G2375)-I2375, X)),IF(C2375="Buy",(L2375*G2375*100)+I2375,IF(C2375="Sell",(L2375*G2375*100)-I2375, X))))</f>
        <v/>
      </c>
      <c r="N2375" s="78">
        <f>IF(ISBLANK(L2375),"",IF(AND(C2375="Sell",D2375="Stock"),M2375,IF(ISBLANK(L2375),"",IF(C2375="Buy",M2375, IF(AND(C2375="Sell",J2375="NA"),(E2375*G2375*100*0.1)+I2375, IF(C2375="Sell",(J2375-L2375)*(100*G2375)+I2375))))))</f>
        <v/>
      </c>
      <c r="O2375" s="75" t="n"/>
      <c r="P2375" s="75" t="n"/>
      <c r="Q2375" s="75">
        <f>IF(ISBLANK(P2375),"",IF(D2375="Stock",P2375*G2375,IF(P2375=0,"0",G2375*P2375*100-(G2375*$AF$14))))</f>
        <v/>
      </c>
      <c r="R2375" s="79">
        <f>IF(P2375&lt;&gt;"", TODAY(), "")</f>
        <v/>
      </c>
      <c r="S2375" s="78">
        <f>IF(AND(K2375&lt;&gt;"", R2375&lt;&gt;""), R2375-K2375, "")</f>
        <v/>
      </c>
      <c r="T2375" s="78" t="n"/>
      <c r="U2375" s="92">
        <f>IF(ISBLANK(P2375),"",IF(C2375="Buy",Q2375-M2375+T2375, IF(C2375="Sell",M2375-Q2375-T2375, X)))</f>
        <v/>
      </c>
      <c r="V2375" s="81">
        <f>IF(ISBLANK(P2375),"",U2375/N2375)</f>
        <v/>
      </c>
      <c r="W2375" s="81">
        <f>IF(ISBLANK(P2375),"",IF(S2375=0,(365/0.5)*V2375,(365/S2375)*V2375))</f>
        <v/>
      </c>
      <c r="X2375" s="75" t="n"/>
      <c r="Y2375" s="77" t="n"/>
      <c r="Z2375" s="77" t="n"/>
      <c r="AA2375" s="75" t="n"/>
      <c r="AB2375" s="75" t="n"/>
      <c r="AC2375" s="6" t="n"/>
      <c r="AD2375" s="75" t="n"/>
      <c r="AE2375" s="75" t="n"/>
      <c r="AF2375" s="75" t="n"/>
    </row>
    <row r="2376" ht="15.75" customHeight="1" s="133">
      <c r="A2376" s="75" t="n"/>
      <c r="B2376" s="75" t="n"/>
      <c r="C2376" s="75" t="n"/>
      <c r="D2376" s="75" t="n"/>
      <c r="E2376" s="76" t="n"/>
      <c r="F2376" s="77" t="n"/>
      <c r="G2376" s="75" t="n"/>
      <c r="H2376" s="75">
        <f>IF(ISBLANK(E2376),"",IF(OR(D2376="Butterfly",D2376="Butterfly ",D2376="Iron Fly", D2376="Iron Fly "),LEN(E2376)-LEN(SUBSTITUTE(E2376,"/",""))+2,LEN(E2376)-LEN(SUBSTITUTE(E2376,"/",""))+1))</f>
        <v/>
      </c>
      <c r="I2376" s="78">
        <f>IF(ISBLANK(G2376),"",IF(D2376="Stock","0",Key!$A$3*H2376*G2376))</f>
        <v/>
      </c>
      <c r="J2376" s="78">
        <f>IF(ISBLANK(E2376),"",IF(ISNUMBER(SEARCH("/",E2376)), IF(LEN(E2376)-LEN(SUBSTITUTE(E2376,"/",""))=1,(RIGHT(E2376,LEN(E2376)-FIND("/",E2376)))-(LEFT(E2376,FIND("/",E2376)-1)),(MID(E2376, SEARCH("/",E2376) + 1, SEARCH("/",E2376, SEARCH("/",E2376)+1) - SEARCH("/",E2376) - 1))-(LEFT(E2376,FIND("/",E2376)-1))), "NA"))</f>
        <v/>
      </c>
      <c r="K2376" s="79">
        <f>IF(A2376&lt;&gt;"", IF(ISBLANK(L2376), TODAY(), K2376), "")</f>
        <v/>
      </c>
      <c r="L2376" s="78" t="n"/>
      <c r="M2376" s="78">
        <f>IF(ISBLANK(L2376),"",IF(D2376="Stock",IF(C2376="Buy",L2376*G2376,IF(C2376="Sell",(L2376*G2376)-I2376, X)),IF(C2376="Buy",(L2376*G2376*100)+I2376,IF(C2376="Sell",(L2376*G2376*100)-I2376, X))))</f>
        <v/>
      </c>
      <c r="N2376" s="78">
        <f>IF(ISBLANK(L2376),"",IF(AND(C2376="Sell",D2376="Stock"),M2376,IF(ISBLANK(L2376),"",IF(C2376="Buy",M2376, IF(AND(C2376="Sell",J2376="NA"),(E2376*G2376*100*0.1)+I2376, IF(C2376="Sell",(J2376-L2376)*(100*G2376)+I2376))))))</f>
        <v/>
      </c>
      <c r="O2376" s="75" t="n"/>
      <c r="P2376" s="75" t="n"/>
      <c r="Q2376" s="75">
        <f>IF(ISBLANK(P2376),"",IF(D2376="Stock",P2376*G2376,IF(P2376=0,"0",G2376*P2376*100-(G2376*$AF$14))))</f>
        <v/>
      </c>
      <c r="R2376" s="79">
        <f>IF(P2376&lt;&gt;"", TODAY(), "")</f>
        <v/>
      </c>
      <c r="S2376" s="78">
        <f>IF(AND(K2376&lt;&gt;"", R2376&lt;&gt;""), R2376-K2376, "")</f>
        <v/>
      </c>
      <c r="T2376" s="78" t="n"/>
      <c r="U2376" s="92">
        <f>IF(ISBLANK(P2376),"",IF(C2376="Buy",Q2376-M2376+T2376, IF(C2376="Sell",M2376-Q2376-T2376, X)))</f>
        <v/>
      </c>
      <c r="V2376" s="81">
        <f>IF(ISBLANK(P2376),"",U2376/N2376)</f>
        <v/>
      </c>
      <c r="W2376" s="81">
        <f>IF(ISBLANK(P2376),"",IF(S2376=0,(365/0.5)*V2376,(365/S2376)*V2376))</f>
        <v/>
      </c>
      <c r="X2376" s="75" t="n"/>
      <c r="Y2376" s="77" t="n"/>
      <c r="Z2376" s="77" t="n"/>
      <c r="AA2376" s="75" t="n"/>
      <c r="AB2376" s="75" t="n"/>
      <c r="AC2376" s="6" t="n"/>
      <c r="AD2376" s="75" t="n"/>
      <c r="AE2376" s="75" t="n"/>
      <c r="AF2376" s="75" t="n"/>
    </row>
    <row r="2377" ht="15.75" customHeight="1" s="133">
      <c r="A2377" s="75" t="n"/>
      <c r="B2377" s="75" t="n"/>
      <c r="C2377" s="75" t="n"/>
      <c r="D2377" s="75" t="n"/>
      <c r="E2377" s="76" t="n"/>
      <c r="F2377" s="77" t="n"/>
      <c r="G2377" s="75" t="n"/>
      <c r="H2377" s="75">
        <f>IF(ISBLANK(E2377),"",IF(OR(D2377="Butterfly",D2377="Butterfly ",D2377="Iron Fly", D2377="Iron Fly "),LEN(E2377)-LEN(SUBSTITUTE(E2377,"/",""))+2,LEN(E2377)-LEN(SUBSTITUTE(E2377,"/",""))+1))</f>
        <v/>
      </c>
      <c r="I2377" s="78">
        <f>IF(ISBLANK(G2377),"",IF(D2377="Stock","0",Key!$A$3*H2377*G2377))</f>
        <v/>
      </c>
      <c r="J2377" s="78">
        <f>IF(ISBLANK(E2377),"",IF(ISNUMBER(SEARCH("/",E2377)), IF(LEN(E2377)-LEN(SUBSTITUTE(E2377,"/",""))=1,(RIGHT(E2377,LEN(E2377)-FIND("/",E2377)))-(LEFT(E2377,FIND("/",E2377)-1)),(MID(E2377, SEARCH("/",E2377) + 1, SEARCH("/",E2377, SEARCH("/",E2377)+1) - SEARCH("/",E2377) - 1))-(LEFT(E2377,FIND("/",E2377)-1))), "NA"))</f>
        <v/>
      </c>
      <c r="K2377" s="79">
        <f>IF(A2377&lt;&gt;"", IF(ISBLANK(L2377), TODAY(), K2377), "")</f>
        <v/>
      </c>
      <c r="L2377" s="78" t="n"/>
      <c r="M2377" s="78">
        <f>IF(ISBLANK(L2377),"",IF(D2377="Stock",IF(C2377="Buy",L2377*G2377,IF(C2377="Sell",(L2377*G2377)-I2377, X)),IF(C2377="Buy",(L2377*G2377*100)+I2377,IF(C2377="Sell",(L2377*G2377*100)-I2377, X))))</f>
        <v/>
      </c>
      <c r="N2377" s="78">
        <f>IF(ISBLANK(L2377),"",IF(AND(C2377="Sell",D2377="Stock"),M2377,IF(ISBLANK(L2377),"",IF(C2377="Buy",M2377, IF(AND(C2377="Sell",J2377="NA"),(E2377*G2377*100*0.1)+I2377, IF(C2377="Sell",(J2377-L2377)*(100*G2377)+I2377))))))</f>
        <v/>
      </c>
      <c r="O2377" s="75" t="n"/>
      <c r="P2377" s="75" t="n"/>
      <c r="Q2377" s="75">
        <f>IF(ISBLANK(P2377),"",IF(D2377="Stock",P2377*G2377,IF(P2377=0,"0",G2377*P2377*100-(G2377*$AF$14))))</f>
        <v/>
      </c>
      <c r="R2377" s="79">
        <f>IF(P2377&lt;&gt;"", TODAY(), "")</f>
        <v/>
      </c>
      <c r="S2377" s="78">
        <f>IF(AND(K2377&lt;&gt;"", R2377&lt;&gt;""), R2377-K2377, "")</f>
        <v/>
      </c>
      <c r="T2377" s="78" t="n"/>
      <c r="U2377" s="92">
        <f>IF(ISBLANK(P2377),"",IF(C2377="Buy",Q2377-M2377+T2377, IF(C2377="Sell",M2377-Q2377-T2377, X)))</f>
        <v/>
      </c>
      <c r="V2377" s="81">
        <f>IF(ISBLANK(P2377),"",U2377/N2377)</f>
        <v/>
      </c>
      <c r="W2377" s="81">
        <f>IF(ISBLANK(P2377),"",IF(S2377=0,(365/0.5)*V2377,(365/S2377)*V2377))</f>
        <v/>
      </c>
      <c r="X2377" s="75" t="n"/>
      <c r="Y2377" s="77" t="n"/>
      <c r="Z2377" s="77" t="n"/>
      <c r="AA2377" s="75" t="n"/>
      <c r="AB2377" s="75" t="n"/>
      <c r="AC2377" s="6" t="n"/>
      <c r="AD2377" s="75" t="n"/>
      <c r="AE2377" s="75" t="n"/>
      <c r="AF2377" s="75" t="n"/>
    </row>
    <row r="2378" ht="15.75" customHeight="1" s="133">
      <c r="A2378" s="75" t="n"/>
      <c r="B2378" s="75" t="n"/>
      <c r="C2378" s="75" t="n"/>
      <c r="D2378" s="75" t="n"/>
      <c r="E2378" s="76" t="n"/>
      <c r="F2378" s="77" t="n"/>
      <c r="G2378" s="75" t="n"/>
      <c r="H2378" s="75">
        <f>IF(ISBLANK(E2378),"",IF(OR(D2378="Butterfly",D2378="Butterfly ",D2378="Iron Fly", D2378="Iron Fly "),LEN(E2378)-LEN(SUBSTITUTE(E2378,"/",""))+2,LEN(E2378)-LEN(SUBSTITUTE(E2378,"/",""))+1))</f>
        <v/>
      </c>
      <c r="I2378" s="78">
        <f>IF(ISBLANK(G2378),"",IF(D2378="Stock","0",Key!$A$3*H2378*G2378))</f>
        <v/>
      </c>
      <c r="J2378" s="78">
        <f>IF(ISBLANK(E2378),"",IF(ISNUMBER(SEARCH("/",E2378)), IF(LEN(E2378)-LEN(SUBSTITUTE(E2378,"/",""))=1,(RIGHT(E2378,LEN(E2378)-FIND("/",E2378)))-(LEFT(E2378,FIND("/",E2378)-1)),(MID(E2378, SEARCH("/",E2378) + 1, SEARCH("/",E2378, SEARCH("/",E2378)+1) - SEARCH("/",E2378) - 1))-(LEFT(E2378,FIND("/",E2378)-1))), "NA"))</f>
        <v/>
      </c>
      <c r="K2378" s="79">
        <f>IF(A2378&lt;&gt;"", IF(ISBLANK(L2378), TODAY(), K2378), "")</f>
        <v/>
      </c>
      <c r="L2378" s="78" t="n"/>
      <c r="M2378" s="78">
        <f>IF(ISBLANK(L2378),"",IF(D2378="Stock",IF(C2378="Buy",L2378*G2378,IF(C2378="Sell",(L2378*G2378)-I2378, X)),IF(C2378="Buy",(L2378*G2378*100)+I2378,IF(C2378="Sell",(L2378*G2378*100)-I2378, X))))</f>
        <v/>
      </c>
      <c r="N2378" s="78">
        <f>IF(ISBLANK(L2378),"",IF(AND(C2378="Sell",D2378="Stock"),M2378,IF(ISBLANK(L2378),"",IF(C2378="Buy",M2378, IF(AND(C2378="Sell",J2378="NA"),(E2378*G2378*100*0.1)+I2378, IF(C2378="Sell",(J2378-L2378)*(100*G2378)+I2378))))))</f>
        <v/>
      </c>
      <c r="O2378" s="75" t="n"/>
      <c r="P2378" s="75" t="n"/>
      <c r="Q2378" s="75">
        <f>IF(ISBLANK(P2378),"",IF(D2378="Stock",P2378*G2378,IF(P2378=0,"0",G2378*P2378*100-(G2378*$AF$14))))</f>
        <v/>
      </c>
      <c r="R2378" s="79">
        <f>IF(P2378&lt;&gt;"", TODAY(), "")</f>
        <v/>
      </c>
      <c r="S2378" s="78">
        <f>IF(AND(K2378&lt;&gt;"", R2378&lt;&gt;""), R2378-K2378, "")</f>
        <v/>
      </c>
      <c r="T2378" s="78" t="n"/>
      <c r="U2378" s="92">
        <f>IF(ISBLANK(P2378),"",IF(C2378="Buy",Q2378-M2378+T2378, IF(C2378="Sell",M2378-Q2378-T2378, X)))</f>
        <v/>
      </c>
      <c r="V2378" s="81">
        <f>IF(ISBLANK(P2378),"",U2378/N2378)</f>
        <v/>
      </c>
      <c r="W2378" s="81">
        <f>IF(ISBLANK(P2378),"",IF(S2378=0,(365/0.5)*V2378,(365/S2378)*V2378))</f>
        <v/>
      </c>
      <c r="X2378" s="75" t="n"/>
      <c r="Y2378" s="77" t="n"/>
      <c r="Z2378" s="77" t="n"/>
      <c r="AA2378" s="75" t="n"/>
      <c r="AB2378" s="75" t="n"/>
      <c r="AC2378" s="6" t="n"/>
      <c r="AD2378" s="75" t="n"/>
      <c r="AE2378" s="75" t="n"/>
      <c r="AF2378" s="75" t="n"/>
    </row>
    <row r="2379" ht="15.75" customHeight="1" s="133">
      <c r="A2379" s="75" t="n"/>
      <c r="B2379" s="75" t="n"/>
      <c r="C2379" s="75" t="n"/>
      <c r="D2379" s="75" t="n"/>
      <c r="E2379" s="76" t="n"/>
      <c r="F2379" s="77" t="n"/>
      <c r="G2379" s="75" t="n"/>
      <c r="H2379" s="75">
        <f>IF(ISBLANK(E2379),"",IF(OR(D2379="Butterfly",D2379="Butterfly ",D2379="Iron Fly", D2379="Iron Fly "),LEN(E2379)-LEN(SUBSTITUTE(E2379,"/",""))+2,LEN(E2379)-LEN(SUBSTITUTE(E2379,"/",""))+1))</f>
        <v/>
      </c>
      <c r="I2379" s="78">
        <f>IF(ISBLANK(G2379),"",IF(D2379="Stock","0",Key!$A$3*H2379*G2379))</f>
        <v/>
      </c>
      <c r="J2379" s="78">
        <f>IF(ISBLANK(E2379),"",IF(ISNUMBER(SEARCH("/",E2379)), IF(LEN(E2379)-LEN(SUBSTITUTE(E2379,"/",""))=1,(RIGHT(E2379,LEN(E2379)-FIND("/",E2379)))-(LEFT(E2379,FIND("/",E2379)-1)),(MID(E2379, SEARCH("/",E2379) + 1, SEARCH("/",E2379, SEARCH("/",E2379)+1) - SEARCH("/",E2379) - 1))-(LEFT(E2379,FIND("/",E2379)-1))), "NA"))</f>
        <v/>
      </c>
      <c r="K2379" s="79">
        <f>IF(A2379&lt;&gt;"", IF(ISBLANK(L2379), TODAY(), K2379), "")</f>
        <v/>
      </c>
      <c r="L2379" s="78" t="n"/>
      <c r="M2379" s="78">
        <f>IF(ISBLANK(L2379),"",IF(D2379="Stock",IF(C2379="Buy",L2379*G2379,IF(C2379="Sell",(L2379*G2379)-I2379, X)),IF(C2379="Buy",(L2379*G2379*100)+I2379,IF(C2379="Sell",(L2379*G2379*100)-I2379, X))))</f>
        <v/>
      </c>
      <c r="N2379" s="78">
        <f>IF(ISBLANK(L2379),"",IF(AND(C2379="Sell",D2379="Stock"),M2379,IF(ISBLANK(L2379),"",IF(C2379="Buy",M2379, IF(AND(C2379="Sell",J2379="NA"),(E2379*G2379*100*0.1)+I2379, IF(C2379="Sell",(J2379-L2379)*(100*G2379)+I2379))))))</f>
        <v/>
      </c>
      <c r="O2379" s="75" t="n"/>
      <c r="P2379" s="75" t="n"/>
      <c r="Q2379" s="75">
        <f>IF(ISBLANK(P2379),"",IF(D2379="Stock",P2379*G2379,IF(P2379=0,"0",G2379*P2379*100-(G2379*$AF$14))))</f>
        <v/>
      </c>
      <c r="R2379" s="79">
        <f>IF(P2379&lt;&gt;"", TODAY(), "")</f>
        <v/>
      </c>
      <c r="S2379" s="78">
        <f>IF(AND(K2379&lt;&gt;"", R2379&lt;&gt;""), R2379-K2379, "")</f>
        <v/>
      </c>
      <c r="T2379" s="78" t="n"/>
      <c r="U2379" s="92">
        <f>IF(ISBLANK(P2379),"",IF(C2379="Buy",Q2379-M2379+T2379, IF(C2379="Sell",M2379-Q2379-T2379, X)))</f>
        <v/>
      </c>
      <c r="V2379" s="81">
        <f>IF(ISBLANK(P2379),"",U2379/N2379)</f>
        <v/>
      </c>
      <c r="W2379" s="81">
        <f>IF(ISBLANK(P2379),"",IF(S2379=0,(365/0.5)*V2379,(365/S2379)*V2379))</f>
        <v/>
      </c>
      <c r="X2379" s="75" t="n"/>
      <c r="Y2379" s="77" t="n"/>
      <c r="Z2379" s="77" t="n"/>
      <c r="AA2379" s="75" t="n"/>
      <c r="AB2379" s="75" t="n"/>
      <c r="AC2379" s="6" t="n"/>
      <c r="AD2379" s="75" t="n"/>
      <c r="AE2379" s="75" t="n"/>
      <c r="AF2379" s="75" t="n"/>
    </row>
    <row r="2380" ht="15.75" customHeight="1" s="133">
      <c r="A2380" s="75" t="n"/>
      <c r="B2380" s="75" t="n"/>
      <c r="C2380" s="75" t="n"/>
      <c r="D2380" s="75" t="n"/>
      <c r="E2380" s="76" t="n"/>
      <c r="F2380" s="77" t="n"/>
      <c r="G2380" s="75" t="n"/>
      <c r="H2380" s="75">
        <f>IF(ISBLANK(E2380),"",IF(OR(D2380="Butterfly",D2380="Butterfly ",D2380="Iron Fly", D2380="Iron Fly "),LEN(E2380)-LEN(SUBSTITUTE(E2380,"/",""))+2,LEN(E2380)-LEN(SUBSTITUTE(E2380,"/",""))+1))</f>
        <v/>
      </c>
      <c r="I2380" s="78">
        <f>IF(ISBLANK(G2380),"",IF(D2380="Stock","0",Key!$A$3*H2380*G2380))</f>
        <v/>
      </c>
      <c r="J2380" s="78">
        <f>IF(ISBLANK(E2380),"",IF(ISNUMBER(SEARCH("/",E2380)), IF(LEN(E2380)-LEN(SUBSTITUTE(E2380,"/",""))=1,(RIGHT(E2380,LEN(E2380)-FIND("/",E2380)))-(LEFT(E2380,FIND("/",E2380)-1)),(MID(E2380, SEARCH("/",E2380) + 1, SEARCH("/",E2380, SEARCH("/",E2380)+1) - SEARCH("/",E2380) - 1))-(LEFT(E2380,FIND("/",E2380)-1))), "NA"))</f>
        <v/>
      </c>
      <c r="K2380" s="79">
        <f>IF(A2380&lt;&gt;"", IF(ISBLANK(L2380), TODAY(), K2380), "")</f>
        <v/>
      </c>
      <c r="L2380" s="78" t="n"/>
      <c r="M2380" s="78">
        <f>IF(ISBLANK(L2380),"",IF(D2380="Stock",IF(C2380="Buy",L2380*G2380,IF(C2380="Sell",(L2380*G2380)-I2380, X)),IF(C2380="Buy",(L2380*G2380*100)+I2380,IF(C2380="Sell",(L2380*G2380*100)-I2380, X))))</f>
        <v/>
      </c>
      <c r="N2380" s="78">
        <f>IF(ISBLANK(L2380),"",IF(AND(C2380="Sell",D2380="Stock"),M2380,IF(ISBLANK(L2380),"",IF(C2380="Buy",M2380, IF(AND(C2380="Sell",J2380="NA"),(E2380*G2380*100*0.1)+I2380, IF(C2380="Sell",(J2380-L2380)*(100*G2380)+I2380))))))</f>
        <v/>
      </c>
      <c r="O2380" s="75" t="n"/>
      <c r="P2380" s="75" t="n"/>
      <c r="Q2380" s="75">
        <f>IF(ISBLANK(P2380),"",IF(D2380="Stock",P2380*G2380,IF(P2380=0,"0",G2380*P2380*100-(G2380*$AF$14))))</f>
        <v/>
      </c>
      <c r="R2380" s="79">
        <f>IF(P2380&lt;&gt;"", TODAY(), "")</f>
        <v/>
      </c>
      <c r="S2380" s="78">
        <f>IF(AND(K2380&lt;&gt;"", R2380&lt;&gt;""), R2380-K2380, "")</f>
        <v/>
      </c>
      <c r="T2380" s="78" t="n"/>
      <c r="U2380" s="92">
        <f>IF(ISBLANK(P2380),"",IF(C2380="Buy",Q2380-M2380+T2380, IF(C2380="Sell",M2380-Q2380-T2380, X)))</f>
        <v/>
      </c>
      <c r="V2380" s="81">
        <f>IF(ISBLANK(P2380),"",U2380/N2380)</f>
        <v/>
      </c>
      <c r="W2380" s="81">
        <f>IF(ISBLANK(P2380),"",IF(S2380=0,(365/0.5)*V2380,(365/S2380)*V2380))</f>
        <v/>
      </c>
      <c r="X2380" s="75" t="n"/>
      <c r="Y2380" s="77" t="n"/>
      <c r="Z2380" s="77" t="n"/>
      <c r="AA2380" s="75" t="n"/>
      <c r="AB2380" s="75" t="n"/>
      <c r="AC2380" s="6" t="n"/>
      <c r="AD2380" s="75" t="n"/>
      <c r="AE2380" s="75" t="n"/>
      <c r="AF2380" s="75" t="n"/>
    </row>
    <row r="2381" ht="15.75" customHeight="1" s="133">
      <c r="A2381" s="75" t="n"/>
      <c r="B2381" s="75" t="n"/>
      <c r="C2381" s="75" t="n"/>
      <c r="D2381" s="75" t="n"/>
      <c r="E2381" s="76" t="n"/>
      <c r="F2381" s="77" t="n"/>
      <c r="G2381" s="75" t="n"/>
      <c r="H2381" s="75">
        <f>IF(ISBLANK(E2381),"",IF(OR(D2381="Butterfly",D2381="Butterfly ",D2381="Iron Fly", D2381="Iron Fly "),LEN(E2381)-LEN(SUBSTITUTE(E2381,"/",""))+2,LEN(E2381)-LEN(SUBSTITUTE(E2381,"/",""))+1))</f>
        <v/>
      </c>
      <c r="I2381" s="78">
        <f>IF(ISBLANK(G2381),"",IF(D2381="Stock","0",Key!$A$3*H2381*G2381))</f>
        <v/>
      </c>
      <c r="J2381" s="78">
        <f>IF(ISBLANK(E2381),"",IF(ISNUMBER(SEARCH("/",E2381)), IF(LEN(E2381)-LEN(SUBSTITUTE(E2381,"/",""))=1,(RIGHT(E2381,LEN(E2381)-FIND("/",E2381)))-(LEFT(E2381,FIND("/",E2381)-1)),(MID(E2381, SEARCH("/",E2381) + 1, SEARCH("/",E2381, SEARCH("/",E2381)+1) - SEARCH("/",E2381) - 1))-(LEFT(E2381,FIND("/",E2381)-1))), "NA"))</f>
        <v/>
      </c>
      <c r="K2381" s="79">
        <f>IF(A2381&lt;&gt;"", IF(ISBLANK(L2381), TODAY(), K2381), "")</f>
        <v/>
      </c>
      <c r="L2381" s="78" t="n"/>
      <c r="M2381" s="78">
        <f>IF(ISBLANK(L2381),"",IF(D2381="Stock",IF(C2381="Buy",L2381*G2381,IF(C2381="Sell",(L2381*G2381)-I2381, X)),IF(C2381="Buy",(L2381*G2381*100)+I2381,IF(C2381="Sell",(L2381*G2381*100)-I2381, X))))</f>
        <v/>
      </c>
      <c r="N2381" s="78">
        <f>IF(ISBLANK(L2381),"",IF(AND(C2381="Sell",D2381="Stock"),M2381,IF(ISBLANK(L2381),"",IF(C2381="Buy",M2381, IF(AND(C2381="Sell",J2381="NA"),(E2381*G2381*100*0.1)+I2381, IF(C2381="Sell",(J2381-L2381)*(100*G2381)+I2381))))))</f>
        <v/>
      </c>
      <c r="O2381" s="75" t="n"/>
      <c r="P2381" s="75" t="n"/>
      <c r="Q2381" s="75">
        <f>IF(ISBLANK(P2381),"",IF(D2381="Stock",P2381*G2381,IF(P2381=0,"0",G2381*P2381*100-(G2381*$AF$14))))</f>
        <v/>
      </c>
      <c r="R2381" s="79">
        <f>IF(P2381&lt;&gt;"", TODAY(), "")</f>
        <v/>
      </c>
      <c r="S2381" s="78">
        <f>IF(AND(K2381&lt;&gt;"", R2381&lt;&gt;""), R2381-K2381, "")</f>
        <v/>
      </c>
      <c r="T2381" s="78" t="n"/>
      <c r="U2381" s="92">
        <f>IF(ISBLANK(P2381),"",IF(C2381="Buy",Q2381-M2381+T2381, IF(C2381="Sell",M2381-Q2381-T2381, X)))</f>
        <v/>
      </c>
      <c r="V2381" s="81">
        <f>IF(ISBLANK(P2381),"",U2381/N2381)</f>
        <v/>
      </c>
      <c r="W2381" s="81">
        <f>IF(ISBLANK(P2381),"",IF(S2381=0,(365/0.5)*V2381,(365/S2381)*V2381))</f>
        <v/>
      </c>
      <c r="X2381" s="75" t="n"/>
      <c r="Y2381" s="77" t="n"/>
      <c r="Z2381" s="77" t="n"/>
      <c r="AA2381" s="75" t="n"/>
      <c r="AB2381" s="75" t="n"/>
      <c r="AC2381" s="6" t="n"/>
      <c r="AD2381" s="75" t="n"/>
      <c r="AE2381" s="75" t="n"/>
      <c r="AF2381" s="75" t="n"/>
    </row>
    <row r="2382" ht="15.75" customHeight="1" s="133">
      <c r="A2382" s="75" t="n"/>
      <c r="B2382" s="75" t="n"/>
      <c r="C2382" s="75" t="n"/>
      <c r="D2382" s="75" t="n"/>
      <c r="E2382" s="76" t="n"/>
      <c r="F2382" s="77" t="n"/>
      <c r="G2382" s="75" t="n"/>
      <c r="H2382" s="75">
        <f>IF(ISBLANK(E2382),"",IF(OR(D2382="Butterfly",D2382="Butterfly ",D2382="Iron Fly", D2382="Iron Fly "),LEN(E2382)-LEN(SUBSTITUTE(E2382,"/",""))+2,LEN(E2382)-LEN(SUBSTITUTE(E2382,"/",""))+1))</f>
        <v/>
      </c>
      <c r="I2382" s="78">
        <f>IF(ISBLANK(G2382),"",IF(D2382="Stock","0",Key!$A$3*H2382*G2382))</f>
        <v/>
      </c>
      <c r="J2382" s="78">
        <f>IF(ISBLANK(E2382),"",IF(ISNUMBER(SEARCH("/",E2382)), IF(LEN(E2382)-LEN(SUBSTITUTE(E2382,"/",""))=1,(RIGHT(E2382,LEN(E2382)-FIND("/",E2382)))-(LEFT(E2382,FIND("/",E2382)-1)),(MID(E2382, SEARCH("/",E2382) + 1, SEARCH("/",E2382, SEARCH("/",E2382)+1) - SEARCH("/",E2382) - 1))-(LEFT(E2382,FIND("/",E2382)-1))), "NA"))</f>
        <v/>
      </c>
      <c r="K2382" s="79">
        <f>IF(A2382&lt;&gt;"", IF(ISBLANK(L2382), TODAY(), K2382), "")</f>
        <v/>
      </c>
      <c r="L2382" s="78" t="n"/>
      <c r="M2382" s="78">
        <f>IF(ISBLANK(L2382),"",IF(D2382="Stock",IF(C2382="Buy",L2382*G2382,IF(C2382="Sell",(L2382*G2382)-I2382, X)),IF(C2382="Buy",(L2382*G2382*100)+I2382,IF(C2382="Sell",(L2382*G2382*100)-I2382, X))))</f>
        <v/>
      </c>
      <c r="N2382" s="78">
        <f>IF(ISBLANK(L2382),"",IF(AND(C2382="Sell",D2382="Stock"),M2382,IF(ISBLANK(L2382),"",IF(C2382="Buy",M2382, IF(AND(C2382="Sell",J2382="NA"),(E2382*G2382*100*0.1)+I2382, IF(C2382="Sell",(J2382-L2382)*(100*G2382)+I2382))))))</f>
        <v/>
      </c>
      <c r="O2382" s="75" t="n"/>
      <c r="P2382" s="75" t="n"/>
      <c r="Q2382" s="75">
        <f>IF(ISBLANK(P2382),"",IF(D2382="Stock",P2382*G2382,IF(P2382=0,"0",G2382*P2382*100-(G2382*$AF$14))))</f>
        <v/>
      </c>
      <c r="R2382" s="79">
        <f>IF(P2382&lt;&gt;"", TODAY(), "")</f>
        <v/>
      </c>
      <c r="S2382" s="78">
        <f>IF(AND(K2382&lt;&gt;"", R2382&lt;&gt;""), R2382-K2382, "")</f>
        <v/>
      </c>
      <c r="T2382" s="78" t="n"/>
      <c r="U2382" s="92">
        <f>IF(ISBLANK(P2382),"",IF(C2382="Buy",Q2382-M2382+T2382, IF(C2382="Sell",M2382-Q2382-T2382, X)))</f>
        <v/>
      </c>
      <c r="V2382" s="81">
        <f>IF(ISBLANK(P2382),"",U2382/N2382)</f>
        <v/>
      </c>
      <c r="W2382" s="81">
        <f>IF(ISBLANK(P2382),"",IF(S2382=0,(365/0.5)*V2382,(365/S2382)*V2382))</f>
        <v/>
      </c>
      <c r="X2382" s="75" t="n"/>
      <c r="Y2382" s="77" t="n"/>
      <c r="Z2382" s="77" t="n"/>
      <c r="AA2382" s="75" t="n"/>
      <c r="AB2382" s="75" t="n"/>
      <c r="AC2382" s="6" t="n"/>
      <c r="AD2382" s="75" t="n"/>
      <c r="AE2382" s="75" t="n"/>
      <c r="AF2382" s="75" t="n"/>
    </row>
    <row r="2383" ht="15.75" customHeight="1" s="133">
      <c r="A2383" s="75" t="n"/>
      <c r="B2383" s="75" t="n"/>
      <c r="C2383" s="75" t="n"/>
      <c r="D2383" s="75" t="n"/>
      <c r="E2383" s="76" t="n"/>
      <c r="F2383" s="77" t="n"/>
      <c r="G2383" s="75" t="n"/>
      <c r="H2383" s="75">
        <f>IF(ISBLANK(E2383),"",IF(OR(D2383="Butterfly",D2383="Butterfly ",D2383="Iron Fly", D2383="Iron Fly "),LEN(E2383)-LEN(SUBSTITUTE(E2383,"/",""))+2,LEN(E2383)-LEN(SUBSTITUTE(E2383,"/",""))+1))</f>
        <v/>
      </c>
      <c r="I2383" s="78">
        <f>IF(ISBLANK(G2383),"",IF(D2383="Stock","0",Key!$A$3*H2383*G2383))</f>
        <v/>
      </c>
      <c r="J2383" s="78">
        <f>IF(ISBLANK(E2383),"",IF(ISNUMBER(SEARCH("/",E2383)), IF(LEN(E2383)-LEN(SUBSTITUTE(E2383,"/",""))=1,(RIGHT(E2383,LEN(E2383)-FIND("/",E2383)))-(LEFT(E2383,FIND("/",E2383)-1)),(MID(E2383, SEARCH("/",E2383) + 1, SEARCH("/",E2383, SEARCH("/",E2383)+1) - SEARCH("/",E2383) - 1))-(LEFT(E2383,FIND("/",E2383)-1))), "NA"))</f>
        <v/>
      </c>
      <c r="K2383" s="79">
        <f>IF(A2383&lt;&gt;"", IF(ISBLANK(L2383), TODAY(), K2383), "")</f>
        <v/>
      </c>
      <c r="L2383" s="78" t="n"/>
      <c r="M2383" s="78">
        <f>IF(ISBLANK(L2383),"",IF(D2383="Stock",IF(C2383="Buy",L2383*G2383,IF(C2383="Sell",(L2383*G2383)-I2383, X)),IF(C2383="Buy",(L2383*G2383*100)+I2383,IF(C2383="Sell",(L2383*G2383*100)-I2383, X))))</f>
        <v/>
      </c>
      <c r="N2383" s="78">
        <f>IF(ISBLANK(L2383),"",IF(AND(C2383="Sell",D2383="Stock"),M2383,IF(ISBLANK(L2383),"",IF(C2383="Buy",M2383, IF(AND(C2383="Sell",J2383="NA"),(E2383*G2383*100*0.1)+I2383, IF(C2383="Sell",(J2383-L2383)*(100*G2383)+I2383))))))</f>
        <v/>
      </c>
      <c r="O2383" s="75" t="n"/>
      <c r="P2383" s="75" t="n"/>
      <c r="Q2383" s="75">
        <f>IF(ISBLANK(P2383),"",IF(D2383="Stock",P2383*G2383,IF(P2383=0,"0",G2383*P2383*100-(G2383*$AF$14))))</f>
        <v/>
      </c>
      <c r="R2383" s="79">
        <f>IF(P2383&lt;&gt;"", TODAY(), "")</f>
        <v/>
      </c>
      <c r="S2383" s="78">
        <f>IF(AND(K2383&lt;&gt;"", R2383&lt;&gt;""), R2383-K2383, "")</f>
        <v/>
      </c>
      <c r="T2383" s="78" t="n"/>
      <c r="U2383" s="92">
        <f>IF(ISBLANK(P2383),"",IF(C2383="Buy",Q2383-M2383+T2383, IF(C2383="Sell",M2383-Q2383-T2383, X)))</f>
        <v/>
      </c>
      <c r="V2383" s="81">
        <f>IF(ISBLANK(P2383),"",U2383/N2383)</f>
        <v/>
      </c>
      <c r="W2383" s="81">
        <f>IF(ISBLANK(P2383),"",IF(S2383=0,(365/0.5)*V2383,(365/S2383)*V2383))</f>
        <v/>
      </c>
      <c r="X2383" s="75" t="n"/>
      <c r="Y2383" s="77" t="n"/>
      <c r="Z2383" s="77" t="n"/>
      <c r="AA2383" s="75" t="n"/>
      <c r="AB2383" s="75" t="n"/>
      <c r="AC2383" s="6" t="n"/>
      <c r="AD2383" s="75" t="n"/>
      <c r="AE2383" s="75" t="n"/>
      <c r="AF2383" s="75" t="n"/>
    </row>
    <row r="2384" ht="15.75" customHeight="1" s="133">
      <c r="A2384" s="75" t="n"/>
      <c r="B2384" s="75" t="n"/>
      <c r="C2384" s="75" t="n"/>
      <c r="D2384" s="75" t="n"/>
      <c r="E2384" s="76" t="n"/>
      <c r="F2384" s="77" t="n"/>
      <c r="G2384" s="75" t="n"/>
      <c r="H2384" s="75">
        <f>IF(ISBLANK(E2384),"",IF(OR(D2384="Butterfly",D2384="Butterfly ",D2384="Iron Fly", D2384="Iron Fly "),LEN(E2384)-LEN(SUBSTITUTE(E2384,"/",""))+2,LEN(E2384)-LEN(SUBSTITUTE(E2384,"/",""))+1))</f>
        <v/>
      </c>
      <c r="I2384" s="78">
        <f>IF(ISBLANK(G2384),"",IF(D2384="Stock","0",Key!$A$3*H2384*G2384))</f>
        <v/>
      </c>
      <c r="J2384" s="78">
        <f>IF(ISBLANK(E2384),"",IF(ISNUMBER(SEARCH("/",E2384)), IF(LEN(E2384)-LEN(SUBSTITUTE(E2384,"/",""))=1,(RIGHT(E2384,LEN(E2384)-FIND("/",E2384)))-(LEFT(E2384,FIND("/",E2384)-1)),(MID(E2384, SEARCH("/",E2384) + 1, SEARCH("/",E2384, SEARCH("/",E2384)+1) - SEARCH("/",E2384) - 1))-(LEFT(E2384,FIND("/",E2384)-1))), "NA"))</f>
        <v/>
      </c>
      <c r="K2384" s="79">
        <f>IF(A2384&lt;&gt;"", IF(ISBLANK(L2384), TODAY(), K2384), "")</f>
        <v/>
      </c>
      <c r="L2384" s="78" t="n"/>
      <c r="M2384" s="78">
        <f>IF(ISBLANK(L2384),"",IF(D2384="Stock",IF(C2384="Buy",L2384*G2384,IF(C2384="Sell",(L2384*G2384)-I2384, X)),IF(C2384="Buy",(L2384*G2384*100)+I2384,IF(C2384="Sell",(L2384*G2384*100)-I2384, X))))</f>
        <v/>
      </c>
      <c r="N2384" s="78">
        <f>IF(ISBLANK(L2384),"",IF(AND(C2384="Sell",D2384="Stock"),M2384,IF(ISBLANK(L2384),"",IF(C2384="Buy",M2384, IF(AND(C2384="Sell",J2384="NA"),(E2384*G2384*100*0.1)+I2384, IF(C2384="Sell",(J2384-L2384)*(100*G2384)+I2384))))))</f>
        <v/>
      </c>
      <c r="O2384" s="75" t="n"/>
      <c r="P2384" s="75" t="n"/>
      <c r="Q2384" s="75">
        <f>IF(ISBLANK(P2384),"",IF(D2384="Stock",P2384*G2384,IF(P2384=0,"0",G2384*P2384*100-(G2384*$AF$14))))</f>
        <v/>
      </c>
      <c r="R2384" s="79">
        <f>IF(P2384&lt;&gt;"", TODAY(), "")</f>
        <v/>
      </c>
      <c r="S2384" s="78">
        <f>IF(AND(K2384&lt;&gt;"", R2384&lt;&gt;""), R2384-K2384, "")</f>
        <v/>
      </c>
      <c r="T2384" s="78" t="n"/>
      <c r="U2384" s="92">
        <f>IF(ISBLANK(P2384),"",IF(C2384="Buy",Q2384-M2384+T2384, IF(C2384="Sell",M2384-Q2384-T2384, X)))</f>
        <v/>
      </c>
      <c r="V2384" s="81">
        <f>IF(ISBLANK(P2384),"",U2384/N2384)</f>
        <v/>
      </c>
      <c r="W2384" s="81">
        <f>IF(ISBLANK(P2384),"",IF(S2384=0,(365/0.5)*V2384,(365/S2384)*V2384))</f>
        <v/>
      </c>
      <c r="X2384" s="75" t="n"/>
      <c r="Y2384" s="77" t="n"/>
      <c r="Z2384" s="77" t="n"/>
      <c r="AA2384" s="75" t="n"/>
      <c r="AB2384" s="75" t="n"/>
      <c r="AC2384" s="6" t="n"/>
      <c r="AD2384" s="75" t="n"/>
      <c r="AE2384" s="75" t="n"/>
      <c r="AF2384" s="75" t="n"/>
    </row>
    <row r="2385" ht="15.75" customHeight="1" s="133">
      <c r="A2385" s="75" t="n"/>
      <c r="B2385" s="75" t="n"/>
      <c r="C2385" s="75" t="n"/>
      <c r="D2385" s="75" t="n"/>
      <c r="E2385" s="76" t="n"/>
      <c r="F2385" s="77" t="n"/>
      <c r="G2385" s="75" t="n"/>
      <c r="H2385" s="75">
        <f>IF(ISBLANK(E2385),"",IF(OR(D2385="Butterfly",D2385="Butterfly ",D2385="Iron Fly", D2385="Iron Fly "),LEN(E2385)-LEN(SUBSTITUTE(E2385,"/",""))+2,LEN(E2385)-LEN(SUBSTITUTE(E2385,"/",""))+1))</f>
        <v/>
      </c>
      <c r="I2385" s="78">
        <f>IF(ISBLANK(G2385),"",IF(D2385="Stock","0",Key!$A$3*H2385*G2385))</f>
        <v/>
      </c>
      <c r="J2385" s="78">
        <f>IF(ISBLANK(E2385),"",IF(ISNUMBER(SEARCH("/",E2385)), IF(LEN(E2385)-LEN(SUBSTITUTE(E2385,"/",""))=1,(RIGHT(E2385,LEN(E2385)-FIND("/",E2385)))-(LEFT(E2385,FIND("/",E2385)-1)),(MID(E2385, SEARCH("/",E2385) + 1, SEARCH("/",E2385, SEARCH("/",E2385)+1) - SEARCH("/",E2385) - 1))-(LEFT(E2385,FIND("/",E2385)-1))), "NA"))</f>
        <v/>
      </c>
      <c r="K2385" s="79">
        <f>IF(A2385&lt;&gt;"", IF(ISBLANK(L2385), TODAY(), K2385), "")</f>
        <v/>
      </c>
      <c r="L2385" s="78" t="n"/>
      <c r="M2385" s="78">
        <f>IF(ISBLANK(L2385),"",IF(D2385="Stock",IF(C2385="Buy",L2385*G2385,IF(C2385="Sell",(L2385*G2385)-I2385, X)),IF(C2385="Buy",(L2385*G2385*100)+I2385,IF(C2385="Sell",(L2385*G2385*100)-I2385, X))))</f>
        <v/>
      </c>
      <c r="N2385" s="78">
        <f>IF(ISBLANK(L2385),"",IF(AND(C2385="Sell",D2385="Stock"),M2385,IF(ISBLANK(L2385),"",IF(C2385="Buy",M2385, IF(AND(C2385="Sell",J2385="NA"),(E2385*G2385*100*0.1)+I2385, IF(C2385="Sell",(J2385-L2385)*(100*G2385)+I2385))))))</f>
        <v/>
      </c>
      <c r="O2385" s="75" t="n"/>
      <c r="P2385" s="75" t="n"/>
      <c r="Q2385" s="75">
        <f>IF(ISBLANK(P2385),"",IF(D2385="Stock",P2385*G2385,IF(P2385=0,"0",G2385*P2385*100-(G2385*$AF$14))))</f>
        <v/>
      </c>
      <c r="R2385" s="79">
        <f>IF(P2385&lt;&gt;"", TODAY(), "")</f>
        <v/>
      </c>
      <c r="S2385" s="78">
        <f>IF(AND(K2385&lt;&gt;"", R2385&lt;&gt;""), R2385-K2385, "")</f>
        <v/>
      </c>
      <c r="T2385" s="78" t="n"/>
      <c r="U2385" s="92">
        <f>IF(ISBLANK(P2385),"",IF(C2385="Buy",Q2385-M2385+T2385, IF(C2385="Sell",M2385-Q2385-T2385, X)))</f>
        <v/>
      </c>
      <c r="V2385" s="81">
        <f>IF(ISBLANK(P2385),"",U2385/N2385)</f>
        <v/>
      </c>
      <c r="W2385" s="81">
        <f>IF(ISBLANK(P2385),"",IF(S2385=0,(365/0.5)*V2385,(365/S2385)*V2385))</f>
        <v/>
      </c>
      <c r="X2385" s="75" t="n"/>
      <c r="Y2385" s="77" t="n"/>
      <c r="Z2385" s="77" t="n"/>
      <c r="AA2385" s="75" t="n"/>
      <c r="AB2385" s="75" t="n"/>
      <c r="AC2385" s="6" t="n"/>
      <c r="AD2385" s="75" t="n"/>
      <c r="AE2385" s="75" t="n"/>
      <c r="AF2385" s="75" t="n"/>
    </row>
    <row r="2386" ht="15.75" customHeight="1" s="133">
      <c r="A2386" s="75" t="n"/>
      <c r="B2386" s="75" t="n"/>
      <c r="C2386" s="75" t="n"/>
      <c r="D2386" s="75" t="n"/>
      <c r="E2386" s="76" t="n"/>
      <c r="F2386" s="77" t="n"/>
      <c r="G2386" s="75" t="n"/>
      <c r="H2386" s="75">
        <f>IF(ISBLANK(E2386),"",IF(OR(D2386="Butterfly",D2386="Butterfly ",D2386="Iron Fly", D2386="Iron Fly "),LEN(E2386)-LEN(SUBSTITUTE(E2386,"/",""))+2,LEN(E2386)-LEN(SUBSTITUTE(E2386,"/",""))+1))</f>
        <v/>
      </c>
      <c r="I2386" s="78">
        <f>IF(ISBLANK(G2386),"",IF(D2386="Stock","0",Key!$A$3*H2386*G2386))</f>
        <v/>
      </c>
      <c r="J2386" s="78">
        <f>IF(ISBLANK(E2386),"",IF(ISNUMBER(SEARCH("/",E2386)), IF(LEN(E2386)-LEN(SUBSTITUTE(E2386,"/",""))=1,(RIGHT(E2386,LEN(E2386)-FIND("/",E2386)))-(LEFT(E2386,FIND("/",E2386)-1)),(MID(E2386, SEARCH("/",E2386) + 1, SEARCH("/",E2386, SEARCH("/",E2386)+1) - SEARCH("/",E2386) - 1))-(LEFT(E2386,FIND("/",E2386)-1))), "NA"))</f>
        <v/>
      </c>
      <c r="K2386" s="79">
        <f>IF(A2386&lt;&gt;"", IF(ISBLANK(L2386), TODAY(), K2386), "")</f>
        <v/>
      </c>
      <c r="L2386" s="78" t="n"/>
      <c r="M2386" s="78">
        <f>IF(ISBLANK(L2386),"",IF(D2386="Stock",IF(C2386="Buy",L2386*G2386,IF(C2386="Sell",(L2386*G2386)-I2386, X)),IF(C2386="Buy",(L2386*G2386*100)+I2386,IF(C2386="Sell",(L2386*G2386*100)-I2386, X))))</f>
        <v/>
      </c>
      <c r="N2386" s="78">
        <f>IF(ISBLANK(L2386),"",IF(AND(C2386="Sell",D2386="Stock"),M2386,IF(ISBLANK(L2386),"",IF(C2386="Buy",M2386, IF(AND(C2386="Sell",J2386="NA"),(E2386*G2386*100*0.1)+I2386, IF(C2386="Sell",(J2386-L2386)*(100*G2386)+I2386))))))</f>
        <v/>
      </c>
      <c r="O2386" s="75" t="n"/>
      <c r="P2386" s="75" t="n"/>
      <c r="Q2386" s="75">
        <f>IF(ISBLANK(P2386),"",IF(D2386="Stock",P2386*G2386,IF(P2386=0,"0",G2386*P2386*100-(G2386*$AF$14))))</f>
        <v/>
      </c>
      <c r="R2386" s="79">
        <f>IF(P2386&lt;&gt;"", TODAY(), "")</f>
        <v/>
      </c>
      <c r="S2386" s="78">
        <f>IF(AND(K2386&lt;&gt;"", R2386&lt;&gt;""), R2386-K2386, "")</f>
        <v/>
      </c>
      <c r="T2386" s="78" t="n"/>
      <c r="U2386" s="92">
        <f>IF(ISBLANK(P2386),"",IF(C2386="Buy",Q2386-M2386+T2386, IF(C2386="Sell",M2386-Q2386-T2386, X)))</f>
        <v/>
      </c>
      <c r="V2386" s="81">
        <f>IF(ISBLANK(P2386),"",U2386/N2386)</f>
        <v/>
      </c>
      <c r="W2386" s="81">
        <f>IF(ISBLANK(P2386),"",IF(S2386=0,(365/0.5)*V2386,(365/S2386)*V2386))</f>
        <v/>
      </c>
      <c r="X2386" s="75" t="n"/>
      <c r="Y2386" s="77" t="n"/>
      <c r="Z2386" s="77" t="n"/>
      <c r="AA2386" s="75" t="n"/>
      <c r="AB2386" s="75" t="n"/>
      <c r="AC2386" s="6" t="n"/>
      <c r="AD2386" s="75" t="n"/>
      <c r="AE2386" s="75" t="n"/>
      <c r="AF2386" s="75" t="n"/>
    </row>
    <row r="2387" ht="15.75" customHeight="1" s="133">
      <c r="A2387" s="75" t="n"/>
      <c r="B2387" s="75" t="n"/>
      <c r="C2387" s="75" t="n"/>
      <c r="D2387" s="75" t="n"/>
      <c r="E2387" s="76" t="n"/>
      <c r="F2387" s="77" t="n"/>
      <c r="G2387" s="75" t="n"/>
      <c r="H2387" s="75">
        <f>IF(ISBLANK(E2387),"",IF(OR(D2387="Butterfly",D2387="Butterfly ",D2387="Iron Fly", D2387="Iron Fly "),LEN(E2387)-LEN(SUBSTITUTE(E2387,"/",""))+2,LEN(E2387)-LEN(SUBSTITUTE(E2387,"/",""))+1))</f>
        <v/>
      </c>
      <c r="I2387" s="78">
        <f>IF(ISBLANK(G2387),"",IF(D2387="Stock","0",Key!$A$3*H2387*G2387))</f>
        <v/>
      </c>
      <c r="J2387" s="78">
        <f>IF(ISBLANK(E2387),"",IF(ISNUMBER(SEARCH("/",E2387)), IF(LEN(E2387)-LEN(SUBSTITUTE(E2387,"/",""))=1,(RIGHT(E2387,LEN(E2387)-FIND("/",E2387)))-(LEFT(E2387,FIND("/",E2387)-1)),(MID(E2387, SEARCH("/",E2387) + 1, SEARCH("/",E2387, SEARCH("/",E2387)+1) - SEARCH("/",E2387) - 1))-(LEFT(E2387,FIND("/",E2387)-1))), "NA"))</f>
        <v/>
      </c>
      <c r="K2387" s="79">
        <f>IF(A2387&lt;&gt;"", IF(ISBLANK(L2387), TODAY(), K2387), "")</f>
        <v/>
      </c>
      <c r="L2387" s="78" t="n"/>
      <c r="M2387" s="78">
        <f>IF(ISBLANK(L2387),"",IF(D2387="Stock",IF(C2387="Buy",L2387*G2387,IF(C2387="Sell",(L2387*G2387)-I2387, X)),IF(C2387="Buy",(L2387*G2387*100)+I2387,IF(C2387="Sell",(L2387*G2387*100)-I2387, X))))</f>
        <v/>
      </c>
      <c r="N2387" s="78">
        <f>IF(ISBLANK(L2387),"",IF(AND(C2387="Sell",D2387="Stock"),M2387,IF(ISBLANK(L2387),"",IF(C2387="Buy",M2387, IF(AND(C2387="Sell",J2387="NA"),(E2387*G2387*100*0.1)+I2387, IF(C2387="Sell",(J2387-L2387)*(100*G2387)+I2387))))))</f>
        <v/>
      </c>
      <c r="O2387" s="75" t="n"/>
      <c r="P2387" s="75" t="n"/>
      <c r="Q2387" s="75">
        <f>IF(ISBLANK(P2387),"",IF(D2387="Stock",P2387*G2387,IF(P2387=0,"0",G2387*P2387*100-(G2387*$AF$14))))</f>
        <v/>
      </c>
      <c r="R2387" s="79">
        <f>IF(P2387&lt;&gt;"", TODAY(), "")</f>
        <v/>
      </c>
      <c r="S2387" s="78">
        <f>IF(AND(K2387&lt;&gt;"", R2387&lt;&gt;""), R2387-K2387, "")</f>
        <v/>
      </c>
      <c r="T2387" s="78" t="n"/>
      <c r="U2387" s="92">
        <f>IF(ISBLANK(P2387),"",IF(C2387="Buy",Q2387-M2387+T2387, IF(C2387="Sell",M2387-Q2387-T2387, X)))</f>
        <v/>
      </c>
      <c r="V2387" s="81">
        <f>IF(ISBLANK(P2387),"",U2387/N2387)</f>
        <v/>
      </c>
      <c r="W2387" s="81">
        <f>IF(ISBLANK(P2387),"",IF(S2387=0,(365/0.5)*V2387,(365/S2387)*V2387))</f>
        <v/>
      </c>
      <c r="X2387" s="75" t="n"/>
      <c r="Y2387" s="77" t="n"/>
      <c r="Z2387" s="77" t="n"/>
      <c r="AA2387" s="75" t="n"/>
      <c r="AB2387" s="75" t="n"/>
      <c r="AC2387" s="6" t="n"/>
      <c r="AD2387" s="75" t="n"/>
      <c r="AE2387" s="75" t="n"/>
      <c r="AF2387" s="75" t="n"/>
    </row>
    <row r="2388" ht="15.75" customHeight="1" s="133">
      <c r="A2388" s="75" t="n"/>
      <c r="B2388" s="75" t="n"/>
      <c r="C2388" s="75" t="n"/>
      <c r="D2388" s="75" t="n"/>
      <c r="E2388" s="76" t="n"/>
      <c r="F2388" s="77" t="n"/>
      <c r="G2388" s="75" t="n"/>
      <c r="H2388" s="75">
        <f>IF(ISBLANK(E2388),"",IF(OR(D2388="Butterfly",D2388="Butterfly ",D2388="Iron Fly", D2388="Iron Fly "),LEN(E2388)-LEN(SUBSTITUTE(E2388,"/",""))+2,LEN(E2388)-LEN(SUBSTITUTE(E2388,"/",""))+1))</f>
        <v/>
      </c>
      <c r="I2388" s="78">
        <f>IF(ISBLANK(G2388),"",IF(D2388="Stock","0",Key!$A$3*H2388*G2388))</f>
        <v/>
      </c>
      <c r="J2388" s="78">
        <f>IF(ISBLANK(E2388),"",IF(ISNUMBER(SEARCH("/",E2388)), IF(LEN(E2388)-LEN(SUBSTITUTE(E2388,"/",""))=1,(RIGHT(E2388,LEN(E2388)-FIND("/",E2388)))-(LEFT(E2388,FIND("/",E2388)-1)),(MID(E2388, SEARCH("/",E2388) + 1, SEARCH("/",E2388, SEARCH("/",E2388)+1) - SEARCH("/",E2388) - 1))-(LEFT(E2388,FIND("/",E2388)-1))), "NA"))</f>
        <v/>
      </c>
      <c r="K2388" s="79">
        <f>IF(A2388&lt;&gt;"", IF(ISBLANK(L2388), TODAY(), K2388), "")</f>
        <v/>
      </c>
      <c r="L2388" s="78" t="n"/>
      <c r="M2388" s="78">
        <f>IF(ISBLANK(L2388),"",IF(D2388="Stock",IF(C2388="Buy",L2388*G2388,IF(C2388="Sell",(L2388*G2388)-I2388, X)),IF(C2388="Buy",(L2388*G2388*100)+I2388,IF(C2388="Sell",(L2388*G2388*100)-I2388, X))))</f>
        <v/>
      </c>
      <c r="N2388" s="78">
        <f>IF(ISBLANK(L2388),"",IF(AND(C2388="Sell",D2388="Stock"),M2388,IF(ISBLANK(L2388),"",IF(C2388="Buy",M2388, IF(AND(C2388="Sell",J2388="NA"),(E2388*G2388*100*0.1)+I2388, IF(C2388="Sell",(J2388-L2388)*(100*G2388)+I2388))))))</f>
        <v/>
      </c>
      <c r="O2388" s="75" t="n"/>
      <c r="P2388" s="75" t="n"/>
      <c r="Q2388" s="75">
        <f>IF(ISBLANK(P2388),"",IF(D2388="Stock",P2388*G2388,IF(P2388=0,"0",G2388*P2388*100-(G2388*$AF$14))))</f>
        <v/>
      </c>
      <c r="R2388" s="79">
        <f>IF(P2388&lt;&gt;"", TODAY(), "")</f>
        <v/>
      </c>
      <c r="S2388" s="78">
        <f>IF(AND(K2388&lt;&gt;"", R2388&lt;&gt;""), R2388-K2388, "")</f>
        <v/>
      </c>
      <c r="T2388" s="78" t="n"/>
      <c r="U2388" s="92">
        <f>IF(ISBLANK(P2388),"",IF(C2388="Buy",Q2388-M2388+T2388, IF(C2388="Sell",M2388-Q2388-T2388, X)))</f>
        <v/>
      </c>
      <c r="V2388" s="81">
        <f>IF(ISBLANK(P2388),"",U2388/N2388)</f>
        <v/>
      </c>
      <c r="W2388" s="81">
        <f>IF(ISBLANK(P2388),"",IF(S2388=0,(365/0.5)*V2388,(365/S2388)*V2388))</f>
        <v/>
      </c>
      <c r="X2388" s="75" t="n"/>
      <c r="Y2388" s="77" t="n"/>
      <c r="Z2388" s="77" t="n"/>
      <c r="AA2388" s="75" t="n"/>
      <c r="AB2388" s="75" t="n"/>
      <c r="AC2388" s="6" t="n"/>
      <c r="AD2388" s="75" t="n"/>
      <c r="AE2388" s="75" t="n"/>
      <c r="AF2388" s="75" t="n"/>
    </row>
    <row r="2389" ht="15.75" customHeight="1" s="133">
      <c r="A2389" s="75" t="n"/>
      <c r="B2389" s="75" t="n"/>
      <c r="C2389" s="75" t="n"/>
      <c r="D2389" s="75" t="n"/>
      <c r="E2389" s="76" t="n"/>
      <c r="F2389" s="77" t="n"/>
      <c r="G2389" s="75" t="n"/>
      <c r="H2389" s="75">
        <f>IF(ISBLANK(E2389),"",IF(OR(D2389="Butterfly",D2389="Butterfly ",D2389="Iron Fly", D2389="Iron Fly "),LEN(E2389)-LEN(SUBSTITUTE(E2389,"/",""))+2,LEN(E2389)-LEN(SUBSTITUTE(E2389,"/",""))+1))</f>
        <v/>
      </c>
      <c r="I2389" s="78">
        <f>IF(ISBLANK(G2389),"",IF(D2389="Stock","0",Key!$A$3*H2389*G2389))</f>
        <v/>
      </c>
      <c r="J2389" s="78">
        <f>IF(ISBLANK(E2389),"",IF(ISNUMBER(SEARCH("/",E2389)), IF(LEN(E2389)-LEN(SUBSTITUTE(E2389,"/",""))=1,(RIGHT(E2389,LEN(E2389)-FIND("/",E2389)))-(LEFT(E2389,FIND("/",E2389)-1)),(MID(E2389, SEARCH("/",E2389) + 1, SEARCH("/",E2389, SEARCH("/",E2389)+1) - SEARCH("/",E2389) - 1))-(LEFT(E2389,FIND("/",E2389)-1))), "NA"))</f>
        <v/>
      </c>
      <c r="K2389" s="79">
        <f>IF(A2389&lt;&gt;"", IF(ISBLANK(L2389), TODAY(), K2389), "")</f>
        <v/>
      </c>
      <c r="L2389" s="78" t="n"/>
      <c r="M2389" s="78">
        <f>IF(ISBLANK(L2389),"",IF(D2389="Stock",IF(C2389="Buy",L2389*G2389,IF(C2389="Sell",(L2389*G2389)-I2389, X)),IF(C2389="Buy",(L2389*G2389*100)+I2389,IF(C2389="Sell",(L2389*G2389*100)-I2389, X))))</f>
        <v/>
      </c>
      <c r="N2389" s="78">
        <f>IF(ISBLANK(L2389),"",IF(AND(C2389="Sell",D2389="Stock"),M2389,IF(ISBLANK(L2389),"",IF(C2389="Buy",M2389, IF(AND(C2389="Sell",J2389="NA"),(E2389*G2389*100*0.1)+I2389, IF(C2389="Sell",(J2389-L2389)*(100*G2389)+I2389))))))</f>
        <v/>
      </c>
      <c r="O2389" s="75" t="n"/>
      <c r="P2389" s="75" t="n"/>
      <c r="Q2389" s="75">
        <f>IF(ISBLANK(P2389),"",IF(D2389="Stock",P2389*G2389,IF(P2389=0,"0",G2389*P2389*100-(G2389*$AF$14))))</f>
        <v/>
      </c>
      <c r="R2389" s="79">
        <f>IF(P2389&lt;&gt;"", TODAY(), "")</f>
        <v/>
      </c>
      <c r="S2389" s="78">
        <f>IF(AND(K2389&lt;&gt;"", R2389&lt;&gt;""), R2389-K2389, "")</f>
        <v/>
      </c>
      <c r="T2389" s="78" t="n"/>
      <c r="U2389" s="92">
        <f>IF(ISBLANK(P2389),"",IF(C2389="Buy",Q2389-M2389+T2389, IF(C2389="Sell",M2389-Q2389-T2389, X)))</f>
        <v/>
      </c>
      <c r="V2389" s="81">
        <f>IF(ISBLANK(P2389),"",U2389/N2389)</f>
        <v/>
      </c>
      <c r="W2389" s="81">
        <f>IF(ISBLANK(P2389),"",IF(S2389=0,(365/0.5)*V2389,(365/S2389)*V2389))</f>
        <v/>
      </c>
      <c r="X2389" s="75" t="n"/>
      <c r="Y2389" s="77" t="n"/>
      <c r="Z2389" s="77" t="n"/>
      <c r="AA2389" s="75" t="n"/>
      <c r="AB2389" s="75" t="n"/>
      <c r="AC2389" s="6" t="n"/>
      <c r="AD2389" s="75" t="n"/>
      <c r="AE2389" s="75" t="n"/>
      <c r="AF2389" s="75" t="n"/>
    </row>
    <row r="2390" ht="15.75" customHeight="1" s="133">
      <c r="A2390" s="75" t="n"/>
      <c r="B2390" s="75" t="n"/>
      <c r="C2390" s="75" t="n"/>
      <c r="D2390" s="75" t="n"/>
      <c r="E2390" s="76" t="n"/>
      <c r="F2390" s="77" t="n"/>
      <c r="G2390" s="75" t="n"/>
      <c r="H2390" s="75">
        <f>IF(ISBLANK(E2390),"",IF(OR(D2390="Butterfly",D2390="Butterfly ",D2390="Iron Fly", D2390="Iron Fly "),LEN(E2390)-LEN(SUBSTITUTE(E2390,"/",""))+2,LEN(E2390)-LEN(SUBSTITUTE(E2390,"/",""))+1))</f>
        <v/>
      </c>
      <c r="I2390" s="78">
        <f>IF(ISBLANK(G2390),"",IF(D2390="Stock","0",Key!$A$3*H2390*G2390))</f>
        <v/>
      </c>
      <c r="J2390" s="78">
        <f>IF(ISBLANK(E2390),"",IF(ISNUMBER(SEARCH("/",E2390)), IF(LEN(E2390)-LEN(SUBSTITUTE(E2390,"/",""))=1,(RIGHT(E2390,LEN(E2390)-FIND("/",E2390)))-(LEFT(E2390,FIND("/",E2390)-1)),(MID(E2390, SEARCH("/",E2390) + 1, SEARCH("/",E2390, SEARCH("/",E2390)+1) - SEARCH("/",E2390) - 1))-(LEFT(E2390,FIND("/",E2390)-1))), "NA"))</f>
        <v/>
      </c>
      <c r="K2390" s="79">
        <f>IF(A2390&lt;&gt;"", IF(ISBLANK(L2390), TODAY(), K2390), "")</f>
        <v/>
      </c>
      <c r="L2390" s="78" t="n"/>
      <c r="M2390" s="78">
        <f>IF(ISBLANK(L2390),"",IF(D2390="Stock",IF(C2390="Buy",L2390*G2390,IF(C2390="Sell",(L2390*G2390)-I2390, X)),IF(C2390="Buy",(L2390*G2390*100)+I2390,IF(C2390="Sell",(L2390*G2390*100)-I2390, X))))</f>
        <v/>
      </c>
      <c r="N2390" s="78">
        <f>IF(ISBLANK(L2390),"",IF(AND(C2390="Sell",D2390="Stock"),M2390,IF(ISBLANK(L2390),"",IF(C2390="Buy",M2390, IF(AND(C2390="Sell",J2390="NA"),(E2390*G2390*100*0.1)+I2390, IF(C2390="Sell",(J2390-L2390)*(100*G2390)+I2390))))))</f>
        <v/>
      </c>
      <c r="O2390" s="75" t="n"/>
      <c r="P2390" s="75" t="n"/>
      <c r="Q2390" s="75">
        <f>IF(ISBLANK(P2390),"",IF(D2390="Stock",P2390*G2390,IF(P2390=0,"0",G2390*P2390*100-(G2390*$AF$14))))</f>
        <v/>
      </c>
      <c r="R2390" s="79">
        <f>IF(P2390&lt;&gt;"", TODAY(), "")</f>
        <v/>
      </c>
      <c r="S2390" s="78">
        <f>IF(AND(K2390&lt;&gt;"", R2390&lt;&gt;""), R2390-K2390, "")</f>
        <v/>
      </c>
      <c r="T2390" s="78" t="n"/>
      <c r="U2390" s="92">
        <f>IF(ISBLANK(P2390),"",IF(C2390="Buy",Q2390-M2390+T2390, IF(C2390="Sell",M2390-Q2390-T2390, X)))</f>
        <v/>
      </c>
      <c r="V2390" s="81">
        <f>IF(ISBLANK(P2390),"",U2390/N2390)</f>
        <v/>
      </c>
      <c r="W2390" s="81">
        <f>IF(ISBLANK(P2390),"",IF(S2390=0,(365/0.5)*V2390,(365/S2390)*V2390))</f>
        <v/>
      </c>
      <c r="X2390" s="75" t="n"/>
      <c r="Y2390" s="77" t="n"/>
      <c r="Z2390" s="77" t="n"/>
      <c r="AA2390" s="75" t="n"/>
      <c r="AB2390" s="75" t="n"/>
      <c r="AC2390" s="6" t="n"/>
      <c r="AD2390" s="75" t="n"/>
      <c r="AE2390" s="75" t="n"/>
      <c r="AF2390" s="75" t="n"/>
    </row>
    <row r="2391" ht="15.75" customHeight="1" s="133">
      <c r="A2391" s="75" t="n"/>
      <c r="B2391" s="75" t="n"/>
      <c r="C2391" s="75" t="n"/>
      <c r="D2391" s="75" t="n"/>
      <c r="E2391" s="76" t="n"/>
      <c r="F2391" s="77" t="n"/>
      <c r="G2391" s="75" t="n"/>
      <c r="H2391" s="75">
        <f>IF(ISBLANK(E2391),"",IF(OR(D2391="Butterfly",D2391="Butterfly ",D2391="Iron Fly", D2391="Iron Fly "),LEN(E2391)-LEN(SUBSTITUTE(E2391,"/",""))+2,LEN(E2391)-LEN(SUBSTITUTE(E2391,"/",""))+1))</f>
        <v/>
      </c>
      <c r="I2391" s="78">
        <f>IF(ISBLANK(G2391),"",IF(D2391="Stock","0",Key!$A$3*H2391*G2391))</f>
        <v/>
      </c>
      <c r="J2391" s="78">
        <f>IF(ISBLANK(E2391),"",IF(ISNUMBER(SEARCH("/",E2391)), IF(LEN(E2391)-LEN(SUBSTITUTE(E2391,"/",""))=1,(RIGHT(E2391,LEN(E2391)-FIND("/",E2391)))-(LEFT(E2391,FIND("/",E2391)-1)),(MID(E2391, SEARCH("/",E2391) + 1, SEARCH("/",E2391, SEARCH("/",E2391)+1) - SEARCH("/",E2391) - 1))-(LEFT(E2391,FIND("/",E2391)-1))), "NA"))</f>
        <v/>
      </c>
      <c r="K2391" s="79">
        <f>IF(A2391&lt;&gt;"", IF(ISBLANK(L2391), TODAY(), K2391), "")</f>
        <v/>
      </c>
      <c r="L2391" s="78" t="n"/>
      <c r="M2391" s="78">
        <f>IF(ISBLANK(L2391),"",IF(D2391="Stock",IF(C2391="Buy",L2391*G2391,IF(C2391="Sell",(L2391*G2391)-I2391, X)),IF(C2391="Buy",(L2391*G2391*100)+I2391,IF(C2391="Sell",(L2391*G2391*100)-I2391, X))))</f>
        <v/>
      </c>
      <c r="N2391" s="78">
        <f>IF(ISBLANK(L2391),"",IF(AND(C2391="Sell",D2391="Stock"),M2391,IF(ISBLANK(L2391),"",IF(C2391="Buy",M2391, IF(AND(C2391="Sell",J2391="NA"),(E2391*G2391*100*0.1)+I2391, IF(C2391="Sell",(J2391-L2391)*(100*G2391)+I2391))))))</f>
        <v/>
      </c>
      <c r="O2391" s="75" t="n"/>
      <c r="P2391" s="75" t="n"/>
      <c r="Q2391" s="75">
        <f>IF(ISBLANK(P2391),"",IF(D2391="Stock",P2391*G2391,IF(P2391=0,"0",G2391*P2391*100-(G2391*$AF$14))))</f>
        <v/>
      </c>
      <c r="R2391" s="79">
        <f>IF(P2391&lt;&gt;"", TODAY(), "")</f>
        <v/>
      </c>
      <c r="S2391" s="78">
        <f>IF(AND(K2391&lt;&gt;"", R2391&lt;&gt;""), R2391-K2391, "")</f>
        <v/>
      </c>
      <c r="T2391" s="78" t="n"/>
      <c r="U2391" s="92">
        <f>IF(ISBLANK(P2391),"",IF(C2391="Buy",Q2391-M2391+T2391, IF(C2391="Sell",M2391-Q2391-T2391, X)))</f>
        <v/>
      </c>
      <c r="V2391" s="81">
        <f>IF(ISBLANK(P2391),"",U2391/N2391)</f>
        <v/>
      </c>
      <c r="W2391" s="81">
        <f>IF(ISBLANK(P2391),"",IF(S2391=0,(365/0.5)*V2391,(365/S2391)*V2391))</f>
        <v/>
      </c>
      <c r="X2391" s="75" t="n"/>
      <c r="Y2391" s="77" t="n"/>
      <c r="Z2391" s="77" t="n"/>
      <c r="AA2391" s="75" t="n"/>
      <c r="AB2391" s="75" t="n"/>
      <c r="AC2391" s="6" t="n"/>
      <c r="AD2391" s="75" t="n"/>
      <c r="AE2391" s="75" t="n"/>
      <c r="AF2391" s="75" t="n"/>
    </row>
    <row r="2392" ht="15.75" customHeight="1" s="133">
      <c r="A2392" s="75" t="n"/>
      <c r="B2392" s="75" t="n"/>
      <c r="C2392" s="75" t="n"/>
      <c r="D2392" s="75" t="n"/>
      <c r="E2392" s="76" t="n"/>
      <c r="F2392" s="77" t="n"/>
      <c r="G2392" s="75" t="n"/>
      <c r="H2392" s="75">
        <f>IF(ISBLANK(E2392),"",IF(OR(D2392="Butterfly",D2392="Butterfly ",D2392="Iron Fly", D2392="Iron Fly "),LEN(E2392)-LEN(SUBSTITUTE(E2392,"/",""))+2,LEN(E2392)-LEN(SUBSTITUTE(E2392,"/",""))+1))</f>
        <v/>
      </c>
      <c r="I2392" s="78">
        <f>IF(ISBLANK(G2392),"",IF(D2392="Stock","0",Key!$A$3*H2392*G2392))</f>
        <v/>
      </c>
      <c r="J2392" s="78">
        <f>IF(ISBLANK(E2392),"",IF(ISNUMBER(SEARCH("/",E2392)), IF(LEN(E2392)-LEN(SUBSTITUTE(E2392,"/",""))=1,(RIGHT(E2392,LEN(E2392)-FIND("/",E2392)))-(LEFT(E2392,FIND("/",E2392)-1)),(MID(E2392, SEARCH("/",E2392) + 1, SEARCH("/",E2392, SEARCH("/",E2392)+1) - SEARCH("/",E2392) - 1))-(LEFT(E2392,FIND("/",E2392)-1))), "NA"))</f>
        <v/>
      </c>
      <c r="K2392" s="79">
        <f>IF(A2392&lt;&gt;"", IF(ISBLANK(L2392), TODAY(), K2392), "")</f>
        <v/>
      </c>
      <c r="L2392" s="78" t="n"/>
      <c r="M2392" s="78">
        <f>IF(ISBLANK(L2392),"",IF(D2392="Stock",IF(C2392="Buy",L2392*G2392,IF(C2392="Sell",(L2392*G2392)-I2392, X)),IF(C2392="Buy",(L2392*G2392*100)+I2392,IF(C2392="Sell",(L2392*G2392*100)-I2392, X))))</f>
        <v/>
      </c>
      <c r="N2392" s="78">
        <f>IF(ISBLANK(L2392),"",IF(AND(C2392="Sell",D2392="Stock"),M2392,IF(ISBLANK(L2392),"",IF(C2392="Buy",M2392, IF(AND(C2392="Sell",J2392="NA"),(E2392*G2392*100*0.1)+I2392, IF(C2392="Sell",(J2392-L2392)*(100*G2392)+I2392))))))</f>
        <v/>
      </c>
      <c r="O2392" s="75" t="n"/>
      <c r="P2392" s="75" t="n"/>
      <c r="Q2392" s="75">
        <f>IF(ISBLANK(P2392),"",IF(D2392="Stock",P2392*G2392,IF(P2392=0,"0",G2392*P2392*100-(G2392*$AF$14))))</f>
        <v/>
      </c>
      <c r="R2392" s="79">
        <f>IF(P2392&lt;&gt;"", TODAY(), "")</f>
        <v/>
      </c>
      <c r="S2392" s="78">
        <f>IF(AND(K2392&lt;&gt;"", R2392&lt;&gt;""), R2392-K2392, "")</f>
        <v/>
      </c>
      <c r="T2392" s="78" t="n"/>
      <c r="U2392" s="92">
        <f>IF(ISBLANK(P2392),"",IF(C2392="Buy",Q2392-M2392+T2392, IF(C2392="Sell",M2392-Q2392-T2392, X)))</f>
        <v/>
      </c>
      <c r="V2392" s="81">
        <f>IF(ISBLANK(P2392),"",U2392/N2392)</f>
        <v/>
      </c>
      <c r="W2392" s="81">
        <f>IF(ISBLANK(P2392),"",IF(S2392=0,(365/0.5)*V2392,(365/S2392)*V2392))</f>
        <v/>
      </c>
      <c r="X2392" s="75" t="n"/>
      <c r="Y2392" s="77" t="n"/>
      <c r="Z2392" s="77" t="n"/>
      <c r="AA2392" s="75" t="n"/>
      <c r="AB2392" s="75" t="n"/>
      <c r="AC2392" s="6" t="n"/>
      <c r="AD2392" s="75" t="n"/>
      <c r="AE2392" s="75" t="n"/>
      <c r="AF2392" s="75" t="n"/>
    </row>
    <row r="2393" ht="15.75" customHeight="1" s="133">
      <c r="A2393" s="75" t="n"/>
      <c r="B2393" s="75" t="n"/>
      <c r="C2393" s="75" t="n"/>
      <c r="D2393" s="75" t="n"/>
      <c r="E2393" s="76" t="n"/>
      <c r="F2393" s="77" t="n"/>
      <c r="G2393" s="75" t="n"/>
      <c r="H2393" s="75">
        <f>IF(ISBLANK(E2393),"",IF(OR(D2393="Butterfly",D2393="Butterfly ",D2393="Iron Fly", D2393="Iron Fly "),LEN(E2393)-LEN(SUBSTITUTE(E2393,"/",""))+2,LEN(E2393)-LEN(SUBSTITUTE(E2393,"/",""))+1))</f>
        <v/>
      </c>
      <c r="I2393" s="78">
        <f>IF(ISBLANK(G2393),"",IF(D2393="Stock","0",Key!$A$3*H2393*G2393))</f>
        <v/>
      </c>
      <c r="J2393" s="78">
        <f>IF(ISBLANK(E2393),"",IF(ISNUMBER(SEARCH("/",E2393)), IF(LEN(E2393)-LEN(SUBSTITUTE(E2393,"/",""))=1,(RIGHT(E2393,LEN(E2393)-FIND("/",E2393)))-(LEFT(E2393,FIND("/",E2393)-1)),(MID(E2393, SEARCH("/",E2393) + 1, SEARCH("/",E2393, SEARCH("/",E2393)+1) - SEARCH("/",E2393) - 1))-(LEFT(E2393,FIND("/",E2393)-1))), "NA"))</f>
        <v/>
      </c>
      <c r="K2393" s="79">
        <f>IF(A2393&lt;&gt;"", IF(ISBLANK(L2393), TODAY(), K2393), "")</f>
        <v/>
      </c>
      <c r="L2393" s="78" t="n"/>
      <c r="M2393" s="78">
        <f>IF(ISBLANK(L2393),"",IF(D2393="Stock",IF(C2393="Buy",L2393*G2393,IF(C2393="Sell",(L2393*G2393)-I2393, X)),IF(C2393="Buy",(L2393*G2393*100)+I2393,IF(C2393="Sell",(L2393*G2393*100)-I2393, X))))</f>
        <v/>
      </c>
      <c r="N2393" s="78">
        <f>IF(ISBLANK(L2393),"",IF(AND(C2393="Sell",D2393="Stock"),M2393,IF(ISBLANK(L2393),"",IF(C2393="Buy",M2393, IF(AND(C2393="Sell",J2393="NA"),(E2393*G2393*100*0.1)+I2393, IF(C2393="Sell",(J2393-L2393)*(100*G2393)+I2393))))))</f>
        <v/>
      </c>
      <c r="O2393" s="75" t="n"/>
      <c r="P2393" s="75" t="n"/>
      <c r="Q2393" s="75">
        <f>IF(ISBLANK(P2393),"",IF(D2393="Stock",P2393*G2393,IF(P2393=0,"0",G2393*P2393*100-(G2393*$AF$14))))</f>
        <v/>
      </c>
      <c r="R2393" s="79">
        <f>IF(P2393&lt;&gt;"", TODAY(), "")</f>
        <v/>
      </c>
      <c r="S2393" s="78">
        <f>IF(AND(K2393&lt;&gt;"", R2393&lt;&gt;""), R2393-K2393, "")</f>
        <v/>
      </c>
      <c r="T2393" s="78" t="n"/>
      <c r="U2393" s="92">
        <f>IF(ISBLANK(P2393),"",IF(C2393="Buy",Q2393-M2393+T2393, IF(C2393="Sell",M2393-Q2393-T2393, X)))</f>
        <v/>
      </c>
      <c r="V2393" s="81">
        <f>IF(ISBLANK(P2393),"",U2393/N2393)</f>
        <v/>
      </c>
      <c r="W2393" s="81">
        <f>IF(ISBLANK(P2393),"",IF(S2393=0,(365/0.5)*V2393,(365/S2393)*V2393))</f>
        <v/>
      </c>
      <c r="X2393" s="75" t="n"/>
      <c r="Y2393" s="77" t="n"/>
      <c r="Z2393" s="77" t="n"/>
      <c r="AA2393" s="75" t="n"/>
      <c r="AB2393" s="75" t="n"/>
      <c r="AC2393" s="6" t="n"/>
      <c r="AD2393" s="75" t="n"/>
      <c r="AE2393" s="75" t="n"/>
      <c r="AF2393" s="75" t="n"/>
    </row>
    <row r="2394" ht="15.75" customHeight="1" s="133">
      <c r="A2394" s="75" t="n"/>
      <c r="B2394" s="75" t="n"/>
      <c r="C2394" s="75" t="n"/>
      <c r="D2394" s="75" t="n"/>
      <c r="E2394" s="76" t="n"/>
      <c r="F2394" s="77" t="n"/>
      <c r="G2394" s="75" t="n"/>
      <c r="H2394" s="75">
        <f>IF(ISBLANK(E2394),"",IF(OR(D2394="Butterfly",D2394="Butterfly ",D2394="Iron Fly", D2394="Iron Fly "),LEN(E2394)-LEN(SUBSTITUTE(E2394,"/",""))+2,LEN(E2394)-LEN(SUBSTITUTE(E2394,"/",""))+1))</f>
        <v/>
      </c>
      <c r="I2394" s="78">
        <f>IF(ISBLANK(G2394),"",IF(D2394="Stock","0",Key!$A$3*H2394*G2394))</f>
        <v/>
      </c>
      <c r="J2394" s="78">
        <f>IF(ISBLANK(E2394),"",IF(ISNUMBER(SEARCH("/",E2394)), IF(LEN(E2394)-LEN(SUBSTITUTE(E2394,"/",""))=1,(RIGHT(E2394,LEN(E2394)-FIND("/",E2394)))-(LEFT(E2394,FIND("/",E2394)-1)),(MID(E2394, SEARCH("/",E2394) + 1, SEARCH("/",E2394, SEARCH("/",E2394)+1) - SEARCH("/",E2394) - 1))-(LEFT(E2394,FIND("/",E2394)-1))), "NA"))</f>
        <v/>
      </c>
      <c r="K2394" s="79">
        <f>IF(A2394&lt;&gt;"", IF(ISBLANK(L2394), TODAY(), K2394), "")</f>
        <v/>
      </c>
      <c r="L2394" s="78" t="n"/>
      <c r="M2394" s="78">
        <f>IF(ISBLANK(L2394),"",IF(D2394="Stock",IF(C2394="Buy",L2394*G2394,IF(C2394="Sell",(L2394*G2394)-I2394, X)),IF(C2394="Buy",(L2394*G2394*100)+I2394,IF(C2394="Sell",(L2394*G2394*100)-I2394, X))))</f>
        <v/>
      </c>
      <c r="N2394" s="78">
        <f>IF(ISBLANK(L2394),"",IF(AND(C2394="Sell",D2394="Stock"),M2394,IF(ISBLANK(L2394),"",IF(C2394="Buy",M2394, IF(AND(C2394="Sell",J2394="NA"),(E2394*G2394*100*0.1)+I2394, IF(C2394="Sell",(J2394-L2394)*(100*G2394)+I2394))))))</f>
        <v/>
      </c>
      <c r="O2394" s="75" t="n"/>
      <c r="P2394" s="75" t="n"/>
      <c r="Q2394" s="75">
        <f>IF(ISBLANK(P2394),"",IF(D2394="Stock",P2394*G2394,IF(P2394=0,"0",G2394*P2394*100-(G2394*$AF$14))))</f>
        <v/>
      </c>
      <c r="R2394" s="79">
        <f>IF(P2394&lt;&gt;"", TODAY(), "")</f>
        <v/>
      </c>
      <c r="S2394" s="78">
        <f>IF(AND(K2394&lt;&gt;"", R2394&lt;&gt;""), R2394-K2394, "")</f>
        <v/>
      </c>
      <c r="T2394" s="78" t="n"/>
      <c r="U2394" s="92">
        <f>IF(ISBLANK(P2394),"",IF(C2394="Buy",Q2394-M2394+T2394, IF(C2394="Sell",M2394-Q2394-T2394, X)))</f>
        <v/>
      </c>
      <c r="V2394" s="81">
        <f>IF(ISBLANK(P2394),"",U2394/N2394)</f>
        <v/>
      </c>
      <c r="W2394" s="81">
        <f>IF(ISBLANK(P2394),"",IF(S2394=0,(365/0.5)*V2394,(365/S2394)*V2394))</f>
        <v/>
      </c>
      <c r="X2394" s="75" t="n"/>
      <c r="Y2394" s="77" t="n"/>
      <c r="Z2394" s="77" t="n"/>
      <c r="AA2394" s="75" t="n"/>
      <c r="AB2394" s="75" t="n"/>
      <c r="AC2394" s="6" t="n"/>
      <c r="AD2394" s="75" t="n"/>
      <c r="AE2394" s="75" t="n"/>
      <c r="AF2394" s="75" t="n"/>
    </row>
    <row r="2395" ht="15.75" customHeight="1" s="133">
      <c r="A2395" s="75" t="n"/>
      <c r="B2395" s="75" t="n"/>
      <c r="C2395" s="75" t="n"/>
      <c r="D2395" s="75" t="n"/>
      <c r="E2395" s="76" t="n"/>
      <c r="F2395" s="77" t="n"/>
      <c r="G2395" s="75" t="n"/>
      <c r="H2395" s="75">
        <f>IF(ISBLANK(E2395),"",IF(OR(D2395="Butterfly",D2395="Butterfly ",D2395="Iron Fly", D2395="Iron Fly "),LEN(E2395)-LEN(SUBSTITUTE(E2395,"/",""))+2,LEN(E2395)-LEN(SUBSTITUTE(E2395,"/",""))+1))</f>
        <v/>
      </c>
      <c r="I2395" s="78">
        <f>IF(ISBLANK(G2395),"",IF(D2395="Stock","0",Key!$A$3*H2395*G2395))</f>
        <v/>
      </c>
      <c r="J2395" s="78">
        <f>IF(ISBLANK(E2395),"",IF(ISNUMBER(SEARCH("/",E2395)), IF(LEN(E2395)-LEN(SUBSTITUTE(E2395,"/",""))=1,(RIGHT(E2395,LEN(E2395)-FIND("/",E2395)))-(LEFT(E2395,FIND("/",E2395)-1)),(MID(E2395, SEARCH("/",E2395) + 1, SEARCH("/",E2395, SEARCH("/",E2395)+1) - SEARCH("/",E2395) - 1))-(LEFT(E2395,FIND("/",E2395)-1))), "NA"))</f>
        <v/>
      </c>
      <c r="K2395" s="79">
        <f>IF(A2395&lt;&gt;"", IF(ISBLANK(L2395), TODAY(), K2395), "")</f>
        <v/>
      </c>
      <c r="L2395" s="78" t="n"/>
      <c r="M2395" s="78">
        <f>IF(ISBLANK(L2395),"",IF(D2395="Stock",IF(C2395="Buy",L2395*G2395,IF(C2395="Sell",(L2395*G2395)-I2395, X)),IF(C2395="Buy",(L2395*G2395*100)+I2395,IF(C2395="Sell",(L2395*G2395*100)-I2395, X))))</f>
        <v/>
      </c>
      <c r="N2395" s="78">
        <f>IF(ISBLANK(L2395),"",IF(AND(C2395="Sell",D2395="Stock"),M2395,IF(ISBLANK(L2395),"",IF(C2395="Buy",M2395, IF(AND(C2395="Sell",J2395="NA"),(E2395*G2395*100*0.1)+I2395, IF(C2395="Sell",(J2395-L2395)*(100*G2395)+I2395))))))</f>
        <v/>
      </c>
      <c r="O2395" s="75" t="n"/>
      <c r="P2395" s="75" t="n"/>
      <c r="Q2395" s="75">
        <f>IF(ISBLANK(P2395),"",IF(D2395="Stock",P2395*G2395,IF(P2395=0,"0",G2395*P2395*100-(G2395*$AF$14))))</f>
        <v/>
      </c>
      <c r="R2395" s="79">
        <f>IF(P2395&lt;&gt;"", TODAY(), "")</f>
        <v/>
      </c>
      <c r="S2395" s="78">
        <f>IF(AND(K2395&lt;&gt;"", R2395&lt;&gt;""), R2395-K2395, "")</f>
        <v/>
      </c>
      <c r="T2395" s="78" t="n"/>
      <c r="U2395" s="92">
        <f>IF(ISBLANK(P2395),"",IF(C2395="Buy",Q2395-M2395+T2395, IF(C2395="Sell",M2395-Q2395-T2395, X)))</f>
        <v/>
      </c>
      <c r="V2395" s="81">
        <f>IF(ISBLANK(P2395),"",U2395/N2395)</f>
        <v/>
      </c>
      <c r="W2395" s="81">
        <f>IF(ISBLANK(P2395),"",IF(S2395=0,(365/0.5)*V2395,(365/S2395)*V2395))</f>
        <v/>
      </c>
      <c r="X2395" s="75" t="n"/>
      <c r="Y2395" s="77" t="n"/>
      <c r="Z2395" s="77" t="n"/>
      <c r="AA2395" s="75" t="n"/>
      <c r="AB2395" s="75" t="n"/>
      <c r="AC2395" s="6" t="n"/>
      <c r="AD2395" s="75" t="n"/>
      <c r="AE2395" s="75" t="n"/>
      <c r="AF2395" s="75" t="n"/>
    </row>
    <row r="2396" ht="15.75" customHeight="1" s="133">
      <c r="A2396" s="75" t="n"/>
      <c r="B2396" s="75" t="n"/>
      <c r="C2396" s="75" t="n"/>
      <c r="D2396" s="75" t="n"/>
      <c r="E2396" s="76" t="n"/>
      <c r="F2396" s="77" t="n"/>
      <c r="G2396" s="75" t="n"/>
      <c r="H2396" s="75">
        <f>IF(ISBLANK(E2396),"",IF(OR(D2396="Butterfly",D2396="Butterfly ",D2396="Iron Fly", D2396="Iron Fly "),LEN(E2396)-LEN(SUBSTITUTE(E2396,"/",""))+2,LEN(E2396)-LEN(SUBSTITUTE(E2396,"/",""))+1))</f>
        <v/>
      </c>
      <c r="I2396" s="78">
        <f>IF(ISBLANK(G2396),"",IF(D2396="Stock","0",Key!$A$3*H2396*G2396))</f>
        <v/>
      </c>
      <c r="J2396" s="78">
        <f>IF(ISBLANK(E2396),"",IF(ISNUMBER(SEARCH("/",E2396)), IF(LEN(E2396)-LEN(SUBSTITUTE(E2396,"/",""))=1,(RIGHT(E2396,LEN(E2396)-FIND("/",E2396)))-(LEFT(E2396,FIND("/",E2396)-1)),(MID(E2396, SEARCH("/",E2396) + 1, SEARCH("/",E2396, SEARCH("/",E2396)+1) - SEARCH("/",E2396) - 1))-(LEFT(E2396,FIND("/",E2396)-1))), "NA"))</f>
        <v/>
      </c>
      <c r="K2396" s="79">
        <f>IF(A2396&lt;&gt;"", IF(ISBLANK(L2396), TODAY(), K2396), "")</f>
        <v/>
      </c>
      <c r="L2396" s="78" t="n"/>
      <c r="M2396" s="78">
        <f>IF(ISBLANK(L2396),"",IF(D2396="Stock",IF(C2396="Buy",L2396*G2396,IF(C2396="Sell",(L2396*G2396)-I2396, X)),IF(C2396="Buy",(L2396*G2396*100)+I2396,IF(C2396="Sell",(L2396*G2396*100)-I2396, X))))</f>
        <v/>
      </c>
      <c r="N2396" s="78">
        <f>IF(ISBLANK(L2396),"",IF(AND(C2396="Sell",D2396="Stock"),M2396,IF(ISBLANK(L2396),"",IF(C2396="Buy",M2396, IF(AND(C2396="Sell",J2396="NA"),(E2396*G2396*100*0.1)+I2396, IF(C2396="Sell",(J2396-L2396)*(100*G2396)+I2396))))))</f>
        <v/>
      </c>
      <c r="O2396" s="75" t="n"/>
      <c r="P2396" s="75" t="n"/>
      <c r="Q2396" s="75">
        <f>IF(ISBLANK(P2396),"",IF(D2396="Stock",P2396*G2396,IF(P2396=0,"0",G2396*P2396*100-(G2396*$AF$14))))</f>
        <v/>
      </c>
      <c r="R2396" s="79">
        <f>IF(P2396&lt;&gt;"", TODAY(), "")</f>
        <v/>
      </c>
      <c r="S2396" s="78">
        <f>IF(AND(K2396&lt;&gt;"", R2396&lt;&gt;""), R2396-K2396, "")</f>
        <v/>
      </c>
      <c r="T2396" s="78" t="n"/>
      <c r="U2396" s="92">
        <f>IF(ISBLANK(P2396),"",IF(C2396="Buy",Q2396-M2396+T2396, IF(C2396="Sell",M2396-Q2396-T2396, X)))</f>
        <v/>
      </c>
      <c r="V2396" s="81">
        <f>IF(ISBLANK(P2396),"",U2396/N2396)</f>
        <v/>
      </c>
      <c r="W2396" s="81">
        <f>IF(ISBLANK(P2396),"",IF(S2396=0,(365/0.5)*V2396,(365/S2396)*V2396))</f>
        <v/>
      </c>
      <c r="X2396" s="75" t="n"/>
      <c r="Y2396" s="77" t="n"/>
      <c r="Z2396" s="77" t="n"/>
      <c r="AA2396" s="75" t="n"/>
      <c r="AB2396" s="75" t="n"/>
      <c r="AC2396" s="6" t="n"/>
      <c r="AD2396" s="75" t="n"/>
      <c r="AE2396" s="75" t="n"/>
      <c r="AF2396" s="75" t="n"/>
    </row>
    <row r="2397" ht="15.75" customHeight="1" s="133">
      <c r="A2397" s="75" t="n"/>
      <c r="B2397" s="75" t="n"/>
      <c r="C2397" s="75" t="n"/>
      <c r="D2397" s="75" t="n"/>
      <c r="E2397" s="76" t="n"/>
      <c r="F2397" s="77" t="n"/>
      <c r="G2397" s="75" t="n"/>
      <c r="H2397" s="75">
        <f>IF(ISBLANK(E2397),"",IF(OR(D2397="Butterfly",D2397="Butterfly ",D2397="Iron Fly", D2397="Iron Fly "),LEN(E2397)-LEN(SUBSTITUTE(E2397,"/",""))+2,LEN(E2397)-LEN(SUBSTITUTE(E2397,"/",""))+1))</f>
        <v/>
      </c>
      <c r="I2397" s="78">
        <f>IF(ISBLANK(G2397),"",IF(D2397="Stock","0",Key!$A$3*H2397*G2397))</f>
        <v/>
      </c>
      <c r="J2397" s="78">
        <f>IF(ISBLANK(E2397),"",IF(ISNUMBER(SEARCH("/",E2397)), IF(LEN(E2397)-LEN(SUBSTITUTE(E2397,"/",""))=1,(RIGHT(E2397,LEN(E2397)-FIND("/",E2397)))-(LEFT(E2397,FIND("/",E2397)-1)),(MID(E2397, SEARCH("/",E2397) + 1, SEARCH("/",E2397, SEARCH("/",E2397)+1) - SEARCH("/",E2397) - 1))-(LEFT(E2397,FIND("/",E2397)-1))), "NA"))</f>
        <v/>
      </c>
      <c r="K2397" s="79">
        <f>IF(A2397&lt;&gt;"", IF(ISBLANK(L2397), TODAY(), K2397), "")</f>
        <v/>
      </c>
      <c r="L2397" s="78" t="n"/>
      <c r="M2397" s="78">
        <f>IF(ISBLANK(L2397),"",IF(D2397="Stock",IF(C2397="Buy",L2397*G2397,IF(C2397="Sell",(L2397*G2397)-I2397, X)),IF(C2397="Buy",(L2397*G2397*100)+I2397,IF(C2397="Sell",(L2397*G2397*100)-I2397, X))))</f>
        <v/>
      </c>
      <c r="N2397" s="78">
        <f>IF(ISBLANK(L2397),"",IF(AND(C2397="Sell",D2397="Stock"),M2397,IF(ISBLANK(L2397),"",IF(C2397="Buy",M2397, IF(AND(C2397="Sell",J2397="NA"),(E2397*G2397*100*0.1)+I2397, IF(C2397="Sell",(J2397-L2397)*(100*G2397)+I2397))))))</f>
        <v/>
      </c>
      <c r="O2397" s="75" t="n"/>
      <c r="P2397" s="75" t="n"/>
      <c r="Q2397" s="75">
        <f>IF(ISBLANK(P2397),"",IF(D2397="Stock",P2397*G2397,IF(P2397=0,"0",G2397*P2397*100-(G2397*$AF$14))))</f>
        <v/>
      </c>
      <c r="R2397" s="79">
        <f>IF(P2397&lt;&gt;"", TODAY(), "")</f>
        <v/>
      </c>
      <c r="S2397" s="78">
        <f>IF(AND(K2397&lt;&gt;"", R2397&lt;&gt;""), R2397-K2397, "")</f>
        <v/>
      </c>
      <c r="T2397" s="78" t="n"/>
      <c r="U2397" s="92">
        <f>IF(ISBLANK(P2397),"",IF(C2397="Buy",Q2397-M2397+T2397, IF(C2397="Sell",M2397-Q2397-T2397, X)))</f>
        <v/>
      </c>
      <c r="V2397" s="81">
        <f>IF(ISBLANK(P2397),"",U2397/N2397)</f>
        <v/>
      </c>
      <c r="W2397" s="81">
        <f>IF(ISBLANK(P2397),"",IF(S2397=0,(365/0.5)*V2397,(365/S2397)*V2397))</f>
        <v/>
      </c>
      <c r="X2397" s="75" t="n"/>
      <c r="Y2397" s="77" t="n"/>
      <c r="Z2397" s="77" t="n"/>
      <c r="AA2397" s="75" t="n"/>
      <c r="AB2397" s="75" t="n"/>
      <c r="AC2397" s="6" t="n"/>
      <c r="AD2397" s="75" t="n"/>
      <c r="AE2397" s="75" t="n"/>
      <c r="AF2397" s="75" t="n"/>
    </row>
    <row r="2398" ht="15.75" customHeight="1" s="133">
      <c r="A2398" s="75" t="n"/>
      <c r="B2398" s="75" t="n"/>
      <c r="C2398" s="75" t="n"/>
      <c r="D2398" s="75" t="n"/>
      <c r="E2398" s="76" t="n"/>
      <c r="F2398" s="77" t="n"/>
      <c r="G2398" s="75" t="n"/>
      <c r="H2398" s="75">
        <f>IF(ISBLANK(E2398),"",IF(OR(D2398="Butterfly",D2398="Butterfly ",D2398="Iron Fly", D2398="Iron Fly "),LEN(E2398)-LEN(SUBSTITUTE(E2398,"/",""))+2,LEN(E2398)-LEN(SUBSTITUTE(E2398,"/",""))+1))</f>
        <v/>
      </c>
      <c r="I2398" s="78">
        <f>IF(ISBLANK(G2398),"",IF(D2398="Stock","0",Key!$A$3*H2398*G2398))</f>
        <v/>
      </c>
      <c r="J2398" s="78">
        <f>IF(ISBLANK(E2398),"",IF(ISNUMBER(SEARCH("/",E2398)), IF(LEN(E2398)-LEN(SUBSTITUTE(E2398,"/",""))=1,(RIGHT(E2398,LEN(E2398)-FIND("/",E2398)))-(LEFT(E2398,FIND("/",E2398)-1)),(MID(E2398, SEARCH("/",E2398) + 1, SEARCH("/",E2398, SEARCH("/",E2398)+1) - SEARCH("/",E2398) - 1))-(LEFT(E2398,FIND("/",E2398)-1))), "NA"))</f>
        <v/>
      </c>
      <c r="K2398" s="79">
        <f>IF(A2398&lt;&gt;"", IF(ISBLANK(L2398), TODAY(), K2398), "")</f>
        <v/>
      </c>
      <c r="L2398" s="78" t="n"/>
      <c r="M2398" s="78">
        <f>IF(ISBLANK(L2398),"",IF(D2398="Stock",IF(C2398="Buy",L2398*G2398,IF(C2398="Sell",(L2398*G2398)-I2398, X)),IF(C2398="Buy",(L2398*G2398*100)+I2398,IF(C2398="Sell",(L2398*G2398*100)-I2398, X))))</f>
        <v/>
      </c>
      <c r="N2398" s="78">
        <f>IF(ISBLANK(L2398),"",IF(AND(C2398="Sell",D2398="Stock"),M2398,IF(ISBLANK(L2398),"",IF(C2398="Buy",M2398, IF(AND(C2398="Sell",J2398="NA"),(E2398*G2398*100*0.1)+I2398, IF(C2398="Sell",(J2398-L2398)*(100*G2398)+I2398))))))</f>
        <v/>
      </c>
      <c r="O2398" s="75" t="n"/>
      <c r="P2398" s="75" t="n"/>
      <c r="Q2398" s="75">
        <f>IF(ISBLANK(P2398),"",IF(D2398="Stock",P2398*G2398,IF(P2398=0,"0",G2398*P2398*100-(G2398*$AF$14))))</f>
        <v/>
      </c>
      <c r="R2398" s="79">
        <f>IF(P2398&lt;&gt;"", TODAY(), "")</f>
        <v/>
      </c>
      <c r="S2398" s="78">
        <f>IF(AND(K2398&lt;&gt;"", R2398&lt;&gt;""), R2398-K2398, "")</f>
        <v/>
      </c>
      <c r="T2398" s="78" t="n"/>
      <c r="U2398" s="92">
        <f>IF(ISBLANK(P2398),"",IF(C2398="Buy",Q2398-M2398+T2398, IF(C2398="Sell",M2398-Q2398-T2398, X)))</f>
        <v/>
      </c>
      <c r="V2398" s="81">
        <f>IF(ISBLANK(P2398),"",U2398/N2398)</f>
        <v/>
      </c>
      <c r="W2398" s="81">
        <f>IF(ISBLANK(P2398),"",IF(S2398=0,(365/0.5)*V2398,(365/S2398)*V2398))</f>
        <v/>
      </c>
      <c r="X2398" s="75" t="n"/>
      <c r="Y2398" s="77" t="n"/>
      <c r="Z2398" s="77" t="n"/>
      <c r="AA2398" s="75" t="n"/>
      <c r="AB2398" s="75" t="n"/>
      <c r="AC2398" s="6" t="n"/>
      <c r="AD2398" s="75" t="n"/>
      <c r="AE2398" s="75" t="n"/>
      <c r="AF2398" s="75" t="n"/>
    </row>
    <row r="2399" ht="15.75" customHeight="1" s="133">
      <c r="A2399" s="75" t="n"/>
      <c r="B2399" s="75" t="n"/>
      <c r="C2399" s="75" t="n"/>
      <c r="D2399" s="75" t="n"/>
      <c r="E2399" s="76" t="n"/>
      <c r="F2399" s="77" t="n"/>
      <c r="G2399" s="75" t="n"/>
      <c r="H2399" s="75">
        <f>IF(ISBLANK(E2399),"",IF(OR(D2399="Butterfly",D2399="Butterfly ",D2399="Iron Fly", D2399="Iron Fly "),LEN(E2399)-LEN(SUBSTITUTE(E2399,"/",""))+2,LEN(E2399)-LEN(SUBSTITUTE(E2399,"/",""))+1))</f>
        <v/>
      </c>
      <c r="I2399" s="78">
        <f>IF(ISBLANK(G2399),"",IF(D2399="Stock","0",Key!$A$3*H2399*G2399))</f>
        <v/>
      </c>
      <c r="J2399" s="78">
        <f>IF(ISBLANK(E2399),"",IF(ISNUMBER(SEARCH("/",E2399)), IF(LEN(E2399)-LEN(SUBSTITUTE(E2399,"/",""))=1,(RIGHT(E2399,LEN(E2399)-FIND("/",E2399)))-(LEFT(E2399,FIND("/",E2399)-1)),(MID(E2399, SEARCH("/",E2399) + 1, SEARCH("/",E2399, SEARCH("/",E2399)+1) - SEARCH("/",E2399) - 1))-(LEFT(E2399,FIND("/",E2399)-1))), "NA"))</f>
        <v/>
      </c>
      <c r="K2399" s="79">
        <f>IF(A2399&lt;&gt;"", IF(ISBLANK(L2399), TODAY(), K2399), "")</f>
        <v/>
      </c>
      <c r="L2399" s="78" t="n"/>
      <c r="M2399" s="78">
        <f>IF(ISBLANK(L2399),"",IF(D2399="Stock",IF(C2399="Buy",L2399*G2399,IF(C2399="Sell",(L2399*G2399)-I2399, X)),IF(C2399="Buy",(L2399*G2399*100)+I2399,IF(C2399="Sell",(L2399*G2399*100)-I2399, X))))</f>
        <v/>
      </c>
      <c r="N2399" s="78">
        <f>IF(ISBLANK(L2399),"",IF(AND(C2399="Sell",D2399="Stock"),M2399,IF(ISBLANK(L2399),"",IF(C2399="Buy",M2399, IF(AND(C2399="Sell",J2399="NA"),(E2399*G2399*100*0.1)+I2399, IF(C2399="Sell",(J2399-L2399)*(100*G2399)+I2399))))))</f>
        <v/>
      </c>
      <c r="O2399" s="75" t="n"/>
      <c r="P2399" s="75" t="n"/>
      <c r="Q2399" s="75">
        <f>IF(ISBLANK(P2399),"",IF(D2399="Stock",P2399*G2399,IF(P2399=0,"0",G2399*P2399*100-(G2399*$AF$14))))</f>
        <v/>
      </c>
      <c r="R2399" s="79">
        <f>IF(P2399&lt;&gt;"", TODAY(), "")</f>
        <v/>
      </c>
      <c r="S2399" s="78">
        <f>IF(AND(K2399&lt;&gt;"", R2399&lt;&gt;""), R2399-K2399, "")</f>
        <v/>
      </c>
      <c r="T2399" s="78" t="n"/>
      <c r="U2399" s="92">
        <f>IF(ISBLANK(P2399),"",IF(C2399="Buy",Q2399-M2399+T2399, IF(C2399="Sell",M2399-Q2399-T2399, X)))</f>
        <v/>
      </c>
      <c r="V2399" s="81">
        <f>IF(ISBLANK(P2399),"",U2399/N2399)</f>
        <v/>
      </c>
      <c r="W2399" s="81">
        <f>IF(ISBLANK(P2399),"",IF(S2399=0,(365/0.5)*V2399,(365/S2399)*V2399))</f>
        <v/>
      </c>
      <c r="X2399" s="75" t="n"/>
      <c r="Y2399" s="77" t="n"/>
      <c r="Z2399" s="77" t="n"/>
      <c r="AA2399" s="75" t="n"/>
      <c r="AB2399" s="75" t="n"/>
      <c r="AC2399" s="6" t="n"/>
      <c r="AD2399" s="75" t="n"/>
      <c r="AE2399" s="75" t="n"/>
      <c r="AF2399" s="75" t="n"/>
    </row>
    <row r="2400" ht="15.75" customHeight="1" s="133">
      <c r="A2400" s="75" t="n"/>
      <c r="B2400" s="75" t="n"/>
      <c r="C2400" s="75" t="n"/>
      <c r="D2400" s="75" t="n"/>
      <c r="E2400" s="76" t="n"/>
      <c r="F2400" s="77" t="n"/>
      <c r="G2400" s="75" t="n"/>
      <c r="H2400" s="75">
        <f>IF(ISBLANK(E2400),"",IF(OR(D2400="Butterfly",D2400="Butterfly ",D2400="Iron Fly", D2400="Iron Fly "),LEN(E2400)-LEN(SUBSTITUTE(E2400,"/",""))+2,LEN(E2400)-LEN(SUBSTITUTE(E2400,"/",""))+1))</f>
        <v/>
      </c>
      <c r="I2400" s="78">
        <f>IF(ISBLANK(G2400),"",IF(D2400="Stock","0",Key!$A$3*H2400*G2400))</f>
        <v/>
      </c>
      <c r="J2400" s="78">
        <f>IF(ISBLANK(E2400),"",IF(ISNUMBER(SEARCH("/",E2400)), IF(LEN(E2400)-LEN(SUBSTITUTE(E2400,"/",""))=1,(RIGHT(E2400,LEN(E2400)-FIND("/",E2400)))-(LEFT(E2400,FIND("/",E2400)-1)),(MID(E2400, SEARCH("/",E2400) + 1, SEARCH("/",E2400, SEARCH("/",E2400)+1) - SEARCH("/",E2400) - 1))-(LEFT(E2400,FIND("/",E2400)-1))), "NA"))</f>
        <v/>
      </c>
      <c r="K2400" s="79">
        <f>IF(A2400&lt;&gt;"", IF(ISBLANK(L2400), TODAY(), K2400), "")</f>
        <v/>
      </c>
      <c r="L2400" s="78" t="n"/>
      <c r="M2400" s="78">
        <f>IF(ISBLANK(L2400),"",IF(D2400="Stock",IF(C2400="Buy",L2400*G2400,IF(C2400="Sell",(L2400*G2400)-I2400, X)),IF(C2400="Buy",(L2400*G2400*100)+I2400,IF(C2400="Sell",(L2400*G2400*100)-I2400, X))))</f>
        <v/>
      </c>
      <c r="N2400" s="78">
        <f>IF(ISBLANK(L2400),"",IF(AND(C2400="Sell",D2400="Stock"),M2400,IF(ISBLANK(L2400),"",IF(C2400="Buy",M2400, IF(AND(C2400="Sell",J2400="NA"),(E2400*G2400*100*0.1)+I2400, IF(C2400="Sell",(J2400-L2400)*(100*G2400)+I2400))))))</f>
        <v/>
      </c>
      <c r="O2400" s="75" t="n"/>
      <c r="P2400" s="75" t="n"/>
      <c r="Q2400" s="75">
        <f>IF(ISBLANK(P2400),"",IF(D2400="Stock",P2400*G2400,IF(P2400=0,"0",G2400*P2400*100-(G2400*$AF$14))))</f>
        <v/>
      </c>
      <c r="R2400" s="79">
        <f>IF(P2400&lt;&gt;"", TODAY(), "")</f>
        <v/>
      </c>
      <c r="S2400" s="78">
        <f>IF(AND(K2400&lt;&gt;"", R2400&lt;&gt;""), R2400-K2400, "")</f>
        <v/>
      </c>
      <c r="T2400" s="78" t="n"/>
      <c r="U2400" s="92">
        <f>IF(ISBLANK(P2400),"",IF(C2400="Buy",Q2400-M2400+T2400, IF(C2400="Sell",M2400-Q2400-T2400, X)))</f>
        <v/>
      </c>
      <c r="V2400" s="81">
        <f>IF(ISBLANK(P2400),"",U2400/N2400)</f>
        <v/>
      </c>
      <c r="W2400" s="81">
        <f>IF(ISBLANK(P2400),"",IF(S2400=0,(365/0.5)*V2400,(365/S2400)*V2400))</f>
        <v/>
      </c>
      <c r="X2400" s="75" t="n"/>
      <c r="Y2400" s="77" t="n"/>
      <c r="Z2400" s="77" t="n"/>
      <c r="AA2400" s="75" t="n"/>
      <c r="AB2400" s="75" t="n"/>
      <c r="AC2400" s="6" t="n"/>
      <c r="AD2400" s="75" t="n"/>
      <c r="AE2400" s="75" t="n"/>
      <c r="AF2400" s="75" t="n"/>
    </row>
    <row r="2401" ht="15.75" customHeight="1" s="133">
      <c r="A2401" s="75" t="n"/>
      <c r="B2401" s="75" t="n"/>
      <c r="C2401" s="75" t="n"/>
      <c r="D2401" s="75" t="n"/>
      <c r="E2401" s="76" t="n"/>
      <c r="F2401" s="77" t="n"/>
      <c r="G2401" s="75" t="n"/>
      <c r="H2401" s="75">
        <f>IF(ISBLANK(E2401),"",IF(OR(D2401="Butterfly",D2401="Butterfly ",D2401="Iron Fly", D2401="Iron Fly "),LEN(E2401)-LEN(SUBSTITUTE(E2401,"/",""))+2,LEN(E2401)-LEN(SUBSTITUTE(E2401,"/",""))+1))</f>
        <v/>
      </c>
      <c r="I2401" s="78">
        <f>IF(ISBLANK(G2401),"",IF(D2401="Stock","0",Key!$A$3*H2401*G2401))</f>
        <v/>
      </c>
      <c r="J2401" s="78">
        <f>IF(ISBLANK(E2401),"",IF(ISNUMBER(SEARCH("/",E2401)), IF(LEN(E2401)-LEN(SUBSTITUTE(E2401,"/",""))=1,(RIGHT(E2401,LEN(E2401)-FIND("/",E2401)))-(LEFT(E2401,FIND("/",E2401)-1)),(MID(E2401, SEARCH("/",E2401) + 1, SEARCH("/",E2401, SEARCH("/",E2401)+1) - SEARCH("/",E2401) - 1))-(LEFT(E2401,FIND("/",E2401)-1))), "NA"))</f>
        <v/>
      </c>
      <c r="K2401" s="79">
        <f>IF(A2401&lt;&gt;"", IF(ISBLANK(L2401), TODAY(), K2401), "")</f>
        <v/>
      </c>
      <c r="L2401" s="78" t="n"/>
      <c r="M2401" s="78">
        <f>IF(ISBLANK(L2401),"",IF(D2401="Stock",IF(C2401="Buy",L2401*G2401,IF(C2401="Sell",(L2401*G2401)-I2401, X)),IF(C2401="Buy",(L2401*G2401*100)+I2401,IF(C2401="Sell",(L2401*G2401*100)-I2401, X))))</f>
        <v/>
      </c>
      <c r="N2401" s="78">
        <f>IF(ISBLANK(L2401),"",IF(AND(C2401="Sell",D2401="Stock"),M2401,IF(ISBLANK(L2401),"",IF(C2401="Buy",M2401, IF(AND(C2401="Sell",J2401="NA"),(E2401*G2401*100*0.1)+I2401, IF(C2401="Sell",(J2401-L2401)*(100*G2401)+I2401))))))</f>
        <v/>
      </c>
      <c r="O2401" s="75" t="n"/>
      <c r="P2401" s="75" t="n"/>
      <c r="Q2401" s="75">
        <f>IF(ISBLANK(P2401),"",IF(D2401="Stock",P2401*G2401,IF(P2401=0,"0",G2401*P2401*100-(G2401*$AF$14))))</f>
        <v/>
      </c>
      <c r="R2401" s="79">
        <f>IF(P2401&lt;&gt;"", TODAY(), "")</f>
        <v/>
      </c>
      <c r="S2401" s="78">
        <f>IF(AND(K2401&lt;&gt;"", R2401&lt;&gt;""), R2401-K2401, "")</f>
        <v/>
      </c>
      <c r="T2401" s="78" t="n"/>
      <c r="U2401" s="92">
        <f>IF(ISBLANK(P2401),"",IF(C2401="Buy",Q2401-M2401+T2401, IF(C2401="Sell",M2401-Q2401-T2401, X)))</f>
        <v/>
      </c>
      <c r="V2401" s="81">
        <f>IF(ISBLANK(P2401),"",U2401/N2401)</f>
        <v/>
      </c>
      <c r="W2401" s="81">
        <f>IF(ISBLANK(P2401),"",IF(S2401=0,(365/0.5)*V2401,(365/S2401)*V2401))</f>
        <v/>
      </c>
      <c r="X2401" s="75" t="n"/>
      <c r="Y2401" s="77" t="n"/>
      <c r="Z2401" s="77" t="n"/>
      <c r="AA2401" s="75" t="n"/>
      <c r="AB2401" s="75" t="n"/>
      <c r="AC2401" s="6" t="n"/>
      <c r="AD2401" s="75" t="n"/>
      <c r="AE2401" s="75" t="n"/>
      <c r="AF2401" s="75" t="n"/>
    </row>
    <row r="2402" ht="15.75" customHeight="1" s="133">
      <c r="A2402" s="75" t="n"/>
      <c r="B2402" s="75" t="n"/>
      <c r="C2402" s="75" t="n"/>
      <c r="D2402" s="75" t="n"/>
      <c r="E2402" s="76" t="n"/>
      <c r="F2402" s="77" t="n"/>
      <c r="G2402" s="75" t="n"/>
      <c r="H2402" s="75">
        <f>IF(ISBLANK(E2402),"",IF(OR(D2402="Butterfly",D2402="Butterfly ",D2402="Iron Fly", D2402="Iron Fly "),LEN(E2402)-LEN(SUBSTITUTE(E2402,"/",""))+2,LEN(E2402)-LEN(SUBSTITUTE(E2402,"/",""))+1))</f>
        <v/>
      </c>
      <c r="I2402" s="78">
        <f>IF(ISBLANK(G2402),"",IF(D2402="Stock","0",Key!$A$3*H2402*G2402))</f>
        <v/>
      </c>
      <c r="J2402" s="78">
        <f>IF(ISBLANK(E2402),"",IF(ISNUMBER(SEARCH("/",E2402)), IF(LEN(E2402)-LEN(SUBSTITUTE(E2402,"/",""))=1,(RIGHT(E2402,LEN(E2402)-FIND("/",E2402)))-(LEFT(E2402,FIND("/",E2402)-1)),(MID(E2402, SEARCH("/",E2402) + 1, SEARCH("/",E2402, SEARCH("/",E2402)+1) - SEARCH("/",E2402) - 1))-(LEFT(E2402,FIND("/",E2402)-1))), "NA"))</f>
        <v/>
      </c>
      <c r="K2402" s="79">
        <f>IF(A2402&lt;&gt;"", IF(ISBLANK(L2402), TODAY(), K2402), "")</f>
        <v/>
      </c>
      <c r="L2402" s="78" t="n"/>
      <c r="M2402" s="78">
        <f>IF(ISBLANK(L2402),"",IF(D2402="Stock",IF(C2402="Buy",L2402*G2402,IF(C2402="Sell",(L2402*G2402)-I2402, X)),IF(C2402="Buy",(L2402*G2402*100)+I2402,IF(C2402="Sell",(L2402*G2402*100)-I2402, X))))</f>
        <v/>
      </c>
      <c r="N2402" s="78">
        <f>IF(ISBLANK(L2402),"",IF(AND(C2402="Sell",D2402="Stock"),M2402,IF(ISBLANK(L2402),"",IF(C2402="Buy",M2402, IF(AND(C2402="Sell",J2402="NA"),(E2402*G2402*100*0.1)+I2402, IF(C2402="Sell",(J2402-L2402)*(100*G2402)+I2402))))))</f>
        <v/>
      </c>
      <c r="O2402" s="75" t="n"/>
      <c r="P2402" s="75" t="n"/>
      <c r="Q2402" s="75">
        <f>IF(ISBLANK(P2402),"",IF(D2402="Stock",P2402*G2402,IF(P2402=0,"0",G2402*P2402*100-(G2402*$AF$14))))</f>
        <v/>
      </c>
      <c r="R2402" s="79">
        <f>IF(P2402&lt;&gt;"", TODAY(), "")</f>
        <v/>
      </c>
      <c r="S2402" s="78">
        <f>IF(AND(K2402&lt;&gt;"", R2402&lt;&gt;""), R2402-K2402, "")</f>
        <v/>
      </c>
      <c r="T2402" s="78" t="n"/>
      <c r="U2402" s="92">
        <f>IF(ISBLANK(P2402),"",IF(C2402="Buy",Q2402-M2402+T2402, IF(C2402="Sell",M2402-Q2402-T2402, X)))</f>
        <v/>
      </c>
      <c r="V2402" s="81">
        <f>IF(ISBLANK(P2402),"",U2402/N2402)</f>
        <v/>
      </c>
      <c r="W2402" s="81">
        <f>IF(ISBLANK(P2402),"",IF(S2402=0,(365/0.5)*V2402,(365/S2402)*V2402))</f>
        <v/>
      </c>
      <c r="X2402" s="75" t="n"/>
      <c r="Y2402" s="77" t="n"/>
      <c r="Z2402" s="77" t="n"/>
      <c r="AA2402" s="75" t="n"/>
      <c r="AB2402" s="75" t="n"/>
      <c r="AC2402" s="6" t="n"/>
      <c r="AD2402" s="75" t="n"/>
      <c r="AE2402" s="75" t="n"/>
      <c r="AF2402" s="75" t="n"/>
    </row>
    <row r="2403" ht="15.75" customHeight="1" s="133">
      <c r="A2403" s="75" t="n"/>
      <c r="B2403" s="75" t="n"/>
      <c r="C2403" s="75" t="n"/>
      <c r="D2403" s="75" t="n"/>
      <c r="E2403" s="76" t="n"/>
      <c r="F2403" s="77" t="n"/>
      <c r="G2403" s="75" t="n"/>
      <c r="H2403" s="75">
        <f>IF(ISBLANK(E2403),"",IF(OR(D2403="Butterfly",D2403="Butterfly ",D2403="Iron Fly", D2403="Iron Fly "),LEN(E2403)-LEN(SUBSTITUTE(E2403,"/",""))+2,LEN(E2403)-LEN(SUBSTITUTE(E2403,"/",""))+1))</f>
        <v/>
      </c>
      <c r="I2403" s="78">
        <f>IF(ISBLANK(G2403),"",IF(D2403="Stock","0",Key!$A$3*H2403*G2403))</f>
        <v/>
      </c>
      <c r="J2403" s="78">
        <f>IF(ISBLANK(E2403),"",IF(ISNUMBER(SEARCH("/",E2403)), IF(LEN(E2403)-LEN(SUBSTITUTE(E2403,"/",""))=1,(RIGHT(E2403,LEN(E2403)-FIND("/",E2403)))-(LEFT(E2403,FIND("/",E2403)-1)),(MID(E2403, SEARCH("/",E2403) + 1, SEARCH("/",E2403, SEARCH("/",E2403)+1) - SEARCH("/",E2403) - 1))-(LEFT(E2403,FIND("/",E2403)-1))), "NA"))</f>
        <v/>
      </c>
      <c r="K2403" s="79">
        <f>IF(A2403&lt;&gt;"", IF(ISBLANK(L2403), TODAY(), K2403), "")</f>
        <v/>
      </c>
      <c r="L2403" s="78" t="n"/>
      <c r="M2403" s="78">
        <f>IF(ISBLANK(L2403),"",IF(D2403="Stock",IF(C2403="Buy",L2403*G2403,IF(C2403="Sell",(L2403*G2403)-I2403, X)),IF(C2403="Buy",(L2403*G2403*100)+I2403,IF(C2403="Sell",(L2403*G2403*100)-I2403, X))))</f>
        <v/>
      </c>
      <c r="N2403" s="78">
        <f>IF(ISBLANK(L2403),"",IF(AND(C2403="Sell",D2403="Stock"),M2403,IF(ISBLANK(L2403),"",IF(C2403="Buy",M2403, IF(AND(C2403="Sell",J2403="NA"),(E2403*G2403*100*0.1)+I2403, IF(C2403="Sell",(J2403-L2403)*(100*G2403)+I2403))))))</f>
        <v/>
      </c>
      <c r="O2403" s="75" t="n"/>
      <c r="P2403" s="75" t="n"/>
      <c r="Q2403" s="75">
        <f>IF(ISBLANK(P2403),"",IF(D2403="Stock",P2403*G2403,IF(P2403=0,"0",G2403*P2403*100-(G2403*$AF$14))))</f>
        <v/>
      </c>
      <c r="R2403" s="79">
        <f>IF(P2403&lt;&gt;"", TODAY(), "")</f>
        <v/>
      </c>
      <c r="S2403" s="78">
        <f>IF(AND(K2403&lt;&gt;"", R2403&lt;&gt;""), R2403-K2403, "")</f>
        <v/>
      </c>
      <c r="T2403" s="78" t="n"/>
      <c r="U2403" s="92">
        <f>IF(ISBLANK(P2403),"",IF(C2403="Buy",Q2403-M2403+T2403, IF(C2403="Sell",M2403-Q2403-T2403, X)))</f>
        <v/>
      </c>
      <c r="V2403" s="81">
        <f>IF(ISBLANK(P2403),"",U2403/N2403)</f>
        <v/>
      </c>
      <c r="W2403" s="81">
        <f>IF(ISBLANK(P2403),"",IF(S2403=0,(365/0.5)*V2403,(365/S2403)*V2403))</f>
        <v/>
      </c>
      <c r="X2403" s="75" t="n"/>
      <c r="Y2403" s="77" t="n"/>
      <c r="Z2403" s="77" t="n"/>
      <c r="AA2403" s="75" t="n"/>
      <c r="AB2403" s="75" t="n"/>
      <c r="AC2403" s="6" t="n"/>
      <c r="AD2403" s="75" t="n"/>
      <c r="AE2403" s="75" t="n"/>
      <c r="AF2403" s="75" t="n"/>
    </row>
    <row r="2404" ht="15.75" customHeight="1" s="133">
      <c r="A2404" s="75" t="n"/>
      <c r="B2404" s="75" t="n"/>
      <c r="C2404" s="75" t="n"/>
      <c r="D2404" s="75" t="n"/>
      <c r="E2404" s="76" t="n"/>
      <c r="F2404" s="77" t="n"/>
      <c r="G2404" s="75" t="n"/>
      <c r="H2404" s="75">
        <f>IF(ISBLANK(E2404),"",IF(OR(D2404="Butterfly",D2404="Butterfly ",D2404="Iron Fly", D2404="Iron Fly "),LEN(E2404)-LEN(SUBSTITUTE(E2404,"/",""))+2,LEN(E2404)-LEN(SUBSTITUTE(E2404,"/",""))+1))</f>
        <v/>
      </c>
      <c r="I2404" s="78">
        <f>IF(ISBLANK(G2404),"",IF(D2404="Stock","0",Key!$A$3*H2404*G2404))</f>
        <v/>
      </c>
      <c r="J2404" s="78">
        <f>IF(ISBLANK(E2404),"",IF(ISNUMBER(SEARCH("/",E2404)), IF(LEN(E2404)-LEN(SUBSTITUTE(E2404,"/",""))=1,(RIGHT(E2404,LEN(E2404)-FIND("/",E2404)))-(LEFT(E2404,FIND("/",E2404)-1)),(MID(E2404, SEARCH("/",E2404) + 1, SEARCH("/",E2404, SEARCH("/",E2404)+1) - SEARCH("/",E2404) - 1))-(LEFT(E2404,FIND("/",E2404)-1))), "NA"))</f>
        <v/>
      </c>
      <c r="K2404" s="79">
        <f>IF(A2404&lt;&gt;"", IF(ISBLANK(L2404), TODAY(), K2404), "")</f>
        <v/>
      </c>
      <c r="L2404" s="78" t="n"/>
      <c r="M2404" s="78">
        <f>IF(ISBLANK(L2404),"",IF(D2404="Stock",IF(C2404="Buy",L2404*G2404,IF(C2404="Sell",(L2404*G2404)-I2404, X)),IF(C2404="Buy",(L2404*G2404*100)+I2404,IF(C2404="Sell",(L2404*G2404*100)-I2404, X))))</f>
        <v/>
      </c>
      <c r="N2404" s="78">
        <f>IF(ISBLANK(L2404),"",IF(AND(C2404="Sell",D2404="Stock"),M2404,IF(ISBLANK(L2404),"",IF(C2404="Buy",M2404, IF(AND(C2404="Sell",J2404="NA"),(E2404*G2404*100*0.1)+I2404, IF(C2404="Sell",(J2404-L2404)*(100*G2404)+I2404))))))</f>
        <v/>
      </c>
      <c r="O2404" s="75" t="n"/>
      <c r="P2404" s="75" t="n"/>
      <c r="Q2404" s="75">
        <f>IF(ISBLANK(P2404),"",IF(D2404="Stock",P2404*G2404,IF(P2404=0,"0",G2404*P2404*100-(G2404*$AF$14))))</f>
        <v/>
      </c>
      <c r="R2404" s="79">
        <f>IF(P2404&lt;&gt;"", TODAY(), "")</f>
        <v/>
      </c>
      <c r="S2404" s="78">
        <f>IF(AND(K2404&lt;&gt;"", R2404&lt;&gt;""), R2404-K2404, "")</f>
        <v/>
      </c>
      <c r="T2404" s="78" t="n"/>
      <c r="U2404" s="92">
        <f>IF(ISBLANK(P2404),"",IF(C2404="Buy",Q2404-M2404+T2404, IF(C2404="Sell",M2404-Q2404-T2404, X)))</f>
        <v/>
      </c>
      <c r="V2404" s="81">
        <f>IF(ISBLANK(P2404),"",U2404/N2404)</f>
        <v/>
      </c>
      <c r="W2404" s="81">
        <f>IF(ISBLANK(P2404),"",IF(S2404=0,(365/0.5)*V2404,(365/S2404)*V2404))</f>
        <v/>
      </c>
      <c r="X2404" s="75" t="n"/>
      <c r="Y2404" s="77" t="n"/>
      <c r="Z2404" s="77" t="n"/>
      <c r="AA2404" s="75" t="n"/>
      <c r="AB2404" s="75" t="n"/>
      <c r="AC2404" s="6" t="n"/>
      <c r="AD2404" s="75" t="n"/>
      <c r="AE2404" s="75" t="n"/>
      <c r="AF2404" s="75" t="n"/>
    </row>
    <row r="2405" ht="15.75" customHeight="1" s="133">
      <c r="A2405" s="75" t="n"/>
      <c r="B2405" s="75" t="n"/>
      <c r="C2405" s="75" t="n"/>
      <c r="D2405" s="75" t="n"/>
      <c r="E2405" s="76" t="n"/>
      <c r="F2405" s="77" t="n"/>
      <c r="G2405" s="75" t="n"/>
      <c r="H2405" s="75">
        <f>IF(ISBLANK(E2405),"",IF(OR(D2405="Butterfly",D2405="Butterfly ",D2405="Iron Fly", D2405="Iron Fly "),LEN(E2405)-LEN(SUBSTITUTE(E2405,"/",""))+2,LEN(E2405)-LEN(SUBSTITUTE(E2405,"/",""))+1))</f>
        <v/>
      </c>
      <c r="I2405" s="78">
        <f>IF(ISBLANK(G2405),"",IF(D2405="Stock","0",Key!$A$3*H2405*G2405))</f>
        <v/>
      </c>
      <c r="J2405" s="78">
        <f>IF(ISBLANK(E2405),"",IF(ISNUMBER(SEARCH("/",E2405)), IF(LEN(E2405)-LEN(SUBSTITUTE(E2405,"/",""))=1,(RIGHT(E2405,LEN(E2405)-FIND("/",E2405)))-(LEFT(E2405,FIND("/",E2405)-1)),(MID(E2405, SEARCH("/",E2405) + 1, SEARCH("/",E2405, SEARCH("/",E2405)+1) - SEARCH("/",E2405) - 1))-(LEFT(E2405,FIND("/",E2405)-1))), "NA"))</f>
        <v/>
      </c>
      <c r="K2405" s="79">
        <f>IF(A2405&lt;&gt;"", IF(ISBLANK(L2405), TODAY(), K2405), "")</f>
        <v/>
      </c>
      <c r="L2405" s="78" t="n"/>
      <c r="M2405" s="78">
        <f>IF(ISBLANK(L2405),"",IF(D2405="Stock",IF(C2405="Buy",L2405*G2405,IF(C2405="Sell",(L2405*G2405)-I2405, X)),IF(C2405="Buy",(L2405*G2405*100)+I2405,IF(C2405="Sell",(L2405*G2405*100)-I2405, X))))</f>
        <v/>
      </c>
      <c r="N2405" s="78">
        <f>IF(ISBLANK(L2405),"",IF(AND(C2405="Sell",D2405="Stock"),M2405,IF(ISBLANK(L2405),"",IF(C2405="Buy",M2405, IF(AND(C2405="Sell",J2405="NA"),(E2405*G2405*100*0.1)+I2405, IF(C2405="Sell",(J2405-L2405)*(100*G2405)+I2405))))))</f>
        <v/>
      </c>
      <c r="O2405" s="75" t="n"/>
      <c r="P2405" s="75" t="n"/>
      <c r="Q2405" s="75">
        <f>IF(ISBLANK(P2405),"",IF(D2405="Stock",P2405*G2405,IF(P2405=0,"0",G2405*P2405*100-(G2405*$AF$14))))</f>
        <v/>
      </c>
      <c r="R2405" s="79">
        <f>IF(P2405&lt;&gt;"", TODAY(), "")</f>
        <v/>
      </c>
      <c r="S2405" s="78">
        <f>IF(AND(K2405&lt;&gt;"", R2405&lt;&gt;""), R2405-K2405, "")</f>
        <v/>
      </c>
      <c r="T2405" s="78" t="n"/>
      <c r="U2405" s="92">
        <f>IF(ISBLANK(P2405),"",IF(C2405="Buy",Q2405-M2405+T2405, IF(C2405="Sell",M2405-Q2405-T2405, X)))</f>
        <v/>
      </c>
      <c r="V2405" s="81">
        <f>IF(ISBLANK(P2405),"",U2405/N2405)</f>
        <v/>
      </c>
      <c r="W2405" s="81">
        <f>IF(ISBLANK(P2405),"",IF(S2405=0,(365/0.5)*V2405,(365/S2405)*V2405))</f>
        <v/>
      </c>
      <c r="X2405" s="75" t="n"/>
      <c r="Y2405" s="77" t="n"/>
      <c r="Z2405" s="77" t="n"/>
      <c r="AA2405" s="75" t="n"/>
      <c r="AB2405" s="75" t="n"/>
      <c r="AC2405" s="6" t="n"/>
      <c r="AD2405" s="75" t="n"/>
      <c r="AE2405" s="75" t="n"/>
      <c r="AF2405" s="75" t="n"/>
    </row>
    <row r="2406" ht="15.75" customHeight="1" s="133">
      <c r="A2406" s="75" t="n"/>
      <c r="B2406" s="75" t="n"/>
      <c r="C2406" s="75" t="n"/>
      <c r="D2406" s="75" t="n"/>
      <c r="E2406" s="76" t="n"/>
      <c r="F2406" s="77" t="n"/>
      <c r="G2406" s="75" t="n"/>
      <c r="H2406" s="75">
        <f>IF(ISBLANK(E2406),"",IF(OR(D2406="Butterfly",D2406="Butterfly ",D2406="Iron Fly", D2406="Iron Fly "),LEN(E2406)-LEN(SUBSTITUTE(E2406,"/",""))+2,LEN(E2406)-LEN(SUBSTITUTE(E2406,"/",""))+1))</f>
        <v/>
      </c>
      <c r="I2406" s="78">
        <f>IF(ISBLANK(G2406),"",IF(D2406="Stock","0",Key!$A$3*H2406*G2406))</f>
        <v/>
      </c>
      <c r="J2406" s="78">
        <f>IF(ISBLANK(E2406),"",IF(ISNUMBER(SEARCH("/",E2406)), IF(LEN(E2406)-LEN(SUBSTITUTE(E2406,"/",""))=1,(RIGHT(E2406,LEN(E2406)-FIND("/",E2406)))-(LEFT(E2406,FIND("/",E2406)-1)),(MID(E2406, SEARCH("/",E2406) + 1, SEARCH("/",E2406, SEARCH("/",E2406)+1) - SEARCH("/",E2406) - 1))-(LEFT(E2406,FIND("/",E2406)-1))), "NA"))</f>
        <v/>
      </c>
      <c r="K2406" s="79">
        <f>IF(A2406&lt;&gt;"", IF(ISBLANK(L2406), TODAY(), K2406), "")</f>
        <v/>
      </c>
      <c r="L2406" s="78" t="n"/>
      <c r="M2406" s="78">
        <f>IF(ISBLANK(L2406),"",IF(D2406="Stock",IF(C2406="Buy",L2406*G2406,IF(C2406="Sell",(L2406*G2406)-I2406, X)),IF(C2406="Buy",(L2406*G2406*100)+I2406,IF(C2406="Sell",(L2406*G2406*100)-I2406, X))))</f>
        <v/>
      </c>
      <c r="N2406" s="78">
        <f>IF(ISBLANK(L2406),"",IF(AND(C2406="Sell",D2406="Stock"),M2406,IF(ISBLANK(L2406),"",IF(C2406="Buy",M2406, IF(AND(C2406="Sell",J2406="NA"),(E2406*G2406*100*0.1)+I2406, IF(C2406="Sell",(J2406-L2406)*(100*G2406)+I2406))))))</f>
        <v/>
      </c>
      <c r="O2406" s="75" t="n"/>
      <c r="P2406" s="75" t="n"/>
      <c r="Q2406" s="75">
        <f>IF(ISBLANK(P2406),"",IF(D2406="Stock",P2406*G2406,IF(P2406=0,"0",G2406*P2406*100-(G2406*$AF$14))))</f>
        <v/>
      </c>
      <c r="R2406" s="79">
        <f>IF(P2406&lt;&gt;"", TODAY(), "")</f>
        <v/>
      </c>
      <c r="S2406" s="78">
        <f>IF(AND(K2406&lt;&gt;"", R2406&lt;&gt;""), R2406-K2406, "")</f>
        <v/>
      </c>
      <c r="T2406" s="78" t="n"/>
      <c r="U2406" s="92">
        <f>IF(ISBLANK(P2406),"",IF(C2406="Buy",Q2406-M2406+T2406, IF(C2406="Sell",M2406-Q2406-T2406, X)))</f>
        <v/>
      </c>
      <c r="V2406" s="81">
        <f>IF(ISBLANK(P2406),"",U2406/N2406)</f>
        <v/>
      </c>
      <c r="W2406" s="81">
        <f>IF(ISBLANK(P2406),"",IF(S2406=0,(365/0.5)*V2406,(365/S2406)*V2406))</f>
        <v/>
      </c>
      <c r="X2406" s="75" t="n"/>
      <c r="Y2406" s="77" t="n"/>
      <c r="Z2406" s="77" t="n"/>
      <c r="AA2406" s="75" t="n"/>
      <c r="AB2406" s="75" t="n"/>
      <c r="AC2406" s="6" t="n"/>
      <c r="AD2406" s="75" t="n"/>
      <c r="AE2406" s="75" t="n"/>
      <c r="AF2406" s="75" t="n"/>
    </row>
    <row r="2407" ht="15.75" customHeight="1" s="133">
      <c r="A2407" s="75" t="n"/>
      <c r="B2407" s="75" t="n"/>
      <c r="C2407" s="75" t="n"/>
      <c r="D2407" s="75" t="n"/>
      <c r="E2407" s="76" t="n"/>
      <c r="F2407" s="77" t="n"/>
      <c r="G2407" s="75" t="n"/>
      <c r="H2407" s="75">
        <f>IF(ISBLANK(E2407),"",IF(OR(D2407="Butterfly",D2407="Butterfly ",D2407="Iron Fly", D2407="Iron Fly "),LEN(E2407)-LEN(SUBSTITUTE(E2407,"/",""))+2,LEN(E2407)-LEN(SUBSTITUTE(E2407,"/",""))+1))</f>
        <v/>
      </c>
      <c r="I2407" s="78">
        <f>IF(ISBLANK(G2407),"",IF(D2407="Stock","0",Key!$A$3*H2407*G2407))</f>
        <v/>
      </c>
      <c r="J2407" s="78">
        <f>IF(ISBLANK(E2407),"",IF(ISNUMBER(SEARCH("/",E2407)), IF(LEN(E2407)-LEN(SUBSTITUTE(E2407,"/",""))=1,(RIGHT(E2407,LEN(E2407)-FIND("/",E2407)))-(LEFT(E2407,FIND("/",E2407)-1)),(MID(E2407, SEARCH("/",E2407) + 1, SEARCH("/",E2407, SEARCH("/",E2407)+1) - SEARCH("/",E2407) - 1))-(LEFT(E2407,FIND("/",E2407)-1))), "NA"))</f>
        <v/>
      </c>
      <c r="K2407" s="79">
        <f>IF(A2407&lt;&gt;"", IF(ISBLANK(L2407), TODAY(), K2407), "")</f>
        <v/>
      </c>
      <c r="L2407" s="78" t="n"/>
      <c r="M2407" s="78">
        <f>IF(ISBLANK(L2407),"",IF(D2407="Stock",IF(C2407="Buy",L2407*G2407,IF(C2407="Sell",(L2407*G2407)-I2407, X)),IF(C2407="Buy",(L2407*G2407*100)+I2407,IF(C2407="Sell",(L2407*G2407*100)-I2407, X))))</f>
        <v/>
      </c>
      <c r="N2407" s="78">
        <f>IF(ISBLANK(L2407),"",IF(AND(C2407="Sell",D2407="Stock"),M2407,IF(ISBLANK(L2407),"",IF(C2407="Buy",M2407, IF(AND(C2407="Sell",J2407="NA"),(E2407*G2407*100*0.1)+I2407, IF(C2407="Sell",(J2407-L2407)*(100*G2407)+I2407))))))</f>
        <v/>
      </c>
      <c r="O2407" s="75" t="n"/>
      <c r="P2407" s="75" t="n"/>
      <c r="Q2407" s="75">
        <f>IF(ISBLANK(P2407),"",IF(D2407="Stock",P2407*G2407,IF(P2407=0,"0",G2407*P2407*100-(G2407*$AF$14))))</f>
        <v/>
      </c>
      <c r="R2407" s="79">
        <f>IF(P2407&lt;&gt;"", TODAY(), "")</f>
        <v/>
      </c>
      <c r="S2407" s="78">
        <f>IF(AND(K2407&lt;&gt;"", R2407&lt;&gt;""), R2407-K2407, "")</f>
        <v/>
      </c>
      <c r="T2407" s="78" t="n"/>
      <c r="U2407" s="92">
        <f>IF(ISBLANK(P2407),"",IF(C2407="Buy",Q2407-M2407+T2407, IF(C2407="Sell",M2407-Q2407-T2407, X)))</f>
        <v/>
      </c>
      <c r="V2407" s="81">
        <f>IF(ISBLANK(P2407),"",U2407/N2407)</f>
        <v/>
      </c>
      <c r="W2407" s="81">
        <f>IF(ISBLANK(P2407),"",IF(S2407=0,(365/0.5)*V2407,(365/S2407)*V2407))</f>
        <v/>
      </c>
      <c r="X2407" s="75" t="n"/>
      <c r="Y2407" s="77" t="n"/>
      <c r="Z2407" s="77" t="n"/>
      <c r="AA2407" s="75" t="n"/>
      <c r="AB2407" s="75" t="n"/>
      <c r="AC2407" s="6" t="n"/>
      <c r="AD2407" s="75" t="n"/>
      <c r="AE2407" s="75" t="n"/>
      <c r="AF2407" s="75" t="n"/>
    </row>
    <row r="2408" ht="15.75" customHeight="1" s="133">
      <c r="A2408" s="75" t="n"/>
      <c r="B2408" s="75" t="n"/>
      <c r="C2408" s="75" t="n"/>
      <c r="D2408" s="75" t="n"/>
      <c r="E2408" s="76" t="n"/>
      <c r="F2408" s="77" t="n"/>
      <c r="G2408" s="75" t="n"/>
      <c r="H2408" s="75">
        <f>IF(ISBLANK(E2408),"",IF(OR(D2408="Butterfly",D2408="Butterfly ",D2408="Iron Fly", D2408="Iron Fly "),LEN(E2408)-LEN(SUBSTITUTE(E2408,"/",""))+2,LEN(E2408)-LEN(SUBSTITUTE(E2408,"/",""))+1))</f>
        <v/>
      </c>
      <c r="I2408" s="78">
        <f>IF(ISBLANK(G2408),"",IF(D2408="Stock","0",Key!$A$3*H2408*G2408))</f>
        <v/>
      </c>
      <c r="J2408" s="78">
        <f>IF(ISBLANK(E2408),"",IF(ISNUMBER(SEARCH("/",E2408)), IF(LEN(E2408)-LEN(SUBSTITUTE(E2408,"/",""))=1,(RIGHT(E2408,LEN(E2408)-FIND("/",E2408)))-(LEFT(E2408,FIND("/",E2408)-1)),(MID(E2408, SEARCH("/",E2408) + 1, SEARCH("/",E2408, SEARCH("/",E2408)+1) - SEARCH("/",E2408) - 1))-(LEFT(E2408,FIND("/",E2408)-1))), "NA"))</f>
        <v/>
      </c>
      <c r="K2408" s="79">
        <f>IF(A2408&lt;&gt;"", IF(ISBLANK(L2408), TODAY(), K2408), "")</f>
        <v/>
      </c>
      <c r="L2408" s="78" t="n"/>
      <c r="M2408" s="78">
        <f>IF(ISBLANK(L2408),"",IF(D2408="Stock",IF(C2408="Buy",L2408*G2408,IF(C2408="Sell",(L2408*G2408)-I2408, X)),IF(C2408="Buy",(L2408*G2408*100)+I2408,IF(C2408="Sell",(L2408*G2408*100)-I2408, X))))</f>
        <v/>
      </c>
      <c r="N2408" s="78">
        <f>IF(ISBLANK(L2408),"",IF(AND(C2408="Sell",D2408="Stock"),M2408,IF(ISBLANK(L2408),"",IF(C2408="Buy",M2408, IF(AND(C2408="Sell",J2408="NA"),(E2408*G2408*100*0.1)+I2408, IF(C2408="Sell",(J2408-L2408)*(100*G2408)+I2408))))))</f>
        <v/>
      </c>
      <c r="O2408" s="75" t="n"/>
      <c r="P2408" s="75" t="n"/>
      <c r="Q2408" s="75">
        <f>IF(ISBLANK(P2408),"",IF(D2408="Stock",P2408*G2408,IF(P2408=0,"0",G2408*P2408*100-(G2408*$AF$14))))</f>
        <v/>
      </c>
      <c r="R2408" s="79">
        <f>IF(P2408&lt;&gt;"", TODAY(), "")</f>
        <v/>
      </c>
      <c r="S2408" s="78">
        <f>IF(AND(K2408&lt;&gt;"", R2408&lt;&gt;""), R2408-K2408, "")</f>
        <v/>
      </c>
      <c r="T2408" s="78" t="n"/>
      <c r="U2408" s="92">
        <f>IF(ISBLANK(P2408),"",IF(C2408="Buy",Q2408-M2408+T2408, IF(C2408="Sell",M2408-Q2408-T2408, X)))</f>
        <v/>
      </c>
      <c r="V2408" s="81">
        <f>IF(ISBLANK(P2408),"",U2408/N2408)</f>
        <v/>
      </c>
      <c r="W2408" s="81">
        <f>IF(ISBLANK(P2408),"",IF(S2408=0,(365/0.5)*V2408,(365/S2408)*V2408))</f>
        <v/>
      </c>
      <c r="X2408" s="75" t="n"/>
      <c r="Y2408" s="77" t="n"/>
      <c r="Z2408" s="77" t="n"/>
      <c r="AA2408" s="75" t="n"/>
      <c r="AB2408" s="75" t="n"/>
      <c r="AC2408" s="6" t="n"/>
      <c r="AD2408" s="75" t="n"/>
      <c r="AE2408" s="75" t="n"/>
      <c r="AF2408" s="75" t="n"/>
    </row>
    <row r="2409" ht="15.75" customHeight="1" s="133">
      <c r="A2409" s="75" t="n"/>
      <c r="B2409" s="75" t="n"/>
      <c r="C2409" s="75" t="n"/>
      <c r="D2409" s="75" t="n"/>
      <c r="E2409" s="76" t="n"/>
      <c r="F2409" s="77" t="n"/>
      <c r="G2409" s="75" t="n"/>
      <c r="H2409" s="75">
        <f>IF(ISBLANK(E2409),"",IF(OR(D2409="Butterfly",D2409="Butterfly ",D2409="Iron Fly", D2409="Iron Fly "),LEN(E2409)-LEN(SUBSTITUTE(E2409,"/",""))+2,LEN(E2409)-LEN(SUBSTITUTE(E2409,"/",""))+1))</f>
        <v/>
      </c>
      <c r="I2409" s="78">
        <f>IF(ISBLANK(G2409),"",IF(D2409="Stock","0",Key!$A$3*H2409*G2409))</f>
        <v/>
      </c>
      <c r="J2409" s="78">
        <f>IF(ISBLANK(E2409),"",IF(ISNUMBER(SEARCH("/",E2409)), IF(LEN(E2409)-LEN(SUBSTITUTE(E2409,"/",""))=1,(RIGHT(E2409,LEN(E2409)-FIND("/",E2409)))-(LEFT(E2409,FIND("/",E2409)-1)),(MID(E2409, SEARCH("/",E2409) + 1, SEARCH("/",E2409, SEARCH("/",E2409)+1) - SEARCH("/",E2409) - 1))-(LEFT(E2409,FIND("/",E2409)-1))), "NA"))</f>
        <v/>
      </c>
      <c r="K2409" s="79">
        <f>IF(A2409&lt;&gt;"", IF(ISBLANK(L2409), TODAY(), K2409), "")</f>
        <v/>
      </c>
      <c r="L2409" s="78" t="n"/>
      <c r="M2409" s="78">
        <f>IF(ISBLANK(L2409),"",IF(D2409="Stock",IF(C2409="Buy",L2409*G2409,IF(C2409="Sell",(L2409*G2409)-I2409, X)),IF(C2409="Buy",(L2409*G2409*100)+I2409,IF(C2409="Sell",(L2409*G2409*100)-I2409, X))))</f>
        <v/>
      </c>
      <c r="N2409" s="78">
        <f>IF(ISBLANK(L2409),"",IF(AND(C2409="Sell",D2409="Stock"),M2409,IF(ISBLANK(L2409),"",IF(C2409="Buy",M2409, IF(AND(C2409="Sell",J2409="NA"),(E2409*G2409*100*0.1)+I2409, IF(C2409="Sell",(J2409-L2409)*(100*G2409)+I2409))))))</f>
        <v/>
      </c>
      <c r="O2409" s="75" t="n"/>
      <c r="P2409" s="75" t="n"/>
      <c r="Q2409" s="75">
        <f>IF(ISBLANK(P2409),"",IF(D2409="Stock",P2409*G2409,IF(P2409=0,"0",G2409*P2409*100-(G2409*$AF$14))))</f>
        <v/>
      </c>
      <c r="R2409" s="79">
        <f>IF(P2409&lt;&gt;"", TODAY(), "")</f>
        <v/>
      </c>
      <c r="S2409" s="78">
        <f>IF(AND(K2409&lt;&gt;"", R2409&lt;&gt;""), R2409-K2409, "")</f>
        <v/>
      </c>
      <c r="T2409" s="78" t="n"/>
      <c r="U2409" s="92">
        <f>IF(ISBLANK(P2409),"",IF(C2409="Buy",Q2409-M2409+T2409, IF(C2409="Sell",M2409-Q2409-T2409, X)))</f>
        <v/>
      </c>
      <c r="V2409" s="81">
        <f>IF(ISBLANK(P2409),"",U2409/N2409)</f>
        <v/>
      </c>
      <c r="W2409" s="81">
        <f>IF(ISBLANK(P2409),"",IF(S2409=0,(365/0.5)*V2409,(365/S2409)*V2409))</f>
        <v/>
      </c>
      <c r="X2409" s="75" t="n"/>
      <c r="Y2409" s="77" t="n"/>
      <c r="Z2409" s="77" t="n"/>
      <c r="AA2409" s="75" t="n"/>
      <c r="AB2409" s="75" t="n"/>
      <c r="AC2409" s="6" t="n"/>
      <c r="AD2409" s="75" t="n"/>
      <c r="AE2409" s="75" t="n"/>
      <c r="AF2409" s="75" t="n"/>
    </row>
    <row r="2410" ht="15.75" customHeight="1" s="133">
      <c r="A2410" s="75" t="n"/>
      <c r="B2410" s="75" t="n"/>
      <c r="C2410" s="75" t="n"/>
      <c r="D2410" s="75" t="n"/>
      <c r="E2410" s="76" t="n"/>
      <c r="F2410" s="77" t="n"/>
      <c r="G2410" s="75" t="n"/>
      <c r="H2410" s="75">
        <f>IF(ISBLANK(E2410),"",IF(OR(D2410="Butterfly",D2410="Butterfly ",D2410="Iron Fly", D2410="Iron Fly "),LEN(E2410)-LEN(SUBSTITUTE(E2410,"/",""))+2,LEN(E2410)-LEN(SUBSTITUTE(E2410,"/",""))+1))</f>
        <v/>
      </c>
      <c r="I2410" s="78">
        <f>IF(ISBLANK(G2410),"",IF(D2410="Stock","0",Key!$A$3*H2410*G2410))</f>
        <v/>
      </c>
      <c r="J2410" s="78">
        <f>IF(ISBLANK(E2410),"",IF(ISNUMBER(SEARCH("/",E2410)), IF(LEN(E2410)-LEN(SUBSTITUTE(E2410,"/",""))=1,(RIGHT(E2410,LEN(E2410)-FIND("/",E2410)))-(LEFT(E2410,FIND("/",E2410)-1)),(MID(E2410, SEARCH("/",E2410) + 1, SEARCH("/",E2410, SEARCH("/",E2410)+1) - SEARCH("/",E2410) - 1))-(LEFT(E2410,FIND("/",E2410)-1))), "NA"))</f>
        <v/>
      </c>
      <c r="K2410" s="79">
        <f>IF(A2410&lt;&gt;"", IF(ISBLANK(L2410), TODAY(), K2410), "")</f>
        <v/>
      </c>
      <c r="L2410" s="78" t="n"/>
      <c r="M2410" s="78">
        <f>IF(ISBLANK(L2410),"",IF(D2410="Stock",IF(C2410="Buy",L2410*G2410,IF(C2410="Sell",(L2410*G2410)-I2410, X)),IF(C2410="Buy",(L2410*G2410*100)+I2410,IF(C2410="Sell",(L2410*G2410*100)-I2410, X))))</f>
        <v/>
      </c>
      <c r="N2410" s="78">
        <f>IF(ISBLANK(L2410),"",IF(AND(C2410="Sell",D2410="Stock"),M2410,IF(ISBLANK(L2410),"",IF(C2410="Buy",M2410, IF(AND(C2410="Sell",J2410="NA"),(E2410*G2410*100*0.1)+I2410, IF(C2410="Sell",(J2410-L2410)*(100*G2410)+I2410))))))</f>
        <v/>
      </c>
      <c r="O2410" s="75" t="n"/>
      <c r="P2410" s="75" t="n"/>
      <c r="Q2410" s="75">
        <f>IF(ISBLANK(P2410),"",IF(D2410="Stock",P2410*G2410,IF(P2410=0,"0",G2410*P2410*100-(G2410*$AF$14))))</f>
        <v/>
      </c>
      <c r="R2410" s="79">
        <f>IF(P2410&lt;&gt;"", TODAY(), "")</f>
        <v/>
      </c>
      <c r="S2410" s="78">
        <f>IF(AND(K2410&lt;&gt;"", R2410&lt;&gt;""), R2410-K2410, "")</f>
        <v/>
      </c>
      <c r="T2410" s="78" t="n"/>
      <c r="U2410" s="92">
        <f>IF(ISBLANK(P2410),"",IF(C2410="Buy",Q2410-M2410+T2410, IF(C2410="Sell",M2410-Q2410-T2410, X)))</f>
        <v/>
      </c>
      <c r="V2410" s="81">
        <f>IF(ISBLANK(P2410),"",U2410/N2410)</f>
        <v/>
      </c>
      <c r="W2410" s="81">
        <f>IF(ISBLANK(P2410),"",IF(S2410=0,(365/0.5)*V2410,(365/S2410)*V2410))</f>
        <v/>
      </c>
      <c r="X2410" s="75" t="n"/>
      <c r="Y2410" s="77" t="n"/>
      <c r="Z2410" s="77" t="n"/>
      <c r="AA2410" s="75" t="n"/>
      <c r="AB2410" s="75" t="n"/>
      <c r="AC2410" s="6" t="n"/>
      <c r="AD2410" s="75" t="n"/>
      <c r="AE2410" s="75" t="n"/>
      <c r="AF2410" s="75" t="n"/>
    </row>
    <row r="2411" ht="15.75" customHeight="1" s="133">
      <c r="A2411" s="75" t="n"/>
      <c r="B2411" s="75" t="n"/>
      <c r="C2411" s="75" t="n"/>
      <c r="D2411" s="75" t="n"/>
      <c r="E2411" s="76" t="n"/>
      <c r="F2411" s="77" t="n"/>
      <c r="G2411" s="75" t="n"/>
      <c r="H2411" s="75">
        <f>IF(ISBLANK(E2411),"",IF(OR(D2411="Butterfly",D2411="Butterfly ",D2411="Iron Fly", D2411="Iron Fly "),LEN(E2411)-LEN(SUBSTITUTE(E2411,"/",""))+2,LEN(E2411)-LEN(SUBSTITUTE(E2411,"/",""))+1))</f>
        <v/>
      </c>
      <c r="I2411" s="78">
        <f>IF(ISBLANK(G2411),"",IF(D2411="Stock","0",Key!$A$3*H2411*G2411))</f>
        <v/>
      </c>
      <c r="J2411" s="78">
        <f>IF(ISBLANK(E2411),"",IF(ISNUMBER(SEARCH("/",E2411)), IF(LEN(E2411)-LEN(SUBSTITUTE(E2411,"/",""))=1,(RIGHT(E2411,LEN(E2411)-FIND("/",E2411)))-(LEFT(E2411,FIND("/",E2411)-1)),(MID(E2411, SEARCH("/",E2411) + 1, SEARCH("/",E2411, SEARCH("/",E2411)+1) - SEARCH("/",E2411) - 1))-(LEFT(E2411,FIND("/",E2411)-1))), "NA"))</f>
        <v/>
      </c>
      <c r="K2411" s="79">
        <f>IF(A2411&lt;&gt;"", IF(ISBLANK(L2411), TODAY(), K2411), "")</f>
        <v/>
      </c>
      <c r="L2411" s="78" t="n"/>
      <c r="M2411" s="78">
        <f>IF(ISBLANK(L2411),"",IF(D2411="Stock",IF(C2411="Buy",L2411*G2411,IF(C2411="Sell",(L2411*G2411)-I2411, X)),IF(C2411="Buy",(L2411*G2411*100)+I2411,IF(C2411="Sell",(L2411*G2411*100)-I2411, X))))</f>
        <v/>
      </c>
      <c r="N2411" s="78">
        <f>IF(ISBLANK(L2411),"",IF(AND(C2411="Sell",D2411="Stock"),M2411,IF(ISBLANK(L2411),"",IF(C2411="Buy",M2411, IF(AND(C2411="Sell",J2411="NA"),(E2411*G2411*100*0.1)+I2411, IF(C2411="Sell",(J2411-L2411)*(100*G2411)+I2411))))))</f>
        <v/>
      </c>
      <c r="O2411" s="75" t="n"/>
      <c r="P2411" s="75" t="n"/>
      <c r="Q2411" s="75">
        <f>IF(ISBLANK(P2411),"",IF(D2411="Stock",P2411*G2411,IF(P2411=0,"0",G2411*P2411*100-(G2411*$AF$14))))</f>
        <v/>
      </c>
      <c r="R2411" s="79">
        <f>IF(P2411&lt;&gt;"", TODAY(), "")</f>
        <v/>
      </c>
      <c r="S2411" s="78">
        <f>IF(AND(K2411&lt;&gt;"", R2411&lt;&gt;""), R2411-K2411, "")</f>
        <v/>
      </c>
      <c r="T2411" s="78" t="n"/>
      <c r="U2411" s="92">
        <f>IF(ISBLANK(P2411),"",IF(C2411="Buy",Q2411-M2411+T2411, IF(C2411="Sell",M2411-Q2411-T2411, X)))</f>
        <v/>
      </c>
      <c r="V2411" s="81">
        <f>IF(ISBLANK(P2411),"",U2411/N2411)</f>
        <v/>
      </c>
      <c r="W2411" s="81">
        <f>IF(ISBLANK(P2411),"",IF(S2411=0,(365/0.5)*V2411,(365/S2411)*V2411))</f>
        <v/>
      </c>
      <c r="X2411" s="75" t="n"/>
      <c r="Y2411" s="77" t="n"/>
      <c r="Z2411" s="77" t="n"/>
      <c r="AA2411" s="75" t="n"/>
      <c r="AB2411" s="75" t="n"/>
      <c r="AC2411" s="6" t="n"/>
      <c r="AD2411" s="75" t="n"/>
      <c r="AE2411" s="75" t="n"/>
      <c r="AF2411" s="75" t="n"/>
    </row>
    <row r="2412" ht="15.75" customHeight="1" s="133">
      <c r="A2412" s="75" t="n"/>
      <c r="B2412" s="75" t="n"/>
      <c r="C2412" s="75" t="n"/>
      <c r="D2412" s="75" t="n"/>
      <c r="E2412" s="76" t="n"/>
      <c r="F2412" s="77" t="n"/>
      <c r="G2412" s="75" t="n"/>
      <c r="H2412" s="75">
        <f>IF(ISBLANK(E2412),"",IF(OR(D2412="Butterfly",D2412="Butterfly ",D2412="Iron Fly", D2412="Iron Fly "),LEN(E2412)-LEN(SUBSTITUTE(E2412,"/",""))+2,LEN(E2412)-LEN(SUBSTITUTE(E2412,"/",""))+1))</f>
        <v/>
      </c>
      <c r="I2412" s="78">
        <f>IF(ISBLANK(G2412),"",IF(D2412="Stock","0",Key!$A$3*H2412*G2412))</f>
        <v/>
      </c>
      <c r="J2412" s="78">
        <f>IF(ISBLANK(E2412),"",IF(ISNUMBER(SEARCH("/",E2412)), IF(LEN(E2412)-LEN(SUBSTITUTE(E2412,"/",""))=1,(RIGHT(E2412,LEN(E2412)-FIND("/",E2412)))-(LEFT(E2412,FIND("/",E2412)-1)),(MID(E2412, SEARCH("/",E2412) + 1, SEARCH("/",E2412, SEARCH("/",E2412)+1) - SEARCH("/",E2412) - 1))-(LEFT(E2412,FIND("/",E2412)-1))), "NA"))</f>
        <v/>
      </c>
      <c r="K2412" s="79">
        <f>IF(A2412&lt;&gt;"", IF(ISBLANK(L2412), TODAY(), K2412), "")</f>
        <v/>
      </c>
      <c r="L2412" s="78" t="n"/>
      <c r="M2412" s="78">
        <f>IF(ISBLANK(L2412),"",IF(D2412="Stock",IF(C2412="Buy",L2412*G2412,IF(C2412="Sell",(L2412*G2412)-I2412, X)),IF(C2412="Buy",(L2412*G2412*100)+I2412,IF(C2412="Sell",(L2412*G2412*100)-I2412, X))))</f>
        <v/>
      </c>
      <c r="N2412" s="78">
        <f>IF(ISBLANK(L2412),"",IF(AND(C2412="Sell",D2412="Stock"),M2412,IF(ISBLANK(L2412),"",IF(C2412="Buy",M2412, IF(AND(C2412="Sell",J2412="NA"),(E2412*G2412*100*0.1)+I2412, IF(C2412="Sell",(J2412-L2412)*(100*G2412)+I2412))))))</f>
        <v/>
      </c>
      <c r="O2412" s="75" t="n"/>
      <c r="P2412" s="75" t="n"/>
      <c r="Q2412" s="75">
        <f>IF(ISBLANK(P2412),"",IF(D2412="Stock",P2412*G2412,IF(P2412=0,"0",G2412*P2412*100-(G2412*$AF$14))))</f>
        <v/>
      </c>
      <c r="R2412" s="79">
        <f>IF(P2412&lt;&gt;"", TODAY(), "")</f>
        <v/>
      </c>
      <c r="S2412" s="78">
        <f>IF(AND(K2412&lt;&gt;"", R2412&lt;&gt;""), R2412-K2412, "")</f>
        <v/>
      </c>
      <c r="T2412" s="78" t="n"/>
      <c r="U2412" s="92">
        <f>IF(ISBLANK(P2412),"",IF(C2412="Buy",Q2412-M2412+T2412, IF(C2412="Sell",M2412-Q2412-T2412, X)))</f>
        <v/>
      </c>
      <c r="V2412" s="81">
        <f>IF(ISBLANK(P2412),"",U2412/N2412)</f>
        <v/>
      </c>
      <c r="W2412" s="81">
        <f>IF(ISBLANK(P2412),"",IF(S2412=0,(365/0.5)*V2412,(365/S2412)*V2412))</f>
        <v/>
      </c>
      <c r="X2412" s="75" t="n"/>
      <c r="Y2412" s="77" t="n"/>
      <c r="Z2412" s="77" t="n"/>
      <c r="AA2412" s="75" t="n"/>
      <c r="AB2412" s="75" t="n"/>
      <c r="AC2412" s="6" t="n"/>
      <c r="AD2412" s="75" t="n"/>
      <c r="AE2412" s="75" t="n"/>
      <c r="AF2412" s="75" t="n"/>
    </row>
    <row r="2413" ht="15.75" customHeight="1" s="133">
      <c r="A2413" s="75" t="n"/>
      <c r="B2413" s="75" t="n"/>
      <c r="C2413" s="75" t="n"/>
      <c r="D2413" s="75" t="n"/>
      <c r="E2413" s="76" t="n"/>
      <c r="F2413" s="77" t="n"/>
      <c r="G2413" s="75" t="n"/>
      <c r="H2413" s="75">
        <f>IF(ISBLANK(E2413),"",IF(OR(D2413="Butterfly",D2413="Butterfly ",D2413="Iron Fly", D2413="Iron Fly "),LEN(E2413)-LEN(SUBSTITUTE(E2413,"/",""))+2,LEN(E2413)-LEN(SUBSTITUTE(E2413,"/",""))+1))</f>
        <v/>
      </c>
      <c r="I2413" s="78">
        <f>IF(ISBLANK(G2413),"",IF(D2413="Stock","0",Key!$A$3*H2413*G2413))</f>
        <v/>
      </c>
      <c r="J2413" s="78">
        <f>IF(ISBLANK(E2413),"",IF(ISNUMBER(SEARCH("/",E2413)), IF(LEN(E2413)-LEN(SUBSTITUTE(E2413,"/",""))=1,(RIGHT(E2413,LEN(E2413)-FIND("/",E2413)))-(LEFT(E2413,FIND("/",E2413)-1)),(MID(E2413, SEARCH("/",E2413) + 1, SEARCH("/",E2413, SEARCH("/",E2413)+1) - SEARCH("/",E2413) - 1))-(LEFT(E2413,FIND("/",E2413)-1))), "NA"))</f>
        <v/>
      </c>
      <c r="K2413" s="79">
        <f>IF(A2413&lt;&gt;"", IF(ISBLANK(L2413), TODAY(), K2413), "")</f>
        <v/>
      </c>
      <c r="L2413" s="78" t="n"/>
      <c r="M2413" s="78">
        <f>IF(ISBLANK(L2413),"",IF(D2413="Stock",IF(C2413="Buy",L2413*G2413,IF(C2413="Sell",(L2413*G2413)-I2413, X)),IF(C2413="Buy",(L2413*G2413*100)+I2413,IF(C2413="Sell",(L2413*G2413*100)-I2413, X))))</f>
        <v/>
      </c>
      <c r="N2413" s="78">
        <f>IF(ISBLANK(L2413),"",IF(AND(C2413="Sell",D2413="Stock"),M2413,IF(ISBLANK(L2413),"",IF(C2413="Buy",M2413, IF(AND(C2413="Sell",J2413="NA"),(E2413*G2413*100*0.1)+I2413, IF(C2413="Sell",(J2413-L2413)*(100*G2413)+I2413))))))</f>
        <v/>
      </c>
      <c r="O2413" s="75" t="n"/>
      <c r="P2413" s="75" t="n"/>
      <c r="Q2413" s="75">
        <f>IF(ISBLANK(P2413),"",IF(D2413="Stock",P2413*G2413,IF(P2413=0,"0",G2413*P2413*100-(G2413*$AF$14))))</f>
        <v/>
      </c>
      <c r="R2413" s="79">
        <f>IF(P2413&lt;&gt;"", TODAY(), "")</f>
        <v/>
      </c>
      <c r="S2413" s="78">
        <f>IF(AND(K2413&lt;&gt;"", R2413&lt;&gt;""), R2413-K2413, "")</f>
        <v/>
      </c>
      <c r="T2413" s="78" t="n"/>
      <c r="U2413" s="92">
        <f>IF(ISBLANK(P2413),"",IF(C2413="Buy",Q2413-M2413+T2413, IF(C2413="Sell",M2413-Q2413-T2413, X)))</f>
        <v/>
      </c>
      <c r="V2413" s="81">
        <f>IF(ISBLANK(P2413),"",U2413/N2413)</f>
        <v/>
      </c>
      <c r="W2413" s="81">
        <f>IF(ISBLANK(P2413),"",IF(S2413=0,(365/0.5)*V2413,(365/S2413)*V2413))</f>
        <v/>
      </c>
      <c r="X2413" s="75" t="n"/>
      <c r="Y2413" s="77" t="n"/>
      <c r="Z2413" s="77" t="n"/>
      <c r="AA2413" s="75" t="n"/>
      <c r="AB2413" s="75" t="n"/>
      <c r="AC2413" s="6" t="n"/>
      <c r="AD2413" s="75" t="n"/>
      <c r="AE2413" s="75" t="n"/>
      <c r="AF2413" s="75" t="n"/>
    </row>
    <row r="2414" ht="15.75" customHeight="1" s="133">
      <c r="A2414" s="75" t="n"/>
      <c r="B2414" s="75" t="n"/>
      <c r="C2414" s="75" t="n"/>
      <c r="D2414" s="75" t="n"/>
      <c r="E2414" s="76" t="n"/>
      <c r="F2414" s="77" t="n"/>
      <c r="G2414" s="75" t="n"/>
      <c r="H2414" s="75">
        <f>IF(ISBLANK(E2414),"",IF(OR(D2414="Butterfly",D2414="Butterfly ",D2414="Iron Fly", D2414="Iron Fly "),LEN(E2414)-LEN(SUBSTITUTE(E2414,"/",""))+2,LEN(E2414)-LEN(SUBSTITUTE(E2414,"/",""))+1))</f>
        <v/>
      </c>
      <c r="I2414" s="78">
        <f>IF(ISBLANK(G2414),"",IF(D2414="Stock","0",Key!$A$3*H2414*G2414))</f>
        <v/>
      </c>
      <c r="J2414" s="78">
        <f>IF(ISBLANK(E2414),"",IF(ISNUMBER(SEARCH("/",E2414)), IF(LEN(E2414)-LEN(SUBSTITUTE(E2414,"/",""))=1,(RIGHT(E2414,LEN(E2414)-FIND("/",E2414)))-(LEFT(E2414,FIND("/",E2414)-1)),(MID(E2414, SEARCH("/",E2414) + 1, SEARCH("/",E2414, SEARCH("/",E2414)+1) - SEARCH("/",E2414) - 1))-(LEFT(E2414,FIND("/",E2414)-1))), "NA"))</f>
        <v/>
      </c>
      <c r="K2414" s="79">
        <f>IF(A2414&lt;&gt;"", IF(ISBLANK(L2414), TODAY(), K2414), "")</f>
        <v/>
      </c>
      <c r="L2414" s="78" t="n"/>
      <c r="M2414" s="78">
        <f>IF(ISBLANK(L2414),"",IF(D2414="Stock",IF(C2414="Buy",L2414*G2414,IF(C2414="Sell",(L2414*G2414)-I2414, X)),IF(C2414="Buy",(L2414*G2414*100)+I2414,IF(C2414="Sell",(L2414*G2414*100)-I2414, X))))</f>
        <v/>
      </c>
      <c r="N2414" s="78">
        <f>IF(ISBLANK(L2414),"",IF(AND(C2414="Sell",D2414="Stock"),M2414,IF(ISBLANK(L2414),"",IF(C2414="Buy",M2414, IF(AND(C2414="Sell",J2414="NA"),(E2414*G2414*100*0.1)+I2414, IF(C2414="Sell",(J2414-L2414)*(100*G2414)+I2414))))))</f>
        <v/>
      </c>
      <c r="O2414" s="75" t="n"/>
      <c r="P2414" s="75" t="n"/>
      <c r="Q2414" s="75">
        <f>IF(ISBLANK(P2414),"",IF(D2414="Stock",P2414*G2414,IF(P2414=0,"0",G2414*P2414*100-(G2414*$AF$14))))</f>
        <v/>
      </c>
      <c r="R2414" s="79">
        <f>IF(P2414&lt;&gt;"", TODAY(), "")</f>
        <v/>
      </c>
      <c r="S2414" s="78">
        <f>IF(AND(K2414&lt;&gt;"", R2414&lt;&gt;""), R2414-K2414, "")</f>
        <v/>
      </c>
      <c r="T2414" s="78" t="n"/>
      <c r="U2414" s="92">
        <f>IF(ISBLANK(P2414),"",IF(C2414="Buy",Q2414-M2414+T2414, IF(C2414="Sell",M2414-Q2414-T2414, X)))</f>
        <v/>
      </c>
      <c r="V2414" s="81">
        <f>IF(ISBLANK(P2414),"",U2414/N2414)</f>
        <v/>
      </c>
      <c r="W2414" s="81">
        <f>IF(ISBLANK(P2414),"",IF(S2414=0,(365/0.5)*V2414,(365/S2414)*V2414))</f>
        <v/>
      </c>
      <c r="X2414" s="75" t="n"/>
      <c r="Y2414" s="77" t="n"/>
      <c r="Z2414" s="77" t="n"/>
      <c r="AA2414" s="75" t="n"/>
      <c r="AB2414" s="75" t="n"/>
      <c r="AC2414" s="6" t="n"/>
      <c r="AD2414" s="75" t="n"/>
      <c r="AE2414" s="75" t="n"/>
      <c r="AF2414" s="75" t="n"/>
    </row>
    <row r="2415" ht="15.75" customHeight="1" s="133">
      <c r="A2415" s="75" t="n"/>
      <c r="B2415" s="75" t="n"/>
      <c r="C2415" s="75" t="n"/>
      <c r="D2415" s="75" t="n"/>
      <c r="E2415" s="76" t="n"/>
      <c r="F2415" s="77" t="n"/>
      <c r="G2415" s="75" t="n"/>
      <c r="H2415" s="75">
        <f>IF(ISBLANK(E2415),"",IF(OR(D2415="Butterfly",D2415="Butterfly ",D2415="Iron Fly", D2415="Iron Fly "),LEN(E2415)-LEN(SUBSTITUTE(E2415,"/",""))+2,LEN(E2415)-LEN(SUBSTITUTE(E2415,"/",""))+1))</f>
        <v/>
      </c>
      <c r="I2415" s="78">
        <f>IF(ISBLANK(G2415),"",IF(D2415="Stock","0",Key!$A$3*H2415*G2415))</f>
        <v/>
      </c>
      <c r="J2415" s="78">
        <f>IF(ISBLANK(E2415),"",IF(ISNUMBER(SEARCH("/",E2415)), IF(LEN(E2415)-LEN(SUBSTITUTE(E2415,"/",""))=1,(RIGHT(E2415,LEN(E2415)-FIND("/",E2415)))-(LEFT(E2415,FIND("/",E2415)-1)),(MID(E2415, SEARCH("/",E2415) + 1, SEARCH("/",E2415, SEARCH("/",E2415)+1) - SEARCH("/",E2415) - 1))-(LEFT(E2415,FIND("/",E2415)-1))), "NA"))</f>
        <v/>
      </c>
      <c r="K2415" s="79">
        <f>IF(A2415&lt;&gt;"", IF(ISBLANK(L2415), TODAY(), K2415), "")</f>
        <v/>
      </c>
      <c r="L2415" s="78" t="n"/>
      <c r="M2415" s="78">
        <f>IF(ISBLANK(L2415),"",IF(D2415="Stock",IF(C2415="Buy",L2415*G2415,IF(C2415="Sell",(L2415*G2415)-I2415, X)),IF(C2415="Buy",(L2415*G2415*100)+I2415,IF(C2415="Sell",(L2415*G2415*100)-I2415, X))))</f>
        <v/>
      </c>
      <c r="N2415" s="78">
        <f>IF(ISBLANK(L2415),"",IF(AND(C2415="Sell",D2415="Stock"),M2415,IF(ISBLANK(L2415),"",IF(C2415="Buy",M2415, IF(AND(C2415="Sell",J2415="NA"),(E2415*G2415*100*0.1)+I2415, IF(C2415="Sell",(J2415-L2415)*(100*G2415)+I2415))))))</f>
        <v/>
      </c>
      <c r="O2415" s="75" t="n"/>
      <c r="P2415" s="75" t="n"/>
      <c r="Q2415" s="75">
        <f>IF(ISBLANK(P2415),"",IF(D2415="Stock",P2415*G2415,IF(P2415=0,"0",G2415*P2415*100-(G2415*$AF$14))))</f>
        <v/>
      </c>
      <c r="R2415" s="79">
        <f>IF(P2415&lt;&gt;"", TODAY(), "")</f>
        <v/>
      </c>
      <c r="S2415" s="78">
        <f>IF(AND(K2415&lt;&gt;"", R2415&lt;&gt;""), R2415-K2415, "")</f>
        <v/>
      </c>
      <c r="T2415" s="78" t="n"/>
      <c r="U2415" s="92">
        <f>IF(ISBLANK(P2415),"",IF(C2415="Buy",Q2415-M2415+T2415, IF(C2415="Sell",M2415-Q2415-T2415, X)))</f>
        <v/>
      </c>
      <c r="V2415" s="81">
        <f>IF(ISBLANK(P2415),"",U2415/N2415)</f>
        <v/>
      </c>
      <c r="W2415" s="81">
        <f>IF(ISBLANK(P2415),"",IF(S2415=0,(365/0.5)*V2415,(365/S2415)*V2415))</f>
        <v/>
      </c>
      <c r="X2415" s="75" t="n"/>
      <c r="Y2415" s="77" t="n"/>
      <c r="Z2415" s="77" t="n"/>
      <c r="AA2415" s="75" t="n"/>
      <c r="AB2415" s="75" t="n"/>
      <c r="AC2415" s="6" t="n"/>
      <c r="AD2415" s="75" t="n"/>
      <c r="AE2415" s="75" t="n"/>
      <c r="AF2415" s="75" t="n"/>
    </row>
    <row r="2416" ht="15.75" customHeight="1" s="133">
      <c r="A2416" s="75" t="n"/>
      <c r="B2416" s="75" t="n"/>
      <c r="C2416" s="75" t="n"/>
      <c r="D2416" s="75" t="n"/>
      <c r="E2416" s="76" t="n"/>
      <c r="F2416" s="77" t="n"/>
      <c r="G2416" s="75" t="n"/>
      <c r="H2416" s="75">
        <f>IF(ISBLANK(E2416),"",IF(OR(D2416="Butterfly",D2416="Butterfly ",D2416="Iron Fly", D2416="Iron Fly "),LEN(E2416)-LEN(SUBSTITUTE(E2416,"/",""))+2,LEN(E2416)-LEN(SUBSTITUTE(E2416,"/",""))+1))</f>
        <v/>
      </c>
      <c r="I2416" s="78">
        <f>IF(ISBLANK(G2416),"",IF(D2416="Stock","0",Key!$A$3*H2416*G2416))</f>
        <v/>
      </c>
      <c r="J2416" s="78">
        <f>IF(ISBLANK(E2416),"",IF(ISNUMBER(SEARCH("/",E2416)), IF(LEN(E2416)-LEN(SUBSTITUTE(E2416,"/",""))=1,(RIGHT(E2416,LEN(E2416)-FIND("/",E2416)))-(LEFT(E2416,FIND("/",E2416)-1)),(MID(E2416, SEARCH("/",E2416) + 1, SEARCH("/",E2416, SEARCH("/",E2416)+1) - SEARCH("/",E2416) - 1))-(LEFT(E2416,FIND("/",E2416)-1))), "NA"))</f>
        <v/>
      </c>
      <c r="K2416" s="79">
        <f>IF(A2416&lt;&gt;"", IF(ISBLANK(L2416), TODAY(), K2416), "")</f>
        <v/>
      </c>
      <c r="L2416" s="78" t="n"/>
      <c r="M2416" s="78">
        <f>IF(ISBLANK(L2416),"",IF(D2416="Stock",IF(C2416="Buy",L2416*G2416,IF(C2416="Sell",(L2416*G2416)-I2416, X)),IF(C2416="Buy",(L2416*G2416*100)+I2416,IF(C2416="Sell",(L2416*G2416*100)-I2416, X))))</f>
        <v/>
      </c>
      <c r="N2416" s="78">
        <f>IF(ISBLANK(L2416),"",IF(AND(C2416="Sell",D2416="Stock"),M2416,IF(ISBLANK(L2416),"",IF(C2416="Buy",M2416, IF(AND(C2416="Sell",J2416="NA"),(E2416*G2416*100*0.1)+I2416, IF(C2416="Sell",(J2416-L2416)*(100*G2416)+I2416))))))</f>
        <v/>
      </c>
      <c r="O2416" s="75" t="n"/>
      <c r="P2416" s="75" t="n"/>
      <c r="Q2416" s="75">
        <f>IF(ISBLANK(P2416),"",IF(D2416="Stock",P2416*G2416,IF(P2416=0,"0",G2416*P2416*100-(G2416*$AF$14))))</f>
        <v/>
      </c>
      <c r="R2416" s="79">
        <f>IF(P2416&lt;&gt;"", TODAY(), "")</f>
        <v/>
      </c>
      <c r="S2416" s="78">
        <f>IF(AND(K2416&lt;&gt;"", R2416&lt;&gt;""), R2416-K2416, "")</f>
        <v/>
      </c>
      <c r="T2416" s="78" t="n"/>
      <c r="U2416" s="92">
        <f>IF(ISBLANK(P2416),"",IF(C2416="Buy",Q2416-M2416+T2416, IF(C2416="Sell",M2416-Q2416-T2416, X)))</f>
        <v/>
      </c>
      <c r="V2416" s="81">
        <f>IF(ISBLANK(P2416),"",U2416/N2416)</f>
        <v/>
      </c>
      <c r="W2416" s="81">
        <f>IF(ISBLANK(P2416),"",IF(S2416=0,(365/0.5)*V2416,(365/S2416)*V2416))</f>
        <v/>
      </c>
      <c r="X2416" s="75" t="n"/>
      <c r="Y2416" s="77" t="n"/>
      <c r="Z2416" s="77" t="n"/>
      <c r="AA2416" s="75" t="n"/>
      <c r="AB2416" s="75" t="n"/>
      <c r="AC2416" s="6" t="n"/>
      <c r="AD2416" s="75" t="n"/>
      <c r="AE2416" s="75" t="n"/>
      <c r="AF2416" s="75" t="n"/>
    </row>
    <row r="2417" ht="15.75" customHeight="1" s="133">
      <c r="A2417" s="75" t="n"/>
      <c r="B2417" s="75" t="n"/>
      <c r="C2417" s="75" t="n"/>
      <c r="D2417" s="75" t="n"/>
      <c r="E2417" s="76" t="n"/>
      <c r="F2417" s="77" t="n"/>
      <c r="G2417" s="75" t="n"/>
      <c r="H2417" s="75">
        <f>IF(ISBLANK(E2417),"",IF(OR(D2417="Butterfly",D2417="Butterfly ",D2417="Iron Fly", D2417="Iron Fly "),LEN(E2417)-LEN(SUBSTITUTE(E2417,"/",""))+2,LEN(E2417)-LEN(SUBSTITUTE(E2417,"/",""))+1))</f>
        <v/>
      </c>
      <c r="I2417" s="78">
        <f>IF(ISBLANK(G2417),"",IF(D2417="Stock","0",Key!$A$3*H2417*G2417))</f>
        <v/>
      </c>
      <c r="J2417" s="78">
        <f>IF(ISBLANK(E2417),"",IF(ISNUMBER(SEARCH("/",E2417)), IF(LEN(E2417)-LEN(SUBSTITUTE(E2417,"/",""))=1,(RIGHT(E2417,LEN(E2417)-FIND("/",E2417)))-(LEFT(E2417,FIND("/",E2417)-1)),(MID(E2417, SEARCH("/",E2417) + 1, SEARCH("/",E2417, SEARCH("/",E2417)+1) - SEARCH("/",E2417) - 1))-(LEFT(E2417,FIND("/",E2417)-1))), "NA"))</f>
        <v/>
      </c>
      <c r="K2417" s="79">
        <f>IF(A2417&lt;&gt;"", IF(ISBLANK(L2417), TODAY(), K2417), "")</f>
        <v/>
      </c>
      <c r="L2417" s="78" t="n"/>
      <c r="M2417" s="78">
        <f>IF(ISBLANK(L2417),"",IF(D2417="Stock",IF(C2417="Buy",L2417*G2417,IF(C2417="Sell",(L2417*G2417)-I2417, X)),IF(C2417="Buy",(L2417*G2417*100)+I2417,IF(C2417="Sell",(L2417*G2417*100)-I2417, X))))</f>
        <v/>
      </c>
      <c r="N2417" s="78">
        <f>IF(ISBLANK(L2417),"",IF(AND(C2417="Sell",D2417="Stock"),M2417,IF(ISBLANK(L2417),"",IF(C2417="Buy",M2417, IF(AND(C2417="Sell",J2417="NA"),(E2417*G2417*100*0.1)+I2417, IF(C2417="Sell",(J2417-L2417)*(100*G2417)+I2417))))))</f>
        <v/>
      </c>
      <c r="O2417" s="75" t="n"/>
      <c r="P2417" s="75" t="n"/>
      <c r="Q2417" s="75">
        <f>IF(ISBLANK(P2417),"",IF(D2417="Stock",P2417*G2417,IF(P2417=0,"0",G2417*P2417*100-(G2417*$AF$14))))</f>
        <v/>
      </c>
      <c r="R2417" s="79">
        <f>IF(P2417&lt;&gt;"", TODAY(), "")</f>
        <v/>
      </c>
      <c r="S2417" s="78">
        <f>IF(AND(K2417&lt;&gt;"", R2417&lt;&gt;""), R2417-K2417, "")</f>
        <v/>
      </c>
      <c r="T2417" s="78" t="n"/>
      <c r="U2417" s="92">
        <f>IF(ISBLANK(P2417),"",IF(C2417="Buy",Q2417-M2417+T2417, IF(C2417="Sell",M2417-Q2417-T2417, X)))</f>
        <v/>
      </c>
      <c r="V2417" s="81">
        <f>IF(ISBLANK(P2417),"",U2417/N2417)</f>
        <v/>
      </c>
      <c r="W2417" s="81">
        <f>IF(ISBLANK(P2417),"",IF(S2417=0,(365/0.5)*V2417,(365/S2417)*V2417))</f>
        <v/>
      </c>
      <c r="X2417" s="75" t="n"/>
      <c r="Y2417" s="77" t="n"/>
      <c r="Z2417" s="77" t="n"/>
      <c r="AA2417" s="75" t="n"/>
      <c r="AB2417" s="75" t="n"/>
      <c r="AC2417" s="6" t="n"/>
      <c r="AD2417" s="75" t="n"/>
      <c r="AE2417" s="75" t="n"/>
      <c r="AF2417" s="75" t="n"/>
    </row>
    <row r="2418" ht="15.75" customHeight="1" s="133">
      <c r="A2418" s="75" t="n"/>
      <c r="B2418" s="75" t="n"/>
      <c r="C2418" s="75" t="n"/>
      <c r="D2418" s="75" t="n"/>
      <c r="E2418" s="76" t="n"/>
      <c r="F2418" s="77" t="n"/>
      <c r="G2418" s="75" t="n"/>
      <c r="H2418" s="75">
        <f>IF(ISBLANK(E2418),"",IF(OR(D2418="Butterfly",D2418="Butterfly ",D2418="Iron Fly", D2418="Iron Fly "),LEN(E2418)-LEN(SUBSTITUTE(E2418,"/",""))+2,LEN(E2418)-LEN(SUBSTITUTE(E2418,"/",""))+1))</f>
        <v/>
      </c>
      <c r="I2418" s="78">
        <f>IF(ISBLANK(G2418),"",IF(D2418="Stock","0",Key!$A$3*H2418*G2418))</f>
        <v/>
      </c>
      <c r="J2418" s="78">
        <f>IF(ISBLANK(E2418),"",IF(ISNUMBER(SEARCH("/",E2418)), IF(LEN(E2418)-LEN(SUBSTITUTE(E2418,"/",""))=1,(RIGHT(E2418,LEN(E2418)-FIND("/",E2418)))-(LEFT(E2418,FIND("/",E2418)-1)),(MID(E2418, SEARCH("/",E2418) + 1, SEARCH("/",E2418, SEARCH("/",E2418)+1) - SEARCH("/",E2418) - 1))-(LEFT(E2418,FIND("/",E2418)-1))), "NA"))</f>
        <v/>
      </c>
      <c r="K2418" s="79">
        <f>IF(A2418&lt;&gt;"", IF(ISBLANK(L2418), TODAY(), K2418), "")</f>
        <v/>
      </c>
      <c r="L2418" s="78" t="n"/>
      <c r="M2418" s="78">
        <f>IF(ISBLANK(L2418),"",IF(D2418="Stock",IF(C2418="Buy",L2418*G2418,IF(C2418="Sell",(L2418*G2418)-I2418, X)),IF(C2418="Buy",(L2418*G2418*100)+I2418,IF(C2418="Sell",(L2418*G2418*100)-I2418, X))))</f>
        <v/>
      </c>
      <c r="N2418" s="78">
        <f>IF(ISBLANK(L2418),"",IF(AND(C2418="Sell",D2418="Stock"),M2418,IF(ISBLANK(L2418),"",IF(C2418="Buy",M2418, IF(AND(C2418="Sell",J2418="NA"),(E2418*G2418*100*0.1)+I2418, IF(C2418="Sell",(J2418-L2418)*(100*G2418)+I2418))))))</f>
        <v/>
      </c>
      <c r="O2418" s="75" t="n"/>
      <c r="P2418" s="75" t="n"/>
      <c r="Q2418" s="75">
        <f>IF(ISBLANK(P2418),"",IF(D2418="Stock",P2418*G2418,IF(P2418=0,"0",G2418*P2418*100-(G2418*$AF$14))))</f>
        <v/>
      </c>
      <c r="R2418" s="79">
        <f>IF(P2418&lt;&gt;"", TODAY(), "")</f>
        <v/>
      </c>
      <c r="S2418" s="78">
        <f>IF(AND(K2418&lt;&gt;"", R2418&lt;&gt;""), R2418-K2418, "")</f>
        <v/>
      </c>
      <c r="T2418" s="78" t="n"/>
      <c r="U2418" s="92">
        <f>IF(ISBLANK(P2418),"",IF(C2418="Buy",Q2418-M2418+T2418, IF(C2418="Sell",M2418-Q2418-T2418, X)))</f>
        <v/>
      </c>
      <c r="V2418" s="81">
        <f>IF(ISBLANK(P2418),"",U2418/N2418)</f>
        <v/>
      </c>
      <c r="W2418" s="81">
        <f>IF(ISBLANK(P2418),"",IF(S2418=0,(365/0.5)*V2418,(365/S2418)*V2418))</f>
        <v/>
      </c>
      <c r="X2418" s="75" t="n"/>
      <c r="Y2418" s="77" t="n"/>
      <c r="Z2418" s="77" t="n"/>
      <c r="AA2418" s="75" t="n"/>
      <c r="AB2418" s="75" t="n"/>
      <c r="AC2418" s="6" t="n"/>
      <c r="AD2418" s="75" t="n"/>
      <c r="AE2418" s="75" t="n"/>
      <c r="AF2418" s="75" t="n"/>
    </row>
    <row r="2419" ht="15.75" customHeight="1" s="133">
      <c r="A2419" s="75" t="n"/>
      <c r="B2419" s="75" t="n"/>
      <c r="C2419" s="75" t="n"/>
      <c r="D2419" s="75" t="n"/>
      <c r="E2419" s="76" t="n"/>
      <c r="F2419" s="77" t="n"/>
      <c r="G2419" s="75" t="n"/>
      <c r="H2419" s="75">
        <f>IF(ISBLANK(E2419),"",IF(OR(D2419="Butterfly",D2419="Butterfly ",D2419="Iron Fly", D2419="Iron Fly "),LEN(E2419)-LEN(SUBSTITUTE(E2419,"/",""))+2,LEN(E2419)-LEN(SUBSTITUTE(E2419,"/",""))+1))</f>
        <v/>
      </c>
      <c r="I2419" s="78">
        <f>IF(ISBLANK(G2419),"",IF(D2419="Stock","0",Key!$A$3*H2419*G2419))</f>
        <v/>
      </c>
      <c r="J2419" s="78">
        <f>IF(ISBLANK(E2419),"",IF(ISNUMBER(SEARCH("/",E2419)), IF(LEN(E2419)-LEN(SUBSTITUTE(E2419,"/",""))=1,(RIGHT(E2419,LEN(E2419)-FIND("/",E2419)))-(LEFT(E2419,FIND("/",E2419)-1)),(MID(E2419, SEARCH("/",E2419) + 1, SEARCH("/",E2419, SEARCH("/",E2419)+1) - SEARCH("/",E2419) - 1))-(LEFT(E2419,FIND("/",E2419)-1))), "NA"))</f>
        <v/>
      </c>
      <c r="K2419" s="79">
        <f>IF(A2419&lt;&gt;"", IF(ISBLANK(L2419), TODAY(), K2419), "")</f>
        <v/>
      </c>
      <c r="L2419" s="78" t="n"/>
      <c r="M2419" s="78">
        <f>IF(ISBLANK(L2419),"",IF(D2419="Stock",IF(C2419="Buy",L2419*G2419,IF(C2419="Sell",(L2419*G2419)-I2419, X)),IF(C2419="Buy",(L2419*G2419*100)+I2419,IF(C2419="Sell",(L2419*G2419*100)-I2419, X))))</f>
        <v/>
      </c>
      <c r="N2419" s="78">
        <f>IF(ISBLANK(L2419),"",IF(AND(C2419="Sell",D2419="Stock"),M2419,IF(ISBLANK(L2419),"",IF(C2419="Buy",M2419, IF(AND(C2419="Sell",J2419="NA"),(E2419*G2419*100*0.1)+I2419, IF(C2419="Sell",(J2419-L2419)*(100*G2419)+I2419))))))</f>
        <v/>
      </c>
      <c r="O2419" s="75" t="n"/>
      <c r="P2419" s="75" t="n"/>
      <c r="Q2419" s="75">
        <f>IF(ISBLANK(P2419),"",IF(D2419="Stock",P2419*G2419,IF(P2419=0,"0",G2419*P2419*100-(G2419*$AF$14))))</f>
        <v/>
      </c>
      <c r="R2419" s="79">
        <f>IF(P2419&lt;&gt;"", TODAY(), "")</f>
        <v/>
      </c>
      <c r="S2419" s="78">
        <f>IF(AND(K2419&lt;&gt;"", R2419&lt;&gt;""), R2419-K2419, "")</f>
        <v/>
      </c>
      <c r="T2419" s="78" t="n"/>
      <c r="U2419" s="92">
        <f>IF(ISBLANK(P2419),"",IF(C2419="Buy",Q2419-M2419+T2419, IF(C2419="Sell",M2419-Q2419-T2419, X)))</f>
        <v/>
      </c>
      <c r="V2419" s="81">
        <f>IF(ISBLANK(P2419),"",U2419/N2419)</f>
        <v/>
      </c>
      <c r="W2419" s="81">
        <f>IF(ISBLANK(P2419),"",IF(S2419=0,(365/0.5)*V2419,(365/S2419)*V2419))</f>
        <v/>
      </c>
      <c r="X2419" s="75" t="n"/>
      <c r="Y2419" s="77" t="n"/>
      <c r="Z2419" s="77" t="n"/>
      <c r="AA2419" s="75" t="n"/>
      <c r="AB2419" s="75" t="n"/>
      <c r="AC2419" s="6" t="n"/>
      <c r="AD2419" s="75" t="n"/>
      <c r="AE2419" s="75" t="n"/>
      <c r="AF2419" s="75" t="n"/>
    </row>
    <row r="2420" ht="15.75" customHeight="1" s="133">
      <c r="A2420" s="75" t="n"/>
      <c r="B2420" s="75" t="n"/>
      <c r="C2420" s="75" t="n"/>
      <c r="D2420" s="75" t="n"/>
      <c r="E2420" s="76" t="n"/>
      <c r="F2420" s="77" t="n"/>
      <c r="G2420" s="75" t="n"/>
      <c r="H2420" s="75">
        <f>IF(ISBLANK(E2420),"",IF(OR(D2420="Butterfly",D2420="Butterfly ",D2420="Iron Fly", D2420="Iron Fly "),LEN(E2420)-LEN(SUBSTITUTE(E2420,"/",""))+2,LEN(E2420)-LEN(SUBSTITUTE(E2420,"/",""))+1))</f>
        <v/>
      </c>
      <c r="I2420" s="78">
        <f>IF(ISBLANK(G2420),"",IF(D2420="Stock","0",Key!$A$3*H2420*G2420))</f>
        <v/>
      </c>
      <c r="J2420" s="78">
        <f>IF(ISBLANK(E2420),"",IF(ISNUMBER(SEARCH("/",E2420)), IF(LEN(E2420)-LEN(SUBSTITUTE(E2420,"/",""))=1,(RIGHT(E2420,LEN(E2420)-FIND("/",E2420)))-(LEFT(E2420,FIND("/",E2420)-1)),(MID(E2420, SEARCH("/",E2420) + 1, SEARCH("/",E2420, SEARCH("/",E2420)+1) - SEARCH("/",E2420) - 1))-(LEFT(E2420,FIND("/",E2420)-1))), "NA"))</f>
        <v/>
      </c>
      <c r="K2420" s="79">
        <f>IF(A2420&lt;&gt;"", IF(ISBLANK(L2420), TODAY(), K2420), "")</f>
        <v/>
      </c>
      <c r="L2420" s="78" t="n"/>
      <c r="M2420" s="78">
        <f>IF(ISBLANK(L2420),"",IF(D2420="Stock",IF(C2420="Buy",L2420*G2420,IF(C2420="Sell",(L2420*G2420)-I2420, X)),IF(C2420="Buy",(L2420*G2420*100)+I2420,IF(C2420="Sell",(L2420*G2420*100)-I2420, X))))</f>
        <v/>
      </c>
      <c r="N2420" s="78">
        <f>IF(ISBLANK(L2420),"",IF(AND(C2420="Sell",D2420="Stock"),M2420,IF(ISBLANK(L2420),"",IF(C2420="Buy",M2420, IF(AND(C2420="Sell",J2420="NA"),(E2420*G2420*100*0.1)+I2420, IF(C2420="Sell",(J2420-L2420)*(100*G2420)+I2420))))))</f>
        <v/>
      </c>
      <c r="O2420" s="75" t="n"/>
      <c r="P2420" s="75" t="n"/>
      <c r="Q2420" s="75">
        <f>IF(ISBLANK(P2420),"",IF(D2420="Stock",P2420*G2420,IF(P2420=0,"0",G2420*P2420*100-(G2420*$AF$14))))</f>
        <v/>
      </c>
      <c r="R2420" s="79">
        <f>IF(P2420&lt;&gt;"", TODAY(), "")</f>
        <v/>
      </c>
      <c r="S2420" s="78">
        <f>IF(AND(K2420&lt;&gt;"", R2420&lt;&gt;""), R2420-K2420, "")</f>
        <v/>
      </c>
      <c r="T2420" s="78" t="n"/>
      <c r="U2420" s="92">
        <f>IF(ISBLANK(P2420),"",IF(C2420="Buy",Q2420-M2420+T2420, IF(C2420="Sell",M2420-Q2420-T2420, X)))</f>
        <v/>
      </c>
      <c r="V2420" s="81">
        <f>IF(ISBLANK(P2420),"",U2420/N2420)</f>
        <v/>
      </c>
      <c r="W2420" s="81">
        <f>IF(ISBLANK(P2420),"",IF(S2420=0,(365/0.5)*V2420,(365/S2420)*V2420))</f>
        <v/>
      </c>
      <c r="X2420" s="75" t="n"/>
      <c r="Y2420" s="77" t="n"/>
      <c r="Z2420" s="77" t="n"/>
      <c r="AA2420" s="75" t="n"/>
      <c r="AB2420" s="75" t="n"/>
      <c r="AC2420" s="6" t="n"/>
      <c r="AD2420" s="75" t="n"/>
      <c r="AE2420" s="75" t="n"/>
      <c r="AF2420" s="75" t="n"/>
    </row>
    <row r="2421" ht="15.75" customHeight="1" s="133">
      <c r="A2421" s="75" t="n"/>
      <c r="B2421" s="75" t="n"/>
      <c r="C2421" s="75" t="n"/>
      <c r="D2421" s="75" t="n"/>
      <c r="E2421" s="76" t="n"/>
      <c r="F2421" s="77" t="n"/>
      <c r="G2421" s="75" t="n"/>
      <c r="H2421" s="75">
        <f>IF(ISBLANK(E2421),"",IF(OR(D2421="Butterfly",D2421="Butterfly ",D2421="Iron Fly", D2421="Iron Fly "),LEN(E2421)-LEN(SUBSTITUTE(E2421,"/",""))+2,LEN(E2421)-LEN(SUBSTITUTE(E2421,"/",""))+1))</f>
        <v/>
      </c>
      <c r="I2421" s="78">
        <f>IF(ISBLANK(G2421),"",IF(D2421="Stock","0",Key!$A$3*H2421*G2421))</f>
        <v/>
      </c>
      <c r="J2421" s="78">
        <f>IF(ISBLANK(E2421),"",IF(ISNUMBER(SEARCH("/",E2421)), IF(LEN(E2421)-LEN(SUBSTITUTE(E2421,"/",""))=1,(RIGHT(E2421,LEN(E2421)-FIND("/",E2421)))-(LEFT(E2421,FIND("/",E2421)-1)),(MID(E2421, SEARCH("/",E2421) + 1, SEARCH("/",E2421, SEARCH("/",E2421)+1) - SEARCH("/",E2421) - 1))-(LEFT(E2421,FIND("/",E2421)-1))), "NA"))</f>
        <v/>
      </c>
      <c r="K2421" s="79">
        <f>IF(A2421&lt;&gt;"", IF(ISBLANK(L2421), TODAY(), K2421), "")</f>
        <v/>
      </c>
      <c r="L2421" s="78" t="n"/>
      <c r="M2421" s="78">
        <f>IF(ISBLANK(L2421),"",IF(D2421="Stock",IF(C2421="Buy",L2421*G2421,IF(C2421="Sell",(L2421*G2421)-I2421, X)),IF(C2421="Buy",(L2421*G2421*100)+I2421,IF(C2421="Sell",(L2421*G2421*100)-I2421, X))))</f>
        <v/>
      </c>
      <c r="N2421" s="78">
        <f>IF(ISBLANK(L2421),"",IF(AND(C2421="Sell",D2421="Stock"),M2421,IF(ISBLANK(L2421),"",IF(C2421="Buy",M2421, IF(AND(C2421="Sell",J2421="NA"),(E2421*G2421*100*0.1)+I2421, IF(C2421="Sell",(J2421-L2421)*(100*G2421)+I2421))))))</f>
        <v/>
      </c>
      <c r="O2421" s="75" t="n"/>
      <c r="P2421" s="75" t="n"/>
      <c r="Q2421" s="75">
        <f>IF(ISBLANK(P2421),"",IF(D2421="Stock",P2421*G2421,IF(P2421=0,"0",G2421*P2421*100-(G2421*$AF$14))))</f>
        <v/>
      </c>
      <c r="R2421" s="79">
        <f>IF(P2421&lt;&gt;"", TODAY(), "")</f>
        <v/>
      </c>
      <c r="S2421" s="78">
        <f>IF(AND(K2421&lt;&gt;"", R2421&lt;&gt;""), R2421-K2421, "")</f>
        <v/>
      </c>
      <c r="T2421" s="78" t="n"/>
      <c r="U2421" s="92">
        <f>IF(ISBLANK(P2421),"",IF(C2421="Buy",Q2421-M2421+T2421, IF(C2421="Sell",M2421-Q2421-T2421, X)))</f>
        <v/>
      </c>
      <c r="V2421" s="81">
        <f>IF(ISBLANK(P2421),"",U2421/N2421)</f>
        <v/>
      </c>
      <c r="W2421" s="81">
        <f>IF(ISBLANK(P2421),"",IF(S2421=0,(365/0.5)*V2421,(365/S2421)*V2421))</f>
        <v/>
      </c>
      <c r="X2421" s="75" t="n"/>
      <c r="Y2421" s="77" t="n"/>
      <c r="Z2421" s="77" t="n"/>
      <c r="AA2421" s="75" t="n"/>
      <c r="AB2421" s="75" t="n"/>
      <c r="AC2421" s="6" t="n"/>
      <c r="AD2421" s="75" t="n"/>
      <c r="AE2421" s="75" t="n"/>
      <c r="AF2421" s="75" t="n"/>
    </row>
    <row r="2422" ht="15.75" customHeight="1" s="133">
      <c r="A2422" s="75" t="n"/>
      <c r="B2422" s="75" t="n"/>
      <c r="C2422" s="75" t="n"/>
      <c r="D2422" s="75" t="n"/>
      <c r="E2422" s="76" t="n"/>
      <c r="F2422" s="77" t="n"/>
      <c r="G2422" s="75" t="n"/>
      <c r="H2422" s="75">
        <f>IF(ISBLANK(E2422),"",IF(OR(D2422="Butterfly",D2422="Butterfly ",D2422="Iron Fly", D2422="Iron Fly "),LEN(E2422)-LEN(SUBSTITUTE(E2422,"/",""))+2,LEN(E2422)-LEN(SUBSTITUTE(E2422,"/",""))+1))</f>
        <v/>
      </c>
      <c r="I2422" s="78">
        <f>IF(ISBLANK(G2422),"",IF(D2422="Stock","0",Key!$A$3*H2422*G2422))</f>
        <v/>
      </c>
      <c r="J2422" s="78">
        <f>IF(ISBLANK(E2422),"",IF(ISNUMBER(SEARCH("/",E2422)), IF(LEN(E2422)-LEN(SUBSTITUTE(E2422,"/",""))=1,(RIGHT(E2422,LEN(E2422)-FIND("/",E2422)))-(LEFT(E2422,FIND("/",E2422)-1)),(MID(E2422, SEARCH("/",E2422) + 1, SEARCH("/",E2422, SEARCH("/",E2422)+1) - SEARCH("/",E2422) - 1))-(LEFT(E2422,FIND("/",E2422)-1))), "NA"))</f>
        <v/>
      </c>
      <c r="K2422" s="79">
        <f>IF(A2422&lt;&gt;"", IF(ISBLANK(L2422), TODAY(), K2422), "")</f>
        <v/>
      </c>
      <c r="L2422" s="78" t="n"/>
      <c r="M2422" s="78">
        <f>IF(ISBLANK(L2422),"",IF(D2422="Stock",IF(C2422="Buy",L2422*G2422,IF(C2422="Sell",(L2422*G2422)-I2422, X)),IF(C2422="Buy",(L2422*G2422*100)+I2422,IF(C2422="Sell",(L2422*G2422*100)-I2422, X))))</f>
        <v/>
      </c>
      <c r="N2422" s="78">
        <f>IF(ISBLANK(L2422),"",IF(AND(C2422="Sell",D2422="Stock"),M2422,IF(ISBLANK(L2422),"",IF(C2422="Buy",M2422, IF(AND(C2422="Sell",J2422="NA"),(E2422*G2422*100*0.1)+I2422, IF(C2422="Sell",(J2422-L2422)*(100*G2422)+I2422))))))</f>
        <v/>
      </c>
      <c r="O2422" s="75" t="n"/>
      <c r="P2422" s="75" t="n"/>
      <c r="Q2422" s="75">
        <f>IF(ISBLANK(P2422),"",IF(D2422="Stock",P2422*G2422,IF(P2422=0,"0",G2422*P2422*100-(G2422*$AF$14))))</f>
        <v/>
      </c>
      <c r="R2422" s="79">
        <f>IF(P2422&lt;&gt;"", TODAY(), "")</f>
        <v/>
      </c>
      <c r="S2422" s="78">
        <f>IF(AND(K2422&lt;&gt;"", R2422&lt;&gt;""), R2422-K2422, "")</f>
        <v/>
      </c>
      <c r="T2422" s="78" t="n"/>
      <c r="U2422" s="92">
        <f>IF(ISBLANK(P2422),"",IF(C2422="Buy",Q2422-M2422+T2422, IF(C2422="Sell",M2422-Q2422-T2422, X)))</f>
        <v/>
      </c>
      <c r="V2422" s="81">
        <f>IF(ISBLANK(P2422),"",U2422/N2422)</f>
        <v/>
      </c>
      <c r="W2422" s="81">
        <f>IF(ISBLANK(P2422),"",IF(S2422=0,(365/0.5)*V2422,(365/S2422)*V2422))</f>
        <v/>
      </c>
      <c r="X2422" s="75" t="n"/>
      <c r="Y2422" s="77" t="n"/>
      <c r="Z2422" s="77" t="n"/>
      <c r="AA2422" s="75" t="n"/>
      <c r="AB2422" s="75" t="n"/>
      <c r="AC2422" s="6" t="n"/>
      <c r="AD2422" s="75" t="n"/>
      <c r="AE2422" s="75" t="n"/>
      <c r="AF2422" s="75" t="n"/>
    </row>
    <row r="2423" ht="15.75" customHeight="1" s="133">
      <c r="A2423" s="75" t="n"/>
      <c r="B2423" s="75" t="n"/>
      <c r="C2423" s="75" t="n"/>
      <c r="D2423" s="75" t="n"/>
      <c r="E2423" s="76" t="n"/>
      <c r="F2423" s="77" t="n"/>
      <c r="G2423" s="75" t="n"/>
      <c r="H2423" s="75">
        <f>IF(ISBLANK(E2423),"",IF(OR(D2423="Butterfly",D2423="Butterfly ",D2423="Iron Fly", D2423="Iron Fly "),LEN(E2423)-LEN(SUBSTITUTE(E2423,"/",""))+2,LEN(E2423)-LEN(SUBSTITUTE(E2423,"/",""))+1))</f>
        <v/>
      </c>
      <c r="I2423" s="78">
        <f>IF(ISBLANK(G2423),"",IF(D2423="Stock","0",Key!$A$3*H2423*G2423))</f>
        <v/>
      </c>
      <c r="J2423" s="78">
        <f>IF(ISBLANK(E2423),"",IF(ISNUMBER(SEARCH("/",E2423)), IF(LEN(E2423)-LEN(SUBSTITUTE(E2423,"/",""))=1,(RIGHT(E2423,LEN(E2423)-FIND("/",E2423)))-(LEFT(E2423,FIND("/",E2423)-1)),(MID(E2423, SEARCH("/",E2423) + 1, SEARCH("/",E2423, SEARCH("/",E2423)+1) - SEARCH("/",E2423) - 1))-(LEFT(E2423,FIND("/",E2423)-1))), "NA"))</f>
        <v/>
      </c>
      <c r="K2423" s="79">
        <f>IF(A2423&lt;&gt;"", IF(ISBLANK(L2423), TODAY(), K2423), "")</f>
        <v/>
      </c>
      <c r="L2423" s="78" t="n"/>
      <c r="M2423" s="78">
        <f>IF(ISBLANK(L2423),"",IF(D2423="Stock",IF(C2423="Buy",L2423*G2423,IF(C2423="Sell",(L2423*G2423)-I2423, X)),IF(C2423="Buy",(L2423*G2423*100)+I2423,IF(C2423="Sell",(L2423*G2423*100)-I2423, X))))</f>
        <v/>
      </c>
      <c r="N2423" s="78">
        <f>IF(ISBLANK(L2423),"",IF(AND(C2423="Sell",D2423="Stock"),M2423,IF(ISBLANK(L2423),"",IF(C2423="Buy",M2423, IF(AND(C2423="Sell",J2423="NA"),(E2423*G2423*100*0.1)+I2423, IF(C2423="Sell",(J2423-L2423)*(100*G2423)+I2423))))))</f>
        <v/>
      </c>
      <c r="O2423" s="75" t="n"/>
      <c r="P2423" s="75" t="n"/>
      <c r="Q2423" s="75">
        <f>IF(ISBLANK(P2423),"",IF(D2423="Stock",P2423*G2423,IF(P2423=0,"0",G2423*P2423*100-(G2423*$AF$14))))</f>
        <v/>
      </c>
      <c r="R2423" s="79">
        <f>IF(P2423&lt;&gt;"", TODAY(), "")</f>
        <v/>
      </c>
      <c r="S2423" s="78">
        <f>IF(AND(K2423&lt;&gt;"", R2423&lt;&gt;""), R2423-K2423, "")</f>
        <v/>
      </c>
      <c r="T2423" s="78" t="n"/>
      <c r="U2423" s="92">
        <f>IF(ISBLANK(P2423),"",IF(C2423="Buy",Q2423-M2423+T2423, IF(C2423="Sell",M2423-Q2423-T2423, X)))</f>
        <v/>
      </c>
      <c r="V2423" s="81">
        <f>IF(ISBLANK(P2423),"",U2423/N2423)</f>
        <v/>
      </c>
      <c r="W2423" s="81">
        <f>IF(ISBLANK(P2423),"",IF(S2423=0,(365/0.5)*V2423,(365/S2423)*V2423))</f>
        <v/>
      </c>
      <c r="X2423" s="75" t="n"/>
      <c r="Y2423" s="77" t="n"/>
      <c r="Z2423" s="77" t="n"/>
      <c r="AA2423" s="75" t="n"/>
      <c r="AB2423" s="75" t="n"/>
      <c r="AC2423" s="6" t="n"/>
      <c r="AD2423" s="75" t="n"/>
      <c r="AE2423" s="75" t="n"/>
      <c r="AF2423" s="75" t="n"/>
    </row>
    <row r="2424" ht="15.75" customHeight="1" s="133">
      <c r="A2424" s="75" t="n"/>
      <c r="B2424" s="75" t="n"/>
      <c r="C2424" s="75" t="n"/>
      <c r="D2424" s="75" t="n"/>
      <c r="E2424" s="76" t="n"/>
      <c r="F2424" s="77" t="n"/>
      <c r="G2424" s="75" t="n"/>
      <c r="H2424" s="75">
        <f>IF(ISBLANK(E2424),"",IF(OR(D2424="Butterfly",D2424="Butterfly ",D2424="Iron Fly", D2424="Iron Fly "),LEN(E2424)-LEN(SUBSTITUTE(E2424,"/",""))+2,LEN(E2424)-LEN(SUBSTITUTE(E2424,"/",""))+1))</f>
        <v/>
      </c>
      <c r="I2424" s="78">
        <f>IF(ISBLANK(G2424),"",IF(D2424="Stock","0",Key!$A$3*H2424*G2424))</f>
        <v/>
      </c>
      <c r="J2424" s="78">
        <f>IF(ISBLANK(E2424),"",IF(ISNUMBER(SEARCH("/",E2424)), IF(LEN(E2424)-LEN(SUBSTITUTE(E2424,"/",""))=1,(RIGHT(E2424,LEN(E2424)-FIND("/",E2424)))-(LEFT(E2424,FIND("/",E2424)-1)),(MID(E2424, SEARCH("/",E2424) + 1, SEARCH("/",E2424, SEARCH("/",E2424)+1) - SEARCH("/",E2424) - 1))-(LEFT(E2424,FIND("/",E2424)-1))), "NA"))</f>
        <v/>
      </c>
      <c r="K2424" s="79">
        <f>IF(A2424&lt;&gt;"", IF(ISBLANK(L2424), TODAY(), K2424), "")</f>
        <v/>
      </c>
      <c r="L2424" s="78" t="n"/>
      <c r="M2424" s="78">
        <f>IF(ISBLANK(L2424),"",IF(D2424="Stock",IF(C2424="Buy",L2424*G2424,IF(C2424="Sell",(L2424*G2424)-I2424, X)),IF(C2424="Buy",(L2424*G2424*100)+I2424,IF(C2424="Sell",(L2424*G2424*100)-I2424, X))))</f>
        <v/>
      </c>
      <c r="N2424" s="78">
        <f>IF(ISBLANK(L2424),"",IF(AND(C2424="Sell",D2424="Stock"),M2424,IF(ISBLANK(L2424),"",IF(C2424="Buy",M2424, IF(AND(C2424="Sell",J2424="NA"),(E2424*G2424*100*0.1)+I2424, IF(C2424="Sell",(J2424-L2424)*(100*G2424)+I2424))))))</f>
        <v/>
      </c>
      <c r="O2424" s="75" t="n"/>
      <c r="P2424" s="75" t="n"/>
      <c r="Q2424" s="75">
        <f>IF(ISBLANK(P2424),"",IF(D2424="Stock",P2424*G2424,IF(P2424=0,"0",G2424*P2424*100-(G2424*$AF$14))))</f>
        <v/>
      </c>
      <c r="R2424" s="79">
        <f>IF(P2424&lt;&gt;"", TODAY(), "")</f>
        <v/>
      </c>
      <c r="S2424" s="78">
        <f>IF(AND(K2424&lt;&gt;"", R2424&lt;&gt;""), R2424-K2424, "")</f>
        <v/>
      </c>
      <c r="T2424" s="78" t="n"/>
      <c r="U2424" s="92">
        <f>IF(ISBLANK(P2424),"",IF(C2424="Buy",Q2424-M2424+T2424, IF(C2424="Sell",M2424-Q2424-T2424, X)))</f>
        <v/>
      </c>
      <c r="V2424" s="81">
        <f>IF(ISBLANK(P2424),"",U2424/N2424)</f>
        <v/>
      </c>
      <c r="W2424" s="81">
        <f>IF(ISBLANK(P2424),"",IF(S2424=0,(365/0.5)*V2424,(365/S2424)*V2424))</f>
        <v/>
      </c>
      <c r="X2424" s="75" t="n"/>
      <c r="Y2424" s="77" t="n"/>
      <c r="Z2424" s="77" t="n"/>
      <c r="AA2424" s="75" t="n"/>
      <c r="AB2424" s="75" t="n"/>
      <c r="AC2424" s="6" t="n"/>
      <c r="AD2424" s="75" t="n"/>
      <c r="AE2424" s="75" t="n"/>
      <c r="AF2424" s="75" t="n"/>
    </row>
    <row r="2425" ht="15.75" customHeight="1" s="133">
      <c r="A2425" s="75" t="n"/>
      <c r="B2425" s="75" t="n"/>
      <c r="C2425" s="75" t="n"/>
      <c r="D2425" s="75" t="n"/>
      <c r="E2425" s="76" t="n"/>
      <c r="F2425" s="77" t="n"/>
      <c r="G2425" s="75" t="n"/>
      <c r="H2425" s="75">
        <f>IF(ISBLANK(E2425),"",IF(OR(D2425="Butterfly",D2425="Butterfly ",D2425="Iron Fly", D2425="Iron Fly "),LEN(E2425)-LEN(SUBSTITUTE(E2425,"/",""))+2,LEN(E2425)-LEN(SUBSTITUTE(E2425,"/",""))+1))</f>
        <v/>
      </c>
      <c r="I2425" s="78">
        <f>IF(ISBLANK(G2425),"",IF(D2425="Stock","0",Key!$A$3*H2425*G2425))</f>
        <v/>
      </c>
      <c r="J2425" s="78">
        <f>IF(ISBLANK(E2425),"",IF(ISNUMBER(SEARCH("/",E2425)), IF(LEN(E2425)-LEN(SUBSTITUTE(E2425,"/",""))=1,(RIGHT(E2425,LEN(E2425)-FIND("/",E2425)))-(LEFT(E2425,FIND("/",E2425)-1)),(MID(E2425, SEARCH("/",E2425) + 1, SEARCH("/",E2425, SEARCH("/",E2425)+1) - SEARCH("/",E2425) - 1))-(LEFT(E2425,FIND("/",E2425)-1))), "NA"))</f>
        <v/>
      </c>
      <c r="K2425" s="79">
        <f>IF(A2425&lt;&gt;"", IF(ISBLANK(L2425), TODAY(), K2425), "")</f>
        <v/>
      </c>
      <c r="L2425" s="78" t="n"/>
      <c r="M2425" s="78">
        <f>IF(ISBLANK(L2425),"",IF(D2425="Stock",IF(C2425="Buy",L2425*G2425,IF(C2425="Sell",(L2425*G2425)-I2425, X)),IF(C2425="Buy",(L2425*G2425*100)+I2425,IF(C2425="Sell",(L2425*G2425*100)-I2425, X))))</f>
        <v/>
      </c>
      <c r="N2425" s="78">
        <f>IF(ISBLANK(L2425),"",IF(AND(C2425="Sell",D2425="Stock"),M2425,IF(ISBLANK(L2425),"",IF(C2425="Buy",M2425, IF(AND(C2425="Sell",J2425="NA"),(E2425*G2425*100*0.1)+I2425, IF(C2425="Sell",(J2425-L2425)*(100*G2425)+I2425))))))</f>
        <v/>
      </c>
      <c r="O2425" s="75" t="n"/>
      <c r="P2425" s="75" t="n"/>
      <c r="Q2425" s="75">
        <f>IF(ISBLANK(P2425),"",IF(D2425="Stock",P2425*G2425,IF(P2425=0,"0",G2425*P2425*100-(G2425*$AF$14))))</f>
        <v/>
      </c>
      <c r="R2425" s="79">
        <f>IF(P2425&lt;&gt;"", TODAY(), "")</f>
        <v/>
      </c>
      <c r="S2425" s="78">
        <f>IF(AND(K2425&lt;&gt;"", R2425&lt;&gt;""), R2425-K2425, "")</f>
        <v/>
      </c>
      <c r="T2425" s="78" t="n"/>
      <c r="U2425" s="92">
        <f>IF(ISBLANK(P2425),"",IF(C2425="Buy",Q2425-M2425+T2425, IF(C2425="Sell",M2425-Q2425-T2425, X)))</f>
        <v/>
      </c>
      <c r="V2425" s="81">
        <f>IF(ISBLANK(P2425),"",U2425/N2425)</f>
        <v/>
      </c>
      <c r="W2425" s="81">
        <f>IF(ISBLANK(P2425),"",IF(S2425=0,(365/0.5)*V2425,(365/S2425)*V2425))</f>
        <v/>
      </c>
      <c r="X2425" s="75" t="n"/>
      <c r="Y2425" s="77" t="n"/>
      <c r="Z2425" s="77" t="n"/>
      <c r="AA2425" s="75" t="n"/>
      <c r="AB2425" s="75" t="n"/>
      <c r="AC2425" s="6" t="n"/>
      <c r="AD2425" s="75" t="n"/>
      <c r="AE2425" s="75" t="n"/>
      <c r="AF2425" s="75" t="n"/>
    </row>
    <row r="2426" ht="15.75" customHeight="1" s="133">
      <c r="A2426" s="75" t="n"/>
      <c r="B2426" s="75" t="n"/>
      <c r="C2426" s="75" t="n"/>
      <c r="D2426" s="75" t="n"/>
      <c r="E2426" s="76" t="n"/>
      <c r="F2426" s="77" t="n"/>
      <c r="G2426" s="75" t="n"/>
      <c r="H2426" s="75">
        <f>IF(ISBLANK(E2426),"",IF(OR(D2426="Butterfly",D2426="Butterfly ",D2426="Iron Fly", D2426="Iron Fly "),LEN(E2426)-LEN(SUBSTITUTE(E2426,"/",""))+2,LEN(E2426)-LEN(SUBSTITUTE(E2426,"/",""))+1))</f>
        <v/>
      </c>
      <c r="I2426" s="78">
        <f>IF(ISBLANK(G2426),"",IF(D2426="Stock","0",Key!$A$3*H2426*G2426))</f>
        <v/>
      </c>
      <c r="J2426" s="78">
        <f>IF(ISBLANK(E2426),"",IF(ISNUMBER(SEARCH("/",E2426)), IF(LEN(E2426)-LEN(SUBSTITUTE(E2426,"/",""))=1,(RIGHT(E2426,LEN(E2426)-FIND("/",E2426)))-(LEFT(E2426,FIND("/",E2426)-1)),(MID(E2426, SEARCH("/",E2426) + 1, SEARCH("/",E2426, SEARCH("/",E2426)+1) - SEARCH("/",E2426) - 1))-(LEFT(E2426,FIND("/",E2426)-1))), "NA"))</f>
        <v/>
      </c>
      <c r="K2426" s="79">
        <f>IF(A2426&lt;&gt;"", IF(ISBLANK(L2426), TODAY(), K2426), "")</f>
        <v/>
      </c>
      <c r="L2426" s="78" t="n"/>
      <c r="M2426" s="78">
        <f>IF(ISBLANK(L2426),"",IF(D2426="Stock",IF(C2426="Buy",L2426*G2426,IF(C2426="Sell",(L2426*G2426)-I2426, X)),IF(C2426="Buy",(L2426*G2426*100)+I2426,IF(C2426="Sell",(L2426*G2426*100)-I2426, X))))</f>
        <v/>
      </c>
      <c r="N2426" s="78">
        <f>IF(ISBLANK(L2426),"",IF(AND(C2426="Sell",D2426="Stock"),M2426,IF(ISBLANK(L2426),"",IF(C2426="Buy",M2426, IF(AND(C2426="Sell",J2426="NA"),(E2426*G2426*100*0.1)+I2426, IF(C2426="Sell",(J2426-L2426)*(100*G2426)+I2426))))))</f>
        <v/>
      </c>
      <c r="O2426" s="75" t="n"/>
      <c r="P2426" s="75" t="n"/>
      <c r="Q2426" s="75">
        <f>IF(ISBLANK(P2426),"",IF(D2426="Stock",P2426*G2426,IF(P2426=0,"0",G2426*P2426*100-(G2426*$AF$14))))</f>
        <v/>
      </c>
      <c r="R2426" s="79">
        <f>IF(P2426&lt;&gt;"", TODAY(), "")</f>
        <v/>
      </c>
      <c r="S2426" s="78">
        <f>IF(AND(K2426&lt;&gt;"", R2426&lt;&gt;""), R2426-K2426, "")</f>
        <v/>
      </c>
      <c r="T2426" s="78" t="n"/>
      <c r="U2426" s="92">
        <f>IF(ISBLANK(P2426),"",IF(C2426="Buy",Q2426-M2426+T2426, IF(C2426="Sell",M2426-Q2426-T2426, X)))</f>
        <v/>
      </c>
      <c r="V2426" s="81">
        <f>IF(ISBLANK(P2426),"",U2426/N2426)</f>
        <v/>
      </c>
      <c r="W2426" s="81">
        <f>IF(ISBLANK(P2426),"",IF(S2426=0,(365/0.5)*V2426,(365/S2426)*V2426))</f>
        <v/>
      </c>
      <c r="X2426" s="75" t="n"/>
      <c r="Y2426" s="77" t="n"/>
      <c r="Z2426" s="77" t="n"/>
      <c r="AA2426" s="75" t="n"/>
      <c r="AB2426" s="75" t="n"/>
      <c r="AC2426" s="6" t="n"/>
      <c r="AD2426" s="75" t="n"/>
      <c r="AE2426" s="75" t="n"/>
      <c r="AF2426" s="75" t="n"/>
    </row>
    <row r="2427" ht="15.75" customHeight="1" s="133">
      <c r="A2427" s="75" t="n"/>
      <c r="B2427" s="75" t="n"/>
      <c r="C2427" s="75" t="n"/>
      <c r="D2427" s="75" t="n"/>
      <c r="E2427" s="76" t="n"/>
      <c r="F2427" s="77" t="n"/>
      <c r="G2427" s="75" t="n"/>
      <c r="H2427" s="75">
        <f>IF(ISBLANK(E2427),"",IF(OR(D2427="Butterfly",D2427="Butterfly ",D2427="Iron Fly", D2427="Iron Fly "),LEN(E2427)-LEN(SUBSTITUTE(E2427,"/",""))+2,LEN(E2427)-LEN(SUBSTITUTE(E2427,"/",""))+1))</f>
        <v/>
      </c>
      <c r="I2427" s="78">
        <f>IF(ISBLANK(G2427),"",IF(D2427="Stock","0",Key!$A$3*H2427*G2427))</f>
        <v/>
      </c>
      <c r="J2427" s="78">
        <f>IF(ISBLANK(E2427),"",IF(ISNUMBER(SEARCH("/",E2427)), IF(LEN(E2427)-LEN(SUBSTITUTE(E2427,"/",""))=1,(RIGHT(E2427,LEN(E2427)-FIND("/",E2427)))-(LEFT(E2427,FIND("/",E2427)-1)),(MID(E2427, SEARCH("/",E2427) + 1, SEARCH("/",E2427, SEARCH("/",E2427)+1) - SEARCH("/",E2427) - 1))-(LEFT(E2427,FIND("/",E2427)-1))), "NA"))</f>
        <v/>
      </c>
      <c r="K2427" s="79">
        <f>IF(A2427&lt;&gt;"", IF(ISBLANK(L2427), TODAY(), K2427), "")</f>
        <v/>
      </c>
      <c r="L2427" s="78" t="n"/>
      <c r="M2427" s="78">
        <f>IF(ISBLANK(L2427),"",IF(D2427="Stock",IF(C2427="Buy",L2427*G2427,IF(C2427="Sell",(L2427*G2427)-I2427, X)),IF(C2427="Buy",(L2427*G2427*100)+I2427,IF(C2427="Sell",(L2427*G2427*100)-I2427, X))))</f>
        <v/>
      </c>
      <c r="N2427" s="78">
        <f>IF(ISBLANK(L2427),"",IF(AND(C2427="Sell",D2427="Stock"),M2427,IF(ISBLANK(L2427),"",IF(C2427="Buy",M2427, IF(AND(C2427="Sell",J2427="NA"),(E2427*G2427*100*0.1)+I2427, IF(C2427="Sell",(J2427-L2427)*(100*G2427)+I2427))))))</f>
        <v/>
      </c>
      <c r="O2427" s="75" t="n"/>
      <c r="P2427" s="75" t="n"/>
      <c r="Q2427" s="75">
        <f>IF(ISBLANK(P2427),"",IF(D2427="Stock",P2427*G2427,IF(P2427=0,"0",G2427*P2427*100-(G2427*$AF$14))))</f>
        <v/>
      </c>
      <c r="R2427" s="79">
        <f>IF(P2427&lt;&gt;"", TODAY(), "")</f>
        <v/>
      </c>
      <c r="S2427" s="78">
        <f>IF(AND(K2427&lt;&gt;"", R2427&lt;&gt;""), R2427-K2427, "")</f>
        <v/>
      </c>
      <c r="T2427" s="78" t="n"/>
      <c r="U2427" s="92">
        <f>IF(ISBLANK(P2427),"",IF(C2427="Buy",Q2427-M2427+T2427, IF(C2427="Sell",M2427-Q2427-T2427, X)))</f>
        <v/>
      </c>
      <c r="V2427" s="81">
        <f>IF(ISBLANK(P2427),"",U2427/N2427)</f>
        <v/>
      </c>
      <c r="W2427" s="81">
        <f>IF(ISBLANK(P2427),"",IF(S2427=0,(365/0.5)*V2427,(365/S2427)*V2427))</f>
        <v/>
      </c>
      <c r="X2427" s="75" t="n"/>
      <c r="Y2427" s="77" t="n"/>
      <c r="Z2427" s="77" t="n"/>
      <c r="AA2427" s="75" t="n"/>
      <c r="AB2427" s="75" t="n"/>
      <c r="AC2427" s="6" t="n"/>
      <c r="AD2427" s="75" t="n"/>
      <c r="AE2427" s="75" t="n"/>
      <c r="AF2427" s="75" t="n"/>
    </row>
    <row r="2428" ht="15.75" customHeight="1" s="133">
      <c r="A2428" s="75" t="n"/>
      <c r="B2428" s="75" t="n"/>
      <c r="C2428" s="75" t="n"/>
      <c r="D2428" s="75" t="n"/>
      <c r="E2428" s="76" t="n"/>
      <c r="F2428" s="77" t="n"/>
      <c r="G2428" s="75" t="n"/>
      <c r="H2428" s="75">
        <f>IF(ISBLANK(E2428),"",IF(OR(D2428="Butterfly",D2428="Butterfly ",D2428="Iron Fly", D2428="Iron Fly "),LEN(E2428)-LEN(SUBSTITUTE(E2428,"/",""))+2,LEN(E2428)-LEN(SUBSTITUTE(E2428,"/",""))+1))</f>
        <v/>
      </c>
      <c r="I2428" s="78">
        <f>IF(ISBLANK(G2428),"",IF(D2428="Stock","0",Key!$A$3*H2428*G2428))</f>
        <v/>
      </c>
      <c r="J2428" s="78">
        <f>IF(ISBLANK(E2428),"",IF(ISNUMBER(SEARCH("/",E2428)), IF(LEN(E2428)-LEN(SUBSTITUTE(E2428,"/",""))=1,(RIGHT(E2428,LEN(E2428)-FIND("/",E2428)))-(LEFT(E2428,FIND("/",E2428)-1)),(MID(E2428, SEARCH("/",E2428) + 1, SEARCH("/",E2428, SEARCH("/",E2428)+1) - SEARCH("/",E2428) - 1))-(LEFT(E2428,FIND("/",E2428)-1))), "NA"))</f>
        <v/>
      </c>
      <c r="K2428" s="79">
        <f>IF(A2428&lt;&gt;"", IF(ISBLANK(L2428), TODAY(), K2428), "")</f>
        <v/>
      </c>
      <c r="L2428" s="78" t="n"/>
      <c r="M2428" s="78">
        <f>IF(ISBLANK(L2428),"",IF(D2428="Stock",IF(C2428="Buy",L2428*G2428,IF(C2428="Sell",(L2428*G2428)-I2428, X)),IF(C2428="Buy",(L2428*G2428*100)+I2428,IF(C2428="Sell",(L2428*G2428*100)-I2428, X))))</f>
        <v/>
      </c>
      <c r="N2428" s="78">
        <f>IF(ISBLANK(L2428),"",IF(AND(C2428="Sell",D2428="Stock"),M2428,IF(ISBLANK(L2428),"",IF(C2428="Buy",M2428, IF(AND(C2428="Sell",J2428="NA"),(E2428*G2428*100*0.1)+I2428, IF(C2428="Sell",(J2428-L2428)*(100*G2428)+I2428))))))</f>
        <v/>
      </c>
      <c r="O2428" s="75" t="n"/>
      <c r="P2428" s="75" t="n"/>
      <c r="Q2428" s="75">
        <f>IF(ISBLANK(P2428),"",IF(D2428="Stock",P2428*G2428,IF(P2428=0,"0",G2428*P2428*100-(G2428*$AF$14))))</f>
        <v/>
      </c>
      <c r="R2428" s="79">
        <f>IF(P2428&lt;&gt;"", TODAY(), "")</f>
        <v/>
      </c>
      <c r="S2428" s="78">
        <f>IF(AND(K2428&lt;&gt;"", R2428&lt;&gt;""), R2428-K2428, "")</f>
        <v/>
      </c>
      <c r="T2428" s="78" t="n"/>
      <c r="U2428" s="92">
        <f>IF(ISBLANK(P2428),"",IF(C2428="Buy",Q2428-M2428+T2428, IF(C2428="Sell",M2428-Q2428-T2428, X)))</f>
        <v/>
      </c>
      <c r="V2428" s="81">
        <f>IF(ISBLANK(P2428),"",U2428/N2428)</f>
        <v/>
      </c>
      <c r="W2428" s="81">
        <f>IF(ISBLANK(P2428),"",IF(S2428=0,(365/0.5)*V2428,(365/S2428)*V2428))</f>
        <v/>
      </c>
      <c r="X2428" s="75" t="n"/>
      <c r="Y2428" s="77" t="n"/>
      <c r="Z2428" s="77" t="n"/>
      <c r="AA2428" s="75" t="n"/>
      <c r="AB2428" s="75" t="n"/>
      <c r="AC2428" s="6" t="n"/>
      <c r="AD2428" s="75" t="n"/>
      <c r="AE2428" s="75" t="n"/>
      <c r="AF2428" s="75" t="n"/>
    </row>
    <row r="2429" ht="15.75" customHeight="1" s="133">
      <c r="A2429" s="75" t="n"/>
      <c r="B2429" s="75" t="n"/>
      <c r="C2429" s="75" t="n"/>
      <c r="D2429" s="75" t="n"/>
      <c r="E2429" s="76" t="n"/>
      <c r="F2429" s="77" t="n"/>
      <c r="G2429" s="75" t="n"/>
      <c r="H2429" s="75">
        <f>IF(ISBLANK(E2429),"",IF(OR(D2429="Butterfly",D2429="Butterfly ",D2429="Iron Fly", D2429="Iron Fly "),LEN(E2429)-LEN(SUBSTITUTE(E2429,"/",""))+2,LEN(E2429)-LEN(SUBSTITUTE(E2429,"/",""))+1))</f>
        <v/>
      </c>
      <c r="I2429" s="78">
        <f>IF(ISBLANK(G2429),"",IF(D2429="Stock","0",Key!$A$3*H2429*G2429))</f>
        <v/>
      </c>
      <c r="J2429" s="78">
        <f>IF(ISBLANK(E2429),"",IF(ISNUMBER(SEARCH("/",E2429)), IF(LEN(E2429)-LEN(SUBSTITUTE(E2429,"/",""))=1,(RIGHT(E2429,LEN(E2429)-FIND("/",E2429)))-(LEFT(E2429,FIND("/",E2429)-1)),(MID(E2429, SEARCH("/",E2429) + 1, SEARCH("/",E2429, SEARCH("/",E2429)+1) - SEARCH("/",E2429) - 1))-(LEFT(E2429,FIND("/",E2429)-1))), "NA"))</f>
        <v/>
      </c>
      <c r="K2429" s="79">
        <f>IF(A2429&lt;&gt;"", IF(ISBLANK(L2429), TODAY(), K2429), "")</f>
        <v/>
      </c>
      <c r="L2429" s="78" t="n"/>
      <c r="M2429" s="78">
        <f>IF(ISBLANK(L2429),"",IF(D2429="Stock",IF(C2429="Buy",L2429*G2429,IF(C2429="Sell",(L2429*G2429)-I2429, X)),IF(C2429="Buy",(L2429*G2429*100)+I2429,IF(C2429="Sell",(L2429*G2429*100)-I2429, X))))</f>
        <v/>
      </c>
      <c r="N2429" s="78">
        <f>IF(ISBLANK(L2429),"",IF(AND(C2429="Sell",D2429="Stock"),M2429,IF(ISBLANK(L2429),"",IF(C2429="Buy",M2429, IF(AND(C2429="Sell",J2429="NA"),(E2429*G2429*100*0.1)+I2429, IF(C2429="Sell",(J2429-L2429)*(100*G2429)+I2429))))))</f>
        <v/>
      </c>
      <c r="O2429" s="75" t="n"/>
      <c r="P2429" s="75" t="n"/>
      <c r="Q2429" s="75">
        <f>IF(ISBLANK(P2429),"",IF(D2429="Stock",P2429*G2429,IF(P2429=0,"0",G2429*P2429*100-(G2429*$AF$14))))</f>
        <v/>
      </c>
      <c r="R2429" s="79">
        <f>IF(P2429&lt;&gt;"", TODAY(), "")</f>
        <v/>
      </c>
      <c r="S2429" s="78">
        <f>IF(AND(K2429&lt;&gt;"", R2429&lt;&gt;""), R2429-K2429, "")</f>
        <v/>
      </c>
      <c r="T2429" s="78" t="n"/>
      <c r="U2429" s="92">
        <f>IF(ISBLANK(P2429),"",IF(C2429="Buy",Q2429-M2429+T2429, IF(C2429="Sell",M2429-Q2429-T2429, X)))</f>
        <v/>
      </c>
      <c r="V2429" s="81">
        <f>IF(ISBLANK(P2429),"",U2429/N2429)</f>
        <v/>
      </c>
      <c r="W2429" s="81">
        <f>IF(ISBLANK(P2429),"",IF(S2429=0,(365/0.5)*V2429,(365/S2429)*V2429))</f>
        <v/>
      </c>
      <c r="X2429" s="75" t="n"/>
      <c r="Y2429" s="77" t="n"/>
      <c r="Z2429" s="77" t="n"/>
      <c r="AA2429" s="75" t="n"/>
      <c r="AB2429" s="75" t="n"/>
      <c r="AC2429" s="6" t="n"/>
      <c r="AD2429" s="75" t="n"/>
      <c r="AE2429" s="75" t="n"/>
      <c r="AF2429" s="75" t="n"/>
    </row>
    <row r="2430" ht="15.75" customHeight="1" s="133">
      <c r="A2430" s="75" t="n"/>
      <c r="B2430" s="75" t="n"/>
      <c r="C2430" s="75" t="n"/>
      <c r="D2430" s="75" t="n"/>
      <c r="E2430" s="76" t="n"/>
      <c r="F2430" s="77" t="n"/>
      <c r="G2430" s="75" t="n"/>
      <c r="H2430" s="75">
        <f>IF(ISBLANK(E2430),"",IF(OR(D2430="Butterfly",D2430="Butterfly ",D2430="Iron Fly", D2430="Iron Fly "),LEN(E2430)-LEN(SUBSTITUTE(E2430,"/",""))+2,LEN(E2430)-LEN(SUBSTITUTE(E2430,"/",""))+1))</f>
        <v/>
      </c>
      <c r="I2430" s="78">
        <f>IF(ISBLANK(G2430),"",IF(D2430="Stock","0",Key!$A$3*H2430*G2430))</f>
        <v/>
      </c>
      <c r="J2430" s="78">
        <f>IF(ISBLANK(E2430),"",IF(ISNUMBER(SEARCH("/",E2430)), IF(LEN(E2430)-LEN(SUBSTITUTE(E2430,"/",""))=1,(RIGHT(E2430,LEN(E2430)-FIND("/",E2430)))-(LEFT(E2430,FIND("/",E2430)-1)),(MID(E2430, SEARCH("/",E2430) + 1, SEARCH("/",E2430, SEARCH("/",E2430)+1) - SEARCH("/",E2430) - 1))-(LEFT(E2430,FIND("/",E2430)-1))), "NA"))</f>
        <v/>
      </c>
      <c r="K2430" s="79">
        <f>IF(A2430&lt;&gt;"", IF(ISBLANK(L2430), TODAY(), K2430), "")</f>
        <v/>
      </c>
      <c r="L2430" s="78" t="n"/>
      <c r="M2430" s="78">
        <f>IF(ISBLANK(L2430),"",IF(D2430="Stock",IF(C2430="Buy",L2430*G2430,IF(C2430="Sell",(L2430*G2430)-I2430, X)),IF(C2430="Buy",(L2430*G2430*100)+I2430,IF(C2430="Sell",(L2430*G2430*100)-I2430, X))))</f>
        <v/>
      </c>
      <c r="N2430" s="78">
        <f>IF(ISBLANK(L2430),"",IF(AND(C2430="Sell",D2430="Stock"),M2430,IF(ISBLANK(L2430),"",IF(C2430="Buy",M2430, IF(AND(C2430="Sell",J2430="NA"),(E2430*G2430*100*0.1)+I2430, IF(C2430="Sell",(J2430-L2430)*(100*G2430)+I2430))))))</f>
        <v/>
      </c>
      <c r="O2430" s="75" t="n"/>
      <c r="P2430" s="75" t="n"/>
      <c r="Q2430" s="75">
        <f>IF(ISBLANK(P2430),"",IF(D2430="Stock",P2430*G2430,IF(P2430=0,"0",G2430*P2430*100-(G2430*$AF$14))))</f>
        <v/>
      </c>
      <c r="R2430" s="79">
        <f>IF(P2430&lt;&gt;"", TODAY(), "")</f>
        <v/>
      </c>
      <c r="S2430" s="78">
        <f>IF(AND(K2430&lt;&gt;"", R2430&lt;&gt;""), R2430-K2430, "")</f>
        <v/>
      </c>
      <c r="T2430" s="78" t="n"/>
      <c r="U2430" s="92">
        <f>IF(ISBLANK(P2430),"",IF(C2430="Buy",Q2430-M2430+T2430, IF(C2430="Sell",M2430-Q2430-T2430, X)))</f>
        <v/>
      </c>
      <c r="V2430" s="81">
        <f>IF(ISBLANK(P2430),"",U2430/N2430)</f>
        <v/>
      </c>
      <c r="W2430" s="81">
        <f>IF(ISBLANK(P2430),"",IF(S2430=0,(365/0.5)*V2430,(365/S2430)*V2430))</f>
        <v/>
      </c>
      <c r="X2430" s="75" t="n"/>
      <c r="Y2430" s="77" t="n"/>
      <c r="Z2430" s="77" t="n"/>
      <c r="AA2430" s="75" t="n"/>
      <c r="AB2430" s="75" t="n"/>
      <c r="AC2430" s="6" t="n"/>
      <c r="AD2430" s="75" t="n"/>
      <c r="AE2430" s="75" t="n"/>
      <c r="AF2430" s="75" t="n"/>
    </row>
    <row r="2431" ht="15.75" customHeight="1" s="133">
      <c r="A2431" s="75" t="n"/>
      <c r="B2431" s="75" t="n"/>
      <c r="C2431" s="75" t="n"/>
      <c r="D2431" s="75" t="n"/>
      <c r="E2431" s="76" t="n"/>
      <c r="F2431" s="77" t="n"/>
      <c r="G2431" s="75" t="n"/>
      <c r="H2431" s="75">
        <f>IF(ISBLANK(E2431),"",IF(OR(D2431="Butterfly",D2431="Butterfly ",D2431="Iron Fly", D2431="Iron Fly "),LEN(E2431)-LEN(SUBSTITUTE(E2431,"/",""))+2,LEN(E2431)-LEN(SUBSTITUTE(E2431,"/",""))+1))</f>
        <v/>
      </c>
      <c r="I2431" s="78">
        <f>IF(ISBLANK(G2431),"",IF(D2431="Stock","0",Key!$A$3*H2431*G2431))</f>
        <v/>
      </c>
      <c r="J2431" s="78">
        <f>IF(ISBLANK(E2431),"",IF(ISNUMBER(SEARCH("/",E2431)), IF(LEN(E2431)-LEN(SUBSTITUTE(E2431,"/",""))=1,(RIGHT(E2431,LEN(E2431)-FIND("/",E2431)))-(LEFT(E2431,FIND("/",E2431)-1)),(MID(E2431, SEARCH("/",E2431) + 1, SEARCH("/",E2431, SEARCH("/",E2431)+1) - SEARCH("/",E2431) - 1))-(LEFT(E2431,FIND("/",E2431)-1))), "NA"))</f>
        <v/>
      </c>
      <c r="K2431" s="79">
        <f>IF(A2431&lt;&gt;"", IF(ISBLANK(L2431), TODAY(), K2431), "")</f>
        <v/>
      </c>
      <c r="L2431" s="78" t="n"/>
      <c r="M2431" s="78">
        <f>IF(ISBLANK(L2431),"",IF(D2431="Stock",IF(C2431="Buy",L2431*G2431,IF(C2431="Sell",(L2431*G2431)-I2431, X)),IF(C2431="Buy",(L2431*G2431*100)+I2431,IF(C2431="Sell",(L2431*G2431*100)-I2431, X))))</f>
        <v/>
      </c>
      <c r="N2431" s="78">
        <f>IF(ISBLANK(L2431),"",IF(AND(C2431="Sell",D2431="Stock"),M2431,IF(ISBLANK(L2431),"",IF(C2431="Buy",M2431, IF(AND(C2431="Sell",J2431="NA"),(E2431*G2431*100*0.1)+I2431, IF(C2431="Sell",(J2431-L2431)*(100*G2431)+I2431))))))</f>
        <v/>
      </c>
      <c r="O2431" s="75" t="n"/>
      <c r="P2431" s="75" t="n"/>
      <c r="Q2431" s="75">
        <f>IF(ISBLANK(P2431),"",IF(D2431="Stock",P2431*G2431,IF(P2431=0,"0",G2431*P2431*100-(G2431*$AF$14))))</f>
        <v/>
      </c>
      <c r="R2431" s="79">
        <f>IF(P2431&lt;&gt;"", TODAY(), "")</f>
        <v/>
      </c>
      <c r="S2431" s="78">
        <f>IF(AND(K2431&lt;&gt;"", R2431&lt;&gt;""), R2431-K2431, "")</f>
        <v/>
      </c>
      <c r="T2431" s="78" t="n"/>
      <c r="U2431" s="92">
        <f>IF(ISBLANK(P2431),"",IF(C2431="Buy",Q2431-M2431+T2431, IF(C2431="Sell",M2431-Q2431-T2431, X)))</f>
        <v/>
      </c>
      <c r="V2431" s="81">
        <f>IF(ISBLANK(P2431),"",U2431/N2431)</f>
        <v/>
      </c>
      <c r="W2431" s="81">
        <f>IF(ISBLANK(P2431),"",IF(S2431=0,(365/0.5)*V2431,(365/S2431)*V2431))</f>
        <v/>
      </c>
      <c r="X2431" s="75" t="n"/>
      <c r="Y2431" s="77" t="n"/>
      <c r="Z2431" s="77" t="n"/>
      <c r="AA2431" s="75" t="n"/>
      <c r="AB2431" s="75" t="n"/>
      <c r="AC2431" s="6" t="n"/>
      <c r="AD2431" s="75" t="n"/>
      <c r="AE2431" s="75" t="n"/>
      <c r="AF2431" s="75" t="n"/>
    </row>
    <row r="2432" ht="15.75" customHeight="1" s="133">
      <c r="A2432" s="75" t="n"/>
      <c r="B2432" s="75" t="n"/>
      <c r="C2432" s="75" t="n"/>
      <c r="D2432" s="75" t="n"/>
      <c r="E2432" s="76" t="n"/>
      <c r="F2432" s="77" t="n"/>
      <c r="G2432" s="75" t="n"/>
      <c r="H2432" s="75">
        <f>IF(ISBLANK(E2432),"",IF(OR(D2432="Butterfly",D2432="Butterfly ",D2432="Iron Fly", D2432="Iron Fly "),LEN(E2432)-LEN(SUBSTITUTE(E2432,"/",""))+2,LEN(E2432)-LEN(SUBSTITUTE(E2432,"/",""))+1))</f>
        <v/>
      </c>
      <c r="I2432" s="78">
        <f>IF(ISBLANK(G2432),"",IF(D2432="Stock","0",Key!$A$3*H2432*G2432))</f>
        <v/>
      </c>
      <c r="J2432" s="78">
        <f>IF(ISBLANK(E2432),"",IF(ISNUMBER(SEARCH("/",E2432)), IF(LEN(E2432)-LEN(SUBSTITUTE(E2432,"/",""))=1,(RIGHT(E2432,LEN(E2432)-FIND("/",E2432)))-(LEFT(E2432,FIND("/",E2432)-1)),(MID(E2432, SEARCH("/",E2432) + 1, SEARCH("/",E2432, SEARCH("/",E2432)+1) - SEARCH("/",E2432) - 1))-(LEFT(E2432,FIND("/",E2432)-1))), "NA"))</f>
        <v/>
      </c>
      <c r="K2432" s="79">
        <f>IF(A2432&lt;&gt;"", IF(ISBLANK(L2432), TODAY(), K2432), "")</f>
        <v/>
      </c>
      <c r="L2432" s="78" t="n"/>
      <c r="M2432" s="78">
        <f>IF(ISBLANK(L2432),"",IF(D2432="Stock",IF(C2432="Buy",L2432*G2432,IF(C2432="Sell",(L2432*G2432)-I2432, X)),IF(C2432="Buy",(L2432*G2432*100)+I2432,IF(C2432="Sell",(L2432*G2432*100)-I2432, X))))</f>
        <v/>
      </c>
      <c r="N2432" s="78">
        <f>IF(ISBLANK(L2432),"",IF(AND(C2432="Sell",D2432="Stock"),M2432,IF(ISBLANK(L2432),"",IF(C2432="Buy",M2432, IF(AND(C2432="Sell",J2432="NA"),(E2432*G2432*100*0.1)+I2432, IF(C2432="Sell",(J2432-L2432)*(100*G2432)+I2432))))))</f>
        <v/>
      </c>
      <c r="O2432" s="75" t="n"/>
      <c r="P2432" s="75" t="n"/>
      <c r="Q2432" s="75">
        <f>IF(ISBLANK(P2432),"",IF(D2432="Stock",P2432*G2432,IF(P2432=0,"0",G2432*P2432*100-(G2432*$AF$14))))</f>
        <v/>
      </c>
      <c r="R2432" s="79">
        <f>IF(P2432&lt;&gt;"", TODAY(), "")</f>
        <v/>
      </c>
      <c r="S2432" s="78">
        <f>IF(AND(K2432&lt;&gt;"", R2432&lt;&gt;""), R2432-K2432, "")</f>
        <v/>
      </c>
      <c r="T2432" s="78" t="n"/>
      <c r="U2432" s="92">
        <f>IF(ISBLANK(P2432),"",IF(C2432="Buy",Q2432-M2432+T2432, IF(C2432="Sell",M2432-Q2432-T2432, X)))</f>
        <v/>
      </c>
      <c r="V2432" s="81">
        <f>IF(ISBLANK(P2432),"",U2432/N2432)</f>
        <v/>
      </c>
      <c r="W2432" s="81">
        <f>IF(ISBLANK(P2432),"",IF(S2432=0,(365/0.5)*V2432,(365/S2432)*V2432))</f>
        <v/>
      </c>
      <c r="X2432" s="75" t="n"/>
      <c r="Y2432" s="77" t="n"/>
      <c r="Z2432" s="77" t="n"/>
      <c r="AA2432" s="75" t="n"/>
      <c r="AB2432" s="75" t="n"/>
      <c r="AC2432" s="6" t="n"/>
      <c r="AD2432" s="75" t="n"/>
      <c r="AE2432" s="75" t="n"/>
      <c r="AF2432" s="75" t="n"/>
    </row>
    <row r="2433" ht="15.75" customHeight="1" s="133">
      <c r="A2433" s="75" t="n"/>
      <c r="B2433" s="75" t="n"/>
      <c r="C2433" s="75" t="n"/>
      <c r="D2433" s="75" t="n"/>
      <c r="E2433" s="76" t="n"/>
      <c r="F2433" s="77" t="n"/>
      <c r="G2433" s="75" t="n"/>
      <c r="H2433" s="75">
        <f>IF(ISBLANK(E2433),"",IF(OR(D2433="Butterfly",D2433="Butterfly ",D2433="Iron Fly", D2433="Iron Fly "),LEN(E2433)-LEN(SUBSTITUTE(E2433,"/",""))+2,LEN(E2433)-LEN(SUBSTITUTE(E2433,"/",""))+1))</f>
        <v/>
      </c>
      <c r="I2433" s="78">
        <f>IF(ISBLANK(G2433),"",IF(D2433="Stock","0",Key!$A$3*H2433*G2433))</f>
        <v/>
      </c>
      <c r="J2433" s="78">
        <f>IF(ISBLANK(E2433),"",IF(ISNUMBER(SEARCH("/",E2433)), IF(LEN(E2433)-LEN(SUBSTITUTE(E2433,"/",""))=1,(RIGHT(E2433,LEN(E2433)-FIND("/",E2433)))-(LEFT(E2433,FIND("/",E2433)-1)),(MID(E2433, SEARCH("/",E2433) + 1, SEARCH("/",E2433, SEARCH("/",E2433)+1) - SEARCH("/",E2433) - 1))-(LEFT(E2433,FIND("/",E2433)-1))), "NA"))</f>
        <v/>
      </c>
      <c r="K2433" s="79">
        <f>IF(A2433&lt;&gt;"", IF(ISBLANK(L2433), TODAY(), K2433), "")</f>
        <v/>
      </c>
      <c r="L2433" s="78" t="n"/>
      <c r="M2433" s="78">
        <f>IF(ISBLANK(L2433),"",IF(D2433="Stock",IF(C2433="Buy",L2433*G2433,IF(C2433="Sell",(L2433*G2433)-I2433, X)),IF(C2433="Buy",(L2433*G2433*100)+I2433,IF(C2433="Sell",(L2433*G2433*100)-I2433, X))))</f>
        <v/>
      </c>
      <c r="N2433" s="78">
        <f>IF(ISBLANK(L2433),"",IF(AND(C2433="Sell",D2433="Stock"),M2433,IF(ISBLANK(L2433),"",IF(C2433="Buy",M2433, IF(AND(C2433="Sell",J2433="NA"),(E2433*G2433*100*0.1)+I2433, IF(C2433="Sell",(J2433-L2433)*(100*G2433)+I2433))))))</f>
        <v/>
      </c>
      <c r="O2433" s="75" t="n"/>
      <c r="P2433" s="75" t="n"/>
      <c r="Q2433" s="75">
        <f>IF(ISBLANK(P2433),"",IF(D2433="Stock",P2433*G2433,IF(P2433=0,"0",G2433*P2433*100-(G2433*$AF$14))))</f>
        <v/>
      </c>
      <c r="R2433" s="79">
        <f>IF(P2433&lt;&gt;"", TODAY(), "")</f>
        <v/>
      </c>
      <c r="S2433" s="78">
        <f>IF(AND(K2433&lt;&gt;"", R2433&lt;&gt;""), R2433-K2433, "")</f>
        <v/>
      </c>
      <c r="T2433" s="78" t="n"/>
      <c r="U2433" s="92">
        <f>IF(ISBLANK(P2433),"",IF(C2433="Buy",Q2433-M2433+T2433, IF(C2433="Sell",M2433-Q2433-T2433, X)))</f>
        <v/>
      </c>
      <c r="V2433" s="81">
        <f>IF(ISBLANK(P2433),"",U2433/N2433)</f>
        <v/>
      </c>
      <c r="W2433" s="81">
        <f>IF(ISBLANK(P2433),"",IF(S2433=0,(365/0.5)*V2433,(365/S2433)*V2433))</f>
        <v/>
      </c>
      <c r="X2433" s="75" t="n"/>
      <c r="Y2433" s="77" t="n"/>
      <c r="Z2433" s="77" t="n"/>
      <c r="AA2433" s="75" t="n"/>
      <c r="AB2433" s="75" t="n"/>
      <c r="AC2433" s="6" t="n"/>
      <c r="AD2433" s="75" t="n"/>
      <c r="AE2433" s="75" t="n"/>
      <c r="AF2433" s="75" t="n"/>
    </row>
    <row r="2434" ht="15.75" customHeight="1" s="133">
      <c r="A2434" s="75" t="n"/>
      <c r="B2434" s="75" t="n"/>
      <c r="C2434" s="75" t="n"/>
      <c r="D2434" s="75" t="n"/>
      <c r="E2434" s="76" t="n"/>
      <c r="F2434" s="77" t="n"/>
      <c r="G2434" s="75" t="n"/>
      <c r="H2434" s="75">
        <f>IF(ISBLANK(E2434),"",IF(OR(D2434="Butterfly",D2434="Butterfly ",D2434="Iron Fly", D2434="Iron Fly "),LEN(E2434)-LEN(SUBSTITUTE(E2434,"/",""))+2,LEN(E2434)-LEN(SUBSTITUTE(E2434,"/",""))+1))</f>
        <v/>
      </c>
      <c r="I2434" s="78">
        <f>IF(ISBLANK(G2434),"",IF(D2434="Stock","0",Key!$A$3*H2434*G2434))</f>
        <v/>
      </c>
      <c r="J2434" s="78">
        <f>IF(ISBLANK(E2434),"",IF(ISNUMBER(SEARCH("/",E2434)), IF(LEN(E2434)-LEN(SUBSTITUTE(E2434,"/",""))=1,(RIGHT(E2434,LEN(E2434)-FIND("/",E2434)))-(LEFT(E2434,FIND("/",E2434)-1)),(MID(E2434, SEARCH("/",E2434) + 1, SEARCH("/",E2434, SEARCH("/",E2434)+1) - SEARCH("/",E2434) - 1))-(LEFT(E2434,FIND("/",E2434)-1))), "NA"))</f>
        <v/>
      </c>
      <c r="K2434" s="79">
        <f>IF(A2434&lt;&gt;"", IF(ISBLANK(L2434), TODAY(), K2434), "")</f>
        <v/>
      </c>
      <c r="L2434" s="78" t="n"/>
      <c r="M2434" s="78">
        <f>IF(ISBLANK(L2434),"",IF(D2434="Stock",IF(C2434="Buy",L2434*G2434,IF(C2434="Sell",(L2434*G2434)-I2434, X)),IF(C2434="Buy",(L2434*G2434*100)+I2434,IF(C2434="Sell",(L2434*G2434*100)-I2434, X))))</f>
        <v/>
      </c>
      <c r="N2434" s="78">
        <f>IF(ISBLANK(L2434),"",IF(AND(C2434="Sell",D2434="Stock"),M2434,IF(ISBLANK(L2434),"",IF(C2434="Buy",M2434, IF(AND(C2434="Sell",J2434="NA"),(E2434*G2434*100*0.1)+I2434, IF(C2434="Sell",(J2434-L2434)*(100*G2434)+I2434))))))</f>
        <v/>
      </c>
      <c r="O2434" s="75" t="n"/>
      <c r="P2434" s="75" t="n"/>
      <c r="Q2434" s="75">
        <f>IF(ISBLANK(P2434),"",IF(D2434="Stock",P2434*G2434,IF(P2434=0,"0",G2434*P2434*100-(G2434*$AF$14))))</f>
        <v/>
      </c>
      <c r="R2434" s="79">
        <f>IF(P2434&lt;&gt;"", TODAY(), "")</f>
        <v/>
      </c>
      <c r="S2434" s="78">
        <f>IF(AND(K2434&lt;&gt;"", R2434&lt;&gt;""), R2434-K2434, "")</f>
        <v/>
      </c>
      <c r="T2434" s="78" t="n"/>
      <c r="U2434" s="92">
        <f>IF(ISBLANK(P2434),"",IF(C2434="Buy",Q2434-M2434+T2434, IF(C2434="Sell",M2434-Q2434-T2434, X)))</f>
        <v/>
      </c>
      <c r="V2434" s="81">
        <f>IF(ISBLANK(P2434),"",U2434/N2434)</f>
        <v/>
      </c>
      <c r="W2434" s="81">
        <f>IF(ISBLANK(P2434),"",IF(S2434=0,(365/0.5)*V2434,(365/S2434)*V2434))</f>
        <v/>
      </c>
      <c r="X2434" s="75" t="n"/>
      <c r="Y2434" s="77" t="n"/>
      <c r="Z2434" s="77" t="n"/>
      <c r="AA2434" s="75" t="n"/>
      <c r="AB2434" s="75" t="n"/>
      <c r="AC2434" s="6" t="n"/>
      <c r="AD2434" s="75" t="n"/>
      <c r="AE2434" s="75" t="n"/>
      <c r="AF2434" s="75" t="n"/>
    </row>
    <row r="2435" ht="15.75" customHeight="1" s="133">
      <c r="A2435" s="75" t="n"/>
      <c r="B2435" s="75" t="n"/>
      <c r="C2435" s="75" t="n"/>
      <c r="D2435" s="75" t="n"/>
      <c r="E2435" s="76" t="n"/>
      <c r="F2435" s="77" t="n"/>
      <c r="G2435" s="75" t="n"/>
      <c r="H2435" s="75">
        <f>IF(ISBLANK(E2435),"",IF(OR(D2435="Butterfly",D2435="Butterfly ",D2435="Iron Fly", D2435="Iron Fly "),LEN(E2435)-LEN(SUBSTITUTE(E2435,"/",""))+2,LEN(E2435)-LEN(SUBSTITUTE(E2435,"/",""))+1))</f>
        <v/>
      </c>
      <c r="I2435" s="78">
        <f>IF(ISBLANK(G2435),"",IF(D2435="Stock","0",Key!$A$3*H2435*G2435))</f>
        <v/>
      </c>
      <c r="J2435" s="78">
        <f>IF(ISBLANK(E2435),"",IF(ISNUMBER(SEARCH("/",E2435)), IF(LEN(E2435)-LEN(SUBSTITUTE(E2435,"/",""))=1,(RIGHT(E2435,LEN(E2435)-FIND("/",E2435)))-(LEFT(E2435,FIND("/",E2435)-1)),(MID(E2435, SEARCH("/",E2435) + 1, SEARCH("/",E2435, SEARCH("/",E2435)+1) - SEARCH("/",E2435) - 1))-(LEFT(E2435,FIND("/",E2435)-1))), "NA"))</f>
        <v/>
      </c>
      <c r="K2435" s="79">
        <f>IF(A2435&lt;&gt;"", IF(ISBLANK(L2435), TODAY(), K2435), "")</f>
        <v/>
      </c>
      <c r="L2435" s="78" t="n"/>
      <c r="M2435" s="78">
        <f>IF(ISBLANK(L2435),"",IF(D2435="Stock",IF(C2435="Buy",L2435*G2435,IF(C2435="Sell",(L2435*G2435)-I2435, X)),IF(C2435="Buy",(L2435*G2435*100)+I2435,IF(C2435="Sell",(L2435*G2435*100)-I2435, X))))</f>
        <v/>
      </c>
      <c r="N2435" s="78">
        <f>IF(ISBLANK(L2435),"",IF(AND(C2435="Sell",D2435="Stock"),M2435,IF(ISBLANK(L2435),"",IF(C2435="Buy",M2435, IF(AND(C2435="Sell",J2435="NA"),(E2435*G2435*100*0.1)+I2435, IF(C2435="Sell",(J2435-L2435)*(100*G2435)+I2435))))))</f>
        <v/>
      </c>
      <c r="O2435" s="75" t="n"/>
      <c r="P2435" s="75" t="n"/>
      <c r="Q2435" s="75">
        <f>IF(ISBLANK(P2435),"",IF(D2435="Stock",P2435*G2435,IF(P2435=0,"0",G2435*P2435*100-(G2435*$AF$14))))</f>
        <v/>
      </c>
      <c r="R2435" s="79">
        <f>IF(P2435&lt;&gt;"", TODAY(), "")</f>
        <v/>
      </c>
      <c r="S2435" s="78">
        <f>IF(AND(K2435&lt;&gt;"", R2435&lt;&gt;""), R2435-K2435, "")</f>
        <v/>
      </c>
      <c r="T2435" s="78" t="n"/>
      <c r="U2435" s="92">
        <f>IF(ISBLANK(P2435),"",IF(C2435="Buy",Q2435-M2435+T2435, IF(C2435="Sell",M2435-Q2435-T2435, X)))</f>
        <v/>
      </c>
      <c r="V2435" s="81">
        <f>IF(ISBLANK(P2435),"",U2435/N2435)</f>
        <v/>
      </c>
      <c r="W2435" s="81">
        <f>IF(ISBLANK(P2435),"",IF(S2435=0,(365/0.5)*V2435,(365/S2435)*V2435))</f>
        <v/>
      </c>
      <c r="X2435" s="75" t="n"/>
      <c r="Y2435" s="77" t="n"/>
      <c r="Z2435" s="77" t="n"/>
      <c r="AA2435" s="75" t="n"/>
      <c r="AB2435" s="75" t="n"/>
      <c r="AC2435" s="6" t="n"/>
      <c r="AD2435" s="75" t="n"/>
      <c r="AE2435" s="75" t="n"/>
      <c r="AF2435" s="75" t="n"/>
    </row>
    <row r="2436" ht="15.75" customHeight="1" s="133">
      <c r="A2436" s="75" t="n"/>
      <c r="B2436" s="75" t="n"/>
      <c r="C2436" s="75" t="n"/>
      <c r="D2436" s="75" t="n"/>
      <c r="E2436" s="76" t="n"/>
      <c r="F2436" s="77" t="n"/>
      <c r="G2436" s="75" t="n"/>
      <c r="H2436" s="75">
        <f>IF(ISBLANK(E2436),"",IF(OR(D2436="Butterfly",D2436="Butterfly ",D2436="Iron Fly", D2436="Iron Fly "),LEN(E2436)-LEN(SUBSTITUTE(E2436,"/",""))+2,LEN(E2436)-LEN(SUBSTITUTE(E2436,"/",""))+1))</f>
        <v/>
      </c>
      <c r="I2436" s="78">
        <f>IF(ISBLANK(G2436),"",IF(D2436="Stock","0",Key!$A$3*H2436*G2436))</f>
        <v/>
      </c>
      <c r="J2436" s="78">
        <f>IF(ISBLANK(E2436),"",IF(ISNUMBER(SEARCH("/",E2436)), IF(LEN(E2436)-LEN(SUBSTITUTE(E2436,"/",""))=1,(RIGHT(E2436,LEN(E2436)-FIND("/",E2436)))-(LEFT(E2436,FIND("/",E2436)-1)),(MID(E2436, SEARCH("/",E2436) + 1, SEARCH("/",E2436, SEARCH("/",E2436)+1) - SEARCH("/",E2436) - 1))-(LEFT(E2436,FIND("/",E2436)-1))), "NA"))</f>
        <v/>
      </c>
      <c r="K2436" s="79">
        <f>IF(A2436&lt;&gt;"", IF(ISBLANK(L2436), TODAY(), K2436), "")</f>
        <v/>
      </c>
      <c r="L2436" s="78" t="n"/>
      <c r="M2436" s="78">
        <f>IF(ISBLANK(L2436),"",IF(D2436="Stock",IF(C2436="Buy",L2436*G2436,IF(C2436="Sell",(L2436*G2436)-I2436, X)),IF(C2436="Buy",(L2436*G2436*100)+I2436,IF(C2436="Sell",(L2436*G2436*100)-I2436, X))))</f>
        <v/>
      </c>
      <c r="N2436" s="78">
        <f>IF(ISBLANK(L2436),"",IF(AND(C2436="Sell",D2436="Stock"),M2436,IF(ISBLANK(L2436),"",IF(C2436="Buy",M2436, IF(AND(C2436="Sell",J2436="NA"),(E2436*G2436*100*0.1)+I2436, IF(C2436="Sell",(J2436-L2436)*(100*G2436)+I2436))))))</f>
        <v/>
      </c>
      <c r="O2436" s="75" t="n"/>
      <c r="P2436" s="75" t="n"/>
      <c r="Q2436" s="75">
        <f>IF(ISBLANK(P2436),"",IF(D2436="Stock",P2436*G2436,IF(P2436=0,"0",G2436*P2436*100-(G2436*$AF$14))))</f>
        <v/>
      </c>
      <c r="R2436" s="79">
        <f>IF(P2436&lt;&gt;"", TODAY(), "")</f>
        <v/>
      </c>
      <c r="S2436" s="78">
        <f>IF(AND(K2436&lt;&gt;"", R2436&lt;&gt;""), R2436-K2436, "")</f>
        <v/>
      </c>
      <c r="T2436" s="78" t="n"/>
      <c r="U2436" s="92">
        <f>IF(ISBLANK(P2436),"",IF(C2436="Buy",Q2436-M2436+T2436, IF(C2436="Sell",M2436-Q2436-T2436, X)))</f>
        <v/>
      </c>
      <c r="V2436" s="81">
        <f>IF(ISBLANK(P2436),"",U2436/N2436)</f>
        <v/>
      </c>
      <c r="W2436" s="81">
        <f>IF(ISBLANK(P2436),"",IF(S2436=0,(365/0.5)*V2436,(365/S2436)*V2436))</f>
        <v/>
      </c>
      <c r="X2436" s="75" t="n"/>
      <c r="Y2436" s="77" t="n"/>
      <c r="Z2436" s="77" t="n"/>
      <c r="AA2436" s="75" t="n"/>
      <c r="AB2436" s="75" t="n"/>
      <c r="AC2436" s="6" t="n"/>
      <c r="AD2436" s="75" t="n"/>
      <c r="AE2436" s="75" t="n"/>
      <c r="AF2436" s="75" t="n"/>
    </row>
    <row r="2437" ht="15.75" customHeight="1" s="133">
      <c r="A2437" s="75" t="n"/>
      <c r="B2437" s="75" t="n"/>
      <c r="C2437" s="75" t="n"/>
      <c r="D2437" s="75" t="n"/>
      <c r="E2437" s="76" t="n"/>
      <c r="F2437" s="77" t="n"/>
      <c r="G2437" s="75" t="n"/>
      <c r="H2437" s="75">
        <f>IF(ISBLANK(E2437),"",IF(OR(D2437="Butterfly",D2437="Butterfly ",D2437="Iron Fly", D2437="Iron Fly "),LEN(E2437)-LEN(SUBSTITUTE(E2437,"/",""))+2,LEN(E2437)-LEN(SUBSTITUTE(E2437,"/",""))+1))</f>
        <v/>
      </c>
      <c r="I2437" s="78">
        <f>IF(ISBLANK(G2437),"",IF(D2437="Stock","0",Key!$A$3*H2437*G2437))</f>
        <v/>
      </c>
      <c r="J2437" s="78">
        <f>IF(ISBLANK(E2437),"",IF(ISNUMBER(SEARCH("/",E2437)), IF(LEN(E2437)-LEN(SUBSTITUTE(E2437,"/",""))=1,(RIGHT(E2437,LEN(E2437)-FIND("/",E2437)))-(LEFT(E2437,FIND("/",E2437)-1)),(MID(E2437, SEARCH("/",E2437) + 1, SEARCH("/",E2437, SEARCH("/",E2437)+1) - SEARCH("/",E2437) - 1))-(LEFT(E2437,FIND("/",E2437)-1))), "NA"))</f>
        <v/>
      </c>
      <c r="K2437" s="79">
        <f>IF(A2437&lt;&gt;"", IF(ISBLANK(L2437), TODAY(), K2437), "")</f>
        <v/>
      </c>
      <c r="L2437" s="78" t="n"/>
      <c r="M2437" s="78">
        <f>IF(ISBLANK(L2437),"",IF(D2437="Stock",IF(C2437="Buy",L2437*G2437,IF(C2437="Sell",(L2437*G2437)-I2437, X)),IF(C2437="Buy",(L2437*G2437*100)+I2437,IF(C2437="Sell",(L2437*G2437*100)-I2437, X))))</f>
        <v/>
      </c>
      <c r="N2437" s="78">
        <f>IF(ISBLANK(L2437),"",IF(AND(C2437="Sell",D2437="Stock"),M2437,IF(ISBLANK(L2437),"",IF(C2437="Buy",M2437, IF(AND(C2437="Sell",J2437="NA"),(E2437*G2437*100*0.1)+I2437, IF(C2437="Sell",(J2437-L2437)*(100*G2437)+I2437))))))</f>
        <v/>
      </c>
      <c r="O2437" s="75" t="n"/>
      <c r="P2437" s="75" t="n"/>
      <c r="Q2437" s="75">
        <f>IF(ISBLANK(P2437),"",IF(D2437="Stock",P2437*G2437,IF(P2437=0,"0",G2437*P2437*100-(G2437*$AF$14))))</f>
        <v/>
      </c>
      <c r="R2437" s="79">
        <f>IF(P2437&lt;&gt;"", TODAY(), "")</f>
        <v/>
      </c>
      <c r="S2437" s="78">
        <f>IF(AND(K2437&lt;&gt;"", R2437&lt;&gt;""), R2437-K2437, "")</f>
        <v/>
      </c>
      <c r="T2437" s="78" t="n"/>
      <c r="U2437" s="92">
        <f>IF(ISBLANK(P2437),"",IF(C2437="Buy",Q2437-M2437+T2437, IF(C2437="Sell",M2437-Q2437-T2437, X)))</f>
        <v/>
      </c>
      <c r="V2437" s="81">
        <f>IF(ISBLANK(P2437),"",U2437/N2437)</f>
        <v/>
      </c>
      <c r="W2437" s="81">
        <f>IF(ISBLANK(P2437),"",IF(S2437=0,(365/0.5)*V2437,(365/S2437)*V2437))</f>
        <v/>
      </c>
      <c r="X2437" s="75" t="n"/>
      <c r="Y2437" s="77" t="n"/>
      <c r="Z2437" s="77" t="n"/>
      <c r="AA2437" s="75" t="n"/>
      <c r="AB2437" s="75" t="n"/>
      <c r="AC2437" s="6" t="n"/>
      <c r="AD2437" s="75" t="n"/>
      <c r="AE2437" s="75" t="n"/>
      <c r="AF2437" s="75" t="n"/>
    </row>
    <row r="2438" ht="15.75" customHeight="1" s="133">
      <c r="A2438" s="75" t="n"/>
      <c r="B2438" s="75" t="n"/>
      <c r="C2438" s="75" t="n"/>
      <c r="D2438" s="75" t="n"/>
      <c r="E2438" s="76" t="n"/>
      <c r="F2438" s="77" t="n"/>
      <c r="G2438" s="75" t="n"/>
      <c r="H2438" s="75">
        <f>IF(ISBLANK(E2438),"",IF(OR(D2438="Butterfly",D2438="Butterfly ",D2438="Iron Fly", D2438="Iron Fly "),LEN(E2438)-LEN(SUBSTITUTE(E2438,"/",""))+2,LEN(E2438)-LEN(SUBSTITUTE(E2438,"/",""))+1))</f>
        <v/>
      </c>
      <c r="I2438" s="78">
        <f>IF(ISBLANK(G2438),"",IF(D2438="Stock","0",Key!$A$3*H2438*G2438))</f>
        <v/>
      </c>
      <c r="J2438" s="78">
        <f>IF(ISBLANK(E2438),"",IF(ISNUMBER(SEARCH("/",E2438)), IF(LEN(E2438)-LEN(SUBSTITUTE(E2438,"/",""))=1,(RIGHT(E2438,LEN(E2438)-FIND("/",E2438)))-(LEFT(E2438,FIND("/",E2438)-1)),(MID(E2438, SEARCH("/",E2438) + 1, SEARCH("/",E2438, SEARCH("/",E2438)+1) - SEARCH("/",E2438) - 1))-(LEFT(E2438,FIND("/",E2438)-1))), "NA"))</f>
        <v/>
      </c>
      <c r="K2438" s="79">
        <f>IF(A2438&lt;&gt;"", IF(ISBLANK(L2438), TODAY(), K2438), "")</f>
        <v/>
      </c>
      <c r="L2438" s="78" t="n"/>
      <c r="M2438" s="78">
        <f>IF(ISBLANK(L2438),"",IF(D2438="Stock",IF(C2438="Buy",L2438*G2438,IF(C2438="Sell",(L2438*G2438)-I2438, X)),IF(C2438="Buy",(L2438*G2438*100)+I2438,IF(C2438="Sell",(L2438*G2438*100)-I2438, X))))</f>
        <v/>
      </c>
      <c r="N2438" s="78">
        <f>IF(ISBLANK(L2438),"",IF(AND(C2438="Sell",D2438="Stock"),M2438,IF(ISBLANK(L2438),"",IF(C2438="Buy",M2438, IF(AND(C2438="Sell",J2438="NA"),(E2438*G2438*100*0.1)+I2438, IF(C2438="Sell",(J2438-L2438)*(100*G2438)+I2438))))))</f>
        <v/>
      </c>
      <c r="O2438" s="75" t="n"/>
      <c r="P2438" s="75" t="n"/>
      <c r="Q2438" s="75">
        <f>IF(ISBLANK(P2438),"",IF(D2438="Stock",P2438*G2438,IF(P2438=0,"0",G2438*P2438*100-(G2438*$AF$14))))</f>
        <v/>
      </c>
      <c r="R2438" s="79">
        <f>IF(P2438&lt;&gt;"", TODAY(), "")</f>
        <v/>
      </c>
      <c r="S2438" s="78">
        <f>IF(AND(K2438&lt;&gt;"", R2438&lt;&gt;""), R2438-K2438, "")</f>
        <v/>
      </c>
      <c r="T2438" s="78" t="n"/>
      <c r="U2438" s="92">
        <f>IF(ISBLANK(P2438),"",IF(C2438="Buy",Q2438-M2438+T2438, IF(C2438="Sell",M2438-Q2438-T2438, X)))</f>
        <v/>
      </c>
      <c r="V2438" s="81">
        <f>IF(ISBLANK(P2438),"",U2438/N2438)</f>
        <v/>
      </c>
      <c r="W2438" s="81">
        <f>IF(ISBLANK(P2438),"",IF(S2438=0,(365/0.5)*V2438,(365/S2438)*V2438))</f>
        <v/>
      </c>
      <c r="X2438" s="75" t="n"/>
      <c r="Y2438" s="77" t="n"/>
      <c r="Z2438" s="77" t="n"/>
      <c r="AA2438" s="75" t="n"/>
      <c r="AB2438" s="75" t="n"/>
      <c r="AC2438" s="6" t="n"/>
      <c r="AD2438" s="75" t="n"/>
      <c r="AE2438" s="75" t="n"/>
      <c r="AF2438" s="75" t="n"/>
    </row>
    <row r="2439" ht="15.75" customHeight="1" s="133">
      <c r="A2439" s="75" t="n"/>
      <c r="B2439" s="75" t="n"/>
      <c r="C2439" s="75" t="n"/>
      <c r="D2439" s="75" t="n"/>
      <c r="E2439" s="76" t="n"/>
      <c r="F2439" s="77" t="n"/>
      <c r="G2439" s="75" t="n"/>
      <c r="H2439" s="75">
        <f>IF(ISBLANK(E2439),"",IF(OR(D2439="Butterfly",D2439="Butterfly ",D2439="Iron Fly", D2439="Iron Fly "),LEN(E2439)-LEN(SUBSTITUTE(E2439,"/",""))+2,LEN(E2439)-LEN(SUBSTITUTE(E2439,"/",""))+1))</f>
        <v/>
      </c>
      <c r="I2439" s="78">
        <f>IF(ISBLANK(G2439),"",IF(D2439="Stock","0",Key!$A$3*H2439*G2439))</f>
        <v/>
      </c>
      <c r="J2439" s="78">
        <f>IF(ISBLANK(E2439),"",IF(ISNUMBER(SEARCH("/",E2439)), IF(LEN(E2439)-LEN(SUBSTITUTE(E2439,"/",""))=1,(RIGHT(E2439,LEN(E2439)-FIND("/",E2439)))-(LEFT(E2439,FIND("/",E2439)-1)),(MID(E2439, SEARCH("/",E2439) + 1, SEARCH("/",E2439, SEARCH("/",E2439)+1) - SEARCH("/",E2439) - 1))-(LEFT(E2439,FIND("/",E2439)-1))), "NA"))</f>
        <v/>
      </c>
      <c r="K2439" s="79">
        <f>IF(A2439&lt;&gt;"", IF(ISBLANK(L2439), TODAY(), K2439), "")</f>
        <v/>
      </c>
      <c r="L2439" s="78" t="n"/>
      <c r="M2439" s="78">
        <f>IF(ISBLANK(L2439),"",IF(D2439="Stock",IF(C2439="Buy",L2439*G2439,IF(C2439="Sell",(L2439*G2439)-I2439, X)),IF(C2439="Buy",(L2439*G2439*100)+I2439,IF(C2439="Sell",(L2439*G2439*100)-I2439, X))))</f>
        <v/>
      </c>
      <c r="N2439" s="78">
        <f>IF(ISBLANK(L2439),"",IF(AND(C2439="Sell",D2439="Stock"),M2439,IF(ISBLANK(L2439),"",IF(C2439="Buy",M2439, IF(AND(C2439="Sell",J2439="NA"),(E2439*G2439*100*0.1)+I2439, IF(C2439="Sell",(J2439-L2439)*(100*G2439)+I2439))))))</f>
        <v/>
      </c>
      <c r="O2439" s="75" t="n"/>
      <c r="P2439" s="75" t="n"/>
      <c r="Q2439" s="75">
        <f>IF(ISBLANK(P2439),"",IF(D2439="Stock",P2439*G2439,IF(P2439=0,"0",G2439*P2439*100-(G2439*$AF$14))))</f>
        <v/>
      </c>
      <c r="R2439" s="79">
        <f>IF(P2439&lt;&gt;"", TODAY(), "")</f>
        <v/>
      </c>
      <c r="S2439" s="78">
        <f>IF(AND(K2439&lt;&gt;"", R2439&lt;&gt;""), R2439-K2439, "")</f>
        <v/>
      </c>
      <c r="T2439" s="78" t="n"/>
      <c r="U2439" s="92">
        <f>IF(ISBLANK(P2439),"",IF(C2439="Buy",Q2439-M2439+T2439, IF(C2439="Sell",M2439-Q2439-T2439, X)))</f>
        <v/>
      </c>
      <c r="V2439" s="81">
        <f>IF(ISBLANK(P2439),"",U2439/N2439)</f>
        <v/>
      </c>
      <c r="W2439" s="81">
        <f>IF(ISBLANK(P2439),"",IF(S2439=0,(365/0.5)*V2439,(365/S2439)*V2439))</f>
        <v/>
      </c>
      <c r="X2439" s="75" t="n"/>
      <c r="Y2439" s="77" t="n"/>
      <c r="Z2439" s="77" t="n"/>
      <c r="AA2439" s="75" t="n"/>
      <c r="AB2439" s="75" t="n"/>
      <c r="AC2439" s="6" t="n"/>
      <c r="AD2439" s="75" t="n"/>
      <c r="AE2439" s="75" t="n"/>
      <c r="AF2439" s="75" t="n"/>
    </row>
    <row r="2440" ht="15.75" customHeight="1" s="133">
      <c r="A2440" s="75" t="n"/>
      <c r="B2440" s="75" t="n"/>
      <c r="C2440" s="75" t="n"/>
      <c r="D2440" s="75" t="n"/>
      <c r="E2440" s="76" t="n"/>
      <c r="F2440" s="77" t="n"/>
      <c r="G2440" s="75" t="n"/>
      <c r="H2440" s="75">
        <f>IF(ISBLANK(E2440),"",IF(OR(D2440="Butterfly",D2440="Butterfly ",D2440="Iron Fly", D2440="Iron Fly "),LEN(E2440)-LEN(SUBSTITUTE(E2440,"/",""))+2,LEN(E2440)-LEN(SUBSTITUTE(E2440,"/",""))+1))</f>
        <v/>
      </c>
      <c r="I2440" s="78">
        <f>IF(ISBLANK(G2440),"",IF(D2440="Stock","0",Key!$A$3*H2440*G2440))</f>
        <v/>
      </c>
      <c r="J2440" s="78">
        <f>IF(ISBLANK(E2440),"",IF(ISNUMBER(SEARCH("/",E2440)), IF(LEN(E2440)-LEN(SUBSTITUTE(E2440,"/",""))=1,(RIGHT(E2440,LEN(E2440)-FIND("/",E2440)))-(LEFT(E2440,FIND("/",E2440)-1)),(MID(E2440, SEARCH("/",E2440) + 1, SEARCH("/",E2440, SEARCH("/",E2440)+1) - SEARCH("/",E2440) - 1))-(LEFT(E2440,FIND("/",E2440)-1))), "NA"))</f>
        <v/>
      </c>
      <c r="K2440" s="79">
        <f>IF(A2440&lt;&gt;"", IF(ISBLANK(L2440), TODAY(), K2440), "")</f>
        <v/>
      </c>
      <c r="L2440" s="78" t="n"/>
      <c r="M2440" s="78">
        <f>IF(ISBLANK(L2440),"",IF(D2440="Stock",IF(C2440="Buy",L2440*G2440,IF(C2440="Sell",(L2440*G2440)-I2440, X)),IF(C2440="Buy",(L2440*G2440*100)+I2440,IF(C2440="Sell",(L2440*G2440*100)-I2440, X))))</f>
        <v/>
      </c>
      <c r="N2440" s="78">
        <f>IF(ISBLANK(L2440),"",IF(AND(C2440="Sell",D2440="Stock"),M2440,IF(ISBLANK(L2440),"",IF(C2440="Buy",M2440, IF(AND(C2440="Sell",J2440="NA"),(E2440*G2440*100*0.1)+I2440, IF(C2440="Sell",(J2440-L2440)*(100*G2440)+I2440))))))</f>
        <v/>
      </c>
      <c r="O2440" s="75" t="n"/>
      <c r="P2440" s="75" t="n"/>
      <c r="Q2440" s="75">
        <f>IF(ISBLANK(P2440),"",IF(D2440="Stock",P2440*G2440,IF(P2440=0,"0",G2440*P2440*100-(G2440*$AF$14))))</f>
        <v/>
      </c>
      <c r="R2440" s="79">
        <f>IF(P2440&lt;&gt;"", TODAY(), "")</f>
        <v/>
      </c>
      <c r="S2440" s="78">
        <f>IF(AND(K2440&lt;&gt;"", R2440&lt;&gt;""), R2440-K2440, "")</f>
        <v/>
      </c>
      <c r="T2440" s="78" t="n"/>
      <c r="U2440" s="92">
        <f>IF(ISBLANK(P2440),"",IF(C2440="Buy",Q2440-M2440+T2440, IF(C2440="Sell",M2440-Q2440-T2440, X)))</f>
        <v/>
      </c>
      <c r="V2440" s="81">
        <f>IF(ISBLANK(P2440),"",U2440/N2440)</f>
        <v/>
      </c>
      <c r="W2440" s="81">
        <f>IF(ISBLANK(P2440),"",IF(S2440=0,(365/0.5)*V2440,(365/S2440)*V2440))</f>
        <v/>
      </c>
      <c r="X2440" s="75" t="n"/>
      <c r="Y2440" s="77" t="n"/>
      <c r="Z2440" s="77" t="n"/>
      <c r="AA2440" s="75" t="n"/>
      <c r="AB2440" s="75" t="n"/>
      <c r="AC2440" s="6" t="n"/>
      <c r="AD2440" s="75" t="n"/>
      <c r="AE2440" s="75" t="n"/>
      <c r="AF2440" s="75" t="n"/>
    </row>
    <row r="2441" ht="15.75" customHeight="1" s="133">
      <c r="A2441" s="75" t="n"/>
      <c r="B2441" s="75" t="n"/>
      <c r="C2441" s="75" t="n"/>
      <c r="D2441" s="75" t="n"/>
      <c r="E2441" s="76" t="n"/>
      <c r="F2441" s="77" t="n"/>
      <c r="G2441" s="75" t="n"/>
      <c r="H2441" s="75">
        <f>IF(ISBLANK(E2441),"",IF(OR(D2441="Butterfly",D2441="Butterfly ",D2441="Iron Fly", D2441="Iron Fly "),LEN(E2441)-LEN(SUBSTITUTE(E2441,"/",""))+2,LEN(E2441)-LEN(SUBSTITUTE(E2441,"/",""))+1))</f>
        <v/>
      </c>
      <c r="I2441" s="78">
        <f>IF(ISBLANK(G2441),"",IF(D2441="Stock","0",Key!$A$3*H2441*G2441))</f>
        <v/>
      </c>
      <c r="J2441" s="78">
        <f>IF(ISBLANK(E2441),"",IF(ISNUMBER(SEARCH("/",E2441)), IF(LEN(E2441)-LEN(SUBSTITUTE(E2441,"/",""))=1,(RIGHT(E2441,LEN(E2441)-FIND("/",E2441)))-(LEFT(E2441,FIND("/",E2441)-1)),(MID(E2441, SEARCH("/",E2441) + 1, SEARCH("/",E2441, SEARCH("/",E2441)+1) - SEARCH("/",E2441) - 1))-(LEFT(E2441,FIND("/",E2441)-1))), "NA"))</f>
        <v/>
      </c>
      <c r="K2441" s="79">
        <f>IF(A2441&lt;&gt;"", IF(ISBLANK(L2441), TODAY(), K2441), "")</f>
        <v/>
      </c>
      <c r="L2441" s="78" t="n"/>
      <c r="M2441" s="78">
        <f>IF(ISBLANK(L2441),"",IF(D2441="Stock",IF(C2441="Buy",L2441*G2441,IF(C2441="Sell",(L2441*G2441)-I2441, X)),IF(C2441="Buy",(L2441*G2441*100)+I2441,IF(C2441="Sell",(L2441*G2441*100)-I2441, X))))</f>
        <v/>
      </c>
      <c r="N2441" s="78">
        <f>IF(ISBLANK(L2441),"",IF(AND(C2441="Sell",D2441="Stock"),M2441,IF(ISBLANK(L2441),"",IF(C2441="Buy",M2441, IF(AND(C2441="Sell",J2441="NA"),(E2441*G2441*100*0.1)+I2441, IF(C2441="Sell",(J2441-L2441)*(100*G2441)+I2441))))))</f>
        <v/>
      </c>
      <c r="O2441" s="75" t="n"/>
      <c r="P2441" s="75" t="n"/>
      <c r="Q2441" s="75">
        <f>IF(ISBLANK(P2441),"",IF(D2441="Stock",P2441*G2441,IF(P2441=0,"0",G2441*P2441*100-(G2441*$AF$14))))</f>
        <v/>
      </c>
      <c r="R2441" s="79">
        <f>IF(P2441&lt;&gt;"", TODAY(), "")</f>
        <v/>
      </c>
      <c r="S2441" s="78">
        <f>IF(AND(K2441&lt;&gt;"", R2441&lt;&gt;""), R2441-K2441, "")</f>
        <v/>
      </c>
      <c r="T2441" s="78" t="n"/>
      <c r="U2441" s="92">
        <f>IF(ISBLANK(P2441),"",IF(C2441="Buy",Q2441-M2441+T2441, IF(C2441="Sell",M2441-Q2441-T2441, X)))</f>
        <v/>
      </c>
      <c r="V2441" s="81">
        <f>IF(ISBLANK(P2441),"",U2441/N2441)</f>
        <v/>
      </c>
      <c r="W2441" s="81">
        <f>IF(ISBLANK(P2441),"",IF(S2441=0,(365/0.5)*V2441,(365/S2441)*V2441))</f>
        <v/>
      </c>
      <c r="X2441" s="75" t="n"/>
      <c r="Y2441" s="77" t="n"/>
      <c r="Z2441" s="77" t="n"/>
      <c r="AA2441" s="75" t="n"/>
      <c r="AB2441" s="75" t="n"/>
      <c r="AC2441" s="6" t="n"/>
      <c r="AD2441" s="75" t="n"/>
      <c r="AE2441" s="75" t="n"/>
      <c r="AF2441" s="75" t="n"/>
    </row>
    <row r="2442" ht="15.75" customHeight="1" s="133">
      <c r="A2442" s="75" t="n"/>
      <c r="B2442" s="75" t="n"/>
      <c r="C2442" s="75" t="n"/>
      <c r="D2442" s="75" t="n"/>
      <c r="E2442" s="76" t="n"/>
      <c r="F2442" s="77" t="n"/>
      <c r="G2442" s="75" t="n"/>
      <c r="H2442" s="75">
        <f>IF(ISBLANK(E2442),"",IF(OR(D2442="Butterfly",D2442="Butterfly ",D2442="Iron Fly", D2442="Iron Fly "),LEN(E2442)-LEN(SUBSTITUTE(E2442,"/",""))+2,LEN(E2442)-LEN(SUBSTITUTE(E2442,"/",""))+1))</f>
        <v/>
      </c>
      <c r="I2442" s="78">
        <f>IF(ISBLANK(G2442),"",IF(D2442="Stock","0",Key!$A$3*H2442*G2442))</f>
        <v/>
      </c>
      <c r="J2442" s="78">
        <f>IF(ISBLANK(E2442),"",IF(ISNUMBER(SEARCH("/",E2442)), IF(LEN(E2442)-LEN(SUBSTITUTE(E2442,"/",""))=1,(RIGHT(E2442,LEN(E2442)-FIND("/",E2442)))-(LEFT(E2442,FIND("/",E2442)-1)),(MID(E2442, SEARCH("/",E2442) + 1, SEARCH("/",E2442, SEARCH("/",E2442)+1) - SEARCH("/",E2442) - 1))-(LEFT(E2442,FIND("/",E2442)-1))), "NA"))</f>
        <v/>
      </c>
      <c r="K2442" s="79">
        <f>IF(A2442&lt;&gt;"", IF(ISBLANK(L2442), TODAY(), K2442), "")</f>
        <v/>
      </c>
      <c r="L2442" s="78" t="n"/>
      <c r="M2442" s="78">
        <f>IF(ISBLANK(L2442),"",IF(D2442="Stock",IF(C2442="Buy",L2442*G2442,IF(C2442="Sell",(L2442*G2442)-I2442, X)),IF(C2442="Buy",(L2442*G2442*100)+I2442,IF(C2442="Sell",(L2442*G2442*100)-I2442, X))))</f>
        <v/>
      </c>
      <c r="N2442" s="78">
        <f>IF(ISBLANK(L2442),"",IF(AND(C2442="Sell",D2442="Stock"),M2442,IF(ISBLANK(L2442),"",IF(C2442="Buy",M2442, IF(AND(C2442="Sell",J2442="NA"),(E2442*G2442*100*0.1)+I2442, IF(C2442="Sell",(J2442-L2442)*(100*G2442)+I2442))))))</f>
        <v/>
      </c>
      <c r="O2442" s="75" t="n"/>
      <c r="P2442" s="75" t="n"/>
      <c r="Q2442" s="75">
        <f>IF(ISBLANK(P2442),"",IF(D2442="Stock",P2442*G2442,IF(P2442=0,"0",G2442*P2442*100-(G2442*$AF$14))))</f>
        <v/>
      </c>
      <c r="R2442" s="79">
        <f>IF(P2442&lt;&gt;"", TODAY(), "")</f>
        <v/>
      </c>
      <c r="S2442" s="78">
        <f>IF(AND(K2442&lt;&gt;"", R2442&lt;&gt;""), R2442-K2442, "")</f>
        <v/>
      </c>
      <c r="T2442" s="78" t="n"/>
      <c r="U2442" s="92">
        <f>IF(ISBLANK(P2442),"",IF(C2442="Buy",Q2442-M2442+T2442, IF(C2442="Sell",M2442-Q2442-T2442, X)))</f>
        <v/>
      </c>
      <c r="V2442" s="81">
        <f>IF(ISBLANK(P2442),"",U2442/N2442)</f>
        <v/>
      </c>
      <c r="W2442" s="81">
        <f>IF(ISBLANK(P2442),"",IF(S2442=0,(365/0.5)*V2442,(365/S2442)*V2442))</f>
        <v/>
      </c>
      <c r="X2442" s="75" t="n"/>
      <c r="Y2442" s="77" t="n"/>
      <c r="Z2442" s="77" t="n"/>
      <c r="AA2442" s="75" t="n"/>
      <c r="AB2442" s="75" t="n"/>
      <c r="AC2442" s="6" t="n"/>
      <c r="AD2442" s="75" t="n"/>
      <c r="AE2442" s="75" t="n"/>
      <c r="AF2442" s="75" t="n"/>
    </row>
    <row r="2443" ht="15.75" customHeight="1" s="133">
      <c r="A2443" s="75" t="n"/>
      <c r="B2443" s="75" t="n"/>
      <c r="C2443" s="75" t="n"/>
      <c r="D2443" s="75" t="n"/>
      <c r="E2443" s="76" t="n"/>
      <c r="F2443" s="77" t="n"/>
      <c r="G2443" s="75" t="n"/>
      <c r="H2443" s="75">
        <f>IF(ISBLANK(E2443),"",IF(OR(D2443="Butterfly",D2443="Butterfly ",D2443="Iron Fly", D2443="Iron Fly "),LEN(E2443)-LEN(SUBSTITUTE(E2443,"/",""))+2,LEN(E2443)-LEN(SUBSTITUTE(E2443,"/",""))+1))</f>
        <v/>
      </c>
      <c r="I2443" s="78">
        <f>IF(ISBLANK(G2443),"",IF(D2443="Stock","0",Key!$A$3*H2443*G2443))</f>
        <v/>
      </c>
      <c r="J2443" s="78">
        <f>IF(ISBLANK(E2443),"",IF(ISNUMBER(SEARCH("/",E2443)), IF(LEN(E2443)-LEN(SUBSTITUTE(E2443,"/",""))=1,(RIGHT(E2443,LEN(E2443)-FIND("/",E2443)))-(LEFT(E2443,FIND("/",E2443)-1)),(MID(E2443, SEARCH("/",E2443) + 1, SEARCH("/",E2443, SEARCH("/",E2443)+1) - SEARCH("/",E2443) - 1))-(LEFT(E2443,FIND("/",E2443)-1))), "NA"))</f>
        <v/>
      </c>
      <c r="K2443" s="79">
        <f>IF(A2443&lt;&gt;"", IF(ISBLANK(L2443), TODAY(), K2443), "")</f>
        <v/>
      </c>
      <c r="L2443" s="78" t="n"/>
      <c r="M2443" s="78">
        <f>IF(ISBLANK(L2443),"",IF(D2443="Stock",IF(C2443="Buy",L2443*G2443,IF(C2443="Sell",(L2443*G2443)-I2443, X)),IF(C2443="Buy",(L2443*G2443*100)+I2443,IF(C2443="Sell",(L2443*G2443*100)-I2443, X))))</f>
        <v/>
      </c>
      <c r="N2443" s="78">
        <f>IF(ISBLANK(L2443),"",IF(AND(C2443="Sell",D2443="Stock"),M2443,IF(ISBLANK(L2443),"",IF(C2443="Buy",M2443, IF(AND(C2443="Sell",J2443="NA"),(E2443*G2443*100*0.1)+I2443, IF(C2443="Sell",(J2443-L2443)*(100*G2443)+I2443))))))</f>
        <v/>
      </c>
      <c r="O2443" s="75" t="n"/>
      <c r="P2443" s="75" t="n"/>
      <c r="Q2443" s="75">
        <f>IF(ISBLANK(P2443),"",IF(D2443="Stock",P2443*G2443,IF(P2443=0,"0",G2443*P2443*100-(G2443*$AF$14))))</f>
        <v/>
      </c>
      <c r="R2443" s="79">
        <f>IF(P2443&lt;&gt;"", TODAY(), "")</f>
        <v/>
      </c>
      <c r="S2443" s="78">
        <f>IF(AND(K2443&lt;&gt;"", R2443&lt;&gt;""), R2443-K2443, "")</f>
        <v/>
      </c>
      <c r="T2443" s="78" t="n"/>
      <c r="U2443" s="92">
        <f>IF(ISBLANK(P2443),"",IF(C2443="Buy",Q2443-M2443+T2443, IF(C2443="Sell",M2443-Q2443-T2443, X)))</f>
        <v/>
      </c>
      <c r="V2443" s="81">
        <f>IF(ISBLANK(P2443),"",U2443/N2443)</f>
        <v/>
      </c>
      <c r="W2443" s="81">
        <f>IF(ISBLANK(P2443),"",IF(S2443=0,(365/0.5)*V2443,(365/S2443)*V2443))</f>
        <v/>
      </c>
      <c r="X2443" s="75" t="n"/>
      <c r="Y2443" s="77" t="n"/>
      <c r="Z2443" s="77" t="n"/>
      <c r="AA2443" s="75" t="n"/>
      <c r="AB2443" s="75" t="n"/>
      <c r="AC2443" s="6" t="n"/>
      <c r="AD2443" s="75" t="n"/>
      <c r="AE2443" s="75" t="n"/>
      <c r="AF2443" s="75" t="n"/>
    </row>
    <row r="2444" ht="15.75" customHeight="1" s="133">
      <c r="A2444" s="75" t="n"/>
      <c r="B2444" s="75" t="n"/>
      <c r="C2444" s="75" t="n"/>
      <c r="D2444" s="75" t="n"/>
      <c r="E2444" s="76" t="n"/>
      <c r="F2444" s="77" t="n"/>
      <c r="G2444" s="75" t="n"/>
      <c r="H2444" s="75">
        <f>IF(ISBLANK(E2444),"",IF(OR(D2444="Butterfly",D2444="Butterfly ",D2444="Iron Fly", D2444="Iron Fly "),LEN(E2444)-LEN(SUBSTITUTE(E2444,"/",""))+2,LEN(E2444)-LEN(SUBSTITUTE(E2444,"/",""))+1))</f>
        <v/>
      </c>
      <c r="I2444" s="78">
        <f>IF(ISBLANK(G2444),"",IF(D2444="Stock","0",Key!$A$3*H2444*G2444))</f>
        <v/>
      </c>
      <c r="J2444" s="78">
        <f>IF(ISBLANK(E2444),"",IF(ISNUMBER(SEARCH("/",E2444)), IF(LEN(E2444)-LEN(SUBSTITUTE(E2444,"/",""))=1,(RIGHT(E2444,LEN(E2444)-FIND("/",E2444)))-(LEFT(E2444,FIND("/",E2444)-1)),(MID(E2444, SEARCH("/",E2444) + 1, SEARCH("/",E2444, SEARCH("/",E2444)+1) - SEARCH("/",E2444) - 1))-(LEFT(E2444,FIND("/",E2444)-1))), "NA"))</f>
        <v/>
      </c>
      <c r="K2444" s="79">
        <f>IF(A2444&lt;&gt;"", IF(ISBLANK(L2444), TODAY(), K2444), "")</f>
        <v/>
      </c>
      <c r="L2444" s="78" t="n"/>
      <c r="M2444" s="78">
        <f>IF(ISBLANK(L2444),"",IF(D2444="Stock",IF(C2444="Buy",L2444*G2444,IF(C2444="Sell",(L2444*G2444)-I2444, X)),IF(C2444="Buy",(L2444*G2444*100)+I2444,IF(C2444="Sell",(L2444*G2444*100)-I2444, X))))</f>
        <v/>
      </c>
      <c r="N2444" s="78">
        <f>IF(ISBLANK(L2444),"",IF(AND(C2444="Sell",D2444="Stock"),M2444,IF(ISBLANK(L2444),"",IF(C2444="Buy",M2444, IF(AND(C2444="Sell",J2444="NA"),(E2444*G2444*100*0.1)+I2444, IF(C2444="Sell",(J2444-L2444)*(100*G2444)+I2444))))))</f>
        <v/>
      </c>
      <c r="O2444" s="75" t="n"/>
      <c r="P2444" s="75" t="n"/>
      <c r="Q2444" s="75">
        <f>IF(ISBLANK(P2444),"",IF(D2444="Stock",P2444*G2444,IF(P2444=0,"0",G2444*P2444*100-(G2444*$AF$14))))</f>
        <v/>
      </c>
      <c r="R2444" s="79">
        <f>IF(P2444&lt;&gt;"", TODAY(), "")</f>
        <v/>
      </c>
      <c r="S2444" s="78">
        <f>IF(AND(K2444&lt;&gt;"", R2444&lt;&gt;""), R2444-K2444, "")</f>
        <v/>
      </c>
      <c r="T2444" s="78" t="n"/>
      <c r="U2444" s="92">
        <f>IF(ISBLANK(P2444),"",IF(C2444="Buy",Q2444-M2444+T2444, IF(C2444="Sell",M2444-Q2444-T2444, X)))</f>
        <v/>
      </c>
      <c r="V2444" s="81">
        <f>IF(ISBLANK(P2444),"",U2444/N2444)</f>
        <v/>
      </c>
      <c r="W2444" s="81">
        <f>IF(ISBLANK(P2444),"",IF(S2444=0,(365/0.5)*V2444,(365/S2444)*V2444))</f>
        <v/>
      </c>
      <c r="X2444" s="75" t="n"/>
      <c r="Y2444" s="77" t="n"/>
      <c r="Z2444" s="77" t="n"/>
      <c r="AA2444" s="75" t="n"/>
      <c r="AB2444" s="75" t="n"/>
      <c r="AC2444" s="6" t="n"/>
      <c r="AD2444" s="75" t="n"/>
      <c r="AE2444" s="75" t="n"/>
      <c r="AF2444" s="75" t="n"/>
    </row>
    <row r="2445" ht="15.75" customHeight="1" s="133">
      <c r="A2445" s="75" t="n"/>
      <c r="B2445" s="75" t="n"/>
      <c r="C2445" s="75" t="n"/>
      <c r="D2445" s="75" t="n"/>
      <c r="E2445" s="76" t="n"/>
      <c r="F2445" s="77" t="n"/>
      <c r="G2445" s="75" t="n"/>
      <c r="H2445" s="75">
        <f>IF(ISBLANK(E2445),"",IF(OR(D2445="Butterfly",D2445="Butterfly ",D2445="Iron Fly", D2445="Iron Fly "),LEN(E2445)-LEN(SUBSTITUTE(E2445,"/",""))+2,LEN(E2445)-LEN(SUBSTITUTE(E2445,"/",""))+1))</f>
        <v/>
      </c>
      <c r="I2445" s="78">
        <f>IF(ISBLANK(G2445),"",IF(D2445="Stock","0",Key!$A$3*H2445*G2445))</f>
        <v/>
      </c>
      <c r="J2445" s="78">
        <f>IF(ISBLANK(E2445),"",IF(ISNUMBER(SEARCH("/",E2445)), IF(LEN(E2445)-LEN(SUBSTITUTE(E2445,"/",""))=1,(RIGHT(E2445,LEN(E2445)-FIND("/",E2445)))-(LEFT(E2445,FIND("/",E2445)-1)),(MID(E2445, SEARCH("/",E2445) + 1, SEARCH("/",E2445, SEARCH("/",E2445)+1) - SEARCH("/",E2445) - 1))-(LEFT(E2445,FIND("/",E2445)-1))), "NA"))</f>
        <v/>
      </c>
      <c r="K2445" s="79">
        <f>IF(A2445&lt;&gt;"", IF(ISBLANK(L2445), TODAY(), K2445), "")</f>
        <v/>
      </c>
      <c r="L2445" s="78" t="n"/>
      <c r="M2445" s="78">
        <f>IF(ISBLANK(L2445),"",IF(D2445="Stock",IF(C2445="Buy",L2445*G2445,IF(C2445="Sell",(L2445*G2445)-I2445, X)),IF(C2445="Buy",(L2445*G2445*100)+I2445,IF(C2445="Sell",(L2445*G2445*100)-I2445, X))))</f>
        <v/>
      </c>
      <c r="N2445" s="78">
        <f>IF(ISBLANK(L2445),"",IF(AND(C2445="Sell",D2445="Stock"),M2445,IF(ISBLANK(L2445),"",IF(C2445="Buy",M2445, IF(AND(C2445="Sell",J2445="NA"),(E2445*G2445*100*0.1)+I2445, IF(C2445="Sell",(J2445-L2445)*(100*G2445)+I2445))))))</f>
        <v/>
      </c>
      <c r="O2445" s="75" t="n"/>
      <c r="P2445" s="75" t="n"/>
      <c r="Q2445" s="75">
        <f>IF(ISBLANK(P2445),"",IF(D2445="Stock",P2445*G2445,IF(P2445=0,"0",G2445*P2445*100-(G2445*$AF$14))))</f>
        <v/>
      </c>
      <c r="R2445" s="79">
        <f>IF(P2445&lt;&gt;"", TODAY(), "")</f>
        <v/>
      </c>
      <c r="S2445" s="78">
        <f>IF(AND(K2445&lt;&gt;"", R2445&lt;&gt;""), R2445-K2445, "")</f>
        <v/>
      </c>
      <c r="T2445" s="78" t="n"/>
      <c r="U2445" s="92">
        <f>IF(ISBLANK(P2445),"",IF(C2445="Buy",Q2445-M2445+T2445, IF(C2445="Sell",M2445-Q2445-T2445, X)))</f>
        <v/>
      </c>
      <c r="V2445" s="81">
        <f>IF(ISBLANK(P2445),"",U2445/N2445)</f>
        <v/>
      </c>
      <c r="W2445" s="81">
        <f>IF(ISBLANK(P2445),"",IF(S2445=0,(365/0.5)*V2445,(365/S2445)*V2445))</f>
        <v/>
      </c>
      <c r="X2445" s="75" t="n"/>
      <c r="Y2445" s="77" t="n"/>
      <c r="Z2445" s="77" t="n"/>
      <c r="AA2445" s="75" t="n"/>
      <c r="AB2445" s="75" t="n"/>
      <c r="AC2445" s="6" t="n"/>
      <c r="AD2445" s="75" t="n"/>
      <c r="AE2445" s="75" t="n"/>
      <c r="AF2445" s="75" t="n"/>
    </row>
    <row r="2446" ht="15.75" customHeight="1" s="133">
      <c r="A2446" s="75" t="n"/>
      <c r="B2446" s="75" t="n"/>
      <c r="C2446" s="75" t="n"/>
      <c r="D2446" s="75" t="n"/>
      <c r="E2446" s="76" t="n"/>
      <c r="F2446" s="77" t="n"/>
      <c r="G2446" s="75" t="n"/>
      <c r="H2446" s="75">
        <f>IF(ISBLANK(E2446),"",IF(OR(D2446="Butterfly",D2446="Butterfly ",D2446="Iron Fly", D2446="Iron Fly "),LEN(E2446)-LEN(SUBSTITUTE(E2446,"/",""))+2,LEN(E2446)-LEN(SUBSTITUTE(E2446,"/",""))+1))</f>
        <v/>
      </c>
      <c r="I2446" s="78">
        <f>IF(ISBLANK(G2446),"",IF(D2446="Stock","0",Key!$A$3*H2446*G2446))</f>
        <v/>
      </c>
      <c r="J2446" s="78">
        <f>IF(ISBLANK(E2446),"",IF(ISNUMBER(SEARCH("/",E2446)), IF(LEN(E2446)-LEN(SUBSTITUTE(E2446,"/",""))=1,(RIGHT(E2446,LEN(E2446)-FIND("/",E2446)))-(LEFT(E2446,FIND("/",E2446)-1)),(MID(E2446, SEARCH("/",E2446) + 1, SEARCH("/",E2446, SEARCH("/",E2446)+1) - SEARCH("/",E2446) - 1))-(LEFT(E2446,FIND("/",E2446)-1))), "NA"))</f>
        <v/>
      </c>
      <c r="K2446" s="79">
        <f>IF(A2446&lt;&gt;"", IF(ISBLANK(L2446), TODAY(), K2446), "")</f>
        <v/>
      </c>
      <c r="L2446" s="78" t="n"/>
      <c r="M2446" s="78">
        <f>IF(ISBLANK(L2446),"",IF(D2446="Stock",IF(C2446="Buy",L2446*G2446,IF(C2446="Sell",(L2446*G2446)-I2446, X)),IF(C2446="Buy",(L2446*G2446*100)+I2446,IF(C2446="Sell",(L2446*G2446*100)-I2446, X))))</f>
        <v/>
      </c>
      <c r="N2446" s="78">
        <f>IF(ISBLANK(L2446),"",IF(AND(C2446="Sell",D2446="Stock"),M2446,IF(ISBLANK(L2446),"",IF(C2446="Buy",M2446, IF(AND(C2446="Sell",J2446="NA"),(E2446*G2446*100*0.1)+I2446, IF(C2446="Sell",(J2446-L2446)*(100*G2446)+I2446))))))</f>
        <v/>
      </c>
      <c r="O2446" s="75" t="n"/>
      <c r="P2446" s="75" t="n"/>
      <c r="Q2446" s="75">
        <f>IF(ISBLANK(P2446),"",IF(D2446="Stock",P2446*G2446,IF(P2446=0,"0",G2446*P2446*100-(G2446*$AF$14))))</f>
        <v/>
      </c>
      <c r="R2446" s="79">
        <f>IF(P2446&lt;&gt;"", TODAY(), "")</f>
        <v/>
      </c>
      <c r="S2446" s="78">
        <f>IF(AND(K2446&lt;&gt;"", R2446&lt;&gt;""), R2446-K2446, "")</f>
        <v/>
      </c>
      <c r="T2446" s="78" t="n"/>
      <c r="U2446" s="92">
        <f>IF(ISBLANK(P2446),"",IF(C2446="Buy",Q2446-M2446+T2446, IF(C2446="Sell",M2446-Q2446-T2446, X)))</f>
        <v/>
      </c>
      <c r="V2446" s="81">
        <f>IF(ISBLANK(P2446),"",U2446/N2446)</f>
        <v/>
      </c>
      <c r="W2446" s="81">
        <f>IF(ISBLANK(P2446),"",IF(S2446=0,(365/0.5)*V2446,(365/S2446)*V2446))</f>
        <v/>
      </c>
      <c r="X2446" s="75" t="n"/>
      <c r="Y2446" s="77" t="n"/>
      <c r="Z2446" s="77" t="n"/>
      <c r="AA2446" s="75" t="n"/>
      <c r="AB2446" s="75" t="n"/>
      <c r="AC2446" s="6" t="n"/>
      <c r="AD2446" s="75" t="n"/>
      <c r="AE2446" s="75" t="n"/>
      <c r="AF2446" s="75" t="n"/>
    </row>
    <row r="2447" ht="15.75" customHeight="1" s="133">
      <c r="A2447" s="75" t="n"/>
      <c r="B2447" s="75" t="n"/>
      <c r="C2447" s="75" t="n"/>
      <c r="D2447" s="75" t="n"/>
      <c r="E2447" s="76" t="n"/>
      <c r="F2447" s="77" t="n"/>
      <c r="G2447" s="75" t="n"/>
      <c r="H2447" s="75">
        <f>IF(ISBLANK(E2447),"",IF(OR(D2447="Butterfly",D2447="Butterfly ",D2447="Iron Fly", D2447="Iron Fly "),LEN(E2447)-LEN(SUBSTITUTE(E2447,"/",""))+2,LEN(E2447)-LEN(SUBSTITUTE(E2447,"/",""))+1))</f>
        <v/>
      </c>
      <c r="I2447" s="78">
        <f>IF(ISBLANK(G2447),"",IF(D2447="Stock","0",Key!$A$3*H2447*G2447))</f>
        <v/>
      </c>
      <c r="J2447" s="78">
        <f>IF(ISBLANK(E2447),"",IF(ISNUMBER(SEARCH("/",E2447)), IF(LEN(E2447)-LEN(SUBSTITUTE(E2447,"/",""))=1,(RIGHT(E2447,LEN(E2447)-FIND("/",E2447)))-(LEFT(E2447,FIND("/",E2447)-1)),(MID(E2447, SEARCH("/",E2447) + 1, SEARCH("/",E2447, SEARCH("/",E2447)+1) - SEARCH("/",E2447) - 1))-(LEFT(E2447,FIND("/",E2447)-1))), "NA"))</f>
        <v/>
      </c>
      <c r="K2447" s="79">
        <f>IF(A2447&lt;&gt;"", IF(ISBLANK(L2447), TODAY(), K2447), "")</f>
        <v/>
      </c>
      <c r="L2447" s="78" t="n"/>
      <c r="M2447" s="78">
        <f>IF(ISBLANK(L2447),"",IF(D2447="Stock",IF(C2447="Buy",L2447*G2447,IF(C2447="Sell",(L2447*G2447)-I2447, X)),IF(C2447="Buy",(L2447*G2447*100)+I2447,IF(C2447="Sell",(L2447*G2447*100)-I2447, X))))</f>
        <v/>
      </c>
      <c r="N2447" s="78">
        <f>IF(ISBLANK(L2447),"",IF(AND(C2447="Sell",D2447="Stock"),M2447,IF(ISBLANK(L2447),"",IF(C2447="Buy",M2447, IF(AND(C2447="Sell",J2447="NA"),(E2447*G2447*100*0.1)+I2447, IF(C2447="Sell",(J2447-L2447)*(100*G2447)+I2447))))))</f>
        <v/>
      </c>
      <c r="O2447" s="75" t="n"/>
      <c r="P2447" s="75" t="n"/>
      <c r="Q2447" s="75">
        <f>IF(ISBLANK(P2447),"",IF(D2447="Stock",P2447*G2447,IF(P2447=0,"0",G2447*P2447*100-(G2447*$AF$14))))</f>
        <v/>
      </c>
      <c r="R2447" s="79">
        <f>IF(P2447&lt;&gt;"", TODAY(), "")</f>
        <v/>
      </c>
      <c r="S2447" s="78">
        <f>IF(AND(K2447&lt;&gt;"", R2447&lt;&gt;""), R2447-K2447, "")</f>
        <v/>
      </c>
      <c r="T2447" s="78" t="n"/>
      <c r="U2447" s="92">
        <f>IF(ISBLANK(P2447),"",IF(C2447="Buy",Q2447-M2447+T2447, IF(C2447="Sell",M2447-Q2447-T2447, X)))</f>
        <v/>
      </c>
      <c r="V2447" s="81">
        <f>IF(ISBLANK(P2447),"",U2447/N2447)</f>
        <v/>
      </c>
      <c r="W2447" s="81">
        <f>IF(ISBLANK(P2447),"",IF(S2447=0,(365/0.5)*V2447,(365/S2447)*V2447))</f>
        <v/>
      </c>
      <c r="X2447" s="75" t="n"/>
      <c r="Y2447" s="77" t="n"/>
      <c r="Z2447" s="77" t="n"/>
      <c r="AA2447" s="75" t="n"/>
      <c r="AB2447" s="75" t="n"/>
      <c r="AC2447" s="6" t="n"/>
      <c r="AD2447" s="75" t="n"/>
      <c r="AE2447" s="75" t="n"/>
      <c r="AF2447" s="75" t="n"/>
    </row>
    <row r="2448" ht="15.75" customHeight="1" s="133">
      <c r="A2448" s="75" t="n"/>
      <c r="B2448" s="75" t="n"/>
      <c r="C2448" s="75" t="n"/>
      <c r="D2448" s="75" t="n"/>
      <c r="E2448" s="76" t="n"/>
      <c r="F2448" s="77" t="n"/>
      <c r="G2448" s="75" t="n"/>
      <c r="H2448" s="75">
        <f>IF(ISBLANK(E2448),"",IF(OR(D2448="Butterfly",D2448="Butterfly ",D2448="Iron Fly", D2448="Iron Fly "),LEN(E2448)-LEN(SUBSTITUTE(E2448,"/",""))+2,LEN(E2448)-LEN(SUBSTITUTE(E2448,"/",""))+1))</f>
        <v/>
      </c>
      <c r="I2448" s="78">
        <f>IF(ISBLANK(G2448),"",IF(D2448="Stock","0",Key!$A$3*H2448*G2448))</f>
        <v/>
      </c>
      <c r="J2448" s="78">
        <f>IF(ISBLANK(E2448),"",IF(ISNUMBER(SEARCH("/",E2448)), IF(LEN(E2448)-LEN(SUBSTITUTE(E2448,"/",""))=1,(RIGHT(E2448,LEN(E2448)-FIND("/",E2448)))-(LEFT(E2448,FIND("/",E2448)-1)),(MID(E2448, SEARCH("/",E2448) + 1, SEARCH("/",E2448, SEARCH("/",E2448)+1) - SEARCH("/",E2448) - 1))-(LEFT(E2448,FIND("/",E2448)-1))), "NA"))</f>
        <v/>
      </c>
      <c r="K2448" s="79">
        <f>IF(A2448&lt;&gt;"", IF(ISBLANK(L2448), TODAY(), K2448), "")</f>
        <v/>
      </c>
      <c r="L2448" s="78" t="n"/>
      <c r="M2448" s="78">
        <f>IF(ISBLANK(L2448),"",IF(D2448="Stock",IF(C2448="Buy",L2448*G2448,IF(C2448="Sell",(L2448*G2448)-I2448, X)),IF(C2448="Buy",(L2448*G2448*100)+I2448,IF(C2448="Sell",(L2448*G2448*100)-I2448, X))))</f>
        <v/>
      </c>
      <c r="N2448" s="78">
        <f>IF(ISBLANK(L2448),"",IF(AND(C2448="Sell",D2448="Stock"),M2448,IF(ISBLANK(L2448),"",IF(C2448="Buy",M2448, IF(AND(C2448="Sell",J2448="NA"),(E2448*G2448*100*0.1)+I2448, IF(C2448="Sell",(J2448-L2448)*(100*G2448)+I2448))))))</f>
        <v/>
      </c>
      <c r="O2448" s="75" t="n"/>
      <c r="P2448" s="75" t="n"/>
      <c r="Q2448" s="75">
        <f>IF(ISBLANK(P2448),"",IF(D2448="Stock",P2448*G2448,IF(P2448=0,"0",G2448*P2448*100-(G2448*$AF$14))))</f>
        <v/>
      </c>
      <c r="R2448" s="79">
        <f>IF(P2448&lt;&gt;"", TODAY(), "")</f>
        <v/>
      </c>
      <c r="S2448" s="78">
        <f>IF(AND(K2448&lt;&gt;"", R2448&lt;&gt;""), R2448-K2448, "")</f>
        <v/>
      </c>
      <c r="T2448" s="78" t="n"/>
      <c r="U2448" s="92">
        <f>IF(ISBLANK(P2448),"",IF(C2448="Buy",Q2448-M2448+T2448, IF(C2448="Sell",M2448-Q2448-T2448, X)))</f>
        <v/>
      </c>
      <c r="V2448" s="81">
        <f>IF(ISBLANK(P2448),"",U2448/N2448)</f>
        <v/>
      </c>
      <c r="W2448" s="81">
        <f>IF(ISBLANK(P2448),"",IF(S2448=0,(365/0.5)*V2448,(365/S2448)*V2448))</f>
        <v/>
      </c>
      <c r="X2448" s="75" t="n"/>
      <c r="Y2448" s="77" t="n"/>
      <c r="Z2448" s="77" t="n"/>
      <c r="AA2448" s="75" t="n"/>
      <c r="AB2448" s="75" t="n"/>
      <c r="AC2448" s="6" t="n"/>
      <c r="AD2448" s="75" t="n"/>
      <c r="AE2448" s="75" t="n"/>
      <c r="AF2448" s="75" t="n"/>
    </row>
    <row r="2449" ht="15.75" customHeight="1" s="133">
      <c r="A2449" s="75" t="n"/>
      <c r="B2449" s="75" t="n"/>
      <c r="C2449" s="75" t="n"/>
      <c r="D2449" s="75" t="n"/>
      <c r="E2449" s="76" t="n"/>
      <c r="F2449" s="77" t="n"/>
      <c r="G2449" s="75" t="n"/>
      <c r="H2449" s="75">
        <f>IF(ISBLANK(E2449),"",IF(OR(D2449="Butterfly",D2449="Butterfly ",D2449="Iron Fly", D2449="Iron Fly "),LEN(E2449)-LEN(SUBSTITUTE(E2449,"/",""))+2,LEN(E2449)-LEN(SUBSTITUTE(E2449,"/",""))+1))</f>
        <v/>
      </c>
      <c r="I2449" s="78">
        <f>IF(ISBLANK(G2449),"",IF(D2449="Stock","0",Key!$A$3*H2449*G2449))</f>
        <v/>
      </c>
      <c r="J2449" s="78">
        <f>IF(ISBLANK(E2449),"",IF(ISNUMBER(SEARCH("/",E2449)), IF(LEN(E2449)-LEN(SUBSTITUTE(E2449,"/",""))=1,(RIGHT(E2449,LEN(E2449)-FIND("/",E2449)))-(LEFT(E2449,FIND("/",E2449)-1)),(MID(E2449, SEARCH("/",E2449) + 1, SEARCH("/",E2449, SEARCH("/",E2449)+1) - SEARCH("/",E2449) - 1))-(LEFT(E2449,FIND("/",E2449)-1))), "NA"))</f>
        <v/>
      </c>
      <c r="K2449" s="79">
        <f>IF(A2449&lt;&gt;"", IF(ISBLANK(L2449), TODAY(), K2449), "")</f>
        <v/>
      </c>
      <c r="L2449" s="78" t="n"/>
      <c r="M2449" s="78">
        <f>IF(ISBLANK(L2449),"",IF(D2449="Stock",IF(C2449="Buy",L2449*G2449,IF(C2449="Sell",(L2449*G2449)-I2449, X)),IF(C2449="Buy",(L2449*G2449*100)+I2449,IF(C2449="Sell",(L2449*G2449*100)-I2449, X))))</f>
        <v/>
      </c>
      <c r="N2449" s="78">
        <f>IF(ISBLANK(L2449),"",IF(AND(C2449="Sell",D2449="Stock"),M2449,IF(ISBLANK(L2449),"",IF(C2449="Buy",M2449, IF(AND(C2449="Sell",J2449="NA"),(E2449*G2449*100*0.1)+I2449, IF(C2449="Sell",(J2449-L2449)*(100*G2449)+I2449))))))</f>
        <v/>
      </c>
      <c r="O2449" s="75" t="n"/>
      <c r="P2449" s="75" t="n"/>
      <c r="Q2449" s="75">
        <f>IF(ISBLANK(P2449),"",IF(D2449="Stock",P2449*G2449,IF(P2449=0,"0",G2449*P2449*100-(G2449*$AF$14))))</f>
        <v/>
      </c>
      <c r="R2449" s="79">
        <f>IF(P2449&lt;&gt;"", TODAY(), "")</f>
        <v/>
      </c>
      <c r="S2449" s="78">
        <f>IF(AND(K2449&lt;&gt;"", R2449&lt;&gt;""), R2449-K2449, "")</f>
        <v/>
      </c>
      <c r="T2449" s="78" t="n"/>
      <c r="U2449" s="92">
        <f>IF(ISBLANK(P2449),"",IF(C2449="Buy",Q2449-M2449+T2449, IF(C2449="Sell",M2449-Q2449-T2449, X)))</f>
        <v/>
      </c>
      <c r="V2449" s="81">
        <f>IF(ISBLANK(P2449),"",U2449/N2449)</f>
        <v/>
      </c>
      <c r="W2449" s="81">
        <f>IF(ISBLANK(P2449),"",IF(S2449=0,(365/0.5)*V2449,(365/S2449)*V2449))</f>
        <v/>
      </c>
      <c r="X2449" s="75" t="n"/>
      <c r="Y2449" s="77" t="n"/>
      <c r="Z2449" s="77" t="n"/>
      <c r="AA2449" s="75" t="n"/>
      <c r="AB2449" s="75" t="n"/>
      <c r="AC2449" s="6" t="n"/>
      <c r="AD2449" s="75" t="n"/>
      <c r="AE2449" s="75" t="n"/>
      <c r="AF2449" s="75" t="n"/>
    </row>
    <row r="2450" ht="15.75" customHeight="1" s="133">
      <c r="A2450" s="75" t="n"/>
      <c r="B2450" s="75" t="n"/>
      <c r="C2450" s="75" t="n"/>
      <c r="D2450" s="75" t="n"/>
      <c r="E2450" s="76" t="n"/>
      <c r="F2450" s="77" t="n"/>
      <c r="G2450" s="75" t="n"/>
      <c r="H2450" s="75">
        <f>IF(ISBLANK(E2450),"",IF(OR(D2450="Butterfly",D2450="Butterfly ",D2450="Iron Fly", D2450="Iron Fly "),LEN(E2450)-LEN(SUBSTITUTE(E2450,"/",""))+2,LEN(E2450)-LEN(SUBSTITUTE(E2450,"/",""))+1))</f>
        <v/>
      </c>
      <c r="I2450" s="78">
        <f>IF(ISBLANK(G2450),"",IF(D2450="Stock","0",Key!$A$3*H2450*G2450))</f>
        <v/>
      </c>
      <c r="J2450" s="78">
        <f>IF(ISBLANK(E2450),"",IF(ISNUMBER(SEARCH("/",E2450)), IF(LEN(E2450)-LEN(SUBSTITUTE(E2450,"/",""))=1,(RIGHT(E2450,LEN(E2450)-FIND("/",E2450)))-(LEFT(E2450,FIND("/",E2450)-1)),(MID(E2450, SEARCH("/",E2450) + 1, SEARCH("/",E2450, SEARCH("/",E2450)+1) - SEARCH("/",E2450) - 1))-(LEFT(E2450,FIND("/",E2450)-1))), "NA"))</f>
        <v/>
      </c>
      <c r="K2450" s="79">
        <f>IF(A2450&lt;&gt;"", IF(ISBLANK(L2450), TODAY(), K2450), "")</f>
        <v/>
      </c>
      <c r="L2450" s="78" t="n"/>
      <c r="M2450" s="78">
        <f>IF(ISBLANK(L2450),"",IF(D2450="Stock",IF(C2450="Buy",L2450*G2450,IF(C2450="Sell",(L2450*G2450)-I2450, X)),IF(C2450="Buy",(L2450*G2450*100)+I2450,IF(C2450="Sell",(L2450*G2450*100)-I2450, X))))</f>
        <v/>
      </c>
      <c r="N2450" s="78">
        <f>IF(ISBLANK(L2450),"",IF(AND(C2450="Sell",D2450="Stock"),M2450,IF(ISBLANK(L2450),"",IF(C2450="Buy",M2450, IF(AND(C2450="Sell",J2450="NA"),(E2450*G2450*100*0.1)+I2450, IF(C2450="Sell",(J2450-L2450)*(100*G2450)+I2450))))))</f>
        <v/>
      </c>
      <c r="O2450" s="75" t="n"/>
      <c r="P2450" s="75" t="n"/>
      <c r="Q2450" s="75">
        <f>IF(ISBLANK(P2450),"",IF(D2450="Stock",P2450*G2450,IF(P2450=0,"0",G2450*P2450*100-(G2450*$AF$14))))</f>
        <v/>
      </c>
      <c r="R2450" s="79">
        <f>IF(P2450&lt;&gt;"", TODAY(), "")</f>
        <v/>
      </c>
      <c r="S2450" s="78">
        <f>IF(AND(K2450&lt;&gt;"", R2450&lt;&gt;""), R2450-K2450, "")</f>
        <v/>
      </c>
      <c r="T2450" s="78" t="n"/>
      <c r="U2450" s="92">
        <f>IF(ISBLANK(P2450),"",IF(C2450="Buy",Q2450-M2450+T2450, IF(C2450="Sell",M2450-Q2450-T2450, X)))</f>
        <v/>
      </c>
      <c r="V2450" s="81">
        <f>IF(ISBLANK(P2450),"",U2450/N2450)</f>
        <v/>
      </c>
      <c r="W2450" s="81">
        <f>IF(ISBLANK(P2450),"",IF(S2450=0,(365/0.5)*V2450,(365/S2450)*V2450))</f>
        <v/>
      </c>
      <c r="X2450" s="75" t="n"/>
      <c r="Y2450" s="77" t="n"/>
      <c r="Z2450" s="77" t="n"/>
      <c r="AA2450" s="75" t="n"/>
      <c r="AB2450" s="75" t="n"/>
      <c r="AC2450" s="6" t="n"/>
      <c r="AD2450" s="75" t="n"/>
      <c r="AE2450" s="75" t="n"/>
      <c r="AF2450" s="75" t="n"/>
    </row>
    <row r="2451" ht="15.75" customHeight="1" s="133">
      <c r="A2451" s="75" t="n"/>
      <c r="B2451" s="75" t="n"/>
      <c r="C2451" s="75" t="n"/>
      <c r="D2451" s="75" t="n"/>
      <c r="E2451" s="76" t="n"/>
      <c r="F2451" s="77" t="n"/>
      <c r="G2451" s="75" t="n"/>
      <c r="H2451" s="75">
        <f>IF(ISBLANK(E2451),"",IF(OR(D2451="Butterfly",D2451="Butterfly ",D2451="Iron Fly", D2451="Iron Fly "),LEN(E2451)-LEN(SUBSTITUTE(E2451,"/",""))+2,LEN(E2451)-LEN(SUBSTITUTE(E2451,"/",""))+1))</f>
        <v/>
      </c>
      <c r="I2451" s="78">
        <f>IF(ISBLANK(G2451),"",IF(D2451="Stock","0",Key!$A$3*H2451*G2451))</f>
        <v/>
      </c>
      <c r="J2451" s="78">
        <f>IF(ISBLANK(E2451),"",IF(ISNUMBER(SEARCH("/",E2451)), IF(LEN(E2451)-LEN(SUBSTITUTE(E2451,"/",""))=1,(RIGHT(E2451,LEN(E2451)-FIND("/",E2451)))-(LEFT(E2451,FIND("/",E2451)-1)),(MID(E2451, SEARCH("/",E2451) + 1, SEARCH("/",E2451, SEARCH("/",E2451)+1) - SEARCH("/",E2451) - 1))-(LEFT(E2451,FIND("/",E2451)-1))), "NA"))</f>
        <v/>
      </c>
      <c r="K2451" s="79">
        <f>IF(A2451&lt;&gt;"", IF(ISBLANK(L2451), TODAY(), K2451), "")</f>
        <v/>
      </c>
      <c r="L2451" s="78" t="n"/>
      <c r="M2451" s="78">
        <f>IF(ISBLANK(L2451),"",IF(D2451="Stock",IF(C2451="Buy",L2451*G2451,IF(C2451="Sell",(L2451*G2451)-I2451, X)),IF(C2451="Buy",(L2451*G2451*100)+I2451,IF(C2451="Sell",(L2451*G2451*100)-I2451, X))))</f>
        <v/>
      </c>
      <c r="N2451" s="78">
        <f>IF(ISBLANK(L2451),"",IF(AND(C2451="Sell",D2451="Stock"),M2451,IF(ISBLANK(L2451),"",IF(C2451="Buy",M2451, IF(AND(C2451="Sell",J2451="NA"),(E2451*G2451*100*0.1)+I2451, IF(C2451="Sell",(J2451-L2451)*(100*G2451)+I2451))))))</f>
        <v/>
      </c>
      <c r="O2451" s="75" t="n"/>
      <c r="P2451" s="75" t="n"/>
      <c r="Q2451" s="75">
        <f>IF(ISBLANK(P2451),"",IF(D2451="Stock",P2451*G2451,IF(P2451=0,"0",G2451*P2451*100-(G2451*$AF$14))))</f>
        <v/>
      </c>
      <c r="R2451" s="79">
        <f>IF(P2451&lt;&gt;"", TODAY(), "")</f>
        <v/>
      </c>
      <c r="S2451" s="78">
        <f>IF(AND(K2451&lt;&gt;"", R2451&lt;&gt;""), R2451-K2451, "")</f>
        <v/>
      </c>
      <c r="T2451" s="78" t="n"/>
      <c r="U2451" s="92">
        <f>IF(ISBLANK(P2451),"",IF(C2451="Buy",Q2451-M2451+T2451, IF(C2451="Sell",M2451-Q2451-T2451, X)))</f>
        <v/>
      </c>
      <c r="V2451" s="81">
        <f>IF(ISBLANK(P2451),"",U2451/N2451)</f>
        <v/>
      </c>
      <c r="W2451" s="81">
        <f>IF(ISBLANK(P2451),"",IF(S2451=0,(365/0.5)*V2451,(365/S2451)*V2451))</f>
        <v/>
      </c>
      <c r="X2451" s="75" t="n"/>
      <c r="Y2451" s="77" t="n"/>
      <c r="Z2451" s="77" t="n"/>
      <c r="AA2451" s="75" t="n"/>
      <c r="AB2451" s="75" t="n"/>
      <c r="AC2451" s="6" t="n"/>
      <c r="AD2451" s="75" t="n"/>
      <c r="AE2451" s="75" t="n"/>
      <c r="AF2451" s="75" t="n"/>
    </row>
    <row r="2452" ht="15.75" customHeight="1" s="133">
      <c r="A2452" s="75" t="n"/>
      <c r="B2452" s="75" t="n"/>
      <c r="C2452" s="75" t="n"/>
      <c r="D2452" s="75" t="n"/>
      <c r="E2452" s="76" t="n"/>
      <c r="F2452" s="77" t="n"/>
      <c r="G2452" s="75" t="n"/>
      <c r="H2452" s="75">
        <f>IF(ISBLANK(E2452),"",IF(OR(D2452="Butterfly",D2452="Butterfly ",D2452="Iron Fly", D2452="Iron Fly "),LEN(E2452)-LEN(SUBSTITUTE(E2452,"/",""))+2,LEN(E2452)-LEN(SUBSTITUTE(E2452,"/",""))+1))</f>
        <v/>
      </c>
      <c r="I2452" s="78">
        <f>IF(ISBLANK(G2452),"",IF(D2452="Stock","0",Key!$A$3*H2452*G2452))</f>
        <v/>
      </c>
      <c r="J2452" s="78">
        <f>IF(ISBLANK(E2452),"",IF(ISNUMBER(SEARCH("/",E2452)), IF(LEN(E2452)-LEN(SUBSTITUTE(E2452,"/",""))=1,(RIGHT(E2452,LEN(E2452)-FIND("/",E2452)))-(LEFT(E2452,FIND("/",E2452)-1)),(MID(E2452, SEARCH("/",E2452) + 1, SEARCH("/",E2452, SEARCH("/",E2452)+1) - SEARCH("/",E2452) - 1))-(LEFT(E2452,FIND("/",E2452)-1))), "NA"))</f>
        <v/>
      </c>
      <c r="K2452" s="79">
        <f>IF(A2452&lt;&gt;"", IF(ISBLANK(L2452), TODAY(), K2452), "")</f>
        <v/>
      </c>
      <c r="L2452" s="78" t="n"/>
      <c r="M2452" s="78">
        <f>IF(ISBLANK(L2452),"",IF(D2452="Stock",IF(C2452="Buy",L2452*G2452,IF(C2452="Sell",(L2452*G2452)-I2452, X)),IF(C2452="Buy",(L2452*G2452*100)+I2452,IF(C2452="Sell",(L2452*G2452*100)-I2452, X))))</f>
        <v/>
      </c>
      <c r="N2452" s="78">
        <f>IF(ISBLANK(L2452),"",IF(AND(C2452="Sell",D2452="Stock"),M2452,IF(ISBLANK(L2452),"",IF(C2452="Buy",M2452, IF(AND(C2452="Sell",J2452="NA"),(E2452*G2452*100*0.1)+I2452, IF(C2452="Sell",(J2452-L2452)*(100*G2452)+I2452))))))</f>
        <v/>
      </c>
      <c r="O2452" s="75" t="n"/>
      <c r="P2452" s="75" t="n"/>
      <c r="Q2452" s="75">
        <f>IF(ISBLANK(P2452),"",IF(D2452="Stock",P2452*G2452,IF(P2452=0,"0",G2452*P2452*100-(G2452*$AF$14))))</f>
        <v/>
      </c>
      <c r="R2452" s="79">
        <f>IF(P2452&lt;&gt;"", TODAY(), "")</f>
        <v/>
      </c>
      <c r="S2452" s="78">
        <f>IF(AND(K2452&lt;&gt;"", R2452&lt;&gt;""), R2452-K2452, "")</f>
        <v/>
      </c>
      <c r="T2452" s="78" t="n"/>
      <c r="U2452" s="92">
        <f>IF(ISBLANK(P2452),"",IF(C2452="Buy",Q2452-M2452+T2452, IF(C2452="Sell",M2452-Q2452-T2452, X)))</f>
        <v/>
      </c>
      <c r="V2452" s="81">
        <f>IF(ISBLANK(P2452),"",U2452/N2452)</f>
        <v/>
      </c>
      <c r="W2452" s="81">
        <f>IF(ISBLANK(P2452),"",IF(S2452=0,(365/0.5)*V2452,(365/S2452)*V2452))</f>
        <v/>
      </c>
      <c r="X2452" s="75" t="n"/>
      <c r="Y2452" s="77" t="n"/>
      <c r="Z2452" s="77" t="n"/>
      <c r="AA2452" s="75" t="n"/>
      <c r="AB2452" s="75" t="n"/>
      <c r="AC2452" s="6" t="n"/>
      <c r="AD2452" s="75" t="n"/>
      <c r="AE2452" s="75" t="n"/>
      <c r="AF2452" s="75" t="n"/>
    </row>
    <row r="2453" ht="15.75" customHeight="1" s="133">
      <c r="A2453" s="75" t="n"/>
      <c r="B2453" s="75" t="n"/>
      <c r="C2453" s="75" t="n"/>
      <c r="D2453" s="75" t="n"/>
      <c r="E2453" s="76" t="n"/>
      <c r="F2453" s="77" t="n"/>
      <c r="G2453" s="75" t="n"/>
      <c r="H2453" s="75">
        <f>IF(ISBLANK(E2453),"",IF(OR(D2453="Butterfly",D2453="Butterfly ",D2453="Iron Fly", D2453="Iron Fly "),LEN(E2453)-LEN(SUBSTITUTE(E2453,"/",""))+2,LEN(E2453)-LEN(SUBSTITUTE(E2453,"/",""))+1))</f>
        <v/>
      </c>
      <c r="I2453" s="78">
        <f>IF(ISBLANK(G2453),"",IF(D2453="Stock","0",Key!$A$3*H2453*G2453))</f>
        <v/>
      </c>
      <c r="J2453" s="78">
        <f>IF(ISBLANK(E2453),"",IF(ISNUMBER(SEARCH("/",E2453)), IF(LEN(E2453)-LEN(SUBSTITUTE(E2453,"/",""))=1,(RIGHT(E2453,LEN(E2453)-FIND("/",E2453)))-(LEFT(E2453,FIND("/",E2453)-1)),(MID(E2453, SEARCH("/",E2453) + 1, SEARCH("/",E2453, SEARCH("/",E2453)+1) - SEARCH("/",E2453) - 1))-(LEFT(E2453,FIND("/",E2453)-1))), "NA"))</f>
        <v/>
      </c>
      <c r="K2453" s="79">
        <f>IF(A2453&lt;&gt;"", IF(ISBLANK(L2453), TODAY(), K2453), "")</f>
        <v/>
      </c>
      <c r="L2453" s="78" t="n"/>
      <c r="M2453" s="78">
        <f>IF(ISBLANK(L2453),"",IF(D2453="Stock",IF(C2453="Buy",L2453*G2453,IF(C2453="Sell",(L2453*G2453)-I2453, X)),IF(C2453="Buy",(L2453*G2453*100)+I2453,IF(C2453="Sell",(L2453*G2453*100)-I2453, X))))</f>
        <v/>
      </c>
      <c r="N2453" s="78">
        <f>IF(ISBLANK(L2453),"",IF(AND(C2453="Sell",D2453="Stock"),M2453,IF(ISBLANK(L2453),"",IF(C2453="Buy",M2453, IF(AND(C2453="Sell",J2453="NA"),(E2453*G2453*100*0.1)+I2453, IF(C2453="Sell",(J2453-L2453)*(100*G2453)+I2453))))))</f>
        <v/>
      </c>
      <c r="O2453" s="75" t="n"/>
      <c r="P2453" s="75" t="n"/>
      <c r="Q2453" s="75">
        <f>IF(ISBLANK(P2453),"",IF(D2453="Stock",P2453*G2453,IF(P2453=0,"0",G2453*P2453*100-(G2453*$AF$14))))</f>
        <v/>
      </c>
      <c r="R2453" s="79">
        <f>IF(P2453&lt;&gt;"", TODAY(), "")</f>
        <v/>
      </c>
      <c r="S2453" s="78">
        <f>IF(AND(K2453&lt;&gt;"", R2453&lt;&gt;""), R2453-K2453, "")</f>
        <v/>
      </c>
      <c r="T2453" s="78" t="n"/>
      <c r="U2453" s="92">
        <f>IF(ISBLANK(P2453),"",IF(C2453="Buy",Q2453-M2453+T2453, IF(C2453="Sell",M2453-Q2453-T2453, X)))</f>
        <v/>
      </c>
      <c r="V2453" s="81">
        <f>IF(ISBLANK(P2453),"",U2453/N2453)</f>
        <v/>
      </c>
      <c r="W2453" s="81">
        <f>IF(ISBLANK(P2453),"",IF(S2453=0,(365/0.5)*V2453,(365/S2453)*V2453))</f>
        <v/>
      </c>
      <c r="X2453" s="75" t="n"/>
      <c r="Y2453" s="77" t="n"/>
      <c r="Z2453" s="77" t="n"/>
      <c r="AA2453" s="75" t="n"/>
      <c r="AB2453" s="75" t="n"/>
      <c r="AC2453" s="6" t="n"/>
      <c r="AD2453" s="75" t="n"/>
      <c r="AE2453" s="75" t="n"/>
      <c r="AF2453" s="75" t="n"/>
    </row>
    <row r="2454" ht="15.75" customHeight="1" s="133">
      <c r="A2454" s="75" t="n"/>
      <c r="B2454" s="75" t="n"/>
      <c r="C2454" s="75" t="n"/>
      <c r="D2454" s="75" t="n"/>
      <c r="E2454" s="76" t="n"/>
      <c r="F2454" s="77" t="n"/>
      <c r="G2454" s="75" t="n"/>
      <c r="H2454" s="75">
        <f>IF(ISBLANK(E2454),"",IF(OR(D2454="Butterfly",D2454="Butterfly ",D2454="Iron Fly", D2454="Iron Fly "),LEN(E2454)-LEN(SUBSTITUTE(E2454,"/",""))+2,LEN(E2454)-LEN(SUBSTITUTE(E2454,"/",""))+1))</f>
        <v/>
      </c>
      <c r="I2454" s="78">
        <f>IF(ISBLANK(G2454),"",IF(D2454="Stock","0",Key!$A$3*H2454*G2454))</f>
        <v/>
      </c>
      <c r="J2454" s="78">
        <f>IF(ISBLANK(E2454),"",IF(ISNUMBER(SEARCH("/",E2454)), IF(LEN(E2454)-LEN(SUBSTITUTE(E2454,"/",""))=1,(RIGHT(E2454,LEN(E2454)-FIND("/",E2454)))-(LEFT(E2454,FIND("/",E2454)-1)),(MID(E2454, SEARCH("/",E2454) + 1, SEARCH("/",E2454, SEARCH("/",E2454)+1) - SEARCH("/",E2454) - 1))-(LEFT(E2454,FIND("/",E2454)-1))), "NA"))</f>
        <v/>
      </c>
      <c r="K2454" s="79">
        <f>IF(A2454&lt;&gt;"", IF(ISBLANK(L2454), TODAY(), K2454), "")</f>
        <v/>
      </c>
      <c r="L2454" s="78" t="n"/>
      <c r="M2454" s="78">
        <f>IF(ISBLANK(L2454),"",IF(D2454="Stock",IF(C2454="Buy",L2454*G2454,IF(C2454="Sell",(L2454*G2454)-I2454, X)),IF(C2454="Buy",(L2454*G2454*100)+I2454,IF(C2454="Sell",(L2454*G2454*100)-I2454, X))))</f>
        <v/>
      </c>
      <c r="N2454" s="78">
        <f>IF(ISBLANK(L2454),"",IF(AND(C2454="Sell",D2454="Stock"),M2454,IF(ISBLANK(L2454),"",IF(C2454="Buy",M2454, IF(AND(C2454="Sell",J2454="NA"),(E2454*G2454*100*0.1)+I2454, IF(C2454="Sell",(J2454-L2454)*(100*G2454)+I2454))))))</f>
        <v/>
      </c>
      <c r="O2454" s="75" t="n"/>
      <c r="P2454" s="75" t="n"/>
      <c r="Q2454" s="75">
        <f>IF(ISBLANK(P2454),"",IF(D2454="Stock",P2454*G2454,IF(P2454=0,"0",G2454*P2454*100-(G2454*$AF$14))))</f>
        <v/>
      </c>
      <c r="R2454" s="79">
        <f>IF(P2454&lt;&gt;"", TODAY(), "")</f>
        <v/>
      </c>
      <c r="S2454" s="78">
        <f>IF(AND(K2454&lt;&gt;"", R2454&lt;&gt;""), R2454-K2454, "")</f>
        <v/>
      </c>
      <c r="T2454" s="78" t="n"/>
      <c r="U2454" s="92">
        <f>IF(ISBLANK(P2454),"",IF(C2454="Buy",Q2454-M2454+T2454, IF(C2454="Sell",M2454-Q2454-T2454, X)))</f>
        <v/>
      </c>
      <c r="V2454" s="81">
        <f>IF(ISBLANK(P2454),"",U2454/N2454)</f>
        <v/>
      </c>
      <c r="W2454" s="81">
        <f>IF(ISBLANK(P2454),"",IF(S2454=0,(365/0.5)*V2454,(365/S2454)*V2454))</f>
        <v/>
      </c>
      <c r="X2454" s="75" t="n"/>
      <c r="Y2454" s="77" t="n"/>
      <c r="Z2454" s="77" t="n"/>
      <c r="AA2454" s="75" t="n"/>
      <c r="AB2454" s="75" t="n"/>
      <c r="AC2454" s="6" t="n"/>
      <c r="AD2454" s="75" t="n"/>
      <c r="AE2454" s="75" t="n"/>
      <c r="AF2454" s="75" t="n"/>
    </row>
    <row r="2455" ht="15.75" customHeight="1" s="133">
      <c r="A2455" s="75" t="n"/>
      <c r="B2455" s="75" t="n"/>
      <c r="C2455" s="75" t="n"/>
      <c r="D2455" s="75" t="n"/>
      <c r="E2455" s="76" t="n"/>
      <c r="F2455" s="77" t="n"/>
      <c r="G2455" s="75" t="n"/>
      <c r="H2455" s="75">
        <f>IF(ISBLANK(E2455),"",IF(OR(D2455="Butterfly",D2455="Butterfly ",D2455="Iron Fly", D2455="Iron Fly "),LEN(E2455)-LEN(SUBSTITUTE(E2455,"/",""))+2,LEN(E2455)-LEN(SUBSTITUTE(E2455,"/",""))+1))</f>
        <v/>
      </c>
      <c r="I2455" s="78">
        <f>IF(ISBLANK(G2455),"",IF(D2455="Stock","0",Key!$A$3*H2455*G2455))</f>
        <v/>
      </c>
      <c r="J2455" s="78">
        <f>IF(ISBLANK(E2455),"",IF(ISNUMBER(SEARCH("/",E2455)), IF(LEN(E2455)-LEN(SUBSTITUTE(E2455,"/",""))=1,(RIGHT(E2455,LEN(E2455)-FIND("/",E2455)))-(LEFT(E2455,FIND("/",E2455)-1)),(MID(E2455, SEARCH("/",E2455) + 1, SEARCH("/",E2455, SEARCH("/",E2455)+1) - SEARCH("/",E2455) - 1))-(LEFT(E2455,FIND("/",E2455)-1))), "NA"))</f>
        <v/>
      </c>
      <c r="K2455" s="79">
        <f>IF(A2455&lt;&gt;"", IF(ISBLANK(L2455), TODAY(), K2455), "")</f>
        <v/>
      </c>
      <c r="L2455" s="78" t="n"/>
      <c r="M2455" s="78">
        <f>IF(ISBLANK(L2455),"",IF(D2455="Stock",IF(C2455="Buy",L2455*G2455,IF(C2455="Sell",(L2455*G2455)-I2455, X)),IF(C2455="Buy",(L2455*G2455*100)+I2455,IF(C2455="Sell",(L2455*G2455*100)-I2455, X))))</f>
        <v/>
      </c>
      <c r="N2455" s="78">
        <f>IF(ISBLANK(L2455),"",IF(AND(C2455="Sell",D2455="Stock"),M2455,IF(ISBLANK(L2455),"",IF(C2455="Buy",M2455, IF(AND(C2455="Sell",J2455="NA"),(E2455*G2455*100*0.1)+I2455, IF(C2455="Sell",(J2455-L2455)*(100*G2455)+I2455))))))</f>
        <v/>
      </c>
      <c r="O2455" s="75" t="n"/>
      <c r="P2455" s="75" t="n"/>
      <c r="Q2455" s="75">
        <f>IF(ISBLANK(P2455),"",IF(D2455="Stock",P2455*G2455,IF(P2455=0,"0",G2455*P2455*100-(G2455*$AF$14))))</f>
        <v/>
      </c>
      <c r="R2455" s="79">
        <f>IF(P2455&lt;&gt;"", TODAY(), "")</f>
        <v/>
      </c>
      <c r="S2455" s="78">
        <f>IF(AND(K2455&lt;&gt;"", R2455&lt;&gt;""), R2455-K2455, "")</f>
        <v/>
      </c>
      <c r="T2455" s="78" t="n"/>
      <c r="U2455" s="92">
        <f>IF(ISBLANK(P2455),"",IF(C2455="Buy",Q2455-M2455+T2455, IF(C2455="Sell",M2455-Q2455-T2455, X)))</f>
        <v/>
      </c>
      <c r="V2455" s="81">
        <f>IF(ISBLANK(P2455),"",U2455/N2455)</f>
        <v/>
      </c>
      <c r="W2455" s="81">
        <f>IF(ISBLANK(P2455),"",IF(S2455=0,(365/0.5)*V2455,(365/S2455)*V2455))</f>
        <v/>
      </c>
      <c r="X2455" s="75" t="n"/>
      <c r="Y2455" s="77" t="n"/>
      <c r="Z2455" s="77" t="n"/>
      <c r="AA2455" s="75" t="n"/>
      <c r="AB2455" s="75" t="n"/>
      <c r="AC2455" s="6" t="n"/>
      <c r="AD2455" s="75" t="n"/>
      <c r="AE2455" s="75" t="n"/>
      <c r="AF2455" s="75" t="n"/>
    </row>
    <row r="2456" ht="15.75" customHeight="1" s="133">
      <c r="A2456" s="75" t="n"/>
      <c r="B2456" s="75" t="n"/>
      <c r="C2456" s="75" t="n"/>
      <c r="D2456" s="75" t="n"/>
      <c r="E2456" s="76" t="n"/>
      <c r="F2456" s="77" t="n"/>
      <c r="G2456" s="75" t="n"/>
      <c r="H2456" s="75">
        <f>IF(ISBLANK(E2456),"",IF(OR(D2456="Butterfly",D2456="Butterfly ",D2456="Iron Fly", D2456="Iron Fly "),LEN(E2456)-LEN(SUBSTITUTE(E2456,"/",""))+2,LEN(E2456)-LEN(SUBSTITUTE(E2456,"/",""))+1))</f>
        <v/>
      </c>
      <c r="I2456" s="78">
        <f>IF(ISBLANK(G2456),"",IF(D2456="Stock","0",Key!$A$3*H2456*G2456))</f>
        <v/>
      </c>
      <c r="J2456" s="78">
        <f>IF(ISBLANK(E2456),"",IF(ISNUMBER(SEARCH("/",E2456)), IF(LEN(E2456)-LEN(SUBSTITUTE(E2456,"/",""))=1,(RIGHT(E2456,LEN(E2456)-FIND("/",E2456)))-(LEFT(E2456,FIND("/",E2456)-1)),(MID(E2456, SEARCH("/",E2456) + 1, SEARCH("/",E2456, SEARCH("/",E2456)+1) - SEARCH("/",E2456) - 1))-(LEFT(E2456,FIND("/",E2456)-1))), "NA"))</f>
        <v/>
      </c>
      <c r="K2456" s="79">
        <f>IF(A2456&lt;&gt;"", IF(ISBLANK(L2456), TODAY(), K2456), "")</f>
        <v/>
      </c>
      <c r="L2456" s="78" t="n"/>
      <c r="M2456" s="78">
        <f>IF(ISBLANK(L2456),"",IF(D2456="Stock",IF(C2456="Buy",L2456*G2456,IF(C2456="Sell",(L2456*G2456)-I2456, X)),IF(C2456="Buy",(L2456*G2456*100)+I2456,IF(C2456="Sell",(L2456*G2456*100)-I2456, X))))</f>
        <v/>
      </c>
      <c r="N2456" s="78">
        <f>IF(ISBLANK(L2456),"",IF(AND(C2456="Sell",D2456="Stock"),M2456,IF(ISBLANK(L2456),"",IF(C2456="Buy",M2456, IF(AND(C2456="Sell",J2456="NA"),(E2456*G2456*100*0.1)+I2456, IF(C2456="Sell",(J2456-L2456)*(100*G2456)+I2456))))))</f>
        <v/>
      </c>
      <c r="O2456" s="75" t="n"/>
      <c r="P2456" s="75" t="n"/>
      <c r="Q2456" s="75">
        <f>IF(ISBLANK(P2456),"",IF(D2456="Stock",P2456*G2456,IF(P2456=0,"0",G2456*P2456*100-(G2456*$AF$14))))</f>
        <v/>
      </c>
      <c r="R2456" s="79">
        <f>IF(P2456&lt;&gt;"", TODAY(), "")</f>
        <v/>
      </c>
      <c r="S2456" s="78">
        <f>IF(AND(K2456&lt;&gt;"", R2456&lt;&gt;""), R2456-K2456, "")</f>
        <v/>
      </c>
      <c r="T2456" s="78" t="n"/>
      <c r="U2456" s="92">
        <f>IF(ISBLANK(P2456),"",IF(C2456="Buy",Q2456-M2456+T2456, IF(C2456="Sell",M2456-Q2456-T2456, X)))</f>
        <v/>
      </c>
      <c r="V2456" s="81">
        <f>IF(ISBLANK(P2456),"",U2456/N2456)</f>
        <v/>
      </c>
      <c r="W2456" s="81">
        <f>IF(ISBLANK(P2456),"",IF(S2456=0,(365/0.5)*V2456,(365/S2456)*V2456))</f>
        <v/>
      </c>
      <c r="X2456" s="75" t="n"/>
      <c r="Y2456" s="77" t="n"/>
      <c r="Z2456" s="77" t="n"/>
      <c r="AA2456" s="75" t="n"/>
      <c r="AB2456" s="75" t="n"/>
      <c r="AC2456" s="6" t="n"/>
      <c r="AD2456" s="75" t="n"/>
      <c r="AE2456" s="75" t="n"/>
      <c r="AF2456" s="75" t="n"/>
    </row>
    <row r="2457" ht="15.75" customHeight="1" s="133">
      <c r="A2457" s="75" t="n"/>
      <c r="B2457" s="75" t="n"/>
      <c r="C2457" s="75" t="n"/>
      <c r="D2457" s="75" t="n"/>
      <c r="E2457" s="76" t="n"/>
      <c r="F2457" s="77" t="n"/>
      <c r="G2457" s="75" t="n"/>
      <c r="H2457" s="75">
        <f>IF(ISBLANK(E2457),"",IF(OR(D2457="Butterfly",D2457="Butterfly ",D2457="Iron Fly", D2457="Iron Fly "),LEN(E2457)-LEN(SUBSTITUTE(E2457,"/",""))+2,LEN(E2457)-LEN(SUBSTITUTE(E2457,"/",""))+1))</f>
        <v/>
      </c>
      <c r="I2457" s="78">
        <f>IF(ISBLANK(G2457),"",IF(D2457="Stock","0",Key!$A$3*H2457*G2457))</f>
        <v/>
      </c>
      <c r="J2457" s="78">
        <f>IF(ISBLANK(E2457),"",IF(ISNUMBER(SEARCH("/",E2457)), IF(LEN(E2457)-LEN(SUBSTITUTE(E2457,"/",""))=1,(RIGHT(E2457,LEN(E2457)-FIND("/",E2457)))-(LEFT(E2457,FIND("/",E2457)-1)),(MID(E2457, SEARCH("/",E2457) + 1, SEARCH("/",E2457, SEARCH("/",E2457)+1) - SEARCH("/",E2457) - 1))-(LEFT(E2457,FIND("/",E2457)-1))), "NA"))</f>
        <v/>
      </c>
      <c r="K2457" s="79">
        <f>IF(A2457&lt;&gt;"", IF(ISBLANK(L2457), TODAY(), K2457), "")</f>
        <v/>
      </c>
      <c r="L2457" s="78" t="n"/>
      <c r="M2457" s="78">
        <f>IF(ISBLANK(L2457),"",IF(D2457="Stock",IF(C2457="Buy",L2457*G2457,IF(C2457="Sell",(L2457*G2457)-I2457, X)),IF(C2457="Buy",(L2457*G2457*100)+I2457,IF(C2457="Sell",(L2457*G2457*100)-I2457, X))))</f>
        <v/>
      </c>
      <c r="N2457" s="78">
        <f>IF(ISBLANK(L2457),"",IF(AND(C2457="Sell",D2457="Stock"),M2457,IF(ISBLANK(L2457),"",IF(C2457="Buy",M2457, IF(AND(C2457="Sell",J2457="NA"),(E2457*G2457*100*0.1)+I2457, IF(C2457="Sell",(J2457-L2457)*(100*G2457)+I2457))))))</f>
        <v/>
      </c>
      <c r="O2457" s="75" t="n"/>
      <c r="P2457" s="75" t="n"/>
      <c r="Q2457" s="75">
        <f>IF(ISBLANK(P2457),"",IF(D2457="Stock",P2457*G2457,IF(P2457=0,"0",G2457*P2457*100-(G2457*$AF$14))))</f>
        <v/>
      </c>
      <c r="R2457" s="79">
        <f>IF(P2457&lt;&gt;"", TODAY(), "")</f>
        <v/>
      </c>
      <c r="S2457" s="78">
        <f>IF(AND(K2457&lt;&gt;"", R2457&lt;&gt;""), R2457-K2457, "")</f>
        <v/>
      </c>
      <c r="T2457" s="78" t="n"/>
      <c r="U2457" s="92">
        <f>IF(ISBLANK(P2457),"",IF(C2457="Buy",Q2457-M2457+T2457, IF(C2457="Sell",M2457-Q2457-T2457, X)))</f>
        <v/>
      </c>
      <c r="V2457" s="81">
        <f>IF(ISBLANK(P2457),"",U2457/N2457)</f>
        <v/>
      </c>
      <c r="W2457" s="81">
        <f>IF(ISBLANK(P2457),"",IF(S2457=0,(365/0.5)*V2457,(365/S2457)*V2457))</f>
        <v/>
      </c>
      <c r="X2457" s="75" t="n"/>
      <c r="Y2457" s="77" t="n"/>
      <c r="Z2457" s="77" t="n"/>
      <c r="AA2457" s="75" t="n"/>
      <c r="AB2457" s="75" t="n"/>
      <c r="AC2457" s="6" t="n"/>
      <c r="AD2457" s="75" t="n"/>
      <c r="AE2457" s="75" t="n"/>
      <c r="AF2457" s="75" t="n"/>
    </row>
    <row r="2458" ht="15.75" customHeight="1" s="133">
      <c r="A2458" s="75" t="n"/>
      <c r="B2458" s="75" t="n"/>
      <c r="C2458" s="75" t="n"/>
      <c r="D2458" s="75" t="n"/>
      <c r="E2458" s="76" t="n"/>
      <c r="F2458" s="77" t="n"/>
      <c r="G2458" s="75" t="n"/>
      <c r="H2458" s="75">
        <f>IF(ISBLANK(E2458),"",IF(OR(D2458="Butterfly",D2458="Butterfly ",D2458="Iron Fly", D2458="Iron Fly "),LEN(E2458)-LEN(SUBSTITUTE(E2458,"/",""))+2,LEN(E2458)-LEN(SUBSTITUTE(E2458,"/",""))+1))</f>
        <v/>
      </c>
      <c r="I2458" s="78">
        <f>IF(ISBLANK(G2458),"",IF(D2458="Stock","0",Key!$A$3*H2458*G2458))</f>
        <v/>
      </c>
      <c r="J2458" s="78">
        <f>IF(ISBLANK(E2458),"",IF(ISNUMBER(SEARCH("/",E2458)), IF(LEN(E2458)-LEN(SUBSTITUTE(E2458,"/",""))=1,(RIGHT(E2458,LEN(E2458)-FIND("/",E2458)))-(LEFT(E2458,FIND("/",E2458)-1)),(MID(E2458, SEARCH("/",E2458) + 1, SEARCH("/",E2458, SEARCH("/",E2458)+1) - SEARCH("/",E2458) - 1))-(LEFT(E2458,FIND("/",E2458)-1))), "NA"))</f>
        <v/>
      </c>
      <c r="K2458" s="79">
        <f>IF(A2458&lt;&gt;"", IF(ISBLANK(L2458), TODAY(), K2458), "")</f>
        <v/>
      </c>
      <c r="L2458" s="78" t="n"/>
      <c r="M2458" s="78">
        <f>IF(ISBLANK(L2458),"",IF(D2458="Stock",IF(C2458="Buy",L2458*G2458,IF(C2458="Sell",(L2458*G2458)-I2458, X)),IF(C2458="Buy",(L2458*G2458*100)+I2458,IF(C2458="Sell",(L2458*G2458*100)-I2458, X))))</f>
        <v/>
      </c>
      <c r="N2458" s="78">
        <f>IF(ISBLANK(L2458),"",IF(AND(C2458="Sell",D2458="Stock"),M2458,IF(ISBLANK(L2458),"",IF(C2458="Buy",M2458, IF(AND(C2458="Sell",J2458="NA"),(E2458*G2458*100*0.1)+I2458, IF(C2458="Sell",(J2458-L2458)*(100*G2458)+I2458))))))</f>
        <v/>
      </c>
      <c r="O2458" s="75" t="n"/>
      <c r="P2458" s="75" t="n"/>
      <c r="Q2458" s="75">
        <f>IF(ISBLANK(P2458),"",IF(D2458="Stock",P2458*G2458,IF(P2458=0,"0",G2458*P2458*100-(G2458*$AF$14))))</f>
        <v/>
      </c>
      <c r="R2458" s="79">
        <f>IF(P2458&lt;&gt;"", TODAY(), "")</f>
        <v/>
      </c>
      <c r="S2458" s="78">
        <f>IF(AND(K2458&lt;&gt;"", R2458&lt;&gt;""), R2458-K2458, "")</f>
        <v/>
      </c>
      <c r="T2458" s="78" t="n"/>
      <c r="U2458" s="92">
        <f>IF(ISBLANK(P2458),"",IF(C2458="Buy",Q2458-M2458+T2458, IF(C2458="Sell",M2458-Q2458-T2458, X)))</f>
        <v/>
      </c>
      <c r="V2458" s="81">
        <f>IF(ISBLANK(P2458),"",U2458/N2458)</f>
        <v/>
      </c>
      <c r="W2458" s="81">
        <f>IF(ISBLANK(P2458),"",IF(S2458=0,(365/0.5)*V2458,(365/S2458)*V2458))</f>
        <v/>
      </c>
      <c r="X2458" s="75" t="n"/>
      <c r="Y2458" s="77" t="n"/>
      <c r="Z2458" s="77" t="n"/>
      <c r="AA2458" s="75" t="n"/>
      <c r="AB2458" s="75" t="n"/>
      <c r="AC2458" s="6" t="n"/>
      <c r="AD2458" s="75" t="n"/>
      <c r="AE2458" s="75" t="n"/>
      <c r="AF2458" s="75" t="n"/>
    </row>
    <row r="2459" ht="15.75" customHeight="1" s="133">
      <c r="A2459" s="75" t="n"/>
      <c r="B2459" s="75" t="n"/>
      <c r="C2459" s="75" t="n"/>
      <c r="D2459" s="75" t="n"/>
      <c r="E2459" s="76" t="n"/>
      <c r="F2459" s="77" t="n"/>
      <c r="G2459" s="75" t="n"/>
      <c r="H2459" s="75">
        <f>IF(ISBLANK(E2459),"",IF(OR(D2459="Butterfly",D2459="Butterfly ",D2459="Iron Fly", D2459="Iron Fly "),LEN(E2459)-LEN(SUBSTITUTE(E2459,"/",""))+2,LEN(E2459)-LEN(SUBSTITUTE(E2459,"/",""))+1))</f>
        <v/>
      </c>
      <c r="I2459" s="78">
        <f>IF(ISBLANK(G2459),"",IF(D2459="Stock","0",Key!$A$3*H2459*G2459))</f>
        <v/>
      </c>
      <c r="J2459" s="78">
        <f>IF(ISBLANK(E2459),"",IF(ISNUMBER(SEARCH("/",E2459)), IF(LEN(E2459)-LEN(SUBSTITUTE(E2459,"/",""))=1,(RIGHT(E2459,LEN(E2459)-FIND("/",E2459)))-(LEFT(E2459,FIND("/",E2459)-1)),(MID(E2459, SEARCH("/",E2459) + 1, SEARCH("/",E2459, SEARCH("/",E2459)+1) - SEARCH("/",E2459) - 1))-(LEFT(E2459,FIND("/",E2459)-1))), "NA"))</f>
        <v/>
      </c>
      <c r="K2459" s="79">
        <f>IF(A2459&lt;&gt;"", IF(ISBLANK(L2459), TODAY(), K2459), "")</f>
        <v/>
      </c>
      <c r="L2459" s="78" t="n"/>
      <c r="M2459" s="78">
        <f>IF(ISBLANK(L2459),"",IF(D2459="Stock",IF(C2459="Buy",L2459*G2459,IF(C2459="Sell",(L2459*G2459)-I2459, X)),IF(C2459="Buy",(L2459*G2459*100)+I2459,IF(C2459="Sell",(L2459*G2459*100)-I2459, X))))</f>
        <v/>
      </c>
      <c r="N2459" s="78">
        <f>IF(ISBLANK(L2459),"",IF(AND(C2459="Sell",D2459="Stock"),M2459,IF(ISBLANK(L2459),"",IF(C2459="Buy",M2459, IF(AND(C2459="Sell",J2459="NA"),(E2459*G2459*100*0.1)+I2459, IF(C2459="Sell",(J2459-L2459)*(100*G2459)+I2459))))))</f>
        <v/>
      </c>
      <c r="O2459" s="75" t="n"/>
      <c r="P2459" s="75" t="n"/>
      <c r="Q2459" s="75">
        <f>IF(ISBLANK(P2459),"",IF(D2459="Stock",P2459*G2459,IF(P2459=0,"0",G2459*P2459*100-(G2459*$AF$14))))</f>
        <v/>
      </c>
      <c r="R2459" s="79">
        <f>IF(P2459&lt;&gt;"", TODAY(), "")</f>
        <v/>
      </c>
      <c r="S2459" s="78">
        <f>IF(AND(K2459&lt;&gt;"", R2459&lt;&gt;""), R2459-K2459, "")</f>
        <v/>
      </c>
      <c r="T2459" s="78" t="n"/>
      <c r="U2459" s="92">
        <f>IF(ISBLANK(P2459),"",IF(C2459="Buy",Q2459-M2459+T2459, IF(C2459="Sell",M2459-Q2459-T2459, X)))</f>
        <v/>
      </c>
      <c r="V2459" s="81">
        <f>IF(ISBLANK(P2459),"",U2459/N2459)</f>
        <v/>
      </c>
      <c r="W2459" s="81">
        <f>IF(ISBLANK(P2459),"",IF(S2459=0,(365/0.5)*V2459,(365/S2459)*V2459))</f>
        <v/>
      </c>
      <c r="X2459" s="75" t="n"/>
      <c r="Y2459" s="77" t="n"/>
      <c r="Z2459" s="77" t="n"/>
      <c r="AA2459" s="75" t="n"/>
      <c r="AB2459" s="75" t="n"/>
      <c r="AC2459" s="6" t="n"/>
      <c r="AD2459" s="75" t="n"/>
      <c r="AE2459" s="75" t="n"/>
      <c r="AF2459" s="75" t="n"/>
    </row>
    <row r="2460" ht="15.75" customHeight="1" s="133">
      <c r="A2460" s="75" t="n"/>
      <c r="B2460" s="75" t="n"/>
      <c r="C2460" s="75" t="n"/>
      <c r="D2460" s="75" t="n"/>
      <c r="E2460" s="76" t="n"/>
      <c r="F2460" s="77" t="n"/>
      <c r="G2460" s="75" t="n"/>
      <c r="H2460" s="75">
        <f>IF(ISBLANK(E2460),"",IF(OR(D2460="Butterfly",D2460="Butterfly ",D2460="Iron Fly", D2460="Iron Fly "),LEN(E2460)-LEN(SUBSTITUTE(E2460,"/",""))+2,LEN(E2460)-LEN(SUBSTITUTE(E2460,"/",""))+1))</f>
        <v/>
      </c>
      <c r="I2460" s="78">
        <f>IF(ISBLANK(G2460),"",IF(D2460="Stock","0",Key!$A$3*H2460*G2460))</f>
        <v/>
      </c>
      <c r="J2460" s="78">
        <f>IF(ISBLANK(E2460),"",IF(ISNUMBER(SEARCH("/",E2460)), IF(LEN(E2460)-LEN(SUBSTITUTE(E2460,"/",""))=1,(RIGHT(E2460,LEN(E2460)-FIND("/",E2460)))-(LEFT(E2460,FIND("/",E2460)-1)),(MID(E2460, SEARCH("/",E2460) + 1, SEARCH("/",E2460, SEARCH("/",E2460)+1) - SEARCH("/",E2460) - 1))-(LEFT(E2460,FIND("/",E2460)-1))), "NA"))</f>
        <v/>
      </c>
      <c r="K2460" s="79">
        <f>IF(A2460&lt;&gt;"", IF(ISBLANK(L2460), TODAY(), K2460), "")</f>
        <v/>
      </c>
      <c r="L2460" s="78" t="n"/>
      <c r="M2460" s="78">
        <f>IF(ISBLANK(L2460),"",IF(D2460="Stock",IF(C2460="Buy",L2460*G2460,IF(C2460="Sell",(L2460*G2460)-I2460, X)),IF(C2460="Buy",(L2460*G2460*100)+I2460,IF(C2460="Sell",(L2460*G2460*100)-I2460, X))))</f>
        <v/>
      </c>
      <c r="N2460" s="78">
        <f>IF(ISBLANK(L2460),"",IF(AND(C2460="Sell",D2460="Stock"),M2460,IF(ISBLANK(L2460),"",IF(C2460="Buy",M2460, IF(AND(C2460="Sell",J2460="NA"),(E2460*G2460*100*0.1)+I2460, IF(C2460="Sell",(J2460-L2460)*(100*G2460)+I2460))))))</f>
        <v/>
      </c>
      <c r="O2460" s="75" t="n"/>
      <c r="P2460" s="75" t="n"/>
      <c r="Q2460" s="75">
        <f>IF(ISBLANK(P2460),"",IF(D2460="Stock",P2460*G2460,IF(P2460=0,"0",G2460*P2460*100-(G2460*$AF$14))))</f>
        <v/>
      </c>
      <c r="R2460" s="79">
        <f>IF(P2460&lt;&gt;"", TODAY(), "")</f>
        <v/>
      </c>
      <c r="S2460" s="78">
        <f>IF(AND(K2460&lt;&gt;"", R2460&lt;&gt;""), R2460-K2460, "")</f>
        <v/>
      </c>
      <c r="T2460" s="78" t="n"/>
      <c r="U2460" s="92">
        <f>IF(ISBLANK(P2460),"",IF(C2460="Buy",Q2460-M2460+T2460, IF(C2460="Sell",M2460-Q2460-T2460, X)))</f>
        <v/>
      </c>
      <c r="V2460" s="81">
        <f>IF(ISBLANK(P2460),"",U2460/N2460)</f>
        <v/>
      </c>
      <c r="W2460" s="81">
        <f>IF(ISBLANK(P2460),"",IF(S2460=0,(365/0.5)*V2460,(365/S2460)*V2460))</f>
        <v/>
      </c>
      <c r="X2460" s="75" t="n"/>
      <c r="Y2460" s="77" t="n"/>
      <c r="Z2460" s="77" t="n"/>
      <c r="AA2460" s="75" t="n"/>
      <c r="AB2460" s="75" t="n"/>
      <c r="AC2460" s="6" t="n"/>
      <c r="AD2460" s="75" t="n"/>
      <c r="AE2460" s="75" t="n"/>
      <c r="AF2460" s="75" t="n"/>
    </row>
    <row r="2461" ht="15.75" customHeight="1" s="133">
      <c r="A2461" s="75" t="n"/>
      <c r="B2461" s="75" t="n"/>
      <c r="C2461" s="75" t="n"/>
      <c r="D2461" s="75" t="n"/>
      <c r="E2461" s="76" t="n"/>
      <c r="F2461" s="77" t="n"/>
      <c r="G2461" s="75" t="n"/>
      <c r="H2461" s="75">
        <f>IF(ISBLANK(E2461),"",IF(OR(D2461="Butterfly",D2461="Butterfly ",D2461="Iron Fly", D2461="Iron Fly "),LEN(E2461)-LEN(SUBSTITUTE(E2461,"/",""))+2,LEN(E2461)-LEN(SUBSTITUTE(E2461,"/",""))+1))</f>
        <v/>
      </c>
      <c r="I2461" s="78">
        <f>IF(ISBLANK(G2461),"",IF(D2461="Stock","0",Key!$A$3*H2461*G2461))</f>
        <v/>
      </c>
      <c r="J2461" s="78">
        <f>IF(ISBLANK(E2461),"",IF(ISNUMBER(SEARCH("/",E2461)), IF(LEN(E2461)-LEN(SUBSTITUTE(E2461,"/",""))=1,(RIGHT(E2461,LEN(E2461)-FIND("/",E2461)))-(LEFT(E2461,FIND("/",E2461)-1)),(MID(E2461, SEARCH("/",E2461) + 1, SEARCH("/",E2461, SEARCH("/",E2461)+1) - SEARCH("/",E2461) - 1))-(LEFT(E2461,FIND("/",E2461)-1))), "NA"))</f>
        <v/>
      </c>
      <c r="K2461" s="79">
        <f>IF(A2461&lt;&gt;"", IF(ISBLANK(L2461), TODAY(), K2461), "")</f>
        <v/>
      </c>
      <c r="L2461" s="78" t="n"/>
      <c r="M2461" s="78">
        <f>IF(ISBLANK(L2461),"",IF(D2461="Stock",IF(C2461="Buy",L2461*G2461,IF(C2461="Sell",(L2461*G2461)-I2461, X)),IF(C2461="Buy",(L2461*G2461*100)+I2461,IF(C2461="Sell",(L2461*G2461*100)-I2461, X))))</f>
        <v/>
      </c>
      <c r="N2461" s="78">
        <f>IF(ISBLANK(L2461),"",IF(AND(C2461="Sell",D2461="Stock"),M2461,IF(ISBLANK(L2461),"",IF(C2461="Buy",M2461, IF(AND(C2461="Sell",J2461="NA"),(E2461*G2461*100*0.1)+I2461, IF(C2461="Sell",(J2461-L2461)*(100*G2461)+I2461))))))</f>
        <v/>
      </c>
      <c r="O2461" s="75" t="n"/>
      <c r="P2461" s="75" t="n"/>
      <c r="Q2461" s="75">
        <f>IF(ISBLANK(P2461),"",IF(D2461="Stock",P2461*G2461,IF(P2461=0,"0",G2461*P2461*100-(G2461*$AF$14))))</f>
        <v/>
      </c>
      <c r="R2461" s="79">
        <f>IF(P2461&lt;&gt;"", TODAY(), "")</f>
        <v/>
      </c>
      <c r="S2461" s="78">
        <f>IF(AND(K2461&lt;&gt;"", R2461&lt;&gt;""), R2461-K2461, "")</f>
        <v/>
      </c>
      <c r="T2461" s="78" t="n"/>
      <c r="U2461" s="92">
        <f>IF(ISBLANK(P2461),"",IF(C2461="Buy",Q2461-M2461+T2461, IF(C2461="Sell",M2461-Q2461-T2461, X)))</f>
        <v/>
      </c>
      <c r="V2461" s="81">
        <f>IF(ISBLANK(P2461),"",U2461/N2461)</f>
        <v/>
      </c>
      <c r="W2461" s="81">
        <f>IF(ISBLANK(P2461),"",IF(S2461=0,(365/0.5)*V2461,(365/S2461)*V2461))</f>
        <v/>
      </c>
      <c r="X2461" s="75" t="n"/>
      <c r="Y2461" s="77" t="n"/>
      <c r="Z2461" s="77" t="n"/>
      <c r="AA2461" s="75" t="n"/>
      <c r="AB2461" s="75" t="n"/>
      <c r="AC2461" s="6" t="n"/>
      <c r="AD2461" s="75" t="n"/>
      <c r="AE2461" s="75" t="n"/>
      <c r="AF2461" s="75" t="n"/>
    </row>
    <row r="2462" ht="15.75" customHeight="1" s="133">
      <c r="A2462" s="75" t="n"/>
      <c r="B2462" s="75" t="n"/>
      <c r="C2462" s="75" t="n"/>
      <c r="D2462" s="75" t="n"/>
      <c r="E2462" s="76" t="n"/>
      <c r="F2462" s="77" t="n"/>
      <c r="G2462" s="75" t="n"/>
      <c r="H2462" s="75">
        <f>IF(ISBLANK(E2462),"",IF(OR(D2462="Butterfly",D2462="Butterfly ",D2462="Iron Fly", D2462="Iron Fly "),LEN(E2462)-LEN(SUBSTITUTE(E2462,"/",""))+2,LEN(E2462)-LEN(SUBSTITUTE(E2462,"/",""))+1))</f>
        <v/>
      </c>
      <c r="I2462" s="78">
        <f>IF(ISBLANK(G2462),"",IF(D2462="Stock","0",Key!$A$3*H2462*G2462))</f>
        <v/>
      </c>
      <c r="J2462" s="78">
        <f>IF(ISBLANK(E2462),"",IF(ISNUMBER(SEARCH("/",E2462)), IF(LEN(E2462)-LEN(SUBSTITUTE(E2462,"/",""))=1,(RIGHT(E2462,LEN(E2462)-FIND("/",E2462)))-(LEFT(E2462,FIND("/",E2462)-1)),(MID(E2462, SEARCH("/",E2462) + 1, SEARCH("/",E2462, SEARCH("/",E2462)+1) - SEARCH("/",E2462) - 1))-(LEFT(E2462,FIND("/",E2462)-1))), "NA"))</f>
        <v/>
      </c>
      <c r="K2462" s="79">
        <f>IF(A2462&lt;&gt;"", IF(ISBLANK(L2462), TODAY(), K2462), "")</f>
        <v/>
      </c>
      <c r="L2462" s="78" t="n"/>
      <c r="M2462" s="78">
        <f>IF(ISBLANK(L2462),"",IF(D2462="Stock",IF(C2462="Buy",L2462*G2462,IF(C2462="Sell",(L2462*G2462)-I2462, X)),IF(C2462="Buy",(L2462*G2462*100)+I2462,IF(C2462="Sell",(L2462*G2462*100)-I2462, X))))</f>
        <v/>
      </c>
      <c r="N2462" s="78">
        <f>IF(ISBLANK(L2462),"",IF(AND(C2462="Sell",D2462="Stock"),M2462,IF(ISBLANK(L2462),"",IF(C2462="Buy",M2462, IF(AND(C2462="Sell",J2462="NA"),(E2462*G2462*100*0.1)+I2462, IF(C2462="Sell",(J2462-L2462)*(100*G2462)+I2462))))))</f>
        <v/>
      </c>
      <c r="O2462" s="75" t="n"/>
      <c r="P2462" s="75" t="n"/>
      <c r="Q2462" s="75">
        <f>IF(ISBLANK(P2462),"",IF(D2462="Stock",P2462*G2462,IF(P2462=0,"0",G2462*P2462*100-(G2462*$AF$14))))</f>
        <v/>
      </c>
      <c r="R2462" s="79">
        <f>IF(P2462&lt;&gt;"", TODAY(), "")</f>
        <v/>
      </c>
      <c r="S2462" s="78">
        <f>IF(AND(K2462&lt;&gt;"", R2462&lt;&gt;""), R2462-K2462, "")</f>
        <v/>
      </c>
      <c r="T2462" s="78" t="n"/>
      <c r="U2462" s="92">
        <f>IF(ISBLANK(P2462),"",IF(C2462="Buy",Q2462-M2462+T2462, IF(C2462="Sell",M2462-Q2462-T2462, X)))</f>
        <v/>
      </c>
      <c r="V2462" s="81">
        <f>IF(ISBLANK(P2462),"",U2462/N2462)</f>
        <v/>
      </c>
      <c r="W2462" s="81">
        <f>IF(ISBLANK(P2462),"",IF(S2462=0,(365/0.5)*V2462,(365/S2462)*V2462))</f>
        <v/>
      </c>
      <c r="X2462" s="75" t="n"/>
      <c r="Y2462" s="77" t="n"/>
      <c r="Z2462" s="77" t="n"/>
      <c r="AA2462" s="75" t="n"/>
      <c r="AB2462" s="75" t="n"/>
      <c r="AC2462" s="6" t="n"/>
      <c r="AD2462" s="75" t="n"/>
      <c r="AE2462" s="75" t="n"/>
      <c r="AF2462" s="75" t="n"/>
    </row>
    <row r="2463" ht="15.75" customHeight="1" s="133">
      <c r="A2463" s="75" t="n"/>
      <c r="B2463" s="75" t="n"/>
      <c r="C2463" s="75" t="n"/>
      <c r="D2463" s="75" t="n"/>
      <c r="E2463" s="76" t="n"/>
      <c r="F2463" s="77" t="n"/>
      <c r="G2463" s="75" t="n"/>
      <c r="H2463" s="75">
        <f>IF(ISBLANK(E2463),"",IF(OR(D2463="Butterfly",D2463="Butterfly ",D2463="Iron Fly", D2463="Iron Fly "),LEN(E2463)-LEN(SUBSTITUTE(E2463,"/",""))+2,LEN(E2463)-LEN(SUBSTITUTE(E2463,"/",""))+1))</f>
        <v/>
      </c>
      <c r="I2463" s="78">
        <f>IF(ISBLANK(G2463),"",IF(D2463="Stock","0",Key!$A$3*H2463*G2463))</f>
        <v/>
      </c>
      <c r="J2463" s="78">
        <f>IF(ISBLANK(E2463),"",IF(ISNUMBER(SEARCH("/",E2463)), IF(LEN(E2463)-LEN(SUBSTITUTE(E2463,"/",""))=1,(RIGHT(E2463,LEN(E2463)-FIND("/",E2463)))-(LEFT(E2463,FIND("/",E2463)-1)),(MID(E2463, SEARCH("/",E2463) + 1, SEARCH("/",E2463, SEARCH("/",E2463)+1) - SEARCH("/",E2463) - 1))-(LEFT(E2463,FIND("/",E2463)-1))), "NA"))</f>
        <v/>
      </c>
      <c r="K2463" s="79">
        <f>IF(A2463&lt;&gt;"", IF(ISBLANK(L2463), TODAY(), K2463), "")</f>
        <v/>
      </c>
      <c r="L2463" s="78" t="n"/>
      <c r="M2463" s="78">
        <f>IF(ISBLANK(L2463),"",IF(D2463="Stock",IF(C2463="Buy",L2463*G2463,IF(C2463="Sell",(L2463*G2463)-I2463, X)),IF(C2463="Buy",(L2463*G2463*100)+I2463,IF(C2463="Sell",(L2463*G2463*100)-I2463, X))))</f>
        <v/>
      </c>
      <c r="N2463" s="78">
        <f>IF(ISBLANK(L2463),"",IF(AND(C2463="Sell",D2463="Stock"),M2463,IF(ISBLANK(L2463),"",IF(C2463="Buy",M2463, IF(AND(C2463="Sell",J2463="NA"),(E2463*G2463*100*0.1)+I2463, IF(C2463="Sell",(J2463-L2463)*(100*G2463)+I2463))))))</f>
        <v/>
      </c>
      <c r="O2463" s="75" t="n"/>
      <c r="P2463" s="75" t="n"/>
      <c r="Q2463" s="75">
        <f>IF(ISBLANK(P2463),"",IF(D2463="Stock",P2463*G2463,IF(P2463=0,"0",G2463*P2463*100-(G2463*$AF$14))))</f>
        <v/>
      </c>
      <c r="R2463" s="79">
        <f>IF(P2463&lt;&gt;"", TODAY(), "")</f>
        <v/>
      </c>
      <c r="S2463" s="78">
        <f>IF(AND(K2463&lt;&gt;"", R2463&lt;&gt;""), R2463-K2463, "")</f>
        <v/>
      </c>
      <c r="T2463" s="78" t="n"/>
      <c r="U2463" s="92">
        <f>IF(ISBLANK(P2463),"",IF(C2463="Buy",Q2463-M2463+T2463, IF(C2463="Sell",M2463-Q2463-T2463, X)))</f>
        <v/>
      </c>
      <c r="V2463" s="81">
        <f>IF(ISBLANK(P2463),"",U2463/N2463)</f>
        <v/>
      </c>
      <c r="W2463" s="81">
        <f>IF(ISBLANK(P2463),"",IF(S2463=0,(365/0.5)*V2463,(365/S2463)*V2463))</f>
        <v/>
      </c>
      <c r="X2463" s="75" t="n"/>
      <c r="Y2463" s="77" t="n"/>
      <c r="Z2463" s="77" t="n"/>
      <c r="AA2463" s="75" t="n"/>
      <c r="AB2463" s="75" t="n"/>
      <c r="AC2463" s="6" t="n"/>
      <c r="AD2463" s="75" t="n"/>
      <c r="AE2463" s="75" t="n"/>
      <c r="AF2463" s="75" t="n"/>
    </row>
    <row r="2464" ht="15.75" customHeight="1" s="133">
      <c r="A2464" s="75" t="n"/>
      <c r="B2464" s="75" t="n"/>
      <c r="C2464" s="75" t="n"/>
      <c r="D2464" s="75" t="n"/>
      <c r="E2464" s="76" t="n"/>
      <c r="F2464" s="77" t="n"/>
      <c r="G2464" s="75" t="n"/>
      <c r="H2464" s="75">
        <f>IF(ISBLANK(E2464),"",IF(OR(D2464="Butterfly",D2464="Butterfly ",D2464="Iron Fly", D2464="Iron Fly "),LEN(E2464)-LEN(SUBSTITUTE(E2464,"/",""))+2,LEN(E2464)-LEN(SUBSTITUTE(E2464,"/",""))+1))</f>
        <v/>
      </c>
      <c r="I2464" s="78">
        <f>IF(ISBLANK(G2464),"",IF(D2464="Stock","0",Key!$A$3*H2464*G2464))</f>
        <v/>
      </c>
      <c r="J2464" s="78">
        <f>IF(ISBLANK(E2464),"",IF(ISNUMBER(SEARCH("/",E2464)), IF(LEN(E2464)-LEN(SUBSTITUTE(E2464,"/",""))=1,(RIGHT(E2464,LEN(E2464)-FIND("/",E2464)))-(LEFT(E2464,FIND("/",E2464)-1)),(MID(E2464, SEARCH("/",E2464) + 1, SEARCH("/",E2464, SEARCH("/",E2464)+1) - SEARCH("/",E2464) - 1))-(LEFT(E2464,FIND("/",E2464)-1))), "NA"))</f>
        <v/>
      </c>
      <c r="K2464" s="79">
        <f>IF(A2464&lt;&gt;"", IF(ISBLANK(L2464), TODAY(), K2464), "")</f>
        <v/>
      </c>
      <c r="L2464" s="78" t="n"/>
      <c r="M2464" s="78">
        <f>IF(ISBLANK(L2464),"",IF(D2464="Stock",IF(C2464="Buy",L2464*G2464,IF(C2464="Sell",(L2464*G2464)-I2464, X)),IF(C2464="Buy",(L2464*G2464*100)+I2464,IF(C2464="Sell",(L2464*G2464*100)-I2464, X))))</f>
        <v/>
      </c>
      <c r="N2464" s="78">
        <f>IF(ISBLANK(L2464),"",IF(AND(C2464="Sell",D2464="Stock"),M2464,IF(ISBLANK(L2464),"",IF(C2464="Buy",M2464, IF(AND(C2464="Sell",J2464="NA"),(E2464*G2464*100*0.1)+I2464, IF(C2464="Sell",(J2464-L2464)*(100*G2464)+I2464))))))</f>
        <v/>
      </c>
      <c r="O2464" s="75" t="n"/>
      <c r="P2464" s="75" t="n"/>
      <c r="Q2464" s="75">
        <f>IF(ISBLANK(P2464),"",IF(D2464="Stock",P2464*G2464,IF(P2464=0,"0",G2464*P2464*100-(G2464*$AF$14))))</f>
        <v/>
      </c>
      <c r="R2464" s="79">
        <f>IF(P2464&lt;&gt;"", TODAY(), "")</f>
        <v/>
      </c>
      <c r="S2464" s="78">
        <f>IF(AND(K2464&lt;&gt;"", R2464&lt;&gt;""), R2464-K2464, "")</f>
        <v/>
      </c>
      <c r="T2464" s="78" t="n"/>
      <c r="U2464" s="92">
        <f>IF(ISBLANK(P2464),"",IF(C2464="Buy",Q2464-M2464+T2464, IF(C2464="Sell",M2464-Q2464-T2464, X)))</f>
        <v/>
      </c>
      <c r="V2464" s="81">
        <f>IF(ISBLANK(P2464),"",U2464/N2464)</f>
        <v/>
      </c>
      <c r="W2464" s="81">
        <f>IF(ISBLANK(P2464),"",IF(S2464=0,(365/0.5)*V2464,(365/S2464)*V2464))</f>
        <v/>
      </c>
      <c r="X2464" s="75" t="n"/>
      <c r="Y2464" s="77" t="n"/>
      <c r="Z2464" s="77" t="n"/>
      <c r="AA2464" s="75" t="n"/>
      <c r="AB2464" s="75" t="n"/>
      <c r="AC2464" s="6" t="n"/>
      <c r="AD2464" s="75" t="n"/>
      <c r="AE2464" s="75" t="n"/>
      <c r="AF2464" s="75" t="n"/>
    </row>
    <row r="2465" ht="15.75" customHeight="1" s="133">
      <c r="A2465" s="75" t="n"/>
      <c r="B2465" s="75" t="n"/>
      <c r="C2465" s="75" t="n"/>
      <c r="D2465" s="75" t="n"/>
      <c r="E2465" s="76" t="n"/>
      <c r="F2465" s="77" t="n"/>
      <c r="G2465" s="75" t="n"/>
      <c r="H2465" s="75">
        <f>IF(ISBLANK(E2465),"",IF(OR(D2465="Butterfly",D2465="Butterfly ",D2465="Iron Fly", D2465="Iron Fly "),LEN(E2465)-LEN(SUBSTITUTE(E2465,"/",""))+2,LEN(E2465)-LEN(SUBSTITUTE(E2465,"/",""))+1))</f>
        <v/>
      </c>
      <c r="I2465" s="78">
        <f>IF(ISBLANK(G2465),"",IF(D2465="Stock","0",Key!$A$3*H2465*G2465))</f>
        <v/>
      </c>
      <c r="J2465" s="78">
        <f>IF(ISBLANK(E2465),"",IF(ISNUMBER(SEARCH("/",E2465)), IF(LEN(E2465)-LEN(SUBSTITUTE(E2465,"/",""))=1,(RIGHT(E2465,LEN(E2465)-FIND("/",E2465)))-(LEFT(E2465,FIND("/",E2465)-1)),(MID(E2465, SEARCH("/",E2465) + 1, SEARCH("/",E2465, SEARCH("/",E2465)+1) - SEARCH("/",E2465) - 1))-(LEFT(E2465,FIND("/",E2465)-1))), "NA"))</f>
        <v/>
      </c>
      <c r="K2465" s="79">
        <f>IF(A2465&lt;&gt;"", IF(ISBLANK(L2465), TODAY(), K2465), "")</f>
        <v/>
      </c>
      <c r="L2465" s="78" t="n"/>
      <c r="M2465" s="78">
        <f>IF(ISBLANK(L2465),"",IF(D2465="Stock",IF(C2465="Buy",L2465*G2465,IF(C2465="Sell",(L2465*G2465)-I2465, X)),IF(C2465="Buy",(L2465*G2465*100)+I2465,IF(C2465="Sell",(L2465*G2465*100)-I2465, X))))</f>
        <v/>
      </c>
      <c r="N2465" s="78">
        <f>IF(ISBLANK(L2465),"",IF(AND(C2465="Sell",D2465="Stock"),M2465,IF(ISBLANK(L2465),"",IF(C2465="Buy",M2465, IF(AND(C2465="Sell",J2465="NA"),(E2465*G2465*100*0.1)+I2465, IF(C2465="Sell",(J2465-L2465)*(100*G2465)+I2465))))))</f>
        <v/>
      </c>
      <c r="O2465" s="75" t="n"/>
      <c r="P2465" s="75" t="n"/>
      <c r="Q2465" s="75">
        <f>IF(ISBLANK(P2465),"",IF(D2465="Stock",P2465*G2465,IF(P2465=0,"0",G2465*P2465*100-(G2465*$AF$14))))</f>
        <v/>
      </c>
      <c r="R2465" s="79">
        <f>IF(P2465&lt;&gt;"", TODAY(), "")</f>
        <v/>
      </c>
      <c r="S2465" s="78">
        <f>IF(AND(K2465&lt;&gt;"", R2465&lt;&gt;""), R2465-K2465, "")</f>
        <v/>
      </c>
      <c r="T2465" s="78" t="n"/>
      <c r="U2465" s="92">
        <f>IF(ISBLANK(P2465),"",IF(C2465="Buy",Q2465-M2465+T2465, IF(C2465="Sell",M2465-Q2465-T2465, X)))</f>
        <v/>
      </c>
      <c r="V2465" s="81">
        <f>IF(ISBLANK(P2465),"",U2465/N2465)</f>
        <v/>
      </c>
      <c r="W2465" s="81">
        <f>IF(ISBLANK(P2465),"",IF(S2465=0,(365/0.5)*V2465,(365/S2465)*V2465))</f>
        <v/>
      </c>
      <c r="X2465" s="75" t="n"/>
      <c r="Y2465" s="77" t="n"/>
      <c r="Z2465" s="77" t="n"/>
      <c r="AA2465" s="75" t="n"/>
      <c r="AB2465" s="75" t="n"/>
      <c r="AC2465" s="6" t="n"/>
      <c r="AD2465" s="75" t="n"/>
      <c r="AE2465" s="75" t="n"/>
      <c r="AF2465" s="75" t="n"/>
    </row>
    <row r="2466" ht="15.75" customHeight="1" s="133">
      <c r="A2466" s="75" t="n"/>
      <c r="B2466" s="75" t="n"/>
      <c r="C2466" s="75" t="n"/>
      <c r="D2466" s="75" t="n"/>
      <c r="E2466" s="76" t="n"/>
      <c r="F2466" s="77" t="n"/>
      <c r="G2466" s="75" t="n"/>
      <c r="H2466" s="75">
        <f>IF(ISBLANK(E2466),"",IF(OR(D2466="Butterfly",D2466="Butterfly ",D2466="Iron Fly", D2466="Iron Fly "),LEN(E2466)-LEN(SUBSTITUTE(E2466,"/",""))+2,LEN(E2466)-LEN(SUBSTITUTE(E2466,"/",""))+1))</f>
        <v/>
      </c>
      <c r="I2466" s="78">
        <f>IF(ISBLANK(G2466),"",IF(D2466="Stock","0",Key!$A$3*H2466*G2466))</f>
        <v/>
      </c>
      <c r="J2466" s="78">
        <f>IF(ISBLANK(E2466),"",IF(ISNUMBER(SEARCH("/",E2466)), IF(LEN(E2466)-LEN(SUBSTITUTE(E2466,"/",""))=1,(RIGHT(E2466,LEN(E2466)-FIND("/",E2466)))-(LEFT(E2466,FIND("/",E2466)-1)),(MID(E2466, SEARCH("/",E2466) + 1, SEARCH("/",E2466, SEARCH("/",E2466)+1) - SEARCH("/",E2466) - 1))-(LEFT(E2466,FIND("/",E2466)-1))), "NA"))</f>
        <v/>
      </c>
      <c r="K2466" s="79">
        <f>IF(A2466&lt;&gt;"", IF(ISBLANK(L2466), TODAY(), K2466), "")</f>
        <v/>
      </c>
      <c r="L2466" s="78" t="n"/>
      <c r="M2466" s="78">
        <f>IF(ISBLANK(L2466),"",IF(D2466="Stock",IF(C2466="Buy",L2466*G2466,IF(C2466="Sell",(L2466*G2466)-I2466, X)),IF(C2466="Buy",(L2466*G2466*100)+I2466,IF(C2466="Sell",(L2466*G2466*100)-I2466, X))))</f>
        <v/>
      </c>
      <c r="N2466" s="78">
        <f>IF(ISBLANK(L2466),"",IF(AND(C2466="Sell",D2466="Stock"),M2466,IF(ISBLANK(L2466),"",IF(C2466="Buy",M2466, IF(AND(C2466="Sell",J2466="NA"),(E2466*G2466*100*0.1)+I2466, IF(C2466="Sell",(J2466-L2466)*(100*G2466)+I2466))))))</f>
        <v/>
      </c>
      <c r="O2466" s="75" t="n"/>
      <c r="P2466" s="75" t="n"/>
      <c r="Q2466" s="75">
        <f>IF(ISBLANK(P2466),"",IF(D2466="Stock",P2466*G2466,IF(P2466=0,"0",G2466*P2466*100-(G2466*$AF$14))))</f>
        <v/>
      </c>
      <c r="R2466" s="79">
        <f>IF(P2466&lt;&gt;"", TODAY(), "")</f>
        <v/>
      </c>
      <c r="S2466" s="78">
        <f>IF(AND(K2466&lt;&gt;"", R2466&lt;&gt;""), R2466-K2466, "")</f>
        <v/>
      </c>
      <c r="T2466" s="78" t="n"/>
      <c r="U2466" s="92">
        <f>IF(ISBLANK(P2466),"",IF(C2466="Buy",Q2466-M2466+T2466, IF(C2466="Sell",M2466-Q2466-T2466, X)))</f>
        <v/>
      </c>
      <c r="V2466" s="81">
        <f>IF(ISBLANK(P2466),"",U2466/N2466)</f>
        <v/>
      </c>
      <c r="W2466" s="81">
        <f>IF(ISBLANK(P2466),"",IF(S2466=0,(365/0.5)*V2466,(365/S2466)*V2466))</f>
        <v/>
      </c>
      <c r="X2466" s="75" t="n"/>
      <c r="Y2466" s="77" t="n"/>
      <c r="Z2466" s="77" t="n"/>
      <c r="AA2466" s="75" t="n"/>
      <c r="AB2466" s="75" t="n"/>
      <c r="AC2466" s="6" t="n"/>
      <c r="AD2466" s="75" t="n"/>
      <c r="AE2466" s="75" t="n"/>
      <c r="AF2466" s="75" t="n"/>
    </row>
    <row r="2467" ht="15.75" customHeight="1" s="133">
      <c r="A2467" s="75" t="n"/>
      <c r="B2467" s="75" t="n"/>
      <c r="C2467" s="75" t="n"/>
      <c r="D2467" s="75" t="n"/>
      <c r="E2467" s="76" t="n"/>
      <c r="F2467" s="77" t="n"/>
      <c r="G2467" s="75" t="n"/>
      <c r="H2467" s="75">
        <f>IF(ISBLANK(E2467),"",IF(OR(D2467="Butterfly",D2467="Butterfly ",D2467="Iron Fly", D2467="Iron Fly "),LEN(E2467)-LEN(SUBSTITUTE(E2467,"/",""))+2,LEN(E2467)-LEN(SUBSTITUTE(E2467,"/",""))+1))</f>
        <v/>
      </c>
      <c r="I2467" s="78">
        <f>IF(ISBLANK(G2467),"",IF(D2467="Stock","0",Key!$A$3*H2467*G2467))</f>
        <v/>
      </c>
      <c r="J2467" s="78">
        <f>IF(ISBLANK(E2467),"",IF(ISNUMBER(SEARCH("/",E2467)), IF(LEN(E2467)-LEN(SUBSTITUTE(E2467,"/",""))=1,(RIGHT(E2467,LEN(E2467)-FIND("/",E2467)))-(LEFT(E2467,FIND("/",E2467)-1)),(MID(E2467, SEARCH("/",E2467) + 1, SEARCH("/",E2467, SEARCH("/",E2467)+1) - SEARCH("/",E2467) - 1))-(LEFT(E2467,FIND("/",E2467)-1))), "NA"))</f>
        <v/>
      </c>
      <c r="K2467" s="79">
        <f>IF(A2467&lt;&gt;"", IF(ISBLANK(L2467), TODAY(), K2467), "")</f>
        <v/>
      </c>
      <c r="L2467" s="78" t="n"/>
      <c r="M2467" s="78">
        <f>IF(ISBLANK(L2467),"",IF(D2467="Stock",IF(C2467="Buy",L2467*G2467,IF(C2467="Sell",(L2467*G2467)-I2467, X)),IF(C2467="Buy",(L2467*G2467*100)+I2467,IF(C2467="Sell",(L2467*G2467*100)-I2467, X))))</f>
        <v/>
      </c>
      <c r="N2467" s="78">
        <f>IF(ISBLANK(L2467),"",IF(AND(C2467="Sell",D2467="Stock"),M2467,IF(ISBLANK(L2467),"",IF(C2467="Buy",M2467, IF(AND(C2467="Sell",J2467="NA"),(E2467*G2467*100*0.1)+I2467, IF(C2467="Sell",(J2467-L2467)*(100*G2467)+I2467))))))</f>
        <v/>
      </c>
      <c r="O2467" s="75" t="n"/>
      <c r="P2467" s="75" t="n"/>
      <c r="Q2467" s="75">
        <f>IF(ISBLANK(P2467),"",IF(D2467="Stock",P2467*G2467,IF(P2467=0,"0",G2467*P2467*100-(G2467*$AF$14))))</f>
        <v/>
      </c>
      <c r="R2467" s="79">
        <f>IF(P2467&lt;&gt;"", TODAY(), "")</f>
        <v/>
      </c>
      <c r="S2467" s="78">
        <f>IF(AND(K2467&lt;&gt;"", R2467&lt;&gt;""), R2467-K2467, "")</f>
        <v/>
      </c>
      <c r="T2467" s="78" t="n"/>
      <c r="U2467" s="92">
        <f>IF(ISBLANK(P2467),"",IF(C2467="Buy",Q2467-M2467+T2467, IF(C2467="Sell",M2467-Q2467-T2467, X)))</f>
        <v/>
      </c>
      <c r="V2467" s="81">
        <f>IF(ISBLANK(P2467),"",U2467/N2467)</f>
        <v/>
      </c>
      <c r="W2467" s="81">
        <f>IF(ISBLANK(P2467),"",IF(S2467=0,(365/0.5)*V2467,(365/S2467)*V2467))</f>
        <v/>
      </c>
      <c r="X2467" s="75" t="n"/>
      <c r="Y2467" s="77" t="n"/>
      <c r="Z2467" s="77" t="n"/>
      <c r="AA2467" s="75" t="n"/>
      <c r="AB2467" s="75" t="n"/>
      <c r="AC2467" s="6" t="n"/>
      <c r="AD2467" s="75" t="n"/>
      <c r="AE2467" s="75" t="n"/>
      <c r="AF2467" s="75" t="n"/>
    </row>
    <row r="2468" ht="15.75" customHeight="1" s="133">
      <c r="A2468" s="75" t="n"/>
      <c r="B2468" s="75" t="n"/>
      <c r="C2468" s="75" t="n"/>
      <c r="D2468" s="75" t="n"/>
      <c r="E2468" s="76" t="n"/>
      <c r="F2468" s="77" t="n"/>
      <c r="G2468" s="75" t="n"/>
      <c r="H2468" s="75">
        <f>IF(ISBLANK(E2468),"",IF(OR(D2468="Butterfly",D2468="Butterfly ",D2468="Iron Fly", D2468="Iron Fly "),LEN(E2468)-LEN(SUBSTITUTE(E2468,"/",""))+2,LEN(E2468)-LEN(SUBSTITUTE(E2468,"/",""))+1))</f>
        <v/>
      </c>
      <c r="I2468" s="78">
        <f>IF(ISBLANK(G2468),"",IF(D2468="Stock","0",Key!$A$3*H2468*G2468))</f>
        <v/>
      </c>
      <c r="J2468" s="78">
        <f>IF(ISBLANK(E2468),"",IF(ISNUMBER(SEARCH("/",E2468)), IF(LEN(E2468)-LEN(SUBSTITUTE(E2468,"/",""))=1,(RIGHT(E2468,LEN(E2468)-FIND("/",E2468)))-(LEFT(E2468,FIND("/",E2468)-1)),(MID(E2468, SEARCH("/",E2468) + 1, SEARCH("/",E2468, SEARCH("/",E2468)+1) - SEARCH("/",E2468) - 1))-(LEFT(E2468,FIND("/",E2468)-1))), "NA"))</f>
        <v/>
      </c>
      <c r="K2468" s="79">
        <f>IF(A2468&lt;&gt;"", IF(ISBLANK(L2468), TODAY(), K2468), "")</f>
        <v/>
      </c>
      <c r="L2468" s="78" t="n"/>
      <c r="M2468" s="78">
        <f>IF(ISBLANK(L2468),"",IF(D2468="Stock",IF(C2468="Buy",L2468*G2468,IF(C2468="Sell",(L2468*G2468)-I2468, X)),IF(C2468="Buy",(L2468*G2468*100)+I2468,IF(C2468="Sell",(L2468*G2468*100)-I2468, X))))</f>
        <v/>
      </c>
      <c r="N2468" s="78">
        <f>IF(ISBLANK(L2468),"",IF(AND(C2468="Sell",D2468="Stock"),M2468,IF(ISBLANK(L2468),"",IF(C2468="Buy",M2468, IF(AND(C2468="Sell",J2468="NA"),(E2468*G2468*100*0.1)+I2468, IF(C2468="Sell",(J2468-L2468)*(100*G2468)+I2468))))))</f>
        <v/>
      </c>
      <c r="O2468" s="75" t="n"/>
      <c r="P2468" s="75" t="n"/>
      <c r="Q2468" s="75">
        <f>IF(ISBLANK(P2468),"",IF(D2468="Stock",P2468*G2468,IF(P2468=0,"0",G2468*P2468*100-(G2468*$AF$14))))</f>
        <v/>
      </c>
      <c r="R2468" s="79">
        <f>IF(P2468&lt;&gt;"", TODAY(), "")</f>
        <v/>
      </c>
      <c r="S2468" s="78">
        <f>IF(AND(K2468&lt;&gt;"", R2468&lt;&gt;""), R2468-K2468, "")</f>
        <v/>
      </c>
      <c r="T2468" s="78" t="n"/>
      <c r="U2468" s="92">
        <f>IF(ISBLANK(P2468),"",IF(C2468="Buy",Q2468-M2468+T2468, IF(C2468="Sell",M2468-Q2468-T2468, X)))</f>
        <v/>
      </c>
      <c r="V2468" s="81">
        <f>IF(ISBLANK(P2468),"",U2468/N2468)</f>
        <v/>
      </c>
      <c r="W2468" s="81">
        <f>IF(ISBLANK(P2468),"",IF(S2468=0,(365/0.5)*V2468,(365/S2468)*V2468))</f>
        <v/>
      </c>
      <c r="X2468" s="75" t="n"/>
      <c r="Y2468" s="77" t="n"/>
      <c r="Z2468" s="77" t="n"/>
      <c r="AA2468" s="75" t="n"/>
      <c r="AB2468" s="75" t="n"/>
      <c r="AC2468" s="6" t="n"/>
      <c r="AD2468" s="75" t="n"/>
      <c r="AE2468" s="75" t="n"/>
      <c r="AF2468" s="75" t="n"/>
    </row>
    <row r="2469" ht="15.75" customHeight="1" s="133">
      <c r="A2469" s="75" t="n"/>
      <c r="B2469" s="75" t="n"/>
      <c r="C2469" s="75" t="n"/>
      <c r="D2469" s="75" t="n"/>
      <c r="E2469" s="76" t="n"/>
      <c r="F2469" s="77" t="n"/>
      <c r="G2469" s="75" t="n"/>
      <c r="H2469" s="75">
        <f>IF(ISBLANK(E2469),"",IF(OR(D2469="Butterfly",D2469="Butterfly ",D2469="Iron Fly", D2469="Iron Fly "),LEN(E2469)-LEN(SUBSTITUTE(E2469,"/",""))+2,LEN(E2469)-LEN(SUBSTITUTE(E2469,"/",""))+1))</f>
        <v/>
      </c>
      <c r="I2469" s="78">
        <f>IF(ISBLANK(G2469),"",IF(D2469="Stock","0",Key!$A$3*H2469*G2469))</f>
        <v/>
      </c>
      <c r="J2469" s="78">
        <f>IF(ISBLANK(E2469),"",IF(ISNUMBER(SEARCH("/",E2469)), IF(LEN(E2469)-LEN(SUBSTITUTE(E2469,"/",""))=1,(RIGHT(E2469,LEN(E2469)-FIND("/",E2469)))-(LEFT(E2469,FIND("/",E2469)-1)),(MID(E2469, SEARCH("/",E2469) + 1, SEARCH("/",E2469, SEARCH("/",E2469)+1) - SEARCH("/",E2469) - 1))-(LEFT(E2469,FIND("/",E2469)-1))), "NA"))</f>
        <v/>
      </c>
      <c r="K2469" s="79">
        <f>IF(A2469&lt;&gt;"", IF(ISBLANK(L2469), TODAY(), K2469), "")</f>
        <v/>
      </c>
      <c r="L2469" s="78" t="n"/>
      <c r="M2469" s="78">
        <f>IF(ISBLANK(L2469),"",IF(D2469="Stock",IF(C2469="Buy",L2469*G2469,IF(C2469="Sell",(L2469*G2469)-I2469, X)),IF(C2469="Buy",(L2469*G2469*100)+I2469,IF(C2469="Sell",(L2469*G2469*100)-I2469, X))))</f>
        <v/>
      </c>
      <c r="N2469" s="78">
        <f>IF(ISBLANK(L2469),"",IF(AND(C2469="Sell",D2469="Stock"),M2469,IF(ISBLANK(L2469),"",IF(C2469="Buy",M2469, IF(AND(C2469="Sell",J2469="NA"),(E2469*G2469*100*0.1)+I2469, IF(C2469="Sell",(J2469-L2469)*(100*G2469)+I2469))))))</f>
        <v/>
      </c>
      <c r="O2469" s="75" t="n"/>
      <c r="P2469" s="75" t="n"/>
      <c r="Q2469" s="75">
        <f>IF(ISBLANK(P2469),"",IF(D2469="Stock",P2469*G2469,IF(P2469=0,"0",G2469*P2469*100-(G2469*$AF$14))))</f>
        <v/>
      </c>
      <c r="R2469" s="79">
        <f>IF(P2469&lt;&gt;"", TODAY(), "")</f>
        <v/>
      </c>
      <c r="S2469" s="78">
        <f>IF(AND(K2469&lt;&gt;"", R2469&lt;&gt;""), R2469-K2469, "")</f>
        <v/>
      </c>
      <c r="T2469" s="78" t="n"/>
      <c r="U2469" s="92">
        <f>IF(ISBLANK(P2469),"",IF(C2469="Buy",Q2469-M2469+T2469, IF(C2469="Sell",M2469-Q2469-T2469, X)))</f>
        <v/>
      </c>
      <c r="V2469" s="81">
        <f>IF(ISBLANK(P2469),"",U2469/N2469)</f>
        <v/>
      </c>
      <c r="W2469" s="81">
        <f>IF(ISBLANK(P2469),"",IF(S2469=0,(365/0.5)*V2469,(365/S2469)*V2469))</f>
        <v/>
      </c>
      <c r="X2469" s="75" t="n"/>
      <c r="Y2469" s="77" t="n"/>
      <c r="Z2469" s="77" t="n"/>
      <c r="AA2469" s="75" t="n"/>
      <c r="AB2469" s="75" t="n"/>
      <c r="AC2469" s="6" t="n"/>
      <c r="AD2469" s="75" t="n"/>
      <c r="AE2469" s="75" t="n"/>
      <c r="AF2469" s="75" t="n"/>
    </row>
    <row r="2470" ht="15.75" customHeight="1" s="133">
      <c r="A2470" s="75" t="n"/>
      <c r="B2470" s="75" t="n"/>
      <c r="C2470" s="75" t="n"/>
      <c r="D2470" s="75" t="n"/>
      <c r="E2470" s="76" t="n"/>
      <c r="F2470" s="77" t="n"/>
      <c r="G2470" s="75" t="n"/>
      <c r="H2470" s="75">
        <f>IF(ISBLANK(E2470),"",IF(OR(D2470="Butterfly",D2470="Butterfly ",D2470="Iron Fly", D2470="Iron Fly "),LEN(E2470)-LEN(SUBSTITUTE(E2470,"/",""))+2,LEN(E2470)-LEN(SUBSTITUTE(E2470,"/",""))+1))</f>
        <v/>
      </c>
      <c r="I2470" s="78">
        <f>IF(ISBLANK(G2470),"",IF(D2470="Stock","0",Key!$A$3*H2470*G2470))</f>
        <v/>
      </c>
      <c r="J2470" s="78">
        <f>IF(ISBLANK(E2470),"",IF(ISNUMBER(SEARCH("/",E2470)), IF(LEN(E2470)-LEN(SUBSTITUTE(E2470,"/",""))=1,(RIGHT(E2470,LEN(E2470)-FIND("/",E2470)))-(LEFT(E2470,FIND("/",E2470)-1)),(MID(E2470, SEARCH("/",E2470) + 1, SEARCH("/",E2470, SEARCH("/",E2470)+1) - SEARCH("/",E2470) - 1))-(LEFT(E2470,FIND("/",E2470)-1))), "NA"))</f>
        <v/>
      </c>
      <c r="K2470" s="79">
        <f>IF(A2470&lt;&gt;"", IF(ISBLANK(L2470), TODAY(), K2470), "")</f>
        <v/>
      </c>
      <c r="L2470" s="78" t="n"/>
      <c r="M2470" s="78">
        <f>IF(ISBLANK(L2470),"",IF(D2470="Stock",IF(C2470="Buy",L2470*G2470,IF(C2470="Sell",(L2470*G2470)-I2470, X)),IF(C2470="Buy",(L2470*G2470*100)+I2470,IF(C2470="Sell",(L2470*G2470*100)-I2470, X))))</f>
        <v/>
      </c>
      <c r="N2470" s="78">
        <f>IF(ISBLANK(L2470),"",IF(AND(C2470="Sell",D2470="Stock"),M2470,IF(ISBLANK(L2470),"",IF(C2470="Buy",M2470, IF(AND(C2470="Sell",J2470="NA"),(E2470*G2470*100*0.1)+I2470, IF(C2470="Sell",(J2470-L2470)*(100*G2470)+I2470))))))</f>
        <v/>
      </c>
      <c r="O2470" s="75" t="n"/>
      <c r="P2470" s="75" t="n"/>
      <c r="Q2470" s="75">
        <f>IF(ISBLANK(P2470),"",IF(D2470="Stock",P2470*G2470,IF(P2470=0,"0",G2470*P2470*100-(G2470*$AF$14))))</f>
        <v/>
      </c>
      <c r="R2470" s="79">
        <f>IF(P2470&lt;&gt;"", TODAY(), "")</f>
        <v/>
      </c>
      <c r="S2470" s="78">
        <f>IF(AND(K2470&lt;&gt;"", R2470&lt;&gt;""), R2470-K2470, "")</f>
        <v/>
      </c>
      <c r="T2470" s="78" t="n"/>
      <c r="U2470" s="92">
        <f>IF(ISBLANK(P2470),"",IF(C2470="Buy",Q2470-M2470+T2470, IF(C2470="Sell",M2470-Q2470-T2470, X)))</f>
        <v/>
      </c>
      <c r="V2470" s="81">
        <f>IF(ISBLANK(P2470),"",U2470/N2470)</f>
        <v/>
      </c>
      <c r="W2470" s="81">
        <f>IF(ISBLANK(P2470),"",IF(S2470=0,(365/0.5)*V2470,(365/S2470)*V2470))</f>
        <v/>
      </c>
      <c r="X2470" s="75" t="n"/>
      <c r="Y2470" s="77" t="n"/>
      <c r="Z2470" s="77" t="n"/>
      <c r="AA2470" s="75" t="n"/>
      <c r="AB2470" s="75" t="n"/>
      <c r="AC2470" s="6" t="n"/>
      <c r="AD2470" s="75" t="n"/>
      <c r="AE2470" s="75" t="n"/>
      <c r="AF2470" s="75" t="n"/>
    </row>
    <row r="2471" ht="15.75" customHeight="1" s="133">
      <c r="A2471" s="75" t="n"/>
      <c r="B2471" s="75" t="n"/>
      <c r="C2471" s="75" t="n"/>
      <c r="D2471" s="75" t="n"/>
      <c r="E2471" s="76" t="n"/>
      <c r="F2471" s="77" t="n"/>
      <c r="G2471" s="75" t="n"/>
      <c r="H2471" s="75">
        <f>IF(ISBLANK(E2471),"",IF(OR(D2471="Butterfly",D2471="Butterfly ",D2471="Iron Fly", D2471="Iron Fly "),LEN(E2471)-LEN(SUBSTITUTE(E2471,"/",""))+2,LEN(E2471)-LEN(SUBSTITUTE(E2471,"/",""))+1))</f>
        <v/>
      </c>
      <c r="I2471" s="78">
        <f>IF(ISBLANK(G2471),"",IF(D2471="Stock","0",Key!$A$3*H2471*G2471))</f>
        <v/>
      </c>
      <c r="J2471" s="78">
        <f>IF(ISBLANK(E2471),"",IF(ISNUMBER(SEARCH("/",E2471)), IF(LEN(E2471)-LEN(SUBSTITUTE(E2471,"/",""))=1,(RIGHT(E2471,LEN(E2471)-FIND("/",E2471)))-(LEFT(E2471,FIND("/",E2471)-1)),(MID(E2471, SEARCH("/",E2471) + 1, SEARCH("/",E2471, SEARCH("/",E2471)+1) - SEARCH("/",E2471) - 1))-(LEFT(E2471,FIND("/",E2471)-1))), "NA"))</f>
        <v/>
      </c>
      <c r="K2471" s="79">
        <f>IF(A2471&lt;&gt;"", IF(ISBLANK(L2471), TODAY(), K2471), "")</f>
        <v/>
      </c>
      <c r="L2471" s="78" t="n"/>
      <c r="M2471" s="78">
        <f>IF(ISBLANK(L2471),"",IF(D2471="Stock",IF(C2471="Buy",L2471*G2471,IF(C2471="Sell",(L2471*G2471)-I2471, X)),IF(C2471="Buy",(L2471*G2471*100)+I2471,IF(C2471="Sell",(L2471*G2471*100)-I2471, X))))</f>
        <v/>
      </c>
      <c r="N2471" s="78">
        <f>IF(ISBLANK(L2471),"",IF(AND(C2471="Sell",D2471="Stock"),M2471,IF(ISBLANK(L2471),"",IF(C2471="Buy",M2471, IF(AND(C2471="Sell",J2471="NA"),(E2471*G2471*100*0.1)+I2471, IF(C2471="Sell",(J2471-L2471)*(100*G2471)+I2471))))))</f>
        <v/>
      </c>
      <c r="O2471" s="75" t="n"/>
      <c r="P2471" s="75" t="n"/>
      <c r="Q2471" s="75">
        <f>IF(ISBLANK(P2471),"",IF(D2471="Stock",P2471*G2471,IF(P2471=0,"0",G2471*P2471*100-(G2471*$AF$14))))</f>
        <v/>
      </c>
      <c r="R2471" s="79">
        <f>IF(P2471&lt;&gt;"", TODAY(), "")</f>
        <v/>
      </c>
      <c r="S2471" s="78">
        <f>IF(AND(K2471&lt;&gt;"", R2471&lt;&gt;""), R2471-K2471, "")</f>
        <v/>
      </c>
      <c r="T2471" s="78" t="n"/>
      <c r="U2471" s="92">
        <f>IF(ISBLANK(P2471),"",IF(C2471="Buy",Q2471-M2471+T2471, IF(C2471="Sell",M2471-Q2471-T2471, X)))</f>
        <v/>
      </c>
      <c r="V2471" s="81">
        <f>IF(ISBLANK(P2471),"",U2471/N2471)</f>
        <v/>
      </c>
      <c r="W2471" s="81">
        <f>IF(ISBLANK(P2471),"",IF(S2471=0,(365/0.5)*V2471,(365/S2471)*V2471))</f>
        <v/>
      </c>
      <c r="X2471" s="75" t="n"/>
      <c r="Y2471" s="77" t="n"/>
      <c r="Z2471" s="77" t="n"/>
      <c r="AA2471" s="75" t="n"/>
      <c r="AB2471" s="75" t="n"/>
      <c r="AC2471" s="6" t="n"/>
      <c r="AD2471" s="75" t="n"/>
      <c r="AE2471" s="75" t="n"/>
      <c r="AF2471" s="75" t="n"/>
    </row>
    <row r="2472" ht="15.75" customHeight="1" s="133">
      <c r="A2472" s="75" t="n"/>
      <c r="B2472" s="75" t="n"/>
      <c r="C2472" s="75" t="n"/>
      <c r="D2472" s="75" t="n"/>
      <c r="E2472" s="76" t="n"/>
      <c r="F2472" s="77" t="n"/>
      <c r="G2472" s="75" t="n"/>
      <c r="H2472" s="75">
        <f>IF(ISBLANK(E2472),"",IF(OR(D2472="Butterfly",D2472="Butterfly ",D2472="Iron Fly", D2472="Iron Fly "),LEN(E2472)-LEN(SUBSTITUTE(E2472,"/",""))+2,LEN(E2472)-LEN(SUBSTITUTE(E2472,"/",""))+1))</f>
        <v/>
      </c>
      <c r="I2472" s="78">
        <f>IF(ISBLANK(G2472),"",IF(D2472="Stock","0",Key!$A$3*H2472*G2472))</f>
        <v/>
      </c>
      <c r="J2472" s="78">
        <f>IF(ISBLANK(E2472),"",IF(ISNUMBER(SEARCH("/",E2472)), IF(LEN(E2472)-LEN(SUBSTITUTE(E2472,"/",""))=1,(RIGHT(E2472,LEN(E2472)-FIND("/",E2472)))-(LEFT(E2472,FIND("/",E2472)-1)),(MID(E2472, SEARCH("/",E2472) + 1, SEARCH("/",E2472, SEARCH("/",E2472)+1) - SEARCH("/",E2472) - 1))-(LEFT(E2472,FIND("/",E2472)-1))), "NA"))</f>
        <v/>
      </c>
      <c r="K2472" s="79">
        <f>IF(A2472&lt;&gt;"", IF(ISBLANK(L2472), TODAY(), K2472), "")</f>
        <v/>
      </c>
      <c r="L2472" s="78" t="n"/>
      <c r="M2472" s="78">
        <f>IF(ISBLANK(L2472),"",IF(D2472="Stock",IF(C2472="Buy",L2472*G2472,IF(C2472="Sell",(L2472*G2472)-I2472, X)),IF(C2472="Buy",(L2472*G2472*100)+I2472,IF(C2472="Sell",(L2472*G2472*100)-I2472, X))))</f>
        <v/>
      </c>
      <c r="N2472" s="78">
        <f>IF(ISBLANK(L2472),"",IF(AND(C2472="Sell",D2472="Stock"),M2472,IF(ISBLANK(L2472),"",IF(C2472="Buy",M2472, IF(AND(C2472="Sell",J2472="NA"),(E2472*G2472*100*0.1)+I2472, IF(C2472="Sell",(J2472-L2472)*(100*G2472)+I2472))))))</f>
        <v/>
      </c>
      <c r="O2472" s="75" t="n"/>
      <c r="P2472" s="75" t="n"/>
      <c r="Q2472" s="75">
        <f>IF(ISBLANK(P2472),"",IF(D2472="Stock",P2472*G2472,IF(P2472=0,"0",G2472*P2472*100-(G2472*$AF$14))))</f>
        <v/>
      </c>
      <c r="R2472" s="79">
        <f>IF(P2472&lt;&gt;"", TODAY(), "")</f>
        <v/>
      </c>
      <c r="S2472" s="78">
        <f>IF(AND(K2472&lt;&gt;"", R2472&lt;&gt;""), R2472-K2472, "")</f>
        <v/>
      </c>
      <c r="T2472" s="78" t="n"/>
      <c r="U2472" s="92">
        <f>IF(ISBLANK(P2472),"",IF(C2472="Buy",Q2472-M2472+T2472, IF(C2472="Sell",M2472-Q2472-T2472, X)))</f>
        <v/>
      </c>
      <c r="V2472" s="81">
        <f>IF(ISBLANK(P2472),"",U2472/N2472)</f>
        <v/>
      </c>
      <c r="W2472" s="81">
        <f>IF(ISBLANK(P2472),"",IF(S2472=0,(365/0.5)*V2472,(365/S2472)*V2472))</f>
        <v/>
      </c>
      <c r="X2472" s="75" t="n"/>
      <c r="Y2472" s="77" t="n"/>
      <c r="Z2472" s="77" t="n"/>
      <c r="AA2472" s="75" t="n"/>
      <c r="AB2472" s="75" t="n"/>
      <c r="AC2472" s="6" t="n"/>
      <c r="AD2472" s="75" t="n"/>
      <c r="AE2472" s="75" t="n"/>
      <c r="AF2472" s="75" t="n"/>
    </row>
    <row r="2473" ht="15.75" customHeight="1" s="133">
      <c r="A2473" s="75" t="n"/>
      <c r="B2473" s="75" t="n"/>
      <c r="C2473" s="75" t="n"/>
      <c r="D2473" s="75" t="n"/>
      <c r="E2473" s="76" t="n"/>
      <c r="F2473" s="77" t="n"/>
      <c r="G2473" s="75" t="n"/>
      <c r="H2473" s="75">
        <f>IF(ISBLANK(E2473),"",IF(OR(D2473="Butterfly",D2473="Butterfly ",D2473="Iron Fly", D2473="Iron Fly "),LEN(E2473)-LEN(SUBSTITUTE(E2473,"/",""))+2,LEN(E2473)-LEN(SUBSTITUTE(E2473,"/",""))+1))</f>
        <v/>
      </c>
      <c r="I2473" s="78">
        <f>IF(ISBLANK(G2473),"",IF(D2473="Stock","0",Key!$A$3*H2473*G2473))</f>
        <v/>
      </c>
      <c r="J2473" s="78">
        <f>IF(ISBLANK(E2473),"",IF(ISNUMBER(SEARCH("/",E2473)), IF(LEN(E2473)-LEN(SUBSTITUTE(E2473,"/",""))=1,(RIGHT(E2473,LEN(E2473)-FIND("/",E2473)))-(LEFT(E2473,FIND("/",E2473)-1)),(MID(E2473, SEARCH("/",E2473) + 1, SEARCH("/",E2473, SEARCH("/",E2473)+1) - SEARCH("/",E2473) - 1))-(LEFT(E2473,FIND("/",E2473)-1))), "NA"))</f>
        <v/>
      </c>
      <c r="K2473" s="79">
        <f>IF(A2473&lt;&gt;"", IF(ISBLANK(L2473), TODAY(), K2473), "")</f>
        <v/>
      </c>
      <c r="L2473" s="78" t="n"/>
      <c r="M2473" s="78">
        <f>IF(ISBLANK(L2473),"",IF(D2473="Stock",IF(C2473="Buy",L2473*G2473,IF(C2473="Sell",(L2473*G2473)-I2473, X)),IF(C2473="Buy",(L2473*G2473*100)+I2473,IF(C2473="Sell",(L2473*G2473*100)-I2473, X))))</f>
        <v/>
      </c>
      <c r="N2473" s="78">
        <f>IF(ISBLANK(L2473),"",IF(AND(C2473="Sell",D2473="Stock"),M2473,IF(ISBLANK(L2473),"",IF(C2473="Buy",M2473, IF(AND(C2473="Sell",J2473="NA"),(E2473*G2473*100*0.1)+I2473, IF(C2473="Sell",(J2473-L2473)*(100*G2473)+I2473))))))</f>
        <v/>
      </c>
      <c r="O2473" s="75" t="n"/>
      <c r="P2473" s="75" t="n"/>
      <c r="Q2473" s="75">
        <f>IF(ISBLANK(P2473),"",IF(D2473="Stock",P2473*G2473,IF(P2473=0,"0",G2473*P2473*100-(G2473*$AF$14))))</f>
        <v/>
      </c>
      <c r="R2473" s="79">
        <f>IF(P2473&lt;&gt;"", TODAY(), "")</f>
        <v/>
      </c>
      <c r="S2473" s="78">
        <f>IF(AND(K2473&lt;&gt;"", R2473&lt;&gt;""), R2473-K2473, "")</f>
        <v/>
      </c>
      <c r="T2473" s="78" t="n"/>
      <c r="U2473" s="92">
        <f>IF(ISBLANK(P2473),"",IF(C2473="Buy",Q2473-M2473+T2473, IF(C2473="Sell",M2473-Q2473-T2473, X)))</f>
        <v/>
      </c>
      <c r="V2473" s="81">
        <f>IF(ISBLANK(P2473),"",U2473/N2473)</f>
        <v/>
      </c>
      <c r="W2473" s="81">
        <f>IF(ISBLANK(P2473),"",IF(S2473=0,(365/0.5)*V2473,(365/S2473)*V2473))</f>
        <v/>
      </c>
      <c r="X2473" s="75" t="n"/>
      <c r="Y2473" s="77" t="n"/>
      <c r="Z2473" s="77" t="n"/>
      <c r="AA2473" s="75" t="n"/>
      <c r="AB2473" s="75" t="n"/>
      <c r="AC2473" s="6" t="n"/>
      <c r="AD2473" s="75" t="n"/>
      <c r="AE2473" s="75" t="n"/>
      <c r="AF2473" s="75" t="n"/>
    </row>
    <row r="2474" ht="15.75" customHeight="1" s="133">
      <c r="A2474" s="75" t="n"/>
      <c r="B2474" s="75" t="n"/>
      <c r="C2474" s="75" t="n"/>
      <c r="D2474" s="75" t="n"/>
      <c r="E2474" s="76" t="n"/>
      <c r="F2474" s="77" t="n"/>
      <c r="G2474" s="75" t="n"/>
      <c r="H2474" s="75">
        <f>IF(ISBLANK(E2474),"",IF(OR(D2474="Butterfly",D2474="Butterfly ",D2474="Iron Fly", D2474="Iron Fly "),LEN(E2474)-LEN(SUBSTITUTE(E2474,"/",""))+2,LEN(E2474)-LEN(SUBSTITUTE(E2474,"/",""))+1))</f>
        <v/>
      </c>
      <c r="I2474" s="78">
        <f>IF(ISBLANK(G2474),"",IF(D2474="Stock","0",Key!$A$3*H2474*G2474))</f>
        <v/>
      </c>
      <c r="J2474" s="78">
        <f>IF(ISBLANK(E2474),"",IF(ISNUMBER(SEARCH("/",E2474)), IF(LEN(E2474)-LEN(SUBSTITUTE(E2474,"/",""))=1,(RIGHT(E2474,LEN(E2474)-FIND("/",E2474)))-(LEFT(E2474,FIND("/",E2474)-1)),(MID(E2474, SEARCH("/",E2474) + 1, SEARCH("/",E2474, SEARCH("/",E2474)+1) - SEARCH("/",E2474) - 1))-(LEFT(E2474,FIND("/",E2474)-1))), "NA"))</f>
        <v/>
      </c>
      <c r="K2474" s="79">
        <f>IF(A2474&lt;&gt;"", IF(ISBLANK(L2474), TODAY(), K2474), "")</f>
        <v/>
      </c>
      <c r="L2474" s="78" t="n"/>
      <c r="M2474" s="78">
        <f>IF(ISBLANK(L2474),"",IF(D2474="Stock",IF(C2474="Buy",L2474*G2474,IF(C2474="Sell",(L2474*G2474)-I2474, X)),IF(C2474="Buy",(L2474*G2474*100)+I2474,IF(C2474="Sell",(L2474*G2474*100)-I2474, X))))</f>
        <v/>
      </c>
      <c r="N2474" s="78">
        <f>IF(ISBLANK(L2474),"",IF(AND(C2474="Sell",D2474="Stock"),M2474,IF(ISBLANK(L2474),"",IF(C2474="Buy",M2474, IF(AND(C2474="Sell",J2474="NA"),(E2474*G2474*100*0.1)+I2474, IF(C2474="Sell",(J2474-L2474)*(100*G2474)+I2474))))))</f>
        <v/>
      </c>
      <c r="O2474" s="75" t="n"/>
      <c r="P2474" s="75" t="n"/>
      <c r="Q2474" s="75">
        <f>IF(ISBLANK(P2474),"",IF(D2474="Stock",P2474*G2474,IF(P2474=0,"0",G2474*P2474*100-(G2474*$AF$14))))</f>
        <v/>
      </c>
      <c r="R2474" s="79">
        <f>IF(P2474&lt;&gt;"", TODAY(), "")</f>
        <v/>
      </c>
      <c r="S2474" s="78">
        <f>IF(AND(K2474&lt;&gt;"", R2474&lt;&gt;""), R2474-K2474, "")</f>
        <v/>
      </c>
      <c r="T2474" s="78" t="n"/>
      <c r="U2474" s="92">
        <f>IF(ISBLANK(P2474),"",IF(C2474="Buy",Q2474-M2474+T2474, IF(C2474="Sell",M2474-Q2474-T2474, X)))</f>
        <v/>
      </c>
      <c r="V2474" s="81">
        <f>IF(ISBLANK(P2474),"",U2474/N2474)</f>
        <v/>
      </c>
      <c r="W2474" s="81">
        <f>IF(ISBLANK(P2474),"",IF(S2474=0,(365/0.5)*V2474,(365/S2474)*V2474))</f>
        <v/>
      </c>
      <c r="X2474" s="75" t="n"/>
      <c r="Y2474" s="77" t="n"/>
      <c r="Z2474" s="77" t="n"/>
      <c r="AA2474" s="75" t="n"/>
      <c r="AB2474" s="75" t="n"/>
      <c r="AC2474" s="6" t="n"/>
      <c r="AD2474" s="75" t="n"/>
      <c r="AE2474" s="75" t="n"/>
      <c r="AF2474" s="75" t="n"/>
    </row>
    <row r="2475" ht="15.75" customHeight="1" s="133">
      <c r="A2475" s="75" t="n"/>
      <c r="B2475" s="75" t="n"/>
      <c r="C2475" s="75" t="n"/>
      <c r="D2475" s="75" t="n"/>
      <c r="E2475" s="76" t="n"/>
      <c r="F2475" s="77" t="n"/>
      <c r="G2475" s="75" t="n"/>
      <c r="H2475" s="75">
        <f>IF(ISBLANK(E2475),"",IF(OR(D2475="Butterfly",D2475="Butterfly ",D2475="Iron Fly", D2475="Iron Fly "),LEN(E2475)-LEN(SUBSTITUTE(E2475,"/",""))+2,LEN(E2475)-LEN(SUBSTITUTE(E2475,"/",""))+1))</f>
        <v/>
      </c>
      <c r="I2475" s="78">
        <f>IF(ISBLANK(G2475),"",IF(D2475="Stock","0",Key!$A$3*H2475*G2475))</f>
        <v/>
      </c>
      <c r="J2475" s="78">
        <f>IF(ISBLANK(E2475),"",IF(ISNUMBER(SEARCH("/",E2475)), IF(LEN(E2475)-LEN(SUBSTITUTE(E2475,"/",""))=1,(RIGHT(E2475,LEN(E2475)-FIND("/",E2475)))-(LEFT(E2475,FIND("/",E2475)-1)),(MID(E2475, SEARCH("/",E2475) + 1, SEARCH("/",E2475, SEARCH("/",E2475)+1) - SEARCH("/",E2475) - 1))-(LEFT(E2475,FIND("/",E2475)-1))), "NA"))</f>
        <v/>
      </c>
      <c r="K2475" s="79">
        <f>IF(A2475&lt;&gt;"", IF(ISBLANK(L2475), TODAY(), K2475), "")</f>
        <v/>
      </c>
      <c r="L2475" s="78" t="n"/>
      <c r="M2475" s="78">
        <f>IF(ISBLANK(L2475),"",IF(D2475="Stock",IF(C2475="Buy",L2475*G2475,IF(C2475="Sell",(L2475*G2475)-I2475, X)),IF(C2475="Buy",(L2475*G2475*100)+I2475,IF(C2475="Sell",(L2475*G2475*100)-I2475, X))))</f>
        <v/>
      </c>
      <c r="N2475" s="78">
        <f>IF(ISBLANK(L2475),"",IF(AND(C2475="Sell",D2475="Stock"),M2475,IF(ISBLANK(L2475),"",IF(C2475="Buy",M2475, IF(AND(C2475="Sell",J2475="NA"),(E2475*G2475*100*0.1)+I2475, IF(C2475="Sell",(J2475-L2475)*(100*G2475)+I2475))))))</f>
        <v/>
      </c>
      <c r="O2475" s="75" t="n"/>
      <c r="P2475" s="75" t="n"/>
      <c r="Q2475" s="75">
        <f>IF(ISBLANK(P2475),"",IF(D2475="Stock",P2475*G2475,IF(P2475=0,"0",G2475*P2475*100-(G2475*$AF$14))))</f>
        <v/>
      </c>
      <c r="R2475" s="79">
        <f>IF(P2475&lt;&gt;"", TODAY(), "")</f>
        <v/>
      </c>
      <c r="S2475" s="78">
        <f>IF(AND(K2475&lt;&gt;"", R2475&lt;&gt;""), R2475-K2475, "")</f>
        <v/>
      </c>
      <c r="T2475" s="78" t="n"/>
      <c r="U2475" s="92">
        <f>IF(ISBLANK(P2475),"",IF(C2475="Buy",Q2475-M2475+T2475, IF(C2475="Sell",M2475-Q2475-T2475, X)))</f>
        <v/>
      </c>
      <c r="V2475" s="81">
        <f>IF(ISBLANK(P2475),"",U2475/N2475)</f>
        <v/>
      </c>
      <c r="W2475" s="81">
        <f>IF(ISBLANK(P2475),"",IF(S2475=0,(365/0.5)*V2475,(365/S2475)*V2475))</f>
        <v/>
      </c>
      <c r="X2475" s="75" t="n"/>
      <c r="Y2475" s="77" t="n"/>
      <c r="Z2475" s="77" t="n"/>
      <c r="AA2475" s="75" t="n"/>
      <c r="AB2475" s="75" t="n"/>
      <c r="AC2475" s="6" t="n"/>
      <c r="AD2475" s="75" t="n"/>
      <c r="AE2475" s="75" t="n"/>
      <c r="AF2475" s="75" t="n"/>
    </row>
    <row r="2476" ht="15.75" customHeight="1" s="133">
      <c r="A2476" s="75" t="n"/>
      <c r="B2476" s="75" t="n"/>
      <c r="C2476" s="75" t="n"/>
      <c r="D2476" s="75" t="n"/>
      <c r="E2476" s="76" t="n"/>
      <c r="F2476" s="77" t="n"/>
      <c r="G2476" s="75" t="n"/>
      <c r="H2476" s="75">
        <f>IF(ISBLANK(E2476),"",IF(OR(D2476="Butterfly",D2476="Butterfly ",D2476="Iron Fly", D2476="Iron Fly "),LEN(E2476)-LEN(SUBSTITUTE(E2476,"/",""))+2,LEN(E2476)-LEN(SUBSTITUTE(E2476,"/",""))+1))</f>
        <v/>
      </c>
      <c r="I2476" s="78">
        <f>IF(ISBLANK(G2476),"",IF(D2476="Stock","0",Key!$A$3*H2476*G2476))</f>
        <v/>
      </c>
      <c r="J2476" s="78">
        <f>IF(ISBLANK(E2476),"",IF(ISNUMBER(SEARCH("/",E2476)), IF(LEN(E2476)-LEN(SUBSTITUTE(E2476,"/",""))=1,(RIGHT(E2476,LEN(E2476)-FIND("/",E2476)))-(LEFT(E2476,FIND("/",E2476)-1)),(MID(E2476, SEARCH("/",E2476) + 1, SEARCH("/",E2476, SEARCH("/",E2476)+1) - SEARCH("/",E2476) - 1))-(LEFT(E2476,FIND("/",E2476)-1))), "NA"))</f>
        <v/>
      </c>
      <c r="K2476" s="79">
        <f>IF(A2476&lt;&gt;"", IF(ISBLANK(L2476), TODAY(), K2476), "")</f>
        <v/>
      </c>
      <c r="L2476" s="78" t="n"/>
      <c r="M2476" s="78">
        <f>IF(ISBLANK(L2476),"",IF(D2476="Stock",IF(C2476="Buy",L2476*G2476,IF(C2476="Sell",(L2476*G2476)-I2476, X)),IF(C2476="Buy",(L2476*G2476*100)+I2476,IF(C2476="Sell",(L2476*G2476*100)-I2476, X))))</f>
        <v/>
      </c>
      <c r="N2476" s="78">
        <f>IF(ISBLANK(L2476),"",IF(AND(C2476="Sell",D2476="Stock"),M2476,IF(ISBLANK(L2476),"",IF(C2476="Buy",M2476, IF(AND(C2476="Sell",J2476="NA"),(E2476*G2476*100*0.1)+I2476, IF(C2476="Sell",(J2476-L2476)*(100*G2476)+I2476))))))</f>
        <v/>
      </c>
      <c r="O2476" s="75" t="n"/>
      <c r="P2476" s="75" t="n"/>
      <c r="Q2476" s="75">
        <f>IF(ISBLANK(P2476),"",IF(D2476="Stock",P2476*G2476,IF(P2476=0,"0",G2476*P2476*100-(G2476*$AF$14))))</f>
        <v/>
      </c>
      <c r="R2476" s="79">
        <f>IF(P2476&lt;&gt;"", TODAY(), "")</f>
        <v/>
      </c>
      <c r="S2476" s="78">
        <f>IF(AND(K2476&lt;&gt;"", R2476&lt;&gt;""), R2476-K2476, "")</f>
        <v/>
      </c>
      <c r="T2476" s="78" t="n"/>
      <c r="U2476" s="92">
        <f>IF(ISBLANK(P2476),"",IF(C2476="Buy",Q2476-M2476+T2476, IF(C2476="Sell",M2476-Q2476-T2476, X)))</f>
        <v/>
      </c>
      <c r="V2476" s="81">
        <f>IF(ISBLANK(P2476),"",U2476/N2476)</f>
        <v/>
      </c>
      <c r="W2476" s="81">
        <f>IF(ISBLANK(P2476),"",IF(S2476=0,(365/0.5)*V2476,(365/S2476)*V2476))</f>
        <v/>
      </c>
      <c r="X2476" s="75" t="n"/>
      <c r="Y2476" s="77" t="n"/>
      <c r="Z2476" s="77" t="n"/>
      <c r="AA2476" s="75" t="n"/>
      <c r="AB2476" s="75" t="n"/>
      <c r="AC2476" s="6" t="n"/>
      <c r="AD2476" s="75" t="n"/>
      <c r="AE2476" s="75" t="n"/>
      <c r="AF2476" s="75" t="n"/>
    </row>
    <row r="2477" ht="15.75" customHeight="1" s="133">
      <c r="A2477" s="75" t="n"/>
      <c r="B2477" s="75" t="n"/>
      <c r="C2477" s="75" t="n"/>
      <c r="D2477" s="75" t="n"/>
      <c r="E2477" s="76" t="n"/>
      <c r="F2477" s="77" t="n"/>
      <c r="G2477" s="75" t="n"/>
      <c r="H2477" s="75">
        <f>IF(ISBLANK(E2477),"",IF(OR(D2477="Butterfly",D2477="Butterfly ",D2477="Iron Fly", D2477="Iron Fly "),LEN(E2477)-LEN(SUBSTITUTE(E2477,"/",""))+2,LEN(E2477)-LEN(SUBSTITUTE(E2477,"/",""))+1))</f>
        <v/>
      </c>
      <c r="I2477" s="78">
        <f>IF(ISBLANK(G2477),"",IF(D2477="Stock","0",Key!$A$3*H2477*G2477))</f>
        <v/>
      </c>
      <c r="J2477" s="78">
        <f>IF(ISBLANK(E2477),"",IF(ISNUMBER(SEARCH("/",E2477)), IF(LEN(E2477)-LEN(SUBSTITUTE(E2477,"/",""))=1,(RIGHT(E2477,LEN(E2477)-FIND("/",E2477)))-(LEFT(E2477,FIND("/",E2477)-1)),(MID(E2477, SEARCH("/",E2477) + 1, SEARCH("/",E2477, SEARCH("/",E2477)+1) - SEARCH("/",E2477) - 1))-(LEFT(E2477,FIND("/",E2477)-1))), "NA"))</f>
        <v/>
      </c>
      <c r="K2477" s="79">
        <f>IF(A2477&lt;&gt;"", IF(ISBLANK(L2477), TODAY(), K2477), "")</f>
        <v/>
      </c>
      <c r="L2477" s="78" t="n"/>
      <c r="M2477" s="78">
        <f>IF(ISBLANK(L2477),"",IF(D2477="Stock",IF(C2477="Buy",L2477*G2477,IF(C2477="Sell",(L2477*G2477)-I2477, X)),IF(C2477="Buy",(L2477*G2477*100)+I2477,IF(C2477="Sell",(L2477*G2477*100)-I2477, X))))</f>
        <v/>
      </c>
      <c r="N2477" s="78">
        <f>IF(ISBLANK(L2477),"",IF(AND(C2477="Sell",D2477="Stock"),M2477,IF(ISBLANK(L2477),"",IF(C2477="Buy",M2477, IF(AND(C2477="Sell",J2477="NA"),(E2477*G2477*100*0.1)+I2477, IF(C2477="Sell",(J2477-L2477)*(100*G2477)+I2477))))))</f>
        <v/>
      </c>
      <c r="O2477" s="75" t="n"/>
      <c r="P2477" s="75" t="n"/>
      <c r="Q2477" s="75">
        <f>IF(ISBLANK(P2477),"",IF(D2477="Stock",P2477*G2477,IF(P2477=0,"0",G2477*P2477*100-(G2477*$AF$14))))</f>
        <v/>
      </c>
      <c r="R2477" s="79">
        <f>IF(P2477&lt;&gt;"", TODAY(), "")</f>
        <v/>
      </c>
      <c r="S2477" s="78">
        <f>IF(AND(K2477&lt;&gt;"", R2477&lt;&gt;""), R2477-K2477, "")</f>
        <v/>
      </c>
      <c r="T2477" s="78" t="n"/>
      <c r="U2477" s="92">
        <f>IF(ISBLANK(P2477),"",IF(C2477="Buy",Q2477-M2477+T2477, IF(C2477="Sell",M2477-Q2477-T2477, X)))</f>
        <v/>
      </c>
      <c r="V2477" s="81">
        <f>IF(ISBLANK(P2477),"",U2477/N2477)</f>
        <v/>
      </c>
      <c r="W2477" s="81">
        <f>IF(ISBLANK(P2477),"",IF(S2477=0,(365/0.5)*V2477,(365/S2477)*V2477))</f>
        <v/>
      </c>
      <c r="X2477" s="75" t="n"/>
      <c r="Y2477" s="77" t="n"/>
      <c r="Z2477" s="77" t="n"/>
      <c r="AA2477" s="75" t="n"/>
      <c r="AB2477" s="75" t="n"/>
      <c r="AC2477" s="6" t="n"/>
      <c r="AD2477" s="75" t="n"/>
      <c r="AE2477" s="75" t="n"/>
      <c r="AF2477" s="75" t="n"/>
    </row>
    <row r="2478" ht="15.75" customHeight="1" s="133">
      <c r="A2478" s="75" t="n"/>
      <c r="B2478" s="75" t="n"/>
      <c r="C2478" s="75" t="n"/>
      <c r="D2478" s="75" t="n"/>
      <c r="E2478" s="76" t="n"/>
      <c r="F2478" s="77" t="n"/>
      <c r="G2478" s="75" t="n"/>
      <c r="H2478" s="75">
        <f>IF(ISBLANK(E2478),"",IF(OR(D2478="Butterfly",D2478="Butterfly ",D2478="Iron Fly", D2478="Iron Fly "),LEN(E2478)-LEN(SUBSTITUTE(E2478,"/",""))+2,LEN(E2478)-LEN(SUBSTITUTE(E2478,"/",""))+1))</f>
        <v/>
      </c>
      <c r="I2478" s="78">
        <f>IF(ISBLANK(G2478),"",IF(D2478="Stock","0",Key!$A$3*H2478*G2478))</f>
        <v/>
      </c>
      <c r="J2478" s="78">
        <f>IF(ISBLANK(E2478),"",IF(ISNUMBER(SEARCH("/",E2478)), IF(LEN(E2478)-LEN(SUBSTITUTE(E2478,"/",""))=1,(RIGHT(E2478,LEN(E2478)-FIND("/",E2478)))-(LEFT(E2478,FIND("/",E2478)-1)),(MID(E2478, SEARCH("/",E2478) + 1, SEARCH("/",E2478, SEARCH("/",E2478)+1) - SEARCH("/",E2478) - 1))-(LEFT(E2478,FIND("/",E2478)-1))), "NA"))</f>
        <v/>
      </c>
      <c r="K2478" s="79">
        <f>IF(A2478&lt;&gt;"", IF(ISBLANK(L2478), TODAY(), K2478), "")</f>
        <v/>
      </c>
      <c r="L2478" s="78" t="n"/>
      <c r="M2478" s="78">
        <f>IF(ISBLANK(L2478),"",IF(D2478="Stock",IF(C2478="Buy",L2478*G2478,IF(C2478="Sell",(L2478*G2478)-I2478, X)),IF(C2478="Buy",(L2478*G2478*100)+I2478,IF(C2478="Sell",(L2478*G2478*100)-I2478, X))))</f>
        <v/>
      </c>
      <c r="N2478" s="78">
        <f>IF(ISBLANK(L2478),"",IF(AND(C2478="Sell",D2478="Stock"),M2478,IF(ISBLANK(L2478),"",IF(C2478="Buy",M2478, IF(AND(C2478="Sell",J2478="NA"),(E2478*G2478*100*0.1)+I2478, IF(C2478="Sell",(J2478-L2478)*(100*G2478)+I2478))))))</f>
        <v/>
      </c>
      <c r="O2478" s="75" t="n"/>
      <c r="P2478" s="75" t="n"/>
      <c r="Q2478" s="75">
        <f>IF(ISBLANK(P2478),"",IF(D2478="Stock",P2478*G2478,IF(P2478=0,"0",G2478*P2478*100-(G2478*$AF$14))))</f>
        <v/>
      </c>
      <c r="R2478" s="79">
        <f>IF(P2478&lt;&gt;"", TODAY(), "")</f>
        <v/>
      </c>
      <c r="S2478" s="78">
        <f>IF(AND(K2478&lt;&gt;"", R2478&lt;&gt;""), R2478-K2478, "")</f>
        <v/>
      </c>
      <c r="T2478" s="78" t="n"/>
      <c r="U2478" s="92">
        <f>IF(ISBLANK(P2478),"",IF(C2478="Buy",Q2478-M2478+T2478, IF(C2478="Sell",M2478-Q2478-T2478, X)))</f>
        <v/>
      </c>
      <c r="V2478" s="81">
        <f>IF(ISBLANK(P2478),"",U2478/N2478)</f>
        <v/>
      </c>
      <c r="W2478" s="81">
        <f>IF(ISBLANK(P2478),"",IF(S2478=0,(365/0.5)*V2478,(365/S2478)*V2478))</f>
        <v/>
      </c>
      <c r="X2478" s="75" t="n"/>
      <c r="Y2478" s="77" t="n"/>
      <c r="Z2478" s="77" t="n"/>
      <c r="AA2478" s="75" t="n"/>
      <c r="AB2478" s="75" t="n"/>
      <c r="AC2478" s="6" t="n"/>
      <c r="AD2478" s="75" t="n"/>
      <c r="AE2478" s="75" t="n"/>
      <c r="AF2478" s="75" t="n"/>
    </row>
    <row r="2479" ht="15.75" customHeight="1" s="133">
      <c r="A2479" s="75" t="n"/>
      <c r="B2479" s="75" t="n"/>
      <c r="C2479" s="75" t="n"/>
      <c r="D2479" s="75" t="n"/>
      <c r="E2479" s="76" t="n"/>
      <c r="F2479" s="77" t="n"/>
      <c r="G2479" s="75" t="n"/>
      <c r="H2479" s="75">
        <f>IF(ISBLANK(E2479),"",IF(OR(D2479="Butterfly",D2479="Butterfly ",D2479="Iron Fly", D2479="Iron Fly "),LEN(E2479)-LEN(SUBSTITUTE(E2479,"/",""))+2,LEN(E2479)-LEN(SUBSTITUTE(E2479,"/",""))+1))</f>
        <v/>
      </c>
      <c r="I2479" s="78">
        <f>IF(ISBLANK(G2479),"",IF(D2479="Stock","0",Key!$A$3*H2479*G2479))</f>
        <v/>
      </c>
      <c r="J2479" s="78">
        <f>IF(ISBLANK(E2479),"",IF(ISNUMBER(SEARCH("/",E2479)), IF(LEN(E2479)-LEN(SUBSTITUTE(E2479,"/",""))=1,(RIGHT(E2479,LEN(E2479)-FIND("/",E2479)))-(LEFT(E2479,FIND("/",E2479)-1)),(MID(E2479, SEARCH("/",E2479) + 1, SEARCH("/",E2479, SEARCH("/",E2479)+1) - SEARCH("/",E2479) - 1))-(LEFT(E2479,FIND("/",E2479)-1))), "NA"))</f>
        <v/>
      </c>
      <c r="K2479" s="79">
        <f>IF(A2479&lt;&gt;"", IF(ISBLANK(L2479), TODAY(), K2479), "")</f>
        <v/>
      </c>
      <c r="L2479" s="78" t="n"/>
      <c r="M2479" s="78">
        <f>IF(ISBLANK(L2479),"",IF(D2479="Stock",IF(C2479="Buy",L2479*G2479,IF(C2479="Sell",(L2479*G2479)-I2479, X)),IF(C2479="Buy",(L2479*G2479*100)+I2479,IF(C2479="Sell",(L2479*G2479*100)-I2479, X))))</f>
        <v/>
      </c>
      <c r="N2479" s="78">
        <f>IF(ISBLANK(L2479),"",IF(AND(C2479="Sell",D2479="Stock"),M2479,IF(ISBLANK(L2479),"",IF(C2479="Buy",M2479, IF(AND(C2479="Sell",J2479="NA"),(E2479*G2479*100*0.1)+I2479, IF(C2479="Sell",(J2479-L2479)*(100*G2479)+I2479))))))</f>
        <v/>
      </c>
      <c r="O2479" s="75" t="n"/>
      <c r="P2479" s="75" t="n"/>
      <c r="Q2479" s="75">
        <f>IF(ISBLANK(P2479),"",IF(D2479="Stock",P2479*G2479,IF(P2479=0,"0",G2479*P2479*100-(G2479*$AF$14))))</f>
        <v/>
      </c>
      <c r="R2479" s="79">
        <f>IF(P2479&lt;&gt;"", TODAY(), "")</f>
        <v/>
      </c>
      <c r="S2479" s="78">
        <f>IF(AND(K2479&lt;&gt;"", R2479&lt;&gt;""), R2479-K2479, "")</f>
        <v/>
      </c>
      <c r="T2479" s="78" t="n"/>
      <c r="U2479" s="92">
        <f>IF(ISBLANK(P2479),"",IF(C2479="Buy",Q2479-M2479+T2479, IF(C2479="Sell",M2479-Q2479-T2479, X)))</f>
        <v/>
      </c>
      <c r="V2479" s="81">
        <f>IF(ISBLANK(P2479),"",U2479/N2479)</f>
        <v/>
      </c>
      <c r="W2479" s="81">
        <f>IF(ISBLANK(P2479),"",IF(S2479=0,(365/0.5)*V2479,(365/S2479)*V2479))</f>
        <v/>
      </c>
      <c r="X2479" s="75" t="n"/>
      <c r="Y2479" s="77" t="n"/>
      <c r="Z2479" s="77" t="n"/>
      <c r="AA2479" s="75" t="n"/>
      <c r="AB2479" s="75" t="n"/>
      <c r="AC2479" s="6" t="n"/>
      <c r="AD2479" s="75" t="n"/>
      <c r="AE2479" s="75" t="n"/>
      <c r="AF2479" s="75" t="n"/>
    </row>
    <row r="2480" ht="15.75" customHeight="1" s="133">
      <c r="A2480" s="75" t="n"/>
      <c r="B2480" s="75" t="n"/>
      <c r="C2480" s="75" t="n"/>
      <c r="D2480" s="75" t="n"/>
      <c r="E2480" s="76" t="n"/>
      <c r="F2480" s="77" t="n"/>
      <c r="G2480" s="75" t="n"/>
      <c r="H2480" s="75">
        <f>IF(ISBLANK(E2480),"",IF(OR(D2480="Butterfly",D2480="Butterfly ",D2480="Iron Fly", D2480="Iron Fly "),LEN(E2480)-LEN(SUBSTITUTE(E2480,"/",""))+2,LEN(E2480)-LEN(SUBSTITUTE(E2480,"/",""))+1))</f>
        <v/>
      </c>
      <c r="I2480" s="78">
        <f>IF(ISBLANK(G2480),"",IF(D2480="Stock","0",Key!$A$3*H2480*G2480))</f>
        <v/>
      </c>
      <c r="J2480" s="78">
        <f>IF(ISBLANK(E2480),"",IF(ISNUMBER(SEARCH("/",E2480)), IF(LEN(E2480)-LEN(SUBSTITUTE(E2480,"/",""))=1,(RIGHT(E2480,LEN(E2480)-FIND("/",E2480)))-(LEFT(E2480,FIND("/",E2480)-1)),(MID(E2480, SEARCH("/",E2480) + 1, SEARCH("/",E2480, SEARCH("/",E2480)+1) - SEARCH("/",E2480) - 1))-(LEFT(E2480,FIND("/",E2480)-1))), "NA"))</f>
        <v/>
      </c>
      <c r="K2480" s="79">
        <f>IF(A2480&lt;&gt;"", IF(ISBLANK(L2480), TODAY(), K2480), "")</f>
        <v/>
      </c>
      <c r="L2480" s="78" t="n"/>
      <c r="M2480" s="78">
        <f>IF(ISBLANK(L2480),"",IF(D2480="Stock",IF(C2480="Buy",L2480*G2480,IF(C2480="Sell",(L2480*G2480)-I2480, X)),IF(C2480="Buy",(L2480*G2480*100)+I2480,IF(C2480="Sell",(L2480*G2480*100)-I2480, X))))</f>
        <v/>
      </c>
      <c r="N2480" s="78">
        <f>IF(ISBLANK(L2480),"",IF(AND(C2480="Sell",D2480="Stock"),M2480,IF(ISBLANK(L2480),"",IF(C2480="Buy",M2480, IF(AND(C2480="Sell",J2480="NA"),(E2480*G2480*100*0.1)+I2480, IF(C2480="Sell",(J2480-L2480)*(100*G2480)+I2480))))))</f>
        <v/>
      </c>
      <c r="O2480" s="75" t="n"/>
      <c r="P2480" s="75" t="n"/>
      <c r="Q2480" s="75">
        <f>IF(ISBLANK(P2480),"",IF(D2480="Stock",P2480*G2480,IF(P2480=0,"0",G2480*P2480*100-(G2480*$AF$14))))</f>
        <v/>
      </c>
      <c r="R2480" s="79">
        <f>IF(P2480&lt;&gt;"", TODAY(), "")</f>
        <v/>
      </c>
      <c r="S2480" s="78">
        <f>IF(AND(K2480&lt;&gt;"", R2480&lt;&gt;""), R2480-K2480, "")</f>
        <v/>
      </c>
      <c r="T2480" s="78" t="n"/>
      <c r="U2480" s="92">
        <f>IF(ISBLANK(P2480),"",IF(C2480="Buy",Q2480-M2480+T2480, IF(C2480="Sell",M2480-Q2480-T2480, X)))</f>
        <v/>
      </c>
      <c r="V2480" s="81">
        <f>IF(ISBLANK(P2480),"",U2480/N2480)</f>
        <v/>
      </c>
      <c r="W2480" s="81">
        <f>IF(ISBLANK(P2480),"",IF(S2480=0,(365/0.5)*V2480,(365/S2480)*V2480))</f>
        <v/>
      </c>
      <c r="X2480" s="75" t="n"/>
      <c r="Y2480" s="77" t="n"/>
      <c r="Z2480" s="77" t="n"/>
      <c r="AA2480" s="75" t="n"/>
      <c r="AB2480" s="75" t="n"/>
      <c r="AC2480" s="6" t="n"/>
      <c r="AD2480" s="75" t="n"/>
      <c r="AE2480" s="75" t="n"/>
      <c r="AF2480" s="75" t="n"/>
    </row>
    <row r="2481" ht="15.75" customHeight="1" s="133">
      <c r="A2481" s="75" t="n"/>
      <c r="B2481" s="75" t="n"/>
      <c r="C2481" s="75" t="n"/>
      <c r="D2481" s="75" t="n"/>
      <c r="E2481" s="76" t="n"/>
      <c r="F2481" s="77" t="n"/>
      <c r="G2481" s="75" t="n"/>
      <c r="H2481" s="75">
        <f>IF(ISBLANK(E2481),"",IF(OR(D2481="Butterfly",D2481="Butterfly ",D2481="Iron Fly", D2481="Iron Fly "),LEN(E2481)-LEN(SUBSTITUTE(E2481,"/",""))+2,LEN(E2481)-LEN(SUBSTITUTE(E2481,"/",""))+1))</f>
        <v/>
      </c>
      <c r="I2481" s="78">
        <f>IF(ISBLANK(G2481),"",IF(D2481="Stock","0",Key!$A$3*H2481*G2481))</f>
        <v/>
      </c>
      <c r="J2481" s="78">
        <f>IF(ISBLANK(E2481),"",IF(ISNUMBER(SEARCH("/",E2481)), IF(LEN(E2481)-LEN(SUBSTITUTE(E2481,"/",""))=1,(RIGHT(E2481,LEN(E2481)-FIND("/",E2481)))-(LEFT(E2481,FIND("/",E2481)-1)),(MID(E2481, SEARCH("/",E2481) + 1, SEARCH("/",E2481, SEARCH("/",E2481)+1) - SEARCH("/",E2481) - 1))-(LEFT(E2481,FIND("/",E2481)-1))), "NA"))</f>
        <v/>
      </c>
      <c r="K2481" s="79">
        <f>IF(A2481&lt;&gt;"", IF(ISBLANK(L2481), TODAY(), K2481), "")</f>
        <v/>
      </c>
      <c r="L2481" s="78" t="n"/>
      <c r="M2481" s="78">
        <f>IF(ISBLANK(L2481),"",IF(D2481="Stock",IF(C2481="Buy",L2481*G2481,IF(C2481="Sell",(L2481*G2481)-I2481, X)),IF(C2481="Buy",(L2481*G2481*100)+I2481,IF(C2481="Sell",(L2481*G2481*100)-I2481, X))))</f>
        <v/>
      </c>
      <c r="N2481" s="78">
        <f>IF(ISBLANK(L2481),"",IF(AND(C2481="Sell",D2481="Stock"),M2481,IF(ISBLANK(L2481),"",IF(C2481="Buy",M2481, IF(AND(C2481="Sell",J2481="NA"),(E2481*G2481*100*0.1)+I2481, IF(C2481="Sell",(J2481-L2481)*(100*G2481)+I2481))))))</f>
        <v/>
      </c>
      <c r="O2481" s="75" t="n"/>
      <c r="P2481" s="75" t="n"/>
      <c r="Q2481" s="75">
        <f>IF(ISBLANK(P2481),"",IF(D2481="Stock",P2481*G2481,IF(P2481=0,"0",G2481*P2481*100-(G2481*$AF$14))))</f>
        <v/>
      </c>
      <c r="R2481" s="79">
        <f>IF(P2481&lt;&gt;"", TODAY(), "")</f>
        <v/>
      </c>
      <c r="S2481" s="78">
        <f>IF(AND(K2481&lt;&gt;"", R2481&lt;&gt;""), R2481-K2481, "")</f>
        <v/>
      </c>
      <c r="T2481" s="78" t="n"/>
      <c r="U2481" s="92">
        <f>IF(ISBLANK(P2481),"",IF(C2481="Buy",Q2481-M2481+T2481, IF(C2481="Sell",M2481-Q2481-T2481, X)))</f>
        <v/>
      </c>
      <c r="V2481" s="81">
        <f>IF(ISBLANK(P2481),"",U2481/N2481)</f>
        <v/>
      </c>
      <c r="W2481" s="81">
        <f>IF(ISBLANK(P2481),"",IF(S2481=0,(365/0.5)*V2481,(365/S2481)*V2481))</f>
        <v/>
      </c>
      <c r="X2481" s="75" t="n"/>
      <c r="Y2481" s="77" t="n"/>
      <c r="Z2481" s="77" t="n"/>
      <c r="AA2481" s="75" t="n"/>
      <c r="AB2481" s="75" t="n"/>
      <c r="AC2481" s="6" t="n"/>
      <c r="AD2481" s="75" t="n"/>
      <c r="AE2481" s="75" t="n"/>
      <c r="AF2481" s="75" t="n"/>
    </row>
    <row r="2482" ht="15.75" customHeight="1" s="133">
      <c r="A2482" s="75" t="n"/>
      <c r="B2482" s="75" t="n"/>
      <c r="C2482" s="75" t="n"/>
      <c r="D2482" s="75" t="n"/>
      <c r="E2482" s="76" t="n"/>
      <c r="F2482" s="77" t="n"/>
      <c r="G2482" s="75" t="n"/>
      <c r="H2482" s="75">
        <f>IF(ISBLANK(E2482),"",IF(OR(D2482="Butterfly",D2482="Butterfly ",D2482="Iron Fly", D2482="Iron Fly "),LEN(E2482)-LEN(SUBSTITUTE(E2482,"/",""))+2,LEN(E2482)-LEN(SUBSTITUTE(E2482,"/",""))+1))</f>
        <v/>
      </c>
      <c r="I2482" s="78">
        <f>IF(ISBLANK(G2482),"",IF(D2482="Stock","0",Key!$A$3*H2482*G2482))</f>
        <v/>
      </c>
      <c r="J2482" s="78">
        <f>IF(ISBLANK(E2482),"",IF(ISNUMBER(SEARCH("/",E2482)), IF(LEN(E2482)-LEN(SUBSTITUTE(E2482,"/",""))=1,(RIGHT(E2482,LEN(E2482)-FIND("/",E2482)))-(LEFT(E2482,FIND("/",E2482)-1)),(MID(E2482, SEARCH("/",E2482) + 1, SEARCH("/",E2482, SEARCH("/",E2482)+1) - SEARCH("/",E2482) - 1))-(LEFT(E2482,FIND("/",E2482)-1))), "NA"))</f>
        <v/>
      </c>
      <c r="K2482" s="79">
        <f>IF(A2482&lt;&gt;"", IF(ISBLANK(L2482), TODAY(), K2482), "")</f>
        <v/>
      </c>
      <c r="L2482" s="78" t="n"/>
      <c r="M2482" s="78">
        <f>IF(ISBLANK(L2482),"",IF(D2482="Stock",IF(C2482="Buy",L2482*G2482,IF(C2482="Sell",(L2482*G2482)-I2482, X)),IF(C2482="Buy",(L2482*G2482*100)+I2482,IF(C2482="Sell",(L2482*G2482*100)-I2482, X))))</f>
        <v/>
      </c>
      <c r="N2482" s="78">
        <f>IF(ISBLANK(L2482),"",IF(AND(C2482="Sell",D2482="Stock"),M2482,IF(ISBLANK(L2482),"",IF(C2482="Buy",M2482, IF(AND(C2482="Sell",J2482="NA"),(E2482*G2482*100*0.1)+I2482, IF(C2482="Sell",(J2482-L2482)*(100*G2482)+I2482))))))</f>
        <v/>
      </c>
      <c r="O2482" s="75" t="n"/>
      <c r="P2482" s="75" t="n"/>
      <c r="Q2482" s="75">
        <f>IF(ISBLANK(P2482),"",IF(D2482="Stock",P2482*G2482,IF(P2482=0,"0",G2482*P2482*100-(G2482*$AF$14))))</f>
        <v/>
      </c>
      <c r="R2482" s="79">
        <f>IF(P2482&lt;&gt;"", TODAY(), "")</f>
        <v/>
      </c>
      <c r="S2482" s="78">
        <f>IF(AND(K2482&lt;&gt;"", R2482&lt;&gt;""), R2482-K2482, "")</f>
        <v/>
      </c>
      <c r="T2482" s="78" t="n"/>
      <c r="U2482" s="92">
        <f>IF(ISBLANK(P2482),"",IF(C2482="Buy",Q2482-M2482+T2482, IF(C2482="Sell",M2482-Q2482-T2482, X)))</f>
        <v/>
      </c>
      <c r="V2482" s="81">
        <f>IF(ISBLANK(P2482),"",U2482/N2482)</f>
        <v/>
      </c>
      <c r="W2482" s="81">
        <f>IF(ISBLANK(P2482),"",IF(S2482=0,(365/0.5)*V2482,(365/S2482)*V2482))</f>
        <v/>
      </c>
      <c r="X2482" s="75" t="n"/>
      <c r="Y2482" s="77" t="n"/>
      <c r="Z2482" s="77" t="n"/>
      <c r="AA2482" s="75" t="n"/>
      <c r="AB2482" s="75" t="n"/>
      <c r="AC2482" s="6" t="n"/>
      <c r="AD2482" s="75" t="n"/>
      <c r="AE2482" s="75" t="n"/>
      <c r="AF2482" s="75" t="n"/>
    </row>
    <row r="2483" ht="15.75" customHeight="1" s="133">
      <c r="A2483" s="75" t="n"/>
      <c r="B2483" s="75" t="n"/>
      <c r="C2483" s="75" t="n"/>
      <c r="D2483" s="75" t="n"/>
      <c r="E2483" s="76" t="n"/>
      <c r="F2483" s="77" t="n"/>
      <c r="G2483" s="75" t="n"/>
      <c r="H2483" s="75">
        <f>IF(ISBLANK(E2483),"",IF(OR(D2483="Butterfly",D2483="Butterfly ",D2483="Iron Fly", D2483="Iron Fly "),LEN(E2483)-LEN(SUBSTITUTE(E2483,"/",""))+2,LEN(E2483)-LEN(SUBSTITUTE(E2483,"/",""))+1))</f>
        <v/>
      </c>
      <c r="I2483" s="78">
        <f>IF(ISBLANK(G2483),"",IF(D2483="Stock","0",Key!$A$3*H2483*G2483))</f>
        <v/>
      </c>
      <c r="J2483" s="78">
        <f>IF(ISBLANK(E2483),"",IF(ISNUMBER(SEARCH("/",E2483)), IF(LEN(E2483)-LEN(SUBSTITUTE(E2483,"/",""))=1,(RIGHT(E2483,LEN(E2483)-FIND("/",E2483)))-(LEFT(E2483,FIND("/",E2483)-1)),(MID(E2483, SEARCH("/",E2483) + 1, SEARCH("/",E2483, SEARCH("/",E2483)+1) - SEARCH("/",E2483) - 1))-(LEFT(E2483,FIND("/",E2483)-1))), "NA"))</f>
        <v/>
      </c>
      <c r="K2483" s="79">
        <f>IF(A2483&lt;&gt;"", IF(ISBLANK(L2483), TODAY(), K2483), "")</f>
        <v/>
      </c>
      <c r="L2483" s="78" t="n"/>
      <c r="M2483" s="78">
        <f>IF(ISBLANK(L2483),"",IF(D2483="Stock",IF(C2483="Buy",L2483*G2483,IF(C2483="Sell",(L2483*G2483)-I2483, X)),IF(C2483="Buy",(L2483*G2483*100)+I2483,IF(C2483="Sell",(L2483*G2483*100)-I2483, X))))</f>
        <v/>
      </c>
      <c r="N2483" s="78">
        <f>IF(ISBLANK(L2483),"",IF(AND(C2483="Sell",D2483="Stock"),M2483,IF(ISBLANK(L2483),"",IF(C2483="Buy",M2483, IF(AND(C2483="Sell",J2483="NA"),(E2483*G2483*100*0.1)+I2483, IF(C2483="Sell",(J2483-L2483)*(100*G2483)+I2483))))))</f>
        <v/>
      </c>
      <c r="O2483" s="75" t="n"/>
      <c r="P2483" s="75" t="n"/>
      <c r="Q2483" s="75">
        <f>IF(ISBLANK(P2483),"",IF(D2483="Stock",P2483*G2483,IF(P2483=0,"0",G2483*P2483*100-(G2483*$AF$14))))</f>
        <v/>
      </c>
      <c r="R2483" s="79">
        <f>IF(P2483&lt;&gt;"", TODAY(), "")</f>
        <v/>
      </c>
      <c r="S2483" s="78">
        <f>IF(AND(K2483&lt;&gt;"", R2483&lt;&gt;""), R2483-K2483, "")</f>
        <v/>
      </c>
      <c r="T2483" s="78" t="n"/>
      <c r="U2483" s="92">
        <f>IF(ISBLANK(P2483),"",IF(C2483="Buy",Q2483-M2483+T2483, IF(C2483="Sell",M2483-Q2483-T2483, X)))</f>
        <v/>
      </c>
      <c r="V2483" s="81">
        <f>IF(ISBLANK(P2483),"",U2483/N2483)</f>
        <v/>
      </c>
      <c r="W2483" s="81">
        <f>IF(ISBLANK(P2483),"",IF(S2483=0,(365/0.5)*V2483,(365/S2483)*V2483))</f>
        <v/>
      </c>
      <c r="X2483" s="75" t="n"/>
      <c r="Y2483" s="77" t="n"/>
      <c r="Z2483" s="77" t="n"/>
      <c r="AA2483" s="75" t="n"/>
      <c r="AB2483" s="75" t="n"/>
      <c r="AC2483" s="6" t="n"/>
      <c r="AD2483" s="75" t="n"/>
      <c r="AE2483" s="75" t="n"/>
      <c r="AF2483" s="75" t="n"/>
    </row>
    <row r="2484" ht="15.75" customHeight="1" s="133">
      <c r="A2484" s="75" t="n"/>
      <c r="B2484" s="75" t="n"/>
      <c r="C2484" s="75" t="n"/>
      <c r="D2484" s="75" t="n"/>
      <c r="E2484" s="76" t="n"/>
      <c r="F2484" s="77" t="n"/>
      <c r="G2484" s="75" t="n"/>
      <c r="H2484" s="75">
        <f>IF(ISBLANK(E2484),"",IF(OR(D2484="Butterfly",D2484="Butterfly ",D2484="Iron Fly", D2484="Iron Fly "),LEN(E2484)-LEN(SUBSTITUTE(E2484,"/",""))+2,LEN(E2484)-LEN(SUBSTITUTE(E2484,"/",""))+1))</f>
        <v/>
      </c>
      <c r="I2484" s="78">
        <f>IF(ISBLANK(G2484),"",IF(D2484="Stock","0",Key!$A$3*H2484*G2484))</f>
        <v/>
      </c>
      <c r="J2484" s="78">
        <f>IF(ISBLANK(E2484),"",IF(ISNUMBER(SEARCH("/",E2484)), IF(LEN(E2484)-LEN(SUBSTITUTE(E2484,"/",""))=1,(RIGHT(E2484,LEN(E2484)-FIND("/",E2484)))-(LEFT(E2484,FIND("/",E2484)-1)),(MID(E2484, SEARCH("/",E2484) + 1, SEARCH("/",E2484, SEARCH("/",E2484)+1) - SEARCH("/",E2484) - 1))-(LEFT(E2484,FIND("/",E2484)-1))), "NA"))</f>
        <v/>
      </c>
      <c r="K2484" s="79">
        <f>IF(A2484&lt;&gt;"", IF(ISBLANK(L2484), TODAY(), K2484), "")</f>
        <v/>
      </c>
      <c r="L2484" s="78" t="n"/>
      <c r="M2484" s="78">
        <f>IF(ISBLANK(L2484),"",IF(D2484="Stock",IF(C2484="Buy",L2484*G2484,IF(C2484="Sell",(L2484*G2484)-I2484, X)),IF(C2484="Buy",(L2484*G2484*100)+I2484,IF(C2484="Sell",(L2484*G2484*100)-I2484, X))))</f>
        <v/>
      </c>
      <c r="N2484" s="78">
        <f>IF(ISBLANK(L2484),"",IF(AND(C2484="Sell",D2484="Stock"),M2484,IF(ISBLANK(L2484),"",IF(C2484="Buy",M2484, IF(AND(C2484="Sell",J2484="NA"),(E2484*G2484*100*0.1)+I2484, IF(C2484="Sell",(J2484-L2484)*(100*G2484)+I2484))))))</f>
        <v/>
      </c>
      <c r="O2484" s="75" t="n"/>
      <c r="P2484" s="75" t="n"/>
      <c r="Q2484" s="75">
        <f>IF(ISBLANK(P2484),"",IF(D2484="Stock",P2484*G2484,IF(P2484=0,"0",G2484*P2484*100-(G2484*$AF$14))))</f>
        <v/>
      </c>
      <c r="R2484" s="79">
        <f>IF(P2484&lt;&gt;"", TODAY(), "")</f>
        <v/>
      </c>
      <c r="S2484" s="78">
        <f>IF(AND(K2484&lt;&gt;"", R2484&lt;&gt;""), R2484-K2484, "")</f>
        <v/>
      </c>
      <c r="T2484" s="78" t="n"/>
      <c r="U2484" s="92">
        <f>IF(ISBLANK(P2484),"",IF(C2484="Buy",Q2484-M2484+T2484, IF(C2484="Sell",M2484-Q2484-T2484, X)))</f>
        <v/>
      </c>
      <c r="V2484" s="81">
        <f>IF(ISBLANK(P2484),"",U2484/N2484)</f>
        <v/>
      </c>
      <c r="W2484" s="81">
        <f>IF(ISBLANK(P2484),"",IF(S2484=0,(365/0.5)*V2484,(365/S2484)*V2484))</f>
        <v/>
      </c>
      <c r="X2484" s="75" t="n"/>
      <c r="Y2484" s="77" t="n"/>
      <c r="Z2484" s="77" t="n"/>
      <c r="AA2484" s="75" t="n"/>
      <c r="AB2484" s="75" t="n"/>
      <c r="AC2484" s="6" t="n"/>
      <c r="AD2484" s="75" t="n"/>
      <c r="AE2484" s="75" t="n"/>
      <c r="AF2484" s="75" t="n"/>
    </row>
    <row r="2485" ht="15.75" customHeight="1" s="133">
      <c r="A2485" s="75" t="n"/>
      <c r="B2485" s="75" t="n"/>
      <c r="C2485" s="75" t="n"/>
      <c r="D2485" s="75" t="n"/>
      <c r="E2485" s="76" t="n"/>
      <c r="F2485" s="77" t="n"/>
      <c r="G2485" s="75" t="n"/>
      <c r="H2485" s="75">
        <f>IF(ISBLANK(E2485),"",IF(OR(D2485="Butterfly",D2485="Butterfly ",D2485="Iron Fly", D2485="Iron Fly "),LEN(E2485)-LEN(SUBSTITUTE(E2485,"/",""))+2,LEN(E2485)-LEN(SUBSTITUTE(E2485,"/",""))+1))</f>
        <v/>
      </c>
      <c r="I2485" s="78">
        <f>IF(ISBLANK(G2485),"",IF(D2485="Stock","0",Key!$A$3*H2485*G2485))</f>
        <v/>
      </c>
      <c r="J2485" s="78">
        <f>IF(ISBLANK(E2485),"",IF(ISNUMBER(SEARCH("/",E2485)), IF(LEN(E2485)-LEN(SUBSTITUTE(E2485,"/",""))=1,(RIGHT(E2485,LEN(E2485)-FIND("/",E2485)))-(LEFT(E2485,FIND("/",E2485)-1)),(MID(E2485, SEARCH("/",E2485) + 1, SEARCH("/",E2485, SEARCH("/",E2485)+1) - SEARCH("/",E2485) - 1))-(LEFT(E2485,FIND("/",E2485)-1))), "NA"))</f>
        <v/>
      </c>
      <c r="K2485" s="79">
        <f>IF(A2485&lt;&gt;"", IF(ISBLANK(L2485), TODAY(), K2485), "")</f>
        <v/>
      </c>
      <c r="L2485" s="78" t="n"/>
      <c r="M2485" s="78">
        <f>IF(ISBLANK(L2485),"",IF(D2485="Stock",IF(C2485="Buy",L2485*G2485,IF(C2485="Sell",(L2485*G2485)-I2485, X)),IF(C2485="Buy",(L2485*G2485*100)+I2485,IF(C2485="Sell",(L2485*G2485*100)-I2485, X))))</f>
        <v/>
      </c>
      <c r="N2485" s="78">
        <f>IF(ISBLANK(L2485),"",IF(AND(C2485="Sell",D2485="Stock"),M2485,IF(ISBLANK(L2485),"",IF(C2485="Buy",M2485, IF(AND(C2485="Sell",J2485="NA"),(E2485*G2485*100*0.1)+I2485, IF(C2485="Sell",(J2485-L2485)*(100*G2485)+I2485))))))</f>
        <v/>
      </c>
      <c r="O2485" s="75" t="n"/>
      <c r="P2485" s="75" t="n"/>
      <c r="Q2485" s="75">
        <f>IF(ISBLANK(P2485),"",IF(D2485="Stock",P2485*G2485,IF(P2485=0,"0",G2485*P2485*100-(G2485*$AF$14))))</f>
        <v/>
      </c>
      <c r="R2485" s="79">
        <f>IF(P2485&lt;&gt;"", TODAY(), "")</f>
        <v/>
      </c>
      <c r="S2485" s="78">
        <f>IF(AND(K2485&lt;&gt;"", R2485&lt;&gt;""), R2485-K2485, "")</f>
        <v/>
      </c>
      <c r="T2485" s="78" t="n"/>
      <c r="U2485" s="92">
        <f>IF(ISBLANK(P2485),"",IF(C2485="Buy",Q2485-M2485+T2485, IF(C2485="Sell",M2485-Q2485-T2485, X)))</f>
        <v/>
      </c>
      <c r="V2485" s="81">
        <f>IF(ISBLANK(P2485),"",U2485/N2485)</f>
        <v/>
      </c>
      <c r="W2485" s="81">
        <f>IF(ISBLANK(P2485),"",IF(S2485=0,(365/0.5)*V2485,(365/S2485)*V2485))</f>
        <v/>
      </c>
      <c r="X2485" s="75" t="n"/>
      <c r="Y2485" s="77" t="n"/>
      <c r="Z2485" s="77" t="n"/>
      <c r="AA2485" s="75" t="n"/>
      <c r="AB2485" s="75" t="n"/>
      <c r="AC2485" s="6" t="n"/>
      <c r="AD2485" s="75" t="n"/>
      <c r="AE2485" s="75" t="n"/>
      <c r="AF2485" s="75" t="n"/>
    </row>
    <row r="2486" ht="15.75" customHeight="1" s="133">
      <c r="A2486" s="75" t="n"/>
      <c r="B2486" s="75" t="n"/>
      <c r="C2486" s="75" t="n"/>
      <c r="D2486" s="75" t="n"/>
      <c r="E2486" s="76" t="n"/>
      <c r="F2486" s="77" t="n"/>
      <c r="G2486" s="75" t="n"/>
      <c r="H2486" s="75">
        <f>IF(ISBLANK(E2486),"",IF(OR(D2486="Butterfly",D2486="Butterfly ",D2486="Iron Fly", D2486="Iron Fly "),LEN(E2486)-LEN(SUBSTITUTE(E2486,"/",""))+2,LEN(E2486)-LEN(SUBSTITUTE(E2486,"/",""))+1))</f>
        <v/>
      </c>
      <c r="I2486" s="78">
        <f>IF(ISBLANK(G2486),"",IF(D2486="Stock","0",Key!$A$3*H2486*G2486))</f>
        <v/>
      </c>
      <c r="J2486" s="78">
        <f>IF(ISBLANK(E2486),"",IF(ISNUMBER(SEARCH("/",E2486)), IF(LEN(E2486)-LEN(SUBSTITUTE(E2486,"/",""))=1,(RIGHT(E2486,LEN(E2486)-FIND("/",E2486)))-(LEFT(E2486,FIND("/",E2486)-1)),(MID(E2486, SEARCH("/",E2486) + 1, SEARCH("/",E2486, SEARCH("/",E2486)+1) - SEARCH("/",E2486) - 1))-(LEFT(E2486,FIND("/",E2486)-1))), "NA"))</f>
        <v/>
      </c>
      <c r="K2486" s="79">
        <f>IF(A2486&lt;&gt;"", IF(ISBLANK(L2486), TODAY(), K2486), "")</f>
        <v/>
      </c>
      <c r="L2486" s="78" t="n"/>
      <c r="M2486" s="78">
        <f>IF(ISBLANK(L2486),"",IF(D2486="Stock",IF(C2486="Buy",L2486*G2486,IF(C2486="Sell",(L2486*G2486)-I2486, X)),IF(C2486="Buy",(L2486*G2486*100)+I2486,IF(C2486="Sell",(L2486*G2486*100)-I2486, X))))</f>
        <v/>
      </c>
      <c r="N2486" s="78">
        <f>IF(ISBLANK(L2486),"",IF(AND(C2486="Sell",D2486="Stock"),M2486,IF(ISBLANK(L2486),"",IF(C2486="Buy",M2486, IF(AND(C2486="Sell",J2486="NA"),(E2486*G2486*100*0.1)+I2486, IF(C2486="Sell",(J2486-L2486)*(100*G2486)+I2486))))))</f>
        <v/>
      </c>
      <c r="O2486" s="75" t="n"/>
      <c r="P2486" s="75" t="n"/>
      <c r="Q2486" s="75">
        <f>IF(ISBLANK(P2486),"",IF(D2486="Stock",P2486*G2486,IF(P2486=0,"0",G2486*P2486*100-(G2486*$AF$14))))</f>
        <v/>
      </c>
      <c r="R2486" s="79">
        <f>IF(P2486&lt;&gt;"", TODAY(), "")</f>
        <v/>
      </c>
      <c r="S2486" s="78">
        <f>IF(AND(K2486&lt;&gt;"", R2486&lt;&gt;""), R2486-K2486, "")</f>
        <v/>
      </c>
      <c r="T2486" s="78" t="n"/>
      <c r="U2486" s="92">
        <f>IF(ISBLANK(P2486),"",IF(C2486="Buy",Q2486-M2486+T2486, IF(C2486="Sell",M2486-Q2486-T2486, X)))</f>
        <v/>
      </c>
      <c r="V2486" s="81">
        <f>IF(ISBLANK(P2486),"",U2486/N2486)</f>
        <v/>
      </c>
      <c r="W2486" s="81">
        <f>IF(ISBLANK(P2486),"",IF(S2486=0,(365/0.5)*V2486,(365/S2486)*V2486))</f>
        <v/>
      </c>
      <c r="X2486" s="75" t="n"/>
      <c r="Y2486" s="77" t="n"/>
      <c r="Z2486" s="77" t="n"/>
      <c r="AA2486" s="75" t="n"/>
      <c r="AB2486" s="75" t="n"/>
      <c r="AC2486" s="6" t="n"/>
      <c r="AD2486" s="75" t="n"/>
      <c r="AE2486" s="75" t="n"/>
      <c r="AF2486" s="75" t="n"/>
    </row>
    <row r="2487" ht="15.75" customHeight="1" s="133">
      <c r="A2487" s="75" t="n"/>
      <c r="B2487" s="75" t="n"/>
      <c r="C2487" s="75" t="n"/>
      <c r="D2487" s="75" t="n"/>
      <c r="E2487" s="76" t="n"/>
      <c r="F2487" s="77" t="n"/>
      <c r="G2487" s="75" t="n"/>
      <c r="H2487" s="75">
        <f>IF(ISBLANK(E2487),"",IF(OR(D2487="Butterfly",D2487="Butterfly ",D2487="Iron Fly", D2487="Iron Fly "),LEN(E2487)-LEN(SUBSTITUTE(E2487,"/",""))+2,LEN(E2487)-LEN(SUBSTITUTE(E2487,"/",""))+1))</f>
        <v/>
      </c>
      <c r="I2487" s="78">
        <f>IF(ISBLANK(G2487),"",IF(D2487="Stock","0",Key!$A$3*H2487*G2487))</f>
        <v/>
      </c>
      <c r="J2487" s="78">
        <f>IF(ISBLANK(E2487),"",IF(ISNUMBER(SEARCH("/",E2487)), IF(LEN(E2487)-LEN(SUBSTITUTE(E2487,"/",""))=1,(RIGHT(E2487,LEN(E2487)-FIND("/",E2487)))-(LEFT(E2487,FIND("/",E2487)-1)),(MID(E2487, SEARCH("/",E2487) + 1, SEARCH("/",E2487, SEARCH("/",E2487)+1) - SEARCH("/",E2487) - 1))-(LEFT(E2487,FIND("/",E2487)-1))), "NA"))</f>
        <v/>
      </c>
      <c r="K2487" s="79">
        <f>IF(A2487&lt;&gt;"", IF(ISBLANK(L2487), TODAY(), K2487), "")</f>
        <v/>
      </c>
      <c r="L2487" s="78" t="n"/>
      <c r="M2487" s="78">
        <f>IF(ISBLANK(L2487),"",IF(D2487="Stock",IF(C2487="Buy",L2487*G2487,IF(C2487="Sell",(L2487*G2487)-I2487, X)),IF(C2487="Buy",(L2487*G2487*100)+I2487,IF(C2487="Sell",(L2487*G2487*100)-I2487, X))))</f>
        <v/>
      </c>
      <c r="N2487" s="78">
        <f>IF(ISBLANK(L2487),"",IF(AND(C2487="Sell",D2487="Stock"),M2487,IF(ISBLANK(L2487),"",IF(C2487="Buy",M2487, IF(AND(C2487="Sell",J2487="NA"),(E2487*G2487*100*0.1)+I2487, IF(C2487="Sell",(J2487-L2487)*(100*G2487)+I2487))))))</f>
        <v/>
      </c>
      <c r="O2487" s="75" t="n"/>
      <c r="P2487" s="75" t="n"/>
      <c r="Q2487" s="75">
        <f>IF(ISBLANK(P2487),"",IF(D2487="Stock",P2487*G2487,IF(P2487=0,"0",G2487*P2487*100-(G2487*$AF$14))))</f>
        <v/>
      </c>
      <c r="R2487" s="79">
        <f>IF(P2487&lt;&gt;"", TODAY(), "")</f>
        <v/>
      </c>
      <c r="S2487" s="78">
        <f>IF(AND(K2487&lt;&gt;"", R2487&lt;&gt;""), R2487-K2487, "")</f>
        <v/>
      </c>
      <c r="T2487" s="78" t="n"/>
      <c r="U2487" s="92">
        <f>IF(ISBLANK(P2487),"",IF(C2487="Buy",Q2487-M2487+T2487, IF(C2487="Sell",M2487-Q2487-T2487, X)))</f>
        <v/>
      </c>
      <c r="V2487" s="81">
        <f>IF(ISBLANK(P2487),"",U2487/N2487)</f>
        <v/>
      </c>
      <c r="W2487" s="81">
        <f>IF(ISBLANK(P2487),"",IF(S2487=0,(365/0.5)*V2487,(365/S2487)*V2487))</f>
        <v/>
      </c>
      <c r="X2487" s="75" t="n"/>
      <c r="Y2487" s="77" t="n"/>
      <c r="Z2487" s="77" t="n"/>
      <c r="AA2487" s="75" t="n"/>
      <c r="AB2487" s="75" t="n"/>
      <c r="AC2487" s="6" t="n"/>
      <c r="AD2487" s="75" t="n"/>
      <c r="AE2487" s="75" t="n"/>
      <c r="AF2487" s="75" t="n"/>
    </row>
    <row r="2488" ht="15.75" customHeight="1" s="133">
      <c r="A2488" s="75" t="n"/>
      <c r="B2488" s="75" t="n"/>
      <c r="C2488" s="75" t="n"/>
      <c r="D2488" s="75" t="n"/>
      <c r="E2488" s="76" t="n"/>
      <c r="F2488" s="77" t="n"/>
      <c r="G2488" s="75" t="n"/>
      <c r="H2488" s="75">
        <f>IF(ISBLANK(E2488),"",IF(OR(D2488="Butterfly",D2488="Butterfly ",D2488="Iron Fly", D2488="Iron Fly "),LEN(E2488)-LEN(SUBSTITUTE(E2488,"/",""))+2,LEN(E2488)-LEN(SUBSTITUTE(E2488,"/",""))+1))</f>
        <v/>
      </c>
      <c r="I2488" s="78">
        <f>IF(ISBLANK(G2488),"",IF(D2488="Stock","0",Key!$A$3*H2488*G2488))</f>
        <v/>
      </c>
      <c r="J2488" s="78">
        <f>IF(ISBLANK(E2488),"",IF(ISNUMBER(SEARCH("/",E2488)), IF(LEN(E2488)-LEN(SUBSTITUTE(E2488,"/",""))=1,(RIGHT(E2488,LEN(E2488)-FIND("/",E2488)))-(LEFT(E2488,FIND("/",E2488)-1)),(MID(E2488, SEARCH("/",E2488) + 1, SEARCH("/",E2488, SEARCH("/",E2488)+1) - SEARCH("/",E2488) - 1))-(LEFT(E2488,FIND("/",E2488)-1))), "NA"))</f>
        <v/>
      </c>
      <c r="K2488" s="79">
        <f>IF(A2488&lt;&gt;"", IF(ISBLANK(L2488), TODAY(), K2488), "")</f>
        <v/>
      </c>
      <c r="L2488" s="78" t="n"/>
      <c r="M2488" s="78">
        <f>IF(ISBLANK(L2488),"",IF(D2488="Stock",IF(C2488="Buy",L2488*G2488,IF(C2488="Sell",(L2488*G2488)-I2488, X)),IF(C2488="Buy",(L2488*G2488*100)+I2488,IF(C2488="Sell",(L2488*G2488*100)-I2488, X))))</f>
        <v/>
      </c>
      <c r="N2488" s="78">
        <f>IF(ISBLANK(L2488),"",IF(AND(C2488="Sell",D2488="Stock"),M2488,IF(ISBLANK(L2488),"",IF(C2488="Buy",M2488, IF(AND(C2488="Sell",J2488="NA"),(E2488*G2488*100*0.1)+I2488, IF(C2488="Sell",(J2488-L2488)*(100*G2488)+I2488))))))</f>
        <v/>
      </c>
      <c r="O2488" s="75" t="n"/>
      <c r="P2488" s="75" t="n"/>
      <c r="Q2488" s="75">
        <f>IF(ISBLANK(P2488),"",IF(D2488="Stock",P2488*G2488,IF(P2488=0,"0",G2488*P2488*100-(G2488*$AF$14))))</f>
        <v/>
      </c>
      <c r="R2488" s="79">
        <f>IF(P2488&lt;&gt;"", TODAY(), "")</f>
        <v/>
      </c>
      <c r="S2488" s="78">
        <f>IF(AND(K2488&lt;&gt;"", R2488&lt;&gt;""), R2488-K2488, "")</f>
        <v/>
      </c>
      <c r="T2488" s="78" t="n"/>
      <c r="U2488" s="92">
        <f>IF(ISBLANK(P2488),"",IF(C2488="Buy",Q2488-M2488+T2488, IF(C2488="Sell",M2488-Q2488-T2488, X)))</f>
        <v/>
      </c>
      <c r="V2488" s="81">
        <f>IF(ISBLANK(P2488),"",U2488/N2488)</f>
        <v/>
      </c>
      <c r="W2488" s="81">
        <f>IF(ISBLANK(P2488),"",IF(S2488=0,(365/0.5)*V2488,(365/S2488)*V2488))</f>
        <v/>
      </c>
      <c r="X2488" s="75" t="n"/>
      <c r="Y2488" s="77" t="n"/>
      <c r="Z2488" s="77" t="n"/>
      <c r="AA2488" s="75" t="n"/>
      <c r="AB2488" s="75" t="n"/>
      <c r="AC2488" s="6" t="n"/>
      <c r="AD2488" s="75" t="n"/>
      <c r="AE2488" s="75" t="n"/>
      <c r="AF2488" s="75" t="n"/>
    </row>
    <row r="2489" ht="15.75" customHeight="1" s="133">
      <c r="A2489" s="75" t="n"/>
      <c r="B2489" s="75" t="n"/>
      <c r="C2489" s="75" t="n"/>
      <c r="D2489" s="75" t="n"/>
      <c r="E2489" s="76" t="n"/>
      <c r="F2489" s="77" t="n"/>
      <c r="G2489" s="75" t="n"/>
      <c r="H2489" s="75">
        <f>IF(ISBLANK(E2489),"",IF(OR(D2489="Butterfly",D2489="Butterfly ",D2489="Iron Fly", D2489="Iron Fly "),LEN(E2489)-LEN(SUBSTITUTE(E2489,"/",""))+2,LEN(E2489)-LEN(SUBSTITUTE(E2489,"/",""))+1))</f>
        <v/>
      </c>
      <c r="I2489" s="78">
        <f>IF(ISBLANK(G2489),"",IF(D2489="Stock","0",Key!$A$3*H2489*G2489))</f>
        <v/>
      </c>
      <c r="J2489" s="78">
        <f>IF(ISBLANK(E2489),"",IF(ISNUMBER(SEARCH("/",E2489)), IF(LEN(E2489)-LEN(SUBSTITUTE(E2489,"/",""))=1,(RIGHT(E2489,LEN(E2489)-FIND("/",E2489)))-(LEFT(E2489,FIND("/",E2489)-1)),(MID(E2489, SEARCH("/",E2489) + 1, SEARCH("/",E2489, SEARCH("/",E2489)+1) - SEARCH("/",E2489) - 1))-(LEFT(E2489,FIND("/",E2489)-1))), "NA"))</f>
        <v/>
      </c>
      <c r="K2489" s="79">
        <f>IF(A2489&lt;&gt;"", IF(ISBLANK(L2489), TODAY(), K2489), "")</f>
        <v/>
      </c>
      <c r="L2489" s="78" t="n"/>
      <c r="M2489" s="78">
        <f>IF(ISBLANK(L2489),"",IF(D2489="Stock",IF(C2489="Buy",L2489*G2489,IF(C2489="Sell",(L2489*G2489)-I2489, X)),IF(C2489="Buy",(L2489*G2489*100)+I2489,IF(C2489="Sell",(L2489*G2489*100)-I2489, X))))</f>
        <v/>
      </c>
      <c r="N2489" s="78">
        <f>IF(ISBLANK(L2489),"",IF(AND(C2489="Sell",D2489="Stock"),M2489,IF(ISBLANK(L2489),"",IF(C2489="Buy",M2489, IF(AND(C2489="Sell",J2489="NA"),(E2489*G2489*100*0.1)+I2489, IF(C2489="Sell",(J2489-L2489)*(100*G2489)+I2489))))))</f>
        <v/>
      </c>
      <c r="O2489" s="75" t="n"/>
      <c r="P2489" s="75" t="n"/>
      <c r="Q2489" s="75">
        <f>IF(ISBLANK(P2489),"",IF(D2489="Stock",P2489*G2489,IF(P2489=0,"0",G2489*P2489*100-(G2489*$AF$14))))</f>
        <v/>
      </c>
      <c r="R2489" s="79">
        <f>IF(P2489&lt;&gt;"", TODAY(), "")</f>
        <v/>
      </c>
      <c r="S2489" s="78">
        <f>IF(AND(K2489&lt;&gt;"", R2489&lt;&gt;""), R2489-K2489, "")</f>
        <v/>
      </c>
      <c r="T2489" s="78" t="n"/>
      <c r="U2489" s="92">
        <f>IF(ISBLANK(P2489),"",IF(C2489="Buy",Q2489-M2489+T2489, IF(C2489="Sell",M2489-Q2489-T2489, X)))</f>
        <v/>
      </c>
      <c r="V2489" s="81">
        <f>IF(ISBLANK(P2489),"",U2489/N2489)</f>
        <v/>
      </c>
      <c r="W2489" s="81">
        <f>IF(ISBLANK(P2489),"",IF(S2489=0,(365/0.5)*V2489,(365/S2489)*V2489))</f>
        <v/>
      </c>
      <c r="X2489" s="75" t="n"/>
      <c r="Y2489" s="77" t="n"/>
      <c r="Z2489" s="77" t="n"/>
      <c r="AA2489" s="75" t="n"/>
      <c r="AB2489" s="75" t="n"/>
      <c r="AC2489" s="6" t="n"/>
      <c r="AD2489" s="75" t="n"/>
      <c r="AE2489" s="75" t="n"/>
      <c r="AF2489" s="75" t="n"/>
    </row>
    <row r="2490" ht="15.75" customHeight="1" s="133">
      <c r="A2490" s="75" t="n"/>
      <c r="B2490" s="75" t="n"/>
      <c r="C2490" s="75" t="n"/>
      <c r="D2490" s="75" t="n"/>
      <c r="E2490" s="76" t="n"/>
      <c r="F2490" s="77" t="n"/>
      <c r="G2490" s="75" t="n"/>
      <c r="H2490" s="75">
        <f>IF(ISBLANK(E2490),"",IF(OR(D2490="Butterfly",D2490="Butterfly ",D2490="Iron Fly", D2490="Iron Fly "),LEN(E2490)-LEN(SUBSTITUTE(E2490,"/",""))+2,LEN(E2490)-LEN(SUBSTITUTE(E2490,"/",""))+1))</f>
        <v/>
      </c>
      <c r="I2490" s="78">
        <f>IF(ISBLANK(G2490),"",IF(D2490="Stock","0",Key!$A$3*H2490*G2490))</f>
        <v/>
      </c>
      <c r="J2490" s="78">
        <f>IF(ISBLANK(E2490),"",IF(ISNUMBER(SEARCH("/",E2490)), IF(LEN(E2490)-LEN(SUBSTITUTE(E2490,"/",""))=1,(RIGHT(E2490,LEN(E2490)-FIND("/",E2490)))-(LEFT(E2490,FIND("/",E2490)-1)),(MID(E2490, SEARCH("/",E2490) + 1, SEARCH("/",E2490, SEARCH("/",E2490)+1) - SEARCH("/",E2490) - 1))-(LEFT(E2490,FIND("/",E2490)-1))), "NA"))</f>
        <v/>
      </c>
      <c r="K2490" s="79">
        <f>IF(A2490&lt;&gt;"", IF(ISBLANK(L2490), TODAY(), K2490), "")</f>
        <v/>
      </c>
      <c r="L2490" s="78" t="n"/>
      <c r="M2490" s="78">
        <f>IF(ISBLANK(L2490),"",IF(D2490="Stock",IF(C2490="Buy",L2490*G2490,IF(C2490="Sell",(L2490*G2490)-I2490, X)),IF(C2490="Buy",(L2490*G2490*100)+I2490,IF(C2490="Sell",(L2490*G2490*100)-I2490, X))))</f>
        <v/>
      </c>
      <c r="N2490" s="78">
        <f>IF(ISBLANK(L2490),"",IF(AND(C2490="Sell",D2490="Stock"),M2490,IF(ISBLANK(L2490),"",IF(C2490="Buy",M2490, IF(AND(C2490="Sell",J2490="NA"),(E2490*G2490*100*0.1)+I2490, IF(C2490="Sell",(J2490-L2490)*(100*G2490)+I2490))))))</f>
        <v/>
      </c>
      <c r="O2490" s="75" t="n"/>
      <c r="P2490" s="75" t="n"/>
      <c r="Q2490" s="75">
        <f>IF(ISBLANK(P2490),"",IF(D2490="Stock",P2490*G2490,IF(P2490=0,"0",G2490*P2490*100-(G2490*$AF$14))))</f>
        <v/>
      </c>
      <c r="R2490" s="79">
        <f>IF(P2490&lt;&gt;"", TODAY(), "")</f>
        <v/>
      </c>
      <c r="S2490" s="78">
        <f>IF(AND(K2490&lt;&gt;"", R2490&lt;&gt;""), R2490-K2490, "")</f>
        <v/>
      </c>
      <c r="T2490" s="78" t="n"/>
      <c r="U2490" s="92">
        <f>IF(ISBLANK(P2490),"",IF(C2490="Buy",Q2490-M2490+T2490, IF(C2490="Sell",M2490-Q2490-T2490, X)))</f>
        <v/>
      </c>
      <c r="V2490" s="81">
        <f>IF(ISBLANK(P2490),"",U2490/N2490)</f>
        <v/>
      </c>
      <c r="W2490" s="81">
        <f>IF(ISBLANK(P2490),"",IF(S2490=0,(365/0.5)*V2490,(365/S2490)*V2490))</f>
        <v/>
      </c>
      <c r="X2490" s="75" t="n"/>
      <c r="Y2490" s="77" t="n"/>
      <c r="Z2490" s="77" t="n"/>
      <c r="AA2490" s="75" t="n"/>
      <c r="AB2490" s="75" t="n"/>
      <c r="AC2490" s="6" t="n"/>
      <c r="AD2490" s="75" t="n"/>
      <c r="AE2490" s="75" t="n"/>
      <c r="AF2490" s="75" t="n"/>
    </row>
    <row r="2491" ht="15.75" customHeight="1" s="133">
      <c r="A2491" s="75" t="n"/>
      <c r="B2491" s="75" t="n"/>
      <c r="C2491" s="75" t="n"/>
      <c r="D2491" s="75" t="n"/>
      <c r="E2491" s="76" t="n"/>
      <c r="F2491" s="77" t="n"/>
      <c r="G2491" s="75" t="n"/>
      <c r="H2491" s="75">
        <f>IF(ISBLANK(E2491),"",IF(OR(D2491="Butterfly",D2491="Butterfly ",D2491="Iron Fly", D2491="Iron Fly "),LEN(E2491)-LEN(SUBSTITUTE(E2491,"/",""))+2,LEN(E2491)-LEN(SUBSTITUTE(E2491,"/",""))+1))</f>
        <v/>
      </c>
      <c r="I2491" s="78">
        <f>IF(ISBLANK(G2491),"",IF(D2491="Stock","0",Key!$A$3*H2491*G2491))</f>
        <v/>
      </c>
      <c r="J2491" s="78">
        <f>IF(ISBLANK(E2491),"",IF(ISNUMBER(SEARCH("/",E2491)), IF(LEN(E2491)-LEN(SUBSTITUTE(E2491,"/",""))=1,(RIGHT(E2491,LEN(E2491)-FIND("/",E2491)))-(LEFT(E2491,FIND("/",E2491)-1)),(MID(E2491, SEARCH("/",E2491) + 1, SEARCH("/",E2491, SEARCH("/",E2491)+1) - SEARCH("/",E2491) - 1))-(LEFT(E2491,FIND("/",E2491)-1))), "NA"))</f>
        <v/>
      </c>
      <c r="K2491" s="79">
        <f>IF(A2491&lt;&gt;"", IF(ISBLANK(L2491), TODAY(), K2491), "")</f>
        <v/>
      </c>
      <c r="L2491" s="78" t="n"/>
      <c r="M2491" s="78">
        <f>IF(ISBLANK(L2491),"",IF(D2491="Stock",IF(C2491="Buy",L2491*G2491,IF(C2491="Sell",(L2491*G2491)-I2491, X)),IF(C2491="Buy",(L2491*G2491*100)+I2491,IF(C2491="Sell",(L2491*G2491*100)-I2491, X))))</f>
        <v/>
      </c>
      <c r="N2491" s="78">
        <f>IF(ISBLANK(L2491),"",IF(AND(C2491="Sell",D2491="Stock"),M2491,IF(ISBLANK(L2491),"",IF(C2491="Buy",M2491, IF(AND(C2491="Sell",J2491="NA"),(E2491*G2491*100*0.1)+I2491, IF(C2491="Sell",(J2491-L2491)*(100*G2491)+I2491))))))</f>
        <v/>
      </c>
      <c r="O2491" s="75" t="n"/>
      <c r="P2491" s="75" t="n"/>
      <c r="Q2491" s="75">
        <f>IF(ISBLANK(P2491),"",IF(D2491="Stock",P2491*G2491,IF(P2491=0,"0",G2491*P2491*100-(G2491*$AF$14))))</f>
        <v/>
      </c>
      <c r="R2491" s="79">
        <f>IF(P2491&lt;&gt;"", TODAY(), "")</f>
        <v/>
      </c>
      <c r="S2491" s="78">
        <f>IF(AND(K2491&lt;&gt;"", R2491&lt;&gt;""), R2491-K2491, "")</f>
        <v/>
      </c>
      <c r="T2491" s="78" t="n"/>
      <c r="U2491" s="92">
        <f>IF(ISBLANK(P2491),"",IF(C2491="Buy",Q2491-M2491+T2491, IF(C2491="Sell",M2491-Q2491-T2491, X)))</f>
        <v/>
      </c>
      <c r="V2491" s="81">
        <f>IF(ISBLANK(P2491),"",U2491/N2491)</f>
        <v/>
      </c>
      <c r="W2491" s="81">
        <f>IF(ISBLANK(P2491),"",IF(S2491=0,(365/0.5)*V2491,(365/S2491)*V2491))</f>
        <v/>
      </c>
      <c r="X2491" s="75" t="n"/>
      <c r="Y2491" s="77" t="n"/>
      <c r="Z2491" s="77" t="n"/>
      <c r="AA2491" s="75" t="n"/>
      <c r="AB2491" s="75" t="n"/>
      <c r="AC2491" s="6" t="n"/>
      <c r="AD2491" s="75" t="n"/>
      <c r="AE2491" s="75" t="n"/>
      <c r="AF2491" s="75" t="n"/>
    </row>
    <row r="2492" ht="15.75" customHeight="1" s="133">
      <c r="A2492" s="75" t="n"/>
      <c r="B2492" s="75" t="n"/>
      <c r="C2492" s="75" t="n"/>
      <c r="D2492" s="75" t="n"/>
      <c r="E2492" s="76" t="n"/>
      <c r="F2492" s="77" t="n"/>
      <c r="G2492" s="75" t="n"/>
      <c r="H2492" s="75">
        <f>IF(ISBLANK(E2492),"",IF(OR(D2492="Butterfly",D2492="Butterfly ",D2492="Iron Fly", D2492="Iron Fly "),LEN(E2492)-LEN(SUBSTITUTE(E2492,"/",""))+2,LEN(E2492)-LEN(SUBSTITUTE(E2492,"/",""))+1))</f>
        <v/>
      </c>
      <c r="I2492" s="78">
        <f>IF(ISBLANK(G2492),"",IF(D2492="Stock","0",Key!$A$3*H2492*G2492))</f>
        <v/>
      </c>
      <c r="J2492" s="78">
        <f>IF(ISBLANK(E2492),"",IF(ISNUMBER(SEARCH("/",E2492)), IF(LEN(E2492)-LEN(SUBSTITUTE(E2492,"/",""))=1,(RIGHT(E2492,LEN(E2492)-FIND("/",E2492)))-(LEFT(E2492,FIND("/",E2492)-1)),(MID(E2492, SEARCH("/",E2492) + 1, SEARCH("/",E2492, SEARCH("/",E2492)+1) - SEARCH("/",E2492) - 1))-(LEFT(E2492,FIND("/",E2492)-1))), "NA"))</f>
        <v/>
      </c>
      <c r="K2492" s="79">
        <f>IF(A2492&lt;&gt;"", IF(ISBLANK(L2492), TODAY(), K2492), "")</f>
        <v/>
      </c>
      <c r="L2492" s="78" t="n"/>
      <c r="M2492" s="78">
        <f>IF(ISBLANK(L2492),"",IF(D2492="Stock",IF(C2492="Buy",L2492*G2492,IF(C2492="Sell",(L2492*G2492)-I2492, X)),IF(C2492="Buy",(L2492*G2492*100)+I2492,IF(C2492="Sell",(L2492*G2492*100)-I2492, X))))</f>
        <v/>
      </c>
      <c r="N2492" s="78">
        <f>IF(ISBLANK(L2492),"",IF(AND(C2492="Sell",D2492="Stock"),M2492,IF(ISBLANK(L2492),"",IF(C2492="Buy",M2492, IF(AND(C2492="Sell",J2492="NA"),(E2492*G2492*100*0.1)+I2492, IF(C2492="Sell",(J2492-L2492)*(100*G2492)+I2492))))))</f>
        <v/>
      </c>
      <c r="O2492" s="75" t="n"/>
      <c r="P2492" s="75" t="n"/>
      <c r="Q2492" s="75">
        <f>IF(ISBLANK(P2492),"",IF(D2492="Stock",P2492*G2492,IF(P2492=0,"0",G2492*P2492*100-(G2492*$AF$14))))</f>
        <v/>
      </c>
      <c r="R2492" s="79">
        <f>IF(P2492&lt;&gt;"", TODAY(), "")</f>
        <v/>
      </c>
      <c r="S2492" s="78">
        <f>IF(AND(K2492&lt;&gt;"", R2492&lt;&gt;""), R2492-K2492, "")</f>
        <v/>
      </c>
      <c r="T2492" s="78" t="n"/>
      <c r="U2492" s="92">
        <f>IF(ISBLANK(P2492),"",IF(C2492="Buy",Q2492-M2492+T2492, IF(C2492="Sell",M2492-Q2492-T2492, X)))</f>
        <v/>
      </c>
      <c r="V2492" s="81">
        <f>IF(ISBLANK(P2492),"",U2492/N2492)</f>
        <v/>
      </c>
      <c r="W2492" s="81">
        <f>IF(ISBLANK(P2492),"",IF(S2492=0,(365/0.5)*V2492,(365/S2492)*V2492))</f>
        <v/>
      </c>
      <c r="X2492" s="75" t="n"/>
      <c r="Y2492" s="77" t="n"/>
      <c r="Z2492" s="77" t="n"/>
      <c r="AA2492" s="75" t="n"/>
      <c r="AB2492" s="75" t="n"/>
      <c r="AC2492" s="6" t="n"/>
      <c r="AD2492" s="75" t="n"/>
      <c r="AE2492" s="75" t="n"/>
      <c r="AF2492" s="75" t="n"/>
    </row>
    <row r="2493" ht="15.75" customHeight="1" s="133">
      <c r="A2493" s="75" t="n"/>
      <c r="B2493" s="75" t="n"/>
      <c r="C2493" s="75" t="n"/>
      <c r="D2493" s="75" t="n"/>
      <c r="E2493" s="76" t="n"/>
      <c r="F2493" s="77" t="n"/>
      <c r="G2493" s="75" t="n"/>
      <c r="H2493" s="75">
        <f>IF(ISBLANK(E2493),"",IF(OR(D2493="Butterfly",D2493="Butterfly ",D2493="Iron Fly", D2493="Iron Fly "),LEN(E2493)-LEN(SUBSTITUTE(E2493,"/",""))+2,LEN(E2493)-LEN(SUBSTITUTE(E2493,"/",""))+1))</f>
        <v/>
      </c>
      <c r="I2493" s="78">
        <f>IF(ISBLANK(G2493),"",IF(D2493="Stock","0",Key!$A$3*H2493*G2493))</f>
        <v/>
      </c>
      <c r="J2493" s="78">
        <f>IF(ISBLANK(E2493),"",IF(ISNUMBER(SEARCH("/",E2493)), IF(LEN(E2493)-LEN(SUBSTITUTE(E2493,"/",""))=1,(RIGHT(E2493,LEN(E2493)-FIND("/",E2493)))-(LEFT(E2493,FIND("/",E2493)-1)),(MID(E2493, SEARCH("/",E2493) + 1, SEARCH("/",E2493, SEARCH("/",E2493)+1) - SEARCH("/",E2493) - 1))-(LEFT(E2493,FIND("/",E2493)-1))), "NA"))</f>
        <v/>
      </c>
      <c r="K2493" s="79">
        <f>IF(A2493&lt;&gt;"", IF(ISBLANK(L2493), TODAY(), K2493), "")</f>
        <v/>
      </c>
      <c r="L2493" s="78" t="n"/>
      <c r="M2493" s="78">
        <f>IF(ISBLANK(L2493),"",IF(D2493="Stock",IF(C2493="Buy",L2493*G2493,IF(C2493="Sell",(L2493*G2493)-I2493, X)),IF(C2493="Buy",(L2493*G2493*100)+I2493,IF(C2493="Sell",(L2493*G2493*100)-I2493, X))))</f>
        <v/>
      </c>
      <c r="N2493" s="78">
        <f>IF(ISBLANK(L2493),"",IF(AND(C2493="Sell",D2493="Stock"),M2493,IF(ISBLANK(L2493),"",IF(C2493="Buy",M2493, IF(AND(C2493="Sell",J2493="NA"),(E2493*G2493*100*0.1)+I2493, IF(C2493="Sell",(J2493-L2493)*(100*G2493)+I2493))))))</f>
        <v/>
      </c>
      <c r="O2493" s="75" t="n"/>
      <c r="P2493" s="75" t="n"/>
      <c r="Q2493" s="75">
        <f>IF(ISBLANK(P2493),"",IF(D2493="Stock",P2493*G2493,IF(P2493=0,"0",G2493*P2493*100-(G2493*$AF$14))))</f>
        <v/>
      </c>
      <c r="R2493" s="79">
        <f>IF(P2493&lt;&gt;"", TODAY(), "")</f>
        <v/>
      </c>
      <c r="S2493" s="78">
        <f>IF(AND(K2493&lt;&gt;"", R2493&lt;&gt;""), R2493-K2493, "")</f>
        <v/>
      </c>
      <c r="T2493" s="78" t="n"/>
      <c r="U2493" s="92">
        <f>IF(ISBLANK(P2493),"",IF(C2493="Buy",Q2493-M2493+T2493, IF(C2493="Sell",M2493-Q2493-T2493, X)))</f>
        <v/>
      </c>
      <c r="V2493" s="81">
        <f>IF(ISBLANK(P2493),"",U2493/N2493)</f>
        <v/>
      </c>
      <c r="W2493" s="81">
        <f>IF(ISBLANK(P2493),"",IF(S2493=0,(365/0.5)*V2493,(365/S2493)*V2493))</f>
        <v/>
      </c>
      <c r="X2493" s="75" t="n"/>
      <c r="Y2493" s="77" t="n"/>
      <c r="Z2493" s="77" t="n"/>
      <c r="AA2493" s="75" t="n"/>
      <c r="AB2493" s="75" t="n"/>
      <c r="AC2493" s="6" t="n"/>
      <c r="AD2493" s="75" t="n"/>
      <c r="AE2493" s="75" t="n"/>
      <c r="AF2493" s="75" t="n"/>
    </row>
    <row r="2494" ht="15.75" customHeight="1" s="133">
      <c r="A2494" s="75" t="n"/>
      <c r="B2494" s="75" t="n"/>
      <c r="C2494" s="75" t="n"/>
      <c r="D2494" s="75" t="n"/>
      <c r="E2494" s="76" t="n"/>
      <c r="F2494" s="77" t="n"/>
      <c r="G2494" s="75" t="n"/>
      <c r="H2494" s="75">
        <f>IF(ISBLANK(E2494),"",IF(OR(D2494="Butterfly",D2494="Butterfly ",D2494="Iron Fly", D2494="Iron Fly "),LEN(E2494)-LEN(SUBSTITUTE(E2494,"/",""))+2,LEN(E2494)-LEN(SUBSTITUTE(E2494,"/",""))+1))</f>
        <v/>
      </c>
      <c r="I2494" s="78">
        <f>IF(ISBLANK(G2494),"",IF(D2494="Stock","0",Key!$A$3*H2494*G2494))</f>
        <v/>
      </c>
      <c r="J2494" s="78">
        <f>IF(ISBLANK(E2494),"",IF(ISNUMBER(SEARCH("/",E2494)), IF(LEN(E2494)-LEN(SUBSTITUTE(E2494,"/",""))=1,(RIGHT(E2494,LEN(E2494)-FIND("/",E2494)))-(LEFT(E2494,FIND("/",E2494)-1)),(MID(E2494, SEARCH("/",E2494) + 1, SEARCH("/",E2494, SEARCH("/",E2494)+1) - SEARCH("/",E2494) - 1))-(LEFT(E2494,FIND("/",E2494)-1))), "NA"))</f>
        <v/>
      </c>
      <c r="K2494" s="79">
        <f>IF(A2494&lt;&gt;"", IF(ISBLANK(L2494), TODAY(), K2494), "")</f>
        <v/>
      </c>
      <c r="L2494" s="78" t="n"/>
      <c r="M2494" s="78">
        <f>IF(ISBLANK(L2494),"",IF(D2494="Stock",IF(C2494="Buy",L2494*G2494,IF(C2494="Sell",(L2494*G2494)-I2494, X)),IF(C2494="Buy",(L2494*G2494*100)+I2494,IF(C2494="Sell",(L2494*G2494*100)-I2494, X))))</f>
        <v/>
      </c>
      <c r="N2494" s="78">
        <f>IF(ISBLANK(L2494),"",IF(AND(C2494="Sell",D2494="Stock"),M2494,IF(ISBLANK(L2494),"",IF(C2494="Buy",M2494, IF(AND(C2494="Sell",J2494="NA"),(E2494*G2494*100*0.1)+I2494, IF(C2494="Sell",(J2494-L2494)*(100*G2494)+I2494))))))</f>
        <v/>
      </c>
      <c r="O2494" s="75" t="n"/>
      <c r="P2494" s="75" t="n"/>
      <c r="Q2494" s="75">
        <f>IF(ISBLANK(P2494),"",IF(D2494="Stock",P2494*G2494,IF(P2494=0,"0",G2494*P2494*100-(G2494*$AF$14))))</f>
        <v/>
      </c>
      <c r="R2494" s="79">
        <f>IF(P2494&lt;&gt;"", TODAY(), "")</f>
        <v/>
      </c>
      <c r="S2494" s="78">
        <f>IF(AND(K2494&lt;&gt;"", R2494&lt;&gt;""), R2494-K2494, "")</f>
        <v/>
      </c>
      <c r="T2494" s="78" t="n"/>
      <c r="U2494" s="92">
        <f>IF(ISBLANK(P2494),"",IF(C2494="Buy",Q2494-M2494+T2494, IF(C2494="Sell",M2494-Q2494-T2494, X)))</f>
        <v/>
      </c>
      <c r="V2494" s="81">
        <f>IF(ISBLANK(P2494),"",U2494/N2494)</f>
        <v/>
      </c>
      <c r="W2494" s="81">
        <f>IF(ISBLANK(P2494),"",IF(S2494=0,(365/0.5)*V2494,(365/S2494)*V2494))</f>
        <v/>
      </c>
      <c r="X2494" s="75" t="n"/>
      <c r="Y2494" s="77" t="n"/>
      <c r="Z2494" s="77" t="n"/>
      <c r="AA2494" s="75" t="n"/>
      <c r="AB2494" s="75" t="n"/>
      <c r="AC2494" s="6" t="n"/>
      <c r="AD2494" s="75" t="n"/>
      <c r="AE2494" s="75" t="n"/>
      <c r="AF2494" s="75" t="n"/>
    </row>
    <row r="2495" ht="15.75" customHeight="1" s="133">
      <c r="A2495" s="75" t="n"/>
      <c r="B2495" s="75" t="n"/>
      <c r="C2495" s="75" t="n"/>
      <c r="D2495" s="75" t="n"/>
      <c r="E2495" s="76" t="n"/>
      <c r="F2495" s="77" t="n"/>
      <c r="G2495" s="75" t="n"/>
      <c r="H2495" s="75">
        <f>IF(ISBLANK(E2495),"",IF(OR(D2495="Butterfly",D2495="Butterfly ",D2495="Iron Fly", D2495="Iron Fly "),LEN(E2495)-LEN(SUBSTITUTE(E2495,"/",""))+2,LEN(E2495)-LEN(SUBSTITUTE(E2495,"/",""))+1))</f>
        <v/>
      </c>
      <c r="I2495" s="78">
        <f>IF(ISBLANK(G2495),"",IF(D2495="Stock","0",Key!$A$3*H2495*G2495))</f>
        <v/>
      </c>
      <c r="J2495" s="78">
        <f>IF(ISBLANK(E2495),"",IF(ISNUMBER(SEARCH("/",E2495)), IF(LEN(E2495)-LEN(SUBSTITUTE(E2495,"/",""))=1,(RIGHT(E2495,LEN(E2495)-FIND("/",E2495)))-(LEFT(E2495,FIND("/",E2495)-1)),(MID(E2495, SEARCH("/",E2495) + 1, SEARCH("/",E2495, SEARCH("/",E2495)+1) - SEARCH("/",E2495) - 1))-(LEFT(E2495,FIND("/",E2495)-1))), "NA"))</f>
        <v/>
      </c>
      <c r="K2495" s="79">
        <f>IF(A2495&lt;&gt;"", IF(ISBLANK(L2495), TODAY(), K2495), "")</f>
        <v/>
      </c>
      <c r="L2495" s="78" t="n"/>
      <c r="M2495" s="78">
        <f>IF(ISBLANK(L2495),"",IF(D2495="Stock",IF(C2495="Buy",L2495*G2495,IF(C2495="Sell",(L2495*G2495)-I2495, X)),IF(C2495="Buy",(L2495*G2495*100)+I2495,IF(C2495="Sell",(L2495*G2495*100)-I2495, X))))</f>
        <v/>
      </c>
      <c r="N2495" s="78">
        <f>IF(ISBLANK(L2495),"",IF(AND(C2495="Sell",D2495="Stock"),M2495,IF(ISBLANK(L2495),"",IF(C2495="Buy",M2495, IF(AND(C2495="Sell",J2495="NA"),(E2495*G2495*100*0.1)+I2495, IF(C2495="Sell",(J2495-L2495)*(100*G2495)+I2495))))))</f>
        <v/>
      </c>
      <c r="O2495" s="75" t="n"/>
      <c r="P2495" s="75" t="n"/>
      <c r="Q2495" s="75">
        <f>IF(ISBLANK(P2495),"",IF(D2495="Stock",P2495*G2495,IF(P2495=0,"0",G2495*P2495*100-(G2495*$AF$14))))</f>
        <v/>
      </c>
      <c r="R2495" s="79">
        <f>IF(P2495&lt;&gt;"", TODAY(), "")</f>
        <v/>
      </c>
      <c r="S2495" s="78">
        <f>IF(AND(K2495&lt;&gt;"", R2495&lt;&gt;""), R2495-K2495, "")</f>
        <v/>
      </c>
      <c r="T2495" s="78" t="n"/>
      <c r="U2495" s="92">
        <f>IF(ISBLANK(P2495),"",IF(C2495="Buy",Q2495-M2495+T2495, IF(C2495="Sell",M2495-Q2495-T2495, X)))</f>
        <v/>
      </c>
      <c r="V2495" s="81">
        <f>IF(ISBLANK(P2495),"",U2495/N2495)</f>
        <v/>
      </c>
      <c r="W2495" s="81">
        <f>IF(ISBLANK(P2495),"",IF(S2495=0,(365/0.5)*V2495,(365/S2495)*V2495))</f>
        <v/>
      </c>
      <c r="X2495" s="75" t="n"/>
      <c r="Y2495" s="77" t="n"/>
      <c r="Z2495" s="77" t="n"/>
      <c r="AA2495" s="75" t="n"/>
      <c r="AB2495" s="75" t="n"/>
      <c r="AC2495" s="6" t="n"/>
      <c r="AD2495" s="75" t="n"/>
      <c r="AE2495" s="75" t="n"/>
      <c r="AF2495" s="75" t="n"/>
    </row>
    <row r="2496" ht="15.75" customHeight="1" s="133">
      <c r="A2496" s="75" t="n"/>
      <c r="B2496" s="75" t="n"/>
      <c r="C2496" s="75" t="n"/>
      <c r="D2496" s="75" t="n"/>
      <c r="E2496" s="76" t="n"/>
      <c r="F2496" s="77" t="n"/>
      <c r="G2496" s="75" t="n"/>
      <c r="H2496" s="75">
        <f>IF(ISBLANK(E2496),"",IF(OR(D2496="Butterfly",D2496="Butterfly ",D2496="Iron Fly", D2496="Iron Fly "),LEN(E2496)-LEN(SUBSTITUTE(E2496,"/",""))+2,LEN(E2496)-LEN(SUBSTITUTE(E2496,"/",""))+1))</f>
        <v/>
      </c>
      <c r="I2496" s="78">
        <f>IF(ISBLANK(G2496),"",IF(D2496="Stock","0",Key!$A$3*H2496*G2496))</f>
        <v/>
      </c>
      <c r="J2496" s="78">
        <f>IF(ISBLANK(E2496),"",IF(ISNUMBER(SEARCH("/",E2496)), IF(LEN(E2496)-LEN(SUBSTITUTE(E2496,"/",""))=1,(RIGHT(E2496,LEN(E2496)-FIND("/",E2496)))-(LEFT(E2496,FIND("/",E2496)-1)),(MID(E2496, SEARCH("/",E2496) + 1, SEARCH("/",E2496, SEARCH("/",E2496)+1) - SEARCH("/",E2496) - 1))-(LEFT(E2496,FIND("/",E2496)-1))), "NA"))</f>
        <v/>
      </c>
      <c r="K2496" s="79">
        <f>IF(A2496&lt;&gt;"", IF(ISBLANK(L2496), TODAY(), K2496), "")</f>
        <v/>
      </c>
      <c r="L2496" s="78" t="n"/>
      <c r="M2496" s="78">
        <f>IF(ISBLANK(L2496),"",IF(D2496="Stock",IF(C2496="Buy",L2496*G2496,IF(C2496="Sell",(L2496*G2496)-I2496, X)),IF(C2496="Buy",(L2496*G2496*100)+I2496,IF(C2496="Sell",(L2496*G2496*100)-I2496, X))))</f>
        <v/>
      </c>
      <c r="N2496" s="78">
        <f>IF(ISBLANK(L2496),"",IF(AND(C2496="Sell",D2496="Stock"),M2496,IF(ISBLANK(L2496),"",IF(C2496="Buy",M2496, IF(AND(C2496="Sell",J2496="NA"),(E2496*G2496*100*0.1)+I2496, IF(C2496="Sell",(J2496-L2496)*(100*G2496)+I2496))))))</f>
        <v/>
      </c>
      <c r="O2496" s="75" t="n"/>
      <c r="P2496" s="75" t="n"/>
      <c r="Q2496" s="75">
        <f>IF(ISBLANK(P2496),"",IF(D2496="Stock",P2496*G2496,IF(P2496=0,"0",G2496*P2496*100-(G2496*$AF$14))))</f>
        <v/>
      </c>
      <c r="R2496" s="79">
        <f>IF(P2496&lt;&gt;"", TODAY(), "")</f>
        <v/>
      </c>
      <c r="S2496" s="78">
        <f>IF(AND(K2496&lt;&gt;"", R2496&lt;&gt;""), R2496-K2496, "")</f>
        <v/>
      </c>
      <c r="T2496" s="78" t="n"/>
      <c r="U2496" s="92">
        <f>IF(ISBLANK(P2496),"",IF(C2496="Buy",Q2496-M2496+T2496, IF(C2496="Sell",M2496-Q2496-T2496, X)))</f>
        <v/>
      </c>
      <c r="V2496" s="81">
        <f>IF(ISBLANK(P2496),"",U2496/N2496)</f>
        <v/>
      </c>
      <c r="W2496" s="81">
        <f>IF(ISBLANK(P2496),"",IF(S2496=0,(365/0.5)*V2496,(365/S2496)*V2496))</f>
        <v/>
      </c>
      <c r="X2496" s="75" t="n"/>
      <c r="Y2496" s="77" t="n"/>
      <c r="Z2496" s="77" t="n"/>
      <c r="AA2496" s="75" t="n"/>
      <c r="AB2496" s="75" t="n"/>
      <c r="AC2496" s="6" t="n"/>
      <c r="AD2496" s="75" t="n"/>
      <c r="AE2496" s="75" t="n"/>
      <c r="AF2496" s="75" t="n"/>
    </row>
    <row r="2497" ht="15.75" customHeight="1" s="133">
      <c r="A2497" s="75" t="n"/>
      <c r="B2497" s="75" t="n"/>
      <c r="C2497" s="75" t="n"/>
      <c r="D2497" s="75" t="n"/>
      <c r="E2497" s="76" t="n"/>
      <c r="F2497" s="77" t="n"/>
      <c r="G2497" s="75" t="n"/>
      <c r="H2497" s="75">
        <f>IF(ISBLANK(E2497),"",IF(OR(D2497="Butterfly",D2497="Butterfly ",D2497="Iron Fly", D2497="Iron Fly "),LEN(E2497)-LEN(SUBSTITUTE(E2497,"/",""))+2,LEN(E2497)-LEN(SUBSTITUTE(E2497,"/",""))+1))</f>
        <v/>
      </c>
      <c r="I2497" s="78">
        <f>IF(ISBLANK(G2497),"",IF(D2497="Stock","0",Key!$A$3*H2497*G2497))</f>
        <v/>
      </c>
      <c r="J2497" s="78">
        <f>IF(ISBLANK(E2497),"",IF(ISNUMBER(SEARCH("/",E2497)), IF(LEN(E2497)-LEN(SUBSTITUTE(E2497,"/",""))=1,(RIGHT(E2497,LEN(E2497)-FIND("/",E2497)))-(LEFT(E2497,FIND("/",E2497)-1)),(MID(E2497, SEARCH("/",E2497) + 1, SEARCH("/",E2497, SEARCH("/",E2497)+1) - SEARCH("/",E2497) - 1))-(LEFT(E2497,FIND("/",E2497)-1))), "NA"))</f>
        <v/>
      </c>
      <c r="K2497" s="79">
        <f>IF(A2497&lt;&gt;"", IF(ISBLANK(L2497), TODAY(), K2497), "")</f>
        <v/>
      </c>
      <c r="L2497" s="78" t="n"/>
      <c r="M2497" s="78">
        <f>IF(ISBLANK(L2497),"",IF(D2497="Stock",IF(C2497="Buy",L2497*G2497,IF(C2497="Sell",(L2497*G2497)-I2497, X)),IF(C2497="Buy",(L2497*G2497*100)+I2497,IF(C2497="Sell",(L2497*G2497*100)-I2497, X))))</f>
        <v/>
      </c>
      <c r="N2497" s="78">
        <f>IF(ISBLANK(L2497),"",IF(AND(C2497="Sell",D2497="Stock"),M2497,IF(ISBLANK(L2497),"",IF(C2497="Buy",M2497, IF(AND(C2497="Sell",J2497="NA"),(E2497*G2497*100*0.1)+I2497, IF(C2497="Sell",(J2497-L2497)*(100*G2497)+I2497))))))</f>
        <v/>
      </c>
      <c r="O2497" s="75" t="n"/>
      <c r="P2497" s="75" t="n"/>
      <c r="Q2497" s="75">
        <f>IF(ISBLANK(P2497),"",IF(D2497="Stock",P2497*G2497,IF(P2497=0,"0",G2497*P2497*100-(G2497*$AF$14))))</f>
        <v/>
      </c>
      <c r="R2497" s="79">
        <f>IF(P2497&lt;&gt;"", TODAY(), "")</f>
        <v/>
      </c>
      <c r="S2497" s="78">
        <f>IF(AND(K2497&lt;&gt;"", R2497&lt;&gt;""), R2497-K2497, "")</f>
        <v/>
      </c>
      <c r="T2497" s="78" t="n"/>
      <c r="U2497" s="92">
        <f>IF(ISBLANK(P2497),"",IF(C2497="Buy",Q2497-M2497+T2497, IF(C2497="Sell",M2497-Q2497-T2497, X)))</f>
        <v/>
      </c>
      <c r="V2497" s="81">
        <f>IF(ISBLANK(P2497),"",U2497/N2497)</f>
        <v/>
      </c>
      <c r="W2497" s="81">
        <f>IF(ISBLANK(P2497),"",IF(S2497=0,(365/0.5)*V2497,(365/S2497)*V2497))</f>
        <v/>
      </c>
      <c r="X2497" s="75" t="n"/>
      <c r="Y2497" s="77" t="n"/>
      <c r="Z2497" s="77" t="n"/>
      <c r="AA2497" s="75" t="n"/>
      <c r="AB2497" s="75" t="n"/>
      <c r="AC2497" s="6" t="n"/>
      <c r="AD2497" s="75" t="n"/>
      <c r="AE2497" s="75" t="n"/>
      <c r="AF2497" s="75" t="n"/>
    </row>
    <row r="2498" ht="15.75" customHeight="1" s="133">
      <c r="A2498" s="75" t="n"/>
      <c r="B2498" s="75" t="n"/>
      <c r="C2498" s="75" t="n"/>
      <c r="D2498" s="75" t="n"/>
      <c r="E2498" s="76" t="n"/>
      <c r="F2498" s="77" t="n"/>
      <c r="G2498" s="75" t="n"/>
      <c r="H2498" s="75">
        <f>IF(ISBLANK(E2498),"",IF(OR(D2498="Butterfly",D2498="Butterfly ",D2498="Iron Fly", D2498="Iron Fly "),LEN(E2498)-LEN(SUBSTITUTE(E2498,"/",""))+2,LEN(E2498)-LEN(SUBSTITUTE(E2498,"/",""))+1))</f>
        <v/>
      </c>
      <c r="I2498" s="78">
        <f>IF(ISBLANK(G2498),"",IF(D2498="Stock","0",Key!$A$3*H2498*G2498))</f>
        <v/>
      </c>
      <c r="J2498" s="78">
        <f>IF(ISBLANK(E2498),"",IF(ISNUMBER(SEARCH("/",E2498)), IF(LEN(E2498)-LEN(SUBSTITUTE(E2498,"/",""))=1,(RIGHT(E2498,LEN(E2498)-FIND("/",E2498)))-(LEFT(E2498,FIND("/",E2498)-1)),(MID(E2498, SEARCH("/",E2498) + 1, SEARCH("/",E2498, SEARCH("/",E2498)+1) - SEARCH("/",E2498) - 1))-(LEFT(E2498,FIND("/",E2498)-1))), "NA"))</f>
        <v/>
      </c>
      <c r="K2498" s="79">
        <f>IF(A2498&lt;&gt;"", IF(ISBLANK(L2498), TODAY(), K2498), "")</f>
        <v/>
      </c>
      <c r="L2498" s="78" t="n"/>
      <c r="M2498" s="78">
        <f>IF(ISBLANK(L2498),"",IF(D2498="Stock",IF(C2498="Buy",L2498*G2498,IF(C2498="Sell",(L2498*G2498)-I2498, X)),IF(C2498="Buy",(L2498*G2498*100)+I2498,IF(C2498="Sell",(L2498*G2498*100)-I2498, X))))</f>
        <v/>
      </c>
      <c r="N2498" s="78">
        <f>IF(ISBLANK(L2498),"",IF(AND(C2498="Sell",D2498="Stock"),M2498,IF(ISBLANK(L2498),"",IF(C2498="Buy",M2498, IF(AND(C2498="Sell",J2498="NA"),(E2498*G2498*100*0.1)+I2498, IF(C2498="Sell",(J2498-L2498)*(100*G2498)+I2498))))))</f>
        <v/>
      </c>
      <c r="O2498" s="75" t="n"/>
      <c r="P2498" s="75" t="n"/>
      <c r="Q2498" s="75">
        <f>IF(ISBLANK(P2498),"",IF(D2498="Stock",P2498*G2498,IF(P2498=0,"0",G2498*P2498*100-(G2498*$AF$14))))</f>
        <v/>
      </c>
      <c r="R2498" s="79">
        <f>IF(P2498&lt;&gt;"", TODAY(), "")</f>
        <v/>
      </c>
      <c r="S2498" s="78">
        <f>IF(AND(K2498&lt;&gt;"", R2498&lt;&gt;""), R2498-K2498, "")</f>
        <v/>
      </c>
      <c r="T2498" s="78" t="n"/>
      <c r="U2498" s="92">
        <f>IF(ISBLANK(P2498),"",IF(C2498="Buy",Q2498-M2498+T2498, IF(C2498="Sell",M2498-Q2498-T2498, X)))</f>
        <v/>
      </c>
      <c r="V2498" s="81">
        <f>IF(ISBLANK(P2498),"",U2498/N2498)</f>
        <v/>
      </c>
      <c r="W2498" s="81">
        <f>IF(ISBLANK(P2498),"",IF(S2498=0,(365/0.5)*V2498,(365/S2498)*V2498))</f>
        <v/>
      </c>
      <c r="X2498" s="75" t="n"/>
      <c r="Y2498" s="77" t="n"/>
      <c r="Z2498" s="77" t="n"/>
      <c r="AA2498" s="75" t="n"/>
      <c r="AB2498" s="75" t="n"/>
      <c r="AC2498" s="6" t="n"/>
      <c r="AD2498" s="75" t="n"/>
      <c r="AE2498" s="75" t="n"/>
      <c r="AF2498" s="75" t="n"/>
    </row>
    <row r="2499" ht="15.75" customHeight="1" s="133">
      <c r="A2499" s="75" t="n"/>
      <c r="B2499" s="75" t="n"/>
      <c r="C2499" s="75" t="n"/>
      <c r="D2499" s="75" t="n"/>
      <c r="E2499" s="76" t="n"/>
      <c r="F2499" s="77" t="n"/>
      <c r="G2499" s="75" t="n"/>
      <c r="H2499" s="75">
        <f>IF(ISBLANK(E2499),"",IF(OR(D2499="Butterfly",D2499="Butterfly ",D2499="Iron Fly", D2499="Iron Fly "),LEN(E2499)-LEN(SUBSTITUTE(E2499,"/",""))+2,LEN(E2499)-LEN(SUBSTITUTE(E2499,"/",""))+1))</f>
        <v/>
      </c>
      <c r="I2499" s="78">
        <f>IF(ISBLANK(G2499),"",IF(D2499="Stock","0",Key!$A$3*H2499*G2499))</f>
        <v/>
      </c>
      <c r="J2499" s="78">
        <f>IF(ISBLANK(E2499),"",IF(ISNUMBER(SEARCH("/",E2499)), IF(LEN(E2499)-LEN(SUBSTITUTE(E2499,"/",""))=1,(RIGHT(E2499,LEN(E2499)-FIND("/",E2499)))-(LEFT(E2499,FIND("/",E2499)-1)),(MID(E2499, SEARCH("/",E2499) + 1, SEARCH("/",E2499, SEARCH("/",E2499)+1) - SEARCH("/",E2499) - 1))-(LEFT(E2499,FIND("/",E2499)-1))), "NA"))</f>
        <v/>
      </c>
      <c r="K2499" s="79">
        <f>IF(A2499&lt;&gt;"", IF(ISBLANK(L2499), TODAY(), K2499), "")</f>
        <v/>
      </c>
      <c r="L2499" s="78" t="n"/>
      <c r="M2499" s="78">
        <f>IF(ISBLANK(L2499),"",IF(D2499="Stock",IF(C2499="Buy",L2499*G2499,IF(C2499="Sell",(L2499*G2499)-I2499, X)),IF(C2499="Buy",(L2499*G2499*100)+I2499,IF(C2499="Sell",(L2499*G2499*100)-I2499, X))))</f>
        <v/>
      </c>
      <c r="N2499" s="78">
        <f>IF(ISBLANK(L2499),"",IF(AND(C2499="Sell",D2499="Stock"),M2499,IF(ISBLANK(L2499),"",IF(C2499="Buy",M2499, IF(AND(C2499="Sell",J2499="NA"),(E2499*G2499*100*0.1)+I2499, IF(C2499="Sell",(J2499-L2499)*(100*G2499)+I2499))))))</f>
        <v/>
      </c>
      <c r="O2499" s="75" t="n"/>
      <c r="P2499" s="75" t="n"/>
      <c r="Q2499" s="75">
        <f>IF(ISBLANK(P2499),"",IF(D2499="Stock",P2499*G2499,IF(P2499=0,"0",G2499*P2499*100-(G2499*$AF$14))))</f>
        <v/>
      </c>
      <c r="R2499" s="79">
        <f>IF(P2499&lt;&gt;"", TODAY(), "")</f>
        <v/>
      </c>
      <c r="S2499" s="78">
        <f>IF(AND(K2499&lt;&gt;"", R2499&lt;&gt;""), R2499-K2499, "")</f>
        <v/>
      </c>
      <c r="T2499" s="78" t="n"/>
      <c r="U2499" s="92">
        <f>IF(ISBLANK(P2499),"",IF(C2499="Buy",Q2499-M2499+T2499, IF(C2499="Sell",M2499-Q2499-T2499, X)))</f>
        <v/>
      </c>
      <c r="V2499" s="81">
        <f>IF(ISBLANK(P2499),"",U2499/N2499)</f>
        <v/>
      </c>
      <c r="W2499" s="81">
        <f>IF(ISBLANK(P2499),"",IF(S2499=0,(365/0.5)*V2499,(365/S2499)*V2499))</f>
        <v/>
      </c>
      <c r="X2499" s="75" t="n"/>
      <c r="Y2499" s="77" t="n"/>
      <c r="Z2499" s="77" t="n"/>
      <c r="AA2499" s="75" t="n"/>
      <c r="AB2499" s="75" t="n"/>
      <c r="AC2499" s="6" t="n"/>
      <c r="AD2499" s="75" t="n"/>
      <c r="AE2499" s="75" t="n"/>
      <c r="AF2499" s="75" t="n"/>
    </row>
    <row r="2500" ht="15.75" customHeight="1" s="133">
      <c r="A2500" s="75" t="n"/>
      <c r="B2500" s="75" t="n"/>
      <c r="C2500" s="75" t="n"/>
      <c r="D2500" s="75" t="n"/>
      <c r="E2500" s="76" t="n"/>
      <c r="F2500" s="77" t="n"/>
      <c r="G2500" s="75" t="n"/>
      <c r="H2500" s="75">
        <f>IF(ISBLANK(E2500),"",IF(OR(D2500="Butterfly",D2500="Butterfly ",D2500="Iron Fly", D2500="Iron Fly "),LEN(E2500)-LEN(SUBSTITUTE(E2500,"/",""))+2,LEN(E2500)-LEN(SUBSTITUTE(E2500,"/",""))+1))</f>
        <v/>
      </c>
      <c r="I2500" s="78">
        <f>IF(ISBLANK(G2500),"",IF(D2500="Stock","0",Key!$A$3*H2500*G2500))</f>
        <v/>
      </c>
      <c r="J2500" s="78">
        <f>IF(ISBLANK(E2500),"",IF(ISNUMBER(SEARCH("/",E2500)), IF(LEN(E2500)-LEN(SUBSTITUTE(E2500,"/",""))=1,(RIGHT(E2500,LEN(E2500)-FIND("/",E2500)))-(LEFT(E2500,FIND("/",E2500)-1)),(MID(E2500, SEARCH("/",E2500) + 1, SEARCH("/",E2500, SEARCH("/",E2500)+1) - SEARCH("/",E2500) - 1))-(LEFT(E2500,FIND("/",E2500)-1))), "NA"))</f>
        <v/>
      </c>
      <c r="K2500" s="79">
        <f>IF(A2500&lt;&gt;"", IF(ISBLANK(L2500), TODAY(), K2500), "")</f>
        <v/>
      </c>
      <c r="L2500" s="78" t="n"/>
      <c r="M2500" s="78">
        <f>IF(ISBLANK(L2500),"",IF(D2500="Stock",IF(C2500="Buy",L2500*G2500,IF(C2500="Sell",(L2500*G2500)-I2500, X)),IF(C2500="Buy",(L2500*G2500*100)+I2500,IF(C2500="Sell",(L2500*G2500*100)-I2500, X))))</f>
        <v/>
      </c>
      <c r="N2500" s="78">
        <f>IF(ISBLANK(L2500),"",IF(AND(C2500="Sell",D2500="Stock"),M2500,IF(ISBLANK(L2500),"",IF(C2500="Buy",M2500, IF(AND(C2500="Sell",J2500="NA"),(E2500*G2500*100*0.1)+I2500, IF(C2500="Sell",(J2500-L2500)*(100*G2500)+I2500))))))</f>
        <v/>
      </c>
      <c r="O2500" s="75" t="n"/>
      <c r="P2500" s="75" t="n"/>
      <c r="Q2500" s="75">
        <f>IF(ISBLANK(P2500),"",IF(D2500="Stock",P2500*G2500,IF(P2500=0,"0",G2500*P2500*100-(G2500*$AF$14))))</f>
        <v/>
      </c>
      <c r="R2500" s="79">
        <f>IF(P2500&lt;&gt;"", TODAY(), "")</f>
        <v/>
      </c>
      <c r="S2500" s="78">
        <f>IF(AND(K2500&lt;&gt;"", R2500&lt;&gt;""), R2500-K2500, "")</f>
        <v/>
      </c>
      <c r="T2500" s="78" t="n"/>
      <c r="U2500" s="92">
        <f>IF(ISBLANK(P2500),"",IF(C2500="Buy",Q2500-M2500+T2500, IF(C2500="Sell",M2500-Q2500-T2500, X)))</f>
        <v/>
      </c>
      <c r="V2500" s="81">
        <f>IF(ISBLANK(P2500),"",U2500/N2500)</f>
        <v/>
      </c>
      <c r="W2500" s="81">
        <f>IF(ISBLANK(P2500),"",IF(S2500=0,(365/0.5)*V2500,(365/S2500)*V2500))</f>
        <v/>
      </c>
      <c r="X2500" s="75" t="n"/>
      <c r="Y2500" s="77" t="n"/>
      <c r="Z2500" s="77" t="n"/>
      <c r="AA2500" s="75" t="n"/>
      <c r="AB2500" s="75" t="n"/>
      <c r="AC2500" s="6" t="n"/>
      <c r="AD2500" s="75" t="n"/>
      <c r="AE2500" s="75" t="n"/>
      <c r="AF2500" s="75" t="n"/>
    </row>
    <row r="2501" ht="15.75" customHeight="1" s="133">
      <c r="A2501" s="75" t="n"/>
      <c r="B2501" s="75" t="n"/>
      <c r="C2501" s="75" t="n"/>
      <c r="D2501" s="75" t="n"/>
      <c r="E2501" s="76" t="n"/>
      <c r="F2501" s="77" t="n"/>
      <c r="G2501" s="75" t="n"/>
      <c r="H2501" s="75">
        <f>IF(ISBLANK(E2501),"",IF(OR(D2501="Butterfly",D2501="Butterfly ",D2501="Iron Fly", D2501="Iron Fly "),LEN(E2501)-LEN(SUBSTITUTE(E2501,"/",""))+2,LEN(E2501)-LEN(SUBSTITUTE(E2501,"/",""))+1))</f>
        <v/>
      </c>
      <c r="I2501" s="78">
        <f>IF(ISBLANK(G2501),"",IF(D2501="Stock","0",Key!$A$3*H2501*G2501))</f>
        <v/>
      </c>
      <c r="J2501" s="78">
        <f>IF(ISBLANK(E2501),"",IF(ISNUMBER(SEARCH("/",E2501)), IF(LEN(E2501)-LEN(SUBSTITUTE(E2501,"/",""))=1,(RIGHT(E2501,LEN(E2501)-FIND("/",E2501)))-(LEFT(E2501,FIND("/",E2501)-1)),(MID(E2501, SEARCH("/",E2501) + 1, SEARCH("/",E2501, SEARCH("/",E2501)+1) - SEARCH("/",E2501) - 1))-(LEFT(E2501,FIND("/",E2501)-1))), "NA"))</f>
        <v/>
      </c>
      <c r="K2501" s="79">
        <f>IF(A2501&lt;&gt;"", IF(ISBLANK(L2501), TODAY(), K2501), "")</f>
        <v/>
      </c>
      <c r="L2501" s="78" t="n"/>
      <c r="M2501" s="78">
        <f>IF(ISBLANK(L2501),"",IF(D2501="Stock",IF(C2501="Buy",L2501*G2501,IF(C2501="Sell",(L2501*G2501)-I2501, X)),IF(C2501="Buy",(L2501*G2501*100)+I2501,IF(C2501="Sell",(L2501*G2501*100)-I2501, X))))</f>
        <v/>
      </c>
      <c r="N2501" s="78">
        <f>IF(ISBLANK(L2501),"",IF(AND(C2501="Sell",D2501="Stock"),M2501,IF(ISBLANK(L2501),"",IF(C2501="Buy",M2501, IF(AND(C2501="Sell",J2501="NA"),(E2501*G2501*100*0.1)+I2501, IF(C2501="Sell",(J2501-L2501)*(100*G2501)+I2501))))))</f>
        <v/>
      </c>
      <c r="O2501" s="75" t="n"/>
      <c r="P2501" s="75" t="n"/>
      <c r="Q2501" s="75">
        <f>IF(ISBLANK(P2501),"",IF(D2501="Stock",P2501*G2501,IF(P2501=0,"0",G2501*P2501*100-(G2501*$AF$14))))</f>
        <v/>
      </c>
      <c r="R2501" s="79">
        <f>IF(P2501&lt;&gt;"", TODAY(), "")</f>
        <v/>
      </c>
      <c r="S2501" s="78">
        <f>IF(AND(K2501&lt;&gt;"", R2501&lt;&gt;""), R2501-K2501, "")</f>
        <v/>
      </c>
      <c r="T2501" s="78" t="n"/>
      <c r="U2501" s="92">
        <f>IF(ISBLANK(P2501),"",IF(C2501="Buy",Q2501-M2501+T2501, IF(C2501="Sell",M2501-Q2501-T2501, X)))</f>
        <v/>
      </c>
      <c r="V2501" s="81">
        <f>IF(ISBLANK(P2501),"",U2501/N2501)</f>
        <v/>
      </c>
      <c r="W2501" s="81">
        <f>IF(ISBLANK(P2501),"",IF(S2501=0,(365/0.5)*V2501,(365/S2501)*V2501))</f>
        <v/>
      </c>
      <c r="X2501" s="75" t="n"/>
      <c r="Y2501" s="77" t="n"/>
      <c r="Z2501" s="77" t="n"/>
      <c r="AA2501" s="75" t="n"/>
      <c r="AB2501" s="75" t="n"/>
      <c r="AC2501" s="6" t="n"/>
      <c r="AD2501" s="75" t="n"/>
      <c r="AE2501" s="75" t="n"/>
      <c r="AF2501" s="75" t="n"/>
    </row>
    <row r="2502" ht="15.75" customHeight="1" s="133">
      <c r="A2502" s="75" t="n"/>
      <c r="B2502" s="75" t="n"/>
      <c r="C2502" s="75" t="n"/>
      <c r="D2502" s="75" t="n"/>
      <c r="E2502" s="76" t="n"/>
      <c r="F2502" s="77" t="n"/>
      <c r="G2502" s="75" t="n"/>
      <c r="H2502" s="75">
        <f>IF(ISBLANK(E2502),"",IF(OR(D2502="Butterfly",D2502="Butterfly ",D2502="Iron Fly", D2502="Iron Fly "),LEN(E2502)-LEN(SUBSTITUTE(E2502,"/",""))+2,LEN(E2502)-LEN(SUBSTITUTE(E2502,"/",""))+1))</f>
        <v/>
      </c>
      <c r="I2502" s="78">
        <f>IF(ISBLANK(G2502),"",IF(D2502="Stock","0",Key!$A$3*H2502*G2502))</f>
        <v/>
      </c>
      <c r="J2502" s="78">
        <f>IF(ISBLANK(E2502),"",IF(ISNUMBER(SEARCH("/",E2502)), IF(LEN(E2502)-LEN(SUBSTITUTE(E2502,"/",""))=1,(RIGHT(E2502,LEN(E2502)-FIND("/",E2502)))-(LEFT(E2502,FIND("/",E2502)-1)),(MID(E2502, SEARCH("/",E2502) + 1, SEARCH("/",E2502, SEARCH("/",E2502)+1) - SEARCH("/",E2502) - 1))-(LEFT(E2502,FIND("/",E2502)-1))), "NA"))</f>
        <v/>
      </c>
      <c r="K2502" s="79">
        <f>IF(A2502&lt;&gt;"", IF(ISBLANK(L2502), TODAY(), K2502), "")</f>
        <v/>
      </c>
      <c r="L2502" s="78" t="n"/>
      <c r="M2502" s="78">
        <f>IF(ISBLANK(L2502),"",IF(D2502="Stock",IF(C2502="Buy",L2502*G2502,IF(C2502="Sell",(L2502*G2502)-I2502, X)),IF(C2502="Buy",(L2502*G2502*100)+I2502,IF(C2502="Sell",(L2502*G2502*100)-I2502, X))))</f>
        <v/>
      </c>
      <c r="N2502" s="78">
        <f>IF(ISBLANK(L2502),"",IF(AND(C2502="Sell",D2502="Stock"),M2502,IF(ISBLANK(L2502),"",IF(C2502="Buy",M2502, IF(AND(C2502="Sell",J2502="NA"),(E2502*G2502*100*0.1)+I2502, IF(C2502="Sell",(J2502-L2502)*(100*G2502)+I2502))))))</f>
        <v/>
      </c>
      <c r="O2502" s="75" t="n"/>
      <c r="P2502" s="75" t="n"/>
      <c r="Q2502" s="75">
        <f>IF(ISBLANK(P2502),"",IF(D2502="Stock",P2502*G2502,IF(P2502=0,"0",G2502*P2502*100-(G2502*$AF$14))))</f>
        <v/>
      </c>
      <c r="R2502" s="79">
        <f>IF(P2502&lt;&gt;"", TODAY(), "")</f>
        <v/>
      </c>
      <c r="S2502" s="78">
        <f>IF(AND(K2502&lt;&gt;"", R2502&lt;&gt;""), R2502-K2502, "")</f>
        <v/>
      </c>
      <c r="T2502" s="78" t="n"/>
      <c r="U2502" s="92">
        <f>IF(ISBLANK(P2502),"",IF(C2502="Buy",Q2502-M2502+T2502, IF(C2502="Sell",M2502-Q2502-T2502, X)))</f>
        <v/>
      </c>
      <c r="V2502" s="81">
        <f>IF(ISBLANK(P2502),"",U2502/N2502)</f>
        <v/>
      </c>
      <c r="W2502" s="81">
        <f>IF(ISBLANK(P2502),"",IF(S2502=0,(365/0.5)*V2502,(365/S2502)*V2502))</f>
        <v/>
      </c>
      <c r="X2502" s="75" t="n"/>
      <c r="Y2502" s="77" t="n"/>
      <c r="Z2502" s="77" t="n"/>
      <c r="AA2502" s="75" t="n"/>
      <c r="AB2502" s="75" t="n"/>
      <c r="AC2502" s="6" t="n"/>
      <c r="AD2502" s="75" t="n"/>
      <c r="AE2502" s="75" t="n"/>
      <c r="AF2502" s="75" t="n"/>
    </row>
    <row r="2503" ht="15.75" customHeight="1" s="133">
      <c r="A2503" s="75" t="n"/>
      <c r="B2503" s="75" t="n"/>
      <c r="C2503" s="75" t="n"/>
      <c r="D2503" s="75" t="n"/>
      <c r="E2503" s="76" t="n"/>
      <c r="F2503" s="77" t="n"/>
      <c r="G2503" s="75" t="n"/>
      <c r="H2503" s="75">
        <f>IF(ISBLANK(E2503),"",IF(OR(D2503="Butterfly",D2503="Butterfly ",D2503="Iron Fly", D2503="Iron Fly "),LEN(E2503)-LEN(SUBSTITUTE(E2503,"/",""))+2,LEN(E2503)-LEN(SUBSTITUTE(E2503,"/",""))+1))</f>
        <v/>
      </c>
      <c r="I2503" s="78">
        <f>IF(ISBLANK(G2503),"",IF(D2503="Stock","0",Key!$A$3*H2503*G2503))</f>
        <v/>
      </c>
      <c r="J2503" s="78">
        <f>IF(ISBLANK(E2503),"",IF(ISNUMBER(SEARCH("/",E2503)), IF(LEN(E2503)-LEN(SUBSTITUTE(E2503,"/",""))=1,(RIGHT(E2503,LEN(E2503)-FIND("/",E2503)))-(LEFT(E2503,FIND("/",E2503)-1)),(MID(E2503, SEARCH("/",E2503) + 1, SEARCH("/",E2503, SEARCH("/",E2503)+1) - SEARCH("/",E2503) - 1))-(LEFT(E2503,FIND("/",E2503)-1))), "NA"))</f>
        <v/>
      </c>
      <c r="K2503" s="79">
        <f>IF(A2503&lt;&gt;"", IF(ISBLANK(L2503), TODAY(), K2503), "")</f>
        <v/>
      </c>
      <c r="L2503" s="78" t="n"/>
      <c r="M2503" s="78">
        <f>IF(ISBLANK(L2503),"",IF(D2503="Stock",IF(C2503="Buy",L2503*G2503,IF(C2503="Sell",(L2503*G2503)-I2503, X)),IF(C2503="Buy",(L2503*G2503*100)+I2503,IF(C2503="Sell",(L2503*G2503*100)-I2503, X))))</f>
        <v/>
      </c>
      <c r="N2503" s="78">
        <f>IF(ISBLANK(L2503),"",IF(AND(C2503="Sell",D2503="Stock"),M2503,IF(ISBLANK(L2503),"",IF(C2503="Buy",M2503, IF(AND(C2503="Sell",J2503="NA"),(E2503*G2503*100*0.1)+I2503, IF(C2503="Sell",(J2503-L2503)*(100*G2503)+I2503))))))</f>
        <v/>
      </c>
      <c r="O2503" s="75" t="n"/>
      <c r="P2503" s="75" t="n"/>
      <c r="Q2503" s="75">
        <f>IF(ISBLANK(P2503),"",IF(D2503="Stock",P2503*G2503,IF(P2503=0,"0",G2503*P2503*100-(G2503*$AF$14))))</f>
        <v/>
      </c>
      <c r="R2503" s="79">
        <f>IF(P2503&lt;&gt;"", TODAY(), "")</f>
        <v/>
      </c>
      <c r="S2503" s="78">
        <f>IF(AND(K2503&lt;&gt;"", R2503&lt;&gt;""), R2503-K2503, "")</f>
        <v/>
      </c>
      <c r="T2503" s="78" t="n"/>
      <c r="U2503" s="92">
        <f>IF(ISBLANK(P2503),"",IF(C2503="Buy",Q2503-M2503+T2503, IF(C2503="Sell",M2503-Q2503-T2503, X)))</f>
        <v/>
      </c>
      <c r="V2503" s="81">
        <f>IF(ISBLANK(P2503),"",U2503/N2503)</f>
        <v/>
      </c>
      <c r="W2503" s="81">
        <f>IF(ISBLANK(P2503),"",IF(S2503=0,(365/0.5)*V2503,(365/S2503)*V2503))</f>
        <v/>
      </c>
      <c r="X2503" s="75" t="n"/>
      <c r="Y2503" s="77" t="n"/>
      <c r="Z2503" s="77" t="n"/>
      <c r="AA2503" s="75" t="n"/>
      <c r="AB2503" s="75" t="n"/>
      <c r="AC2503" s="6" t="n"/>
      <c r="AD2503" s="75" t="n"/>
      <c r="AE2503" s="75" t="n"/>
      <c r="AF2503" s="75" t="n"/>
    </row>
    <row r="2504" ht="15.75" customHeight="1" s="133">
      <c r="A2504" s="75" t="n"/>
      <c r="B2504" s="75" t="n"/>
      <c r="C2504" s="75" t="n"/>
      <c r="D2504" s="75" t="n"/>
      <c r="E2504" s="76" t="n"/>
      <c r="F2504" s="77" t="n"/>
      <c r="G2504" s="75" t="n"/>
      <c r="H2504" s="75">
        <f>IF(ISBLANK(E2504),"",IF(OR(D2504="Butterfly",D2504="Butterfly ",D2504="Iron Fly", D2504="Iron Fly "),LEN(E2504)-LEN(SUBSTITUTE(E2504,"/",""))+2,LEN(E2504)-LEN(SUBSTITUTE(E2504,"/",""))+1))</f>
        <v/>
      </c>
      <c r="I2504" s="78">
        <f>IF(ISBLANK(G2504),"",IF(D2504="Stock","0",Key!$A$3*H2504*G2504))</f>
        <v/>
      </c>
      <c r="J2504" s="78">
        <f>IF(ISBLANK(E2504),"",IF(ISNUMBER(SEARCH("/",E2504)), IF(LEN(E2504)-LEN(SUBSTITUTE(E2504,"/",""))=1,(RIGHT(E2504,LEN(E2504)-FIND("/",E2504)))-(LEFT(E2504,FIND("/",E2504)-1)),(MID(E2504, SEARCH("/",E2504) + 1, SEARCH("/",E2504, SEARCH("/",E2504)+1) - SEARCH("/",E2504) - 1))-(LEFT(E2504,FIND("/",E2504)-1))), "NA"))</f>
        <v/>
      </c>
      <c r="K2504" s="79">
        <f>IF(A2504&lt;&gt;"", IF(ISBLANK(L2504), TODAY(), K2504), "")</f>
        <v/>
      </c>
      <c r="L2504" s="78" t="n"/>
      <c r="M2504" s="78">
        <f>IF(ISBLANK(L2504),"",IF(D2504="Stock",IF(C2504="Buy",L2504*G2504,IF(C2504="Sell",(L2504*G2504)-I2504, X)),IF(C2504="Buy",(L2504*G2504*100)+I2504,IF(C2504="Sell",(L2504*G2504*100)-I2504, X))))</f>
        <v/>
      </c>
      <c r="N2504" s="78">
        <f>IF(ISBLANK(L2504),"",IF(AND(C2504="Sell",D2504="Stock"),M2504,IF(ISBLANK(L2504),"",IF(C2504="Buy",M2504, IF(AND(C2504="Sell",J2504="NA"),(E2504*G2504*100*0.1)+I2504, IF(C2504="Sell",(J2504-L2504)*(100*G2504)+I2504))))))</f>
        <v/>
      </c>
      <c r="O2504" s="75" t="n"/>
      <c r="P2504" s="75" t="n"/>
      <c r="Q2504" s="75">
        <f>IF(ISBLANK(P2504),"",IF(D2504="Stock",P2504*G2504,IF(P2504=0,"0",G2504*P2504*100-(G2504*$AF$14))))</f>
        <v/>
      </c>
      <c r="R2504" s="79">
        <f>IF(P2504&lt;&gt;"", TODAY(), "")</f>
        <v/>
      </c>
      <c r="S2504" s="78">
        <f>IF(AND(K2504&lt;&gt;"", R2504&lt;&gt;""), R2504-K2504, "")</f>
        <v/>
      </c>
      <c r="T2504" s="78" t="n"/>
      <c r="U2504" s="92">
        <f>IF(ISBLANK(P2504),"",IF(C2504="Buy",Q2504-M2504+T2504, IF(C2504="Sell",M2504-Q2504-T2504, X)))</f>
        <v/>
      </c>
      <c r="V2504" s="81">
        <f>IF(ISBLANK(P2504),"",U2504/N2504)</f>
        <v/>
      </c>
      <c r="W2504" s="81">
        <f>IF(ISBLANK(P2504),"",IF(S2504=0,(365/0.5)*V2504,(365/S2504)*V2504))</f>
        <v/>
      </c>
      <c r="X2504" s="75" t="n"/>
      <c r="Y2504" s="77" t="n"/>
      <c r="Z2504" s="77" t="n"/>
      <c r="AA2504" s="75" t="n"/>
      <c r="AB2504" s="75" t="n"/>
      <c r="AC2504" s="6" t="n"/>
      <c r="AD2504" s="75" t="n"/>
      <c r="AE2504" s="75" t="n"/>
      <c r="AF2504" s="75" t="n"/>
    </row>
    <row r="2505" ht="15.75" customHeight="1" s="133">
      <c r="A2505" s="75" t="n"/>
      <c r="B2505" s="75" t="n"/>
      <c r="C2505" s="75" t="n"/>
      <c r="D2505" s="75" t="n"/>
      <c r="E2505" s="76" t="n"/>
      <c r="F2505" s="77" t="n"/>
      <c r="G2505" s="75" t="n"/>
      <c r="H2505" s="75">
        <f>IF(ISBLANK(E2505),"",IF(OR(D2505="Butterfly",D2505="Butterfly ",D2505="Iron Fly", D2505="Iron Fly "),LEN(E2505)-LEN(SUBSTITUTE(E2505,"/",""))+2,LEN(E2505)-LEN(SUBSTITUTE(E2505,"/",""))+1))</f>
        <v/>
      </c>
      <c r="I2505" s="78">
        <f>IF(ISBLANK(G2505),"",IF(D2505="Stock","0",Key!$A$3*H2505*G2505))</f>
        <v/>
      </c>
      <c r="J2505" s="78">
        <f>IF(ISBLANK(E2505),"",IF(ISNUMBER(SEARCH("/",E2505)), IF(LEN(E2505)-LEN(SUBSTITUTE(E2505,"/",""))=1,(RIGHT(E2505,LEN(E2505)-FIND("/",E2505)))-(LEFT(E2505,FIND("/",E2505)-1)),(MID(E2505, SEARCH("/",E2505) + 1, SEARCH("/",E2505, SEARCH("/",E2505)+1) - SEARCH("/",E2505) - 1))-(LEFT(E2505,FIND("/",E2505)-1))), "NA"))</f>
        <v/>
      </c>
      <c r="K2505" s="79">
        <f>IF(A2505&lt;&gt;"", IF(ISBLANK(L2505), TODAY(), K2505), "")</f>
        <v/>
      </c>
      <c r="L2505" s="78" t="n"/>
      <c r="M2505" s="78">
        <f>IF(ISBLANK(L2505),"",IF(D2505="Stock",IF(C2505="Buy",L2505*G2505,IF(C2505="Sell",(L2505*G2505)-I2505, X)),IF(C2505="Buy",(L2505*G2505*100)+I2505,IF(C2505="Sell",(L2505*G2505*100)-I2505, X))))</f>
        <v/>
      </c>
      <c r="N2505" s="78">
        <f>IF(ISBLANK(L2505),"",IF(AND(C2505="Sell",D2505="Stock"),M2505,IF(ISBLANK(L2505),"",IF(C2505="Buy",M2505, IF(AND(C2505="Sell",J2505="NA"),(E2505*G2505*100*0.1)+I2505, IF(C2505="Sell",(J2505-L2505)*(100*G2505)+I2505))))))</f>
        <v/>
      </c>
      <c r="O2505" s="75" t="n"/>
      <c r="P2505" s="75" t="n"/>
      <c r="Q2505" s="75">
        <f>IF(ISBLANK(P2505),"",IF(D2505="Stock",P2505*G2505,IF(P2505=0,"0",G2505*P2505*100-(G2505*$AF$14))))</f>
        <v/>
      </c>
      <c r="R2505" s="79">
        <f>IF(P2505&lt;&gt;"", TODAY(), "")</f>
        <v/>
      </c>
      <c r="S2505" s="78">
        <f>IF(AND(K2505&lt;&gt;"", R2505&lt;&gt;""), R2505-K2505, "")</f>
        <v/>
      </c>
      <c r="T2505" s="78" t="n"/>
      <c r="U2505" s="92">
        <f>IF(ISBLANK(P2505),"",IF(C2505="Buy",Q2505-M2505+T2505, IF(C2505="Sell",M2505-Q2505-T2505, X)))</f>
        <v/>
      </c>
      <c r="V2505" s="81">
        <f>IF(ISBLANK(P2505),"",U2505/N2505)</f>
        <v/>
      </c>
      <c r="W2505" s="81">
        <f>IF(ISBLANK(P2505),"",IF(S2505=0,(365/0.5)*V2505,(365/S2505)*V2505))</f>
        <v/>
      </c>
      <c r="X2505" s="75" t="n"/>
      <c r="Y2505" s="77" t="n"/>
      <c r="Z2505" s="77" t="n"/>
      <c r="AA2505" s="75" t="n"/>
      <c r="AB2505" s="75" t="n"/>
      <c r="AC2505" s="6" t="n"/>
      <c r="AD2505" s="75" t="n"/>
      <c r="AE2505" s="75" t="n"/>
      <c r="AF2505" s="75" t="n"/>
    </row>
    <row r="2506" ht="15.75" customHeight="1" s="133">
      <c r="A2506" s="75" t="n"/>
      <c r="B2506" s="75" t="n"/>
      <c r="C2506" s="75" t="n"/>
      <c r="D2506" s="75" t="n"/>
      <c r="E2506" s="76" t="n"/>
      <c r="F2506" s="77" t="n"/>
      <c r="G2506" s="75" t="n"/>
      <c r="H2506" s="75">
        <f>IF(ISBLANK(E2506),"",IF(OR(D2506="Butterfly",D2506="Butterfly ",D2506="Iron Fly", D2506="Iron Fly "),LEN(E2506)-LEN(SUBSTITUTE(E2506,"/",""))+2,LEN(E2506)-LEN(SUBSTITUTE(E2506,"/",""))+1))</f>
        <v/>
      </c>
      <c r="I2506" s="78">
        <f>IF(ISBLANK(G2506),"",IF(D2506="Stock","0",Key!$A$3*H2506*G2506))</f>
        <v/>
      </c>
      <c r="J2506" s="78">
        <f>IF(ISBLANK(E2506),"",IF(ISNUMBER(SEARCH("/",E2506)), IF(LEN(E2506)-LEN(SUBSTITUTE(E2506,"/",""))=1,(RIGHT(E2506,LEN(E2506)-FIND("/",E2506)))-(LEFT(E2506,FIND("/",E2506)-1)),(MID(E2506, SEARCH("/",E2506) + 1, SEARCH("/",E2506, SEARCH("/",E2506)+1) - SEARCH("/",E2506) - 1))-(LEFT(E2506,FIND("/",E2506)-1))), "NA"))</f>
        <v/>
      </c>
      <c r="K2506" s="79">
        <f>IF(A2506&lt;&gt;"", IF(ISBLANK(L2506), TODAY(), K2506), "")</f>
        <v/>
      </c>
      <c r="L2506" s="78" t="n"/>
      <c r="M2506" s="78">
        <f>IF(ISBLANK(L2506),"",IF(D2506="Stock",IF(C2506="Buy",L2506*G2506,IF(C2506="Sell",(L2506*G2506)-I2506, X)),IF(C2506="Buy",(L2506*G2506*100)+I2506,IF(C2506="Sell",(L2506*G2506*100)-I2506, X))))</f>
        <v/>
      </c>
      <c r="N2506" s="78">
        <f>IF(ISBLANK(L2506),"",IF(AND(C2506="Sell",D2506="Stock"),M2506,IF(ISBLANK(L2506),"",IF(C2506="Buy",M2506, IF(AND(C2506="Sell",J2506="NA"),(E2506*G2506*100*0.1)+I2506, IF(C2506="Sell",(J2506-L2506)*(100*G2506)+I2506))))))</f>
        <v/>
      </c>
      <c r="O2506" s="75" t="n"/>
      <c r="P2506" s="75" t="n"/>
      <c r="Q2506" s="75">
        <f>IF(ISBLANK(P2506),"",IF(D2506="Stock",P2506*G2506,IF(P2506=0,"0",G2506*P2506*100-(G2506*$AF$14))))</f>
        <v/>
      </c>
      <c r="R2506" s="79">
        <f>IF(P2506&lt;&gt;"", TODAY(), "")</f>
        <v/>
      </c>
      <c r="S2506" s="78">
        <f>IF(AND(K2506&lt;&gt;"", R2506&lt;&gt;""), R2506-K2506, "")</f>
        <v/>
      </c>
      <c r="T2506" s="78" t="n"/>
      <c r="U2506" s="92">
        <f>IF(ISBLANK(P2506),"",IF(C2506="Buy",Q2506-M2506+T2506, IF(C2506="Sell",M2506-Q2506-T2506, X)))</f>
        <v/>
      </c>
      <c r="V2506" s="81">
        <f>IF(ISBLANK(P2506),"",U2506/N2506)</f>
        <v/>
      </c>
      <c r="W2506" s="81">
        <f>IF(ISBLANK(P2506),"",IF(S2506=0,(365/0.5)*V2506,(365/S2506)*V2506))</f>
        <v/>
      </c>
      <c r="X2506" s="75" t="n"/>
      <c r="Y2506" s="77" t="n"/>
      <c r="Z2506" s="77" t="n"/>
      <c r="AA2506" s="75" t="n"/>
      <c r="AB2506" s="75" t="n"/>
      <c r="AC2506" s="6" t="n"/>
      <c r="AD2506" s="75" t="n"/>
      <c r="AE2506" s="75" t="n"/>
      <c r="AF2506" s="75" t="n"/>
    </row>
    <row r="2507" ht="15.75" customHeight="1" s="133">
      <c r="A2507" s="75" t="n"/>
      <c r="B2507" s="75" t="n"/>
      <c r="C2507" s="75" t="n"/>
      <c r="D2507" s="75" t="n"/>
      <c r="E2507" s="76" t="n"/>
      <c r="F2507" s="77" t="n"/>
      <c r="G2507" s="75" t="n"/>
      <c r="H2507" s="75">
        <f>IF(ISBLANK(E2507),"",IF(OR(D2507="Butterfly",D2507="Butterfly ",D2507="Iron Fly", D2507="Iron Fly "),LEN(E2507)-LEN(SUBSTITUTE(E2507,"/",""))+2,LEN(E2507)-LEN(SUBSTITUTE(E2507,"/",""))+1))</f>
        <v/>
      </c>
      <c r="I2507" s="78">
        <f>IF(ISBLANK(G2507),"",IF(D2507="Stock","0",Key!$A$3*H2507*G2507))</f>
        <v/>
      </c>
      <c r="J2507" s="78">
        <f>IF(ISBLANK(E2507),"",IF(ISNUMBER(SEARCH("/",E2507)), IF(LEN(E2507)-LEN(SUBSTITUTE(E2507,"/",""))=1,(RIGHT(E2507,LEN(E2507)-FIND("/",E2507)))-(LEFT(E2507,FIND("/",E2507)-1)),(MID(E2507, SEARCH("/",E2507) + 1, SEARCH("/",E2507, SEARCH("/",E2507)+1) - SEARCH("/",E2507) - 1))-(LEFT(E2507,FIND("/",E2507)-1))), "NA"))</f>
        <v/>
      </c>
      <c r="K2507" s="79">
        <f>IF(A2507&lt;&gt;"", IF(ISBLANK(L2507), TODAY(), K2507), "")</f>
        <v/>
      </c>
      <c r="L2507" s="78" t="n"/>
      <c r="M2507" s="78">
        <f>IF(ISBLANK(L2507),"",IF(D2507="Stock",IF(C2507="Buy",L2507*G2507,IF(C2507="Sell",(L2507*G2507)-I2507, X)),IF(C2507="Buy",(L2507*G2507*100)+I2507,IF(C2507="Sell",(L2507*G2507*100)-I2507, X))))</f>
        <v/>
      </c>
      <c r="N2507" s="78">
        <f>IF(ISBLANK(L2507),"",IF(AND(C2507="Sell",D2507="Stock"),M2507,IF(ISBLANK(L2507),"",IF(C2507="Buy",M2507, IF(AND(C2507="Sell",J2507="NA"),(E2507*G2507*100*0.1)+I2507, IF(C2507="Sell",(J2507-L2507)*(100*G2507)+I2507))))))</f>
        <v/>
      </c>
      <c r="O2507" s="75" t="n"/>
      <c r="P2507" s="75" t="n"/>
      <c r="Q2507" s="75">
        <f>IF(ISBLANK(P2507),"",IF(D2507="Stock",P2507*G2507,IF(P2507=0,"0",G2507*P2507*100-(G2507*$AF$14))))</f>
        <v/>
      </c>
      <c r="R2507" s="79">
        <f>IF(P2507&lt;&gt;"", TODAY(), "")</f>
        <v/>
      </c>
      <c r="S2507" s="78">
        <f>IF(AND(K2507&lt;&gt;"", R2507&lt;&gt;""), R2507-K2507, "")</f>
        <v/>
      </c>
      <c r="T2507" s="78" t="n"/>
      <c r="U2507" s="92">
        <f>IF(ISBLANK(P2507),"",IF(C2507="Buy",Q2507-M2507+T2507, IF(C2507="Sell",M2507-Q2507-T2507, X)))</f>
        <v/>
      </c>
      <c r="V2507" s="81">
        <f>IF(ISBLANK(P2507),"",U2507/N2507)</f>
        <v/>
      </c>
      <c r="W2507" s="81">
        <f>IF(ISBLANK(P2507),"",IF(S2507=0,(365/0.5)*V2507,(365/S2507)*V2507))</f>
        <v/>
      </c>
      <c r="X2507" s="75" t="n"/>
      <c r="Y2507" s="77" t="n"/>
      <c r="Z2507" s="77" t="n"/>
      <c r="AA2507" s="75" t="n"/>
      <c r="AB2507" s="75" t="n"/>
      <c r="AC2507" s="6" t="n"/>
      <c r="AD2507" s="75" t="n"/>
      <c r="AE2507" s="75" t="n"/>
      <c r="AF2507" s="75" t="n"/>
    </row>
    <row r="2508" ht="15.75" customHeight="1" s="133">
      <c r="A2508" s="75" t="n"/>
      <c r="B2508" s="75" t="n"/>
      <c r="C2508" s="75" t="n"/>
      <c r="D2508" s="75" t="n"/>
      <c r="E2508" s="76" t="n"/>
      <c r="F2508" s="77" t="n"/>
      <c r="G2508" s="75" t="n"/>
      <c r="H2508" s="75">
        <f>IF(ISBLANK(E2508),"",IF(OR(D2508="Butterfly",D2508="Butterfly ",D2508="Iron Fly", D2508="Iron Fly "),LEN(E2508)-LEN(SUBSTITUTE(E2508,"/",""))+2,LEN(E2508)-LEN(SUBSTITUTE(E2508,"/",""))+1))</f>
        <v/>
      </c>
      <c r="I2508" s="78">
        <f>IF(ISBLANK(G2508),"",IF(D2508="Stock","0",Key!$A$3*H2508*G2508))</f>
        <v/>
      </c>
      <c r="J2508" s="78">
        <f>IF(ISBLANK(E2508),"",IF(ISNUMBER(SEARCH("/",E2508)), IF(LEN(E2508)-LEN(SUBSTITUTE(E2508,"/",""))=1,(RIGHT(E2508,LEN(E2508)-FIND("/",E2508)))-(LEFT(E2508,FIND("/",E2508)-1)),(MID(E2508, SEARCH("/",E2508) + 1, SEARCH("/",E2508, SEARCH("/",E2508)+1) - SEARCH("/",E2508) - 1))-(LEFT(E2508,FIND("/",E2508)-1))), "NA"))</f>
        <v/>
      </c>
      <c r="K2508" s="79">
        <f>IF(A2508&lt;&gt;"", IF(ISBLANK(L2508), TODAY(), K2508), "")</f>
        <v/>
      </c>
      <c r="L2508" s="78" t="n"/>
      <c r="M2508" s="78">
        <f>IF(ISBLANK(L2508),"",IF(D2508="Stock",IF(C2508="Buy",L2508*G2508,IF(C2508="Sell",(L2508*G2508)-I2508, X)),IF(C2508="Buy",(L2508*G2508*100)+I2508,IF(C2508="Sell",(L2508*G2508*100)-I2508, X))))</f>
        <v/>
      </c>
      <c r="N2508" s="78">
        <f>IF(ISBLANK(L2508),"",IF(AND(C2508="Sell",D2508="Stock"),M2508,IF(ISBLANK(L2508),"",IF(C2508="Buy",M2508, IF(AND(C2508="Sell",J2508="NA"),(E2508*G2508*100*0.1)+I2508, IF(C2508="Sell",(J2508-L2508)*(100*G2508)+I2508))))))</f>
        <v/>
      </c>
      <c r="O2508" s="75" t="n"/>
      <c r="P2508" s="75" t="n"/>
      <c r="Q2508" s="75">
        <f>IF(ISBLANK(P2508),"",IF(D2508="Stock",P2508*G2508,IF(P2508=0,"0",G2508*P2508*100-(G2508*$AF$14))))</f>
        <v/>
      </c>
      <c r="R2508" s="79">
        <f>IF(P2508&lt;&gt;"", TODAY(), "")</f>
        <v/>
      </c>
      <c r="S2508" s="78">
        <f>IF(AND(K2508&lt;&gt;"", R2508&lt;&gt;""), R2508-K2508, "")</f>
        <v/>
      </c>
      <c r="T2508" s="78" t="n"/>
      <c r="U2508" s="92">
        <f>IF(ISBLANK(P2508),"",IF(C2508="Buy",Q2508-M2508+T2508, IF(C2508="Sell",M2508-Q2508-T2508, X)))</f>
        <v/>
      </c>
      <c r="V2508" s="81">
        <f>IF(ISBLANK(P2508),"",U2508/N2508)</f>
        <v/>
      </c>
      <c r="W2508" s="81">
        <f>IF(ISBLANK(P2508),"",IF(S2508=0,(365/0.5)*V2508,(365/S2508)*V2508))</f>
        <v/>
      </c>
      <c r="X2508" s="75" t="n"/>
      <c r="Y2508" s="77" t="n"/>
      <c r="Z2508" s="77" t="n"/>
      <c r="AA2508" s="75" t="n"/>
      <c r="AB2508" s="75" t="n"/>
      <c r="AC2508" s="6" t="n"/>
      <c r="AD2508" s="75" t="n"/>
      <c r="AE2508" s="75" t="n"/>
      <c r="AF2508" s="75" t="n"/>
    </row>
    <row r="2509" ht="15.75" customHeight="1" s="133">
      <c r="A2509" s="75" t="n"/>
      <c r="B2509" s="75" t="n"/>
      <c r="C2509" s="75" t="n"/>
      <c r="D2509" s="75" t="n"/>
      <c r="E2509" s="76" t="n"/>
      <c r="F2509" s="77" t="n"/>
      <c r="G2509" s="75" t="n"/>
      <c r="H2509" s="75">
        <f>IF(ISBLANK(E2509),"",IF(OR(D2509="Butterfly",D2509="Butterfly ",D2509="Iron Fly", D2509="Iron Fly "),LEN(E2509)-LEN(SUBSTITUTE(E2509,"/",""))+2,LEN(E2509)-LEN(SUBSTITUTE(E2509,"/",""))+1))</f>
        <v/>
      </c>
      <c r="I2509" s="78">
        <f>IF(ISBLANK(G2509),"",IF(D2509="Stock","0",Key!$A$3*H2509*G2509))</f>
        <v/>
      </c>
      <c r="J2509" s="78">
        <f>IF(ISBLANK(E2509),"",IF(ISNUMBER(SEARCH("/",E2509)), IF(LEN(E2509)-LEN(SUBSTITUTE(E2509,"/",""))=1,(RIGHT(E2509,LEN(E2509)-FIND("/",E2509)))-(LEFT(E2509,FIND("/",E2509)-1)),(MID(E2509, SEARCH("/",E2509) + 1, SEARCH("/",E2509, SEARCH("/",E2509)+1) - SEARCH("/",E2509) - 1))-(LEFT(E2509,FIND("/",E2509)-1))), "NA"))</f>
        <v/>
      </c>
      <c r="K2509" s="79">
        <f>IF(A2509&lt;&gt;"", IF(ISBLANK(L2509), TODAY(), K2509), "")</f>
        <v/>
      </c>
      <c r="L2509" s="78" t="n"/>
      <c r="M2509" s="78">
        <f>IF(ISBLANK(L2509),"",IF(D2509="Stock",IF(C2509="Buy",L2509*G2509,IF(C2509="Sell",(L2509*G2509)-I2509, X)),IF(C2509="Buy",(L2509*G2509*100)+I2509,IF(C2509="Sell",(L2509*G2509*100)-I2509, X))))</f>
        <v/>
      </c>
      <c r="N2509" s="78">
        <f>IF(ISBLANK(L2509),"",IF(AND(C2509="Sell",D2509="Stock"),M2509,IF(ISBLANK(L2509),"",IF(C2509="Buy",M2509, IF(AND(C2509="Sell",J2509="NA"),(E2509*G2509*100*0.1)+I2509, IF(C2509="Sell",(J2509-L2509)*(100*G2509)+I2509))))))</f>
        <v/>
      </c>
      <c r="O2509" s="75" t="n"/>
      <c r="P2509" s="75" t="n"/>
      <c r="Q2509" s="75">
        <f>IF(ISBLANK(P2509),"",IF(D2509="Stock",P2509*G2509,IF(P2509=0,"0",G2509*P2509*100-(G2509*$AF$14))))</f>
        <v/>
      </c>
      <c r="R2509" s="79">
        <f>IF(P2509&lt;&gt;"", TODAY(), "")</f>
        <v/>
      </c>
      <c r="S2509" s="78">
        <f>IF(AND(K2509&lt;&gt;"", R2509&lt;&gt;""), R2509-K2509, "")</f>
        <v/>
      </c>
      <c r="T2509" s="78" t="n"/>
      <c r="U2509" s="92">
        <f>IF(ISBLANK(P2509),"",IF(C2509="Buy",Q2509-M2509+T2509, IF(C2509="Sell",M2509-Q2509-T2509, X)))</f>
        <v/>
      </c>
      <c r="V2509" s="81">
        <f>IF(ISBLANK(P2509),"",U2509/N2509)</f>
        <v/>
      </c>
      <c r="W2509" s="81">
        <f>IF(ISBLANK(P2509),"",IF(S2509=0,(365/0.5)*V2509,(365/S2509)*V2509))</f>
        <v/>
      </c>
      <c r="X2509" s="75" t="n"/>
      <c r="Y2509" s="77" t="n"/>
      <c r="Z2509" s="77" t="n"/>
      <c r="AA2509" s="75" t="n"/>
      <c r="AB2509" s="75" t="n"/>
      <c r="AC2509" s="6" t="n"/>
      <c r="AD2509" s="75" t="n"/>
      <c r="AE2509" s="75" t="n"/>
      <c r="AF2509" s="75" t="n"/>
    </row>
    <row r="2510" ht="15.75" customHeight="1" s="133">
      <c r="A2510" s="75" t="n"/>
      <c r="B2510" s="75" t="n"/>
      <c r="C2510" s="75" t="n"/>
      <c r="D2510" s="75" t="n"/>
      <c r="E2510" s="76" t="n"/>
      <c r="F2510" s="77" t="n"/>
      <c r="G2510" s="75" t="n"/>
      <c r="H2510" s="75">
        <f>IF(ISBLANK(E2510),"",IF(OR(D2510="Butterfly",D2510="Butterfly ",D2510="Iron Fly", D2510="Iron Fly "),LEN(E2510)-LEN(SUBSTITUTE(E2510,"/",""))+2,LEN(E2510)-LEN(SUBSTITUTE(E2510,"/",""))+1))</f>
        <v/>
      </c>
      <c r="I2510" s="78">
        <f>IF(ISBLANK(G2510),"",IF(D2510="Stock","0",Key!$A$3*H2510*G2510))</f>
        <v/>
      </c>
      <c r="J2510" s="78">
        <f>IF(ISBLANK(E2510),"",IF(ISNUMBER(SEARCH("/",E2510)), IF(LEN(E2510)-LEN(SUBSTITUTE(E2510,"/",""))=1,(RIGHT(E2510,LEN(E2510)-FIND("/",E2510)))-(LEFT(E2510,FIND("/",E2510)-1)),(MID(E2510, SEARCH("/",E2510) + 1, SEARCH("/",E2510, SEARCH("/",E2510)+1) - SEARCH("/",E2510) - 1))-(LEFT(E2510,FIND("/",E2510)-1))), "NA"))</f>
        <v/>
      </c>
      <c r="K2510" s="79">
        <f>IF(A2510&lt;&gt;"", IF(ISBLANK(L2510), TODAY(), K2510), "")</f>
        <v/>
      </c>
      <c r="L2510" s="78" t="n"/>
      <c r="M2510" s="78">
        <f>IF(ISBLANK(L2510),"",IF(D2510="Stock",IF(C2510="Buy",L2510*G2510,IF(C2510="Sell",(L2510*G2510)-I2510, X)),IF(C2510="Buy",(L2510*G2510*100)+I2510,IF(C2510="Sell",(L2510*G2510*100)-I2510, X))))</f>
        <v/>
      </c>
      <c r="N2510" s="78">
        <f>IF(ISBLANK(L2510),"",IF(AND(C2510="Sell",D2510="Stock"),M2510,IF(ISBLANK(L2510),"",IF(C2510="Buy",M2510, IF(AND(C2510="Sell",J2510="NA"),(E2510*G2510*100*0.1)+I2510, IF(C2510="Sell",(J2510-L2510)*(100*G2510)+I2510))))))</f>
        <v/>
      </c>
      <c r="O2510" s="75" t="n"/>
      <c r="P2510" s="75" t="n"/>
      <c r="Q2510" s="75">
        <f>IF(ISBLANK(P2510),"",IF(D2510="Stock",P2510*G2510,IF(P2510=0,"0",G2510*P2510*100-(G2510*$AF$14))))</f>
        <v/>
      </c>
      <c r="R2510" s="79">
        <f>IF(P2510&lt;&gt;"", TODAY(), "")</f>
        <v/>
      </c>
      <c r="S2510" s="78">
        <f>IF(AND(K2510&lt;&gt;"", R2510&lt;&gt;""), R2510-K2510, "")</f>
        <v/>
      </c>
      <c r="T2510" s="78" t="n"/>
      <c r="U2510" s="92">
        <f>IF(ISBLANK(P2510),"",IF(C2510="Buy",Q2510-M2510+T2510, IF(C2510="Sell",M2510-Q2510-T2510, X)))</f>
        <v/>
      </c>
      <c r="V2510" s="81">
        <f>IF(ISBLANK(P2510),"",U2510/N2510)</f>
        <v/>
      </c>
      <c r="W2510" s="81">
        <f>IF(ISBLANK(P2510),"",IF(S2510=0,(365/0.5)*V2510,(365/S2510)*V2510))</f>
        <v/>
      </c>
      <c r="X2510" s="75" t="n"/>
      <c r="Y2510" s="77" t="n"/>
      <c r="Z2510" s="77" t="n"/>
      <c r="AA2510" s="75" t="n"/>
      <c r="AB2510" s="75" t="n"/>
      <c r="AC2510" s="6" t="n"/>
      <c r="AD2510" s="75" t="n"/>
      <c r="AE2510" s="75" t="n"/>
      <c r="AF2510" s="75" t="n"/>
    </row>
    <row r="2511" ht="15.75" customHeight="1" s="133">
      <c r="A2511" s="75" t="n"/>
      <c r="B2511" s="75" t="n"/>
      <c r="C2511" s="75" t="n"/>
      <c r="D2511" s="75" t="n"/>
      <c r="E2511" s="76" t="n"/>
      <c r="F2511" s="77" t="n"/>
      <c r="G2511" s="75" t="n"/>
      <c r="H2511" s="75">
        <f>IF(ISBLANK(E2511),"",IF(OR(D2511="Butterfly",D2511="Butterfly ",D2511="Iron Fly", D2511="Iron Fly "),LEN(E2511)-LEN(SUBSTITUTE(E2511,"/",""))+2,LEN(E2511)-LEN(SUBSTITUTE(E2511,"/",""))+1))</f>
        <v/>
      </c>
      <c r="I2511" s="78">
        <f>IF(ISBLANK(G2511),"",IF(D2511="Stock","0",Key!$A$3*H2511*G2511))</f>
        <v/>
      </c>
      <c r="J2511" s="78">
        <f>IF(ISBLANK(E2511),"",IF(ISNUMBER(SEARCH("/",E2511)), IF(LEN(E2511)-LEN(SUBSTITUTE(E2511,"/",""))=1,(RIGHT(E2511,LEN(E2511)-FIND("/",E2511)))-(LEFT(E2511,FIND("/",E2511)-1)),(MID(E2511, SEARCH("/",E2511) + 1, SEARCH("/",E2511, SEARCH("/",E2511)+1) - SEARCH("/",E2511) - 1))-(LEFT(E2511,FIND("/",E2511)-1))), "NA"))</f>
        <v/>
      </c>
      <c r="K2511" s="79">
        <f>IF(A2511&lt;&gt;"", IF(ISBLANK(L2511), TODAY(), K2511), "")</f>
        <v/>
      </c>
      <c r="L2511" s="78" t="n"/>
      <c r="M2511" s="78">
        <f>IF(ISBLANK(L2511),"",IF(D2511="Stock",IF(C2511="Buy",L2511*G2511,IF(C2511="Sell",(L2511*G2511)-I2511, X)),IF(C2511="Buy",(L2511*G2511*100)+I2511,IF(C2511="Sell",(L2511*G2511*100)-I2511, X))))</f>
        <v/>
      </c>
      <c r="N2511" s="78">
        <f>IF(ISBLANK(L2511),"",IF(AND(C2511="Sell",D2511="Stock"),M2511,IF(ISBLANK(L2511),"",IF(C2511="Buy",M2511, IF(AND(C2511="Sell",J2511="NA"),(E2511*G2511*100*0.1)+I2511, IF(C2511="Sell",(J2511-L2511)*(100*G2511)+I2511))))))</f>
        <v/>
      </c>
      <c r="O2511" s="75" t="n"/>
      <c r="P2511" s="75" t="n"/>
      <c r="Q2511" s="75">
        <f>IF(ISBLANK(P2511),"",IF(D2511="Stock",P2511*G2511,IF(P2511=0,"0",G2511*P2511*100-(G2511*$AF$14))))</f>
        <v/>
      </c>
      <c r="R2511" s="79">
        <f>IF(P2511&lt;&gt;"", TODAY(), "")</f>
        <v/>
      </c>
      <c r="S2511" s="78">
        <f>IF(AND(K2511&lt;&gt;"", R2511&lt;&gt;""), R2511-K2511, "")</f>
        <v/>
      </c>
      <c r="T2511" s="78" t="n"/>
      <c r="U2511" s="92">
        <f>IF(ISBLANK(P2511),"",IF(C2511="Buy",Q2511-M2511+T2511, IF(C2511="Sell",M2511-Q2511-T2511, X)))</f>
        <v/>
      </c>
      <c r="V2511" s="81">
        <f>IF(ISBLANK(P2511),"",U2511/N2511)</f>
        <v/>
      </c>
      <c r="W2511" s="81">
        <f>IF(ISBLANK(P2511),"",IF(S2511=0,(365/0.5)*V2511,(365/S2511)*V2511))</f>
        <v/>
      </c>
      <c r="X2511" s="75" t="n"/>
      <c r="Y2511" s="77" t="n"/>
      <c r="Z2511" s="77" t="n"/>
      <c r="AA2511" s="75" t="n"/>
      <c r="AB2511" s="75" t="n"/>
      <c r="AC2511" s="6" t="n"/>
      <c r="AD2511" s="75" t="n"/>
      <c r="AE2511" s="75" t="n"/>
      <c r="AF2511" s="75" t="n"/>
    </row>
    <row r="2512" ht="15.75" customHeight="1" s="133">
      <c r="A2512" s="75" t="n"/>
      <c r="B2512" s="75" t="n"/>
      <c r="C2512" s="75" t="n"/>
      <c r="D2512" s="75" t="n"/>
      <c r="E2512" s="76" t="n"/>
      <c r="F2512" s="77" t="n"/>
      <c r="G2512" s="75" t="n"/>
      <c r="H2512" s="75">
        <f>IF(ISBLANK(E2512),"",IF(OR(D2512="Butterfly",D2512="Butterfly ",D2512="Iron Fly", D2512="Iron Fly "),LEN(E2512)-LEN(SUBSTITUTE(E2512,"/",""))+2,LEN(E2512)-LEN(SUBSTITUTE(E2512,"/",""))+1))</f>
        <v/>
      </c>
      <c r="I2512" s="78">
        <f>IF(ISBLANK(G2512),"",IF(D2512="Stock","0",Key!$A$3*H2512*G2512))</f>
        <v/>
      </c>
      <c r="J2512" s="78">
        <f>IF(ISBLANK(E2512),"",IF(ISNUMBER(SEARCH("/",E2512)), IF(LEN(E2512)-LEN(SUBSTITUTE(E2512,"/",""))=1,(RIGHT(E2512,LEN(E2512)-FIND("/",E2512)))-(LEFT(E2512,FIND("/",E2512)-1)),(MID(E2512, SEARCH("/",E2512) + 1, SEARCH("/",E2512, SEARCH("/",E2512)+1) - SEARCH("/",E2512) - 1))-(LEFT(E2512,FIND("/",E2512)-1))), "NA"))</f>
        <v/>
      </c>
      <c r="K2512" s="79">
        <f>IF(A2512&lt;&gt;"", IF(ISBLANK(L2512), TODAY(), K2512), "")</f>
        <v/>
      </c>
      <c r="L2512" s="78" t="n"/>
      <c r="M2512" s="78">
        <f>IF(ISBLANK(L2512),"",IF(D2512="Stock",IF(C2512="Buy",L2512*G2512,IF(C2512="Sell",(L2512*G2512)-I2512, X)),IF(C2512="Buy",(L2512*G2512*100)+I2512,IF(C2512="Sell",(L2512*G2512*100)-I2512, X))))</f>
        <v/>
      </c>
      <c r="N2512" s="78">
        <f>IF(ISBLANK(L2512),"",IF(AND(C2512="Sell",D2512="Stock"),M2512,IF(ISBLANK(L2512),"",IF(C2512="Buy",M2512, IF(AND(C2512="Sell",J2512="NA"),(E2512*G2512*100*0.1)+I2512, IF(C2512="Sell",(J2512-L2512)*(100*G2512)+I2512))))))</f>
        <v/>
      </c>
      <c r="O2512" s="75" t="n"/>
      <c r="P2512" s="75" t="n"/>
      <c r="Q2512" s="75">
        <f>IF(ISBLANK(P2512),"",IF(D2512="Stock",P2512*G2512,IF(P2512=0,"0",G2512*P2512*100-(G2512*$AF$14))))</f>
        <v/>
      </c>
      <c r="R2512" s="79">
        <f>IF(P2512&lt;&gt;"", TODAY(), "")</f>
        <v/>
      </c>
      <c r="S2512" s="78">
        <f>IF(AND(K2512&lt;&gt;"", R2512&lt;&gt;""), R2512-K2512, "")</f>
        <v/>
      </c>
      <c r="T2512" s="78" t="n"/>
      <c r="U2512" s="92">
        <f>IF(ISBLANK(P2512),"",IF(C2512="Buy",Q2512-M2512+T2512, IF(C2512="Sell",M2512-Q2512-T2512, X)))</f>
        <v/>
      </c>
      <c r="V2512" s="81">
        <f>IF(ISBLANK(P2512),"",U2512/N2512)</f>
        <v/>
      </c>
      <c r="W2512" s="81">
        <f>IF(ISBLANK(P2512),"",IF(S2512=0,(365/0.5)*V2512,(365/S2512)*V2512))</f>
        <v/>
      </c>
      <c r="X2512" s="75" t="n"/>
      <c r="Y2512" s="77" t="n"/>
      <c r="Z2512" s="77" t="n"/>
      <c r="AA2512" s="75" t="n"/>
      <c r="AB2512" s="75" t="n"/>
      <c r="AC2512" s="6" t="n"/>
      <c r="AD2512" s="75" t="n"/>
      <c r="AE2512" s="75" t="n"/>
      <c r="AF2512" s="75" t="n"/>
    </row>
    <row r="2513" ht="15.75" customHeight="1" s="133">
      <c r="A2513" s="75" t="n"/>
      <c r="B2513" s="75" t="n"/>
      <c r="C2513" s="75" t="n"/>
      <c r="D2513" s="75" t="n"/>
      <c r="E2513" s="76" t="n"/>
      <c r="F2513" s="77" t="n"/>
      <c r="G2513" s="75" t="n"/>
      <c r="H2513" s="75">
        <f>IF(ISBLANK(E2513),"",IF(OR(D2513="Butterfly",D2513="Butterfly ",D2513="Iron Fly", D2513="Iron Fly "),LEN(E2513)-LEN(SUBSTITUTE(E2513,"/",""))+2,LEN(E2513)-LEN(SUBSTITUTE(E2513,"/",""))+1))</f>
        <v/>
      </c>
      <c r="I2513" s="78">
        <f>IF(ISBLANK(G2513),"",IF(D2513="Stock","0",Key!$A$3*H2513*G2513))</f>
        <v/>
      </c>
      <c r="J2513" s="78">
        <f>IF(ISBLANK(E2513),"",IF(ISNUMBER(SEARCH("/",E2513)), IF(LEN(E2513)-LEN(SUBSTITUTE(E2513,"/",""))=1,(RIGHT(E2513,LEN(E2513)-FIND("/",E2513)))-(LEFT(E2513,FIND("/",E2513)-1)),(MID(E2513, SEARCH("/",E2513) + 1, SEARCH("/",E2513, SEARCH("/",E2513)+1) - SEARCH("/",E2513) - 1))-(LEFT(E2513,FIND("/",E2513)-1))), "NA"))</f>
        <v/>
      </c>
      <c r="K2513" s="79">
        <f>IF(A2513&lt;&gt;"", IF(ISBLANK(L2513), TODAY(), K2513), "")</f>
        <v/>
      </c>
      <c r="L2513" s="78" t="n"/>
      <c r="M2513" s="78">
        <f>IF(ISBLANK(L2513),"",IF(D2513="Stock",IF(C2513="Buy",L2513*G2513,IF(C2513="Sell",(L2513*G2513)-I2513, X)),IF(C2513="Buy",(L2513*G2513*100)+I2513,IF(C2513="Sell",(L2513*G2513*100)-I2513, X))))</f>
        <v/>
      </c>
      <c r="N2513" s="78">
        <f>IF(ISBLANK(L2513),"",IF(AND(C2513="Sell",D2513="Stock"),M2513,IF(ISBLANK(L2513),"",IF(C2513="Buy",M2513, IF(AND(C2513="Sell",J2513="NA"),(E2513*G2513*100*0.1)+I2513, IF(C2513="Sell",(J2513-L2513)*(100*G2513)+I2513))))))</f>
        <v/>
      </c>
      <c r="O2513" s="75" t="n"/>
      <c r="P2513" s="75" t="n"/>
      <c r="Q2513" s="75">
        <f>IF(ISBLANK(P2513),"",IF(D2513="Stock",P2513*G2513,IF(P2513=0,"0",G2513*P2513*100-(G2513*$AF$14))))</f>
        <v/>
      </c>
      <c r="R2513" s="79">
        <f>IF(P2513&lt;&gt;"", TODAY(), "")</f>
        <v/>
      </c>
      <c r="S2513" s="78">
        <f>IF(AND(K2513&lt;&gt;"", R2513&lt;&gt;""), R2513-K2513, "")</f>
        <v/>
      </c>
      <c r="T2513" s="78" t="n"/>
      <c r="U2513" s="92">
        <f>IF(ISBLANK(P2513),"",IF(C2513="Buy",Q2513-M2513+T2513, IF(C2513="Sell",M2513-Q2513-T2513, X)))</f>
        <v/>
      </c>
      <c r="V2513" s="81">
        <f>IF(ISBLANK(P2513),"",U2513/N2513)</f>
        <v/>
      </c>
      <c r="W2513" s="81">
        <f>IF(ISBLANK(P2513),"",IF(S2513=0,(365/0.5)*V2513,(365/S2513)*V2513))</f>
        <v/>
      </c>
      <c r="X2513" s="75" t="n"/>
      <c r="Y2513" s="77" t="n"/>
      <c r="Z2513" s="77" t="n"/>
      <c r="AA2513" s="75" t="n"/>
      <c r="AB2513" s="75" t="n"/>
      <c r="AC2513" s="6" t="n"/>
      <c r="AD2513" s="75" t="n"/>
      <c r="AE2513" s="75" t="n"/>
      <c r="AF2513" s="75" t="n"/>
    </row>
    <row r="2514" ht="15.75" customHeight="1" s="133">
      <c r="A2514" s="75" t="n"/>
      <c r="B2514" s="75" t="n"/>
      <c r="C2514" s="75" t="n"/>
      <c r="D2514" s="75" t="n"/>
      <c r="E2514" s="76" t="n"/>
      <c r="F2514" s="77" t="n"/>
      <c r="G2514" s="75" t="n"/>
      <c r="H2514" s="75">
        <f>IF(ISBLANK(E2514),"",IF(OR(D2514="Butterfly",D2514="Butterfly ",D2514="Iron Fly", D2514="Iron Fly "),LEN(E2514)-LEN(SUBSTITUTE(E2514,"/",""))+2,LEN(E2514)-LEN(SUBSTITUTE(E2514,"/",""))+1))</f>
        <v/>
      </c>
      <c r="I2514" s="78">
        <f>IF(ISBLANK(G2514),"",IF(D2514="Stock","0",Key!$A$3*H2514*G2514))</f>
        <v/>
      </c>
      <c r="J2514" s="78">
        <f>IF(ISBLANK(E2514),"",IF(ISNUMBER(SEARCH("/",E2514)), IF(LEN(E2514)-LEN(SUBSTITUTE(E2514,"/",""))=1,(RIGHT(E2514,LEN(E2514)-FIND("/",E2514)))-(LEFT(E2514,FIND("/",E2514)-1)),(MID(E2514, SEARCH("/",E2514) + 1, SEARCH("/",E2514, SEARCH("/",E2514)+1) - SEARCH("/",E2514) - 1))-(LEFT(E2514,FIND("/",E2514)-1))), "NA"))</f>
        <v/>
      </c>
      <c r="K2514" s="79">
        <f>IF(A2514&lt;&gt;"", IF(ISBLANK(L2514), TODAY(), K2514), "")</f>
        <v/>
      </c>
      <c r="L2514" s="78" t="n"/>
      <c r="M2514" s="78">
        <f>IF(ISBLANK(L2514),"",IF(D2514="Stock",IF(C2514="Buy",L2514*G2514,IF(C2514="Sell",(L2514*G2514)-I2514, X)),IF(C2514="Buy",(L2514*G2514*100)+I2514,IF(C2514="Sell",(L2514*G2514*100)-I2514, X))))</f>
        <v/>
      </c>
      <c r="N2514" s="78">
        <f>IF(ISBLANK(L2514),"",IF(AND(C2514="Sell",D2514="Stock"),M2514,IF(ISBLANK(L2514),"",IF(C2514="Buy",M2514, IF(AND(C2514="Sell",J2514="NA"),(E2514*G2514*100*0.1)+I2514, IF(C2514="Sell",(J2514-L2514)*(100*G2514)+I2514))))))</f>
        <v/>
      </c>
      <c r="O2514" s="75" t="n"/>
      <c r="P2514" s="75" t="n"/>
      <c r="Q2514" s="75">
        <f>IF(ISBLANK(P2514),"",IF(D2514="Stock",P2514*G2514,IF(P2514=0,"0",G2514*P2514*100-(G2514*$AF$14))))</f>
        <v/>
      </c>
      <c r="R2514" s="79">
        <f>IF(P2514&lt;&gt;"", TODAY(), "")</f>
        <v/>
      </c>
      <c r="S2514" s="78">
        <f>IF(AND(K2514&lt;&gt;"", R2514&lt;&gt;""), R2514-K2514, "")</f>
        <v/>
      </c>
      <c r="T2514" s="78" t="n"/>
      <c r="U2514" s="92">
        <f>IF(ISBLANK(P2514),"",IF(C2514="Buy",Q2514-M2514+T2514, IF(C2514="Sell",M2514-Q2514-T2514, X)))</f>
        <v/>
      </c>
      <c r="V2514" s="81">
        <f>IF(ISBLANK(P2514),"",U2514/N2514)</f>
        <v/>
      </c>
      <c r="W2514" s="81">
        <f>IF(ISBLANK(P2514),"",IF(S2514=0,(365/0.5)*V2514,(365/S2514)*V2514))</f>
        <v/>
      </c>
      <c r="X2514" s="75" t="n"/>
      <c r="Y2514" s="77" t="n"/>
      <c r="Z2514" s="77" t="n"/>
      <c r="AA2514" s="75" t="n"/>
      <c r="AB2514" s="75" t="n"/>
      <c r="AC2514" s="6" t="n"/>
      <c r="AD2514" s="75" t="n"/>
      <c r="AE2514" s="75" t="n"/>
      <c r="AF2514" s="75" t="n"/>
    </row>
    <row r="2515" ht="15.75" customHeight="1" s="133">
      <c r="A2515" s="75" t="n"/>
      <c r="B2515" s="75" t="n"/>
      <c r="C2515" s="75" t="n"/>
      <c r="D2515" s="75" t="n"/>
      <c r="E2515" s="76" t="n"/>
      <c r="F2515" s="77" t="n"/>
      <c r="G2515" s="75" t="n"/>
      <c r="H2515" s="75">
        <f>IF(ISBLANK(E2515),"",IF(OR(D2515="Butterfly",D2515="Butterfly ",D2515="Iron Fly", D2515="Iron Fly "),LEN(E2515)-LEN(SUBSTITUTE(E2515,"/",""))+2,LEN(E2515)-LEN(SUBSTITUTE(E2515,"/",""))+1))</f>
        <v/>
      </c>
      <c r="I2515" s="78">
        <f>IF(ISBLANK(G2515),"",IF(D2515="Stock","0",Key!$A$3*H2515*G2515))</f>
        <v/>
      </c>
      <c r="J2515" s="78">
        <f>IF(ISBLANK(E2515),"",IF(ISNUMBER(SEARCH("/",E2515)), IF(LEN(E2515)-LEN(SUBSTITUTE(E2515,"/",""))=1,(RIGHT(E2515,LEN(E2515)-FIND("/",E2515)))-(LEFT(E2515,FIND("/",E2515)-1)),(MID(E2515, SEARCH("/",E2515) + 1, SEARCH("/",E2515, SEARCH("/",E2515)+1) - SEARCH("/",E2515) - 1))-(LEFT(E2515,FIND("/",E2515)-1))), "NA"))</f>
        <v/>
      </c>
      <c r="K2515" s="79">
        <f>IF(A2515&lt;&gt;"", IF(ISBLANK(L2515), TODAY(), K2515), "")</f>
        <v/>
      </c>
      <c r="L2515" s="78" t="n"/>
      <c r="M2515" s="78">
        <f>IF(ISBLANK(L2515),"",IF(D2515="Stock",IF(C2515="Buy",L2515*G2515,IF(C2515="Sell",(L2515*G2515)-I2515, X)),IF(C2515="Buy",(L2515*G2515*100)+I2515,IF(C2515="Sell",(L2515*G2515*100)-I2515, X))))</f>
        <v/>
      </c>
      <c r="N2515" s="78">
        <f>IF(ISBLANK(L2515),"",IF(AND(C2515="Sell",D2515="Stock"),M2515,IF(ISBLANK(L2515),"",IF(C2515="Buy",M2515, IF(AND(C2515="Sell",J2515="NA"),(E2515*G2515*100*0.1)+I2515, IF(C2515="Sell",(J2515-L2515)*(100*G2515)+I2515))))))</f>
        <v/>
      </c>
      <c r="O2515" s="75" t="n"/>
      <c r="P2515" s="75" t="n"/>
      <c r="Q2515" s="75">
        <f>IF(ISBLANK(P2515),"",IF(D2515="Stock",P2515*G2515,IF(P2515=0,"0",G2515*P2515*100-(G2515*$AF$14))))</f>
        <v/>
      </c>
      <c r="R2515" s="79">
        <f>IF(P2515&lt;&gt;"", TODAY(), "")</f>
        <v/>
      </c>
      <c r="S2515" s="78">
        <f>IF(AND(K2515&lt;&gt;"", R2515&lt;&gt;""), R2515-K2515, "")</f>
        <v/>
      </c>
      <c r="T2515" s="78" t="n"/>
      <c r="U2515" s="92">
        <f>IF(ISBLANK(P2515),"",IF(C2515="Buy",Q2515-M2515+T2515, IF(C2515="Sell",M2515-Q2515-T2515, X)))</f>
        <v/>
      </c>
      <c r="V2515" s="81">
        <f>IF(ISBLANK(P2515),"",U2515/N2515)</f>
        <v/>
      </c>
      <c r="W2515" s="81">
        <f>IF(ISBLANK(P2515),"",IF(S2515=0,(365/0.5)*V2515,(365/S2515)*V2515))</f>
        <v/>
      </c>
      <c r="X2515" s="75" t="n"/>
      <c r="Y2515" s="77" t="n"/>
      <c r="Z2515" s="77" t="n"/>
      <c r="AA2515" s="75" t="n"/>
      <c r="AB2515" s="75" t="n"/>
      <c r="AC2515" s="6" t="n"/>
      <c r="AD2515" s="75" t="n"/>
      <c r="AE2515" s="75" t="n"/>
      <c r="AF2515" s="75" t="n"/>
    </row>
    <row r="2516" ht="15.75" customHeight="1" s="133">
      <c r="A2516" s="75" t="n"/>
      <c r="B2516" s="75" t="n"/>
      <c r="C2516" s="75" t="n"/>
      <c r="D2516" s="75" t="n"/>
      <c r="E2516" s="76" t="n"/>
      <c r="F2516" s="77" t="n"/>
      <c r="G2516" s="75" t="n"/>
      <c r="H2516" s="75">
        <f>IF(ISBLANK(E2516),"",IF(OR(D2516="Butterfly",D2516="Butterfly ",D2516="Iron Fly", D2516="Iron Fly "),LEN(E2516)-LEN(SUBSTITUTE(E2516,"/",""))+2,LEN(E2516)-LEN(SUBSTITUTE(E2516,"/",""))+1))</f>
        <v/>
      </c>
      <c r="I2516" s="78">
        <f>IF(ISBLANK(G2516),"",IF(D2516="Stock","0",Key!$A$3*H2516*G2516))</f>
        <v/>
      </c>
      <c r="J2516" s="78">
        <f>IF(ISBLANK(E2516),"",IF(ISNUMBER(SEARCH("/",E2516)), IF(LEN(E2516)-LEN(SUBSTITUTE(E2516,"/",""))=1,(RIGHT(E2516,LEN(E2516)-FIND("/",E2516)))-(LEFT(E2516,FIND("/",E2516)-1)),(MID(E2516, SEARCH("/",E2516) + 1, SEARCH("/",E2516, SEARCH("/",E2516)+1) - SEARCH("/",E2516) - 1))-(LEFT(E2516,FIND("/",E2516)-1))), "NA"))</f>
        <v/>
      </c>
      <c r="K2516" s="79">
        <f>IF(A2516&lt;&gt;"", IF(ISBLANK(L2516), TODAY(), K2516), "")</f>
        <v/>
      </c>
      <c r="L2516" s="78" t="n"/>
      <c r="M2516" s="78">
        <f>IF(ISBLANK(L2516),"",IF(D2516="Stock",IF(C2516="Buy",L2516*G2516,IF(C2516="Sell",(L2516*G2516)-I2516, X)),IF(C2516="Buy",(L2516*G2516*100)+I2516,IF(C2516="Sell",(L2516*G2516*100)-I2516, X))))</f>
        <v/>
      </c>
      <c r="N2516" s="78">
        <f>IF(ISBLANK(L2516),"",IF(AND(C2516="Sell",D2516="Stock"),M2516,IF(ISBLANK(L2516),"",IF(C2516="Buy",M2516, IF(AND(C2516="Sell",J2516="NA"),(E2516*G2516*100*0.1)+I2516, IF(C2516="Sell",(J2516-L2516)*(100*G2516)+I2516))))))</f>
        <v/>
      </c>
      <c r="O2516" s="75" t="n"/>
      <c r="P2516" s="75" t="n"/>
      <c r="Q2516" s="75">
        <f>IF(ISBLANK(P2516),"",IF(D2516="Stock",P2516*G2516,IF(P2516=0,"0",G2516*P2516*100-(G2516*$AF$14))))</f>
        <v/>
      </c>
      <c r="R2516" s="79">
        <f>IF(P2516&lt;&gt;"", TODAY(), "")</f>
        <v/>
      </c>
      <c r="S2516" s="78">
        <f>IF(AND(K2516&lt;&gt;"", R2516&lt;&gt;""), R2516-K2516, "")</f>
        <v/>
      </c>
      <c r="T2516" s="78" t="n"/>
      <c r="U2516" s="92">
        <f>IF(ISBLANK(P2516),"",IF(C2516="Buy",Q2516-M2516+T2516, IF(C2516="Sell",M2516-Q2516-T2516, X)))</f>
        <v/>
      </c>
      <c r="V2516" s="81">
        <f>IF(ISBLANK(P2516),"",U2516/N2516)</f>
        <v/>
      </c>
      <c r="W2516" s="81">
        <f>IF(ISBLANK(P2516),"",IF(S2516=0,(365/0.5)*V2516,(365/S2516)*V2516))</f>
        <v/>
      </c>
      <c r="X2516" s="75" t="n"/>
      <c r="Y2516" s="77" t="n"/>
      <c r="Z2516" s="77" t="n"/>
      <c r="AA2516" s="75" t="n"/>
      <c r="AB2516" s="75" t="n"/>
      <c r="AC2516" s="6" t="n"/>
      <c r="AD2516" s="75" t="n"/>
      <c r="AE2516" s="75" t="n"/>
      <c r="AF2516" s="75" t="n"/>
    </row>
    <row r="2517" ht="15.75" customHeight="1" s="133">
      <c r="A2517" s="75" t="n"/>
      <c r="B2517" s="75" t="n"/>
      <c r="C2517" s="75" t="n"/>
      <c r="D2517" s="75" t="n"/>
      <c r="E2517" s="76" t="n"/>
      <c r="F2517" s="77" t="n"/>
      <c r="G2517" s="75" t="n"/>
      <c r="H2517" s="75">
        <f>IF(ISBLANK(E2517),"",IF(OR(D2517="Butterfly",D2517="Butterfly ",D2517="Iron Fly", D2517="Iron Fly "),LEN(E2517)-LEN(SUBSTITUTE(E2517,"/",""))+2,LEN(E2517)-LEN(SUBSTITUTE(E2517,"/",""))+1))</f>
        <v/>
      </c>
      <c r="I2517" s="78">
        <f>IF(ISBLANK(G2517),"",IF(D2517="Stock","0",Key!$A$3*H2517*G2517))</f>
        <v/>
      </c>
      <c r="J2517" s="78">
        <f>IF(ISBLANK(E2517),"",IF(ISNUMBER(SEARCH("/",E2517)), IF(LEN(E2517)-LEN(SUBSTITUTE(E2517,"/",""))=1,(RIGHT(E2517,LEN(E2517)-FIND("/",E2517)))-(LEFT(E2517,FIND("/",E2517)-1)),(MID(E2517, SEARCH("/",E2517) + 1, SEARCH("/",E2517, SEARCH("/",E2517)+1) - SEARCH("/",E2517) - 1))-(LEFT(E2517,FIND("/",E2517)-1))), "NA"))</f>
        <v/>
      </c>
      <c r="K2517" s="79">
        <f>IF(A2517&lt;&gt;"", IF(ISBLANK(L2517), TODAY(), K2517), "")</f>
        <v/>
      </c>
      <c r="L2517" s="78" t="n"/>
      <c r="M2517" s="78">
        <f>IF(ISBLANK(L2517),"",IF(D2517="Stock",IF(C2517="Buy",L2517*G2517,IF(C2517="Sell",(L2517*G2517)-I2517, X)),IF(C2517="Buy",(L2517*G2517*100)+I2517,IF(C2517="Sell",(L2517*G2517*100)-I2517, X))))</f>
        <v/>
      </c>
      <c r="N2517" s="78">
        <f>IF(ISBLANK(L2517),"",IF(AND(C2517="Sell",D2517="Stock"),M2517,IF(ISBLANK(L2517),"",IF(C2517="Buy",M2517, IF(AND(C2517="Sell",J2517="NA"),(E2517*G2517*100*0.1)+I2517, IF(C2517="Sell",(J2517-L2517)*(100*G2517)+I2517))))))</f>
        <v/>
      </c>
      <c r="O2517" s="75" t="n"/>
      <c r="P2517" s="75" t="n"/>
      <c r="Q2517" s="75">
        <f>IF(ISBLANK(P2517),"",IF(D2517="Stock",P2517*G2517,IF(P2517=0,"0",G2517*P2517*100-(G2517*$AF$14))))</f>
        <v/>
      </c>
      <c r="R2517" s="79">
        <f>IF(P2517&lt;&gt;"", TODAY(), "")</f>
        <v/>
      </c>
      <c r="S2517" s="78">
        <f>IF(AND(K2517&lt;&gt;"", R2517&lt;&gt;""), R2517-K2517, "")</f>
        <v/>
      </c>
      <c r="T2517" s="78" t="n"/>
      <c r="U2517" s="92">
        <f>IF(ISBLANK(P2517),"",IF(C2517="Buy",Q2517-M2517+T2517, IF(C2517="Sell",M2517-Q2517-T2517, X)))</f>
        <v/>
      </c>
      <c r="V2517" s="81">
        <f>IF(ISBLANK(P2517),"",U2517/N2517)</f>
        <v/>
      </c>
      <c r="W2517" s="81">
        <f>IF(ISBLANK(P2517),"",IF(S2517=0,(365/0.5)*V2517,(365/S2517)*V2517))</f>
        <v/>
      </c>
      <c r="X2517" s="75" t="n"/>
      <c r="Y2517" s="77" t="n"/>
      <c r="Z2517" s="77" t="n"/>
      <c r="AA2517" s="75" t="n"/>
      <c r="AB2517" s="75" t="n"/>
      <c r="AC2517" s="6" t="n"/>
      <c r="AD2517" s="75" t="n"/>
      <c r="AE2517" s="75" t="n"/>
      <c r="AF2517" s="75" t="n"/>
    </row>
    <row r="2518" ht="15.75" customHeight="1" s="133">
      <c r="A2518" s="75" t="n"/>
      <c r="B2518" s="75" t="n"/>
      <c r="C2518" s="75" t="n"/>
      <c r="D2518" s="75" t="n"/>
      <c r="E2518" s="76" t="n"/>
      <c r="F2518" s="77" t="n"/>
      <c r="G2518" s="75" t="n"/>
      <c r="H2518" s="75">
        <f>IF(ISBLANK(E2518),"",IF(OR(D2518="Butterfly",D2518="Butterfly ",D2518="Iron Fly", D2518="Iron Fly "),LEN(E2518)-LEN(SUBSTITUTE(E2518,"/",""))+2,LEN(E2518)-LEN(SUBSTITUTE(E2518,"/",""))+1))</f>
        <v/>
      </c>
      <c r="I2518" s="78">
        <f>IF(ISBLANK(G2518),"",IF(D2518="Stock","0",Key!$A$3*H2518*G2518))</f>
        <v/>
      </c>
      <c r="J2518" s="78">
        <f>IF(ISBLANK(E2518),"",IF(ISNUMBER(SEARCH("/",E2518)), IF(LEN(E2518)-LEN(SUBSTITUTE(E2518,"/",""))=1,(RIGHT(E2518,LEN(E2518)-FIND("/",E2518)))-(LEFT(E2518,FIND("/",E2518)-1)),(MID(E2518, SEARCH("/",E2518) + 1, SEARCH("/",E2518, SEARCH("/",E2518)+1) - SEARCH("/",E2518) - 1))-(LEFT(E2518,FIND("/",E2518)-1))), "NA"))</f>
        <v/>
      </c>
      <c r="K2518" s="79">
        <f>IF(A2518&lt;&gt;"", IF(ISBLANK(L2518), TODAY(), K2518), "")</f>
        <v/>
      </c>
      <c r="L2518" s="78" t="n"/>
      <c r="M2518" s="78">
        <f>IF(ISBLANK(L2518),"",IF(D2518="Stock",IF(C2518="Buy",L2518*G2518,IF(C2518="Sell",(L2518*G2518)-I2518, X)),IF(C2518="Buy",(L2518*G2518*100)+I2518,IF(C2518="Sell",(L2518*G2518*100)-I2518, X))))</f>
        <v/>
      </c>
      <c r="N2518" s="78">
        <f>IF(ISBLANK(L2518),"",IF(AND(C2518="Sell",D2518="Stock"),M2518,IF(ISBLANK(L2518),"",IF(C2518="Buy",M2518, IF(AND(C2518="Sell",J2518="NA"),(E2518*G2518*100*0.1)+I2518, IF(C2518="Sell",(J2518-L2518)*(100*G2518)+I2518))))))</f>
        <v/>
      </c>
      <c r="O2518" s="75" t="n"/>
      <c r="P2518" s="75" t="n"/>
      <c r="Q2518" s="75">
        <f>IF(ISBLANK(P2518),"",IF(D2518="Stock",P2518*G2518,IF(P2518=0,"0",G2518*P2518*100-(G2518*$AF$14))))</f>
        <v/>
      </c>
      <c r="R2518" s="79">
        <f>IF(P2518&lt;&gt;"", TODAY(), "")</f>
        <v/>
      </c>
      <c r="S2518" s="78">
        <f>IF(AND(K2518&lt;&gt;"", R2518&lt;&gt;""), R2518-K2518, "")</f>
        <v/>
      </c>
      <c r="T2518" s="78" t="n"/>
      <c r="U2518" s="92">
        <f>IF(ISBLANK(P2518),"",IF(C2518="Buy",Q2518-M2518+T2518, IF(C2518="Sell",M2518-Q2518-T2518, X)))</f>
        <v/>
      </c>
      <c r="V2518" s="81">
        <f>IF(ISBLANK(P2518),"",U2518/N2518)</f>
        <v/>
      </c>
      <c r="W2518" s="81">
        <f>IF(ISBLANK(P2518),"",IF(S2518=0,(365/0.5)*V2518,(365/S2518)*V2518))</f>
        <v/>
      </c>
      <c r="X2518" s="75" t="n"/>
      <c r="Y2518" s="77" t="n"/>
      <c r="Z2518" s="77" t="n"/>
      <c r="AA2518" s="75" t="n"/>
      <c r="AB2518" s="75" t="n"/>
      <c r="AC2518" s="6" t="n"/>
      <c r="AD2518" s="75" t="n"/>
      <c r="AE2518" s="75" t="n"/>
      <c r="AF2518" s="75" t="n"/>
    </row>
    <row r="2519" ht="15.75" customHeight="1" s="133">
      <c r="A2519" s="75" t="n"/>
      <c r="B2519" s="75" t="n"/>
      <c r="C2519" s="75" t="n"/>
      <c r="D2519" s="75" t="n"/>
      <c r="E2519" s="76" t="n"/>
      <c r="F2519" s="77" t="n"/>
      <c r="G2519" s="75" t="n"/>
      <c r="H2519" s="75">
        <f>IF(ISBLANK(E2519),"",IF(OR(D2519="Butterfly",D2519="Butterfly ",D2519="Iron Fly", D2519="Iron Fly "),LEN(E2519)-LEN(SUBSTITUTE(E2519,"/",""))+2,LEN(E2519)-LEN(SUBSTITUTE(E2519,"/",""))+1))</f>
        <v/>
      </c>
      <c r="I2519" s="78">
        <f>IF(ISBLANK(G2519),"",IF(D2519="Stock","0",Key!$A$3*H2519*G2519))</f>
        <v/>
      </c>
      <c r="J2519" s="78">
        <f>IF(ISBLANK(E2519),"",IF(ISNUMBER(SEARCH("/",E2519)), IF(LEN(E2519)-LEN(SUBSTITUTE(E2519,"/",""))=1,(RIGHT(E2519,LEN(E2519)-FIND("/",E2519)))-(LEFT(E2519,FIND("/",E2519)-1)),(MID(E2519, SEARCH("/",E2519) + 1, SEARCH("/",E2519, SEARCH("/",E2519)+1) - SEARCH("/",E2519) - 1))-(LEFT(E2519,FIND("/",E2519)-1))), "NA"))</f>
        <v/>
      </c>
      <c r="K2519" s="79">
        <f>IF(A2519&lt;&gt;"", IF(ISBLANK(L2519), TODAY(), K2519), "")</f>
        <v/>
      </c>
      <c r="L2519" s="78" t="n"/>
      <c r="M2519" s="78">
        <f>IF(ISBLANK(L2519),"",IF(D2519="Stock",IF(C2519="Buy",L2519*G2519,IF(C2519="Sell",(L2519*G2519)-I2519, X)),IF(C2519="Buy",(L2519*G2519*100)+I2519,IF(C2519="Sell",(L2519*G2519*100)-I2519, X))))</f>
        <v/>
      </c>
      <c r="N2519" s="78">
        <f>IF(ISBLANK(L2519),"",IF(AND(C2519="Sell",D2519="Stock"),M2519,IF(ISBLANK(L2519),"",IF(C2519="Buy",M2519, IF(AND(C2519="Sell",J2519="NA"),(E2519*G2519*100*0.1)+I2519, IF(C2519="Sell",(J2519-L2519)*(100*G2519)+I2519))))))</f>
        <v/>
      </c>
      <c r="O2519" s="75" t="n"/>
      <c r="P2519" s="75" t="n"/>
      <c r="Q2519" s="75">
        <f>IF(ISBLANK(P2519),"",IF(D2519="Stock",P2519*G2519,IF(P2519=0,"0",G2519*P2519*100-(G2519*$AF$14))))</f>
        <v/>
      </c>
      <c r="R2519" s="79">
        <f>IF(P2519&lt;&gt;"", TODAY(), "")</f>
        <v/>
      </c>
      <c r="S2519" s="78">
        <f>IF(AND(K2519&lt;&gt;"", R2519&lt;&gt;""), R2519-K2519, "")</f>
        <v/>
      </c>
      <c r="T2519" s="78" t="n"/>
      <c r="U2519" s="92">
        <f>IF(ISBLANK(P2519),"",IF(C2519="Buy",Q2519-M2519+T2519, IF(C2519="Sell",M2519-Q2519-T2519, X)))</f>
        <v/>
      </c>
      <c r="V2519" s="81">
        <f>IF(ISBLANK(P2519),"",U2519/N2519)</f>
        <v/>
      </c>
      <c r="W2519" s="81">
        <f>IF(ISBLANK(P2519),"",IF(S2519=0,(365/0.5)*V2519,(365/S2519)*V2519))</f>
        <v/>
      </c>
      <c r="X2519" s="75" t="n"/>
      <c r="Y2519" s="77" t="n"/>
      <c r="Z2519" s="77" t="n"/>
      <c r="AA2519" s="75" t="n"/>
      <c r="AB2519" s="75" t="n"/>
      <c r="AC2519" s="6" t="n"/>
      <c r="AD2519" s="75" t="n"/>
      <c r="AE2519" s="75" t="n"/>
      <c r="AF2519" s="75" t="n"/>
    </row>
    <row r="2520" ht="15.75" customHeight="1" s="133">
      <c r="A2520" s="75" t="n"/>
      <c r="B2520" s="75" t="n"/>
      <c r="C2520" s="75" t="n"/>
      <c r="D2520" s="75" t="n"/>
      <c r="E2520" s="76" t="n"/>
      <c r="F2520" s="77" t="n"/>
      <c r="G2520" s="75" t="n"/>
      <c r="H2520" s="75">
        <f>IF(ISBLANK(E2520),"",IF(OR(D2520="Butterfly",D2520="Butterfly ",D2520="Iron Fly", D2520="Iron Fly "),LEN(E2520)-LEN(SUBSTITUTE(E2520,"/",""))+2,LEN(E2520)-LEN(SUBSTITUTE(E2520,"/",""))+1))</f>
        <v/>
      </c>
      <c r="I2520" s="78">
        <f>IF(ISBLANK(G2520),"",IF(D2520="Stock","0",Key!$A$3*H2520*G2520))</f>
        <v/>
      </c>
      <c r="J2520" s="78">
        <f>IF(ISBLANK(E2520),"",IF(ISNUMBER(SEARCH("/",E2520)), IF(LEN(E2520)-LEN(SUBSTITUTE(E2520,"/",""))=1,(RIGHT(E2520,LEN(E2520)-FIND("/",E2520)))-(LEFT(E2520,FIND("/",E2520)-1)),(MID(E2520, SEARCH("/",E2520) + 1, SEARCH("/",E2520, SEARCH("/",E2520)+1) - SEARCH("/",E2520) - 1))-(LEFT(E2520,FIND("/",E2520)-1))), "NA"))</f>
        <v/>
      </c>
      <c r="K2520" s="79">
        <f>IF(A2520&lt;&gt;"", IF(ISBLANK(L2520), TODAY(), K2520), "")</f>
        <v/>
      </c>
      <c r="L2520" s="78" t="n"/>
      <c r="M2520" s="78">
        <f>IF(ISBLANK(L2520),"",IF(D2520="Stock",IF(C2520="Buy",L2520*G2520,IF(C2520="Sell",(L2520*G2520)-I2520, X)),IF(C2520="Buy",(L2520*G2520*100)+I2520,IF(C2520="Sell",(L2520*G2520*100)-I2520, X))))</f>
        <v/>
      </c>
      <c r="N2520" s="78">
        <f>IF(ISBLANK(L2520),"",IF(AND(C2520="Sell",D2520="Stock"),M2520,IF(ISBLANK(L2520),"",IF(C2520="Buy",M2520, IF(AND(C2520="Sell",J2520="NA"),(E2520*G2520*100*0.1)+I2520, IF(C2520="Sell",(J2520-L2520)*(100*G2520)+I2520))))))</f>
        <v/>
      </c>
      <c r="O2520" s="75" t="n"/>
      <c r="P2520" s="75" t="n"/>
      <c r="Q2520" s="75">
        <f>IF(ISBLANK(P2520),"",IF(D2520="Stock",P2520*G2520,IF(P2520=0,"0",G2520*P2520*100-(G2520*$AF$14))))</f>
        <v/>
      </c>
      <c r="R2520" s="79">
        <f>IF(P2520&lt;&gt;"", TODAY(), "")</f>
        <v/>
      </c>
      <c r="S2520" s="78">
        <f>IF(AND(K2520&lt;&gt;"", R2520&lt;&gt;""), R2520-K2520, "")</f>
        <v/>
      </c>
      <c r="T2520" s="78" t="n"/>
      <c r="U2520" s="92">
        <f>IF(ISBLANK(P2520),"",IF(C2520="Buy",Q2520-M2520+T2520, IF(C2520="Sell",M2520-Q2520-T2520, X)))</f>
        <v/>
      </c>
      <c r="V2520" s="81">
        <f>IF(ISBLANK(P2520),"",U2520/N2520)</f>
        <v/>
      </c>
      <c r="W2520" s="81">
        <f>IF(ISBLANK(P2520),"",IF(S2520=0,(365/0.5)*V2520,(365/S2520)*V2520))</f>
        <v/>
      </c>
      <c r="X2520" s="75" t="n"/>
      <c r="Y2520" s="77" t="n"/>
      <c r="Z2520" s="77" t="n"/>
      <c r="AA2520" s="75" t="n"/>
      <c r="AB2520" s="75" t="n"/>
      <c r="AC2520" s="6" t="n"/>
      <c r="AD2520" s="75" t="n"/>
      <c r="AE2520" s="75" t="n"/>
      <c r="AF2520" s="75" t="n"/>
    </row>
    <row r="2521" ht="15.75" customHeight="1" s="133">
      <c r="A2521" s="75" t="n"/>
      <c r="B2521" s="75" t="n"/>
      <c r="C2521" s="75" t="n"/>
      <c r="D2521" s="75" t="n"/>
      <c r="E2521" s="76" t="n"/>
      <c r="F2521" s="77" t="n"/>
      <c r="G2521" s="75" t="n"/>
      <c r="H2521" s="75">
        <f>IF(ISBLANK(E2521),"",IF(OR(D2521="Butterfly",D2521="Butterfly ",D2521="Iron Fly", D2521="Iron Fly "),LEN(E2521)-LEN(SUBSTITUTE(E2521,"/",""))+2,LEN(E2521)-LEN(SUBSTITUTE(E2521,"/",""))+1))</f>
        <v/>
      </c>
      <c r="I2521" s="78">
        <f>IF(ISBLANK(G2521),"",IF(D2521="Stock","0",Key!$A$3*H2521*G2521))</f>
        <v/>
      </c>
      <c r="J2521" s="78">
        <f>IF(ISBLANK(E2521),"",IF(ISNUMBER(SEARCH("/",E2521)), IF(LEN(E2521)-LEN(SUBSTITUTE(E2521,"/",""))=1,(RIGHT(E2521,LEN(E2521)-FIND("/",E2521)))-(LEFT(E2521,FIND("/",E2521)-1)),(MID(E2521, SEARCH("/",E2521) + 1, SEARCH("/",E2521, SEARCH("/",E2521)+1) - SEARCH("/",E2521) - 1))-(LEFT(E2521,FIND("/",E2521)-1))), "NA"))</f>
        <v/>
      </c>
      <c r="K2521" s="79">
        <f>IF(A2521&lt;&gt;"", IF(ISBLANK(L2521), TODAY(), K2521), "")</f>
        <v/>
      </c>
      <c r="L2521" s="78" t="n"/>
      <c r="M2521" s="78">
        <f>IF(ISBLANK(L2521),"",IF(D2521="Stock",IF(C2521="Buy",L2521*G2521,IF(C2521="Sell",(L2521*G2521)-I2521, X)),IF(C2521="Buy",(L2521*G2521*100)+I2521,IF(C2521="Sell",(L2521*G2521*100)-I2521, X))))</f>
        <v/>
      </c>
      <c r="N2521" s="78">
        <f>IF(ISBLANK(L2521),"",IF(AND(C2521="Sell",D2521="Stock"),M2521,IF(ISBLANK(L2521),"",IF(C2521="Buy",M2521, IF(AND(C2521="Sell",J2521="NA"),(E2521*G2521*100*0.1)+I2521, IF(C2521="Sell",(J2521-L2521)*(100*G2521)+I2521))))))</f>
        <v/>
      </c>
      <c r="O2521" s="75" t="n"/>
      <c r="P2521" s="75" t="n"/>
      <c r="Q2521" s="75">
        <f>IF(ISBLANK(P2521),"",IF(D2521="Stock",P2521*G2521,IF(P2521=0,"0",G2521*P2521*100-(G2521*$AF$14))))</f>
        <v/>
      </c>
      <c r="R2521" s="79">
        <f>IF(P2521&lt;&gt;"", TODAY(), "")</f>
        <v/>
      </c>
      <c r="S2521" s="78">
        <f>IF(AND(K2521&lt;&gt;"", R2521&lt;&gt;""), R2521-K2521, "")</f>
        <v/>
      </c>
      <c r="T2521" s="78" t="n"/>
      <c r="U2521" s="92">
        <f>IF(ISBLANK(P2521),"",IF(C2521="Buy",Q2521-M2521+T2521, IF(C2521="Sell",M2521-Q2521-T2521, X)))</f>
        <v/>
      </c>
      <c r="V2521" s="81">
        <f>IF(ISBLANK(P2521),"",U2521/N2521)</f>
        <v/>
      </c>
      <c r="W2521" s="81">
        <f>IF(ISBLANK(P2521),"",IF(S2521=0,(365/0.5)*V2521,(365/S2521)*V2521))</f>
        <v/>
      </c>
      <c r="X2521" s="75" t="n"/>
      <c r="Y2521" s="77" t="n"/>
      <c r="Z2521" s="77" t="n"/>
      <c r="AA2521" s="75" t="n"/>
      <c r="AB2521" s="75" t="n"/>
      <c r="AC2521" s="6" t="n"/>
      <c r="AD2521" s="75" t="n"/>
      <c r="AE2521" s="75" t="n"/>
      <c r="AF2521" s="75" t="n"/>
    </row>
    <row r="2522" ht="15.75" customHeight="1" s="133">
      <c r="A2522" s="75" t="n"/>
      <c r="B2522" s="75" t="n"/>
      <c r="C2522" s="75" t="n"/>
      <c r="D2522" s="75" t="n"/>
      <c r="E2522" s="76" t="n"/>
      <c r="F2522" s="77" t="n"/>
      <c r="G2522" s="75" t="n"/>
      <c r="H2522" s="75">
        <f>IF(ISBLANK(E2522),"",IF(OR(D2522="Butterfly",D2522="Butterfly ",D2522="Iron Fly", D2522="Iron Fly "),LEN(E2522)-LEN(SUBSTITUTE(E2522,"/",""))+2,LEN(E2522)-LEN(SUBSTITUTE(E2522,"/",""))+1))</f>
        <v/>
      </c>
      <c r="I2522" s="78">
        <f>IF(ISBLANK(G2522),"",IF(D2522="Stock","0",Key!$A$3*H2522*G2522))</f>
        <v/>
      </c>
      <c r="J2522" s="78">
        <f>IF(ISBLANK(E2522),"",IF(ISNUMBER(SEARCH("/",E2522)), IF(LEN(E2522)-LEN(SUBSTITUTE(E2522,"/",""))=1,(RIGHT(E2522,LEN(E2522)-FIND("/",E2522)))-(LEFT(E2522,FIND("/",E2522)-1)),(MID(E2522, SEARCH("/",E2522) + 1, SEARCH("/",E2522, SEARCH("/",E2522)+1) - SEARCH("/",E2522) - 1))-(LEFT(E2522,FIND("/",E2522)-1))), "NA"))</f>
        <v/>
      </c>
      <c r="K2522" s="79">
        <f>IF(A2522&lt;&gt;"", IF(ISBLANK(L2522), TODAY(), K2522), "")</f>
        <v/>
      </c>
      <c r="L2522" s="78" t="n"/>
      <c r="M2522" s="78">
        <f>IF(ISBLANK(L2522),"",IF(D2522="Stock",IF(C2522="Buy",L2522*G2522,IF(C2522="Sell",(L2522*G2522)-I2522, X)),IF(C2522="Buy",(L2522*G2522*100)+I2522,IF(C2522="Sell",(L2522*G2522*100)-I2522, X))))</f>
        <v/>
      </c>
      <c r="N2522" s="78">
        <f>IF(ISBLANK(L2522),"",IF(AND(C2522="Sell",D2522="Stock"),M2522,IF(ISBLANK(L2522),"",IF(C2522="Buy",M2522, IF(AND(C2522="Sell",J2522="NA"),(E2522*G2522*100*0.1)+I2522, IF(C2522="Sell",(J2522-L2522)*(100*G2522)+I2522))))))</f>
        <v/>
      </c>
      <c r="O2522" s="75" t="n"/>
      <c r="P2522" s="75" t="n"/>
      <c r="Q2522" s="75">
        <f>IF(ISBLANK(P2522),"",IF(D2522="Stock",P2522*G2522,IF(P2522=0,"0",G2522*P2522*100-(G2522*$AF$14))))</f>
        <v/>
      </c>
      <c r="R2522" s="79">
        <f>IF(P2522&lt;&gt;"", TODAY(), "")</f>
        <v/>
      </c>
      <c r="S2522" s="78">
        <f>IF(AND(K2522&lt;&gt;"", R2522&lt;&gt;""), R2522-K2522, "")</f>
        <v/>
      </c>
      <c r="T2522" s="78" t="n"/>
      <c r="U2522" s="92">
        <f>IF(ISBLANK(P2522),"",IF(C2522="Buy",Q2522-M2522+T2522, IF(C2522="Sell",M2522-Q2522-T2522, X)))</f>
        <v/>
      </c>
      <c r="V2522" s="81">
        <f>IF(ISBLANK(P2522),"",U2522/N2522)</f>
        <v/>
      </c>
      <c r="W2522" s="81">
        <f>IF(ISBLANK(P2522),"",IF(S2522=0,(365/0.5)*V2522,(365/S2522)*V2522))</f>
        <v/>
      </c>
      <c r="X2522" s="75" t="n"/>
      <c r="Y2522" s="77" t="n"/>
      <c r="Z2522" s="77" t="n"/>
      <c r="AA2522" s="75" t="n"/>
      <c r="AB2522" s="75" t="n"/>
      <c r="AC2522" s="6" t="n"/>
      <c r="AD2522" s="75" t="n"/>
      <c r="AE2522" s="75" t="n"/>
      <c r="AF2522" s="75" t="n"/>
    </row>
    <row r="2523" ht="15.75" customHeight="1" s="133">
      <c r="A2523" s="75" t="n"/>
      <c r="B2523" s="75" t="n"/>
      <c r="C2523" s="75" t="n"/>
      <c r="D2523" s="75" t="n"/>
      <c r="E2523" s="76" t="n"/>
      <c r="F2523" s="77" t="n"/>
      <c r="G2523" s="75" t="n"/>
      <c r="H2523" s="75">
        <f>IF(ISBLANK(E2523),"",IF(OR(D2523="Butterfly",D2523="Butterfly ",D2523="Iron Fly", D2523="Iron Fly "),LEN(E2523)-LEN(SUBSTITUTE(E2523,"/",""))+2,LEN(E2523)-LEN(SUBSTITUTE(E2523,"/",""))+1))</f>
        <v/>
      </c>
      <c r="I2523" s="78">
        <f>IF(ISBLANK(G2523),"",IF(D2523="Stock","0",Key!$A$3*H2523*G2523))</f>
        <v/>
      </c>
      <c r="J2523" s="78">
        <f>IF(ISBLANK(E2523),"",IF(ISNUMBER(SEARCH("/",E2523)), IF(LEN(E2523)-LEN(SUBSTITUTE(E2523,"/",""))=1,(RIGHT(E2523,LEN(E2523)-FIND("/",E2523)))-(LEFT(E2523,FIND("/",E2523)-1)),(MID(E2523, SEARCH("/",E2523) + 1, SEARCH("/",E2523, SEARCH("/",E2523)+1) - SEARCH("/",E2523) - 1))-(LEFT(E2523,FIND("/",E2523)-1))), "NA"))</f>
        <v/>
      </c>
      <c r="K2523" s="79">
        <f>IF(A2523&lt;&gt;"", IF(ISBLANK(L2523), TODAY(), K2523), "")</f>
        <v/>
      </c>
      <c r="L2523" s="78" t="n"/>
      <c r="M2523" s="78">
        <f>IF(ISBLANK(L2523),"",IF(D2523="Stock",IF(C2523="Buy",L2523*G2523,IF(C2523="Sell",(L2523*G2523)-I2523, X)),IF(C2523="Buy",(L2523*G2523*100)+I2523,IF(C2523="Sell",(L2523*G2523*100)-I2523, X))))</f>
        <v/>
      </c>
      <c r="N2523" s="78">
        <f>IF(ISBLANK(L2523),"",IF(AND(C2523="Sell",D2523="Stock"),M2523,IF(ISBLANK(L2523),"",IF(C2523="Buy",M2523, IF(AND(C2523="Sell",J2523="NA"),(E2523*G2523*100*0.1)+I2523, IF(C2523="Sell",(J2523-L2523)*(100*G2523)+I2523))))))</f>
        <v/>
      </c>
      <c r="O2523" s="75" t="n"/>
      <c r="P2523" s="75" t="n"/>
      <c r="Q2523" s="75">
        <f>IF(ISBLANK(P2523),"",IF(D2523="Stock",P2523*G2523,IF(P2523=0,"0",G2523*P2523*100-(G2523*$AF$14))))</f>
        <v/>
      </c>
      <c r="R2523" s="79">
        <f>IF(P2523&lt;&gt;"", TODAY(), "")</f>
        <v/>
      </c>
      <c r="S2523" s="78">
        <f>IF(AND(K2523&lt;&gt;"", R2523&lt;&gt;""), R2523-K2523, "")</f>
        <v/>
      </c>
      <c r="T2523" s="78" t="n"/>
      <c r="U2523" s="92">
        <f>IF(ISBLANK(P2523),"",IF(C2523="Buy",Q2523-M2523+T2523, IF(C2523="Sell",M2523-Q2523-T2523, X)))</f>
        <v/>
      </c>
      <c r="V2523" s="81">
        <f>IF(ISBLANK(P2523),"",U2523/N2523)</f>
        <v/>
      </c>
      <c r="W2523" s="81">
        <f>IF(ISBLANK(P2523),"",IF(S2523=0,(365/0.5)*V2523,(365/S2523)*V2523))</f>
        <v/>
      </c>
      <c r="X2523" s="75" t="n"/>
      <c r="Y2523" s="77" t="n"/>
      <c r="Z2523" s="77" t="n"/>
      <c r="AA2523" s="75" t="n"/>
      <c r="AB2523" s="75" t="n"/>
      <c r="AC2523" s="6" t="n"/>
      <c r="AD2523" s="75" t="n"/>
      <c r="AE2523" s="75" t="n"/>
      <c r="AF2523" s="75" t="n"/>
    </row>
    <row r="2524" ht="15.75" customHeight="1" s="133">
      <c r="A2524" s="75" t="n"/>
      <c r="B2524" s="75" t="n"/>
      <c r="C2524" s="75" t="n"/>
      <c r="D2524" s="75" t="n"/>
      <c r="E2524" s="76" t="n"/>
      <c r="F2524" s="77" t="n"/>
      <c r="G2524" s="75" t="n"/>
      <c r="H2524" s="75">
        <f>IF(ISBLANK(E2524),"",IF(OR(D2524="Butterfly",D2524="Butterfly ",D2524="Iron Fly", D2524="Iron Fly "),LEN(E2524)-LEN(SUBSTITUTE(E2524,"/",""))+2,LEN(E2524)-LEN(SUBSTITUTE(E2524,"/",""))+1))</f>
        <v/>
      </c>
      <c r="I2524" s="78">
        <f>IF(ISBLANK(G2524),"",IF(D2524="Stock","0",Key!$A$3*H2524*G2524))</f>
        <v/>
      </c>
      <c r="J2524" s="78">
        <f>IF(ISBLANK(E2524),"",IF(ISNUMBER(SEARCH("/",E2524)), IF(LEN(E2524)-LEN(SUBSTITUTE(E2524,"/",""))=1,(RIGHT(E2524,LEN(E2524)-FIND("/",E2524)))-(LEFT(E2524,FIND("/",E2524)-1)),(MID(E2524, SEARCH("/",E2524) + 1, SEARCH("/",E2524, SEARCH("/",E2524)+1) - SEARCH("/",E2524) - 1))-(LEFT(E2524,FIND("/",E2524)-1))), "NA"))</f>
        <v/>
      </c>
      <c r="K2524" s="79">
        <f>IF(A2524&lt;&gt;"", IF(ISBLANK(L2524), TODAY(), K2524), "")</f>
        <v/>
      </c>
      <c r="L2524" s="78" t="n"/>
      <c r="M2524" s="78">
        <f>IF(ISBLANK(L2524),"",IF(D2524="Stock",IF(C2524="Buy",L2524*G2524,IF(C2524="Sell",(L2524*G2524)-I2524, X)),IF(C2524="Buy",(L2524*G2524*100)+I2524,IF(C2524="Sell",(L2524*G2524*100)-I2524, X))))</f>
        <v/>
      </c>
      <c r="N2524" s="78">
        <f>IF(ISBLANK(L2524),"",IF(AND(C2524="Sell",D2524="Stock"),M2524,IF(ISBLANK(L2524),"",IF(C2524="Buy",M2524, IF(AND(C2524="Sell",J2524="NA"),(E2524*G2524*100*0.1)+I2524, IF(C2524="Sell",(J2524-L2524)*(100*G2524)+I2524))))))</f>
        <v/>
      </c>
      <c r="O2524" s="75" t="n"/>
      <c r="P2524" s="75" t="n"/>
      <c r="Q2524" s="75">
        <f>IF(ISBLANK(P2524),"",IF(D2524="Stock",P2524*G2524,IF(P2524=0,"0",G2524*P2524*100-(G2524*$AF$14))))</f>
        <v/>
      </c>
      <c r="R2524" s="79">
        <f>IF(P2524&lt;&gt;"", TODAY(), "")</f>
        <v/>
      </c>
      <c r="S2524" s="78">
        <f>IF(AND(K2524&lt;&gt;"", R2524&lt;&gt;""), R2524-K2524, "")</f>
        <v/>
      </c>
      <c r="T2524" s="78" t="n"/>
      <c r="U2524" s="92">
        <f>IF(ISBLANK(P2524),"",IF(C2524="Buy",Q2524-M2524+T2524, IF(C2524="Sell",M2524-Q2524-T2524, X)))</f>
        <v/>
      </c>
      <c r="V2524" s="81">
        <f>IF(ISBLANK(P2524),"",U2524/N2524)</f>
        <v/>
      </c>
      <c r="W2524" s="81">
        <f>IF(ISBLANK(P2524),"",IF(S2524=0,(365/0.5)*V2524,(365/S2524)*V2524))</f>
        <v/>
      </c>
      <c r="X2524" s="75" t="n"/>
      <c r="Y2524" s="77" t="n"/>
      <c r="Z2524" s="77" t="n"/>
      <c r="AA2524" s="75" t="n"/>
      <c r="AB2524" s="75" t="n"/>
      <c r="AC2524" s="6" t="n"/>
      <c r="AD2524" s="75" t="n"/>
      <c r="AE2524" s="75" t="n"/>
      <c r="AF2524" s="75" t="n"/>
    </row>
    <row r="2525" ht="15.75" customHeight="1" s="133">
      <c r="A2525" s="75" t="n"/>
      <c r="B2525" s="75" t="n"/>
      <c r="C2525" s="75" t="n"/>
      <c r="D2525" s="75" t="n"/>
      <c r="E2525" s="76" t="n"/>
      <c r="F2525" s="77" t="n"/>
      <c r="G2525" s="75" t="n"/>
      <c r="H2525" s="75">
        <f>IF(ISBLANK(E2525),"",IF(OR(D2525="Butterfly",D2525="Butterfly ",D2525="Iron Fly", D2525="Iron Fly "),LEN(E2525)-LEN(SUBSTITUTE(E2525,"/",""))+2,LEN(E2525)-LEN(SUBSTITUTE(E2525,"/",""))+1))</f>
        <v/>
      </c>
      <c r="I2525" s="78">
        <f>IF(ISBLANK(G2525),"",IF(D2525="Stock","0",Key!$A$3*H2525*G2525))</f>
        <v/>
      </c>
      <c r="J2525" s="78">
        <f>IF(ISBLANK(E2525),"",IF(ISNUMBER(SEARCH("/",E2525)), IF(LEN(E2525)-LEN(SUBSTITUTE(E2525,"/",""))=1,(RIGHT(E2525,LEN(E2525)-FIND("/",E2525)))-(LEFT(E2525,FIND("/",E2525)-1)),(MID(E2525, SEARCH("/",E2525) + 1, SEARCH("/",E2525, SEARCH("/",E2525)+1) - SEARCH("/",E2525) - 1))-(LEFT(E2525,FIND("/",E2525)-1))), "NA"))</f>
        <v/>
      </c>
      <c r="K2525" s="79">
        <f>IF(A2525&lt;&gt;"", IF(ISBLANK(L2525), TODAY(), K2525), "")</f>
        <v/>
      </c>
      <c r="L2525" s="78" t="n"/>
      <c r="M2525" s="78">
        <f>IF(ISBLANK(L2525),"",IF(D2525="Stock",IF(C2525="Buy",L2525*G2525,IF(C2525="Sell",(L2525*G2525)-I2525, X)),IF(C2525="Buy",(L2525*G2525*100)+I2525,IF(C2525="Sell",(L2525*G2525*100)-I2525, X))))</f>
        <v/>
      </c>
      <c r="N2525" s="78">
        <f>IF(ISBLANK(L2525),"",IF(AND(C2525="Sell",D2525="Stock"),M2525,IF(ISBLANK(L2525),"",IF(C2525="Buy",M2525, IF(AND(C2525="Sell",J2525="NA"),(E2525*G2525*100*0.1)+I2525, IF(C2525="Sell",(J2525-L2525)*(100*G2525)+I2525))))))</f>
        <v/>
      </c>
      <c r="O2525" s="75" t="n"/>
      <c r="P2525" s="75" t="n"/>
      <c r="Q2525" s="75">
        <f>IF(ISBLANK(P2525),"",IF(D2525="Stock",P2525*G2525,IF(P2525=0,"0",G2525*P2525*100-(G2525*$AF$14))))</f>
        <v/>
      </c>
      <c r="R2525" s="79">
        <f>IF(P2525&lt;&gt;"", TODAY(), "")</f>
        <v/>
      </c>
      <c r="S2525" s="78">
        <f>IF(AND(K2525&lt;&gt;"", R2525&lt;&gt;""), R2525-K2525, "")</f>
        <v/>
      </c>
      <c r="T2525" s="78" t="n"/>
      <c r="U2525" s="92">
        <f>IF(ISBLANK(P2525),"",IF(C2525="Buy",Q2525-M2525+T2525, IF(C2525="Sell",M2525-Q2525-T2525, X)))</f>
        <v/>
      </c>
      <c r="V2525" s="81">
        <f>IF(ISBLANK(P2525),"",U2525/N2525)</f>
        <v/>
      </c>
      <c r="W2525" s="81">
        <f>IF(ISBLANK(P2525),"",IF(S2525=0,(365/0.5)*V2525,(365/S2525)*V2525))</f>
        <v/>
      </c>
      <c r="X2525" s="75" t="n"/>
      <c r="Y2525" s="77" t="n"/>
      <c r="Z2525" s="77" t="n"/>
      <c r="AA2525" s="75" t="n"/>
      <c r="AB2525" s="75" t="n"/>
      <c r="AC2525" s="6" t="n"/>
      <c r="AD2525" s="75" t="n"/>
      <c r="AE2525" s="75" t="n"/>
      <c r="AF2525" s="75" t="n"/>
    </row>
    <row r="2526" ht="15.75" customHeight="1" s="133">
      <c r="A2526" s="75" t="n"/>
      <c r="B2526" s="75" t="n"/>
      <c r="C2526" s="75" t="n"/>
      <c r="D2526" s="75" t="n"/>
      <c r="E2526" s="76" t="n"/>
      <c r="F2526" s="77" t="n"/>
      <c r="G2526" s="75" t="n"/>
      <c r="H2526" s="75">
        <f>IF(ISBLANK(E2526),"",IF(OR(D2526="Butterfly",D2526="Butterfly ",D2526="Iron Fly", D2526="Iron Fly "),LEN(E2526)-LEN(SUBSTITUTE(E2526,"/",""))+2,LEN(E2526)-LEN(SUBSTITUTE(E2526,"/",""))+1))</f>
        <v/>
      </c>
      <c r="I2526" s="78">
        <f>IF(ISBLANK(G2526),"",IF(D2526="Stock","0",Key!$A$3*H2526*G2526))</f>
        <v/>
      </c>
      <c r="J2526" s="78">
        <f>IF(ISBLANK(E2526),"",IF(ISNUMBER(SEARCH("/",E2526)), IF(LEN(E2526)-LEN(SUBSTITUTE(E2526,"/",""))=1,(RIGHT(E2526,LEN(E2526)-FIND("/",E2526)))-(LEFT(E2526,FIND("/",E2526)-1)),(MID(E2526, SEARCH("/",E2526) + 1, SEARCH("/",E2526, SEARCH("/",E2526)+1) - SEARCH("/",E2526) - 1))-(LEFT(E2526,FIND("/",E2526)-1))), "NA"))</f>
        <v/>
      </c>
      <c r="K2526" s="79">
        <f>IF(A2526&lt;&gt;"", IF(ISBLANK(L2526), TODAY(), K2526), "")</f>
        <v/>
      </c>
      <c r="L2526" s="78" t="n"/>
      <c r="M2526" s="78">
        <f>IF(ISBLANK(L2526),"",IF(D2526="Stock",IF(C2526="Buy",L2526*G2526,IF(C2526="Sell",(L2526*G2526)-I2526, X)),IF(C2526="Buy",(L2526*G2526*100)+I2526,IF(C2526="Sell",(L2526*G2526*100)-I2526, X))))</f>
        <v/>
      </c>
      <c r="N2526" s="78">
        <f>IF(ISBLANK(L2526),"",IF(AND(C2526="Sell",D2526="Stock"),M2526,IF(ISBLANK(L2526),"",IF(C2526="Buy",M2526, IF(AND(C2526="Sell",J2526="NA"),(E2526*G2526*100*0.1)+I2526, IF(C2526="Sell",(J2526-L2526)*(100*G2526)+I2526))))))</f>
        <v/>
      </c>
      <c r="O2526" s="75" t="n"/>
      <c r="P2526" s="75" t="n"/>
      <c r="Q2526" s="75">
        <f>IF(ISBLANK(P2526),"",IF(D2526="Stock",P2526*G2526,IF(P2526=0,"0",G2526*P2526*100-(G2526*$AF$14))))</f>
        <v/>
      </c>
      <c r="R2526" s="79">
        <f>IF(P2526&lt;&gt;"", TODAY(), "")</f>
        <v/>
      </c>
      <c r="S2526" s="78">
        <f>IF(AND(K2526&lt;&gt;"", R2526&lt;&gt;""), R2526-K2526, "")</f>
        <v/>
      </c>
      <c r="T2526" s="78" t="n"/>
      <c r="U2526" s="92">
        <f>IF(ISBLANK(P2526),"",IF(C2526="Buy",Q2526-M2526+T2526, IF(C2526="Sell",M2526-Q2526-T2526, X)))</f>
        <v/>
      </c>
      <c r="V2526" s="81">
        <f>IF(ISBLANK(P2526),"",U2526/N2526)</f>
        <v/>
      </c>
      <c r="W2526" s="81">
        <f>IF(ISBLANK(P2526),"",IF(S2526=0,(365/0.5)*V2526,(365/S2526)*V2526))</f>
        <v/>
      </c>
      <c r="X2526" s="75" t="n"/>
      <c r="Y2526" s="77" t="n"/>
      <c r="Z2526" s="77" t="n"/>
      <c r="AA2526" s="75" t="n"/>
      <c r="AB2526" s="75" t="n"/>
      <c r="AC2526" s="6" t="n"/>
      <c r="AD2526" s="75" t="n"/>
      <c r="AE2526" s="75" t="n"/>
      <c r="AF2526" s="75" t="n"/>
    </row>
    <row r="2527" ht="15.75" customHeight="1" s="133">
      <c r="A2527" s="75" t="n"/>
      <c r="B2527" s="75" t="n"/>
      <c r="C2527" s="75" t="n"/>
      <c r="D2527" s="75" t="n"/>
      <c r="E2527" s="76" t="n"/>
      <c r="F2527" s="77" t="n"/>
      <c r="G2527" s="75" t="n"/>
      <c r="H2527" s="75">
        <f>IF(ISBLANK(E2527),"",IF(OR(D2527="Butterfly",D2527="Butterfly ",D2527="Iron Fly", D2527="Iron Fly "),LEN(E2527)-LEN(SUBSTITUTE(E2527,"/",""))+2,LEN(E2527)-LEN(SUBSTITUTE(E2527,"/",""))+1))</f>
        <v/>
      </c>
      <c r="I2527" s="78">
        <f>IF(ISBLANK(G2527),"",IF(D2527="Stock","0",Key!$A$3*H2527*G2527))</f>
        <v/>
      </c>
      <c r="J2527" s="78">
        <f>IF(ISBLANK(E2527),"",IF(ISNUMBER(SEARCH("/",E2527)), IF(LEN(E2527)-LEN(SUBSTITUTE(E2527,"/",""))=1,(RIGHT(E2527,LEN(E2527)-FIND("/",E2527)))-(LEFT(E2527,FIND("/",E2527)-1)),(MID(E2527, SEARCH("/",E2527) + 1, SEARCH("/",E2527, SEARCH("/",E2527)+1) - SEARCH("/",E2527) - 1))-(LEFT(E2527,FIND("/",E2527)-1))), "NA"))</f>
        <v/>
      </c>
      <c r="K2527" s="79">
        <f>IF(A2527&lt;&gt;"", IF(ISBLANK(L2527), TODAY(), K2527), "")</f>
        <v/>
      </c>
      <c r="L2527" s="78" t="n"/>
      <c r="M2527" s="78">
        <f>IF(ISBLANK(L2527),"",IF(D2527="Stock",IF(C2527="Buy",L2527*G2527,IF(C2527="Sell",(L2527*G2527)-I2527, X)),IF(C2527="Buy",(L2527*G2527*100)+I2527,IF(C2527="Sell",(L2527*G2527*100)-I2527, X))))</f>
        <v/>
      </c>
      <c r="N2527" s="78">
        <f>IF(ISBLANK(L2527),"",IF(AND(C2527="Sell",D2527="Stock"),M2527,IF(ISBLANK(L2527),"",IF(C2527="Buy",M2527, IF(AND(C2527="Sell",J2527="NA"),(E2527*G2527*100*0.1)+I2527, IF(C2527="Sell",(J2527-L2527)*(100*G2527)+I2527))))))</f>
        <v/>
      </c>
      <c r="O2527" s="75" t="n"/>
      <c r="P2527" s="75" t="n"/>
      <c r="Q2527" s="75">
        <f>IF(ISBLANK(P2527),"",IF(D2527="Stock",P2527*G2527,IF(P2527=0,"0",G2527*P2527*100-(G2527*$AF$14))))</f>
        <v/>
      </c>
      <c r="R2527" s="79">
        <f>IF(P2527&lt;&gt;"", TODAY(), "")</f>
        <v/>
      </c>
      <c r="S2527" s="78">
        <f>IF(AND(K2527&lt;&gt;"", R2527&lt;&gt;""), R2527-K2527, "")</f>
        <v/>
      </c>
      <c r="T2527" s="78" t="n"/>
      <c r="U2527" s="92">
        <f>IF(ISBLANK(P2527),"",IF(C2527="Buy",Q2527-M2527+T2527, IF(C2527="Sell",M2527-Q2527-T2527, X)))</f>
        <v/>
      </c>
      <c r="V2527" s="81">
        <f>IF(ISBLANK(P2527),"",U2527/N2527)</f>
        <v/>
      </c>
      <c r="W2527" s="81">
        <f>IF(ISBLANK(P2527),"",IF(S2527=0,(365/0.5)*V2527,(365/S2527)*V2527))</f>
        <v/>
      </c>
      <c r="X2527" s="75" t="n"/>
      <c r="Y2527" s="77" t="n"/>
      <c r="Z2527" s="77" t="n"/>
      <c r="AA2527" s="75" t="n"/>
      <c r="AB2527" s="75" t="n"/>
      <c r="AC2527" s="6" t="n"/>
      <c r="AD2527" s="75" t="n"/>
      <c r="AE2527" s="75" t="n"/>
      <c r="AF2527" s="75" t="n"/>
    </row>
    <row r="2528" ht="15.75" customHeight="1" s="133">
      <c r="A2528" s="75" t="n"/>
      <c r="B2528" s="75" t="n"/>
      <c r="C2528" s="75" t="n"/>
      <c r="D2528" s="75" t="n"/>
      <c r="E2528" s="76" t="n"/>
      <c r="F2528" s="77" t="n"/>
      <c r="G2528" s="75" t="n"/>
      <c r="H2528" s="75">
        <f>IF(ISBLANK(E2528),"",IF(OR(D2528="Butterfly",D2528="Butterfly ",D2528="Iron Fly", D2528="Iron Fly "),LEN(E2528)-LEN(SUBSTITUTE(E2528,"/",""))+2,LEN(E2528)-LEN(SUBSTITUTE(E2528,"/",""))+1))</f>
        <v/>
      </c>
      <c r="I2528" s="78">
        <f>IF(ISBLANK(G2528),"",IF(D2528="Stock","0",Key!$A$3*H2528*G2528))</f>
        <v/>
      </c>
      <c r="J2528" s="78">
        <f>IF(ISBLANK(E2528),"",IF(ISNUMBER(SEARCH("/",E2528)), IF(LEN(E2528)-LEN(SUBSTITUTE(E2528,"/",""))=1,(RIGHT(E2528,LEN(E2528)-FIND("/",E2528)))-(LEFT(E2528,FIND("/",E2528)-1)),(MID(E2528, SEARCH("/",E2528) + 1, SEARCH("/",E2528, SEARCH("/",E2528)+1) - SEARCH("/",E2528) - 1))-(LEFT(E2528,FIND("/",E2528)-1))), "NA"))</f>
        <v/>
      </c>
      <c r="K2528" s="79">
        <f>IF(A2528&lt;&gt;"", IF(ISBLANK(L2528), TODAY(), K2528), "")</f>
        <v/>
      </c>
      <c r="L2528" s="78" t="n"/>
      <c r="M2528" s="78">
        <f>IF(ISBLANK(L2528),"",IF(D2528="Stock",IF(C2528="Buy",L2528*G2528,IF(C2528="Sell",(L2528*G2528)-I2528, X)),IF(C2528="Buy",(L2528*G2528*100)+I2528,IF(C2528="Sell",(L2528*G2528*100)-I2528, X))))</f>
        <v/>
      </c>
      <c r="N2528" s="78">
        <f>IF(ISBLANK(L2528),"",IF(AND(C2528="Sell",D2528="Stock"),M2528,IF(ISBLANK(L2528),"",IF(C2528="Buy",M2528, IF(AND(C2528="Sell",J2528="NA"),(E2528*G2528*100*0.1)+I2528, IF(C2528="Sell",(J2528-L2528)*(100*G2528)+I2528))))))</f>
        <v/>
      </c>
      <c r="O2528" s="75" t="n"/>
      <c r="P2528" s="75" t="n"/>
      <c r="Q2528" s="75">
        <f>IF(ISBLANK(P2528),"",IF(D2528="Stock",P2528*G2528,IF(P2528=0,"0",G2528*P2528*100-(G2528*$AF$14))))</f>
        <v/>
      </c>
      <c r="R2528" s="79">
        <f>IF(P2528&lt;&gt;"", TODAY(), "")</f>
        <v/>
      </c>
      <c r="S2528" s="78">
        <f>IF(AND(K2528&lt;&gt;"", R2528&lt;&gt;""), R2528-K2528, "")</f>
        <v/>
      </c>
      <c r="T2528" s="78" t="n"/>
      <c r="U2528" s="92">
        <f>IF(ISBLANK(P2528),"",IF(C2528="Buy",Q2528-M2528+T2528, IF(C2528="Sell",M2528-Q2528-T2528, X)))</f>
        <v/>
      </c>
      <c r="V2528" s="81">
        <f>IF(ISBLANK(P2528),"",U2528/N2528)</f>
        <v/>
      </c>
      <c r="W2528" s="81">
        <f>IF(ISBLANK(P2528),"",IF(S2528=0,(365/0.5)*V2528,(365/S2528)*V2528))</f>
        <v/>
      </c>
      <c r="X2528" s="75" t="n"/>
      <c r="Y2528" s="77" t="n"/>
      <c r="Z2528" s="77" t="n"/>
      <c r="AA2528" s="75" t="n"/>
      <c r="AB2528" s="75" t="n"/>
      <c r="AC2528" s="6" t="n"/>
      <c r="AD2528" s="75" t="n"/>
      <c r="AE2528" s="75" t="n"/>
      <c r="AF2528" s="75" t="n"/>
    </row>
    <row r="2529" ht="15.75" customHeight="1" s="133">
      <c r="A2529" s="75" t="n"/>
      <c r="B2529" s="75" t="n"/>
      <c r="C2529" s="75" t="n"/>
      <c r="D2529" s="75" t="n"/>
      <c r="E2529" s="76" t="n"/>
      <c r="F2529" s="77" t="n"/>
      <c r="G2529" s="75" t="n"/>
      <c r="H2529" s="75">
        <f>IF(ISBLANK(E2529),"",IF(OR(D2529="Butterfly",D2529="Butterfly ",D2529="Iron Fly", D2529="Iron Fly "),LEN(E2529)-LEN(SUBSTITUTE(E2529,"/",""))+2,LEN(E2529)-LEN(SUBSTITUTE(E2529,"/",""))+1))</f>
        <v/>
      </c>
      <c r="I2529" s="78">
        <f>IF(ISBLANK(G2529),"",IF(D2529="Stock","0",Key!$A$3*H2529*G2529))</f>
        <v/>
      </c>
      <c r="J2529" s="78">
        <f>IF(ISBLANK(E2529),"",IF(ISNUMBER(SEARCH("/",E2529)), IF(LEN(E2529)-LEN(SUBSTITUTE(E2529,"/",""))=1,(RIGHT(E2529,LEN(E2529)-FIND("/",E2529)))-(LEFT(E2529,FIND("/",E2529)-1)),(MID(E2529, SEARCH("/",E2529) + 1, SEARCH("/",E2529, SEARCH("/",E2529)+1) - SEARCH("/",E2529) - 1))-(LEFT(E2529,FIND("/",E2529)-1))), "NA"))</f>
        <v/>
      </c>
      <c r="K2529" s="79">
        <f>IF(A2529&lt;&gt;"", IF(ISBLANK(L2529), TODAY(), K2529), "")</f>
        <v/>
      </c>
      <c r="L2529" s="78" t="n"/>
      <c r="M2529" s="78">
        <f>IF(ISBLANK(L2529),"",IF(D2529="Stock",IF(C2529="Buy",L2529*G2529,IF(C2529="Sell",(L2529*G2529)-I2529, X)),IF(C2529="Buy",(L2529*G2529*100)+I2529,IF(C2529="Sell",(L2529*G2529*100)-I2529, X))))</f>
        <v/>
      </c>
      <c r="N2529" s="78">
        <f>IF(ISBLANK(L2529),"",IF(AND(C2529="Sell",D2529="Stock"),M2529,IF(ISBLANK(L2529),"",IF(C2529="Buy",M2529, IF(AND(C2529="Sell",J2529="NA"),(E2529*G2529*100*0.1)+I2529, IF(C2529="Sell",(J2529-L2529)*(100*G2529)+I2529))))))</f>
        <v/>
      </c>
      <c r="O2529" s="75" t="n"/>
      <c r="P2529" s="75" t="n"/>
      <c r="Q2529" s="75">
        <f>IF(ISBLANK(P2529),"",IF(D2529="Stock",P2529*G2529,IF(P2529=0,"0",G2529*P2529*100-(G2529*$AF$14))))</f>
        <v/>
      </c>
      <c r="R2529" s="79">
        <f>IF(P2529&lt;&gt;"", TODAY(), "")</f>
        <v/>
      </c>
      <c r="S2529" s="78">
        <f>IF(AND(K2529&lt;&gt;"", R2529&lt;&gt;""), R2529-K2529, "")</f>
        <v/>
      </c>
      <c r="T2529" s="78" t="n"/>
      <c r="U2529" s="92">
        <f>IF(ISBLANK(P2529),"",IF(C2529="Buy",Q2529-M2529+T2529, IF(C2529="Sell",M2529-Q2529-T2529, X)))</f>
        <v/>
      </c>
      <c r="V2529" s="81">
        <f>IF(ISBLANK(P2529),"",U2529/N2529)</f>
        <v/>
      </c>
      <c r="W2529" s="81">
        <f>IF(ISBLANK(P2529),"",IF(S2529=0,(365/0.5)*V2529,(365/S2529)*V2529))</f>
        <v/>
      </c>
      <c r="X2529" s="75" t="n"/>
      <c r="Y2529" s="77" t="n"/>
      <c r="Z2529" s="77" t="n"/>
      <c r="AA2529" s="75" t="n"/>
      <c r="AB2529" s="75" t="n"/>
      <c r="AC2529" s="6" t="n"/>
      <c r="AD2529" s="75" t="n"/>
      <c r="AE2529" s="75" t="n"/>
      <c r="AF2529" s="75" t="n"/>
    </row>
    <row r="2530" ht="15.75" customHeight="1" s="133">
      <c r="A2530" s="75" t="n"/>
      <c r="B2530" s="75" t="n"/>
      <c r="C2530" s="75" t="n"/>
      <c r="D2530" s="75" t="n"/>
      <c r="E2530" s="76" t="n"/>
      <c r="F2530" s="77" t="n"/>
      <c r="G2530" s="75" t="n"/>
      <c r="H2530" s="75">
        <f>IF(ISBLANK(E2530),"",IF(OR(D2530="Butterfly",D2530="Butterfly ",D2530="Iron Fly", D2530="Iron Fly "),LEN(E2530)-LEN(SUBSTITUTE(E2530,"/",""))+2,LEN(E2530)-LEN(SUBSTITUTE(E2530,"/",""))+1))</f>
        <v/>
      </c>
      <c r="I2530" s="78">
        <f>IF(ISBLANK(G2530),"",IF(D2530="Stock","0",Key!$A$3*H2530*G2530))</f>
        <v/>
      </c>
      <c r="J2530" s="78">
        <f>IF(ISBLANK(E2530),"",IF(ISNUMBER(SEARCH("/",E2530)), IF(LEN(E2530)-LEN(SUBSTITUTE(E2530,"/",""))=1,(RIGHT(E2530,LEN(E2530)-FIND("/",E2530)))-(LEFT(E2530,FIND("/",E2530)-1)),(MID(E2530, SEARCH("/",E2530) + 1, SEARCH("/",E2530, SEARCH("/",E2530)+1) - SEARCH("/",E2530) - 1))-(LEFT(E2530,FIND("/",E2530)-1))), "NA"))</f>
        <v/>
      </c>
      <c r="K2530" s="79">
        <f>IF(A2530&lt;&gt;"", IF(ISBLANK(L2530), TODAY(), K2530), "")</f>
        <v/>
      </c>
      <c r="L2530" s="78" t="n"/>
      <c r="M2530" s="78">
        <f>IF(ISBLANK(L2530),"",IF(D2530="Stock",IF(C2530="Buy",L2530*G2530,IF(C2530="Sell",(L2530*G2530)-I2530, X)),IF(C2530="Buy",(L2530*G2530*100)+I2530,IF(C2530="Sell",(L2530*G2530*100)-I2530, X))))</f>
        <v/>
      </c>
      <c r="N2530" s="78">
        <f>IF(ISBLANK(L2530),"",IF(AND(C2530="Sell",D2530="Stock"),M2530,IF(ISBLANK(L2530),"",IF(C2530="Buy",M2530, IF(AND(C2530="Sell",J2530="NA"),(E2530*G2530*100*0.1)+I2530, IF(C2530="Sell",(J2530-L2530)*(100*G2530)+I2530))))))</f>
        <v/>
      </c>
      <c r="O2530" s="75" t="n"/>
      <c r="P2530" s="75" t="n"/>
      <c r="Q2530" s="75">
        <f>IF(ISBLANK(P2530),"",IF(D2530="Stock",P2530*G2530,IF(P2530=0,"0",G2530*P2530*100-(G2530*$AF$14))))</f>
        <v/>
      </c>
      <c r="R2530" s="79">
        <f>IF(P2530&lt;&gt;"", TODAY(), "")</f>
        <v/>
      </c>
      <c r="S2530" s="78">
        <f>IF(AND(K2530&lt;&gt;"", R2530&lt;&gt;""), R2530-K2530, "")</f>
        <v/>
      </c>
      <c r="T2530" s="78" t="n"/>
      <c r="U2530" s="92">
        <f>IF(ISBLANK(P2530),"",IF(C2530="Buy",Q2530-M2530+T2530, IF(C2530="Sell",M2530-Q2530-T2530, X)))</f>
        <v/>
      </c>
      <c r="V2530" s="81">
        <f>IF(ISBLANK(P2530),"",U2530/N2530)</f>
        <v/>
      </c>
      <c r="W2530" s="81">
        <f>IF(ISBLANK(P2530),"",IF(S2530=0,(365/0.5)*V2530,(365/S2530)*V2530))</f>
        <v/>
      </c>
      <c r="X2530" s="75" t="n"/>
      <c r="Y2530" s="77" t="n"/>
      <c r="Z2530" s="77" t="n"/>
      <c r="AA2530" s="75" t="n"/>
      <c r="AB2530" s="75" t="n"/>
      <c r="AC2530" s="6" t="n"/>
      <c r="AD2530" s="75" t="n"/>
      <c r="AE2530" s="75" t="n"/>
      <c r="AF2530" s="75" t="n"/>
    </row>
    <row r="2531" ht="15.75" customHeight="1" s="133">
      <c r="A2531" s="75" t="n"/>
      <c r="B2531" s="75" t="n"/>
      <c r="C2531" s="75" t="n"/>
      <c r="D2531" s="75" t="n"/>
      <c r="E2531" s="76" t="n"/>
      <c r="F2531" s="77" t="n"/>
      <c r="G2531" s="75" t="n"/>
      <c r="H2531" s="75">
        <f>IF(ISBLANK(E2531),"",IF(OR(D2531="Butterfly",D2531="Butterfly ",D2531="Iron Fly", D2531="Iron Fly "),LEN(E2531)-LEN(SUBSTITUTE(E2531,"/",""))+2,LEN(E2531)-LEN(SUBSTITUTE(E2531,"/",""))+1))</f>
        <v/>
      </c>
      <c r="I2531" s="78">
        <f>IF(ISBLANK(G2531),"",IF(D2531="Stock","0",Key!$A$3*H2531*G2531))</f>
        <v/>
      </c>
      <c r="J2531" s="78">
        <f>IF(ISBLANK(E2531),"",IF(ISNUMBER(SEARCH("/",E2531)), IF(LEN(E2531)-LEN(SUBSTITUTE(E2531,"/",""))=1,(RIGHT(E2531,LEN(E2531)-FIND("/",E2531)))-(LEFT(E2531,FIND("/",E2531)-1)),(MID(E2531, SEARCH("/",E2531) + 1, SEARCH("/",E2531, SEARCH("/",E2531)+1) - SEARCH("/",E2531) - 1))-(LEFT(E2531,FIND("/",E2531)-1))), "NA"))</f>
        <v/>
      </c>
      <c r="K2531" s="79">
        <f>IF(A2531&lt;&gt;"", IF(ISBLANK(L2531), TODAY(), K2531), "")</f>
        <v/>
      </c>
      <c r="L2531" s="78" t="n"/>
      <c r="M2531" s="78">
        <f>IF(ISBLANK(L2531),"",IF(D2531="Stock",IF(C2531="Buy",L2531*G2531,IF(C2531="Sell",(L2531*G2531)-I2531, X)),IF(C2531="Buy",(L2531*G2531*100)+I2531,IF(C2531="Sell",(L2531*G2531*100)-I2531, X))))</f>
        <v/>
      </c>
      <c r="N2531" s="78">
        <f>IF(ISBLANK(L2531),"",IF(AND(C2531="Sell",D2531="Stock"),M2531,IF(ISBLANK(L2531),"",IF(C2531="Buy",M2531, IF(AND(C2531="Sell",J2531="NA"),(E2531*G2531*100*0.1)+I2531, IF(C2531="Sell",(J2531-L2531)*(100*G2531)+I2531))))))</f>
        <v/>
      </c>
      <c r="O2531" s="75" t="n"/>
      <c r="P2531" s="75" t="n"/>
      <c r="Q2531" s="75">
        <f>IF(ISBLANK(P2531),"",IF(D2531="Stock",P2531*G2531,IF(P2531=0,"0",G2531*P2531*100-(G2531*$AF$14))))</f>
        <v/>
      </c>
      <c r="R2531" s="79">
        <f>IF(P2531&lt;&gt;"", TODAY(), "")</f>
        <v/>
      </c>
      <c r="S2531" s="78">
        <f>IF(AND(K2531&lt;&gt;"", R2531&lt;&gt;""), R2531-K2531, "")</f>
        <v/>
      </c>
      <c r="T2531" s="78" t="n"/>
      <c r="U2531" s="92">
        <f>IF(ISBLANK(P2531),"",IF(C2531="Buy",Q2531-M2531+T2531, IF(C2531="Sell",M2531-Q2531-T2531, X)))</f>
        <v/>
      </c>
      <c r="V2531" s="81">
        <f>IF(ISBLANK(P2531),"",U2531/N2531)</f>
        <v/>
      </c>
      <c r="W2531" s="81">
        <f>IF(ISBLANK(P2531),"",IF(S2531=0,(365/0.5)*V2531,(365/S2531)*V2531))</f>
        <v/>
      </c>
      <c r="X2531" s="75" t="n"/>
      <c r="Y2531" s="77" t="n"/>
      <c r="Z2531" s="77" t="n"/>
      <c r="AA2531" s="75" t="n"/>
      <c r="AB2531" s="75" t="n"/>
      <c r="AC2531" s="6" t="n"/>
      <c r="AD2531" s="75" t="n"/>
      <c r="AE2531" s="75" t="n"/>
      <c r="AF2531" s="75" t="n"/>
    </row>
    <row r="2532" ht="15.75" customHeight="1" s="133">
      <c r="A2532" s="75" t="n"/>
      <c r="B2532" s="75" t="n"/>
      <c r="C2532" s="75" t="n"/>
      <c r="D2532" s="75" t="n"/>
      <c r="E2532" s="76" t="n"/>
      <c r="F2532" s="77" t="n"/>
      <c r="G2532" s="75" t="n"/>
      <c r="H2532" s="75">
        <f>IF(ISBLANK(E2532),"",IF(OR(D2532="Butterfly",D2532="Butterfly ",D2532="Iron Fly", D2532="Iron Fly "),LEN(E2532)-LEN(SUBSTITUTE(E2532,"/",""))+2,LEN(E2532)-LEN(SUBSTITUTE(E2532,"/",""))+1))</f>
        <v/>
      </c>
      <c r="I2532" s="78">
        <f>IF(ISBLANK(G2532),"",IF(D2532="Stock","0",Key!$A$3*H2532*G2532))</f>
        <v/>
      </c>
      <c r="J2532" s="78">
        <f>IF(ISBLANK(E2532),"",IF(ISNUMBER(SEARCH("/",E2532)), IF(LEN(E2532)-LEN(SUBSTITUTE(E2532,"/",""))=1,(RIGHT(E2532,LEN(E2532)-FIND("/",E2532)))-(LEFT(E2532,FIND("/",E2532)-1)),(MID(E2532, SEARCH("/",E2532) + 1, SEARCH("/",E2532, SEARCH("/",E2532)+1) - SEARCH("/",E2532) - 1))-(LEFT(E2532,FIND("/",E2532)-1))), "NA"))</f>
        <v/>
      </c>
      <c r="K2532" s="79">
        <f>IF(A2532&lt;&gt;"", IF(ISBLANK(L2532), TODAY(), K2532), "")</f>
        <v/>
      </c>
      <c r="L2532" s="78" t="n"/>
      <c r="M2532" s="78">
        <f>IF(ISBLANK(L2532),"",IF(D2532="Stock",IF(C2532="Buy",L2532*G2532,IF(C2532="Sell",(L2532*G2532)-I2532, X)),IF(C2532="Buy",(L2532*G2532*100)+I2532,IF(C2532="Sell",(L2532*G2532*100)-I2532, X))))</f>
        <v/>
      </c>
      <c r="N2532" s="78">
        <f>IF(ISBLANK(L2532),"",IF(AND(C2532="Sell",D2532="Stock"),M2532,IF(ISBLANK(L2532),"",IF(C2532="Buy",M2532, IF(AND(C2532="Sell",J2532="NA"),(E2532*G2532*100*0.1)+I2532, IF(C2532="Sell",(J2532-L2532)*(100*G2532)+I2532))))))</f>
        <v/>
      </c>
      <c r="O2532" s="75" t="n"/>
      <c r="P2532" s="75" t="n"/>
      <c r="Q2532" s="75">
        <f>IF(ISBLANK(P2532),"",IF(D2532="Stock",P2532*G2532,IF(P2532=0,"0",G2532*P2532*100-(G2532*$AF$14))))</f>
        <v/>
      </c>
      <c r="R2532" s="79">
        <f>IF(P2532&lt;&gt;"", TODAY(), "")</f>
        <v/>
      </c>
      <c r="S2532" s="78">
        <f>IF(AND(K2532&lt;&gt;"", R2532&lt;&gt;""), R2532-K2532, "")</f>
        <v/>
      </c>
      <c r="T2532" s="78" t="n"/>
      <c r="U2532" s="92">
        <f>IF(ISBLANK(P2532),"",IF(C2532="Buy",Q2532-M2532+T2532, IF(C2532="Sell",M2532-Q2532-T2532, X)))</f>
        <v/>
      </c>
      <c r="V2532" s="81">
        <f>IF(ISBLANK(P2532),"",U2532/N2532)</f>
        <v/>
      </c>
      <c r="W2532" s="81">
        <f>IF(ISBLANK(P2532),"",IF(S2532=0,(365/0.5)*V2532,(365/S2532)*V2532))</f>
        <v/>
      </c>
      <c r="X2532" s="75" t="n"/>
      <c r="Y2532" s="77" t="n"/>
      <c r="Z2532" s="77" t="n"/>
      <c r="AA2532" s="75" t="n"/>
      <c r="AB2532" s="75" t="n"/>
      <c r="AC2532" s="6" t="n"/>
      <c r="AD2532" s="75" t="n"/>
      <c r="AE2532" s="75" t="n"/>
      <c r="AF2532" s="75" t="n"/>
    </row>
    <row r="2533" ht="15.75" customHeight="1" s="133">
      <c r="A2533" s="75" t="n"/>
      <c r="B2533" s="75" t="n"/>
      <c r="C2533" s="75" t="n"/>
      <c r="D2533" s="75" t="n"/>
      <c r="E2533" s="76" t="n"/>
      <c r="F2533" s="77" t="n"/>
      <c r="G2533" s="75" t="n"/>
      <c r="H2533" s="75">
        <f>IF(ISBLANK(E2533),"",IF(OR(D2533="Butterfly",D2533="Butterfly ",D2533="Iron Fly", D2533="Iron Fly "),LEN(E2533)-LEN(SUBSTITUTE(E2533,"/",""))+2,LEN(E2533)-LEN(SUBSTITUTE(E2533,"/",""))+1))</f>
        <v/>
      </c>
      <c r="I2533" s="78">
        <f>IF(ISBLANK(G2533),"",IF(D2533="Stock","0",Key!$A$3*H2533*G2533))</f>
        <v/>
      </c>
      <c r="J2533" s="78">
        <f>IF(ISBLANK(E2533),"",IF(ISNUMBER(SEARCH("/",E2533)), IF(LEN(E2533)-LEN(SUBSTITUTE(E2533,"/",""))=1,(RIGHT(E2533,LEN(E2533)-FIND("/",E2533)))-(LEFT(E2533,FIND("/",E2533)-1)),(MID(E2533, SEARCH("/",E2533) + 1, SEARCH("/",E2533, SEARCH("/",E2533)+1) - SEARCH("/",E2533) - 1))-(LEFT(E2533,FIND("/",E2533)-1))), "NA"))</f>
        <v/>
      </c>
      <c r="K2533" s="79">
        <f>IF(A2533&lt;&gt;"", IF(ISBLANK(L2533), TODAY(), K2533), "")</f>
        <v/>
      </c>
      <c r="L2533" s="78" t="n"/>
      <c r="M2533" s="78">
        <f>IF(ISBLANK(L2533),"",IF(D2533="Stock",IF(C2533="Buy",L2533*G2533,IF(C2533="Sell",(L2533*G2533)-I2533, X)),IF(C2533="Buy",(L2533*G2533*100)+I2533,IF(C2533="Sell",(L2533*G2533*100)-I2533, X))))</f>
        <v/>
      </c>
      <c r="N2533" s="78">
        <f>IF(ISBLANK(L2533),"",IF(AND(C2533="Sell",D2533="Stock"),M2533,IF(ISBLANK(L2533),"",IF(C2533="Buy",M2533, IF(AND(C2533="Sell",J2533="NA"),(E2533*G2533*100*0.1)+I2533, IF(C2533="Sell",(J2533-L2533)*(100*G2533)+I2533))))))</f>
        <v/>
      </c>
      <c r="O2533" s="75" t="n"/>
      <c r="P2533" s="75" t="n"/>
      <c r="Q2533" s="75">
        <f>IF(ISBLANK(P2533),"",IF(D2533="Stock",P2533*G2533,IF(P2533=0,"0",G2533*P2533*100-(G2533*$AF$14))))</f>
        <v/>
      </c>
      <c r="R2533" s="79">
        <f>IF(P2533&lt;&gt;"", TODAY(), "")</f>
        <v/>
      </c>
      <c r="S2533" s="78">
        <f>IF(AND(K2533&lt;&gt;"", R2533&lt;&gt;""), R2533-K2533, "")</f>
        <v/>
      </c>
      <c r="T2533" s="78" t="n"/>
      <c r="U2533" s="92">
        <f>IF(ISBLANK(P2533),"",IF(C2533="Buy",Q2533-M2533+T2533, IF(C2533="Sell",M2533-Q2533-T2533, X)))</f>
        <v/>
      </c>
      <c r="V2533" s="81">
        <f>IF(ISBLANK(P2533),"",U2533/N2533)</f>
        <v/>
      </c>
      <c r="W2533" s="81">
        <f>IF(ISBLANK(P2533),"",IF(S2533=0,(365/0.5)*V2533,(365/S2533)*V2533))</f>
        <v/>
      </c>
      <c r="X2533" s="75" t="n"/>
      <c r="Y2533" s="77" t="n"/>
      <c r="Z2533" s="77" t="n"/>
      <c r="AA2533" s="75" t="n"/>
      <c r="AB2533" s="75" t="n"/>
      <c r="AC2533" s="6" t="n"/>
      <c r="AD2533" s="75" t="n"/>
      <c r="AE2533" s="75" t="n"/>
      <c r="AF2533" s="75" t="n"/>
    </row>
    <row r="2534" ht="15.75" customHeight="1" s="133">
      <c r="A2534" s="75" t="n"/>
      <c r="B2534" s="75" t="n"/>
      <c r="C2534" s="75" t="n"/>
      <c r="D2534" s="75" t="n"/>
      <c r="E2534" s="76" t="n"/>
      <c r="F2534" s="77" t="n"/>
      <c r="G2534" s="75" t="n"/>
      <c r="H2534" s="75">
        <f>IF(ISBLANK(E2534),"",IF(OR(D2534="Butterfly",D2534="Butterfly ",D2534="Iron Fly", D2534="Iron Fly "),LEN(E2534)-LEN(SUBSTITUTE(E2534,"/",""))+2,LEN(E2534)-LEN(SUBSTITUTE(E2534,"/",""))+1))</f>
        <v/>
      </c>
      <c r="I2534" s="78">
        <f>IF(ISBLANK(G2534),"",IF(D2534="Stock","0",Key!$A$3*H2534*G2534))</f>
        <v/>
      </c>
      <c r="J2534" s="78">
        <f>IF(ISBLANK(E2534),"",IF(ISNUMBER(SEARCH("/",E2534)), IF(LEN(E2534)-LEN(SUBSTITUTE(E2534,"/",""))=1,(RIGHT(E2534,LEN(E2534)-FIND("/",E2534)))-(LEFT(E2534,FIND("/",E2534)-1)),(MID(E2534, SEARCH("/",E2534) + 1, SEARCH("/",E2534, SEARCH("/",E2534)+1) - SEARCH("/",E2534) - 1))-(LEFT(E2534,FIND("/",E2534)-1))), "NA"))</f>
        <v/>
      </c>
      <c r="K2534" s="79">
        <f>IF(A2534&lt;&gt;"", IF(ISBLANK(L2534), TODAY(), K2534), "")</f>
        <v/>
      </c>
      <c r="L2534" s="78" t="n"/>
      <c r="M2534" s="78">
        <f>IF(ISBLANK(L2534),"",IF(D2534="Stock",IF(C2534="Buy",L2534*G2534,IF(C2534="Sell",(L2534*G2534)-I2534, X)),IF(C2534="Buy",(L2534*G2534*100)+I2534,IF(C2534="Sell",(L2534*G2534*100)-I2534, X))))</f>
        <v/>
      </c>
      <c r="N2534" s="78">
        <f>IF(ISBLANK(L2534),"",IF(AND(C2534="Sell",D2534="Stock"),M2534,IF(ISBLANK(L2534),"",IF(C2534="Buy",M2534, IF(AND(C2534="Sell",J2534="NA"),(E2534*G2534*100*0.1)+I2534, IF(C2534="Sell",(J2534-L2534)*(100*G2534)+I2534))))))</f>
        <v/>
      </c>
      <c r="O2534" s="75" t="n"/>
      <c r="P2534" s="75" t="n"/>
      <c r="Q2534" s="75">
        <f>IF(ISBLANK(P2534),"",IF(D2534="Stock",P2534*G2534,IF(P2534=0,"0",G2534*P2534*100-(G2534*$AF$14))))</f>
        <v/>
      </c>
      <c r="R2534" s="79">
        <f>IF(P2534&lt;&gt;"", TODAY(), "")</f>
        <v/>
      </c>
      <c r="S2534" s="78">
        <f>IF(AND(K2534&lt;&gt;"", R2534&lt;&gt;""), R2534-K2534, "")</f>
        <v/>
      </c>
      <c r="T2534" s="78" t="n"/>
      <c r="U2534" s="92">
        <f>IF(ISBLANK(P2534),"",IF(C2534="Buy",Q2534-M2534+T2534, IF(C2534="Sell",M2534-Q2534-T2534, X)))</f>
        <v/>
      </c>
      <c r="V2534" s="81">
        <f>IF(ISBLANK(P2534),"",U2534/N2534)</f>
        <v/>
      </c>
      <c r="W2534" s="81">
        <f>IF(ISBLANK(P2534),"",IF(S2534=0,(365/0.5)*V2534,(365/S2534)*V2534))</f>
        <v/>
      </c>
      <c r="X2534" s="75" t="n"/>
      <c r="Y2534" s="77" t="n"/>
      <c r="Z2534" s="77" t="n"/>
      <c r="AA2534" s="75" t="n"/>
      <c r="AB2534" s="75" t="n"/>
      <c r="AC2534" s="6" t="n"/>
      <c r="AD2534" s="75" t="n"/>
      <c r="AE2534" s="75" t="n"/>
      <c r="AF2534" s="75" t="n"/>
    </row>
    <row r="2535" ht="15.75" customHeight="1" s="133">
      <c r="A2535" s="75" t="n"/>
      <c r="B2535" s="75" t="n"/>
      <c r="C2535" s="75" t="n"/>
      <c r="D2535" s="75" t="n"/>
      <c r="E2535" s="76" t="n"/>
      <c r="F2535" s="77" t="n"/>
      <c r="G2535" s="75" t="n"/>
      <c r="H2535" s="75">
        <f>IF(ISBLANK(E2535),"",IF(OR(D2535="Butterfly",D2535="Butterfly ",D2535="Iron Fly", D2535="Iron Fly "),LEN(E2535)-LEN(SUBSTITUTE(E2535,"/",""))+2,LEN(E2535)-LEN(SUBSTITUTE(E2535,"/",""))+1))</f>
        <v/>
      </c>
      <c r="I2535" s="78">
        <f>IF(ISBLANK(G2535),"",IF(D2535="Stock","0",Key!$A$3*H2535*G2535))</f>
        <v/>
      </c>
      <c r="J2535" s="78">
        <f>IF(ISBLANK(E2535),"",IF(ISNUMBER(SEARCH("/",E2535)), IF(LEN(E2535)-LEN(SUBSTITUTE(E2535,"/",""))=1,(RIGHT(E2535,LEN(E2535)-FIND("/",E2535)))-(LEFT(E2535,FIND("/",E2535)-1)),(MID(E2535, SEARCH("/",E2535) + 1, SEARCH("/",E2535, SEARCH("/",E2535)+1) - SEARCH("/",E2535) - 1))-(LEFT(E2535,FIND("/",E2535)-1))), "NA"))</f>
        <v/>
      </c>
      <c r="K2535" s="79">
        <f>IF(A2535&lt;&gt;"", IF(ISBLANK(L2535), TODAY(), K2535), "")</f>
        <v/>
      </c>
      <c r="L2535" s="78" t="n"/>
      <c r="M2535" s="78">
        <f>IF(ISBLANK(L2535),"",IF(D2535="Stock",IF(C2535="Buy",L2535*G2535,IF(C2535="Sell",(L2535*G2535)-I2535, X)),IF(C2535="Buy",(L2535*G2535*100)+I2535,IF(C2535="Sell",(L2535*G2535*100)-I2535, X))))</f>
        <v/>
      </c>
      <c r="N2535" s="78">
        <f>IF(ISBLANK(L2535),"",IF(AND(C2535="Sell",D2535="Stock"),M2535,IF(ISBLANK(L2535),"",IF(C2535="Buy",M2535, IF(AND(C2535="Sell",J2535="NA"),(E2535*G2535*100*0.1)+I2535, IF(C2535="Sell",(J2535-L2535)*(100*G2535)+I2535))))))</f>
        <v/>
      </c>
      <c r="O2535" s="75" t="n"/>
      <c r="P2535" s="75" t="n"/>
      <c r="Q2535" s="75">
        <f>IF(ISBLANK(P2535),"",IF(D2535="Stock",P2535*G2535,IF(P2535=0,"0",G2535*P2535*100-(G2535*$AF$14))))</f>
        <v/>
      </c>
      <c r="R2535" s="79">
        <f>IF(P2535&lt;&gt;"", TODAY(), "")</f>
        <v/>
      </c>
      <c r="S2535" s="78">
        <f>IF(AND(K2535&lt;&gt;"", R2535&lt;&gt;""), R2535-K2535, "")</f>
        <v/>
      </c>
      <c r="T2535" s="78" t="n"/>
      <c r="U2535" s="92">
        <f>IF(ISBLANK(P2535),"",IF(C2535="Buy",Q2535-M2535+T2535, IF(C2535="Sell",M2535-Q2535-T2535, X)))</f>
        <v/>
      </c>
      <c r="V2535" s="81">
        <f>IF(ISBLANK(P2535),"",U2535/N2535)</f>
        <v/>
      </c>
      <c r="W2535" s="81">
        <f>IF(ISBLANK(P2535),"",IF(S2535=0,(365/0.5)*V2535,(365/S2535)*V2535))</f>
        <v/>
      </c>
      <c r="X2535" s="75" t="n"/>
      <c r="Y2535" s="77" t="n"/>
      <c r="Z2535" s="77" t="n"/>
      <c r="AA2535" s="75" t="n"/>
      <c r="AB2535" s="75" t="n"/>
      <c r="AC2535" s="6" t="n"/>
      <c r="AD2535" s="75" t="n"/>
      <c r="AE2535" s="75" t="n"/>
      <c r="AF2535" s="75" t="n"/>
    </row>
    <row r="2536" ht="15.75" customHeight="1" s="133">
      <c r="A2536" s="75" t="n"/>
      <c r="B2536" s="75" t="n"/>
      <c r="C2536" s="75" t="n"/>
      <c r="D2536" s="75" t="n"/>
      <c r="E2536" s="76" t="n"/>
      <c r="F2536" s="77" t="n"/>
      <c r="G2536" s="75" t="n"/>
      <c r="H2536" s="75">
        <f>IF(ISBLANK(E2536),"",IF(OR(D2536="Butterfly",D2536="Butterfly ",D2536="Iron Fly", D2536="Iron Fly "),LEN(E2536)-LEN(SUBSTITUTE(E2536,"/",""))+2,LEN(E2536)-LEN(SUBSTITUTE(E2536,"/",""))+1))</f>
        <v/>
      </c>
      <c r="I2536" s="78">
        <f>IF(ISBLANK(G2536),"",IF(D2536="Stock","0",Key!$A$3*H2536*G2536))</f>
        <v/>
      </c>
      <c r="J2536" s="78">
        <f>IF(ISBLANK(E2536),"",IF(ISNUMBER(SEARCH("/",E2536)), IF(LEN(E2536)-LEN(SUBSTITUTE(E2536,"/",""))=1,(RIGHT(E2536,LEN(E2536)-FIND("/",E2536)))-(LEFT(E2536,FIND("/",E2536)-1)),(MID(E2536, SEARCH("/",E2536) + 1, SEARCH("/",E2536, SEARCH("/",E2536)+1) - SEARCH("/",E2536) - 1))-(LEFT(E2536,FIND("/",E2536)-1))), "NA"))</f>
        <v/>
      </c>
      <c r="K2536" s="79">
        <f>IF(A2536&lt;&gt;"", IF(ISBLANK(L2536), TODAY(), K2536), "")</f>
        <v/>
      </c>
      <c r="L2536" s="78" t="n"/>
      <c r="M2536" s="78">
        <f>IF(ISBLANK(L2536),"",IF(D2536="Stock",IF(C2536="Buy",L2536*G2536,IF(C2536="Sell",(L2536*G2536)-I2536, X)),IF(C2536="Buy",(L2536*G2536*100)+I2536,IF(C2536="Sell",(L2536*G2536*100)-I2536, X))))</f>
        <v/>
      </c>
      <c r="N2536" s="78">
        <f>IF(ISBLANK(L2536),"",IF(AND(C2536="Sell",D2536="Stock"),M2536,IF(ISBLANK(L2536),"",IF(C2536="Buy",M2536, IF(AND(C2536="Sell",J2536="NA"),(E2536*G2536*100*0.1)+I2536, IF(C2536="Sell",(J2536-L2536)*(100*G2536)+I2536))))))</f>
        <v/>
      </c>
      <c r="O2536" s="75" t="n"/>
      <c r="P2536" s="75" t="n"/>
      <c r="Q2536" s="75">
        <f>IF(ISBLANK(P2536),"",IF(D2536="Stock",P2536*G2536,IF(P2536=0,"0",G2536*P2536*100-(G2536*$AF$14))))</f>
        <v/>
      </c>
      <c r="R2536" s="79">
        <f>IF(P2536&lt;&gt;"", TODAY(), "")</f>
        <v/>
      </c>
      <c r="S2536" s="78">
        <f>IF(AND(K2536&lt;&gt;"", R2536&lt;&gt;""), R2536-K2536, "")</f>
        <v/>
      </c>
      <c r="T2536" s="78" t="n"/>
      <c r="U2536" s="92">
        <f>IF(ISBLANK(P2536),"",IF(C2536="Buy",Q2536-M2536+T2536, IF(C2536="Sell",M2536-Q2536-T2536, X)))</f>
        <v/>
      </c>
      <c r="V2536" s="81">
        <f>IF(ISBLANK(P2536),"",U2536/N2536)</f>
        <v/>
      </c>
      <c r="W2536" s="81">
        <f>IF(ISBLANK(P2536),"",IF(S2536=0,(365/0.5)*V2536,(365/S2536)*V2536))</f>
        <v/>
      </c>
      <c r="X2536" s="75" t="n"/>
      <c r="Y2536" s="77" t="n"/>
      <c r="Z2536" s="77" t="n"/>
      <c r="AA2536" s="75" t="n"/>
      <c r="AB2536" s="75" t="n"/>
      <c r="AC2536" s="6" t="n"/>
      <c r="AD2536" s="75" t="n"/>
      <c r="AE2536" s="75" t="n"/>
      <c r="AF2536" s="75" t="n"/>
    </row>
    <row r="2537" ht="15.75" customHeight="1" s="133">
      <c r="A2537" s="75" t="n"/>
      <c r="B2537" s="75" t="n"/>
      <c r="C2537" s="75" t="n"/>
      <c r="D2537" s="75" t="n"/>
      <c r="E2537" s="76" t="n"/>
      <c r="F2537" s="77" t="n"/>
      <c r="G2537" s="75" t="n"/>
      <c r="H2537" s="75">
        <f>IF(ISBLANK(E2537),"",IF(OR(D2537="Butterfly",D2537="Butterfly ",D2537="Iron Fly", D2537="Iron Fly "),LEN(E2537)-LEN(SUBSTITUTE(E2537,"/",""))+2,LEN(E2537)-LEN(SUBSTITUTE(E2537,"/",""))+1))</f>
        <v/>
      </c>
      <c r="I2537" s="78">
        <f>IF(ISBLANK(G2537),"",IF(D2537="Stock","0",Key!$A$3*H2537*G2537))</f>
        <v/>
      </c>
      <c r="J2537" s="78">
        <f>IF(ISBLANK(E2537),"",IF(ISNUMBER(SEARCH("/",E2537)), IF(LEN(E2537)-LEN(SUBSTITUTE(E2537,"/",""))=1,(RIGHT(E2537,LEN(E2537)-FIND("/",E2537)))-(LEFT(E2537,FIND("/",E2537)-1)),(MID(E2537, SEARCH("/",E2537) + 1, SEARCH("/",E2537, SEARCH("/",E2537)+1) - SEARCH("/",E2537) - 1))-(LEFT(E2537,FIND("/",E2537)-1))), "NA"))</f>
        <v/>
      </c>
      <c r="K2537" s="79">
        <f>IF(A2537&lt;&gt;"", IF(ISBLANK(L2537), TODAY(), K2537), "")</f>
        <v/>
      </c>
      <c r="L2537" s="78" t="n"/>
      <c r="M2537" s="78">
        <f>IF(ISBLANK(L2537),"",IF(D2537="Stock",IF(C2537="Buy",L2537*G2537,IF(C2537="Sell",(L2537*G2537)-I2537, X)),IF(C2537="Buy",(L2537*G2537*100)+I2537,IF(C2537="Sell",(L2537*G2537*100)-I2537, X))))</f>
        <v/>
      </c>
      <c r="N2537" s="78">
        <f>IF(ISBLANK(L2537),"",IF(AND(C2537="Sell",D2537="Stock"),M2537,IF(ISBLANK(L2537),"",IF(C2537="Buy",M2537, IF(AND(C2537="Sell",J2537="NA"),(E2537*G2537*100*0.1)+I2537, IF(C2537="Sell",(J2537-L2537)*(100*G2537)+I2537))))))</f>
        <v/>
      </c>
      <c r="O2537" s="75" t="n"/>
      <c r="P2537" s="75" t="n"/>
      <c r="Q2537" s="75">
        <f>IF(ISBLANK(P2537),"",IF(D2537="Stock",P2537*G2537,IF(P2537=0,"0",G2537*P2537*100-(G2537*$AF$14))))</f>
        <v/>
      </c>
      <c r="R2537" s="79">
        <f>IF(P2537&lt;&gt;"", TODAY(), "")</f>
        <v/>
      </c>
      <c r="S2537" s="78">
        <f>IF(AND(K2537&lt;&gt;"", R2537&lt;&gt;""), R2537-K2537, "")</f>
        <v/>
      </c>
      <c r="T2537" s="78" t="n"/>
      <c r="U2537" s="92">
        <f>IF(ISBLANK(P2537),"",IF(C2537="Buy",Q2537-M2537+T2537, IF(C2537="Sell",M2537-Q2537-T2537, X)))</f>
        <v/>
      </c>
      <c r="V2537" s="81">
        <f>IF(ISBLANK(P2537),"",U2537/N2537)</f>
        <v/>
      </c>
      <c r="W2537" s="81">
        <f>IF(ISBLANK(P2537),"",IF(S2537=0,(365/0.5)*V2537,(365/S2537)*V2537))</f>
        <v/>
      </c>
      <c r="X2537" s="75" t="n"/>
      <c r="Y2537" s="77" t="n"/>
      <c r="Z2537" s="77" t="n"/>
      <c r="AA2537" s="75" t="n"/>
      <c r="AB2537" s="75" t="n"/>
      <c r="AC2537" s="6" t="n"/>
      <c r="AD2537" s="75" t="n"/>
      <c r="AE2537" s="75" t="n"/>
      <c r="AF2537" s="75" t="n"/>
    </row>
    <row r="2538" ht="15.75" customHeight="1" s="133">
      <c r="A2538" s="75" t="n"/>
      <c r="B2538" s="75" t="n"/>
      <c r="C2538" s="75" t="n"/>
      <c r="D2538" s="75" t="n"/>
      <c r="E2538" s="76" t="n"/>
      <c r="F2538" s="77" t="n"/>
      <c r="G2538" s="75" t="n"/>
      <c r="H2538" s="75">
        <f>IF(ISBLANK(E2538),"",IF(OR(D2538="Butterfly",D2538="Butterfly ",D2538="Iron Fly", D2538="Iron Fly "),LEN(E2538)-LEN(SUBSTITUTE(E2538,"/",""))+2,LEN(E2538)-LEN(SUBSTITUTE(E2538,"/",""))+1))</f>
        <v/>
      </c>
      <c r="I2538" s="78">
        <f>IF(ISBLANK(G2538),"",IF(D2538="Stock","0",Key!$A$3*H2538*G2538))</f>
        <v/>
      </c>
      <c r="J2538" s="78">
        <f>IF(ISBLANK(E2538),"",IF(ISNUMBER(SEARCH("/",E2538)), IF(LEN(E2538)-LEN(SUBSTITUTE(E2538,"/",""))=1,(RIGHT(E2538,LEN(E2538)-FIND("/",E2538)))-(LEFT(E2538,FIND("/",E2538)-1)),(MID(E2538, SEARCH("/",E2538) + 1, SEARCH("/",E2538, SEARCH("/",E2538)+1) - SEARCH("/",E2538) - 1))-(LEFT(E2538,FIND("/",E2538)-1))), "NA"))</f>
        <v/>
      </c>
      <c r="K2538" s="79">
        <f>IF(A2538&lt;&gt;"", IF(ISBLANK(L2538), TODAY(), K2538), "")</f>
        <v/>
      </c>
      <c r="L2538" s="78" t="n"/>
      <c r="M2538" s="78">
        <f>IF(ISBLANK(L2538),"",IF(D2538="Stock",IF(C2538="Buy",L2538*G2538,IF(C2538="Sell",(L2538*G2538)-I2538, X)),IF(C2538="Buy",(L2538*G2538*100)+I2538,IF(C2538="Sell",(L2538*G2538*100)-I2538, X))))</f>
        <v/>
      </c>
      <c r="N2538" s="78">
        <f>IF(ISBLANK(L2538),"",IF(AND(C2538="Sell",D2538="Stock"),M2538,IF(ISBLANK(L2538),"",IF(C2538="Buy",M2538, IF(AND(C2538="Sell",J2538="NA"),(E2538*G2538*100*0.1)+I2538, IF(C2538="Sell",(J2538-L2538)*(100*G2538)+I2538))))))</f>
        <v/>
      </c>
      <c r="O2538" s="75" t="n"/>
      <c r="P2538" s="75" t="n"/>
      <c r="Q2538" s="75">
        <f>IF(ISBLANK(P2538),"",IF(D2538="Stock",P2538*G2538,IF(P2538=0,"0",G2538*P2538*100-(G2538*$AF$14))))</f>
        <v/>
      </c>
      <c r="R2538" s="79">
        <f>IF(P2538&lt;&gt;"", TODAY(), "")</f>
        <v/>
      </c>
      <c r="S2538" s="78">
        <f>IF(AND(K2538&lt;&gt;"", R2538&lt;&gt;""), R2538-K2538, "")</f>
        <v/>
      </c>
      <c r="T2538" s="78" t="n"/>
      <c r="U2538" s="92">
        <f>IF(ISBLANK(P2538),"",IF(C2538="Buy",Q2538-M2538+T2538, IF(C2538="Sell",M2538-Q2538-T2538, X)))</f>
        <v/>
      </c>
      <c r="V2538" s="81">
        <f>IF(ISBLANK(P2538),"",U2538/N2538)</f>
        <v/>
      </c>
      <c r="W2538" s="81">
        <f>IF(ISBLANK(P2538),"",IF(S2538=0,(365/0.5)*V2538,(365/S2538)*V2538))</f>
        <v/>
      </c>
      <c r="X2538" s="75" t="n"/>
      <c r="Y2538" s="77" t="n"/>
      <c r="Z2538" s="77" t="n"/>
      <c r="AA2538" s="75" t="n"/>
      <c r="AB2538" s="75" t="n"/>
      <c r="AC2538" s="6" t="n"/>
      <c r="AD2538" s="75" t="n"/>
      <c r="AE2538" s="75" t="n"/>
      <c r="AF2538" s="75" t="n"/>
    </row>
    <row r="2539" ht="15.75" customHeight="1" s="133">
      <c r="A2539" s="75" t="n"/>
      <c r="B2539" s="75" t="n"/>
      <c r="C2539" s="75" t="n"/>
      <c r="D2539" s="75" t="n"/>
      <c r="E2539" s="76" t="n"/>
      <c r="F2539" s="77" t="n"/>
      <c r="G2539" s="75" t="n"/>
      <c r="H2539" s="75">
        <f>IF(ISBLANK(E2539),"",IF(OR(D2539="Butterfly",D2539="Butterfly ",D2539="Iron Fly", D2539="Iron Fly "),LEN(E2539)-LEN(SUBSTITUTE(E2539,"/",""))+2,LEN(E2539)-LEN(SUBSTITUTE(E2539,"/",""))+1))</f>
        <v/>
      </c>
      <c r="I2539" s="78">
        <f>IF(ISBLANK(G2539),"",IF(D2539="Stock","0",Key!$A$3*H2539*G2539))</f>
        <v/>
      </c>
      <c r="J2539" s="78">
        <f>IF(ISBLANK(E2539),"",IF(ISNUMBER(SEARCH("/",E2539)), IF(LEN(E2539)-LEN(SUBSTITUTE(E2539,"/",""))=1,(RIGHT(E2539,LEN(E2539)-FIND("/",E2539)))-(LEFT(E2539,FIND("/",E2539)-1)),(MID(E2539, SEARCH("/",E2539) + 1, SEARCH("/",E2539, SEARCH("/",E2539)+1) - SEARCH("/",E2539) - 1))-(LEFT(E2539,FIND("/",E2539)-1))), "NA"))</f>
        <v/>
      </c>
      <c r="K2539" s="79">
        <f>IF(A2539&lt;&gt;"", IF(ISBLANK(L2539), TODAY(), K2539), "")</f>
        <v/>
      </c>
      <c r="L2539" s="78" t="n"/>
      <c r="M2539" s="78">
        <f>IF(ISBLANK(L2539),"",IF(D2539="Stock",IF(C2539="Buy",L2539*G2539,IF(C2539="Sell",(L2539*G2539)-I2539, X)),IF(C2539="Buy",(L2539*G2539*100)+I2539,IF(C2539="Sell",(L2539*G2539*100)-I2539, X))))</f>
        <v/>
      </c>
      <c r="N2539" s="78">
        <f>IF(ISBLANK(L2539),"",IF(AND(C2539="Sell",D2539="Stock"),M2539,IF(ISBLANK(L2539),"",IF(C2539="Buy",M2539, IF(AND(C2539="Sell",J2539="NA"),(E2539*G2539*100*0.1)+I2539, IF(C2539="Sell",(J2539-L2539)*(100*G2539)+I2539))))))</f>
        <v/>
      </c>
      <c r="O2539" s="75" t="n"/>
      <c r="P2539" s="75" t="n"/>
      <c r="Q2539" s="75">
        <f>IF(ISBLANK(P2539),"",IF(D2539="Stock",P2539*G2539,IF(P2539=0,"0",G2539*P2539*100-(G2539*$AF$14))))</f>
        <v/>
      </c>
      <c r="R2539" s="79">
        <f>IF(P2539&lt;&gt;"", TODAY(), "")</f>
        <v/>
      </c>
      <c r="S2539" s="78">
        <f>IF(AND(K2539&lt;&gt;"", R2539&lt;&gt;""), R2539-K2539, "")</f>
        <v/>
      </c>
      <c r="T2539" s="78" t="n"/>
      <c r="U2539" s="92">
        <f>IF(ISBLANK(P2539),"",IF(C2539="Buy",Q2539-M2539+T2539, IF(C2539="Sell",M2539-Q2539-T2539, X)))</f>
        <v/>
      </c>
      <c r="V2539" s="81">
        <f>IF(ISBLANK(P2539),"",U2539/N2539)</f>
        <v/>
      </c>
      <c r="W2539" s="81">
        <f>IF(ISBLANK(P2539),"",IF(S2539=0,(365/0.5)*V2539,(365/S2539)*V2539))</f>
        <v/>
      </c>
      <c r="X2539" s="75" t="n"/>
      <c r="Y2539" s="77" t="n"/>
      <c r="Z2539" s="77" t="n"/>
      <c r="AA2539" s="75" t="n"/>
      <c r="AB2539" s="75" t="n"/>
      <c r="AC2539" s="6" t="n"/>
      <c r="AD2539" s="75" t="n"/>
      <c r="AE2539" s="75" t="n"/>
      <c r="AF2539" s="75" t="n"/>
    </row>
    <row r="2540" ht="15.75" customHeight="1" s="133">
      <c r="A2540" s="75" t="n"/>
      <c r="B2540" s="75" t="n"/>
      <c r="C2540" s="75" t="n"/>
      <c r="D2540" s="75" t="n"/>
      <c r="E2540" s="76" t="n"/>
      <c r="F2540" s="77" t="n"/>
      <c r="G2540" s="75" t="n"/>
      <c r="H2540" s="75">
        <f>IF(ISBLANK(E2540),"",IF(OR(D2540="Butterfly",D2540="Butterfly ",D2540="Iron Fly", D2540="Iron Fly "),LEN(E2540)-LEN(SUBSTITUTE(E2540,"/",""))+2,LEN(E2540)-LEN(SUBSTITUTE(E2540,"/",""))+1))</f>
        <v/>
      </c>
      <c r="I2540" s="78">
        <f>IF(ISBLANK(G2540),"",IF(D2540="Stock","0",Key!$A$3*H2540*G2540))</f>
        <v/>
      </c>
      <c r="J2540" s="78">
        <f>IF(ISBLANK(E2540),"",IF(ISNUMBER(SEARCH("/",E2540)), IF(LEN(E2540)-LEN(SUBSTITUTE(E2540,"/",""))=1,(RIGHT(E2540,LEN(E2540)-FIND("/",E2540)))-(LEFT(E2540,FIND("/",E2540)-1)),(MID(E2540, SEARCH("/",E2540) + 1, SEARCH("/",E2540, SEARCH("/",E2540)+1) - SEARCH("/",E2540) - 1))-(LEFT(E2540,FIND("/",E2540)-1))), "NA"))</f>
        <v/>
      </c>
      <c r="K2540" s="79">
        <f>IF(A2540&lt;&gt;"", IF(ISBLANK(L2540), TODAY(), K2540), "")</f>
        <v/>
      </c>
      <c r="L2540" s="78" t="n"/>
      <c r="M2540" s="78">
        <f>IF(ISBLANK(L2540),"",IF(D2540="Stock",IF(C2540="Buy",L2540*G2540,IF(C2540="Sell",(L2540*G2540)-I2540, X)),IF(C2540="Buy",(L2540*G2540*100)+I2540,IF(C2540="Sell",(L2540*G2540*100)-I2540, X))))</f>
        <v/>
      </c>
      <c r="N2540" s="78">
        <f>IF(ISBLANK(L2540),"",IF(AND(C2540="Sell",D2540="Stock"),M2540,IF(ISBLANK(L2540),"",IF(C2540="Buy",M2540, IF(AND(C2540="Sell",J2540="NA"),(E2540*G2540*100*0.1)+I2540, IF(C2540="Sell",(J2540-L2540)*(100*G2540)+I2540))))))</f>
        <v/>
      </c>
      <c r="O2540" s="75" t="n"/>
      <c r="P2540" s="75" t="n"/>
      <c r="Q2540" s="75">
        <f>IF(ISBLANK(P2540),"",IF(D2540="Stock",P2540*G2540,IF(P2540=0,"0",G2540*P2540*100-(G2540*$AF$14))))</f>
        <v/>
      </c>
      <c r="R2540" s="79">
        <f>IF(P2540&lt;&gt;"", TODAY(), "")</f>
        <v/>
      </c>
      <c r="S2540" s="78">
        <f>IF(AND(K2540&lt;&gt;"", R2540&lt;&gt;""), R2540-K2540, "")</f>
        <v/>
      </c>
      <c r="T2540" s="78" t="n"/>
      <c r="U2540" s="92">
        <f>IF(ISBLANK(P2540),"",IF(C2540="Buy",Q2540-M2540+T2540, IF(C2540="Sell",M2540-Q2540-T2540, X)))</f>
        <v/>
      </c>
      <c r="V2540" s="81">
        <f>IF(ISBLANK(P2540),"",U2540/N2540)</f>
        <v/>
      </c>
      <c r="W2540" s="81">
        <f>IF(ISBLANK(P2540),"",IF(S2540=0,(365/0.5)*V2540,(365/S2540)*V2540))</f>
        <v/>
      </c>
      <c r="X2540" s="75" t="n"/>
      <c r="Y2540" s="77" t="n"/>
      <c r="Z2540" s="77" t="n"/>
      <c r="AA2540" s="75" t="n"/>
      <c r="AB2540" s="75" t="n"/>
      <c r="AC2540" s="6" t="n"/>
      <c r="AD2540" s="75" t="n"/>
      <c r="AE2540" s="75" t="n"/>
      <c r="AF2540" s="75" t="n"/>
    </row>
    <row r="2541" ht="15.75" customHeight="1" s="133">
      <c r="A2541" s="75" t="n"/>
      <c r="B2541" s="75" t="n"/>
      <c r="C2541" s="75" t="n"/>
      <c r="D2541" s="75" t="n"/>
      <c r="E2541" s="76" t="n"/>
      <c r="F2541" s="77" t="n"/>
      <c r="G2541" s="75" t="n"/>
      <c r="H2541" s="75">
        <f>IF(ISBLANK(E2541),"",IF(OR(D2541="Butterfly",D2541="Butterfly ",D2541="Iron Fly", D2541="Iron Fly "),LEN(E2541)-LEN(SUBSTITUTE(E2541,"/",""))+2,LEN(E2541)-LEN(SUBSTITUTE(E2541,"/",""))+1))</f>
        <v/>
      </c>
      <c r="I2541" s="78">
        <f>IF(ISBLANK(G2541),"",IF(D2541="Stock","0",Key!$A$3*H2541*G2541))</f>
        <v/>
      </c>
      <c r="J2541" s="78">
        <f>IF(ISBLANK(E2541),"",IF(ISNUMBER(SEARCH("/",E2541)), IF(LEN(E2541)-LEN(SUBSTITUTE(E2541,"/",""))=1,(RIGHT(E2541,LEN(E2541)-FIND("/",E2541)))-(LEFT(E2541,FIND("/",E2541)-1)),(MID(E2541, SEARCH("/",E2541) + 1, SEARCH("/",E2541, SEARCH("/",E2541)+1) - SEARCH("/",E2541) - 1))-(LEFT(E2541,FIND("/",E2541)-1))), "NA"))</f>
        <v/>
      </c>
      <c r="K2541" s="79">
        <f>IF(A2541&lt;&gt;"", IF(ISBLANK(L2541), TODAY(), K2541), "")</f>
        <v/>
      </c>
      <c r="L2541" s="78" t="n"/>
      <c r="M2541" s="78">
        <f>IF(ISBLANK(L2541),"",IF(D2541="Stock",IF(C2541="Buy",L2541*G2541,IF(C2541="Sell",(L2541*G2541)-I2541, X)),IF(C2541="Buy",(L2541*G2541*100)+I2541,IF(C2541="Sell",(L2541*G2541*100)-I2541, X))))</f>
        <v/>
      </c>
      <c r="N2541" s="78">
        <f>IF(ISBLANK(L2541),"",IF(AND(C2541="Sell",D2541="Stock"),M2541,IF(ISBLANK(L2541),"",IF(C2541="Buy",M2541, IF(AND(C2541="Sell",J2541="NA"),(E2541*G2541*100*0.1)+I2541, IF(C2541="Sell",(J2541-L2541)*(100*G2541)+I2541))))))</f>
        <v/>
      </c>
      <c r="O2541" s="75" t="n"/>
      <c r="P2541" s="75" t="n"/>
      <c r="Q2541" s="75">
        <f>IF(ISBLANK(P2541),"",IF(D2541="Stock",P2541*G2541,IF(P2541=0,"0",G2541*P2541*100-(G2541*$AF$14))))</f>
        <v/>
      </c>
      <c r="R2541" s="79">
        <f>IF(P2541&lt;&gt;"", TODAY(), "")</f>
        <v/>
      </c>
      <c r="S2541" s="78">
        <f>IF(AND(K2541&lt;&gt;"", R2541&lt;&gt;""), R2541-K2541, "")</f>
        <v/>
      </c>
      <c r="T2541" s="78" t="n"/>
      <c r="U2541" s="92">
        <f>IF(ISBLANK(P2541),"",IF(C2541="Buy",Q2541-M2541+T2541, IF(C2541="Sell",M2541-Q2541-T2541, X)))</f>
        <v/>
      </c>
      <c r="V2541" s="81">
        <f>IF(ISBLANK(P2541),"",U2541/N2541)</f>
        <v/>
      </c>
      <c r="W2541" s="81">
        <f>IF(ISBLANK(P2541),"",IF(S2541=0,(365/0.5)*V2541,(365/S2541)*V2541))</f>
        <v/>
      </c>
      <c r="X2541" s="75" t="n"/>
      <c r="Y2541" s="77" t="n"/>
      <c r="Z2541" s="77" t="n"/>
      <c r="AA2541" s="75" t="n"/>
      <c r="AB2541" s="75" t="n"/>
      <c r="AC2541" s="6" t="n"/>
      <c r="AD2541" s="75" t="n"/>
      <c r="AE2541" s="75" t="n"/>
      <c r="AF2541" s="75" t="n"/>
    </row>
    <row r="2542" ht="15.75" customHeight="1" s="133">
      <c r="A2542" s="75" t="n"/>
      <c r="B2542" s="75" t="n"/>
      <c r="C2542" s="75" t="n"/>
      <c r="D2542" s="75" t="n"/>
      <c r="E2542" s="76" t="n"/>
      <c r="F2542" s="77" t="n"/>
      <c r="G2542" s="75" t="n"/>
      <c r="H2542" s="75">
        <f>IF(ISBLANK(E2542),"",IF(OR(D2542="Butterfly",D2542="Butterfly ",D2542="Iron Fly", D2542="Iron Fly "),LEN(E2542)-LEN(SUBSTITUTE(E2542,"/",""))+2,LEN(E2542)-LEN(SUBSTITUTE(E2542,"/",""))+1))</f>
        <v/>
      </c>
      <c r="I2542" s="78">
        <f>IF(ISBLANK(G2542),"",IF(D2542="Stock","0",Key!$A$3*H2542*G2542))</f>
        <v/>
      </c>
      <c r="J2542" s="78">
        <f>IF(ISBLANK(E2542),"",IF(ISNUMBER(SEARCH("/",E2542)), IF(LEN(E2542)-LEN(SUBSTITUTE(E2542,"/",""))=1,(RIGHT(E2542,LEN(E2542)-FIND("/",E2542)))-(LEFT(E2542,FIND("/",E2542)-1)),(MID(E2542, SEARCH("/",E2542) + 1, SEARCH("/",E2542, SEARCH("/",E2542)+1) - SEARCH("/",E2542) - 1))-(LEFT(E2542,FIND("/",E2542)-1))), "NA"))</f>
        <v/>
      </c>
      <c r="K2542" s="79">
        <f>IF(A2542&lt;&gt;"", IF(ISBLANK(L2542), TODAY(), K2542), "")</f>
        <v/>
      </c>
      <c r="L2542" s="78" t="n"/>
      <c r="M2542" s="78">
        <f>IF(ISBLANK(L2542),"",IF(D2542="Stock",IF(C2542="Buy",L2542*G2542,IF(C2542="Sell",(L2542*G2542)-I2542, X)),IF(C2542="Buy",(L2542*G2542*100)+I2542,IF(C2542="Sell",(L2542*G2542*100)-I2542, X))))</f>
        <v/>
      </c>
      <c r="N2542" s="78">
        <f>IF(ISBLANK(L2542),"",IF(AND(C2542="Sell",D2542="Stock"),M2542,IF(ISBLANK(L2542),"",IF(C2542="Buy",M2542, IF(AND(C2542="Sell",J2542="NA"),(E2542*G2542*100*0.1)+I2542, IF(C2542="Sell",(J2542-L2542)*(100*G2542)+I2542))))))</f>
        <v/>
      </c>
      <c r="O2542" s="75" t="n"/>
      <c r="P2542" s="75" t="n"/>
      <c r="Q2542" s="75">
        <f>IF(ISBLANK(P2542),"",IF(D2542="Stock",P2542*G2542,IF(P2542=0,"0",G2542*P2542*100-(G2542*$AF$14))))</f>
        <v/>
      </c>
      <c r="R2542" s="79">
        <f>IF(P2542&lt;&gt;"", TODAY(), "")</f>
        <v/>
      </c>
      <c r="S2542" s="78">
        <f>IF(AND(K2542&lt;&gt;"", R2542&lt;&gt;""), R2542-K2542, "")</f>
        <v/>
      </c>
      <c r="T2542" s="78" t="n"/>
      <c r="U2542" s="92">
        <f>IF(ISBLANK(P2542),"",IF(C2542="Buy",Q2542-M2542+T2542, IF(C2542="Sell",M2542-Q2542-T2542, X)))</f>
        <v/>
      </c>
      <c r="V2542" s="81">
        <f>IF(ISBLANK(P2542),"",U2542/N2542)</f>
        <v/>
      </c>
      <c r="W2542" s="81">
        <f>IF(ISBLANK(P2542),"",IF(S2542=0,(365/0.5)*V2542,(365/S2542)*V2542))</f>
        <v/>
      </c>
      <c r="X2542" s="75" t="n"/>
      <c r="Y2542" s="77" t="n"/>
      <c r="Z2542" s="77" t="n"/>
      <c r="AA2542" s="75" t="n"/>
      <c r="AB2542" s="75" t="n"/>
      <c r="AC2542" s="6" t="n"/>
      <c r="AD2542" s="75" t="n"/>
      <c r="AE2542" s="75" t="n"/>
      <c r="AF2542" s="75" t="n"/>
    </row>
    <row r="2543" ht="15.75" customHeight="1" s="133">
      <c r="A2543" s="75" t="n"/>
      <c r="B2543" s="75" t="n"/>
      <c r="C2543" s="75" t="n"/>
      <c r="D2543" s="75" t="n"/>
      <c r="E2543" s="76" t="n"/>
      <c r="F2543" s="77" t="n"/>
      <c r="G2543" s="75" t="n"/>
      <c r="H2543" s="75">
        <f>IF(ISBLANK(E2543),"",IF(OR(D2543="Butterfly",D2543="Butterfly ",D2543="Iron Fly", D2543="Iron Fly "),LEN(E2543)-LEN(SUBSTITUTE(E2543,"/",""))+2,LEN(E2543)-LEN(SUBSTITUTE(E2543,"/",""))+1))</f>
        <v/>
      </c>
      <c r="I2543" s="78">
        <f>IF(ISBLANK(G2543),"",IF(D2543="Stock","0",Key!$A$3*H2543*G2543))</f>
        <v/>
      </c>
      <c r="J2543" s="78">
        <f>IF(ISBLANK(E2543),"",IF(ISNUMBER(SEARCH("/",E2543)), IF(LEN(E2543)-LEN(SUBSTITUTE(E2543,"/",""))=1,(RIGHT(E2543,LEN(E2543)-FIND("/",E2543)))-(LEFT(E2543,FIND("/",E2543)-1)),(MID(E2543, SEARCH("/",E2543) + 1, SEARCH("/",E2543, SEARCH("/",E2543)+1) - SEARCH("/",E2543) - 1))-(LEFT(E2543,FIND("/",E2543)-1))), "NA"))</f>
        <v/>
      </c>
      <c r="K2543" s="79">
        <f>IF(A2543&lt;&gt;"", IF(ISBLANK(L2543), TODAY(), K2543), "")</f>
        <v/>
      </c>
      <c r="L2543" s="78" t="n"/>
      <c r="M2543" s="78">
        <f>IF(ISBLANK(L2543),"",IF(D2543="Stock",IF(C2543="Buy",L2543*G2543,IF(C2543="Sell",(L2543*G2543)-I2543, X)),IF(C2543="Buy",(L2543*G2543*100)+I2543,IF(C2543="Sell",(L2543*G2543*100)-I2543, X))))</f>
        <v/>
      </c>
      <c r="N2543" s="78">
        <f>IF(ISBLANK(L2543),"",IF(AND(C2543="Sell",D2543="Stock"),M2543,IF(ISBLANK(L2543),"",IF(C2543="Buy",M2543, IF(AND(C2543="Sell",J2543="NA"),(E2543*G2543*100*0.1)+I2543, IF(C2543="Sell",(J2543-L2543)*(100*G2543)+I2543))))))</f>
        <v/>
      </c>
      <c r="O2543" s="75" t="n"/>
      <c r="P2543" s="75" t="n"/>
      <c r="Q2543" s="75">
        <f>IF(ISBLANK(P2543),"",IF(D2543="Stock",P2543*G2543,IF(P2543=0,"0",G2543*P2543*100-(G2543*$AF$14))))</f>
        <v/>
      </c>
      <c r="R2543" s="79">
        <f>IF(P2543&lt;&gt;"", TODAY(), "")</f>
        <v/>
      </c>
      <c r="S2543" s="78">
        <f>IF(AND(K2543&lt;&gt;"", R2543&lt;&gt;""), R2543-K2543, "")</f>
        <v/>
      </c>
      <c r="T2543" s="78" t="n"/>
      <c r="U2543" s="92">
        <f>IF(ISBLANK(P2543),"",IF(C2543="Buy",Q2543-M2543+T2543, IF(C2543="Sell",M2543-Q2543-T2543, X)))</f>
        <v/>
      </c>
      <c r="V2543" s="81">
        <f>IF(ISBLANK(P2543),"",U2543/N2543)</f>
        <v/>
      </c>
      <c r="W2543" s="81">
        <f>IF(ISBLANK(P2543),"",IF(S2543=0,(365/0.5)*V2543,(365/S2543)*V2543))</f>
        <v/>
      </c>
      <c r="X2543" s="75" t="n"/>
      <c r="Y2543" s="77" t="n"/>
      <c r="Z2543" s="77" t="n"/>
      <c r="AA2543" s="75" t="n"/>
      <c r="AB2543" s="75" t="n"/>
      <c r="AC2543" s="6" t="n"/>
      <c r="AD2543" s="75" t="n"/>
      <c r="AE2543" s="75" t="n"/>
      <c r="AF2543" s="75" t="n"/>
    </row>
    <row r="2544" ht="15.75" customHeight="1" s="133">
      <c r="A2544" s="75" t="n"/>
      <c r="B2544" s="75" t="n"/>
      <c r="C2544" s="75" t="n"/>
      <c r="D2544" s="75" t="n"/>
      <c r="E2544" s="76" t="n"/>
      <c r="F2544" s="77" t="n"/>
      <c r="G2544" s="75" t="n"/>
      <c r="H2544" s="75">
        <f>IF(ISBLANK(E2544),"",IF(OR(D2544="Butterfly",D2544="Butterfly ",D2544="Iron Fly", D2544="Iron Fly "),LEN(E2544)-LEN(SUBSTITUTE(E2544,"/",""))+2,LEN(E2544)-LEN(SUBSTITUTE(E2544,"/",""))+1))</f>
        <v/>
      </c>
      <c r="I2544" s="78">
        <f>IF(ISBLANK(G2544),"",IF(D2544="Stock","0",Key!$A$3*H2544*G2544))</f>
        <v/>
      </c>
      <c r="J2544" s="78">
        <f>IF(ISBLANK(E2544),"",IF(ISNUMBER(SEARCH("/",E2544)), IF(LEN(E2544)-LEN(SUBSTITUTE(E2544,"/",""))=1,(RIGHT(E2544,LEN(E2544)-FIND("/",E2544)))-(LEFT(E2544,FIND("/",E2544)-1)),(MID(E2544, SEARCH("/",E2544) + 1, SEARCH("/",E2544, SEARCH("/",E2544)+1) - SEARCH("/",E2544) - 1))-(LEFT(E2544,FIND("/",E2544)-1))), "NA"))</f>
        <v/>
      </c>
      <c r="K2544" s="79">
        <f>IF(A2544&lt;&gt;"", IF(ISBLANK(L2544), TODAY(), K2544), "")</f>
        <v/>
      </c>
      <c r="L2544" s="78" t="n"/>
      <c r="M2544" s="78">
        <f>IF(ISBLANK(L2544),"",IF(D2544="Stock",IF(C2544="Buy",L2544*G2544,IF(C2544="Sell",(L2544*G2544)-I2544, X)),IF(C2544="Buy",(L2544*G2544*100)+I2544,IF(C2544="Sell",(L2544*G2544*100)-I2544, X))))</f>
        <v/>
      </c>
      <c r="N2544" s="78">
        <f>IF(ISBLANK(L2544),"",IF(AND(C2544="Sell",D2544="Stock"),M2544,IF(ISBLANK(L2544),"",IF(C2544="Buy",M2544, IF(AND(C2544="Sell",J2544="NA"),(E2544*G2544*100*0.1)+I2544, IF(C2544="Sell",(J2544-L2544)*(100*G2544)+I2544))))))</f>
        <v/>
      </c>
      <c r="O2544" s="75" t="n"/>
      <c r="P2544" s="75" t="n"/>
      <c r="Q2544" s="75">
        <f>IF(ISBLANK(P2544),"",IF(D2544="Stock",P2544*G2544,IF(P2544=0,"0",G2544*P2544*100-(G2544*$AF$14))))</f>
        <v/>
      </c>
      <c r="R2544" s="79">
        <f>IF(P2544&lt;&gt;"", TODAY(), "")</f>
        <v/>
      </c>
      <c r="S2544" s="78">
        <f>IF(AND(K2544&lt;&gt;"", R2544&lt;&gt;""), R2544-K2544, "")</f>
        <v/>
      </c>
      <c r="T2544" s="78" t="n"/>
      <c r="U2544" s="92">
        <f>IF(ISBLANK(P2544),"",IF(C2544="Buy",Q2544-M2544+T2544, IF(C2544="Sell",M2544-Q2544-T2544, X)))</f>
        <v/>
      </c>
      <c r="V2544" s="81">
        <f>IF(ISBLANK(P2544),"",U2544/N2544)</f>
        <v/>
      </c>
      <c r="W2544" s="81">
        <f>IF(ISBLANK(P2544),"",IF(S2544=0,(365/0.5)*V2544,(365/S2544)*V2544))</f>
        <v/>
      </c>
      <c r="X2544" s="75" t="n"/>
      <c r="Y2544" s="77" t="n"/>
      <c r="Z2544" s="77" t="n"/>
      <c r="AA2544" s="75" t="n"/>
      <c r="AB2544" s="75" t="n"/>
      <c r="AC2544" s="6" t="n"/>
      <c r="AD2544" s="75" t="n"/>
      <c r="AE2544" s="75" t="n"/>
      <c r="AF2544" s="75" t="n"/>
    </row>
    <row r="2545" ht="15.75" customHeight="1" s="133">
      <c r="A2545" s="75" t="n"/>
      <c r="B2545" s="75" t="n"/>
      <c r="C2545" s="75" t="n"/>
      <c r="D2545" s="75" t="n"/>
      <c r="E2545" s="76" t="n"/>
      <c r="F2545" s="77" t="n"/>
      <c r="G2545" s="75" t="n"/>
      <c r="H2545" s="75">
        <f>IF(ISBLANK(E2545),"",IF(OR(D2545="Butterfly",D2545="Butterfly ",D2545="Iron Fly", D2545="Iron Fly "),LEN(E2545)-LEN(SUBSTITUTE(E2545,"/",""))+2,LEN(E2545)-LEN(SUBSTITUTE(E2545,"/",""))+1))</f>
        <v/>
      </c>
      <c r="I2545" s="78">
        <f>IF(ISBLANK(G2545),"",IF(D2545="Stock","0",Key!$A$3*H2545*G2545))</f>
        <v/>
      </c>
      <c r="J2545" s="78">
        <f>IF(ISBLANK(E2545),"",IF(ISNUMBER(SEARCH("/",E2545)), IF(LEN(E2545)-LEN(SUBSTITUTE(E2545,"/",""))=1,(RIGHT(E2545,LEN(E2545)-FIND("/",E2545)))-(LEFT(E2545,FIND("/",E2545)-1)),(MID(E2545, SEARCH("/",E2545) + 1, SEARCH("/",E2545, SEARCH("/",E2545)+1) - SEARCH("/",E2545) - 1))-(LEFT(E2545,FIND("/",E2545)-1))), "NA"))</f>
        <v/>
      </c>
      <c r="K2545" s="79">
        <f>IF(A2545&lt;&gt;"", IF(ISBLANK(L2545), TODAY(), K2545), "")</f>
        <v/>
      </c>
      <c r="L2545" s="78" t="n"/>
      <c r="M2545" s="78">
        <f>IF(ISBLANK(L2545),"",IF(D2545="Stock",IF(C2545="Buy",L2545*G2545,IF(C2545="Sell",(L2545*G2545)-I2545, X)),IF(C2545="Buy",(L2545*G2545*100)+I2545,IF(C2545="Sell",(L2545*G2545*100)-I2545, X))))</f>
        <v/>
      </c>
      <c r="N2545" s="78">
        <f>IF(ISBLANK(L2545),"",IF(AND(C2545="Sell",D2545="Stock"),M2545,IF(ISBLANK(L2545),"",IF(C2545="Buy",M2545, IF(AND(C2545="Sell",J2545="NA"),(E2545*G2545*100*0.1)+I2545, IF(C2545="Sell",(J2545-L2545)*(100*G2545)+I2545))))))</f>
        <v/>
      </c>
      <c r="O2545" s="75" t="n"/>
      <c r="P2545" s="75" t="n"/>
      <c r="Q2545" s="75">
        <f>IF(ISBLANK(P2545),"",IF(D2545="Stock",P2545*G2545,IF(P2545=0,"0",G2545*P2545*100-(G2545*$AF$14))))</f>
        <v/>
      </c>
      <c r="R2545" s="79">
        <f>IF(P2545&lt;&gt;"", TODAY(), "")</f>
        <v/>
      </c>
      <c r="S2545" s="78">
        <f>IF(AND(K2545&lt;&gt;"", R2545&lt;&gt;""), R2545-K2545, "")</f>
        <v/>
      </c>
      <c r="T2545" s="78" t="n"/>
      <c r="U2545" s="92">
        <f>IF(ISBLANK(P2545),"",IF(C2545="Buy",Q2545-M2545+T2545, IF(C2545="Sell",M2545-Q2545-T2545, X)))</f>
        <v/>
      </c>
      <c r="V2545" s="81">
        <f>IF(ISBLANK(P2545),"",U2545/N2545)</f>
        <v/>
      </c>
      <c r="W2545" s="81">
        <f>IF(ISBLANK(P2545),"",IF(S2545=0,(365/0.5)*V2545,(365/S2545)*V2545))</f>
        <v/>
      </c>
      <c r="X2545" s="75" t="n"/>
      <c r="Y2545" s="77" t="n"/>
      <c r="Z2545" s="77" t="n"/>
      <c r="AA2545" s="75" t="n"/>
      <c r="AB2545" s="75" t="n"/>
      <c r="AC2545" s="6" t="n"/>
      <c r="AD2545" s="75" t="n"/>
      <c r="AE2545" s="75" t="n"/>
      <c r="AF2545" s="75" t="n"/>
    </row>
    <row r="2546" ht="15.75" customHeight="1" s="133">
      <c r="A2546" s="75" t="n"/>
      <c r="B2546" s="75" t="n"/>
      <c r="C2546" s="75" t="n"/>
      <c r="D2546" s="75" t="n"/>
      <c r="E2546" s="76" t="n"/>
      <c r="F2546" s="77" t="n"/>
      <c r="G2546" s="75" t="n"/>
      <c r="H2546" s="75">
        <f>IF(ISBLANK(E2546),"",IF(OR(D2546="Butterfly",D2546="Butterfly ",D2546="Iron Fly", D2546="Iron Fly "),LEN(E2546)-LEN(SUBSTITUTE(E2546,"/",""))+2,LEN(E2546)-LEN(SUBSTITUTE(E2546,"/",""))+1))</f>
        <v/>
      </c>
      <c r="I2546" s="78">
        <f>IF(ISBLANK(G2546),"",IF(D2546="Stock","0",Key!$A$3*H2546*G2546))</f>
        <v/>
      </c>
      <c r="J2546" s="78">
        <f>IF(ISBLANK(E2546),"",IF(ISNUMBER(SEARCH("/",E2546)), IF(LEN(E2546)-LEN(SUBSTITUTE(E2546,"/",""))=1,(RIGHT(E2546,LEN(E2546)-FIND("/",E2546)))-(LEFT(E2546,FIND("/",E2546)-1)),(MID(E2546, SEARCH("/",E2546) + 1, SEARCH("/",E2546, SEARCH("/",E2546)+1) - SEARCH("/",E2546) - 1))-(LEFT(E2546,FIND("/",E2546)-1))), "NA"))</f>
        <v/>
      </c>
      <c r="K2546" s="79">
        <f>IF(A2546&lt;&gt;"", IF(ISBLANK(L2546), TODAY(), K2546), "")</f>
        <v/>
      </c>
      <c r="L2546" s="78" t="n"/>
      <c r="M2546" s="78">
        <f>IF(ISBLANK(L2546),"",IF(D2546="Stock",IF(C2546="Buy",L2546*G2546,IF(C2546="Sell",(L2546*G2546)-I2546, X)),IF(C2546="Buy",(L2546*G2546*100)+I2546,IF(C2546="Sell",(L2546*G2546*100)-I2546, X))))</f>
        <v/>
      </c>
      <c r="N2546" s="78">
        <f>IF(ISBLANK(L2546),"",IF(AND(C2546="Sell",D2546="Stock"),M2546,IF(ISBLANK(L2546),"",IF(C2546="Buy",M2546, IF(AND(C2546="Sell",J2546="NA"),(E2546*G2546*100*0.1)+I2546, IF(C2546="Sell",(J2546-L2546)*(100*G2546)+I2546))))))</f>
        <v/>
      </c>
      <c r="O2546" s="75" t="n"/>
      <c r="P2546" s="75" t="n"/>
      <c r="Q2546" s="75">
        <f>IF(ISBLANK(P2546),"",IF(D2546="Stock",P2546*G2546,IF(P2546=0,"0",G2546*P2546*100-(G2546*$AF$14))))</f>
        <v/>
      </c>
      <c r="R2546" s="79">
        <f>IF(P2546&lt;&gt;"", TODAY(), "")</f>
        <v/>
      </c>
      <c r="S2546" s="78">
        <f>IF(AND(K2546&lt;&gt;"", R2546&lt;&gt;""), R2546-K2546, "")</f>
        <v/>
      </c>
      <c r="T2546" s="78" t="n"/>
      <c r="U2546" s="92">
        <f>IF(ISBLANK(P2546),"",IF(C2546="Buy",Q2546-M2546+T2546, IF(C2546="Sell",M2546-Q2546-T2546, X)))</f>
        <v/>
      </c>
      <c r="V2546" s="81">
        <f>IF(ISBLANK(P2546),"",U2546/N2546)</f>
        <v/>
      </c>
      <c r="W2546" s="81">
        <f>IF(ISBLANK(P2546),"",IF(S2546=0,(365/0.5)*V2546,(365/S2546)*V2546))</f>
        <v/>
      </c>
      <c r="X2546" s="75" t="n"/>
      <c r="Y2546" s="77" t="n"/>
      <c r="Z2546" s="77" t="n"/>
      <c r="AA2546" s="75" t="n"/>
      <c r="AB2546" s="75" t="n"/>
      <c r="AC2546" s="6" t="n"/>
      <c r="AD2546" s="75" t="n"/>
      <c r="AE2546" s="75" t="n"/>
      <c r="AF2546" s="75" t="n"/>
    </row>
    <row r="2547" ht="15.75" customHeight="1" s="133">
      <c r="A2547" s="75" t="n"/>
      <c r="B2547" s="75" t="n"/>
      <c r="C2547" s="75" t="n"/>
      <c r="D2547" s="75" t="n"/>
      <c r="E2547" s="76" t="n"/>
      <c r="F2547" s="77" t="n"/>
      <c r="G2547" s="75" t="n"/>
      <c r="H2547" s="75">
        <f>IF(ISBLANK(E2547),"",IF(OR(D2547="Butterfly",D2547="Butterfly ",D2547="Iron Fly", D2547="Iron Fly "),LEN(E2547)-LEN(SUBSTITUTE(E2547,"/",""))+2,LEN(E2547)-LEN(SUBSTITUTE(E2547,"/",""))+1))</f>
        <v/>
      </c>
      <c r="I2547" s="78">
        <f>IF(ISBLANK(G2547),"",IF(D2547="Stock","0",Key!$A$3*H2547*G2547))</f>
        <v/>
      </c>
      <c r="J2547" s="78">
        <f>IF(ISBLANK(E2547),"",IF(ISNUMBER(SEARCH("/",E2547)), IF(LEN(E2547)-LEN(SUBSTITUTE(E2547,"/",""))=1,(RIGHT(E2547,LEN(E2547)-FIND("/",E2547)))-(LEFT(E2547,FIND("/",E2547)-1)),(MID(E2547, SEARCH("/",E2547) + 1, SEARCH("/",E2547, SEARCH("/",E2547)+1) - SEARCH("/",E2547) - 1))-(LEFT(E2547,FIND("/",E2547)-1))), "NA"))</f>
        <v/>
      </c>
      <c r="K2547" s="79">
        <f>IF(A2547&lt;&gt;"", IF(ISBLANK(L2547), TODAY(), K2547), "")</f>
        <v/>
      </c>
      <c r="L2547" s="78" t="n"/>
      <c r="M2547" s="78">
        <f>IF(ISBLANK(L2547),"",IF(D2547="Stock",IF(C2547="Buy",L2547*G2547,IF(C2547="Sell",(L2547*G2547)-I2547, X)),IF(C2547="Buy",(L2547*G2547*100)+I2547,IF(C2547="Sell",(L2547*G2547*100)-I2547, X))))</f>
        <v/>
      </c>
      <c r="N2547" s="78">
        <f>IF(ISBLANK(L2547),"",IF(AND(C2547="Sell",D2547="Stock"),M2547,IF(ISBLANK(L2547),"",IF(C2547="Buy",M2547, IF(AND(C2547="Sell",J2547="NA"),(E2547*G2547*100*0.1)+I2547, IF(C2547="Sell",(J2547-L2547)*(100*G2547)+I2547))))))</f>
        <v/>
      </c>
      <c r="O2547" s="75" t="n"/>
      <c r="P2547" s="75" t="n"/>
      <c r="Q2547" s="75">
        <f>IF(ISBLANK(P2547),"",IF(D2547="Stock",P2547*G2547,IF(P2547=0,"0",G2547*P2547*100-(G2547*$AF$14))))</f>
        <v/>
      </c>
      <c r="R2547" s="79">
        <f>IF(P2547&lt;&gt;"", TODAY(), "")</f>
        <v/>
      </c>
      <c r="S2547" s="78">
        <f>IF(AND(K2547&lt;&gt;"", R2547&lt;&gt;""), R2547-K2547, "")</f>
        <v/>
      </c>
      <c r="T2547" s="78" t="n"/>
      <c r="U2547" s="92">
        <f>IF(ISBLANK(P2547),"",IF(C2547="Buy",Q2547-M2547+T2547, IF(C2547="Sell",M2547-Q2547-T2547, X)))</f>
        <v/>
      </c>
      <c r="V2547" s="81">
        <f>IF(ISBLANK(P2547),"",U2547/N2547)</f>
        <v/>
      </c>
      <c r="W2547" s="81">
        <f>IF(ISBLANK(P2547),"",IF(S2547=0,(365/0.5)*V2547,(365/S2547)*V2547))</f>
        <v/>
      </c>
      <c r="X2547" s="75" t="n"/>
      <c r="Y2547" s="77" t="n"/>
      <c r="Z2547" s="77" t="n"/>
      <c r="AA2547" s="75" t="n"/>
      <c r="AB2547" s="75" t="n"/>
      <c r="AC2547" s="6" t="n"/>
      <c r="AD2547" s="75" t="n"/>
      <c r="AE2547" s="75" t="n"/>
      <c r="AF2547" s="75" t="n"/>
    </row>
    <row r="2548" ht="15.75" customHeight="1" s="133">
      <c r="A2548" s="75" t="n"/>
      <c r="B2548" s="75" t="n"/>
      <c r="C2548" s="75" t="n"/>
      <c r="D2548" s="75" t="n"/>
      <c r="E2548" s="76" t="n"/>
      <c r="F2548" s="77" t="n"/>
      <c r="G2548" s="75" t="n"/>
      <c r="H2548" s="75">
        <f>IF(ISBLANK(E2548),"",IF(OR(D2548="Butterfly",D2548="Butterfly ",D2548="Iron Fly", D2548="Iron Fly "),LEN(E2548)-LEN(SUBSTITUTE(E2548,"/",""))+2,LEN(E2548)-LEN(SUBSTITUTE(E2548,"/",""))+1))</f>
        <v/>
      </c>
      <c r="I2548" s="78">
        <f>IF(ISBLANK(G2548),"",IF(D2548="Stock","0",Key!$A$3*H2548*G2548))</f>
        <v/>
      </c>
      <c r="J2548" s="78">
        <f>IF(ISBLANK(E2548),"",IF(ISNUMBER(SEARCH("/",E2548)), IF(LEN(E2548)-LEN(SUBSTITUTE(E2548,"/",""))=1,(RIGHT(E2548,LEN(E2548)-FIND("/",E2548)))-(LEFT(E2548,FIND("/",E2548)-1)),(MID(E2548, SEARCH("/",E2548) + 1, SEARCH("/",E2548, SEARCH("/",E2548)+1) - SEARCH("/",E2548) - 1))-(LEFT(E2548,FIND("/",E2548)-1))), "NA"))</f>
        <v/>
      </c>
      <c r="K2548" s="79">
        <f>IF(A2548&lt;&gt;"", IF(ISBLANK(L2548), TODAY(), K2548), "")</f>
        <v/>
      </c>
      <c r="L2548" s="78" t="n"/>
      <c r="M2548" s="78">
        <f>IF(ISBLANK(L2548),"",IF(D2548="Stock",IF(C2548="Buy",L2548*G2548,IF(C2548="Sell",(L2548*G2548)-I2548, X)),IF(C2548="Buy",(L2548*G2548*100)+I2548,IF(C2548="Sell",(L2548*G2548*100)-I2548, X))))</f>
        <v/>
      </c>
      <c r="N2548" s="78">
        <f>IF(ISBLANK(L2548),"",IF(AND(C2548="Sell",D2548="Stock"),M2548,IF(ISBLANK(L2548),"",IF(C2548="Buy",M2548, IF(AND(C2548="Sell",J2548="NA"),(E2548*G2548*100*0.1)+I2548, IF(C2548="Sell",(J2548-L2548)*(100*G2548)+I2548))))))</f>
        <v/>
      </c>
      <c r="O2548" s="75" t="n"/>
      <c r="P2548" s="75" t="n"/>
      <c r="Q2548" s="75">
        <f>IF(ISBLANK(P2548),"",IF(D2548="Stock",P2548*G2548,IF(P2548=0,"0",G2548*P2548*100-(G2548*$AF$14))))</f>
        <v/>
      </c>
      <c r="R2548" s="79">
        <f>IF(P2548&lt;&gt;"", TODAY(), "")</f>
        <v/>
      </c>
      <c r="S2548" s="78">
        <f>IF(AND(K2548&lt;&gt;"", R2548&lt;&gt;""), R2548-K2548, "")</f>
        <v/>
      </c>
      <c r="T2548" s="78" t="n"/>
      <c r="U2548" s="92">
        <f>IF(ISBLANK(P2548),"",IF(C2548="Buy",Q2548-M2548+T2548, IF(C2548="Sell",M2548-Q2548-T2548, X)))</f>
        <v/>
      </c>
      <c r="V2548" s="81">
        <f>IF(ISBLANK(P2548),"",U2548/N2548)</f>
        <v/>
      </c>
      <c r="W2548" s="81">
        <f>IF(ISBLANK(P2548),"",IF(S2548=0,(365/0.5)*V2548,(365/S2548)*V2548))</f>
        <v/>
      </c>
      <c r="X2548" s="75" t="n"/>
      <c r="Y2548" s="77" t="n"/>
      <c r="Z2548" s="77" t="n"/>
      <c r="AA2548" s="75" t="n"/>
      <c r="AB2548" s="75" t="n"/>
      <c r="AC2548" s="6" t="n"/>
      <c r="AD2548" s="75" t="n"/>
      <c r="AE2548" s="75" t="n"/>
      <c r="AF2548" s="75" t="n"/>
    </row>
    <row r="2549" ht="15.75" customHeight="1" s="133">
      <c r="A2549" s="75" t="n"/>
      <c r="B2549" s="75" t="n"/>
      <c r="C2549" s="75" t="n"/>
      <c r="D2549" s="75" t="n"/>
      <c r="E2549" s="76" t="n"/>
      <c r="F2549" s="77" t="n"/>
      <c r="G2549" s="75" t="n"/>
      <c r="H2549" s="75">
        <f>IF(ISBLANK(E2549),"",IF(OR(D2549="Butterfly",D2549="Butterfly ",D2549="Iron Fly", D2549="Iron Fly "),LEN(E2549)-LEN(SUBSTITUTE(E2549,"/",""))+2,LEN(E2549)-LEN(SUBSTITUTE(E2549,"/",""))+1))</f>
        <v/>
      </c>
      <c r="I2549" s="78">
        <f>IF(ISBLANK(G2549),"",IF(D2549="Stock","0",Key!$A$3*H2549*G2549))</f>
        <v/>
      </c>
      <c r="J2549" s="78">
        <f>IF(ISBLANK(E2549),"",IF(ISNUMBER(SEARCH("/",E2549)), IF(LEN(E2549)-LEN(SUBSTITUTE(E2549,"/",""))=1,(RIGHT(E2549,LEN(E2549)-FIND("/",E2549)))-(LEFT(E2549,FIND("/",E2549)-1)),(MID(E2549, SEARCH("/",E2549) + 1, SEARCH("/",E2549, SEARCH("/",E2549)+1) - SEARCH("/",E2549) - 1))-(LEFT(E2549,FIND("/",E2549)-1))), "NA"))</f>
        <v/>
      </c>
      <c r="K2549" s="79">
        <f>IF(A2549&lt;&gt;"", IF(ISBLANK(L2549), TODAY(), K2549), "")</f>
        <v/>
      </c>
      <c r="L2549" s="78" t="n"/>
      <c r="M2549" s="78">
        <f>IF(ISBLANK(L2549),"",IF(D2549="Stock",IF(C2549="Buy",L2549*G2549,IF(C2549="Sell",(L2549*G2549)-I2549, X)),IF(C2549="Buy",(L2549*G2549*100)+I2549,IF(C2549="Sell",(L2549*G2549*100)-I2549, X))))</f>
        <v/>
      </c>
      <c r="N2549" s="78">
        <f>IF(ISBLANK(L2549),"",IF(AND(C2549="Sell",D2549="Stock"),M2549,IF(ISBLANK(L2549),"",IF(C2549="Buy",M2549, IF(AND(C2549="Sell",J2549="NA"),(E2549*G2549*100*0.1)+I2549, IF(C2549="Sell",(J2549-L2549)*(100*G2549)+I2549))))))</f>
        <v/>
      </c>
      <c r="O2549" s="75" t="n"/>
      <c r="P2549" s="75" t="n"/>
      <c r="Q2549" s="75">
        <f>IF(ISBLANK(P2549),"",IF(D2549="Stock",P2549*G2549,IF(P2549=0,"0",G2549*P2549*100-(G2549*$AF$14))))</f>
        <v/>
      </c>
      <c r="R2549" s="79">
        <f>IF(P2549&lt;&gt;"", TODAY(), "")</f>
        <v/>
      </c>
      <c r="S2549" s="78">
        <f>IF(AND(K2549&lt;&gt;"", R2549&lt;&gt;""), R2549-K2549, "")</f>
        <v/>
      </c>
      <c r="T2549" s="78" t="n"/>
      <c r="U2549" s="92">
        <f>IF(ISBLANK(P2549),"",IF(C2549="Buy",Q2549-M2549+T2549, IF(C2549="Sell",M2549-Q2549-T2549, X)))</f>
        <v/>
      </c>
      <c r="V2549" s="81">
        <f>IF(ISBLANK(P2549),"",U2549/N2549)</f>
        <v/>
      </c>
      <c r="W2549" s="81">
        <f>IF(ISBLANK(P2549),"",IF(S2549=0,(365/0.5)*V2549,(365/S2549)*V2549))</f>
        <v/>
      </c>
      <c r="X2549" s="75" t="n"/>
      <c r="Y2549" s="77" t="n"/>
      <c r="Z2549" s="77" t="n"/>
      <c r="AA2549" s="75" t="n"/>
      <c r="AB2549" s="75" t="n"/>
      <c r="AC2549" s="6" t="n"/>
      <c r="AD2549" s="75" t="n"/>
      <c r="AE2549" s="75" t="n"/>
      <c r="AF2549" s="75" t="n"/>
    </row>
    <row r="2550" ht="15.75" customHeight="1" s="133">
      <c r="A2550" s="75" t="n"/>
      <c r="B2550" s="75" t="n"/>
      <c r="C2550" s="75" t="n"/>
      <c r="D2550" s="75" t="n"/>
      <c r="E2550" s="76" t="n"/>
      <c r="F2550" s="77" t="n"/>
      <c r="G2550" s="75" t="n"/>
      <c r="H2550" s="75">
        <f>IF(ISBLANK(E2550),"",IF(OR(D2550="Butterfly",D2550="Butterfly ",D2550="Iron Fly", D2550="Iron Fly "),LEN(E2550)-LEN(SUBSTITUTE(E2550,"/",""))+2,LEN(E2550)-LEN(SUBSTITUTE(E2550,"/",""))+1))</f>
        <v/>
      </c>
      <c r="I2550" s="78">
        <f>IF(ISBLANK(G2550),"",IF(D2550="Stock","0",Key!$A$3*H2550*G2550))</f>
        <v/>
      </c>
      <c r="J2550" s="78">
        <f>IF(ISBLANK(E2550),"",IF(ISNUMBER(SEARCH("/",E2550)), IF(LEN(E2550)-LEN(SUBSTITUTE(E2550,"/",""))=1,(RIGHT(E2550,LEN(E2550)-FIND("/",E2550)))-(LEFT(E2550,FIND("/",E2550)-1)),(MID(E2550, SEARCH("/",E2550) + 1, SEARCH("/",E2550, SEARCH("/",E2550)+1) - SEARCH("/",E2550) - 1))-(LEFT(E2550,FIND("/",E2550)-1))), "NA"))</f>
        <v/>
      </c>
      <c r="K2550" s="79">
        <f>IF(A2550&lt;&gt;"", IF(ISBLANK(L2550), TODAY(), K2550), "")</f>
        <v/>
      </c>
      <c r="L2550" s="78" t="n"/>
      <c r="M2550" s="78">
        <f>IF(ISBLANK(L2550),"",IF(D2550="Stock",IF(C2550="Buy",L2550*G2550,IF(C2550="Sell",(L2550*G2550)-I2550, X)),IF(C2550="Buy",(L2550*G2550*100)+I2550,IF(C2550="Sell",(L2550*G2550*100)-I2550, X))))</f>
        <v/>
      </c>
      <c r="N2550" s="78">
        <f>IF(ISBLANK(L2550),"",IF(AND(C2550="Sell",D2550="Stock"),M2550,IF(ISBLANK(L2550),"",IF(C2550="Buy",M2550, IF(AND(C2550="Sell",J2550="NA"),(E2550*G2550*100*0.1)+I2550, IF(C2550="Sell",(J2550-L2550)*(100*G2550)+I2550))))))</f>
        <v/>
      </c>
      <c r="O2550" s="75" t="n"/>
      <c r="P2550" s="75" t="n"/>
      <c r="Q2550" s="75">
        <f>IF(ISBLANK(P2550),"",IF(D2550="Stock",P2550*G2550,IF(P2550=0,"0",G2550*P2550*100-(G2550*$AF$14))))</f>
        <v/>
      </c>
      <c r="R2550" s="79">
        <f>IF(P2550&lt;&gt;"", TODAY(), "")</f>
        <v/>
      </c>
      <c r="S2550" s="78">
        <f>IF(AND(K2550&lt;&gt;"", R2550&lt;&gt;""), R2550-K2550, "")</f>
        <v/>
      </c>
      <c r="T2550" s="78" t="n"/>
      <c r="U2550" s="92">
        <f>IF(ISBLANK(P2550),"",IF(C2550="Buy",Q2550-M2550+T2550, IF(C2550="Sell",M2550-Q2550-T2550, X)))</f>
        <v/>
      </c>
      <c r="V2550" s="81">
        <f>IF(ISBLANK(P2550),"",U2550/N2550)</f>
        <v/>
      </c>
      <c r="W2550" s="81">
        <f>IF(ISBLANK(P2550),"",IF(S2550=0,(365/0.5)*V2550,(365/S2550)*V2550))</f>
        <v/>
      </c>
      <c r="X2550" s="75" t="n"/>
      <c r="Y2550" s="77" t="n"/>
      <c r="Z2550" s="77" t="n"/>
      <c r="AA2550" s="75" t="n"/>
      <c r="AB2550" s="75" t="n"/>
      <c r="AC2550" s="6" t="n"/>
      <c r="AD2550" s="75" t="n"/>
      <c r="AE2550" s="75" t="n"/>
      <c r="AF2550" s="75" t="n"/>
    </row>
    <row r="2551" ht="15.75" customHeight="1" s="133">
      <c r="A2551" s="75" t="n"/>
      <c r="B2551" s="75" t="n"/>
      <c r="C2551" s="75" t="n"/>
      <c r="D2551" s="75" t="n"/>
      <c r="E2551" s="76" t="n"/>
      <c r="F2551" s="77" t="n"/>
      <c r="G2551" s="75" t="n"/>
      <c r="H2551" s="75">
        <f>IF(ISBLANK(E2551),"",IF(OR(D2551="Butterfly",D2551="Butterfly ",D2551="Iron Fly", D2551="Iron Fly "),LEN(E2551)-LEN(SUBSTITUTE(E2551,"/",""))+2,LEN(E2551)-LEN(SUBSTITUTE(E2551,"/",""))+1))</f>
        <v/>
      </c>
      <c r="I2551" s="78">
        <f>IF(ISBLANK(G2551),"",IF(D2551="Stock","0",Key!$A$3*H2551*G2551))</f>
        <v/>
      </c>
      <c r="J2551" s="78">
        <f>IF(ISBLANK(E2551),"",IF(ISNUMBER(SEARCH("/",E2551)), IF(LEN(E2551)-LEN(SUBSTITUTE(E2551,"/",""))=1,(RIGHT(E2551,LEN(E2551)-FIND("/",E2551)))-(LEFT(E2551,FIND("/",E2551)-1)),(MID(E2551, SEARCH("/",E2551) + 1, SEARCH("/",E2551, SEARCH("/",E2551)+1) - SEARCH("/",E2551) - 1))-(LEFT(E2551,FIND("/",E2551)-1))), "NA"))</f>
        <v/>
      </c>
      <c r="K2551" s="79">
        <f>IF(A2551&lt;&gt;"", IF(ISBLANK(L2551), TODAY(), K2551), "")</f>
        <v/>
      </c>
      <c r="L2551" s="78" t="n"/>
      <c r="M2551" s="78">
        <f>IF(ISBLANK(L2551),"",IF(D2551="Stock",IF(C2551="Buy",L2551*G2551,IF(C2551="Sell",(L2551*G2551)-I2551, X)),IF(C2551="Buy",(L2551*G2551*100)+I2551,IF(C2551="Sell",(L2551*G2551*100)-I2551, X))))</f>
        <v/>
      </c>
      <c r="N2551" s="78">
        <f>IF(ISBLANK(L2551),"",IF(AND(C2551="Sell",D2551="Stock"),M2551,IF(ISBLANK(L2551),"",IF(C2551="Buy",M2551, IF(AND(C2551="Sell",J2551="NA"),(E2551*G2551*100*0.1)+I2551, IF(C2551="Sell",(J2551-L2551)*(100*G2551)+I2551))))))</f>
        <v/>
      </c>
      <c r="O2551" s="75" t="n"/>
      <c r="P2551" s="75" t="n"/>
      <c r="Q2551" s="75">
        <f>IF(ISBLANK(P2551),"",IF(D2551="Stock",P2551*G2551,IF(P2551=0,"0",G2551*P2551*100-(G2551*$AF$14))))</f>
        <v/>
      </c>
      <c r="R2551" s="79">
        <f>IF(P2551&lt;&gt;"", TODAY(), "")</f>
        <v/>
      </c>
      <c r="S2551" s="78">
        <f>IF(AND(K2551&lt;&gt;"", R2551&lt;&gt;""), R2551-K2551, "")</f>
        <v/>
      </c>
      <c r="T2551" s="78" t="n"/>
      <c r="U2551" s="92">
        <f>IF(ISBLANK(P2551),"",IF(C2551="Buy",Q2551-M2551+T2551, IF(C2551="Sell",M2551-Q2551-T2551, X)))</f>
        <v/>
      </c>
      <c r="V2551" s="81">
        <f>IF(ISBLANK(P2551),"",U2551/N2551)</f>
        <v/>
      </c>
      <c r="W2551" s="81">
        <f>IF(ISBLANK(P2551),"",IF(S2551=0,(365/0.5)*V2551,(365/S2551)*V2551))</f>
        <v/>
      </c>
      <c r="X2551" s="75" t="n"/>
      <c r="Y2551" s="77" t="n"/>
      <c r="Z2551" s="77" t="n"/>
      <c r="AA2551" s="75" t="n"/>
      <c r="AB2551" s="75" t="n"/>
      <c r="AC2551" s="6" t="n"/>
      <c r="AD2551" s="75" t="n"/>
      <c r="AE2551" s="75" t="n"/>
      <c r="AF2551" s="75" t="n"/>
    </row>
    <row r="2552" ht="15.75" customHeight="1" s="133">
      <c r="A2552" s="75" t="n"/>
      <c r="B2552" s="75" t="n"/>
      <c r="C2552" s="75" t="n"/>
      <c r="D2552" s="75" t="n"/>
      <c r="E2552" s="76" t="n"/>
      <c r="F2552" s="77" t="n"/>
      <c r="G2552" s="75" t="n"/>
      <c r="H2552" s="75">
        <f>IF(ISBLANK(E2552),"",IF(OR(D2552="Butterfly",D2552="Butterfly ",D2552="Iron Fly", D2552="Iron Fly "),LEN(E2552)-LEN(SUBSTITUTE(E2552,"/",""))+2,LEN(E2552)-LEN(SUBSTITUTE(E2552,"/",""))+1))</f>
        <v/>
      </c>
      <c r="I2552" s="78">
        <f>IF(ISBLANK(G2552),"",IF(D2552="Stock","0",Key!$A$3*H2552*G2552))</f>
        <v/>
      </c>
      <c r="J2552" s="78">
        <f>IF(ISBLANK(E2552),"",IF(ISNUMBER(SEARCH("/",E2552)), IF(LEN(E2552)-LEN(SUBSTITUTE(E2552,"/",""))=1,(RIGHT(E2552,LEN(E2552)-FIND("/",E2552)))-(LEFT(E2552,FIND("/",E2552)-1)),(MID(E2552, SEARCH("/",E2552) + 1, SEARCH("/",E2552, SEARCH("/",E2552)+1) - SEARCH("/",E2552) - 1))-(LEFT(E2552,FIND("/",E2552)-1))), "NA"))</f>
        <v/>
      </c>
      <c r="K2552" s="79">
        <f>IF(A2552&lt;&gt;"", IF(ISBLANK(L2552), TODAY(), K2552), "")</f>
        <v/>
      </c>
      <c r="L2552" s="78" t="n"/>
      <c r="M2552" s="78">
        <f>IF(ISBLANK(L2552),"",IF(D2552="Stock",IF(C2552="Buy",L2552*G2552,IF(C2552="Sell",(L2552*G2552)-I2552, X)),IF(C2552="Buy",(L2552*G2552*100)+I2552,IF(C2552="Sell",(L2552*G2552*100)-I2552, X))))</f>
        <v/>
      </c>
      <c r="N2552" s="78">
        <f>IF(ISBLANK(L2552),"",IF(AND(C2552="Sell",D2552="Stock"),M2552,IF(ISBLANK(L2552),"",IF(C2552="Buy",M2552, IF(AND(C2552="Sell",J2552="NA"),(E2552*G2552*100*0.1)+I2552, IF(C2552="Sell",(J2552-L2552)*(100*G2552)+I2552))))))</f>
        <v/>
      </c>
      <c r="O2552" s="75" t="n"/>
      <c r="P2552" s="75" t="n"/>
      <c r="Q2552" s="75">
        <f>IF(ISBLANK(P2552),"",IF(D2552="Stock",P2552*G2552,IF(P2552=0,"0",G2552*P2552*100-(G2552*$AF$14))))</f>
        <v/>
      </c>
      <c r="R2552" s="79">
        <f>IF(P2552&lt;&gt;"", TODAY(), "")</f>
        <v/>
      </c>
      <c r="S2552" s="78">
        <f>IF(AND(K2552&lt;&gt;"", R2552&lt;&gt;""), R2552-K2552, "")</f>
        <v/>
      </c>
      <c r="T2552" s="78" t="n"/>
      <c r="U2552" s="92">
        <f>IF(ISBLANK(P2552),"",IF(C2552="Buy",Q2552-M2552+T2552, IF(C2552="Sell",M2552-Q2552-T2552, X)))</f>
        <v/>
      </c>
      <c r="V2552" s="81">
        <f>IF(ISBLANK(P2552),"",U2552/N2552)</f>
        <v/>
      </c>
      <c r="W2552" s="81">
        <f>IF(ISBLANK(P2552),"",IF(S2552=0,(365/0.5)*V2552,(365/S2552)*V2552))</f>
        <v/>
      </c>
      <c r="X2552" s="75" t="n"/>
      <c r="Y2552" s="77" t="n"/>
      <c r="Z2552" s="77" t="n"/>
      <c r="AA2552" s="75" t="n"/>
      <c r="AB2552" s="75" t="n"/>
      <c r="AC2552" s="6" t="n"/>
      <c r="AD2552" s="75" t="n"/>
      <c r="AE2552" s="75" t="n"/>
      <c r="AF2552" s="75" t="n"/>
    </row>
    <row r="2553" ht="15.75" customHeight="1" s="133">
      <c r="A2553" s="75" t="n"/>
      <c r="B2553" s="75" t="n"/>
      <c r="C2553" s="75" t="n"/>
      <c r="D2553" s="75" t="n"/>
      <c r="E2553" s="76" t="n"/>
      <c r="F2553" s="77" t="n"/>
      <c r="G2553" s="75" t="n"/>
      <c r="H2553" s="75">
        <f>IF(ISBLANK(E2553),"",IF(OR(D2553="Butterfly",D2553="Butterfly ",D2553="Iron Fly", D2553="Iron Fly "),LEN(E2553)-LEN(SUBSTITUTE(E2553,"/",""))+2,LEN(E2553)-LEN(SUBSTITUTE(E2553,"/",""))+1))</f>
        <v/>
      </c>
      <c r="I2553" s="78">
        <f>IF(ISBLANK(G2553),"",IF(D2553="Stock","0",Key!$A$3*H2553*G2553))</f>
        <v/>
      </c>
      <c r="J2553" s="78">
        <f>IF(ISBLANK(E2553),"",IF(ISNUMBER(SEARCH("/",E2553)), IF(LEN(E2553)-LEN(SUBSTITUTE(E2553,"/",""))=1,(RIGHT(E2553,LEN(E2553)-FIND("/",E2553)))-(LEFT(E2553,FIND("/",E2553)-1)),(MID(E2553, SEARCH("/",E2553) + 1, SEARCH("/",E2553, SEARCH("/",E2553)+1) - SEARCH("/",E2553) - 1))-(LEFT(E2553,FIND("/",E2553)-1))), "NA"))</f>
        <v/>
      </c>
      <c r="K2553" s="79">
        <f>IF(A2553&lt;&gt;"", IF(ISBLANK(L2553), TODAY(), K2553), "")</f>
        <v/>
      </c>
      <c r="L2553" s="78" t="n"/>
      <c r="M2553" s="78">
        <f>IF(ISBLANK(L2553),"",IF(D2553="Stock",IF(C2553="Buy",L2553*G2553,IF(C2553="Sell",(L2553*G2553)-I2553, X)),IF(C2553="Buy",(L2553*G2553*100)+I2553,IF(C2553="Sell",(L2553*G2553*100)-I2553, X))))</f>
        <v/>
      </c>
      <c r="N2553" s="78">
        <f>IF(ISBLANK(L2553),"",IF(AND(C2553="Sell",D2553="Stock"),M2553,IF(ISBLANK(L2553),"",IF(C2553="Buy",M2553, IF(AND(C2553="Sell",J2553="NA"),(E2553*G2553*100*0.1)+I2553, IF(C2553="Sell",(J2553-L2553)*(100*G2553)+I2553))))))</f>
        <v/>
      </c>
      <c r="O2553" s="75" t="n"/>
      <c r="P2553" s="75" t="n"/>
      <c r="Q2553" s="75">
        <f>IF(ISBLANK(P2553),"",IF(D2553="Stock",P2553*G2553,IF(P2553=0,"0",G2553*P2553*100-(G2553*$AF$14))))</f>
        <v/>
      </c>
      <c r="R2553" s="79">
        <f>IF(P2553&lt;&gt;"", TODAY(), "")</f>
        <v/>
      </c>
      <c r="S2553" s="78">
        <f>IF(AND(K2553&lt;&gt;"", R2553&lt;&gt;""), R2553-K2553, "")</f>
        <v/>
      </c>
      <c r="T2553" s="78" t="n"/>
      <c r="U2553" s="92">
        <f>IF(ISBLANK(P2553),"",IF(C2553="Buy",Q2553-M2553+T2553, IF(C2553="Sell",M2553-Q2553-T2553, X)))</f>
        <v/>
      </c>
      <c r="V2553" s="81">
        <f>IF(ISBLANK(P2553),"",U2553/N2553)</f>
        <v/>
      </c>
      <c r="W2553" s="81">
        <f>IF(ISBLANK(P2553),"",IF(S2553=0,(365/0.5)*V2553,(365/S2553)*V2553))</f>
        <v/>
      </c>
      <c r="X2553" s="75" t="n"/>
      <c r="Y2553" s="77" t="n"/>
      <c r="Z2553" s="77" t="n"/>
      <c r="AA2553" s="75" t="n"/>
      <c r="AB2553" s="75" t="n"/>
      <c r="AC2553" s="6" t="n"/>
      <c r="AD2553" s="75" t="n"/>
      <c r="AE2553" s="75" t="n"/>
      <c r="AF2553" s="75" t="n"/>
    </row>
    <row r="2554" ht="15.75" customHeight="1" s="133">
      <c r="A2554" s="75" t="n"/>
      <c r="B2554" s="75" t="n"/>
      <c r="C2554" s="75" t="n"/>
      <c r="D2554" s="75" t="n"/>
      <c r="E2554" s="76" t="n"/>
      <c r="F2554" s="77" t="n"/>
      <c r="G2554" s="75" t="n"/>
      <c r="H2554" s="75">
        <f>IF(ISBLANK(E2554),"",IF(OR(D2554="Butterfly",D2554="Butterfly ",D2554="Iron Fly", D2554="Iron Fly "),LEN(E2554)-LEN(SUBSTITUTE(E2554,"/",""))+2,LEN(E2554)-LEN(SUBSTITUTE(E2554,"/",""))+1))</f>
        <v/>
      </c>
      <c r="I2554" s="78">
        <f>IF(ISBLANK(G2554),"",IF(D2554="Stock","0",Key!$A$3*H2554*G2554))</f>
        <v/>
      </c>
      <c r="J2554" s="78">
        <f>IF(ISBLANK(E2554),"",IF(ISNUMBER(SEARCH("/",E2554)), IF(LEN(E2554)-LEN(SUBSTITUTE(E2554,"/",""))=1,(RIGHT(E2554,LEN(E2554)-FIND("/",E2554)))-(LEFT(E2554,FIND("/",E2554)-1)),(MID(E2554, SEARCH("/",E2554) + 1, SEARCH("/",E2554, SEARCH("/",E2554)+1) - SEARCH("/",E2554) - 1))-(LEFT(E2554,FIND("/",E2554)-1))), "NA"))</f>
        <v/>
      </c>
      <c r="K2554" s="79">
        <f>IF(A2554&lt;&gt;"", IF(ISBLANK(L2554), TODAY(), K2554), "")</f>
        <v/>
      </c>
      <c r="L2554" s="78" t="n"/>
      <c r="M2554" s="78">
        <f>IF(ISBLANK(L2554),"",IF(D2554="Stock",IF(C2554="Buy",L2554*G2554,IF(C2554="Sell",(L2554*G2554)-I2554, X)),IF(C2554="Buy",(L2554*G2554*100)+I2554,IF(C2554="Sell",(L2554*G2554*100)-I2554, X))))</f>
        <v/>
      </c>
      <c r="N2554" s="78">
        <f>IF(ISBLANK(L2554),"",IF(AND(C2554="Sell",D2554="Stock"),M2554,IF(ISBLANK(L2554),"",IF(C2554="Buy",M2554, IF(AND(C2554="Sell",J2554="NA"),(E2554*G2554*100*0.1)+I2554, IF(C2554="Sell",(J2554-L2554)*(100*G2554)+I2554))))))</f>
        <v/>
      </c>
      <c r="O2554" s="75" t="n"/>
      <c r="P2554" s="75" t="n"/>
      <c r="Q2554" s="75">
        <f>IF(ISBLANK(P2554),"",IF(D2554="Stock",P2554*G2554,IF(P2554=0,"0",G2554*P2554*100-(G2554*$AF$14))))</f>
        <v/>
      </c>
      <c r="R2554" s="79">
        <f>IF(P2554&lt;&gt;"", TODAY(), "")</f>
        <v/>
      </c>
      <c r="S2554" s="78">
        <f>IF(AND(K2554&lt;&gt;"", R2554&lt;&gt;""), R2554-K2554, "")</f>
        <v/>
      </c>
      <c r="T2554" s="78" t="n"/>
      <c r="U2554" s="92">
        <f>IF(ISBLANK(P2554),"",IF(C2554="Buy",Q2554-M2554+T2554, IF(C2554="Sell",M2554-Q2554-T2554, X)))</f>
        <v/>
      </c>
      <c r="V2554" s="81">
        <f>IF(ISBLANK(P2554),"",U2554/N2554)</f>
        <v/>
      </c>
      <c r="W2554" s="81">
        <f>IF(ISBLANK(P2554),"",IF(S2554=0,(365/0.5)*V2554,(365/S2554)*V2554))</f>
        <v/>
      </c>
      <c r="X2554" s="75" t="n"/>
      <c r="Y2554" s="77" t="n"/>
      <c r="Z2554" s="77" t="n"/>
      <c r="AA2554" s="75" t="n"/>
      <c r="AB2554" s="75" t="n"/>
      <c r="AC2554" s="6" t="n"/>
      <c r="AD2554" s="75" t="n"/>
      <c r="AE2554" s="75" t="n"/>
      <c r="AF2554" s="75" t="n"/>
    </row>
    <row r="2555" ht="15.75" customHeight="1" s="133">
      <c r="A2555" s="75" t="n"/>
      <c r="B2555" s="75" t="n"/>
      <c r="C2555" s="75" t="n"/>
      <c r="D2555" s="75" t="n"/>
      <c r="E2555" s="76" t="n"/>
      <c r="F2555" s="77" t="n"/>
      <c r="G2555" s="75" t="n"/>
      <c r="H2555" s="75">
        <f>IF(ISBLANK(E2555),"",IF(OR(D2555="Butterfly",D2555="Butterfly ",D2555="Iron Fly", D2555="Iron Fly "),LEN(E2555)-LEN(SUBSTITUTE(E2555,"/",""))+2,LEN(E2555)-LEN(SUBSTITUTE(E2555,"/",""))+1))</f>
        <v/>
      </c>
      <c r="I2555" s="78">
        <f>IF(ISBLANK(G2555),"",IF(D2555="Stock","0",Key!$A$3*H2555*G2555))</f>
        <v/>
      </c>
      <c r="J2555" s="78">
        <f>IF(ISBLANK(E2555),"",IF(ISNUMBER(SEARCH("/",E2555)), IF(LEN(E2555)-LEN(SUBSTITUTE(E2555,"/",""))=1,(RIGHT(E2555,LEN(E2555)-FIND("/",E2555)))-(LEFT(E2555,FIND("/",E2555)-1)),(MID(E2555, SEARCH("/",E2555) + 1, SEARCH("/",E2555, SEARCH("/",E2555)+1) - SEARCH("/",E2555) - 1))-(LEFT(E2555,FIND("/",E2555)-1))), "NA"))</f>
        <v/>
      </c>
      <c r="K2555" s="79">
        <f>IF(A2555&lt;&gt;"", IF(ISBLANK(L2555), TODAY(), K2555), "")</f>
        <v/>
      </c>
      <c r="L2555" s="78" t="n"/>
      <c r="M2555" s="78">
        <f>IF(ISBLANK(L2555),"",IF(D2555="Stock",IF(C2555="Buy",L2555*G2555,IF(C2555="Sell",(L2555*G2555)-I2555, X)),IF(C2555="Buy",(L2555*G2555*100)+I2555,IF(C2555="Sell",(L2555*G2555*100)-I2555, X))))</f>
        <v/>
      </c>
      <c r="N2555" s="78">
        <f>IF(ISBLANK(L2555),"",IF(AND(C2555="Sell",D2555="Stock"),M2555,IF(ISBLANK(L2555),"",IF(C2555="Buy",M2555, IF(AND(C2555="Sell",J2555="NA"),(E2555*G2555*100*0.1)+I2555, IF(C2555="Sell",(J2555-L2555)*(100*G2555)+I2555))))))</f>
        <v/>
      </c>
      <c r="O2555" s="75" t="n"/>
      <c r="P2555" s="75" t="n"/>
      <c r="Q2555" s="75">
        <f>IF(ISBLANK(P2555),"",IF(D2555="Stock",P2555*G2555,IF(P2555=0,"0",G2555*P2555*100-(G2555*$AF$14))))</f>
        <v/>
      </c>
      <c r="R2555" s="79">
        <f>IF(P2555&lt;&gt;"", TODAY(), "")</f>
        <v/>
      </c>
      <c r="S2555" s="78">
        <f>IF(AND(K2555&lt;&gt;"", R2555&lt;&gt;""), R2555-K2555, "")</f>
        <v/>
      </c>
      <c r="T2555" s="78" t="n"/>
      <c r="U2555" s="92">
        <f>IF(ISBLANK(P2555),"",IF(C2555="Buy",Q2555-M2555+T2555, IF(C2555="Sell",M2555-Q2555-T2555, X)))</f>
        <v/>
      </c>
      <c r="V2555" s="81">
        <f>IF(ISBLANK(P2555),"",U2555/N2555)</f>
        <v/>
      </c>
      <c r="W2555" s="81">
        <f>IF(ISBLANK(P2555),"",IF(S2555=0,(365/0.5)*V2555,(365/S2555)*V2555))</f>
        <v/>
      </c>
      <c r="X2555" s="75" t="n"/>
      <c r="Y2555" s="77" t="n"/>
      <c r="Z2555" s="77" t="n"/>
      <c r="AA2555" s="75" t="n"/>
      <c r="AB2555" s="75" t="n"/>
      <c r="AC2555" s="6" t="n"/>
      <c r="AD2555" s="75" t="n"/>
      <c r="AE2555" s="75" t="n"/>
      <c r="AF2555" s="75" t="n"/>
    </row>
    <row r="2556" ht="15.75" customHeight="1" s="133">
      <c r="A2556" s="75" t="n"/>
      <c r="B2556" s="75" t="n"/>
      <c r="C2556" s="75" t="n"/>
      <c r="D2556" s="75" t="n"/>
      <c r="E2556" s="76" t="n"/>
      <c r="F2556" s="77" t="n"/>
      <c r="G2556" s="75" t="n"/>
      <c r="H2556" s="75">
        <f>IF(ISBLANK(E2556),"",IF(OR(D2556="Butterfly",D2556="Butterfly ",D2556="Iron Fly", D2556="Iron Fly "),LEN(E2556)-LEN(SUBSTITUTE(E2556,"/",""))+2,LEN(E2556)-LEN(SUBSTITUTE(E2556,"/",""))+1))</f>
        <v/>
      </c>
      <c r="I2556" s="78">
        <f>IF(ISBLANK(G2556),"",IF(D2556="Stock","0",Key!$A$3*H2556*G2556))</f>
        <v/>
      </c>
      <c r="J2556" s="78">
        <f>IF(ISBLANK(E2556),"",IF(ISNUMBER(SEARCH("/",E2556)), IF(LEN(E2556)-LEN(SUBSTITUTE(E2556,"/",""))=1,(RIGHT(E2556,LEN(E2556)-FIND("/",E2556)))-(LEFT(E2556,FIND("/",E2556)-1)),(MID(E2556, SEARCH("/",E2556) + 1, SEARCH("/",E2556, SEARCH("/",E2556)+1) - SEARCH("/",E2556) - 1))-(LEFT(E2556,FIND("/",E2556)-1))), "NA"))</f>
        <v/>
      </c>
      <c r="K2556" s="79">
        <f>IF(A2556&lt;&gt;"", IF(ISBLANK(L2556), TODAY(), K2556), "")</f>
        <v/>
      </c>
      <c r="L2556" s="78" t="n"/>
      <c r="M2556" s="78">
        <f>IF(ISBLANK(L2556),"",IF(D2556="Stock",IF(C2556="Buy",L2556*G2556,IF(C2556="Sell",(L2556*G2556)-I2556, X)),IF(C2556="Buy",(L2556*G2556*100)+I2556,IF(C2556="Sell",(L2556*G2556*100)-I2556, X))))</f>
        <v/>
      </c>
      <c r="N2556" s="78">
        <f>IF(ISBLANK(L2556),"",IF(AND(C2556="Sell",D2556="Stock"),M2556,IF(ISBLANK(L2556),"",IF(C2556="Buy",M2556, IF(AND(C2556="Sell",J2556="NA"),(E2556*G2556*100*0.1)+I2556, IF(C2556="Sell",(J2556-L2556)*(100*G2556)+I2556))))))</f>
        <v/>
      </c>
      <c r="O2556" s="75" t="n"/>
      <c r="P2556" s="75" t="n"/>
      <c r="Q2556" s="75">
        <f>IF(ISBLANK(P2556),"",IF(D2556="Stock",P2556*G2556,IF(P2556=0,"0",G2556*P2556*100-(G2556*$AF$14))))</f>
        <v/>
      </c>
      <c r="R2556" s="79">
        <f>IF(P2556&lt;&gt;"", TODAY(), "")</f>
        <v/>
      </c>
      <c r="S2556" s="78">
        <f>IF(AND(K2556&lt;&gt;"", R2556&lt;&gt;""), R2556-K2556, "")</f>
        <v/>
      </c>
      <c r="T2556" s="78" t="n"/>
      <c r="U2556" s="92">
        <f>IF(ISBLANK(P2556),"",IF(C2556="Buy",Q2556-M2556+T2556, IF(C2556="Sell",M2556-Q2556-T2556, X)))</f>
        <v/>
      </c>
      <c r="V2556" s="81">
        <f>IF(ISBLANK(P2556),"",U2556/N2556)</f>
        <v/>
      </c>
      <c r="W2556" s="81">
        <f>IF(ISBLANK(P2556),"",IF(S2556=0,(365/0.5)*V2556,(365/S2556)*V2556))</f>
        <v/>
      </c>
      <c r="X2556" s="75" t="n"/>
      <c r="Y2556" s="77" t="n"/>
      <c r="Z2556" s="77" t="n"/>
      <c r="AA2556" s="75" t="n"/>
      <c r="AB2556" s="75" t="n"/>
      <c r="AC2556" s="6" t="n"/>
      <c r="AD2556" s="75" t="n"/>
      <c r="AE2556" s="75" t="n"/>
      <c r="AF2556" s="75" t="n"/>
    </row>
    <row r="2557" ht="15.75" customHeight="1" s="133">
      <c r="A2557" s="75" t="n"/>
      <c r="B2557" s="75" t="n"/>
      <c r="C2557" s="75" t="n"/>
      <c r="D2557" s="75" t="n"/>
      <c r="E2557" s="76" t="n"/>
      <c r="F2557" s="77" t="n"/>
      <c r="G2557" s="75" t="n"/>
      <c r="H2557" s="75">
        <f>IF(ISBLANK(E2557),"",IF(OR(D2557="Butterfly",D2557="Butterfly ",D2557="Iron Fly", D2557="Iron Fly "),LEN(E2557)-LEN(SUBSTITUTE(E2557,"/",""))+2,LEN(E2557)-LEN(SUBSTITUTE(E2557,"/",""))+1))</f>
        <v/>
      </c>
      <c r="I2557" s="78">
        <f>IF(ISBLANK(G2557),"",IF(D2557="Stock","0",Key!$A$3*H2557*G2557))</f>
        <v/>
      </c>
      <c r="J2557" s="78">
        <f>IF(ISBLANK(E2557),"",IF(ISNUMBER(SEARCH("/",E2557)), IF(LEN(E2557)-LEN(SUBSTITUTE(E2557,"/",""))=1,(RIGHT(E2557,LEN(E2557)-FIND("/",E2557)))-(LEFT(E2557,FIND("/",E2557)-1)),(MID(E2557, SEARCH("/",E2557) + 1, SEARCH("/",E2557, SEARCH("/",E2557)+1) - SEARCH("/",E2557) - 1))-(LEFT(E2557,FIND("/",E2557)-1))), "NA"))</f>
        <v/>
      </c>
      <c r="K2557" s="79">
        <f>IF(A2557&lt;&gt;"", IF(ISBLANK(L2557), TODAY(), K2557), "")</f>
        <v/>
      </c>
      <c r="L2557" s="78" t="n"/>
      <c r="M2557" s="78">
        <f>IF(ISBLANK(L2557),"",IF(D2557="Stock",IF(C2557="Buy",L2557*G2557,IF(C2557="Sell",(L2557*G2557)-I2557, X)),IF(C2557="Buy",(L2557*G2557*100)+I2557,IF(C2557="Sell",(L2557*G2557*100)-I2557, X))))</f>
        <v/>
      </c>
      <c r="N2557" s="78">
        <f>IF(ISBLANK(L2557),"",IF(AND(C2557="Sell",D2557="Stock"),M2557,IF(ISBLANK(L2557),"",IF(C2557="Buy",M2557, IF(AND(C2557="Sell",J2557="NA"),(E2557*G2557*100*0.1)+I2557, IF(C2557="Sell",(J2557-L2557)*(100*G2557)+I2557))))))</f>
        <v/>
      </c>
      <c r="O2557" s="75" t="n"/>
      <c r="P2557" s="75" t="n"/>
      <c r="Q2557" s="75">
        <f>IF(ISBLANK(P2557),"",IF(D2557="Stock",P2557*G2557,IF(P2557=0,"0",G2557*P2557*100-(G2557*$AF$14))))</f>
        <v/>
      </c>
      <c r="R2557" s="79">
        <f>IF(P2557&lt;&gt;"", TODAY(), "")</f>
        <v/>
      </c>
      <c r="S2557" s="78">
        <f>IF(AND(K2557&lt;&gt;"", R2557&lt;&gt;""), R2557-K2557, "")</f>
        <v/>
      </c>
      <c r="T2557" s="78" t="n"/>
      <c r="U2557" s="92">
        <f>IF(ISBLANK(P2557),"",IF(C2557="Buy",Q2557-M2557+T2557, IF(C2557="Sell",M2557-Q2557-T2557, X)))</f>
        <v/>
      </c>
      <c r="V2557" s="81">
        <f>IF(ISBLANK(P2557),"",U2557/N2557)</f>
        <v/>
      </c>
      <c r="W2557" s="81">
        <f>IF(ISBLANK(P2557),"",IF(S2557=0,(365/0.5)*V2557,(365/S2557)*V2557))</f>
        <v/>
      </c>
      <c r="X2557" s="75" t="n"/>
      <c r="Y2557" s="77" t="n"/>
      <c r="Z2557" s="77" t="n"/>
      <c r="AA2557" s="75" t="n"/>
      <c r="AB2557" s="75" t="n"/>
      <c r="AC2557" s="6" t="n"/>
      <c r="AD2557" s="75" t="n"/>
      <c r="AE2557" s="75" t="n"/>
      <c r="AF2557" s="75" t="n"/>
    </row>
    <row r="2558" ht="15.75" customHeight="1" s="133">
      <c r="A2558" s="75" t="n"/>
      <c r="B2558" s="75" t="n"/>
      <c r="C2558" s="75" t="n"/>
      <c r="D2558" s="75" t="n"/>
      <c r="E2558" s="76" t="n"/>
      <c r="F2558" s="77" t="n"/>
      <c r="G2558" s="75" t="n"/>
      <c r="H2558" s="75">
        <f>IF(ISBLANK(E2558),"",IF(OR(D2558="Butterfly",D2558="Butterfly ",D2558="Iron Fly", D2558="Iron Fly "),LEN(E2558)-LEN(SUBSTITUTE(E2558,"/",""))+2,LEN(E2558)-LEN(SUBSTITUTE(E2558,"/",""))+1))</f>
        <v/>
      </c>
      <c r="I2558" s="78">
        <f>IF(ISBLANK(G2558),"",IF(D2558="Stock","0",Key!$A$3*H2558*G2558))</f>
        <v/>
      </c>
      <c r="J2558" s="78">
        <f>IF(ISBLANK(E2558),"",IF(ISNUMBER(SEARCH("/",E2558)), IF(LEN(E2558)-LEN(SUBSTITUTE(E2558,"/",""))=1,(RIGHT(E2558,LEN(E2558)-FIND("/",E2558)))-(LEFT(E2558,FIND("/",E2558)-1)),(MID(E2558, SEARCH("/",E2558) + 1, SEARCH("/",E2558, SEARCH("/",E2558)+1) - SEARCH("/",E2558) - 1))-(LEFT(E2558,FIND("/",E2558)-1))), "NA"))</f>
        <v/>
      </c>
      <c r="K2558" s="79">
        <f>IF(A2558&lt;&gt;"", IF(ISBLANK(L2558), TODAY(), K2558), "")</f>
        <v/>
      </c>
      <c r="L2558" s="78" t="n"/>
      <c r="M2558" s="78">
        <f>IF(ISBLANK(L2558),"",IF(D2558="Stock",IF(C2558="Buy",L2558*G2558,IF(C2558="Sell",(L2558*G2558)-I2558, X)),IF(C2558="Buy",(L2558*G2558*100)+I2558,IF(C2558="Sell",(L2558*G2558*100)-I2558, X))))</f>
        <v/>
      </c>
      <c r="N2558" s="78">
        <f>IF(ISBLANK(L2558),"",IF(AND(C2558="Sell",D2558="Stock"),M2558,IF(ISBLANK(L2558),"",IF(C2558="Buy",M2558, IF(AND(C2558="Sell",J2558="NA"),(E2558*G2558*100*0.1)+I2558, IF(C2558="Sell",(J2558-L2558)*(100*G2558)+I2558))))))</f>
        <v/>
      </c>
      <c r="O2558" s="75" t="n"/>
      <c r="P2558" s="75" t="n"/>
      <c r="Q2558" s="75">
        <f>IF(ISBLANK(P2558),"",IF(D2558="Stock",P2558*G2558,IF(P2558=0,"0",G2558*P2558*100-(G2558*$AF$14))))</f>
        <v/>
      </c>
      <c r="R2558" s="79">
        <f>IF(P2558&lt;&gt;"", TODAY(), "")</f>
        <v/>
      </c>
      <c r="S2558" s="78">
        <f>IF(AND(K2558&lt;&gt;"", R2558&lt;&gt;""), R2558-K2558, "")</f>
        <v/>
      </c>
      <c r="T2558" s="78" t="n"/>
      <c r="U2558" s="92">
        <f>IF(ISBLANK(P2558),"",IF(C2558="Buy",Q2558-M2558+T2558, IF(C2558="Sell",M2558-Q2558-T2558, X)))</f>
        <v/>
      </c>
      <c r="V2558" s="81">
        <f>IF(ISBLANK(P2558),"",U2558/N2558)</f>
        <v/>
      </c>
      <c r="W2558" s="81">
        <f>IF(ISBLANK(P2558),"",IF(S2558=0,(365/0.5)*V2558,(365/S2558)*V2558))</f>
        <v/>
      </c>
      <c r="X2558" s="75" t="n"/>
      <c r="Y2558" s="77" t="n"/>
      <c r="Z2558" s="77" t="n"/>
      <c r="AA2558" s="75" t="n"/>
      <c r="AB2558" s="75" t="n"/>
      <c r="AC2558" s="6" t="n"/>
      <c r="AD2558" s="75" t="n"/>
      <c r="AE2558" s="75" t="n"/>
      <c r="AF2558" s="75" t="n"/>
    </row>
    <row r="2559" ht="15.75" customHeight="1" s="133">
      <c r="A2559" s="75" t="n"/>
      <c r="B2559" s="75" t="n"/>
      <c r="C2559" s="75" t="n"/>
      <c r="D2559" s="75" t="n"/>
      <c r="E2559" s="76" t="n"/>
      <c r="F2559" s="77" t="n"/>
      <c r="G2559" s="75" t="n"/>
      <c r="H2559" s="75">
        <f>IF(ISBLANK(E2559),"",IF(OR(D2559="Butterfly",D2559="Butterfly ",D2559="Iron Fly", D2559="Iron Fly "),LEN(E2559)-LEN(SUBSTITUTE(E2559,"/",""))+2,LEN(E2559)-LEN(SUBSTITUTE(E2559,"/",""))+1))</f>
        <v/>
      </c>
      <c r="I2559" s="78">
        <f>IF(ISBLANK(G2559),"",IF(D2559="Stock","0",Key!$A$3*H2559*G2559))</f>
        <v/>
      </c>
      <c r="J2559" s="78">
        <f>IF(ISBLANK(E2559),"",IF(ISNUMBER(SEARCH("/",E2559)), IF(LEN(E2559)-LEN(SUBSTITUTE(E2559,"/",""))=1,(RIGHT(E2559,LEN(E2559)-FIND("/",E2559)))-(LEFT(E2559,FIND("/",E2559)-1)),(MID(E2559, SEARCH("/",E2559) + 1, SEARCH("/",E2559, SEARCH("/",E2559)+1) - SEARCH("/",E2559) - 1))-(LEFT(E2559,FIND("/",E2559)-1))), "NA"))</f>
        <v/>
      </c>
      <c r="K2559" s="79">
        <f>IF(A2559&lt;&gt;"", IF(ISBLANK(L2559), TODAY(), K2559), "")</f>
        <v/>
      </c>
      <c r="L2559" s="78" t="n"/>
      <c r="M2559" s="78">
        <f>IF(ISBLANK(L2559),"",IF(D2559="Stock",IF(C2559="Buy",L2559*G2559,IF(C2559="Sell",(L2559*G2559)-I2559, X)),IF(C2559="Buy",(L2559*G2559*100)+I2559,IF(C2559="Sell",(L2559*G2559*100)-I2559, X))))</f>
        <v/>
      </c>
      <c r="N2559" s="78">
        <f>IF(ISBLANK(L2559),"",IF(AND(C2559="Sell",D2559="Stock"),M2559,IF(ISBLANK(L2559),"",IF(C2559="Buy",M2559, IF(AND(C2559="Sell",J2559="NA"),(E2559*G2559*100*0.1)+I2559, IF(C2559="Sell",(J2559-L2559)*(100*G2559)+I2559))))))</f>
        <v/>
      </c>
      <c r="O2559" s="75" t="n"/>
      <c r="P2559" s="75" t="n"/>
      <c r="Q2559" s="75">
        <f>IF(ISBLANK(P2559),"",IF(D2559="Stock",P2559*G2559,IF(P2559=0,"0",G2559*P2559*100-(G2559*$AF$14))))</f>
        <v/>
      </c>
      <c r="R2559" s="79">
        <f>IF(P2559&lt;&gt;"", TODAY(), "")</f>
        <v/>
      </c>
      <c r="S2559" s="78">
        <f>IF(AND(K2559&lt;&gt;"", R2559&lt;&gt;""), R2559-K2559, "")</f>
        <v/>
      </c>
      <c r="T2559" s="78" t="n"/>
      <c r="U2559" s="92">
        <f>IF(ISBLANK(P2559),"",IF(C2559="Buy",Q2559-M2559+T2559, IF(C2559="Sell",M2559-Q2559-T2559, X)))</f>
        <v/>
      </c>
      <c r="V2559" s="81">
        <f>IF(ISBLANK(P2559),"",U2559/N2559)</f>
        <v/>
      </c>
      <c r="W2559" s="81">
        <f>IF(ISBLANK(P2559),"",IF(S2559=0,(365/0.5)*V2559,(365/S2559)*V2559))</f>
        <v/>
      </c>
      <c r="X2559" s="75" t="n"/>
      <c r="Y2559" s="77" t="n"/>
      <c r="Z2559" s="77" t="n"/>
      <c r="AA2559" s="75" t="n"/>
      <c r="AB2559" s="75" t="n"/>
      <c r="AC2559" s="6" t="n"/>
      <c r="AD2559" s="75" t="n"/>
      <c r="AE2559" s="75" t="n"/>
      <c r="AF2559" s="75" t="n"/>
    </row>
    <row r="2560" ht="15.75" customHeight="1" s="133">
      <c r="A2560" s="75" t="n"/>
      <c r="B2560" s="75" t="n"/>
      <c r="C2560" s="75" t="n"/>
      <c r="D2560" s="75" t="n"/>
      <c r="E2560" s="76" t="n"/>
      <c r="F2560" s="77" t="n"/>
      <c r="G2560" s="75" t="n"/>
      <c r="H2560" s="75">
        <f>IF(ISBLANK(E2560),"",IF(OR(D2560="Butterfly",D2560="Butterfly ",D2560="Iron Fly", D2560="Iron Fly "),LEN(E2560)-LEN(SUBSTITUTE(E2560,"/",""))+2,LEN(E2560)-LEN(SUBSTITUTE(E2560,"/",""))+1))</f>
        <v/>
      </c>
      <c r="I2560" s="78">
        <f>IF(ISBLANK(G2560),"",IF(D2560="Stock","0",Key!$A$3*H2560*G2560))</f>
        <v/>
      </c>
      <c r="J2560" s="78">
        <f>IF(ISBLANK(E2560),"",IF(ISNUMBER(SEARCH("/",E2560)), IF(LEN(E2560)-LEN(SUBSTITUTE(E2560,"/",""))=1,(RIGHT(E2560,LEN(E2560)-FIND("/",E2560)))-(LEFT(E2560,FIND("/",E2560)-1)),(MID(E2560, SEARCH("/",E2560) + 1, SEARCH("/",E2560, SEARCH("/",E2560)+1) - SEARCH("/",E2560) - 1))-(LEFT(E2560,FIND("/",E2560)-1))), "NA"))</f>
        <v/>
      </c>
      <c r="K2560" s="79">
        <f>IF(A2560&lt;&gt;"", IF(ISBLANK(L2560), TODAY(), K2560), "")</f>
        <v/>
      </c>
      <c r="L2560" s="78" t="n"/>
      <c r="M2560" s="78">
        <f>IF(ISBLANK(L2560),"",IF(D2560="Stock",IF(C2560="Buy",L2560*G2560,IF(C2560="Sell",(L2560*G2560)-I2560, X)),IF(C2560="Buy",(L2560*G2560*100)+I2560,IF(C2560="Sell",(L2560*G2560*100)-I2560, X))))</f>
        <v/>
      </c>
      <c r="N2560" s="78">
        <f>IF(ISBLANK(L2560),"",IF(AND(C2560="Sell",D2560="Stock"),M2560,IF(ISBLANK(L2560),"",IF(C2560="Buy",M2560, IF(AND(C2560="Sell",J2560="NA"),(E2560*G2560*100*0.1)+I2560, IF(C2560="Sell",(J2560-L2560)*(100*G2560)+I2560))))))</f>
        <v/>
      </c>
      <c r="O2560" s="75" t="n"/>
      <c r="P2560" s="75" t="n"/>
      <c r="Q2560" s="75">
        <f>IF(ISBLANK(P2560),"",IF(D2560="Stock",P2560*G2560,IF(P2560=0,"0",G2560*P2560*100-(G2560*$AF$14))))</f>
        <v/>
      </c>
      <c r="R2560" s="79">
        <f>IF(P2560&lt;&gt;"", TODAY(), "")</f>
        <v/>
      </c>
      <c r="S2560" s="78">
        <f>IF(AND(K2560&lt;&gt;"", R2560&lt;&gt;""), R2560-K2560, "")</f>
        <v/>
      </c>
      <c r="T2560" s="78" t="n"/>
      <c r="U2560" s="92">
        <f>IF(ISBLANK(P2560),"",IF(C2560="Buy",Q2560-M2560+T2560, IF(C2560="Sell",M2560-Q2560-T2560, X)))</f>
        <v/>
      </c>
      <c r="V2560" s="81">
        <f>IF(ISBLANK(P2560),"",U2560/N2560)</f>
        <v/>
      </c>
      <c r="W2560" s="81">
        <f>IF(ISBLANK(P2560),"",IF(S2560=0,(365/0.5)*V2560,(365/S2560)*V2560))</f>
        <v/>
      </c>
      <c r="X2560" s="75" t="n"/>
      <c r="Y2560" s="77" t="n"/>
      <c r="Z2560" s="77" t="n"/>
      <c r="AA2560" s="75" t="n"/>
      <c r="AB2560" s="75" t="n"/>
      <c r="AC2560" s="6" t="n"/>
      <c r="AD2560" s="75" t="n"/>
      <c r="AE2560" s="75" t="n"/>
      <c r="AF2560" s="75" t="n"/>
    </row>
    <row r="2561" ht="15.75" customHeight="1" s="133">
      <c r="A2561" s="75" t="n"/>
      <c r="B2561" s="75" t="n"/>
      <c r="C2561" s="75" t="n"/>
      <c r="D2561" s="75" t="n"/>
      <c r="E2561" s="76" t="n"/>
      <c r="F2561" s="77" t="n"/>
      <c r="G2561" s="75" t="n"/>
      <c r="H2561" s="75">
        <f>IF(ISBLANK(E2561),"",IF(OR(D2561="Butterfly",D2561="Butterfly ",D2561="Iron Fly", D2561="Iron Fly "),LEN(E2561)-LEN(SUBSTITUTE(E2561,"/",""))+2,LEN(E2561)-LEN(SUBSTITUTE(E2561,"/",""))+1))</f>
        <v/>
      </c>
      <c r="I2561" s="78">
        <f>IF(ISBLANK(G2561),"",IF(D2561="Stock","0",Key!$A$3*H2561*G2561))</f>
        <v/>
      </c>
      <c r="J2561" s="78">
        <f>IF(ISBLANK(E2561),"",IF(ISNUMBER(SEARCH("/",E2561)), IF(LEN(E2561)-LEN(SUBSTITUTE(E2561,"/",""))=1,(RIGHT(E2561,LEN(E2561)-FIND("/",E2561)))-(LEFT(E2561,FIND("/",E2561)-1)),(MID(E2561, SEARCH("/",E2561) + 1, SEARCH("/",E2561, SEARCH("/",E2561)+1) - SEARCH("/",E2561) - 1))-(LEFT(E2561,FIND("/",E2561)-1))), "NA"))</f>
        <v/>
      </c>
      <c r="K2561" s="79">
        <f>IF(A2561&lt;&gt;"", IF(ISBLANK(L2561), TODAY(), K2561), "")</f>
        <v/>
      </c>
      <c r="L2561" s="78" t="n"/>
      <c r="M2561" s="78">
        <f>IF(ISBLANK(L2561),"",IF(D2561="Stock",IF(C2561="Buy",L2561*G2561,IF(C2561="Sell",(L2561*G2561)-I2561, X)),IF(C2561="Buy",(L2561*G2561*100)+I2561,IF(C2561="Sell",(L2561*G2561*100)-I2561, X))))</f>
        <v/>
      </c>
      <c r="N2561" s="78">
        <f>IF(ISBLANK(L2561),"",IF(AND(C2561="Sell",D2561="Stock"),M2561,IF(ISBLANK(L2561),"",IF(C2561="Buy",M2561, IF(AND(C2561="Sell",J2561="NA"),(E2561*G2561*100*0.1)+I2561, IF(C2561="Sell",(J2561-L2561)*(100*G2561)+I2561))))))</f>
        <v/>
      </c>
      <c r="O2561" s="75" t="n"/>
      <c r="P2561" s="75" t="n"/>
      <c r="Q2561" s="75">
        <f>IF(ISBLANK(P2561),"",IF(D2561="Stock",P2561*G2561,IF(P2561=0,"0",G2561*P2561*100-(G2561*$AF$14))))</f>
        <v/>
      </c>
      <c r="R2561" s="79">
        <f>IF(P2561&lt;&gt;"", TODAY(), "")</f>
        <v/>
      </c>
      <c r="S2561" s="78">
        <f>IF(AND(K2561&lt;&gt;"", R2561&lt;&gt;""), R2561-K2561, "")</f>
        <v/>
      </c>
      <c r="T2561" s="78" t="n"/>
      <c r="U2561" s="92">
        <f>IF(ISBLANK(P2561),"",IF(C2561="Buy",Q2561-M2561+T2561, IF(C2561="Sell",M2561-Q2561-T2561, X)))</f>
        <v/>
      </c>
      <c r="V2561" s="81">
        <f>IF(ISBLANK(P2561),"",U2561/N2561)</f>
        <v/>
      </c>
      <c r="W2561" s="81">
        <f>IF(ISBLANK(P2561),"",IF(S2561=0,(365/0.5)*V2561,(365/S2561)*V2561))</f>
        <v/>
      </c>
      <c r="X2561" s="75" t="n"/>
      <c r="Y2561" s="77" t="n"/>
      <c r="Z2561" s="77" t="n"/>
      <c r="AA2561" s="75" t="n"/>
      <c r="AB2561" s="75" t="n"/>
      <c r="AC2561" s="6" t="n"/>
      <c r="AD2561" s="75" t="n"/>
      <c r="AE2561" s="75" t="n"/>
      <c r="AF2561" s="75" t="n"/>
    </row>
    <row r="2562" ht="15.75" customHeight="1" s="133">
      <c r="A2562" s="75" t="n"/>
      <c r="B2562" s="75" t="n"/>
      <c r="C2562" s="75" t="n"/>
      <c r="D2562" s="75" t="n"/>
      <c r="E2562" s="76" t="n"/>
      <c r="F2562" s="77" t="n"/>
      <c r="G2562" s="75" t="n"/>
      <c r="H2562" s="75">
        <f>IF(ISBLANK(E2562),"",IF(OR(D2562="Butterfly",D2562="Butterfly ",D2562="Iron Fly", D2562="Iron Fly "),LEN(E2562)-LEN(SUBSTITUTE(E2562,"/",""))+2,LEN(E2562)-LEN(SUBSTITUTE(E2562,"/",""))+1))</f>
        <v/>
      </c>
      <c r="I2562" s="78">
        <f>IF(ISBLANK(G2562),"",IF(D2562="Stock","0",Key!$A$3*H2562*G2562))</f>
        <v/>
      </c>
      <c r="J2562" s="78">
        <f>IF(ISBLANK(E2562),"",IF(ISNUMBER(SEARCH("/",E2562)), IF(LEN(E2562)-LEN(SUBSTITUTE(E2562,"/",""))=1,(RIGHT(E2562,LEN(E2562)-FIND("/",E2562)))-(LEFT(E2562,FIND("/",E2562)-1)),(MID(E2562, SEARCH("/",E2562) + 1, SEARCH("/",E2562, SEARCH("/",E2562)+1) - SEARCH("/",E2562) - 1))-(LEFT(E2562,FIND("/",E2562)-1))), "NA"))</f>
        <v/>
      </c>
      <c r="K2562" s="79">
        <f>IF(A2562&lt;&gt;"", IF(ISBLANK(L2562), TODAY(), K2562), "")</f>
        <v/>
      </c>
      <c r="L2562" s="78" t="n"/>
      <c r="M2562" s="78">
        <f>IF(ISBLANK(L2562),"",IF(D2562="Stock",IF(C2562="Buy",L2562*G2562,IF(C2562="Sell",(L2562*G2562)-I2562, X)),IF(C2562="Buy",(L2562*G2562*100)+I2562,IF(C2562="Sell",(L2562*G2562*100)-I2562, X))))</f>
        <v/>
      </c>
      <c r="N2562" s="78">
        <f>IF(ISBLANK(L2562),"",IF(AND(C2562="Sell",D2562="Stock"),M2562,IF(ISBLANK(L2562),"",IF(C2562="Buy",M2562, IF(AND(C2562="Sell",J2562="NA"),(E2562*G2562*100*0.1)+I2562, IF(C2562="Sell",(J2562-L2562)*(100*G2562)+I2562))))))</f>
        <v/>
      </c>
      <c r="O2562" s="75" t="n"/>
      <c r="P2562" s="75" t="n"/>
      <c r="Q2562" s="75">
        <f>IF(ISBLANK(P2562),"",IF(D2562="Stock",P2562*G2562,IF(P2562=0,"0",G2562*P2562*100-(G2562*$AF$14))))</f>
        <v/>
      </c>
      <c r="R2562" s="79">
        <f>IF(P2562&lt;&gt;"", TODAY(), "")</f>
        <v/>
      </c>
      <c r="S2562" s="78">
        <f>IF(AND(K2562&lt;&gt;"", R2562&lt;&gt;""), R2562-K2562, "")</f>
        <v/>
      </c>
      <c r="T2562" s="78" t="n"/>
      <c r="U2562" s="92">
        <f>IF(ISBLANK(P2562),"",IF(C2562="Buy",Q2562-M2562+T2562, IF(C2562="Sell",M2562-Q2562-T2562, X)))</f>
        <v/>
      </c>
      <c r="V2562" s="81">
        <f>IF(ISBLANK(P2562),"",U2562/N2562)</f>
        <v/>
      </c>
      <c r="W2562" s="81">
        <f>IF(ISBLANK(P2562),"",IF(S2562=0,(365/0.5)*V2562,(365/S2562)*V2562))</f>
        <v/>
      </c>
      <c r="X2562" s="75" t="n"/>
      <c r="Y2562" s="77" t="n"/>
      <c r="Z2562" s="77" t="n"/>
      <c r="AA2562" s="75" t="n"/>
      <c r="AB2562" s="75" t="n"/>
      <c r="AC2562" s="6" t="n"/>
      <c r="AD2562" s="75" t="n"/>
      <c r="AE2562" s="75" t="n"/>
      <c r="AF2562" s="75" t="n"/>
    </row>
    <row r="2563" ht="15.75" customHeight="1" s="133">
      <c r="A2563" s="75" t="n"/>
      <c r="B2563" s="75" t="n"/>
      <c r="C2563" s="75" t="n"/>
      <c r="D2563" s="75" t="n"/>
      <c r="E2563" s="76" t="n"/>
      <c r="F2563" s="77" t="n"/>
      <c r="G2563" s="75" t="n"/>
      <c r="H2563" s="75">
        <f>IF(ISBLANK(E2563),"",IF(OR(D2563="Butterfly",D2563="Butterfly ",D2563="Iron Fly", D2563="Iron Fly "),LEN(E2563)-LEN(SUBSTITUTE(E2563,"/",""))+2,LEN(E2563)-LEN(SUBSTITUTE(E2563,"/",""))+1))</f>
        <v/>
      </c>
      <c r="I2563" s="78">
        <f>IF(ISBLANK(G2563),"",IF(D2563="Stock","0",Key!$A$3*H2563*G2563))</f>
        <v/>
      </c>
      <c r="J2563" s="78">
        <f>IF(ISBLANK(E2563),"",IF(ISNUMBER(SEARCH("/",E2563)), IF(LEN(E2563)-LEN(SUBSTITUTE(E2563,"/",""))=1,(RIGHT(E2563,LEN(E2563)-FIND("/",E2563)))-(LEFT(E2563,FIND("/",E2563)-1)),(MID(E2563, SEARCH("/",E2563) + 1, SEARCH("/",E2563, SEARCH("/",E2563)+1) - SEARCH("/",E2563) - 1))-(LEFT(E2563,FIND("/",E2563)-1))), "NA"))</f>
        <v/>
      </c>
      <c r="K2563" s="79">
        <f>IF(A2563&lt;&gt;"", IF(ISBLANK(L2563), TODAY(), K2563), "")</f>
        <v/>
      </c>
      <c r="L2563" s="78" t="n"/>
      <c r="M2563" s="78">
        <f>IF(ISBLANK(L2563),"",IF(D2563="Stock",IF(C2563="Buy",L2563*G2563,IF(C2563="Sell",(L2563*G2563)-I2563, X)),IF(C2563="Buy",(L2563*G2563*100)+I2563,IF(C2563="Sell",(L2563*G2563*100)-I2563, X))))</f>
        <v/>
      </c>
      <c r="N2563" s="78">
        <f>IF(ISBLANK(L2563),"",IF(AND(C2563="Sell",D2563="Stock"),M2563,IF(ISBLANK(L2563),"",IF(C2563="Buy",M2563, IF(AND(C2563="Sell",J2563="NA"),(E2563*G2563*100*0.1)+I2563, IF(C2563="Sell",(J2563-L2563)*(100*G2563)+I2563))))))</f>
        <v/>
      </c>
      <c r="O2563" s="75" t="n"/>
      <c r="P2563" s="75" t="n"/>
      <c r="Q2563" s="75">
        <f>IF(ISBLANK(P2563),"",IF(D2563="Stock",P2563*G2563,IF(P2563=0,"0",G2563*P2563*100-(G2563*$AF$14))))</f>
        <v/>
      </c>
      <c r="R2563" s="79">
        <f>IF(P2563&lt;&gt;"", TODAY(), "")</f>
        <v/>
      </c>
      <c r="S2563" s="78">
        <f>IF(AND(K2563&lt;&gt;"", R2563&lt;&gt;""), R2563-K2563, "")</f>
        <v/>
      </c>
      <c r="T2563" s="78" t="n"/>
      <c r="U2563" s="92">
        <f>IF(ISBLANK(P2563),"",IF(C2563="Buy",Q2563-M2563+T2563, IF(C2563="Sell",M2563-Q2563-T2563, X)))</f>
        <v/>
      </c>
      <c r="V2563" s="81">
        <f>IF(ISBLANK(P2563),"",U2563/N2563)</f>
        <v/>
      </c>
      <c r="W2563" s="81">
        <f>IF(ISBLANK(P2563),"",IF(S2563=0,(365/0.5)*V2563,(365/S2563)*V2563))</f>
        <v/>
      </c>
      <c r="X2563" s="75" t="n"/>
      <c r="Y2563" s="77" t="n"/>
      <c r="Z2563" s="77" t="n"/>
      <c r="AA2563" s="75" t="n"/>
      <c r="AB2563" s="75" t="n"/>
      <c r="AC2563" s="6" t="n"/>
      <c r="AD2563" s="75" t="n"/>
      <c r="AE2563" s="75" t="n"/>
      <c r="AF2563" s="75" t="n"/>
    </row>
    <row r="2564" ht="15.75" customHeight="1" s="133">
      <c r="A2564" s="75" t="n"/>
      <c r="B2564" s="75" t="n"/>
      <c r="C2564" s="75" t="n"/>
      <c r="D2564" s="75" t="n"/>
      <c r="E2564" s="76" t="n"/>
      <c r="F2564" s="77" t="n"/>
      <c r="G2564" s="75" t="n"/>
      <c r="H2564" s="75">
        <f>IF(ISBLANK(E2564),"",IF(OR(D2564="Butterfly",D2564="Butterfly ",D2564="Iron Fly", D2564="Iron Fly "),LEN(E2564)-LEN(SUBSTITUTE(E2564,"/",""))+2,LEN(E2564)-LEN(SUBSTITUTE(E2564,"/",""))+1))</f>
        <v/>
      </c>
      <c r="I2564" s="78">
        <f>IF(ISBLANK(G2564),"",IF(D2564="Stock","0",Key!$A$3*H2564*G2564))</f>
        <v/>
      </c>
      <c r="J2564" s="78">
        <f>IF(ISBLANK(E2564),"",IF(ISNUMBER(SEARCH("/",E2564)), IF(LEN(E2564)-LEN(SUBSTITUTE(E2564,"/",""))=1,(RIGHT(E2564,LEN(E2564)-FIND("/",E2564)))-(LEFT(E2564,FIND("/",E2564)-1)),(MID(E2564, SEARCH("/",E2564) + 1, SEARCH("/",E2564, SEARCH("/",E2564)+1) - SEARCH("/",E2564) - 1))-(LEFT(E2564,FIND("/",E2564)-1))), "NA"))</f>
        <v/>
      </c>
      <c r="K2564" s="79">
        <f>IF(A2564&lt;&gt;"", IF(ISBLANK(L2564), TODAY(), K2564), "")</f>
        <v/>
      </c>
      <c r="L2564" s="78" t="n"/>
      <c r="M2564" s="78">
        <f>IF(ISBLANK(L2564),"",IF(D2564="Stock",IF(C2564="Buy",L2564*G2564,IF(C2564="Sell",(L2564*G2564)-I2564, X)),IF(C2564="Buy",(L2564*G2564*100)+I2564,IF(C2564="Sell",(L2564*G2564*100)-I2564, X))))</f>
        <v/>
      </c>
      <c r="N2564" s="78">
        <f>IF(ISBLANK(L2564),"",IF(AND(C2564="Sell",D2564="Stock"),M2564,IF(ISBLANK(L2564),"",IF(C2564="Buy",M2564, IF(AND(C2564="Sell",J2564="NA"),(E2564*G2564*100*0.1)+I2564, IF(C2564="Sell",(J2564-L2564)*(100*G2564)+I2564))))))</f>
        <v/>
      </c>
      <c r="O2564" s="75" t="n"/>
      <c r="P2564" s="75" t="n"/>
      <c r="Q2564" s="75">
        <f>IF(ISBLANK(P2564),"",IF(D2564="Stock",P2564*G2564,IF(P2564=0,"0",G2564*P2564*100-(G2564*$AF$14))))</f>
        <v/>
      </c>
      <c r="R2564" s="79">
        <f>IF(P2564&lt;&gt;"", TODAY(), "")</f>
        <v/>
      </c>
      <c r="S2564" s="78">
        <f>IF(AND(K2564&lt;&gt;"", R2564&lt;&gt;""), R2564-K2564, "")</f>
        <v/>
      </c>
      <c r="T2564" s="78" t="n"/>
      <c r="U2564" s="92">
        <f>IF(ISBLANK(P2564),"",IF(C2564="Buy",Q2564-M2564+T2564, IF(C2564="Sell",M2564-Q2564-T2564, X)))</f>
        <v/>
      </c>
      <c r="V2564" s="81">
        <f>IF(ISBLANK(P2564),"",U2564/N2564)</f>
        <v/>
      </c>
      <c r="W2564" s="81">
        <f>IF(ISBLANK(P2564),"",IF(S2564=0,(365/0.5)*V2564,(365/S2564)*V2564))</f>
        <v/>
      </c>
      <c r="X2564" s="75" t="n"/>
      <c r="Y2564" s="77" t="n"/>
      <c r="Z2564" s="77" t="n"/>
      <c r="AA2564" s="75" t="n"/>
      <c r="AB2564" s="75" t="n"/>
      <c r="AC2564" s="6" t="n"/>
      <c r="AD2564" s="75" t="n"/>
      <c r="AE2564" s="75" t="n"/>
      <c r="AF2564" s="75" t="n"/>
    </row>
    <row r="2565" ht="15.75" customHeight="1" s="133">
      <c r="A2565" s="75" t="n"/>
      <c r="B2565" s="75" t="n"/>
      <c r="C2565" s="75" t="n"/>
      <c r="D2565" s="75" t="n"/>
      <c r="E2565" s="76" t="n"/>
      <c r="F2565" s="77" t="n"/>
      <c r="G2565" s="75" t="n"/>
      <c r="H2565" s="75">
        <f>IF(ISBLANK(E2565),"",IF(OR(D2565="Butterfly",D2565="Butterfly ",D2565="Iron Fly", D2565="Iron Fly "),LEN(E2565)-LEN(SUBSTITUTE(E2565,"/",""))+2,LEN(E2565)-LEN(SUBSTITUTE(E2565,"/",""))+1))</f>
        <v/>
      </c>
      <c r="I2565" s="78">
        <f>IF(ISBLANK(G2565),"",IF(D2565="Stock","0",Key!$A$3*H2565*G2565))</f>
        <v/>
      </c>
      <c r="J2565" s="78">
        <f>IF(ISBLANK(E2565),"",IF(ISNUMBER(SEARCH("/",E2565)), IF(LEN(E2565)-LEN(SUBSTITUTE(E2565,"/",""))=1,(RIGHT(E2565,LEN(E2565)-FIND("/",E2565)))-(LEFT(E2565,FIND("/",E2565)-1)),(MID(E2565, SEARCH("/",E2565) + 1, SEARCH("/",E2565, SEARCH("/",E2565)+1) - SEARCH("/",E2565) - 1))-(LEFT(E2565,FIND("/",E2565)-1))), "NA"))</f>
        <v/>
      </c>
      <c r="K2565" s="79">
        <f>IF(A2565&lt;&gt;"", IF(ISBLANK(L2565), TODAY(), K2565), "")</f>
        <v/>
      </c>
      <c r="L2565" s="78" t="n"/>
      <c r="M2565" s="78">
        <f>IF(ISBLANK(L2565),"",IF(D2565="Stock",IF(C2565="Buy",L2565*G2565,IF(C2565="Sell",(L2565*G2565)-I2565, X)),IF(C2565="Buy",(L2565*G2565*100)+I2565,IF(C2565="Sell",(L2565*G2565*100)-I2565, X))))</f>
        <v/>
      </c>
      <c r="N2565" s="78">
        <f>IF(ISBLANK(L2565),"",IF(AND(C2565="Sell",D2565="Stock"),M2565,IF(ISBLANK(L2565),"",IF(C2565="Buy",M2565, IF(AND(C2565="Sell",J2565="NA"),(E2565*G2565*100*0.1)+I2565, IF(C2565="Sell",(J2565-L2565)*(100*G2565)+I2565))))))</f>
        <v/>
      </c>
      <c r="O2565" s="75" t="n"/>
      <c r="P2565" s="75" t="n"/>
      <c r="Q2565" s="75">
        <f>IF(ISBLANK(P2565),"",IF(D2565="Stock",P2565*G2565,IF(P2565=0,"0",G2565*P2565*100-(G2565*$AF$14))))</f>
        <v/>
      </c>
      <c r="R2565" s="79">
        <f>IF(P2565&lt;&gt;"", TODAY(), "")</f>
        <v/>
      </c>
      <c r="S2565" s="78">
        <f>IF(AND(K2565&lt;&gt;"", R2565&lt;&gt;""), R2565-K2565, "")</f>
        <v/>
      </c>
      <c r="T2565" s="78" t="n"/>
      <c r="U2565" s="92">
        <f>IF(ISBLANK(P2565),"",IF(C2565="Buy",Q2565-M2565+T2565, IF(C2565="Sell",M2565-Q2565-T2565, X)))</f>
        <v/>
      </c>
      <c r="V2565" s="81">
        <f>IF(ISBLANK(P2565),"",U2565/N2565)</f>
        <v/>
      </c>
      <c r="W2565" s="81">
        <f>IF(ISBLANK(P2565),"",IF(S2565=0,(365/0.5)*V2565,(365/S2565)*V2565))</f>
        <v/>
      </c>
      <c r="X2565" s="75" t="n"/>
      <c r="Y2565" s="77" t="n"/>
      <c r="Z2565" s="77" t="n"/>
      <c r="AA2565" s="75" t="n"/>
      <c r="AB2565" s="75" t="n"/>
      <c r="AC2565" s="6" t="n"/>
      <c r="AD2565" s="75" t="n"/>
      <c r="AE2565" s="75" t="n"/>
      <c r="AF2565" s="75" t="n"/>
    </row>
    <row r="2566" ht="15.75" customHeight="1" s="133">
      <c r="A2566" s="75" t="n"/>
      <c r="B2566" s="75" t="n"/>
      <c r="C2566" s="75" t="n"/>
      <c r="D2566" s="75" t="n"/>
      <c r="E2566" s="76" t="n"/>
      <c r="F2566" s="77" t="n"/>
      <c r="G2566" s="75" t="n"/>
      <c r="H2566" s="75">
        <f>IF(ISBLANK(E2566),"",IF(OR(D2566="Butterfly",D2566="Butterfly ",D2566="Iron Fly", D2566="Iron Fly "),LEN(E2566)-LEN(SUBSTITUTE(E2566,"/",""))+2,LEN(E2566)-LEN(SUBSTITUTE(E2566,"/",""))+1))</f>
        <v/>
      </c>
      <c r="I2566" s="78">
        <f>IF(ISBLANK(G2566),"",IF(D2566="Stock","0",Key!$A$3*H2566*G2566))</f>
        <v/>
      </c>
      <c r="J2566" s="78">
        <f>IF(ISBLANK(E2566),"",IF(ISNUMBER(SEARCH("/",E2566)), IF(LEN(E2566)-LEN(SUBSTITUTE(E2566,"/",""))=1,(RIGHT(E2566,LEN(E2566)-FIND("/",E2566)))-(LEFT(E2566,FIND("/",E2566)-1)),(MID(E2566, SEARCH("/",E2566) + 1, SEARCH("/",E2566, SEARCH("/",E2566)+1) - SEARCH("/",E2566) - 1))-(LEFT(E2566,FIND("/",E2566)-1))), "NA"))</f>
        <v/>
      </c>
      <c r="K2566" s="79">
        <f>IF(A2566&lt;&gt;"", IF(ISBLANK(L2566), TODAY(), K2566), "")</f>
        <v/>
      </c>
      <c r="L2566" s="78" t="n"/>
      <c r="M2566" s="78">
        <f>IF(ISBLANK(L2566),"",IF(D2566="Stock",IF(C2566="Buy",L2566*G2566,IF(C2566="Sell",(L2566*G2566)-I2566, X)),IF(C2566="Buy",(L2566*G2566*100)+I2566,IF(C2566="Sell",(L2566*G2566*100)-I2566, X))))</f>
        <v/>
      </c>
      <c r="N2566" s="78">
        <f>IF(ISBLANK(L2566),"",IF(AND(C2566="Sell",D2566="Stock"),M2566,IF(ISBLANK(L2566),"",IF(C2566="Buy",M2566, IF(AND(C2566="Sell",J2566="NA"),(E2566*G2566*100*0.1)+I2566, IF(C2566="Sell",(J2566-L2566)*(100*G2566)+I2566))))))</f>
        <v/>
      </c>
      <c r="O2566" s="75" t="n"/>
      <c r="P2566" s="75" t="n"/>
      <c r="Q2566" s="75">
        <f>IF(ISBLANK(P2566),"",IF(D2566="Stock",P2566*G2566,IF(P2566=0,"0",G2566*P2566*100-(G2566*$AF$14))))</f>
        <v/>
      </c>
      <c r="R2566" s="79">
        <f>IF(P2566&lt;&gt;"", TODAY(), "")</f>
        <v/>
      </c>
      <c r="S2566" s="78">
        <f>IF(AND(K2566&lt;&gt;"", R2566&lt;&gt;""), R2566-K2566, "")</f>
        <v/>
      </c>
      <c r="T2566" s="78" t="n"/>
      <c r="U2566" s="92">
        <f>IF(ISBLANK(P2566),"",IF(C2566="Buy",Q2566-M2566+T2566, IF(C2566="Sell",M2566-Q2566-T2566, X)))</f>
        <v/>
      </c>
      <c r="V2566" s="81">
        <f>IF(ISBLANK(P2566),"",U2566/N2566)</f>
        <v/>
      </c>
      <c r="W2566" s="81">
        <f>IF(ISBLANK(P2566),"",IF(S2566=0,(365/0.5)*V2566,(365/S2566)*V2566))</f>
        <v/>
      </c>
      <c r="X2566" s="75" t="n"/>
      <c r="Y2566" s="77" t="n"/>
      <c r="Z2566" s="77" t="n"/>
      <c r="AA2566" s="75" t="n"/>
      <c r="AB2566" s="75" t="n"/>
      <c r="AC2566" s="6" t="n"/>
      <c r="AD2566" s="75" t="n"/>
      <c r="AE2566" s="75" t="n"/>
      <c r="AF2566" s="75" t="n"/>
    </row>
    <row r="2567" ht="15.75" customHeight="1" s="133">
      <c r="A2567" s="75" t="n"/>
      <c r="B2567" s="75" t="n"/>
      <c r="C2567" s="75" t="n"/>
      <c r="D2567" s="75" t="n"/>
      <c r="E2567" s="76" t="n"/>
      <c r="F2567" s="77" t="n"/>
      <c r="G2567" s="75" t="n"/>
      <c r="H2567" s="75">
        <f>IF(ISBLANK(E2567),"",IF(OR(D2567="Butterfly",D2567="Butterfly ",D2567="Iron Fly", D2567="Iron Fly "),LEN(E2567)-LEN(SUBSTITUTE(E2567,"/",""))+2,LEN(E2567)-LEN(SUBSTITUTE(E2567,"/",""))+1))</f>
        <v/>
      </c>
      <c r="I2567" s="78">
        <f>IF(ISBLANK(G2567),"",IF(D2567="Stock","0",Key!$A$3*H2567*G2567))</f>
        <v/>
      </c>
      <c r="J2567" s="78">
        <f>IF(ISBLANK(E2567),"",IF(ISNUMBER(SEARCH("/",E2567)), IF(LEN(E2567)-LEN(SUBSTITUTE(E2567,"/",""))=1,(RIGHT(E2567,LEN(E2567)-FIND("/",E2567)))-(LEFT(E2567,FIND("/",E2567)-1)),(MID(E2567, SEARCH("/",E2567) + 1, SEARCH("/",E2567, SEARCH("/",E2567)+1) - SEARCH("/",E2567) - 1))-(LEFT(E2567,FIND("/",E2567)-1))), "NA"))</f>
        <v/>
      </c>
      <c r="K2567" s="79">
        <f>IF(A2567&lt;&gt;"", IF(ISBLANK(L2567), TODAY(), K2567), "")</f>
        <v/>
      </c>
      <c r="L2567" s="78" t="n"/>
      <c r="M2567" s="78">
        <f>IF(ISBLANK(L2567),"",IF(D2567="Stock",IF(C2567="Buy",L2567*G2567,IF(C2567="Sell",(L2567*G2567)-I2567, X)),IF(C2567="Buy",(L2567*G2567*100)+I2567,IF(C2567="Sell",(L2567*G2567*100)-I2567, X))))</f>
        <v/>
      </c>
      <c r="N2567" s="78">
        <f>IF(ISBLANK(L2567),"",IF(AND(C2567="Sell",D2567="Stock"),M2567,IF(ISBLANK(L2567),"",IF(C2567="Buy",M2567, IF(AND(C2567="Sell",J2567="NA"),(E2567*G2567*100*0.1)+I2567, IF(C2567="Sell",(J2567-L2567)*(100*G2567)+I2567))))))</f>
        <v/>
      </c>
      <c r="O2567" s="75" t="n"/>
      <c r="P2567" s="75" t="n"/>
      <c r="Q2567" s="75">
        <f>IF(ISBLANK(P2567),"",IF(D2567="Stock",P2567*G2567,IF(P2567=0,"0",G2567*P2567*100-(G2567*$AF$14))))</f>
        <v/>
      </c>
      <c r="R2567" s="79">
        <f>IF(P2567&lt;&gt;"", TODAY(), "")</f>
        <v/>
      </c>
      <c r="S2567" s="78">
        <f>IF(AND(K2567&lt;&gt;"", R2567&lt;&gt;""), R2567-K2567, "")</f>
        <v/>
      </c>
      <c r="T2567" s="78" t="n"/>
      <c r="U2567" s="92">
        <f>IF(ISBLANK(P2567),"",IF(C2567="Buy",Q2567-M2567+T2567, IF(C2567="Sell",M2567-Q2567-T2567, X)))</f>
        <v/>
      </c>
      <c r="V2567" s="81">
        <f>IF(ISBLANK(P2567),"",U2567/N2567)</f>
        <v/>
      </c>
      <c r="W2567" s="81">
        <f>IF(ISBLANK(P2567),"",IF(S2567=0,(365/0.5)*V2567,(365/S2567)*V2567))</f>
        <v/>
      </c>
      <c r="X2567" s="75" t="n"/>
      <c r="Y2567" s="77" t="n"/>
      <c r="Z2567" s="77" t="n"/>
      <c r="AA2567" s="75" t="n"/>
      <c r="AB2567" s="75" t="n"/>
      <c r="AC2567" s="6" t="n"/>
      <c r="AD2567" s="75" t="n"/>
      <c r="AE2567" s="75" t="n"/>
      <c r="AF2567" s="75" t="n"/>
    </row>
    <row r="2568" ht="15.75" customHeight="1" s="133">
      <c r="A2568" s="75" t="n"/>
      <c r="B2568" s="75" t="n"/>
      <c r="C2568" s="75" t="n"/>
      <c r="D2568" s="75" t="n"/>
      <c r="E2568" s="76" t="n"/>
      <c r="F2568" s="77" t="n"/>
      <c r="G2568" s="75" t="n"/>
      <c r="H2568" s="75">
        <f>IF(ISBLANK(E2568),"",IF(OR(D2568="Butterfly",D2568="Butterfly ",D2568="Iron Fly", D2568="Iron Fly "),LEN(E2568)-LEN(SUBSTITUTE(E2568,"/",""))+2,LEN(E2568)-LEN(SUBSTITUTE(E2568,"/",""))+1))</f>
        <v/>
      </c>
      <c r="I2568" s="78">
        <f>IF(ISBLANK(G2568),"",IF(D2568="Stock","0",Key!$A$3*H2568*G2568))</f>
        <v/>
      </c>
      <c r="J2568" s="78">
        <f>IF(ISBLANK(E2568),"",IF(ISNUMBER(SEARCH("/",E2568)), IF(LEN(E2568)-LEN(SUBSTITUTE(E2568,"/",""))=1,(RIGHT(E2568,LEN(E2568)-FIND("/",E2568)))-(LEFT(E2568,FIND("/",E2568)-1)),(MID(E2568, SEARCH("/",E2568) + 1, SEARCH("/",E2568, SEARCH("/",E2568)+1) - SEARCH("/",E2568) - 1))-(LEFT(E2568,FIND("/",E2568)-1))), "NA"))</f>
        <v/>
      </c>
      <c r="K2568" s="79">
        <f>IF(A2568&lt;&gt;"", IF(ISBLANK(L2568), TODAY(), K2568), "")</f>
        <v/>
      </c>
      <c r="L2568" s="78" t="n"/>
      <c r="M2568" s="78">
        <f>IF(ISBLANK(L2568),"",IF(D2568="Stock",IF(C2568="Buy",L2568*G2568,IF(C2568="Sell",(L2568*G2568)-I2568, X)),IF(C2568="Buy",(L2568*G2568*100)+I2568,IF(C2568="Sell",(L2568*G2568*100)-I2568, X))))</f>
        <v/>
      </c>
      <c r="N2568" s="78">
        <f>IF(ISBLANK(L2568),"",IF(AND(C2568="Sell",D2568="Stock"),M2568,IF(ISBLANK(L2568),"",IF(C2568="Buy",M2568, IF(AND(C2568="Sell",J2568="NA"),(E2568*G2568*100*0.1)+I2568, IF(C2568="Sell",(J2568-L2568)*(100*G2568)+I2568))))))</f>
        <v/>
      </c>
      <c r="O2568" s="75" t="n"/>
      <c r="P2568" s="75" t="n"/>
      <c r="Q2568" s="75">
        <f>IF(ISBLANK(P2568),"",IF(D2568="Stock",P2568*G2568,IF(P2568=0,"0",G2568*P2568*100-(G2568*$AF$14))))</f>
        <v/>
      </c>
      <c r="R2568" s="79">
        <f>IF(P2568&lt;&gt;"", TODAY(), "")</f>
        <v/>
      </c>
      <c r="S2568" s="78">
        <f>IF(AND(K2568&lt;&gt;"", R2568&lt;&gt;""), R2568-K2568, "")</f>
        <v/>
      </c>
      <c r="T2568" s="78" t="n"/>
      <c r="U2568" s="92">
        <f>IF(ISBLANK(P2568),"",IF(C2568="Buy",Q2568-M2568+T2568, IF(C2568="Sell",M2568-Q2568-T2568, X)))</f>
        <v/>
      </c>
      <c r="V2568" s="81">
        <f>IF(ISBLANK(P2568),"",U2568/N2568)</f>
        <v/>
      </c>
      <c r="W2568" s="81">
        <f>IF(ISBLANK(P2568),"",IF(S2568=0,(365/0.5)*V2568,(365/S2568)*V2568))</f>
        <v/>
      </c>
      <c r="X2568" s="75" t="n"/>
      <c r="Y2568" s="77" t="n"/>
      <c r="Z2568" s="77" t="n"/>
      <c r="AA2568" s="75" t="n"/>
      <c r="AB2568" s="75" t="n"/>
      <c r="AC2568" s="6" t="n"/>
      <c r="AD2568" s="75" t="n"/>
      <c r="AE2568" s="75" t="n"/>
      <c r="AF2568" s="75" t="n"/>
    </row>
    <row r="2569" ht="15.75" customHeight="1" s="133">
      <c r="A2569" s="75" t="n"/>
      <c r="B2569" s="75" t="n"/>
      <c r="C2569" s="75" t="n"/>
      <c r="D2569" s="75" t="n"/>
      <c r="E2569" s="76" t="n"/>
      <c r="F2569" s="77" t="n"/>
      <c r="G2569" s="75" t="n"/>
      <c r="H2569" s="75">
        <f>IF(ISBLANK(E2569),"",IF(OR(D2569="Butterfly",D2569="Butterfly ",D2569="Iron Fly", D2569="Iron Fly "),LEN(E2569)-LEN(SUBSTITUTE(E2569,"/",""))+2,LEN(E2569)-LEN(SUBSTITUTE(E2569,"/",""))+1))</f>
        <v/>
      </c>
      <c r="I2569" s="78">
        <f>IF(ISBLANK(G2569),"",IF(D2569="Stock","0",Key!$A$3*H2569*G2569))</f>
        <v/>
      </c>
      <c r="J2569" s="78">
        <f>IF(ISBLANK(E2569),"",IF(ISNUMBER(SEARCH("/",E2569)), IF(LEN(E2569)-LEN(SUBSTITUTE(E2569,"/",""))=1,(RIGHT(E2569,LEN(E2569)-FIND("/",E2569)))-(LEFT(E2569,FIND("/",E2569)-1)),(MID(E2569, SEARCH("/",E2569) + 1, SEARCH("/",E2569, SEARCH("/",E2569)+1) - SEARCH("/",E2569) - 1))-(LEFT(E2569,FIND("/",E2569)-1))), "NA"))</f>
        <v/>
      </c>
      <c r="K2569" s="79">
        <f>IF(A2569&lt;&gt;"", IF(ISBLANK(L2569), TODAY(), K2569), "")</f>
        <v/>
      </c>
      <c r="L2569" s="78" t="n"/>
      <c r="M2569" s="78">
        <f>IF(ISBLANK(L2569),"",IF(D2569="Stock",IF(C2569="Buy",L2569*G2569,IF(C2569="Sell",(L2569*G2569)-I2569, X)),IF(C2569="Buy",(L2569*G2569*100)+I2569,IF(C2569="Sell",(L2569*G2569*100)-I2569, X))))</f>
        <v/>
      </c>
      <c r="N2569" s="78">
        <f>IF(ISBLANK(L2569),"",IF(AND(C2569="Sell",D2569="Stock"),M2569,IF(ISBLANK(L2569),"",IF(C2569="Buy",M2569, IF(AND(C2569="Sell",J2569="NA"),(E2569*G2569*100*0.1)+I2569, IF(C2569="Sell",(J2569-L2569)*(100*G2569)+I2569))))))</f>
        <v/>
      </c>
      <c r="O2569" s="75" t="n"/>
      <c r="P2569" s="75" t="n"/>
      <c r="Q2569" s="75">
        <f>IF(ISBLANK(P2569),"",IF(D2569="Stock",P2569*G2569,IF(P2569=0,"0",G2569*P2569*100-(G2569*$AF$14))))</f>
        <v/>
      </c>
      <c r="R2569" s="79">
        <f>IF(P2569&lt;&gt;"", TODAY(), "")</f>
        <v/>
      </c>
      <c r="S2569" s="78">
        <f>IF(AND(K2569&lt;&gt;"", R2569&lt;&gt;""), R2569-K2569, "")</f>
        <v/>
      </c>
      <c r="T2569" s="78" t="n"/>
      <c r="U2569" s="92">
        <f>IF(ISBLANK(P2569),"",IF(C2569="Buy",Q2569-M2569+T2569, IF(C2569="Sell",M2569-Q2569-T2569, X)))</f>
        <v/>
      </c>
      <c r="V2569" s="81">
        <f>IF(ISBLANK(P2569),"",U2569/N2569)</f>
        <v/>
      </c>
      <c r="W2569" s="81">
        <f>IF(ISBLANK(P2569),"",IF(S2569=0,(365/0.5)*V2569,(365/S2569)*V2569))</f>
        <v/>
      </c>
      <c r="X2569" s="75" t="n"/>
      <c r="Y2569" s="77" t="n"/>
      <c r="Z2569" s="77" t="n"/>
      <c r="AA2569" s="75" t="n"/>
      <c r="AB2569" s="75" t="n"/>
      <c r="AC2569" s="6" t="n"/>
      <c r="AD2569" s="75" t="n"/>
      <c r="AE2569" s="75" t="n"/>
      <c r="AF2569" s="75" t="n"/>
    </row>
    <row r="2570" ht="15.75" customHeight="1" s="133">
      <c r="A2570" s="75" t="n"/>
      <c r="B2570" s="75" t="n"/>
      <c r="C2570" s="75" t="n"/>
      <c r="D2570" s="75" t="n"/>
      <c r="E2570" s="76" t="n"/>
      <c r="F2570" s="77" t="n"/>
      <c r="G2570" s="75" t="n"/>
      <c r="H2570" s="75">
        <f>IF(ISBLANK(E2570),"",IF(OR(D2570="Butterfly",D2570="Butterfly ",D2570="Iron Fly", D2570="Iron Fly "),LEN(E2570)-LEN(SUBSTITUTE(E2570,"/",""))+2,LEN(E2570)-LEN(SUBSTITUTE(E2570,"/",""))+1))</f>
        <v/>
      </c>
      <c r="I2570" s="78">
        <f>IF(ISBLANK(G2570),"",IF(D2570="Stock","0",Key!$A$3*H2570*G2570))</f>
        <v/>
      </c>
      <c r="J2570" s="78">
        <f>IF(ISBLANK(E2570),"",IF(ISNUMBER(SEARCH("/",E2570)), IF(LEN(E2570)-LEN(SUBSTITUTE(E2570,"/",""))=1,(RIGHT(E2570,LEN(E2570)-FIND("/",E2570)))-(LEFT(E2570,FIND("/",E2570)-1)),(MID(E2570, SEARCH("/",E2570) + 1, SEARCH("/",E2570, SEARCH("/",E2570)+1) - SEARCH("/",E2570) - 1))-(LEFT(E2570,FIND("/",E2570)-1))), "NA"))</f>
        <v/>
      </c>
      <c r="K2570" s="79">
        <f>IF(A2570&lt;&gt;"", IF(ISBLANK(L2570), TODAY(), K2570), "")</f>
        <v/>
      </c>
      <c r="L2570" s="78" t="n"/>
      <c r="M2570" s="78">
        <f>IF(ISBLANK(L2570),"",IF(D2570="Stock",IF(C2570="Buy",L2570*G2570,IF(C2570="Sell",(L2570*G2570)-I2570, X)),IF(C2570="Buy",(L2570*G2570*100)+I2570,IF(C2570="Sell",(L2570*G2570*100)-I2570, X))))</f>
        <v/>
      </c>
      <c r="N2570" s="78">
        <f>IF(ISBLANK(L2570),"",IF(AND(C2570="Sell",D2570="Stock"),M2570,IF(ISBLANK(L2570),"",IF(C2570="Buy",M2570, IF(AND(C2570="Sell",J2570="NA"),(E2570*G2570*100*0.1)+I2570, IF(C2570="Sell",(J2570-L2570)*(100*G2570)+I2570))))))</f>
        <v/>
      </c>
      <c r="O2570" s="75" t="n"/>
      <c r="P2570" s="75" t="n"/>
      <c r="Q2570" s="75">
        <f>IF(ISBLANK(P2570),"",IF(D2570="Stock",P2570*G2570,IF(P2570=0,"0",G2570*P2570*100-(G2570*$AF$14))))</f>
        <v/>
      </c>
      <c r="R2570" s="79">
        <f>IF(P2570&lt;&gt;"", TODAY(), "")</f>
        <v/>
      </c>
      <c r="S2570" s="78">
        <f>IF(AND(K2570&lt;&gt;"", R2570&lt;&gt;""), R2570-K2570, "")</f>
        <v/>
      </c>
      <c r="T2570" s="78" t="n"/>
      <c r="U2570" s="92">
        <f>IF(ISBLANK(P2570),"",IF(C2570="Buy",Q2570-M2570+T2570, IF(C2570="Sell",M2570-Q2570-T2570, X)))</f>
        <v/>
      </c>
      <c r="V2570" s="81">
        <f>IF(ISBLANK(P2570),"",U2570/N2570)</f>
        <v/>
      </c>
      <c r="W2570" s="81">
        <f>IF(ISBLANK(P2570),"",IF(S2570=0,(365/0.5)*V2570,(365/S2570)*V2570))</f>
        <v/>
      </c>
      <c r="X2570" s="75" t="n"/>
      <c r="Y2570" s="77" t="n"/>
      <c r="Z2570" s="77" t="n"/>
      <c r="AA2570" s="75" t="n"/>
      <c r="AB2570" s="75" t="n"/>
      <c r="AC2570" s="6" t="n"/>
      <c r="AD2570" s="75" t="n"/>
      <c r="AE2570" s="75" t="n"/>
      <c r="AF2570" s="75" t="n"/>
    </row>
    <row r="2571" ht="15.75" customHeight="1" s="133">
      <c r="A2571" s="75" t="n"/>
      <c r="B2571" s="75" t="n"/>
      <c r="C2571" s="75" t="n"/>
      <c r="D2571" s="75" t="n"/>
      <c r="E2571" s="76" t="n"/>
      <c r="F2571" s="77" t="n"/>
      <c r="G2571" s="75" t="n"/>
      <c r="H2571" s="75">
        <f>IF(ISBLANK(E2571),"",IF(OR(D2571="Butterfly",D2571="Butterfly ",D2571="Iron Fly", D2571="Iron Fly "),LEN(E2571)-LEN(SUBSTITUTE(E2571,"/",""))+2,LEN(E2571)-LEN(SUBSTITUTE(E2571,"/",""))+1))</f>
        <v/>
      </c>
      <c r="I2571" s="78">
        <f>IF(ISBLANK(G2571),"",IF(D2571="Stock","0",Key!$A$3*H2571*G2571))</f>
        <v/>
      </c>
      <c r="J2571" s="78">
        <f>IF(ISBLANK(E2571),"",IF(ISNUMBER(SEARCH("/",E2571)), IF(LEN(E2571)-LEN(SUBSTITUTE(E2571,"/",""))=1,(RIGHT(E2571,LEN(E2571)-FIND("/",E2571)))-(LEFT(E2571,FIND("/",E2571)-1)),(MID(E2571, SEARCH("/",E2571) + 1, SEARCH("/",E2571, SEARCH("/",E2571)+1) - SEARCH("/",E2571) - 1))-(LEFT(E2571,FIND("/",E2571)-1))), "NA"))</f>
        <v/>
      </c>
      <c r="K2571" s="79">
        <f>IF(A2571&lt;&gt;"", IF(ISBLANK(L2571), TODAY(), K2571), "")</f>
        <v/>
      </c>
      <c r="L2571" s="78" t="n"/>
      <c r="M2571" s="78">
        <f>IF(ISBLANK(L2571),"",IF(D2571="Stock",IF(C2571="Buy",L2571*G2571,IF(C2571="Sell",(L2571*G2571)-I2571, X)),IF(C2571="Buy",(L2571*G2571*100)+I2571,IF(C2571="Sell",(L2571*G2571*100)-I2571, X))))</f>
        <v/>
      </c>
      <c r="N2571" s="78">
        <f>IF(ISBLANK(L2571),"",IF(AND(C2571="Sell",D2571="Stock"),M2571,IF(ISBLANK(L2571),"",IF(C2571="Buy",M2571, IF(AND(C2571="Sell",J2571="NA"),(E2571*G2571*100*0.1)+I2571, IF(C2571="Sell",(J2571-L2571)*(100*G2571)+I2571))))))</f>
        <v/>
      </c>
      <c r="O2571" s="75" t="n"/>
      <c r="P2571" s="75" t="n"/>
      <c r="Q2571" s="75">
        <f>IF(ISBLANK(P2571),"",IF(D2571="Stock",P2571*G2571,IF(P2571=0,"0",G2571*P2571*100-(G2571*$AF$14))))</f>
        <v/>
      </c>
      <c r="R2571" s="79">
        <f>IF(P2571&lt;&gt;"", TODAY(), "")</f>
        <v/>
      </c>
      <c r="S2571" s="78">
        <f>IF(AND(K2571&lt;&gt;"", R2571&lt;&gt;""), R2571-K2571, "")</f>
        <v/>
      </c>
      <c r="T2571" s="78" t="n"/>
      <c r="U2571" s="92">
        <f>IF(ISBLANK(P2571),"",IF(C2571="Buy",Q2571-M2571+T2571, IF(C2571="Sell",M2571-Q2571-T2571, X)))</f>
        <v/>
      </c>
      <c r="V2571" s="81">
        <f>IF(ISBLANK(P2571),"",U2571/N2571)</f>
        <v/>
      </c>
      <c r="W2571" s="81">
        <f>IF(ISBLANK(P2571),"",IF(S2571=0,(365/0.5)*V2571,(365/S2571)*V2571))</f>
        <v/>
      </c>
      <c r="X2571" s="75" t="n"/>
      <c r="Y2571" s="77" t="n"/>
      <c r="Z2571" s="77" t="n"/>
      <c r="AA2571" s="75" t="n"/>
      <c r="AB2571" s="75" t="n"/>
      <c r="AC2571" s="6" t="n"/>
      <c r="AD2571" s="75" t="n"/>
      <c r="AE2571" s="75" t="n"/>
      <c r="AF2571" s="75" t="n"/>
    </row>
    <row r="2572" ht="15.75" customHeight="1" s="133">
      <c r="A2572" s="75" t="n"/>
      <c r="B2572" s="75" t="n"/>
      <c r="C2572" s="75" t="n"/>
      <c r="D2572" s="75" t="n"/>
      <c r="E2572" s="76" t="n"/>
      <c r="F2572" s="77" t="n"/>
      <c r="G2572" s="75" t="n"/>
      <c r="H2572" s="75">
        <f>IF(ISBLANK(E2572),"",IF(OR(D2572="Butterfly",D2572="Butterfly ",D2572="Iron Fly", D2572="Iron Fly "),LEN(E2572)-LEN(SUBSTITUTE(E2572,"/",""))+2,LEN(E2572)-LEN(SUBSTITUTE(E2572,"/",""))+1))</f>
        <v/>
      </c>
      <c r="I2572" s="78">
        <f>IF(ISBLANK(G2572),"",IF(D2572="Stock","0",Key!$A$3*H2572*G2572))</f>
        <v/>
      </c>
      <c r="J2572" s="78">
        <f>IF(ISBLANK(E2572),"",IF(ISNUMBER(SEARCH("/",E2572)), IF(LEN(E2572)-LEN(SUBSTITUTE(E2572,"/",""))=1,(RIGHT(E2572,LEN(E2572)-FIND("/",E2572)))-(LEFT(E2572,FIND("/",E2572)-1)),(MID(E2572, SEARCH("/",E2572) + 1, SEARCH("/",E2572, SEARCH("/",E2572)+1) - SEARCH("/",E2572) - 1))-(LEFT(E2572,FIND("/",E2572)-1))), "NA"))</f>
        <v/>
      </c>
      <c r="K2572" s="79">
        <f>IF(A2572&lt;&gt;"", IF(ISBLANK(L2572), TODAY(), K2572), "")</f>
        <v/>
      </c>
      <c r="L2572" s="78" t="n"/>
      <c r="M2572" s="78">
        <f>IF(ISBLANK(L2572),"",IF(D2572="Stock",IF(C2572="Buy",L2572*G2572,IF(C2572="Sell",(L2572*G2572)-I2572, X)),IF(C2572="Buy",(L2572*G2572*100)+I2572,IF(C2572="Sell",(L2572*G2572*100)-I2572, X))))</f>
        <v/>
      </c>
      <c r="N2572" s="78">
        <f>IF(ISBLANK(L2572),"",IF(AND(C2572="Sell",D2572="Stock"),M2572,IF(ISBLANK(L2572),"",IF(C2572="Buy",M2572, IF(AND(C2572="Sell",J2572="NA"),(E2572*G2572*100*0.1)+I2572, IF(C2572="Sell",(J2572-L2572)*(100*G2572)+I2572))))))</f>
        <v/>
      </c>
      <c r="O2572" s="75" t="n"/>
      <c r="P2572" s="75" t="n"/>
      <c r="Q2572" s="75">
        <f>IF(ISBLANK(P2572),"",IF(D2572="Stock",P2572*G2572,IF(P2572=0,"0",G2572*P2572*100-(G2572*$AF$14))))</f>
        <v/>
      </c>
      <c r="R2572" s="79">
        <f>IF(P2572&lt;&gt;"", TODAY(), "")</f>
        <v/>
      </c>
      <c r="S2572" s="78">
        <f>IF(AND(K2572&lt;&gt;"", R2572&lt;&gt;""), R2572-K2572, "")</f>
        <v/>
      </c>
      <c r="T2572" s="78" t="n"/>
      <c r="U2572" s="92">
        <f>IF(ISBLANK(P2572),"",IF(C2572="Buy",Q2572-M2572+T2572, IF(C2572="Sell",M2572-Q2572-T2572, X)))</f>
        <v/>
      </c>
      <c r="V2572" s="81">
        <f>IF(ISBLANK(P2572),"",U2572/N2572)</f>
        <v/>
      </c>
      <c r="W2572" s="81">
        <f>IF(ISBLANK(P2572),"",IF(S2572=0,(365/0.5)*V2572,(365/S2572)*V2572))</f>
        <v/>
      </c>
      <c r="X2572" s="75" t="n"/>
      <c r="Y2572" s="77" t="n"/>
      <c r="Z2572" s="77" t="n"/>
      <c r="AA2572" s="75" t="n"/>
      <c r="AB2572" s="75" t="n"/>
      <c r="AC2572" s="6" t="n"/>
      <c r="AD2572" s="75" t="n"/>
      <c r="AE2572" s="75" t="n"/>
      <c r="AF2572" s="75" t="n"/>
    </row>
    <row r="2573" ht="15.75" customHeight="1" s="133">
      <c r="A2573" s="75" t="n"/>
      <c r="B2573" s="75" t="n"/>
      <c r="C2573" s="75" t="n"/>
      <c r="D2573" s="75" t="n"/>
      <c r="E2573" s="76" t="n"/>
      <c r="F2573" s="77" t="n"/>
      <c r="G2573" s="75" t="n"/>
      <c r="H2573" s="75">
        <f>IF(ISBLANK(E2573),"",IF(OR(D2573="Butterfly",D2573="Butterfly ",D2573="Iron Fly", D2573="Iron Fly "),LEN(E2573)-LEN(SUBSTITUTE(E2573,"/",""))+2,LEN(E2573)-LEN(SUBSTITUTE(E2573,"/",""))+1))</f>
        <v/>
      </c>
      <c r="I2573" s="78">
        <f>IF(ISBLANK(G2573),"",IF(D2573="Stock","0",Key!$A$3*H2573*G2573))</f>
        <v/>
      </c>
      <c r="J2573" s="78">
        <f>IF(ISBLANK(E2573),"",IF(ISNUMBER(SEARCH("/",E2573)), IF(LEN(E2573)-LEN(SUBSTITUTE(E2573,"/",""))=1,(RIGHT(E2573,LEN(E2573)-FIND("/",E2573)))-(LEFT(E2573,FIND("/",E2573)-1)),(MID(E2573, SEARCH("/",E2573) + 1, SEARCH("/",E2573, SEARCH("/",E2573)+1) - SEARCH("/",E2573) - 1))-(LEFT(E2573,FIND("/",E2573)-1))), "NA"))</f>
        <v/>
      </c>
      <c r="K2573" s="79">
        <f>IF(A2573&lt;&gt;"", IF(ISBLANK(L2573), TODAY(), K2573), "")</f>
        <v/>
      </c>
      <c r="L2573" s="78" t="n"/>
      <c r="M2573" s="78">
        <f>IF(ISBLANK(L2573),"",IF(D2573="Stock",IF(C2573="Buy",L2573*G2573,IF(C2573="Sell",(L2573*G2573)-I2573, X)),IF(C2573="Buy",(L2573*G2573*100)+I2573,IF(C2573="Sell",(L2573*G2573*100)-I2573, X))))</f>
        <v/>
      </c>
      <c r="N2573" s="78">
        <f>IF(ISBLANK(L2573),"",IF(AND(C2573="Sell",D2573="Stock"),M2573,IF(ISBLANK(L2573),"",IF(C2573="Buy",M2573, IF(AND(C2573="Sell",J2573="NA"),(E2573*G2573*100*0.1)+I2573, IF(C2573="Sell",(J2573-L2573)*(100*G2573)+I2573))))))</f>
        <v/>
      </c>
      <c r="O2573" s="75" t="n"/>
      <c r="P2573" s="75" t="n"/>
      <c r="Q2573" s="75">
        <f>IF(ISBLANK(P2573),"",IF(D2573="Stock",P2573*G2573,IF(P2573=0,"0",G2573*P2573*100-(G2573*$AF$14))))</f>
        <v/>
      </c>
      <c r="R2573" s="79">
        <f>IF(P2573&lt;&gt;"", TODAY(), "")</f>
        <v/>
      </c>
      <c r="S2573" s="78">
        <f>IF(AND(K2573&lt;&gt;"", R2573&lt;&gt;""), R2573-K2573, "")</f>
        <v/>
      </c>
      <c r="T2573" s="78" t="n"/>
      <c r="U2573" s="92">
        <f>IF(ISBLANK(P2573),"",IF(C2573="Buy",Q2573-M2573+T2573, IF(C2573="Sell",M2573-Q2573-T2573, X)))</f>
        <v/>
      </c>
      <c r="V2573" s="81">
        <f>IF(ISBLANK(P2573),"",U2573/N2573)</f>
        <v/>
      </c>
      <c r="W2573" s="81">
        <f>IF(ISBLANK(P2573),"",IF(S2573=0,(365/0.5)*V2573,(365/S2573)*V2573))</f>
        <v/>
      </c>
      <c r="X2573" s="75" t="n"/>
      <c r="Y2573" s="77" t="n"/>
      <c r="Z2573" s="77" t="n"/>
      <c r="AA2573" s="75" t="n"/>
      <c r="AB2573" s="75" t="n"/>
      <c r="AC2573" s="6" t="n"/>
      <c r="AD2573" s="75" t="n"/>
      <c r="AE2573" s="75" t="n"/>
      <c r="AF2573" s="75" t="n"/>
    </row>
    <row r="2574" ht="15.75" customHeight="1" s="133">
      <c r="A2574" s="75" t="n"/>
      <c r="B2574" s="75" t="n"/>
      <c r="C2574" s="75" t="n"/>
      <c r="D2574" s="75" t="n"/>
      <c r="E2574" s="76" t="n"/>
      <c r="F2574" s="77" t="n"/>
      <c r="G2574" s="75" t="n"/>
      <c r="H2574" s="75">
        <f>IF(ISBLANK(E2574),"",IF(OR(D2574="Butterfly",D2574="Butterfly ",D2574="Iron Fly", D2574="Iron Fly "),LEN(E2574)-LEN(SUBSTITUTE(E2574,"/",""))+2,LEN(E2574)-LEN(SUBSTITUTE(E2574,"/",""))+1))</f>
        <v/>
      </c>
      <c r="I2574" s="78">
        <f>IF(ISBLANK(G2574),"",IF(D2574="Stock","0",Key!$A$3*H2574*G2574))</f>
        <v/>
      </c>
      <c r="J2574" s="78">
        <f>IF(ISBLANK(E2574),"",IF(ISNUMBER(SEARCH("/",E2574)), IF(LEN(E2574)-LEN(SUBSTITUTE(E2574,"/",""))=1,(RIGHT(E2574,LEN(E2574)-FIND("/",E2574)))-(LEFT(E2574,FIND("/",E2574)-1)),(MID(E2574, SEARCH("/",E2574) + 1, SEARCH("/",E2574, SEARCH("/",E2574)+1) - SEARCH("/",E2574) - 1))-(LEFT(E2574,FIND("/",E2574)-1))), "NA"))</f>
        <v/>
      </c>
      <c r="K2574" s="79">
        <f>IF(A2574&lt;&gt;"", IF(ISBLANK(L2574), TODAY(), K2574), "")</f>
        <v/>
      </c>
      <c r="L2574" s="78" t="n"/>
      <c r="M2574" s="78">
        <f>IF(ISBLANK(L2574),"",IF(D2574="Stock",IF(C2574="Buy",L2574*G2574,IF(C2574="Sell",(L2574*G2574)-I2574, X)),IF(C2574="Buy",(L2574*G2574*100)+I2574,IF(C2574="Sell",(L2574*G2574*100)-I2574, X))))</f>
        <v/>
      </c>
      <c r="N2574" s="78">
        <f>IF(ISBLANK(L2574),"",IF(AND(C2574="Sell",D2574="Stock"),M2574,IF(ISBLANK(L2574),"",IF(C2574="Buy",M2574, IF(AND(C2574="Sell",J2574="NA"),(E2574*G2574*100*0.1)+I2574, IF(C2574="Sell",(J2574-L2574)*(100*G2574)+I2574))))))</f>
        <v/>
      </c>
      <c r="O2574" s="75" t="n"/>
      <c r="P2574" s="75" t="n"/>
      <c r="Q2574" s="75">
        <f>IF(ISBLANK(P2574),"",IF(D2574="Stock",P2574*G2574,IF(P2574=0,"0",G2574*P2574*100-(G2574*$AF$14))))</f>
        <v/>
      </c>
      <c r="R2574" s="79">
        <f>IF(P2574&lt;&gt;"", TODAY(), "")</f>
        <v/>
      </c>
      <c r="S2574" s="78">
        <f>IF(AND(K2574&lt;&gt;"", R2574&lt;&gt;""), R2574-K2574, "")</f>
        <v/>
      </c>
      <c r="T2574" s="78" t="n"/>
      <c r="U2574" s="92">
        <f>IF(ISBLANK(P2574),"",IF(C2574="Buy",Q2574-M2574+T2574, IF(C2574="Sell",M2574-Q2574-T2574, X)))</f>
        <v/>
      </c>
      <c r="V2574" s="81">
        <f>IF(ISBLANK(P2574),"",U2574/N2574)</f>
        <v/>
      </c>
      <c r="W2574" s="81">
        <f>IF(ISBLANK(P2574),"",IF(S2574=0,(365/0.5)*V2574,(365/S2574)*V2574))</f>
        <v/>
      </c>
      <c r="X2574" s="75" t="n"/>
      <c r="Y2574" s="77" t="n"/>
      <c r="Z2574" s="77" t="n"/>
      <c r="AA2574" s="75" t="n"/>
      <c r="AB2574" s="75" t="n"/>
      <c r="AC2574" s="6" t="n"/>
      <c r="AD2574" s="75" t="n"/>
      <c r="AE2574" s="75" t="n"/>
      <c r="AF2574" s="75" t="n"/>
    </row>
    <row r="2575" ht="15.75" customHeight="1" s="133">
      <c r="A2575" s="75" t="n"/>
      <c r="B2575" s="75" t="n"/>
      <c r="C2575" s="75" t="n"/>
      <c r="D2575" s="75" t="n"/>
      <c r="E2575" s="76" t="n"/>
      <c r="F2575" s="77" t="n"/>
      <c r="G2575" s="75" t="n"/>
      <c r="H2575" s="75">
        <f>IF(ISBLANK(E2575),"",IF(OR(D2575="Butterfly",D2575="Butterfly ",D2575="Iron Fly", D2575="Iron Fly "),LEN(E2575)-LEN(SUBSTITUTE(E2575,"/",""))+2,LEN(E2575)-LEN(SUBSTITUTE(E2575,"/",""))+1))</f>
        <v/>
      </c>
      <c r="I2575" s="78">
        <f>IF(ISBLANK(G2575),"",IF(D2575="Stock","0",Key!$A$3*H2575*G2575))</f>
        <v/>
      </c>
      <c r="J2575" s="78">
        <f>IF(ISBLANK(E2575),"",IF(ISNUMBER(SEARCH("/",E2575)), IF(LEN(E2575)-LEN(SUBSTITUTE(E2575,"/",""))=1,(RIGHT(E2575,LEN(E2575)-FIND("/",E2575)))-(LEFT(E2575,FIND("/",E2575)-1)),(MID(E2575, SEARCH("/",E2575) + 1, SEARCH("/",E2575, SEARCH("/",E2575)+1) - SEARCH("/",E2575) - 1))-(LEFT(E2575,FIND("/",E2575)-1))), "NA"))</f>
        <v/>
      </c>
      <c r="K2575" s="79">
        <f>IF(A2575&lt;&gt;"", IF(ISBLANK(L2575), TODAY(), K2575), "")</f>
        <v/>
      </c>
      <c r="L2575" s="78" t="n"/>
      <c r="M2575" s="78">
        <f>IF(ISBLANK(L2575),"",IF(D2575="Stock",IF(C2575="Buy",L2575*G2575,IF(C2575="Sell",(L2575*G2575)-I2575, X)),IF(C2575="Buy",(L2575*G2575*100)+I2575,IF(C2575="Sell",(L2575*G2575*100)-I2575, X))))</f>
        <v/>
      </c>
      <c r="N2575" s="78">
        <f>IF(ISBLANK(L2575),"",IF(AND(C2575="Sell",D2575="Stock"),M2575,IF(ISBLANK(L2575),"",IF(C2575="Buy",M2575, IF(AND(C2575="Sell",J2575="NA"),(E2575*G2575*100*0.1)+I2575, IF(C2575="Sell",(J2575-L2575)*(100*G2575)+I2575))))))</f>
        <v/>
      </c>
      <c r="O2575" s="75" t="n"/>
      <c r="P2575" s="75" t="n"/>
      <c r="Q2575" s="75">
        <f>IF(ISBLANK(P2575),"",IF(D2575="Stock",P2575*G2575,IF(P2575=0,"0",G2575*P2575*100-(G2575*$AF$14))))</f>
        <v/>
      </c>
      <c r="R2575" s="79">
        <f>IF(P2575&lt;&gt;"", TODAY(), "")</f>
        <v/>
      </c>
      <c r="S2575" s="78">
        <f>IF(AND(K2575&lt;&gt;"", R2575&lt;&gt;""), R2575-K2575, "")</f>
        <v/>
      </c>
      <c r="T2575" s="78" t="n"/>
      <c r="U2575" s="92">
        <f>IF(ISBLANK(P2575),"",IF(C2575="Buy",Q2575-M2575+T2575, IF(C2575="Sell",M2575-Q2575-T2575, X)))</f>
        <v/>
      </c>
      <c r="V2575" s="81">
        <f>IF(ISBLANK(P2575),"",U2575/N2575)</f>
        <v/>
      </c>
      <c r="W2575" s="81">
        <f>IF(ISBLANK(P2575),"",IF(S2575=0,(365/0.5)*V2575,(365/S2575)*V2575))</f>
        <v/>
      </c>
      <c r="X2575" s="75" t="n"/>
      <c r="Y2575" s="77" t="n"/>
      <c r="Z2575" s="77" t="n"/>
      <c r="AA2575" s="75" t="n"/>
      <c r="AB2575" s="75" t="n"/>
      <c r="AC2575" s="6" t="n"/>
      <c r="AD2575" s="75" t="n"/>
      <c r="AE2575" s="75" t="n"/>
      <c r="AF2575" s="75" t="n"/>
    </row>
    <row r="2576" ht="15.75" customHeight="1" s="133">
      <c r="A2576" s="75" t="n"/>
      <c r="B2576" s="75" t="n"/>
      <c r="C2576" s="75" t="n"/>
      <c r="D2576" s="75" t="n"/>
      <c r="E2576" s="76" t="n"/>
      <c r="F2576" s="77" t="n"/>
      <c r="G2576" s="75" t="n"/>
      <c r="H2576" s="75">
        <f>IF(ISBLANK(E2576),"",IF(OR(D2576="Butterfly",D2576="Butterfly ",D2576="Iron Fly", D2576="Iron Fly "),LEN(E2576)-LEN(SUBSTITUTE(E2576,"/",""))+2,LEN(E2576)-LEN(SUBSTITUTE(E2576,"/",""))+1))</f>
        <v/>
      </c>
      <c r="I2576" s="78">
        <f>IF(ISBLANK(G2576),"",IF(D2576="Stock","0",Key!$A$3*H2576*G2576))</f>
        <v/>
      </c>
      <c r="J2576" s="78">
        <f>IF(ISBLANK(E2576),"",IF(ISNUMBER(SEARCH("/",E2576)), IF(LEN(E2576)-LEN(SUBSTITUTE(E2576,"/",""))=1,(RIGHT(E2576,LEN(E2576)-FIND("/",E2576)))-(LEFT(E2576,FIND("/",E2576)-1)),(MID(E2576, SEARCH("/",E2576) + 1, SEARCH("/",E2576, SEARCH("/",E2576)+1) - SEARCH("/",E2576) - 1))-(LEFT(E2576,FIND("/",E2576)-1))), "NA"))</f>
        <v/>
      </c>
      <c r="K2576" s="79">
        <f>IF(A2576&lt;&gt;"", IF(ISBLANK(L2576), TODAY(), K2576), "")</f>
        <v/>
      </c>
      <c r="L2576" s="78" t="n"/>
      <c r="M2576" s="78">
        <f>IF(ISBLANK(L2576),"",IF(D2576="Stock",IF(C2576="Buy",L2576*G2576,IF(C2576="Sell",(L2576*G2576)-I2576, X)),IF(C2576="Buy",(L2576*G2576*100)+I2576,IF(C2576="Sell",(L2576*G2576*100)-I2576, X))))</f>
        <v/>
      </c>
      <c r="N2576" s="78">
        <f>IF(ISBLANK(L2576),"",IF(AND(C2576="Sell",D2576="Stock"),M2576,IF(ISBLANK(L2576),"",IF(C2576="Buy",M2576, IF(AND(C2576="Sell",J2576="NA"),(E2576*G2576*100*0.1)+I2576, IF(C2576="Sell",(J2576-L2576)*(100*G2576)+I2576))))))</f>
        <v/>
      </c>
      <c r="O2576" s="75" t="n"/>
      <c r="P2576" s="75" t="n"/>
      <c r="Q2576" s="75">
        <f>IF(ISBLANK(P2576),"",IF(D2576="Stock",P2576*G2576,IF(P2576=0,"0",G2576*P2576*100-(G2576*$AF$14))))</f>
        <v/>
      </c>
      <c r="R2576" s="79">
        <f>IF(P2576&lt;&gt;"", TODAY(), "")</f>
        <v/>
      </c>
      <c r="S2576" s="78">
        <f>IF(AND(K2576&lt;&gt;"", R2576&lt;&gt;""), R2576-K2576, "")</f>
        <v/>
      </c>
      <c r="T2576" s="78" t="n"/>
      <c r="U2576" s="92">
        <f>IF(ISBLANK(P2576),"",IF(C2576="Buy",Q2576-M2576+T2576, IF(C2576="Sell",M2576-Q2576-T2576, X)))</f>
        <v/>
      </c>
      <c r="V2576" s="81">
        <f>IF(ISBLANK(P2576),"",U2576/N2576)</f>
        <v/>
      </c>
      <c r="W2576" s="81">
        <f>IF(ISBLANK(P2576),"",IF(S2576=0,(365/0.5)*V2576,(365/S2576)*V2576))</f>
        <v/>
      </c>
      <c r="X2576" s="75" t="n"/>
      <c r="Y2576" s="77" t="n"/>
      <c r="Z2576" s="77" t="n"/>
      <c r="AA2576" s="75" t="n"/>
      <c r="AB2576" s="75" t="n"/>
      <c r="AC2576" s="6" t="n"/>
      <c r="AD2576" s="75" t="n"/>
      <c r="AE2576" s="75" t="n"/>
      <c r="AF2576" s="75" t="n"/>
    </row>
    <row r="2577" ht="15.75" customHeight="1" s="133">
      <c r="A2577" s="75" t="n"/>
      <c r="B2577" s="75" t="n"/>
      <c r="C2577" s="75" t="n"/>
      <c r="D2577" s="75" t="n"/>
      <c r="E2577" s="76" t="n"/>
      <c r="F2577" s="77" t="n"/>
      <c r="G2577" s="75" t="n"/>
      <c r="H2577" s="75">
        <f>IF(ISBLANK(E2577),"",IF(OR(D2577="Butterfly",D2577="Butterfly ",D2577="Iron Fly", D2577="Iron Fly "),LEN(E2577)-LEN(SUBSTITUTE(E2577,"/",""))+2,LEN(E2577)-LEN(SUBSTITUTE(E2577,"/",""))+1))</f>
        <v/>
      </c>
      <c r="I2577" s="78">
        <f>IF(ISBLANK(G2577),"",IF(D2577="Stock","0",Key!$A$3*H2577*G2577))</f>
        <v/>
      </c>
      <c r="J2577" s="78">
        <f>IF(ISBLANK(E2577),"",IF(ISNUMBER(SEARCH("/",E2577)), IF(LEN(E2577)-LEN(SUBSTITUTE(E2577,"/",""))=1,(RIGHT(E2577,LEN(E2577)-FIND("/",E2577)))-(LEFT(E2577,FIND("/",E2577)-1)),(MID(E2577, SEARCH("/",E2577) + 1, SEARCH("/",E2577, SEARCH("/",E2577)+1) - SEARCH("/",E2577) - 1))-(LEFT(E2577,FIND("/",E2577)-1))), "NA"))</f>
        <v/>
      </c>
      <c r="K2577" s="79">
        <f>IF(A2577&lt;&gt;"", IF(ISBLANK(L2577), TODAY(), K2577), "")</f>
        <v/>
      </c>
      <c r="L2577" s="78" t="n"/>
      <c r="M2577" s="78">
        <f>IF(ISBLANK(L2577),"",IF(D2577="Stock",IF(C2577="Buy",L2577*G2577,IF(C2577="Sell",(L2577*G2577)-I2577, X)),IF(C2577="Buy",(L2577*G2577*100)+I2577,IF(C2577="Sell",(L2577*G2577*100)-I2577, X))))</f>
        <v/>
      </c>
      <c r="N2577" s="78">
        <f>IF(ISBLANK(L2577),"",IF(AND(C2577="Sell",D2577="Stock"),M2577,IF(ISBLANK(L2577),"",IF(C2577="Buy",M2577, IF(AND(C2577="Sell",J2577="NA"),(E2577*G2577*100*0.1)+I2577, IF(C2577="Sell",(J2577-L2577)*(100*G2577)+I2577))))))</f>
        <v/>
      </c>
      <c r="O2577" s="75" t="n"/>
      <c r="P2577" s="75" t="n"/>
      <c r="Q2577" s="75">
        <f>IF(ISBLANK(P2577),"",IF(D2577="Stock",P2577*G2577,IF(P2577=0,"0",G2577*P2577*100-(G2577*$AF$14))))</f>
        <v/>
      </c>
      <c r="R2577" s="79">
        <f>IF(P2577&lt;&gt;"", TODAY(), "")</f>
        <v/>
      </c>
      <c r="S2577" s="78">
        <f>IF(AND(K2577&lt;&gt;"", R2577&lt;&gt;""), R2577-K2577, "")</f>
        <v/>
      </c>
      <c r="T2577" s="78" t="n"/>
      <c r="U2577" s="92">
        <f>IF(ISBLANK(P2577),"",IF(C2577="Buy",Q2577-M2577+T2577, IF(C2577="Sell",M2577-Q2577-T2577, X)))</f>
        <v/>
      </c>
      <c r="V2577" s="81">
        <f>IF(ISBLANK(P2577),"",U2577/N2577)</f>
        <v/>
      </c>
      <c r="W2577" s="81">
        <f>IF(ISBLANK(P2577),"",IF(S2577=0,(365/0.5)*V2577,(365/S2577)*V2577))</f>
        <v/>
      </c>
      <c r="X2577" s="75" t="n"/>
      <c r="Y2577" s="77" t="n"/>
      <c r="Z2577" s="77" t="n"/>
      <c r="AA2577" s="75" t="n"/>
      <c r="AB2577" s="75" t="n"/>
      <c r="AC2577" s="6" t="n"/>
      <c r="AD2577" s="75" t="n"/>
      <c r="AE2577" s="75" t="n"/>
      <c r="AF2577" s="75" t="n"/>
    </row>
    <row r="2578" ht="15.75" customHeight="1" s="133">
      <c r="A2578" s="75" t="n"/>
      <c r="B2578" s="75" t="n"/>
      <c r="C2578" s="75" t="n"/>
      <c r="D2578" s="75" t="n"/>
      <c r="E2578" s="76" t="n"/>
      <c r="F2578" s="77" t="n"/>
      <c r="G2578" s="75" t="n"/>
      <c r="H2578" s="75">
        <f>IF(ISBLANK(E2578),"",IF(OR(D2578="Butterfly",D2578="Butterfly ",D2578="Iron Fly", D2578="Iron Fly "),LEN(E2578)-LEN(SUBSTITUTE(E2578,"/",""))+2,LEN(E2578)-LEN(SUBSTITUTE(E2578,"/",""))+1))</f>
        <v/>
      </c>
      <c r="I2578" s="78">
        <f>IF(ISBLANK(G2578),"",IF(D2578="Stock","0",Key!$A$3*H2578*G2578))</f>
        <v/>
      </c>
      <c r="J2578" s="78">
        <f>IF(ISBLANK(E2578),"",IF(ISNUMBER(SEARCH("/",E2578)), IF(LEN(E2578)-LEN(SUBSTITUTE(E2578,"/",""))=1,(RIGHT(E2578,LEN(E2578)-FIND("/",E2578)))-(LEFT(E2578,FIND("/",E2578)-1)),(MID(E2578, SEARCH("/",E2578) + 1, SEARCH("/",E2578, SEARCH("/",E2578)+1) - SEARCH("/",E2578) - 1))-(LEFT(E2578,FIND("/",E2578)-1))), "NA"))</f>
        <v/>
      </c>
      <c r="K2578" s="79">
        <f>IF(A2578&lt;&gt;"", IF(ISBLANK(L2578), TODAY(), K2578), "")</f>
        <v/>
      </c>
      <c r="L2578" s="78" t="n"/>
      <c r="M2578" s="78">
        <f>IF(ISBLANK(L2578),"",IF(D2578="Stock",IF(C2578="Buy",L2578*G2578,IF(C2578="Sell",(L2578*G2578)-I2578, X)),IF(C2578="Buy",(L2578*G2578*100)+I2578,IF(C2578="Sell",(L2578*G2578*100)-I2578, X))))</f>
        <v/>
      </c>
      <c r="N2578" s="78">
        <f>IF(ISBLANK(L2578),"",IF(AND(C2578="Sell",D2578="Stock"),M2578,IF(ISBLANK(L2578),"",IF(C2578="Buy",M2578, IF(AND(C2578="Sell",J2578="NA"),(E2578*G2578*100*0.1)+I2578, IF(C2578="Sell",(J2578-L2578)*(100*G2578)+I2578))))))</f>
        <v/>
      </c>
      <c r="O2578" s="75" t="n"/>
      <c r="P2578" s="75" t="n"/>
      <c r="Q2578" s="75">
        <f>IF(ISBLANK(P2578),"",IF(D2578="Stock",P2578*G2578,IF(P2578=0,"0",G2578*P2578*100-(G2578*$AF$14))))</f>
        <v/>
      </c>
      <c r="R2578" s="79">
        <f>IF(P2578&lt;&gt;"", TODAY(), "")</f>
        <v/>
      </c>
      <c r="S2578" s="78">
        <f>IF(AND(K2578&lt;&gt;"", R2578&lt;&gt;""), R2578-K2578, "")</f>
        <v/>
      </c>
      <c r="T2578" s="78" t="n"/>
      <c r="U2578" s="92">
        <f>IF(ISBLANK(P2578),"",IF(C2578="Buy",Q2578-M2578+T2578, IF(C2578="Sell",M2578-Q2578-T2578, X)))</f>
        <v/>
      </c>
      <c r="V2578" s="81">
        <f>IF(ISBLANK(P2578),"",U2578/N2578)</f>
        <v/>
      </c>
      <c r="W2578" s="81">
        <f>IF(ISBLANK(P2578),"",IF(S2578=0,(365/0.5)*V2578,(365/S2578)*V2578))</f>
        <v/>
      </c>
      <c r="X2578" s="75" t="n"/>
      <c r="Y2578" s="77" t="n"/>
      <c r="Z2578" s="77" t="n"/>
      <c r="AA2578" s="75" t="n"/>
      <c r="AB2578" s="75" t="n"/>
      <c r="AC2578" s="6" t="n"/>
      <c r="AD2578" s="75" t="n"/>
      <c r="AE2578" s="75" t="n"/>
      <c r="AF2578" s="75" t="n"/>
    </row>
    <row r="2579" ht="15.75" customHeight="1" s="133">
      <c r="A2579" s="75" t="n"/>
      <c r="B2579" s="75" t="n"/>
      <c r="C2579" s="75" t="n"/>
      <c r="D2579" s="75" t="n"/>
      <c r="E2579" s="76" t="n"/>
      <c r="F2579" s="77" t="n"/>
      <c r="G2579" s="75" t="n"/>
      <c r="H2579" s="75">
        <f>IF(ISBLANK(E2579),"",IF(OR(D2579="Butterfly",D2579="Butterfly ",D2579="Iron Fly", D2579="Iron Fly "),LEN(E2579)-LEN(SUBSTITUTE(E2579,"/",""))+2,LEN(E2579)-LEN(SUBSTITUTE(E2579,"/",""))+1))</f>
        <v/>
      </c>
      <c r="I2579" s="78">
        <f>IF(ISBLANK(G2579),"",IF(D2579="Stock","0",Key!$A$3*H2579*G2579))</f>
        <v/>
      </c>
      <c r="J2579" s="78">
        <f>IF(ISBLANK(E2579),"",IF(ISNUMBER(SEARCH("/",E2579)), IF(LEN(E2579)-LEN(SUBSTITUTE(E2579,"/",""))=1,(RIGHT(E2579,LEN(E2579)-FIND("/",E2579)))-(LEFT(E2579,FIND("/",E2579)-1)),(MID(E2579, SEARCH("/",E2579) + 1, SEARCH("/",E2579, SEARCH("/",E2579)+1) - SEARCH("/",E2579) - 1))-(LEFT(E2579,FIND("/",E2579)-1))), "NA"))</f>
        <v/>
      </c>
      <c r="K2579" s="79">
        <f>IF(A2579&lt;&gt;"", IF(ISBLANK(L2579), TODAY(), K2579), "")</f>
        <v/>
      </c>
      <c r="L2579" s="78" t="n"/>
      <c r="M2579" s="78">
        <f>IF(ISBLANK(L2579),"",IF(D2579="Stock",IF(C2579="Buy",L2579*G2579,IF(C2579="Sell",(L2579*G2579)-I2579, X)),IF(C2579="Buy",(L2579*G2579*100)+I2579,IF(C2579="Sell",(L2579*G2579*100)-I2579, X))))</f>
        <v/>
      </c>
      <c r="N2579" s="78">
        <f>IF(ISBLANK(L2579),"",IF(AND(C2579="Sell",D2579="Stock"),M2579,IF(ISBLANK(L2579),"",IF(C2579="Buy",M2579, IF(AND(C2579="Sell",J2579="NA"),(E2579*G2579*100*0.1)+I2579, IF(C2579="Sell",(J2579-L2579)*(100*G2579)+I2579))))))</f>
        <v/>
      </c>
      <c r="O2579" s="75" t="n"/>
      <c r="P2579" s="75" t="n"/>
      <c r="Q2579" s="75">
        <f>IF(ISBLANK(P2579),"",IF(D2579="Stock",P2579*G2579,IF(P2579=0,"0",G2579*P2579*100-(G2579*$AF$14))))</f>
        <v/>
      </c>
      <c r="R2579" s="79">
        <f>IF(P2579&lt;&gt;"", TODAY(), "")</f>
        <v/>
      </c>
      <c r="S2579" s="78">
        <f>IF(AND(K2579&lt;&gt;"", R2579&lt;&gt;""), R2579-K2579, "")</f>
        <v/>
      </c>
      <c r="T2579" s="78" t="n"/>
      <c r="U2579" s="92">
        <f>IF(ISBLANK(P2579),"",IF(C2579="Buy",Q2579-M2579+T2579, IF(C2579="Sell",M2579-Q2579-T2579, X)))</f>
        <v/>
      </c>
      <c r="V2579" s="81">
        <f>IF(ISBLANK(P2579),"",U2579/N2579)</f>
        <v/>
      </c>
      <c r="W2579" s="81">
        <f>IF(ISBLANK(P2579),"",IF(S2579=0,(365/0.5)*V2579,(365/S2579)*V2579))</f>
        <v/>
      </c>
      <c r="X2579" s="75" t="n"/>
      <c r="Y2579" s="77" t="n"/>
      <c r="Z2579" s="77" t="n"/>
      <c r="AA2579" s="75" t="n"/>
      <c r="AB2579" s="75" t="n"/>
      <c r="AC2579" s="6" t="n"/>
      <c r="AD2579" s="75" t="n"/>
      <c r="AE2579" s="75" t="n"/>
      <c r="AF2579" s="75" t="n"/>
    </row>
    <row r="2580" ht="15.75" customHeight="1" s="133">
      <c r="A2580" s="75" t="n"/>
      <c r="B2580" s="75" t="n"/>
      <c r="C2580" s="75" t="n"/>
      <c r="D2580" s="75" t="n"/>
      <c r="E2580" s="76" t="n"/>
      <c r="F2580" s="77" t="n"/>
      <c r="G2580" s="75" t="n"/>
      <c r="H2580" s="75">
        <f>IF(ISBLANK(E2580),"",IF(OR(D2580="Butterfly",D2580="Butterfly ",D2580="Iron Fly", D2580="Iron Fly "),LEN(E2580)-LEN(SUBSTITUTE(E2580,"/",""))+2,LEN(E2580)-LEN(SUBSTITUTE(E2580,"/",""))+1))</f>
        <v/>
      </c>
      <c r="I2580" s="78">
        <f>IF(ISBLANK(G2580),"",IF(D2580="Stock","0",Key!$A$3*H2580*G2580))</f>
        <v/>
      </c>
      <c r="J2580" s="78">
        <f>IF(ISBLANK(E2580),"",IF(ISNUMBER(SEARCH("/",E2580)), IF(LEN(E2580)-LEN(SUBSTITUTE(E2580,"/",""))=1,(RIGHT(E2580,LEN(E2580)-FIND("/",E2580)))-(LEFT(E2580,FIND("/",E2580)-1)),(MID(E2580, SEARCH("/",E2580) + 1, SEARCH("/",E2580, SEARCH("/",E2580)+1) - SEARCH("/",E2580) - 1))-(LEFT(E2580,FIND("/",E2580)-1))), "NA"))</f>
        <v/>
      </c>
      <c r="K2580" s="79">
        <f>IF(A2580&lt;&gt;"", IF(ISBLANK(L2580), TODAY(), K2580), "")</f>
        <v/>
      </c>
      <c r="L2580" s="78" t="n"/>
      <c r="M2580" s="78">
        <f>IF(ISBLANK(L2580),"",IF(D2580="Stock",IF(C2580="Buy",L2580*G2580,IF(C2580="Sell",(L2580*G2580)-I2580, X)),IF(C2580="Buy",(L2580*G2580*100)+I2580,IF(C2580="Sell",(L2580*G2580*100)-I2580, X))))</f>
        <v/>
      </c>
      <c r="N2580" s="78">
        <f>IF(ISBLANK(L2580),"",IF(AND(C2580="Sell",D2580="Stock"),M2580,IF(ISBLANK(L2580),"",IF(C2580="Buy",M2580, IF(AND(C2580="Sell",J2580="NA"),(E2580*G2580*100*0.1)+I2580, IF(C2580="Sell",(J2580-L2580)*(100*G2580)+I2580))))))</f>
        <v/>
      </c>
      <c r="O2580" s="75" t="n"/>
      <c r="P2580" s="75" t="n"/>
      <c r="Q2580" s="75">
        <f>IF(ISBLANK(P2580),"",IF(D2580="Stock",P2580*G2580,IF(P2580=0,"0",G2580*P2580*100-(G2580*$AF$14))))</f>
        <v/>
      </c>
      <c r="R2580" s="79">
        <f>IF(P2580&lt;&gt;"", TODAY(), "")</f>
        <v/>
      </c>
      <c r="S2580" s="78">
        <f>IF(AND(K2580&lt;&gt;"", R2580&lt;&gt;""), R2580-K2580, "")</f>
        <v/>
      </c>
      <c r="T2580" s="78" t="n"/>
      <c r="U2580" s="92">
        <f>IF(ISBLANK(P2580),"",IF(C2580="Buy",Q2580-M2580+T2580, IF(C2580="Sell",M2580-Q2580-T2580, X)))</f>
        <v/>
      </c>
      <c r="V2580" s="81">
        <f>IF(ISBLANK(P2580),"",U2580/N2580)</f>
        <v/>
      </c>
      <c r="W2580" s="81">
        <f>IF(ISBLANK(P2580),"",IF(S2580=0,(365/0.5)*V2580,(365/S2580)*V2580))</f>
        <v/>
      </c>
      <c r="X2580" s="75" t="n"/>
      <c r="Y2580" s="77" t="n"/>
      <c r="Z2580" s="77" t="n"/>
      <c r="AA2580" s="75" t="n"/>
      <c r="AB2580" s="75" t="n"/>
      <c r="AC2580" s="6" t="n"/>
      <c r="AD2580" s="75" t="n"/>
      <c r="AE2580" s="75" t="n"/>
      <c r="AF2580" s="75" t="n"/>
    </row>
    <row r="2581" ht="15.75" customHeight="1" s="133">
      <c r="A2581" s="75" t="n"/>
      <c r="B2581" s="75" t="n"/>
      <c r="C2581" s="75" t="n"/>
      <c r="D2581" s="75" t="n"/>
      <c r="E2581" s="76" t="n"/>
      <c r="F2581" s="77" t="n"/>
      <c r="G2581" s="75" t="n"/>
      <c r="H2581" s="75">
        <f>IF(ISBLANK(E2581),"",IF(OR(D2581="Butterfly",D2581="Butterfly ",D2581="Iron Fly", D2581="Iron Fly "),LEN(E2581)-LEN(SUBSTITUTE(E2581,"/",""))+2,LEN(E2581)-LEN(SUBSTITUTE(E2581,"/",""))+1))</f>
        <v/>
      </c>
      <c r="I2581" s="78">
        <f>IF(ISBLANK(G2581),"",IF(D2581="Stock","0",Key!$A$3*H2581*G2581))</f>
        <v/>
      </c>
      <c r="J2581" s="78">
        <f>IF(ISBLANK(E2581),"",IF(ISNUMBER(SEARCH("/",E2581)), IF(LEN(E2581)-LEN(SUBSTITUTE(E2581,"/",""))=1,(RIGHT(E2581,LEN(E2581)-FIND("/",E2581)))-(LEFT(E2581,FIND("/",E2581)-1)),(MID(E2581, SEARCH("/",E2581) + 1, SEARCH("/",E2581, SEARCH("/",E2581)+1) - SEARCH("/",E2581) - 1))-(LEFT(E2581,FIND("/",E2581)-1))), "NA"))</f>
        <v/>
      </c>
      <c r="K2581" s="79">
        <f>IF(A2581&lt;&gt;"", IF(ISBLANK(L2581), TODAY(), K2581), "")</f>
        <v/>
      </c>
      <c r="L2581" s="78" t="n"/>
      <c r="M2581" s="78">
        <f>IF(ISBLANK(L2581),"",IF(D2581="Stock",IF(C2581="Buy",L2581*G2581,IF(C2581="Sell",(L2581*G2581)-I2581, X)),IF(C2581="Buy",(L2581*G2581*100)+I2581,IF(C2581="Sell",(L2581*G2581*100)-I2581, X))))</f>
        <v/>
      </c>
      <c r="N2581" s="78">
        <f>IF(ISBLANK(L2581),"",IF(AND(C2581="Sell",D2581="Stock"),M2581,IF(ISBLANK(L2581),"",IF(C2581="Buy",M2581, IF(AND(C2581="Sell",J2581="NA"),(E2581*G2581*100*0.1)+I2581, IF(C2581="Sell",(J2581-L2581)*(100*G2581)+I2581))))))</f>
        <v/>
      </c>
      <c r="O2581" s="75" t="n"/>
      <c r="P2581" s="75" t="n"/>
      <c r="Q2581" s="75">
        <f>IF(ISBLANK(P2581),"",IF(D2581="Stock",P2581*G2581,IF(P2581=0,"0",G2581*P2581*100-(G2581*$AF$14))))</f>
        <v/>
      </c>
      <c r="R2581" s="79">
        <f>IF(P2581&lt;&gt;"", TODAY(), "")</f>
        <v/>
      </c>
      <c r="S2581" s="78">
        <f>IF(AND(K2581&lt;&gt;"", R2581&lt;&gt;""), R2581-K2581, "")</f>
        <v/>
      </c>
      <c r="T2581" s="78" t="n"/>
      <c r="U2581" s="92">
        <f>IF(ISBLANK(P2581),"",IF(C2581="Buy",Q2581-M2581+T2581, IF(C2581="Sell",M2581-Q2581-T2581, X)))</f>
        <v/>
      </c>
      <c r="V2581" s="81">
        <f>IF(ISBLANK(P2581),"",U2581/N2581)</f>
        <v/>
      </c>
      <c r="W2581" s="81">
        <f>IF(ISBLANK(P2581),"",IF(S2581=0,(365/0.5)*V2581,(365/S2581)*V2581))</f>
        <v/>
      </c>
      <c r="X2581" s="75" t="n"/>
      <c r="Y2581" s="77" t="n"/>
      <c r="Z2581" s="77" t="n"/>
      <c r="AA2581" s="75" t="n"/>
      <c r="AB2581" s="75" t="n"/>
      <c r="AC2581" s="6" t="n"/>
      <c r="AD2581" s="75" t="n"/>
      <c r="AE2581" s="75" t="n"/>
      <c r="AF2581" s="75" t="n"/>
    </row>
    <row r="2582" ht="15.75" customHeight="1" s="133">
      <c r="A2582" s="75" t="n"/>
      <c r="B2582" s="75" t="n"/>
      <c r="C2582" s="75" t="n"/>
      <c r="D2582" s="75" t="n"/>
      <c r="E2582" s="76" t="n"/>
      <c r="F2582" s="77" t="n"/>
      <c r="G2582" s="75" t="n"/>
      <c r="H2582" s="75">
        <f>IF(ISBLANK(E2582),"",IF(OR(D2582="Butterfly",D2582="Butterfly ",D2582="Iron Fly", D2582="Iron Fly "),LEN(E2582)-LEN(SUBSTITUTE(E2582,"/",""))+2,LEN(E2582)-LEN(SUBSTITUTE(E2582,"/",""))+1))</f>
        <v/>
      </c>
      <c r="I2582" s="78">
        <f>IF(ISBLANK(G2582),"",IF(D2582="Stock","0",Key!$A$3*H2582*G2582))</f>
        <v/>
      </c>
      <c r="J2582" s="78">
        <f>IF(ISBLANK(E2582),"",IF(ISNUMBER(SEARCH("/",E2582)), IF(LEN(E2582)-LEN(SUBSTITUTE(E2582,"/",""))=1,(RIGHT(E2582,LEN(E2582)-FIND("/",E2582)))-(LEFT(E2582,FIND("/",E2582)-1)),(MID(E2582, SEARCH("/",E2582) + 1, SEARCH("/",E2582, SEARCH("/",E2582)+1) - SEARCH("/",E2582) - 1))-(LEFT(E2582,FIND("/",E2582)-1))), "NA"))</f>
        <v/>
      </c>
      <c r="K2582" s="79">
        <f>IF(A2582&lt;&gt;"", IF(ISBLANK(L2582), TODAY(), K2582), "")</f>
        <v/>
      </c>
      <c r="L2582" s="78" t="n"/>
      <c r="M2582" s="78">
        <f>IF(ISBLANK(L2582),"",IF(D2582="Stock",IF(C2582="Buy",L2582*G2582,IF(C2582="Sell",(L2582*G2582)-I2582, X)),IF(C2582="Buy",(L2582*G2582*100)+I2582,IF(C2582="Sell",(L2582*G2582*100)-I2582, X))))</f>
        <v/>
      </c>
      <c r="N2582" s="78">
        <f>IF(ISBLANK(L2582),"",IF(AND(C2582="Sell",D2582="Stock"),M2582,IF(ISBLANK(L2582),"",IF(C2582="Buy",M2582, IF(AND(C2582="Sell",J2582="NA"),(E2582*G2582*100*0.1)+I2582, IF(C2582="Sell",(J2582-L2582)*(100*G2582)+I2582))))))</f>
        <v/>
      </c>
      <c r="O2582" s="75" t="n"/>
      <c r="P2582" s="75" t="n"/>
      <c r="Q2582" s="75">
        <f>IF(ISBLANK(P2582),"",IF(D2582="Stock",P2582*G2582,IF(P2582=0,"0",G2582*P2582*100-(G2582*$AF$14))))</f>
        <v/>
      </c>
      <c r="R2582" s="79">
        <f>IF(P2582&lt;&gt;"", TODAY(), "")</f>
        <v/>
      </c>
      <c r="S2582" s="78">
        <f>IF(AND(K2582&lt;&gt;"", R2582&lt;&gt;""), R2582-K2582, "")</f>
        <v/>
      </c>
      <c r="T2582" s="78" t="n"/>
      <c r="U2582" s="92">
        <f>IF(ISBLANK(P2582),"",IF(C2582="Buy",Q2582-M2582+T2582, IF(C2582="Sell",M2582-Q2582-T2582, X)))</f>
        <v/>
      </c>
      <c r="V2582" s="81">
        <f>IF(ISBLANK(P2582),"",U2582/N2582)</f>
        <v/>
      </c>
      <c r="W2582" s="81">
        <f>IF(ISBLANK(P2582),"",IF(S2582=0,(365/0.5)*V2582,(365/S2582)*V2582))</f>
        <v/>
      </c>
      <c r="X2582" s="75" t="n"/>
      <c r="Y2582" s="77" t="n"/>
      <c r="Z2582" s="77" t="n"/>
      <c r="AA2582" s="75" t="n"/>
      <c r="AB2582" s="75" t="n"/>
      <c r="AC2582" s="6" t="n"/>
      <c r="AD2582" s="75" t="n"/>
      <c r="AE2582" s="75" t="n"/>
      <c r="AF2582" s="75" t="n"/>
    </row>
    <row r="2583" ht="15.75" customHeight="1" s="133">
      <c r="A2583" s="75" t="n"/>
      <c r="B2583" s="75" t="n"/>
      <c r="C2583" s="75" t="n"/>
      <c r="D2583" s="75" t="n"/>
      <c r="E2583" s="76" t="n"/>
      <c r="F2583" s="77" t="n"/>
      <c r="G2583" s="75" t="n"/>
      <c r="H2583" s="75">
        <f>IF(ISBLANK(E2583),"",IF(OR(D2583="Butterfly",D2583="Butterfly ",D2583="Iron Fly", D2583="Iron Fly "),LEN(E2583)-LEN(SUBSTITUTE(E2583,"/",""))+2,LEN(E2583)-LEN(SUBSTITUTE(E2583,"/",""))+1))</f>
        <v/>
      </c>
      <c r="I2583" s="78">
        <f>IF(ISBLANK(G2583),"",IF(D2583="Stock","0",Key!$A$3*H2583*G2583))</f>
        <v/>
      </c>
      <c r="J2583" s="78">
        <f>IF(ISBLANK(E2583),"",IF(ISNUMBER(SEARCH("/",E2583)), IF(LEN(E2583)-LEN(SUBSTITUTE(E2583,"/",""))=1,(RIGHT(E2583,LEN(E2583)-FIND("/",E2583)))-(LEFT(E2583,FIND("/",E2583)-1)),(MID(E2583, SEARCH("/",E2583) + 1, SEARCH("/",E2583, SEARCH("/",E2583)+1) - SEARCH("/",E2583) - 1))-(LEFT(E2583,FIND("/",E2583)-1))), "NA"))</f>
        <v/>
      </c>
      <c r="K2583" s="79">
        <f>IF(A2583&lt;&gt;"", IF(ISBLANK(L2583), TODAY(), K2583), "")</f>
        <v/>
      </c>
      <c r="L2583" s="78" t="n"/>
      <c r="M2583" s="78">
        <f>IF(ISBLANK(L2583),"",IF(D2583="Stock",IF(C2583="Buy",L2583*G2583,IF(C2583="Sell",(L2583*G2583)-I2583, X)),IF(C2583="Buy",(L2583*G2583*100)+I2583,IF(C2583="Sell",(L2583*G2583*100)-I2583, X))))</f>
        <v/>
      </c>
      <c r="N2583" s="78">
        <f>IF(ISBLANK(L2583),"",IF(AND(C2583="Sell",D2583="Stock"),M2583,IF(ISBLANK(L2583),"",IF(C2583="Buy",M2583, IF(AND(C2583="Sell",J2583="NA"),(E2583*G2583*100*0.1)+I2583, IF(C2583="Sell",(J2583-L2583)*(100*G2583)+I2583))))))</f>
        <v/>
      </c>
      <c r="O2583" s="75" t="n"/>
      <c r="P2583" s="75" t="n"/>
      <c r="Q2583" s="75">
        <f>IF(ISBLANK(P2583),"",IF(D2583="Stock",P2583*G2583,IF(P2583=0,"0",G2583*P2583*100-(G2583*$AF$14))))</f>
        <v/>
      </c>
      <c r="R2583" s="79">
        <f>IF(P2583&lt;&gt;"", TODAY(), "")</f>
        <v/>
      </c>
      <c r="S2583" s="78">
        <f>IF(AND(K2583&lt;&gt;"", R2583&lt;&gt;""), R2583-K2583, "")</f>
        <v/>
      </c>
      <c r="T2583" s="78" t="n"/>
      <c r="U2583" s="92">
        <f>IF(ISBLANK(P2583),"",IF(C2583="Buy",Q2583-M2583+T2583, IF(C2583="Sell",M2583-Q2583-T2583, X)))</f>
        <v/>
      </c>
      <c r="V2583" s="81">
        <f>IF(ISBLANK(P2583),"",U2583/N2583)</f>
        <v/>
      </c>
      <c r="W2583" s="81">
        <f>IF(ISBLANK(P2583),"",IF(S2583=0,(365/0.5)*V2583,(365/S2583)*V2583))</f>
        <v/>
      </c>
      <c r="X2583" s="75" t="n"/>
      <c r="Y2583" s="77" t="n"/>
      <c r="Z2583" s="77" t="n"/>
      <c r="AA2583" s="75" t="n"/>
      <c r="AB2583" s="75" t="n"/>
      <c r="AC2583" s="6" t="n"/>
      <c r="AD2583" s="75" t="n"/>
      <c r="AE2583" s="75" t="n"/>
      <c r="AF2583" s="75" t="n"/>
    </row>
    <row r="2584" ht="15.75" customHeight="1" s="133">
      <c r="A2584" s="75" t="n"/>
      <c r="B2584" s="75" t="n"/>
      <c r="C2584" s="75" t="n"/>
      <c r="D2584" s="75" t="n"/>
      <c r="E2584" s="76" t="n"/>
      <c r="F2584" s="77" t="n"/>
      <c r="G2584" s="75" t="n"/>
      <c r="H2584" s="75">
        <f>IF(ISBLANK(E2584),"",IF(OR(D2584="Butterfly",D2584="Butterfly ",D2584="Iron Fly", D2584="Iron Fly "),LEN(E2584)-LEN(SUBSTITUTE(E2584,"/",""))+2,LEN(E2584)-LEN(SUBSTITUTE(E2584,"/",""))+1))</f>
        <v/>
      </c>
      <c r="I2584" s="78">
        <f>IF(ISBLANK(G2584),"",IF(D2584="Stock","0",Key!$A$3*H2584*G2584))</f>
        <v/>
      </c>
      <c r="J2584" s="78">
        <f>IF(ISBLANK(E2584),"",IF(ISNUMBER(SEARCH("/",E2584)), IF(LEN(E2584)-LEN(SUBSTITUTE(E2584,"/",""))=1,(RIGHT(E2584,LEN(E2584)-FIND("/",E2584)))-(LEFT(E2584,FIND("/",E2584)-1)),(MID(E2584, SEARCH("/",E2584) + 1, SEARCH("/",E2584, SEARCH("/",E2584)+1) - SEARCH("/",E2584) - 1))-(LEFT(E2584,FIND("/",E2584)-1))), "NA"))</f>
        <v/>
      </c>
      <c r="K2584" s="79">
        <f>IF(A2584&lt;&gt;"", IF(ISBLANK(L2584), TODAY(), K2584), "")</f>
        <v/>
      </c>
      <c r="L2584" s="78" t="n"/>
      <c r="M2584" s="78">
        <f>IF(ISBLANK(L2584),"",IF(D2584="Stock",IF(C2584="Buy",L2584*G2584,IF(C2584="Sell",(L2584*G2584)-I2584, X)),IF(C2584="Buy",(L2584*G2584*100)+I2584,IF(C2584="Sell",(L2584*G2584*100)-I2584, X))))</f>
        <v/>
      </c>
      <c r="N2584" s="78">
        <f>IF(ISBLANK(L2584),"",IF(AND(C2584="Sell",D2584="Stock"),M2584,IF(ISBLANK(L2584),"",IF(C2584="Buy",M2584, IF(AND(C2584="Sell",J2584="NA"),(E2584*G2584*100*0.1)+I2584, IF(C2584="Sell",(J2584-L2584)*(100*G2584)+I2584))))))</f>
        <v/>
      </c>
      <c r="O2584" s="75" t="n"/>
      <c r="P2584" s="75" t="n"/>
      <c r="Q2584" s="75">
        <f>IF(ISBLANK(P2584),"",IF(D2584="Stock",P2584*G2584,IF(P2584=0,"0",G2584*P2584*100-(G2584*$AF$14))))</f>
        <v/>
      </c>
      <c r="R2584" s="79">
        <f>IF(P2584&lt;&gt;"", TODAY(), "")</f>
        <v/>
      </c>
      <c r="S2584" s="78">
        <f>IF(AND(K2584&lt;&gt;"", R2584&lt;&gt;""), R2584-K2584, "")</f>
        <v/>
      </c>
      <c r="T2584" s="78" t="n"/>
      <c r="U2584" s="92">
        <f>IF(ISBLANK(P2584),"",IF(C2584="Buy",Q2584-M2584+T2584, IF(C2584="Sell",M2584-Q2584-T2584, X)))</f>
        <v/>
      </c>
      <c r="V2584" s="81">
        <f>IF(ISBLANK(P2584),"",U2584/N2584)</f>
        <v/>
      </c>
      <c r="W2584" s="81">
        <f>IF(ISBLANK(P2584),"",IF(S2584=0,(365/0.5)*V2584,(365/S2584)*V2584))</f>
        <v/>
      </c>
      <c r="X2584" s="75" t="n"/>
      <c r="Y2584" s="77" t="n"/>
      <c r="Z2584" s="77" t="n"/>
      <c r="AA2584" s="75" t="n"/>
      <c r="AB2584" s="75" t="n"/>
      <c r="AC2584" s="6" t="n"/>
      <c r="AD2584" s="75" t="n"/>
      <c r="AE2584" s="75" t="n"/>
      <c r="AF2584" s="75" t="n"/>
    </row>
    <row r="2585" ht="15.75" customHeight="1" s="133">
      <c r="A2585" s="75" t="n"/>
      <c r="B2585" s="75" t="n"/>
      <c r="C2585" s="75" t="n"/>
      <c r="D2585" s="75" t="n"/>
      <c r="E2585" s="76" t="n"/>
      <c r="F2585" s="77" t="n"/>
      <c r="G2585" s="75" t="n"/>
      <c r="H2585" s="75">
        <f>IF(ISBLANK(E2585),"",IF(OR(D2585="Butterfly",D2585="Butterfly ",D2585="Iron Fly", D2585="Iron Fly "),LEN(E2585)-LEN(SUBSTITUTE(E2585,"/",""))+2,LEN(E2585)-LEN(SUBSTITUTE(E2585,"/",""))+1))</f>
        <v/>
      </c>
      <c r="I2585" s="78">
        <f>IF(ISBLANK(G2585),"",IF(D2585="Stock","0",Key!$A$3*H2585*G2585))</f>
        <v/>
      </c>
      <c r="J2585" s="78">
        <f>IF(ISBLANK(E2585),"",IF(ISNUMBER(SEARCH("/",E2585)), IF(LEN(E2585)-LEN(SUBSTITUTE(E2585,"/",""))=1,(RIGHT(E2585,LEN(E2585)-FIND("/",E2585)))-(LEFT(E2585,FIND("/",E2585)-1)),(MID(E2585, SEARCH("/",E2585) + 1, SEARCH("/",E2585, SEARCH("/",E2585)+1) - SEARCH("/",E2585) - 1))-(LEFT(E2585,FIND("/",E2585)-1))), "NA"))</f>
        <v/>
      </c>
      <c r="K2585" s="79">
        <f>IF(A2585&lt;&gt;"", IF(ISBLANK(L2585), TODAY(), K2585), "")</f>
        <v/>
      </c>
      <c r="L2585" s="78" t="n"/>
      <c r="M2585" s="78">
        <f>IF(ISBLANK(L2585),"",IF(D2585="Stock",IF(C2585="Buy",L2585*G2585,IF(C2585="Sell",(L2585*G2585)-I2585, X)),IF(C2585="Buy",(L2585*G2585*100)+I2585,IF(C2585="Sell",(L2585*G2585*100)-I2585, X))))</f>
        <v/>
      </c>
      <c r="N2585" s="78">
        <f>IF(ISBLANK(L2585),"",IF(AND(C2585="Sell",D2585="Stock"),M2585,IF(ISBLANK(L2585),"",IF(C2585="Buy",M2585, IF(AND(C2585="Sell",J2585="NA"),(E2585*G2585*100*0.1)+I2585, IF(C2585="Sell",(J2585-L2585)*(100*G2585)+I2585))))))</f>
        <v/>
      </c>
      <c r="O2585" s="75" t="n"/>
      <c r="P2585" s="75" t="n"/>
      <c r="Q2585" s="75">
        <f>IF(ISBLANK(P2585),"",IF(D2585="Stock",P2585*G2585,IF(P2585=0,"0",G2585*P2585*100-(G2585*$AF$14))))</f>
        <v/>
      </c>
      <c r="R2585" s="79">
        <f>IF(P2585&lt;&gt;"", TODAY(), "")</f>
        <v/>
      </c>
      <c r="S2585" s="78">
        <f>IF(AND(K2585&lt;&gt;"", R2585&lt;&gt;""), R2585-K2585, "")</f>
        <v/>
      </c>
      <c r="T2585" s="78" t="n"/>
      <c r="U2585" s="92">
        <f>IF(ISBLANK(P2585),"",IF(C2585="Buy",Q2585-M2585+T2585, IF(C2585="Sell",M2585-Q2585-T2585, X)))</f>
        <v/>
      </c>
      <c r="V2585" s="81">
        <f>IF(ISBLANK(P2585),"",U2585/N2585)</f>
        <v/>
      </c>
      <c r="W2585" s="81">
        <f>IF(ISBLANK(P2585),"",IF(S2585=0,(365/0.5)*V2585,(365/S2585)*V2585))</f>
        <v/>
      </c>
      <c r="X2585" s="75" t="n"/>
      <c r="Y2585" s="77" t="n"/>
      <c r="Z2585" s="77" t="n"/>
      <c r="AA2585" s="75" t="n"/>
      <c r="AB2585" s="75" t="n"/>
      <c r="AC2585" s="6" t="n"/>
      <c r="AD2585" s="75" t="n"/>
      <c r="AE2585" s="75" t="n"/>
      <c r="AF2585" s="75" t="n"/>
    </row>
    <row r="2586" ht="15.75" customHeight="1" s="133">
      <c r="A2586" s="75" t="n"/>
      <c r="B2586" s="75" t="n"/>
      <c r="C2586" s="75" t="n"/>
      <c r="D2586" s="75" t="n"/>
      <c r="E2586" s="76" t="n"/>
      <c r="F2586" s="77" t="n"/>
      <c r="G2586" s="75" t="n"/>
      <c r="H2586" s="75">
        <f>IF(ISBLANK(E2586),"",IF(OR(D2586="Butterfly",D2586="Butterfly ",D2586="Iron Fly", D2586="Iron Fly "),LEN(E2586)-LEN(SUBSTITUTE(E2586,"/",""))+2,LEN(E2586)-LEN(SUBSTITUTE(E2586,"/",""))+1))</f>
        <v/>
      </c>
      <c r="I2586" s="78">
        <f>IF(ISBLANK(G2586),"",IF(D2586="Stock","0",Key!$A$3*H2586*G2586))</f>
        <v/>
      </c>
      <c r="J2586" s="78">
        <f>IF(ISBLANK(E2586),"",IF(ISNUMBER(SEARCH("/",E2586)), IF(LEN(E2586)-LEN(SUBSTITUTE(E2586,"/",""))=1,(RIGHT(E2586,LEN(E2586)-FIND("/",E2586)))-(LEFT(E2586,FIND("/",E2586)-1)),(MID(E2586, SEARCH("/",E2586) + 1, SEARCH("/",E2586, SEARCH("/",E2586)+1) - SEARCH("/",E2586) - 1))-(LEFT(E2586,FIND("/",E2586)-1))), "NA"))</f>
        <v/>
      </c>
      <c r="K2586" s="79">
        <f>IF(A2586&lt;&gt;"", IF(ISBLANK(L2586), TODAY(), K2586), "")</f>
        <v/>
      </c>
      <c r="L2586" s="78" t="n"/>
      <c r="M2586" s="78">
        <f>IF(ISBLANK(L2586),"",IF(D2586="Stock",IF(C2586="Buy",L2586*G2586,IF(C2586="Sell",(L2586*G2586)-I2586, X)),IF(C2586="Buy",(L2586*G2586*100)+I2586,IF(C2586="Sell",(L2586*G2586*100)-I2586, X))))</f>
        <v/>
      </c>
      <c r="N2586" s="78">
        <f>IF(ISBLANK(L2586),"",IF(AND(C2586="Sell",D2586="Stock"),M2586,IF(ISBLANK(L2586),"",IF(C2586="Buy",M2586, IF(AND(C2586="Sell",J2586="NA"),(E2586*G2586*100*0.1)+I2586, IF(C2586="Sell",(J2586-L2586)*(100*G2586)+I2586))))))</f>
        <v/>
      </c>
      <c r="O2586" s="75" t="n"/>
      <c r="P2586" s="75" t="n"/>
      <c r="Q2586" s="75">
        <f>IF(ISBLANK(P2586),"",IF(D2586="Stock",P2586*G2586,IF(P2586=0,"0",G2586*P2586*100-(G2586*$AF$14))))</f>
        <v/>
      </c>
      <c r="R2586" s="79">
        <f>IF(P2586&lt;&gt;"", TODAY(), "")</f>
        <v/>
      </c>
      <c r="S2586" s="78">
        <f>IF(AND(K2586&lt;&gt;"", R2586&lt;&gt;""), R2586-K2586, "")</f>
        <v/>
      </c>
      <c r="T2586" s="78" t="n"/>
      <c r="U2586" s="92">
        <f>IF(ISBLANK(P2586),"",IF(C2586="Buy",Q2586-M2586+T2586, IF(C2586="Sell",M2586-Q2586-T2586, X)))</f>
        <v/>
      </c>
      <c r="V2586" s="81">
        <f>IF(ISBLANK(P2586),"",U2586/N2586)</f>
        <v/>
      </c>
      <c r="W2586" s="81">
        <f>IF(ISBLANK(P2586),"",IF(S2586=0,(365/0.5)*V2586,(365/S2586)*V2586))</f>
        <v/>
      </c>
      <c r="X2586" s="75" t="n"/>
      <c r="Y2586" s="77" t="n"/>
      <c r="Z2586" s="77" t="n"/>
      <c r="AA2586" s="75" t="n"/>
      <c r="AB2586" s="75" t="n"/>
      <c r="AC2586" s="6" t="n"/>
      <c r="AD2586" s="75" t="n"/>
      <c r="AE2586" s="75" t="n"/>
      <c r="AF2586" s="75" t="n"/>
    </row>
    <row r="2587" ht="15.75" customHeight="1" s="133">
      <c r="A2587" s="75" t="n"/>
      <c r="B2587" s="75" t="n"/>
      <c r="C2587" s="75" t="n"/>
      <c r="D2587" s="75" t="n"/>
      <c r="E2587" s="76" t="n"/>
      <c r="F2587" s="77" t="n"/>
      <c r="G2587" s="75" t="n"/>
      <c r="H2587" s="75">
        <f>IF(ISBLANK(E2587),"",IF(OR(D2587="Butterfly",D2587="Butterfly ",D2587="Iron Fly", D2587="Iron Fly "),LEN(E2587)-LEN(SUBSTITUTE(E2587,"/",""))+2,LEN(E2587)-LEN(SUBSTITUTE(E2587,"/",""))+1))</f>
        <v/>
      </c>
      <c r="I2587" s="78">
        <f>IF(ISBLANK(G2587),"",IF(D2587="Stock","0",Key!$A$3*H2587*G2587))</f>
        <v/>
      </c>
      <c r="J2587" s="78">
        <f>IF(ISBLANK(E2587),"",IF(ISNUMBER(SEARCH("/",E2587)), IF(LEN(E2587)-LEN(SUBSTITUTE(E2587,"/",""))=1,(RIGHT(E2587,LEN(E2587)-FIND("/",E2587)))-(LEFT(E2587,FIND("/",E2587)-1)),(MID(E2587, SEARCH("/",E2587) + 1, SEARCH("/",E2587, SEARCH("/",E2587)+1) - SEARCH("/",E2587) - 1))-(LEFT(E2587,FIND("/",E2587)-1))), "NA"))</f>
        <v/>
      </c>
      <c r="K2587" s="79">
        <f>IF(A2587&lt;&gt;"", IF(ISBLANK(L2587), TODAY(), K2587), "")</f>
        <v/>
      </c>
      <c r="L2587" s="78" t="n"/>
      <c r="M2587" s="78">
        <f>IF(ISBLANK(L2587),"",IF(D2587="Stock",IF(C2587="Buy",L2587*G2587,IF(C2587="Sell",(L2587*G2587)-I2587, X)),IF(C2587="Buy",(L2587*G2587*100)+I2587,IF(C2587="Sell",(L2587*G2587*100)-I2587, X))))</f>
        <v/>
      </c>
      <c r="N2587" s="78">
        <f>IF(ISBLANK(L2587),"",IF(AND(C2587="Sell",D2587="Stock"),M2587,IF(ISBLANK(L2587),"",IF(C2587="Buy",M2587, IF(AND(C2587="Sell",J2587="NA"),(E2587*G2587*100*0.1)+I2587, IF(C2587="Sell",(J2587-L2587)*(100*G2587)+I2587))))))</f>
        <v/>
      </c>
      <c r="O2587" s="75" t="n"/>
      <c r="P2587" s="75" t="n"/>
      <c r="Q2587" s="75">
        <f>IF(ISBLANK(P2587),"",IF(D2587="Stock",P2587*G2587,IF(P2587=0,"0",G2587*P2587*100-(G2587*$AF$14))))</f>
        <v/>
      </c>
      <c r="R2587" s="79">
        <f>IF(P2587&lt;&gt;"", TODAY(), "")</f>
        <v/>
      </c>
      <c r="S2587" s="78">
        <f>IF(AND(K2587&lt;&gt;"", R2587&lt;&gt;""), R2587-K2587, "")</f>
        <v/>
      </c>
      <c r="T2587" s="78" t="n"/>
      <c r="U2587" s="92">
        <f>IF(ISBLANK(P2587),"",IF(C2587="Buy",Q2587-M2587+T2587, IF(C2587="Sell",M2587-Q2587-T2587, X)))</f>
        <v/>
      </c>
      <c r="V2587" s="81">
        <f>IF(ISBLANK(P2587),"",U2587/N2587)</f>
        <v/>
      </c>
      <c r="W2587" s="81">
        <f>IF(ISBLANK(P2587),"",IF(S2587=0,(365/0.5)*V2587,(365/S2587)*V2587))</f>
        <v/>
      </c>
      <c r="X2587" s="75" t="n"/>
      <c r="Y2587" s="77" t="n"/>
      <c r="Z2587" s="77" t="n"/>
      <c r="AA2587" s="75" t="n"/>
      <c r="AB2587" s="75" t="n"/>
      <c r="AC2587" s="6" t="n"/>
      <c r="AD2587" s="75" t="n"/>
      <c r="AE2587" s="75" t="n"/>
      <c r="AF2587" s="75" t="n"/>
    </row>
    <row r="2588" ht="15.75" customHeight="1" s="133">
      <c r="A2588" s="75" t="n"/>
      <c r="B2588" s="75" t="n"/>
      <c r="C2588" s="75" t="n"/>
      <c r="D2588" s="75" t="n"/>
      <c r="E2588" s="76" t="n"/>
      <c r="F2588" s="77" t="n"/>
      <c r="G2588" s="75" t="n"/>
      <c r="H2588" s="75">
        <f>IF(ISBLANK(E2588),"",IF(OR(D2588="Butterfly",D2588="Butterfly ",D2588="Iron Fly", D2588="Iron Fly "),LEN(E2588)-LEN(SUBSTITUTE(E2588,"/",""))+2,LEN(E2588)-LEN(SUBSTITUTE(E2588,"/",""))+1))</f>
        <v/>
      </c>
      <c r="I2588" s="78">
        <f>IF(ISBLANK(G2588),"",IF(D2588="Stock","0",Key!$A$3*H2588*G2588))</f>
        <v/>
      </c>
      <c r="J2588" s="78">
        <f>IF(ISBLANK(E2588),"",IF(ISNUMBER(SEARCH("/",E2588)), IF(LEN(E2588)-LEN(SUBSTITUTE(E2588,"/",""))=1,(RIGHT(E2588,LEN(E2588)-FIND("/",E2588)))-(LEFT(E2588,FIND("/",E2588)-1)),(MID(E2588, SEARCH("/",E2588) + 1, SEARCH("/",E2588, SEARCH("/",E2588)+1) - SEARCH("/",E2588) - 1))-(LEFT(E2588,FIND("/",E2588)-1))), "NA"))</f>
        <v/>
      </c>
      <c r="K2588" s="79">
        <f>IF(A2588&lt;&gt;"", IF(ISBLANK(L2588), TODAY(), K2588), "")</f>
        <v/>
      </c>
      <c r="L2588" s="78" t="n"/>
      <c r="M2588" s="78">
        <f>IF(ISBLANK(L2588),"",IF(D2588="Stock",IF(C2588="Buy",L2588*G2588,IF(C2588="Sell",(L2588*G2588)-I2588, X)),IF(C2588="Buy",(L2588*G2588*100)+I2588,IF(C2588="Sell",(L2588*G2588*100)-I2588, X))))</f>
        <v/>
      </c>
      <c r="N2588" s="78">
        <f>IF(ISBLANK(L2588),"",IF(AND(C2588="Sell",D2588="Stock"),M2588,IF(ISBLANK(L2588),"",IF(C2588="Buy",M2588, IF(AND(C2588="Sell",J2588="NA"),(E2588*G2588*100*0.1)+I2588, IF(C2588="Sell",(J2588-L2588)*(100*G2588)+I2588))))))</f>
        <v/>
      </c>
      <c r="O2588" s="75" t="n"/>
      <c r="P2588" s="75" t="n"/>
      <c r="Q2588" s="75">
        <f>IF(ISBLANK(P2588),"",IF(D2588="Stock",P2588*G2588,IF(P2588=0,"0",G2588*P2588*100-(G2588*$AF$14))))</f>
        <v/>
      </c>
      <c r="R2588" s="79">
        <f>IF(P2588&lt;&gt;"", TODAY(), "")</f>
        <v/>
      </c>
      <c r="S2588" s="78">
        <f>IF(AND(K2588&lt;&gt;"", R2588&lt;&gt;""), R2588-K2588, "")</f>
        <v/>
      </c>
      <c r="T2588" s="78" t="n"/>
      <c r="U2588" s="92">
        <f>IF(ISBLANK(P2588),"",IF(C2588="Buy",Q2588-M2588+T2588, IF(C2588="Sell",M2588-Q2588-T2588, X)))</f>
        <v/>
      </c>
      <c r="V2588" s="81">
        <f>IF(ISBLANK(P2588),"",U2588/N2588)</f>
        <v/>
      </c>
      <c r="W2588" s="81">
        <f>IF(ISBLANK(P2588),"",IF(S2588=0,(365/0.5)*V2588,(365/S2588)*V2588))</f>
        <v/>
      </c>
      <c r="X2588" s="75" t="n"/>
      <c r="Y2588" s="77" t="n"/>
      <c r="Z2588" s="77" t="n"/>
      <c r="AA2588" s="75" t="n"/>
      <c r="AB2588" s="75" t="n"/>
      <c r="AC2588" s="6" t="n"/>
      <c r="AD2588" s="75" t="n"/>
      <c r="AE2588" s="75" t="n"/>
      <c r="AF2588" s="75" t="n"/>
    </row>
    <row r="2589" ht="15.75" customHeight="1" s="133">
      <c r="A2589" s="75" t="n"/>
      <c r="B2589" s="75" t="n"/>
      <c r="C2589" s="75" t="n"/>
      <c r="D2589" s="75" t="n"/>
      <c r="E2589" s="76" t="n"/>
      <c r="F2589" s="77" t="n"/>
      <c r="G2589" s="75" t="n"/>
      <c r="H2589" s="75">
        <f>IF(ISBLANK(E2589),"",IF(OR(D2589="Butterfly",D2589="Butterfly ",D2589="Iron Fly", D2589="Iron Fly "),LEN(E2589)-LEN(SUBSTITUTE(E2589,"/",""))+2,LEN(E2589)-LEN(SUBSTITUTE(E2589,"/",""))+1))</f>
        <v/>
      </c>
      <c r="I2589" s="78">
        <f>IF(ISBLANK(G2589),"",IF(D2589="Stock","0",Key!$A$3*H2589*G2589))</f>
        <v/>
      </c>
      <c r="J2589" s="78">
        <f>IF(ISBLANK(E2589),"",IF(ISNUMBER(SEARCH("/",E2589)), IF(LEN(E2589)-LEN(SUBSTITUTE(E2589,"/",""))=1,(RIGHT(E2589,LEN(E2589)-FIND("/",E2589)))-(LEFT(E2589,FIND("/",E2589)-1)),(MID(E2589, SEARCH("/",E2589) + 1, SEARCH("/",E2589, SEARCH("/",E2589)+1) - SEARCH("/",E2589) - 1))-(LEFT(E2589,FIND("/",E2589)-1))), "NA"))</f>
        <v/>
      </c>
      <c r="K2589" s="79">
        <f>IF(A2589&lt;&gt;"", IF(ISBLANK(L2589), TODAY(), K2589), "")</f>
        <v/>
      </c>
      <c r="L2589" s="78" t="n"/>
      <c r="M2589" s="78">
        <f>IF(ISBLANK(L2589),"",IF(D2589="Stock",IF(C2589="Buy",L2589*G2589,IF(C2589="Sell",(L2589*G2589)-I2589, X)),IF(C2589="Buy",(L2589*G2589*100)+I2589,IF(C2589="Sell",(L2589*G2589*100)-I2589, X))))</f>
        <v/>
      </c>
      <c r="N2589" s="78">
        <f>IF(ISBLANK(L2589),"",IF(AND(C2589="Sell",D2589="Stock"),M2589,IF(ISBLANK(L2589),"",IF(C2589="Buy",M2589, IF(AND(C2589="Sell",J2589="NA"),(E2589*G2589*100*0.1)+I2589, IF(C2589="Sell",(J2589-L2589)*(100*G2589)+I2589))))))</f>
        <v/>
      </c>
      <c r="O2589" s="75" t="n"/>
      <c r="P2589" s="75" t="n"/>
      <c r="Q2589" s="75">
        <f>IF(ISBLANK(P2589),"",IF(D2589="Stock",P2589*G2589,IF(P2589=0,"0",G2589*P2589*100-(G2589*$AF$14))))</f>
        <v/>
      </c>
      <c r="R2589" s="79">
        <f>IF(P2589&lt;&gt;"", TODAY(), "")</f>
        <v/>
      </c>
      <c r="S2589" s="78">
        <f>IF(AND(K2589&lt;&gt;"", R2589&lt;&gt;""), R2589-K2589, "")</f>
        <v/>
      </c>
      <c r="T2589" s="78" t="n"/>
      <c r="U2589" s="92">
        <f>IF(ISBLANK(P2589),"",IF(C2589="Buy",Q2589-M2589+T2589, IF(C2589="Sell",M2589-Q2589-T2589, X)))</f>
        <v/>
      </c>
      <c r="V2589" s="81">
        <f>IF(ISBLANK(P2589),"",U2589/N2589)</f>
        <v/>
      </c>
      <c r="W2589" s="81">
        <f>IF(ISBLANK(P2589),"",IF(S2589=0,(365/0.5)*V2589,(365/S2589)*V2589))</f>
        <v/>
      </c>
      <c r="X2589" s="75" t="n"/>
      <c r="Y2589" s="77" t="n"/>
      <c r="Z2589" s="77" t="n"/>
      <c r="AA2589" s="75" t="n"/>
      <c r="AB2589" s="75" t="n"/>
      <c r="AC2589" s="6" t="n"/>
      <c r="AD2589" s="75" t="n"/>
      <c r="AE2589" s="75" t="n"/>
      <c r="AF2589" s="75" t="n"/>
    </row>
    <row r="2590" ht="15.75" customHeight="1" s="133">
      <c r="A2590" s="75" t="n"/>
      <c r="B2590" s="75" t="n"/>
      <c r="C2590" s="75" t="n"/>
      <c r="D2590" s="75" t="n"/>
      <c r="E2590" s="76" t="n"/>
      <c r="F2590" s="77" t="n"/>
      <c r="G2590" s="75" t="n"/>
      <c r="H2590" s="75">
        <f>IF(ISBLANK(E2590),"",IF(OR(D2590="Butterfly",D2590="Butterfly ",D2590="Iron Fly", D2590="Iron Fly "),LEN(E2590)-LEN(SUBSTITUTE(E2590,"/",""))+2,LEN(E2590)-LEN(SUBSTITUTE(E2590,"/",""))+1))</f>
        <v/>
      </c>
      <c r="I2590" s="78">
        <f>IF(ISBLANK(G2590),"",IF(D2590="Stock","0",Key!$A$3*H2590*G2590))</f>
        <v/>
      </c>
      <c r="J2590" s="78">
        <f>IF(ISBLANK(E2590),"",IF(ISNUMBER(SEARCH("/",E2590)), IF(LEN(E2590)-LEN(SUBSTITUTE(E2590,"/",""))=1,(RIGHT(E2590,LEN(E2590)-FIND("/",E2590)))-(LEFT(E2590,FIND("/",E2590)-1)),(MID(E2590, SEARCH("/",E2590) + 1, SEARCH("/",E2590, SEARCH("/",E2590)+1) - SEARCH("/",E2590) - 1))-(LEFT(E2590,FIND("/",E2590)-1))), "NA"))</f>
        <v/>
      </c>
      <c r="K2590" s="79">
        <f>IF(A2590&lt;&gt;"", IF(ISBLANK(L2590), TODAY(), K2590), "")</f>
        <v/>
      </c>
      <c r="L2590" s="78" t="n"/>
      <c r="M2590" s="78">
        <f>IF(ISBLANK(L2590),"",IF(D2590="Stock",IF(C2590="Buy",L2590*G2590,IF(C2590="Sell",(L2590*G2590)-I2590, X)),IF(C2590="Buy",(L2590*G2590*100)+I2590,IF(C2590="Sell",(L2590*G2590*100)-I2590, X))))</f>
        <v/>
      </c>
      <c r="N2590" s="78">
        <f>IF(ISBLANK(L2590),"",IF(AND(C2590="Sell",D2590="Stock"),M2590,IF(ISBLANK(L2590),"",IF(C2590="Buy",M2590, IF(AND(C2590="Sell",J2590="NA"),(E2590*G2590*100*0.1)+I2590, IF(C2590="Sell",(J2590-L2590)*(100*G2590)+I2590))))))</f>
        <v/>
      </c>
      <c r="O2590" s="75" t="n"/>
      <c r="P2590" s="75" t="n"/>
      <c r="Q2590" s="75">
        <f>IF(ISBLANK(P2590),"",IF(D2590="Stock",P2590*G2590,IF(P2590=0,"0",G2590*P2590*100-(G2590*$AF$14))))</f>
        <v/>
      </c>
      <c r="R2590" s="79">
        <f>IF(P2590&lt;&gt;"", TODAY(), "")</f>
        <v/>
      </c>
      <c r="S2590" s="78">
        <f>IF(AND(K2590&lt;&gt;"", R2590&lt;&gt;""), R2590-K2590, "")</f>
        <v/>
      </c>
      <c r="T2590" s="78" t="n"/>
      <c r="U2590" s="92">
        <f>IF(ISBLANK(P2590),"",IF(C2590="Buy",Q2590-M2590+T2590, IF(C2590="Sell",M2590-Q2590-T2590, X)))</f>
        <v/>
      </c>
      <c r="V2590" s="81">
        <f>IF(ISBLANK(P2590),"",U2590/N2590)</f>
        <v/>
      </c>
      <c r="W2590" s="81">
        <f>IF(ISBLANK(P2590),"",IF(S2590=0,(365/0.5)*V2590,(365/S2590)*V2590))</f>
        <v/>
      </c>
      <c r="X2590" s="75" t="n"/>
      <c r="Y2590" s="77" t="n"/>
      <c r="Z2590" s="77" t="n"/>
      <c r="AA2590" s="75" t="n"/>
      <c r="AB2590" s="75" t="n"/>
      <c r="AC2590" s="6" t="n"/>
      <c r="AD2590" s="75" t="n"/>
      <c r="AE2590" s="75" t="n"/>
      <c r="AF2590" s="75" t="n"/>
    </row>
    <row r="2591" ht="15.75" customHeight="1" s="133">
      <c r="A2591" s="75" t="n"/>
      <c r="B2591" s="75" t="n"/>
      <c r="C2591" s="75" t="n"/>
      <c r="D2591" s="75" t="n"/>
      <c r="E2591" s="76" t="n"/>
      <c r="F2591" s="77" t="n"/>
      <c r="G2591" s="75" t="n"/>
      <c r="H2591" s="75">
        <f>IF(ISBLANK(E2591),"",IF(OR(D2591="Butterfly",D2591="Butterfly ",D2591="Iron Fly", D2591="Iron Fly "),LEN(E2591)-LEN(SUBSTITUTE(E2591,"/",""))+2,LEN(E2591)-LEN(SUBSTITUTE(E2591,"/",""))+1))</f>
        <v/>
      </c>
      <c r="I2591" s="78">
        <f>IF(ISBLANK(G2591),"",IF(D2591="Stock","0",Key!$A$3*H2591*G2591))</f>
        <v/>
      </c>
      <c r="J2591" s="78">
        <f>IF(ISBLANK(E2591),"",IF(ISNUMBER(SEARCH("/",E2591)), IF(LEN(E2591)-LEN(SUBSTITUTE(E2591,"/",""))=1,(RIGHT(E2591,LEN(E2591)-FIND("/",E2591)))-(LEFT(E2591,FIND("/",E2591)-1)),(MID(E2591, SEARCH("/",E2591) + 1, SEARCH("/",E2591, SEARCH("/",E2591)+1) - SEARCH("/",E2591) - 1))-(LEFT(E2591,FIND("/",E2591)-1))), "NA"))</f>
        <v/>
      </c>
      <c r="K2591" s="79">
        <f>IF(A2591&lt;&gt;"", IF(ISBLANK(L2591), TODAY(), K2591), "")</f>
        <v/>
      </c>
      <c r="L2591" s="78" t="n"/>
      <c r="M2591" s="78">
        <f>IF(ISBLANK(L2591),"",IF(D2591="Stock",IF(C2591="Buy",L2591*G2591,IF(C2591="Sell",(L2591*G2591)-I2591, X)),IF(C2591="Buy",(L2591*G2591*100)+I2591,IF(C2591="Sell",(L2591*G2591*100)-I2591, X))))</f>
        <v/>
      </c>
      <c r="N2591" s="78">
        <f>IF(ISBLANK(L2591),"",IF(AND(C2591="Sell",D2591="Stock"),M2591,IF(ISBLANK(L2591),"",IF(C2591="Buy",M2591, IF(AND(C2591="Sell",J2591="NA"),(E2591*G2591*100*0.1)+I2591, IF(C2591="Sell",(J2591-L2591)*(100*G2591)+I2591))))))</f>
        <v/>
      </c>
      <c r="O2591" s="75" t="n"/>
      <c r="P2591" s="75" t="n"/>
      <c r="Q2591" s="75">
        <f>IF(ISBLANK(P2591),"",IF(D2591="Stock",P2591*G2591,IF(P2591=0,"0",G2591*P2591*100-(G2591*$AF$14))))</f>
        <v/>
      </c>
      <c r="R2591" s="79">
        <f>IF(P2591&lt;&gt;"", TODAY(), "")</f>
        <v/>
      </c>
      <c r="S2591" s="78">
        <f>IF(AND(K2591&lt;&gt;"", R2591&lt;&gt;""), R2591-K2591, "")</f>
        <v/>
      </c>
      <c r="T2591" s="78" t="n"/>
      <c r="U2591" s="92">
        <f>IF(ISBLANK(P2591),"",IF(C2591="Buy",Q2591-M2591+T2591, IF(C2591="Sell",M2591-Q2591-T2591, X)))</f>
        <v/>
      </c>
      <c r="V2591" s="81">
        <f>IF(ISBLANK(P2591),"",U2591/N2591)</f>
        <v/>
      </c>
      <c r="W2591" s="81">
        <f>IF(ISBLANK(P2591),"",IF(S2591=0,(365/0.5)*V2591,(365/S2591)*V2591))</f>
        <v/>
      </c>
      <c r="X2591" s="75" t="n"/>
      <c r="Y2591" s="77" t="n"/>
      <c r="Z2591" s="77" t="n"/>
      <c r="AA2591" s="75" t="n"/>
      <c r="AB2591" s="75" t="n"/>
      <c r="AC2591" s="6" t="n"/>
      <c r="AD2591" s="75" t="n"/>
      <c r="AE2591" s="75" t="n"/>
      <c r="AF2591" s="75" t="n"/>
    </row>
    <row r="2592" ht="15.75" customHeight="1" s="133">
      <c r="A2592" s="75" t="n"/>
      <c r="B2592" s="75" t="n"/>
      <c r="C2592" s="75" t="n"/>
      <c r="D2592" s="75" t="n"/>
      <c r="E2592" s="76" t="n"/>
      <c r="F2592" s="77" t="n"/>
      <c r="G2592" s="75" t="n"/>
      <c r="H2592" s="75">
        <f>IF(ISBLANK(E2592),"",IF(OR(D2592="Butterfly",D2592="Butterfly ",D2592="Iron Fly", D2592="Iron Fly "),LEN(E2592)-LEN(SUBSTITUTE(E2592,"/",""))+2,LEN(E2592)-LEN(SUBSTITUTE(E2592,"/",""))+1))</f>
        <v/>
      </c>
      <c r="I2592" s="78">
        <f>IF(ISBLANK(G2592),"",IF(D2592="Stock","0",Key!$A$3*H2592*G2592))</f>
        <v/>
      </c>
      <c r="J2592" s="78">
        <f>IF(ISBLANK(E2592),"",IF(ISNUMBER(SEARCH("/",E2592)), IF(LEN(E2592)-LEN(SUBSTITUTE(E2592,"/",""))=1,(RIGHT(E2592,LEN(E2592)-FIND("/",E2592)))-(LEFT(E2592,FIND("/",E2592)-1)),(MID(E2592, SEARCH("/",E2592) + 1, SEARCH("/",E2592, SEARCH("/",E2592)+1) - SEARCH("/",E2592) - 1))-(LEFT(E2592,FIND("/",E2592)-1))), "NA"))</f>
        <v/>
      </c>
      <c r="K2592" s="79">
        <f>IF(A2592&lt;&gt;"", IF(ISBLANK(L2592), TODAY(), K2592), "")</f>
        <v/>
      </c>
      <c r="L2592" s="78" t="n"/>
      <c r="M2592" s="78">
        <f>IF(ISBLANK(L2592),"",IF(D2592="Stock",IF(C2592="Buy",L2592*G2592,IF(C2592="Sell",(L2592*G2592)-I2592, X)),IF(C2592="Buy",(L2592*G2592*100)+I2592,IF(C2592="Sell",(L2592*G2592*100)-I2592, X))))</f>
        <v/>
      </c>
      <c r="N2592" s="78">
        <f>IF(ISBLANK(L2592),"",IF(AND(C2592="Sell",D2592="Stock"),M2592,IF(ISBLANK(L2592),"",IF(C2592="Buy",M2592, IF(AND(C2592="Sell",J2592="NA"),(E2592*G2592*100*0.1)+I2592, IF(C2592="Sell",(J2592-L2592)*(100*G2592)+I2592))))))</f>
        <v/>
      </c>
      <c r="O2592" s="75" t="n"/>
      <c r="P2592" s="75" t="n"/>
      <c r="Q2592" s="75">
        <f>IF(ISBLANK(P2592),"",IF(D2592="Stock",P2592*G2592,IF(P2592=0,"0",G2592*P2592*100-(G2592*$AF$14))))</f>
        <v/>
      </c>
      <c r="R2592" s="79">
        <f>IF(P2592&lt;&gt;"", TODAY(), "")</f>
        <v/>
      </c>
      <c r="S2592" s="78">
        <f>IF(AND(K2592&lt;&gt;"", R2592&lt;&gt;""), R2592-K2592, "")</f>
        <v/>
      </c>
      <c r="T2592" s="78" t="n"/>
      <c r="U2592" s="92">
        <f>IF(ISBLANK(P2592),"",IF(C2592="Buy",Q2592-M2592+T2592, IF(C2592="Sell",M2592-Q2592-T2592, X)))</f>
        <v/>
      </c>
      <c r="V2592" s="81">
        <f>IF(ISBLANK(P2592),"",U2592/N2592)</f>
        <v/>
      </c>
      <c r="W2592" s="81">
        <f>IF(ISBLANK(P2592),"",IF(S2592=0,(365/0.5)*V2592,(365/S2592)*V2592))</f>
        <v/>
      </c>
      <c r="X2592" s="75" t="n"/>
      <c r="Y2592" s="77" t="n"/>
      <c r="Z2592" s="77" t="n"/>
      <c r="AA2592" s="75" t="n"/>
      <c r="AB2592" s="75" t="n"/>
      <c r="AC2592" s="6" t="n"/>
      <c r="AD2592" s="75" t="n"/>
      <c r="AE2592" s="75" t="n"/>
      <c r="AF2592" s="75" t="n"/>
    </row>
    <row r="2593" ht="15.75" customHeight="1" s="133">
      <c r="A2593" s="75" t="n"/>
      <c r="B2593" s="75" t="n"/>
      <c r="C2593" s="75" t="n"/>
      <c r="D2593" s="75" t="n"/>
      <c r="E2593" s="76" t="n"/>
      <c r="F2593" s="77" t="n"/>
      <c r="G2593" s="75" t="n"/>
      <c r="H2593" s="75">
        <f>IF(ISBLANK(E2593),"",IF(OR(D2593="Butterfly",D2593="Butterfly ",D2593="Iron Fly", D2593="Iron Fly "),LEN(E2593)-LEN(SUBSTITUTE(E2593,"/",""))+2,LEN(E2593)-LEN(SUBSTITUTE(E2593,"/",""))+1))</f>
        <v/>
      </c>
      <c r="I2593" s="78">
        <f>IF(ISBLANK(G2593),"",IF(D2593="Stock","0",Key!$A$3*H2593*G2593))</f>
        <v/>
      </c>
      <c r="J2593" s="78">
        <f>IF(ISBLANK(E2593),"",IF(ISNUMBER(SEARCH("/",E2593)), IF(LEN(E2593)-LEN(SUBSTITUTE(E2593,"/",""))=1,(RIGHT(E2593,LEN(E2593)-FIND("/",E2593)))-(LEFT(E2593,FIND("/",E2593)-1)),(MID(E2593, SEARCH("/",E2593) + 1, SEARCH("/",E2593, SEARCH("/",E2593)+1) - SEARCH("/",E2593) - 1))-(LEFT(E2593,FIND("/",E2593)-1))), "NA"))</f>
        <v/>
      </c>
      <c r="K2593" s="79">
        <f>IF(A2593&lt;&gt;"", IF(ISBLANK(L2593), TODAY(), K2593), "")</f>
        <v/>
      </c>
      <c r="L2593" s="78" t="n"/>
      <c r="M2593" s="78">
        <f>IF(ISBLANK(L2593),"",IF(D2593="Stock",IF(C2593="Buy",L2593*G2593,IF(C2593="Sell",(L2593*G2593)-I2593, X)),IF(C2593="Buy",(L2593*G2593*100)+I2593,IF(C2593="Sell",(L2593*G2593*100)-I2593, X))))</f>
        <v/>
      </c>
      <c r="N2593" s="78">
        <f>IF(ISBLANK(L2593),"",IF(AND(C2593="Sell",D2593="Stock"),M2593,IF(ISBLANK(L2593),"",IF(C2593="Buy",M2593, IF(AND(C2593="Sell",J2593="NA"),(E2593*G2593*100*0.1)+I2593, IF(C2593="Sell",(J2593-L2593)*(100*G2593)+I2593))))))</f>
        <v/>
      </c>
      <c r="O2593" s="75" t="n"/>
      <c r="P2593" s="75" t="n"/>
      <c r="Q2593" s="75">
        <f>IF(ISBLANK(P2593),"",IF(D2593="Stock",P2593*G2593,IF(P2593=0,"0",G2593*P2593*100-(G2593*$AF$14))))</f>
        <v/>
      </c>
      <c r="R2593" s="79">
        <f>IF(P2593&lt;&gt;"", TODAY(), "")</f>
        <v/>
      </c>
      <c r="S2593" s="78">
        <f>IF(AND(K2593&lt;&gt;"", R2593&lt;&gt;""), R2593-K2593, "")</f>
        <v/>
      </c>
      <c r="T2593" s="78" t="n"/>
      <c r="U2593" s="92">
        <f>IF(ISBLANK(P2593),"",IF(C2593="Buy",Q2593-M2593+T2593, IF(C2593="Sell",M2593-Q2593-T2593, X)))</f>
        <v/>
      </c>
      <c r="V2593" s="81">
        <f>IF(ISBLANK(P2593),"",U2593/N2593)</f>
        <v/>
      </c>
      <c r="W2593" s="81">
        <f>IF(ISBLANK(P2593),"",IF(S2593=0,(365/0.5)*V2593,(365/S2593)*V2593))</f>
        <v/>
      </c>
      <c r="X2593" s="75" t="n"/>
      <c r="Y2593" s="77" t="n"/>
      <c r="Z2593" s="77" t="n"/>
      <c r="AA2593" s="75" t="n"/>
      <c r="AB2593" s="75" t="n"/>
      <c r="AC2593" s="6" t="n"/>
      <c r="AD2593" s="75" t="n"/>
      <c r="AE2593" s="75" t="n"/>
      <c r="AF2593" s="75" t="n"/>
    </row>
    <row r="2594" ht="15.75" customHeight="1" s="133">
      <c r="A2594" s="75" t="n"/>
      <c r="B2594" s="75" t="n"/>
      <c r="C2594" s="75" t="n"/>
      <c r="D2594" s="75" t="n"/>
      <c r="E2594" s="76" t="n"/>
      <c r="F2594" s="77" t="n"/>
      <c r="G2594" s="75" t="n"/>
      <c r="H2594" s="75">
        <f>IF(ISBLANK(E2594),"",IF(OR(D2594="Butterfly",D2594="Butterfly ",D2594="Iron Fly", D2594="Iron Fly "),LEN(E2594)-LEN(SUBSTITUTE(E2594,"/",""))+2,LEN(E2594)-LEN(SUBSTITUTE(E2594,"/",""))+1))</f>
        <v/>
      </c>
      <c r="I2594" s="78">
        <f>IF(ISBLANK(G2594),"",IF(D2594="Stock","0",Key!$A$3*H2594*G2594))</f>
        <v/>
      </c>
      <c r="J2594" s="78">
        <f>IF(ISBLANK(E2594),"",IF(ISNUMBER(SEARCH("/",E2594)), IF(LEN(E2594)-LEN(SUBSTITUTE(E2594,"/",""))=1,(RIGHT(E2594,LEN(E2594)-FIND("/",E2594)))-(LEFT(E2594,FIND("/",E2594)-1)),(MID(E2594, SEARCH("/",E2594) + 1, SEARCH("/",E2594, SEARCH("/",E2594)+1) - SEARCH("/",E2594) - 1))-(LEFT(E2594,FIND("/",E2594)-1))), "NA"))</f>
        <v/>
      </c>
      <c r="K2594" s="79">
        <f>IF(A2594&lt;&gt;"", IF(ISBLANK(L2594), TODAY(), K2594), "")</f>
        <v/>
      </c>
      <c r="L2594" s="78" t="n"/>
      <c r="M2594" s="78">
        <f>IF(ISBLANK(L2594),"",IF(D2594="Stock",IF(C2594="Buy",L2594*G2594,IF(C2594="Sell",(L2594*G2594)-I2594, X)),IF(C2594="Buy",(L2594*G2594*100)+I2594,IF(C2594="Sell",(L2594*G2594*100)-I2594, X))))</f>
        <v/>
      </c>
      <c r="N2594" s="78">
        <f>IF(ISBLANK(L2594),"",IF(AND(C2594="Sell",D2594="Stock"),M2594,IF(ISBLANK(L2594),"",IF(C2594="Buy",M2594, IF(AND(C2594="Sell",J2594="NA"),(E2594*G2594*100*0.1)+I2594, IF(C2594="Sell",(J2594-L2594)*(100*G2594)+I2594))))))</f>
        <v/>
      </c>
      <c r="O2594" s="75" t="n"/>
      <c r="P2594" s="75" t="n"/>
      <c r="Q2594" s="75">
        <f>IF(ISBLANK(P2594),"",IF(D2594="Stock",P2594*G2594,IF(P2594=0,"0",G2594*P2594*100-(G2594*$AF$14))))</f>
        <v/>
      </c>
      <c r="R2594" s="79">
        <f>IF(P2594&lt;&gt;"", TODAY(), "")</f>
        <v/>
      </c>
      <c r="S2594" s="78">
        <f>IF(AND(K2594&lt;&gt;"", R2594&lt;&gt;""), R2594-K2594, "")</f>
        <v/>
      </c>
      <c r="T2594" s="78" t="n"/>
      <c r="U2594" s="92">
        <f>IF(ISBLANK(P2594),"",IF(C2594="Buy",Q2594-M2594+T2594, IF(C2594="Sell",M2594-Q2594-T2594, X)))</f>
        <v/>
      </c>
      <c r="V2594" s="81">
        <f>IF(ISBLANK(P2594),"",U2594/N2594)</f>
        <v/>
      </c>
      <c r="W2594" s="81">
        <f>IF(ISBLANK(P2594),"",IF(S2594=0,(365/0.5)*V2594,(365/S2594)*V2594))</f>
        <v/>
      </c>
      <c r="X2594" s="75" t="n"/>
      <c r="Y2594" s="77" t="n"/>
      <c r="Z2594" s="77" t="n"/>
      <c r="AA2594" s="75" t="n"/>
      <c r="AB2594" s="75" t="n"/>
      <c r="AC2594" s="6" t="n"/>
      <c r="AD2594" s="75" t="n"/>
      <c r="AE2594" s="75" t="n"/>
      <c r="AF2594" s="75" t="n"/>
    </row>
    <row r="2595" ht="15.75" customHeight="1" s="133">
      <c r="A2595" s="75" t="n"/>
      <c r="B2595" s="75" t="n"/>
      <c r="C2595" s="75" t="n"/>
      <c r="D2595" s="75" t="n"/>
      <c r="E2595" s="76" t="n"/>
      <c r="F2595" s="77" t="n"/>
      <c r="G2595" s="75" t="n"/>
      <c r="H2595" s="75">
        <f>IF(ISBLANK(E2595),"",IF(OR(D2595="Butterfly",D2595="Butterfly ",D2595="Iron Fly", D2595="Iron Fly "),LEN(E2595)-LEN(SUBSTITUTE(E2595,"/",""))+2,LEN(E2595)-LEN(SUBSTITUTE(E2595,"/",""))+1))</f>
        <v/>
      </c>
      <c r="I2595" s="78">
        <f>IF(ISBLANK(G2595),"",IF(D2595="Stock","0",Key!$A$3*H2595*G2595))</f>
        <v/>
      </c>
      <c r="J2595" s="78">
        <f>IF(ISBLANK(E2595),"",IF(ISNUMBER(SEARCH("/",E2595)), IF(LEN(E2595)-LEN(SUBSTITUTE(E2595,"/",""))=1,(RIGHT(E2595,LEN(E2595)-FIND("/",E2595)))-(LEFT(E2595,FIND("/",E2595)-1)),(MID(E2595, SEARCH("/",E2595) + 1, SEARCH("/",E2595, SEARCH("/",E2595)+1) - SEARCH("/",E2595) - 1))-(LEFT(E2595,FIND("/",E2595)-1))), "NA"))</f>
        <v/>
      </c>
      <c r="K2595" s="79">
        <f>IF(A2595&lt;&gt;"", IF(ISBLANK(L2595), TODAY(), K2595), "")</f>
        <v/>
      </c>
      <c r="L2595" s="78" t="n"/>
      <c r="M2595" s="78">
        <f>IF(ISBLANK(L2595),"",IF(D2595="Stock",IF(C2595="Buy",L2595*G2595,IF(C2595="Sell",(L2595*G2595)-I2595, X)),IF(C2595="Buy",(L2595*G2595*100)+I2595,IF(C2595="Sell",(L2595*G2595*100)-I2595, X))))</f>
        <v/>
      </c>
      <c r="N2595" s="78">
        <f>IF(ISBLANK(L2595),"",IF(AND(C2595="Sell",D2595="Stock"),M2595,IF(ISBLANK(L2595),"",IF(C2595="Buy",M2595, IF(AND(C2595="Sell",J2595="NA"),(E2595*G2595*100*0.1)+I2595, IF(C2595="Sell",(J2595-L2595)*(100*G2595)+I2595))))))</f>
        <v/>
      </c>
      <c r="O2595" s="75" t="n"/>
      <c r="P2595" s="75" t="n"/>
      <c r="Q2595" s="75">
        <f>IF(ISBLANK(P2595),"",IF(D2595="Stock",P2595*G2595,IF(P2595=0,"0",G2595*P2595*100-(G2595*$AF$14))))</f>
        <v/>
      </c>
      <c r="R2595" s="79">
        <f>IF(P2595&lt;&gt;"", TODAY(), "")</f>
        <v/>
      </c>
      <c r="S2595" s="78">
        <f>IF(AND(K2595&lt;&gt;"", R2595&lt;&gt;""), R2595-K2595, "")</f>
        <v/>
      </c>
      <c r="T2595" s="78" t="n"/>
      <c r="U2595" s="92">
        <f>IF(ISBLANK(P2595),"",IF(C2595="Buy",Q2595-M2595+T2595, IF(C2595="Sell",M2595-Q2595-T2595, X)))</f>
        <v/>
      </c>
      <c r="V2595" s="81">
        <f>IF(ISBLANK(P2595),"",U2595/N2595)</f>
        <v/>
      </c>
      <c r="W2595" s="81">
        <f>IF(ISBLANK(P2595),"",IF(S2595=0,(365/0.5)*V2595,(365/S2595)*V2595))</f>
        <v/>
      </c>
      <c r="X2595" s="75" t="n"/>
      <c r="Y2595" s="77" t="n"/>
      <c r="Z2595" s="77" t="n"/>
      <c r="AA2595" s="75" t="n"/>
      <c r="AB2595" s="75" t="n"/>
      <c r="AC2595" s="6" t="n"/>
      <c r="AD2595" s="75" t="n"/>
      <c r="AE2595" s="75" t="n"/>
      <c r="AF2595" s="75" t="n"/>
    </row>
    <row r="2596" ht="15.75" customHeight="1" s="133">
      <c r="A2596" s="75" t="n"/>
      <c r="B2596" s="75" t="n"/>
      <c r="C2596" s="75" t="n"/>
      <c r="D2596" s="75" t="n"/>
      <c r="E2596" s="76" t="n"/>
      <c r="F2596" s="77" t="n"/>
      <c r="G2596" s="75" t="n"/>
      <c r="H2596" s="75">
        <f>IF(ISBLANK(E2596),"",IF(OR(D2596="Butterfly",D2596="Butterfly ",D2596="Iron Fly", D2596="Iron Fly "),LEN(E2596)-LEN(SUBSTITUTE(E2596,"/",""))+2,LEN(E2596)-LEN(SUBSTITUTE(E2596,"/",""))+1))</f>
        <v/>
      </c>
      <c r="I2596" s="78">
        <f>IF(ISBLANK(G2596),"",IF(D2596="Stock","0",Key!$A$3*H2596*G2596))</f>
        <v/>
      </c>
      <c r="J2596" s="78">
        <f>IF(ISBLANK(E2596),"",IF(ISNUMBER(SEARCH("/",E2596)), IF(LEN(E2596)-LEN(SUBSTITUTE(E2596,"/",""))=1,(RIGHT(E2596,LEN(E2596)-FIND("/",E2596)))-(LEFT(E2596,FIND("/",E2596)-1)),(MID(E2596, SEARCH("/",E2596) + 1, SEARCH("/",E2596, SEARCH("/",E2596)+1) - SEARCH("/",E2596) - 1))-(LEFT(E2596,FIND("/",E2596)-1))), "NA"))</f>
        <v/>
      </c>
      <c r="K2596" s="79">
        <f>IF(A2596&lt;&gt;"", IF(ISBLANK(L2596), TODAY(), K2596), "")</f>
        <v/>
      </c>
      <c r="L2596" s="78" t="n"/>
      <c r="M2596" s="78">
        <f>IF(ISBLANK(L2596),"",IF(D2596="Stock",IF(C2596="Buy",L2596*G2596,IF(C2596="Sell",(L2596*G2596)-I2596, X)),IF(C2596="Buy",(L2596*G2596*100)+I2596,IF(C2596="Sell",(L2596*G2596*100)-I2596, X))))</f>
        <v/>
      </c>
      <c r="N2596" s="78">
        <f>IF(ISBLANK(L2596),"",IF(AND(C2596="Sell",D2596="Stock"),M2596,IF(ISBLANK(L2596),"",IF(C2596="Buy",M2596, IF(AND(C2596="Sell",J2596="NA"),(E2596*G2596*100*0.1)+I2596, IF(C2596="Sell",(J2596-L2596)*(100*G2596)+I2596))))))</f>
        <v/>
      </c>
      <c r="O2596" s="75" t="n"/>
      <c r="P2596" s="75" t="n"/>
      <c r="Q2596" s="75">
        <f>IF(ISBLANK(P2596),"",IF(D2596="Stock",P2596*G2596,IF(P2596=0,"0",G2596*P2596*100-(G2596*$AF$14))))</f>
        <v/>
      </c>
      <c r="R2596" s="79">
        <f>IF(P2596&lt;&gt;"", TODAY(), "")</f>
        <v/>
      </c>
      <c r="S2596" s="78">
        <f>IF(AND(K2596&lt;&gt;"", R2596&lt;&gt;""), R2596-K2596, "")</f>
        <v/>
      </c>
      <c r="T2596" s="78" t="n"/>
      <c r="U2596" s="92">
        <f>IF(ISBLANK(P2596),"",IF(C2596="Buy",Q2596-M2596+T2596, IF(C2596="Sell",M2596-Q2596-T2596, X)))</f>
        <v/>
      </c>
      <c r="V2596" s="81">
        <f>IF(ISBLANK(P2596),"",U2596/N2596)</f>
        <v/>
      </c>
      <c r="W2596" s="81">
        <f>IF(ISBLANK(P2596),"",IF(S2596=0,(365/0.5)*V2596,(365/S2596)*V2596))</f>
        <v/>
      </c>
      <c r="X2596" s="75" t="n"/>
      <c r="Y2596" s="77" t="n"/>
      <c r="Z2596" s="77" t="n"/>
      <c r="AA2596" s="75" t="n"/>
      <c r="AB2596" s="75" t="n"/>
      <c r="AC2596" s="6" t="n"/>
      <c r="AD2596" s="75" t="n"/>
      <c r="AE2596" s="75" t="n"/>
      <c r="AF2596" s="75" t="n"/>
    </row>
    <row r="2597" ht="15.75" customHeight="1" s="133">
      <c r="A2597" s="75" t="n"/>
      <c r="B2597" s="75" t="n"/>
      <c r="C2597" s="75" t="n"/>
      <c r="D2597" s="75" t="n"/>
      <c r="E2597" s="76" t="n"/>
      <c r="F2597" s="77" t="n"/>
      <c r="G2597" s="75" t="n"/>
      <c r="H2597" s="75">
        <f>IF(ISBLANK(E2597),"",IF(OR(D2597="Butterfly",D2597="Butterfly ",D2597="Iron Fly", D2597="Iron Fly "),LEN(E2597)-LEN(SUBSTITUTE(E2597,"/",""))+2,LEN(E2597)-LEN(SUBSTITUTE(E2597,"/",""))+1))</f>
        <v/>
      </c>
      <c r="I2597" s="78">
        <f>IF(ISBLANK(G2597),"",IF(D2597="Stock","0",Key!$A$3*H2597*G2597))</f>
        <v/>
      </c>
      <c r="J2597" s="78">
        <f>IF(ISBLANK(E2597),"",IF(ISNUMBER(SEARCH("/",E2597)), IF(LEN(E2597)-LEN(SUBSTITUTE(E2597,"/",""))=1,(RIGHT(E2597,LEN(E2597)-FIND("/",E2597)))-(LEFT(E2597,FIND("/",E2597)-1)),(MID(E2597, SEARCH("/",E2597) + 1, SEARCH("/",E2597, SEARCH("/",E2597)+1) - SEARCH("/",E2597) - 1))-(LEFT(E2597,FIND("/",E2597)-1))), "NA"))</f>
        <v/>
      </c>
      <c r="K2597" s="79">
        <f>IF(A2597&lt;&gt;"", IF(ISBLANK(L2597), TODAY(), K2597), "")</f>
        <v/>
      </c>
      <c r="L2597" s="78" t="n"/>
      <c r="M2597" s="78">
        <f>IF(ISBLANK(L2597),"",IF(D2597="Stock",IF(C2597="Buy",L2597*G2597,IF(C2597="Sell",(L2597*G2597)-I2597, X)),IF(C2597="Buy",(L2597*G2597*100)+I2597,IF(C2597="Sell",(L2597*G2597*100)-I2597, X))))</f>
        <v/>
      </c>
      <c r="N2597" s="78">
        <f>IF(ISBLANK(L2597),"",IF(AND(C2597="Sell",D2597="Stock"),M2597,IF(ISBLANK(L2597),"",IF(C2597="Buy",M2597, IF(AND(C2597="Sell",J2597="NA"),(E2597*G2597*100*0.1)+I2597, IF(C2597="Sell",(J2597-L2597)*(100*G2597)+I2597))))))</f>
        <v/>
      </c>
      <c r="O2597" s="75" t="n"/>
      <c r="P2597" s="75" t="n"/>
      <c r="Q2597" s="75">
        <f>IF(ISBLANK(P2597),"",IF(D2597="Stock",P2597*G2597,IF(P2597=0,"0",G2597*P2597*100-(G2597*$AF$14))))</f>
        <v/>
      </c>
      <c r="R2597" s="79">
        <f>IF(P2597&lt;&gt;"", TODAY(), "")</f>
        <v/>
      </c>
      <c r="S2597" s="78">
        <f>IF(AND(K2597&lt;&gt;"", R2597&lt;&gt;""), R2597-K2597, "")</f>
        <v/>
      </c>
      <c r="T2597" s="78" t="n"/>
      <c r="U2597" s="92">
        <f>IF(ISBLANK(P2597),"",IF(C2597="Buy",Q2597-M2597+T2597, IF(C2597="Sell",M2597-Q2597-T2597, X)))</f>
        <v/>
      </c>
      <c r="V2597" s="81">
        <f>IF(ISBLANK(P2597),"",U2597/N2597)</f>
        <v/>
      </c>
      <c r="W2597" s="81">
        <f>IF(ISBLANK(P2597),"",IF(S2597=0,(365/0.5)*V2597,(365/S2597)*V2597))</f>
        <v/>
      </c>
      <c r="X2597" s="75" t="n"/>
      <c r="Y2597" s="77" t="n"/>
      <c r="Z2597" s="77" t="n"/>
      <c r="AA2597" s="75" t="n"/>
      <c r="AB2597" s="75" t="n"/>
      <c r="AC2597" s="6" t="n"/>
      <c r="AD2597" s="75" t="n"/>
      <c r="AE2597" s="75" t="n"/>
      <c r="AF2597" s="75" t="n"/>
    </row>
    <row r="2598" ht="15.75" customHeight="1" s="133">
      <c r="A2598" s="75" t="n"/>
      <c r="B2598" s="75" t="n"/>
      <c r="C2598" s="75" t="n"/>
      <c r="D2598" s="75" t="n"/>
      <c r="E2598" s="76" t="n"/>
      <c r="F2598" s="77" t="n"/>
      <c r="G2598" s="75" t="n"/>
      <c r="H2598" s="75">
        <f>IF(ISBLANK(E2598),"",IF(OR(D2598="Butterfly",D2598="Butterfly ",D2598="Iron Fly", D2598="Iron Fly "),LEN(E2598)-LEN(SUBSTITUTE(E2598,"/",""))+2,LEN(E2598)-LEN(SUBSTITUTE(E2598,"/",""))+1))</f>
        <v/>
      </c>
      <c r="I2598" s="78">
        <f>IF(ISBLANK(G2598),"",IF(D2598="Stock","0",Key!$A$3*H2598*G2598))</f>
        <v/>
      </c>
      <c r="J2598" s="78">
        <f>IF(ISBLANK(E2598),"",IF(ISNUMBER(SEARCH("/",E2598)), IF(LEN(E2598)-LEN(SUBSTITUTE(E2598,"/",""))=1,(RIGHT(E2598,LEN(E2598)-FIND("/",E2598)))-(LEFT(E2598,FIND("/",E2598)-1)),(MID(E2598, SEARCH("/",E2598) + 1, SEARCH("/",E2598, SEARCH("/",E2598)+1) - SEARCH("/",E2598) - 1))-(LEFT(E2598,FIND("/",E2598)-1))), "NA"))</f>
        <v/>
      </c>
      <c r="K2598" s="79">
        <f>IF(A2598&lt;&gt;"", IF(ISBLANK(L2598), TODAY(), K2598), "")</f>
        <v/>
      </c>
      <c r="L2598" s="78" t="n"/>
      <c r="M2598" s="78">
        <f>IF(ISBLANK(L2598),"",IF(D2598="Stock",IF(C2598="Buy",L2598*G2598,IF(C2598="Sell",(L2598*G2598)-I2598, X)),IF(C2598="Buy",(L2598*G2598*100)+I2598,IF(C2598="Sell",(L2598*G2598*100)-I2598, X))))</f>
        <v/>
      </c>
      <c r="N2598" s="78">
        <f>IF(ISBLANK(L2598),"",IF(AND(C2598="Sell",D2598="Stock"),M2598,IF(ISBLANK(L2598),"",IF(C2598="Buy",M2598, IF(AND(C2598="Sell",J2598="NA"),(E2598*G2598*100*0.1)+I2598, IF(C2598="Sell",(J2598-L2598)*(100*G2598)+I2598))))))</f>
        <v/>
      </c>
      <c r="O2598" s="75" t="n"/>
      <c r="P2598" s="75" t="n"/>
      <c r="Q2598" s="75">
        <f>IF(ISBLANK(P2598),"",IF(D2598="Stock",P2598*G2598,IF(P2598=0,"0",G2598*P2598*100-(G2598*$AF$14))))</f>
        <v/>
      </c>
      <c r="R2598" s="79">
        <f>IF(P2598&lt;&gt;"", TODAY(), "")</f>
        <v/>
      </c>
      <c r="S2598" s="78">
        <f>IF(AND(K2598&lt;&gt;"", R2598&lt;&gt;""), R2598-K2598, "")</f>
        <v/>
      </c>
      <c r="T2598" s="78" t="n"/>
      <c r="U2598" s="92">
        <f>IF(ISBLANK(P2598),"",IF(C2598="Buy",Q2598-M2598+T2598, IF(C2598="Sell",M2598-Q2598-T2598, X)))</f>
        <v/>
      </c>
      <c r="V2598" s="81">
        <f>IF(ISBLANK(P2598),"",U2598/N2598)</f>
        <v/>
      </c>
      <c r="W2598" s="81">
        <f>IF(ISBLANK(P2598),"",IF(S2598=0,(365/0.5)*V2598,(365/S2598)*V2598))</f>
        <v/>
      </c>
      <c r="X2598" s="75" t="n"/>
      <c r="Y2598" s="77" t="n"/>
      <c r="Z2598" s="77" t="n"/>
      <c r="AA2598" s="75" t="n"/>
      <c r="AB2598" s="75" t="n"/>
      <c r="AC2598" s="6" t="n"/>
      <c r="AD2598" s="75" t="n"/>
      <c r="AE2598" s="75" t="n"/>
      <c r="AF2598" s="75" t="n"/>
    </row>
    <row r="2599" ht="15.75" customHeight="1" s="133">
      <c r="A2599" s="75" t="n"/>
      <c r="B2599" s="75" t="n"/>
      <c r="C2599" s="75" t="n"/>
      <c r="D2599" s="75" t="n"/>
      <c r="E2599" s="76" t="n"/>
      <c r="F2599" s="77" t="n"/>
      <c r="G2599" s="75" t="n"/>
      <c r="H2599" s="75">
        <f>IF(ISBLANK(E2599),"",IF(OR(D2599="Butterfly",D2599="Butterfly ",D2599="Iron Fly", D2599="Iron Fly "),LEN(E2599)-LEN(SUBSTITUTE(E2599,"/",""))+2,LEN(E2599)-LEN(SUBSTITUTE(E2599,"/",""))+1))</f>
        <v/>
      </c>
      <c r="I2599" s="78">
        <f>IF(ISBLANK(G2599),"",IF(D2599="Stock","0",Key!$A$3*H2599*G2599))</f>
        <v/>
      </c>
      <c r="J2599" s="78">
        <f>IF(ISBLANK(E2599),"",IF(ISNUMBER(SEARCH("/",E2599)), IF(LEN(E2599)-LEN(SUBSTITUTE(E2599,"/",""))=1,(RIGHT(E2599,LEN(E2599)-FIND("/",E2599)))-(LEFT(E2599,FIND("/",E2599)-1)),(MID(E2599, SEARCH("/",E2599) + 1, SEARCH("/",E2599, SEARCH("/",E2599)+1) - SEARCH("/",E2599) - 1))-(LEFT(E2599,FIND("/",E2599)-1))), "NA"))</f>
        <v/>
      </c>
      <c r="K2599" s="79">
        <f>IF(A2599&lt;&gt;"", IF(ISBLANK(L2599), TODAY(), K2599), "")</f>
        <v/>
      </c>
      <c r="L2599" s="78" t="n"/>
      <c r="M2599" s="78">
        <f>IF(ISBLANK(L2599),"",IF(D2599="Stock",IF(C2599="Buy",L2599*G2599,IF(C2599="Sell",(L2599*G2599)-I2599, X)),IF(C2599="Buy",(L2599*G2599*100)+I2599,IF(C2599="Sell",(L2599*G2599*100)-I2599, X))))</f>
        <v/>
      </c>
      <c r="N2599" s="78">
        <f>IF(ISBLANK(L2599),"",IF(AND(C2599="Sell",D2599="Stock"),M2599,IF(ISBLANK(L2599),"",IF(C2599="Buy",M2599, IF(AND(C2599="Sell",J2599="NA"),(E2599*G2599*100*0.1)+I2599, IF(C2599="Sell",(J2599-L2599)*(100*G2599)+I2599))))))</f>
        <v/>
      </c>
      <c r="O2599" s="75" t="n"/>
      <c r="P2599" s="75" t="n"/>
      <c r="Q2599" s="75">
        <f>IF(ISBLANK(P2599),"",IF(D2599="Stock",P2599*G2599,IF(P2599=0,"0",G2599*P2599*100-(G2599*$AF$14))))</f>
        <v/>
      </c>
      <c r="R2599" s="79">
        <f>IF(P2599&lt;&gt;"", TODAY(), "")</f>
        <v/>
      </c>
      <c r="S2599" s="78">
        <f>IF(AND(K2599&lt;&gt;"", R2599&lt;&gt;""), R2599-K2599, "")</f>
        <v/>
      </c>
      <c r="T2599" s="78" t="n"/>
      <c r="U2599" s="92">
        <f>IF(ISBLANK(P2599),"",IF(C2599="Buy",Q2599-M2599+T2599, IF(C2599="Sell",M2599-Q2599-T2599, X)))</f>
        <v/>
      </c>
      <c r="V2599" s="81">
        <f>IF(ISBLANK(P2599),"",U2599/N2599)</f>
        <v/>
      </c>
      <c r="W2599" s="81">
        <f>IF(ISBLANK(P2599),"",IF(S2599=0,(365/0.5)*V2599,(365/S2599)*V2599))</f>
        <v/>
      </c>
      <c r="X2599" s="75" t="n"/>
      <c r="Y2599" s="77" t="n"/>
      <c r="Z2599" s="77" t="n"/>
      <c r="AA2599" s="75" t="n"/>
      <c r="AB2599" s="75" t="n"/>
      <c r="AC2599" s="6" t="n"/>
      <c r="AD2599" s="75" t="n"/>
      <c r="AE2599" s="75" t="n"/>
      <c r="AF2599" s="75" t="n"/>
    </row>
    <row r="2600" ht="15.75" customHeight="1" s="133">
      <c r="A2600" s="75" t="n"/>
      <c r="B2600" s="75" t="n"/>
      <c r="C2600" s="75" t="n"/>
      <c r="D2600" s="75" t="n"/>
      <c r="E2600" s="76" t="n"/>
      <c r="F2600" s="77" t="n"/>
      <c r="G2600" s="75" t="n"/>
      <c r="H2600" s="75">
        <f>IF(ISBLANK(E2600),"",IF(OR(D2600="Butterfly",D2600="Butterfly ",D2600="Iron Fly", D2600="Iron Fly "),LEN(E2600)-LEN(SUBSTITUTE(E2600,"/",""))+2,LEN(E2600)-LEN(SUBSTITUTE(E2600,"/",""))+1))</f>
        <v/>
      </c>
      <c r="I2600" s="78">
        <f>IF(ISBLANK(G2600),"",IF(D2600="Stock","0",Key!$A$3*H2600*G2600))</f>
        <v/>
      </c>
      <c r="J2600" s="78">
        <f>IF(ISBLANK(E2600),"",IF(ISNUMBER(SEARCH("/",E2600)), IF(LEN(E2600)-LEN(SUBSTITUTE(E2600,"/",""))=1,(RIGHT(E2600,LEN(E2600)-FIND("/",E2600)))-(LEFT(E2600,FIND("/",E2600)-1)),(MID(E2600, SEARCH("/",E2600) + 1, SEARCH("/",E2600, SEARCH("/",E2600)+1) - SEARCH("/",E2600) - 1))-(LEFT(E2600,FIND("/",E2600)-1))), "NA"))</f>
        <v/>
      </c>
      <c r="K2600" s="79">
        <f>IF(A2600&lt;&gt;"", IF(ISBLANK(L2600), TODAY(), K2600), "")</f>
        <v/>
      </c>
      <c r="L2600" s="78" t="n"/>
      <c r="M2600" s="78">
        <f>IF(ISBLANK(L2600),"",IF(D2600="Stock",IF(C2600="Buy",L2600*G2600,IF(C2600="Sell",(L2600*G2600)-I2600, X)),IF(C2600="Buy",(L2600*G2600*100)+I2600,IF(C2600="Sell",(L2600*G2600*100)-I2600, X))))</f>
        <v/>
      </c>
      <c r="N2600" s="78">
        <f>IF(ISBLANK(L2600),"",IF(AND(C2600="Sell",D2600="Stock"),M2600,IF(ISBLANK(L2600),"",IF(C2600="Buy",M2600, IF(AND(C2600="Sell",J2600="NA"),(E2600*G2600*100*0.1)+I2600, IF(C2600="Sell",(J2600-L2600)*(100*G2600)+I2600))))))</f>
        <v/>
      </c>
      <c r="O2600" s="75" t="n"/>
      <c r="P2600" s="75" t="n"/>
      <c r="Q2600" s="75">
        <f>IF(ISBLANK(P2600),"",IF(D2600="Stock",P2600*G2600,IF(P2600=0,"0",G2600*P2600*100-(G2600*$AF$14))))</f>
        <v/>
      </c>
      <c r="R2600" s="79">
        <f>IF(P2600&lt;&gt;"", TODAY(), "")</f>
        <v/>
      </c>
      <c r="S2600" s="78">
        <f>IF(AND(K2600&lt;&gt;"", R2600&lt;&gt;""), R2600-K2600, "")</f>
        <v/>
      </c>
      <c r="T2600" s="78" t="n"/>
      <c r="U2600" s="92">
        <f>IF(ISBLANK(P2600),"",IF(C2600="Buy",Q2600-M2600+T2600, IF(C2600="Sell",M2600-Q2600-T2600, X)))</f>
        <v/>
      </c>
      <c r="V2600" s="81">
        <f>IF(ISBLANK(P2600),"",U2600/N2600)</f>
        <v/>
      </c>
      <c r="W2600" s="81">
        <f>IF(ISBLANK(P2600),"",IF(S2600=0,(365/0.5)*V2600,(365/S2600)*V2600))</f>
        <v/>
      </c>
      <c r="X2600" s="75" t="n"/>
      <c r="Y2600" s="77" t="n"/>
      <c r="Z2600" s="77" t="n"/>
      <c r="AA2600" s="75" t="n"/>
      <c r="AB2600" s="75" t="n"/>
      <c r="AC2600" s="6" t="n"/>
      <c r="AD2600" s="75" t="n"/>
      <c r="AE2600" s="75" t="n"/>
      <c r="AF2600" s="75" t="n"/>
    </row>
    <row r="2601" ht="15.75" customHeight="1" s="133">
      <c r="A2601" s="75" t="n"/>
      <c r="B2601" s="75" t="n"/>
      <c r="C2601" s="75" t="n"/>
      <c r="D2601" s="75" t="n"/>
      <c r="E2601" s="76" t="n"/>
      <c r="F2601" s="77" t="n"/>
      <c r="G2601" s="75" t="n"/>
      <c r="H2601" s="75">
        <f>IF(ISBLANK(E2601),"",IF(OR(D2601="Butterfly",D2601="Butterfly ",D2601="Iron Fly", D2601="Iron Fly "),LEN(E2601)-LEN(SUBSTITUTE(E2601,"/",""))+2,LEN(E2601)-LEN(SUBSTITUTE(E2601,"/",""))+1))</f>
        <v/>
      </c>
      <c r="I2601" s="78">
        <f>IF(ISBLANK(G2601),"",IF(D2601="Stock","0",Key!$A$3*H2601*G2601))</f>
        <v/>
      </c>
      <c r="J2601" s="78">
        <f>IF(ISBLANK(E2601),"",IF(ISNUMBER(SEARCH("/",E2601)), IF(LEN(E2601)-LEN(SUBSTITUTE(E2601,"/",""))=1,(RIGHT(E2601,LEN(E2601)-FIND("/",E2601)))-(LEFT(E2601,FIND("/",E2601)-1)),(MID(E2601, SEARCH("/",E2601) + 1, SEARCH("/",E2601, SEARCH("/",E2601)+1) - SEARCH("/",E2601) - 1))-(LEFT(E2601,FIND("/",E2601)-1))), "NA"))</f>
        <v/>
      </c>
      <c r="K2601" s="79">
        <f>IF(A2601&lt;&gt;"", IF(ISBLANK(L2601), TODAY(), K2601), "")</f>
        <v/>
      </c>
      <c r="L2601" s="78" t="n"/>
      <c r="M2601" s="78">
        <f>IF(ISBLANK(L2601),"",IF(D2601="Stock",IF(C2601="Buy",L2601*G2601,IF(C2601="Sell",(L2601*G2601)-I2601, X)),IF(C2601="Buy",(L2601*G2601*100)+I2601,IF(C2601="Sell",(L2601*G2601*100)-I2601, X))))</f>
        <v/>
      </c>
      <c r="N2601" s="78">
        <f>IF(ISBLANK(L2601),"",IF(AND(C2601="Sell",D2601="Stock"),M2601,IF(ISBLANK(L2601),"",IF(C2601="Buy",M2601, IF(AND(C2601="Sell",J2601="NA"),(E2601*G2601*100*0.1)+I2601, IF(C2601="Sell",(J2601-L2601)*(100*G2601)+I2601))))))</f>
        <v/>
      </c>
      <c r="O2601" s="75" t="n"/>
      <c r="P2601" s="75" t="n"/>
      <c r="Q2601" s="75">
        <f>IF(ISBLANK(P2601),"",IF(D2601="Stock",P2601*G2601,IF(P2601=0,"0",G2601*P2601*100-(G2601*$AF$14))))</f>
        <v/>
      </c>
      <c r="R2601" s="79">
        <f>IF(P2601&lt;&gt;"", TODAY(), "")</f>
        <v/>
      </c>
      <c r="S2601" s="78">
        <f>IF(AND(K2601&lt;&gt;"", R2601&lt;&gt;""), R2601-K2601, "")</f>
        <v/>
      </c>
      <c r="T2601" s="78" t="n"/>
      <c r="U2601" s="92">
        <f>IF(ISBLANK(P2601),"",IF(C2601="Buy",Q2601-M2601+T2601, IF(C2601="Sell",M2601-Q2601-T2601, X)))</f>
        <v/>
      </c>
      <c r="V2601" s="81">
        <f>IF(ISBLANK(P2601),"",U2601/N2601)</f>
        <v/>
      </c>
      <c r="W2601" s="81">
        <f>IF(ISBLANK(P2601),"",IF(S2601=0,(365/0.5)*V2601,(365/S2601)*V2601))</f>
        <v/>
      </c>
      <c r="X2601" s="75" t="n"/>
      <c r="Y2601" s="77" t="n"/>
      <c r="Z2601" s="77" t="n"/>
      <c r="AA2601" s="75" t="n"/>
      <c r="AB2601" s="75" t="n"/>
      <c r="AC2601" s="6" t="n"/>
      <c r="AD2601" s="75" t="n"/>
      <c r="AE2601" s="75" t="n"/>
      <c r="AF2601" s="75" t="n"/>
    </row>
    <row r="2602" ht="15.75" customHeight="1" s="133">
      <c r="A2602" s="75" t="n"/>
      <c r="B2602" s="75" t="n"/>
      <c r="C2602" s="75" t="n"/>
      <c r="D2602" s="75" t="n"/>
      <c r="E2602" s="76" t="n"/>
      <c r="F2602" s="77" t="n"/>
      <c r="G2602" s="75" t="n"/>
      <c r="H2602" s="75">
        <f>IF(ISBLANK(E2602),"",IF(OR(D2602="Butterfly",D2602="Butterfly ",D2602="Iron Fly", D2602="Iron Fly "),LEN(E2602)-LEN(SUBSTITUTE(E2602,"/",""))+2,LEN(E2602)-LEN(SUBSTITUTE(E2602,"/",""))+1))</f>
        <v/>
      </c>
      <c r="I2602" s="78">
        <f>IF(ISBLANK(G2602),"",IF(D2602="Stock","0",Key!$A$3*H2602*G2602))</f>
        <v/>
      </c>
      <c r="J2602" s="78">
        <f>IF(ISBLANK(E2602),"",IF(ISNUMBER(SEARCH("/",E2602)), IF(LEN(E2602)-LEN(SUBSTITUTE(E2602,"/",""))=1,(RIGHT(E2602,LEN(E2602)-FIND("/",E2602)))-(LEFT(E2602,FIND("/",E2602)-1)),(MID(E2602, SEARCH("/",E2602) + 1, SEARCH("/",E2602, SEARCH("/",E2602)+1) - SEARCH("/",E2602) - 1))-(LEFT(E2602,FIND("/",E2602)-1))), "NA"))</f>
        <v/>
      </c>
      <c r="K2602" s="79">
        <f>IF(A2602&lt;&gt;"", IF(ISBLANK(L2602), TODAY(), K2602), "")</f>
        <v/>
      </c>
      <c r="L2602" s="78" t="n"/>
      <c r="M2602" s="78">
        <f>IF(ISBLANK(L2602),"",IF(D2602="Stock",IF(C2602="Buy",L2602*G2602,IF(C2602="Sell",(L2602*G2602)-I2602, X)),IF(C2602="Buy",(L2602*G2602*100)+I2602,IF(C2602="Sell",(L2602*G2602*100)-I2602, X))))</f>
        <v/>
      </c>
      <c r="N2602" s="78">
        <f>IF(ISBLANK(L2602),"",IF(AND(C2602="Sell",D2602="Stock"),M2602,IF(ISBLANK(L2602),"",IF(C2602="Buy",M2602, IF(AND(C2602="Sell",J2602="NA"),(E2602*G2602*100*0.1)+I2602, IF(C2602="Sell",(J2602-L2602)*(100*G2602)+I2602))))))</f>
        <v/>
      </c>
      <c r="O2602" s="75" t="n"/>
      <c r="P2602" s="75" t="n"/>
      <c r="Q2602" s="75">
        <f>IF(ISBLANK(P2602),"",IF(D2602="Stock",P2602*G2602,IF(P2602=0,"0",G2602*P2602*100-(G2602*$AF$14))))</f>
        <v/>
      </c>
      <c r="R2602" s="79">
        <f>IF(P2602&lt;&gt;"", TODAY(), "")</f>
        <v/>
      </c>
      <c r="S2602" s="78">
        <f>IF(AND(K2602&lt;&gt;"", R2602&lt;&gt;""), R2602-K2602, "")</f>
        <v/>
      </c>
      <c r="T2602" s="78" t="n"/>
      <c r="U2602" s="92">
        <f>IF(ISBLANK(P2602),"",IF(C2602="Buy",Q2602-M2602+T2602, IF(C2602="Sell",M2602-Q2602-T2602, X)))</f>
        <v/>
      </c>
      <c r="V2602" s="81">
        <f>IF(ISBLANK(P2602),"",U2602/N2602)</f>
        <v/>
      </c>
      <c r="W2602" s="81">
        <f>IF(ISBLANK(P2602),"",IF(S2602=0,(365/0.5)*V2602,(365/S2602)*V2602))</f>
        <v/>
      </c>
      <c r="X2602" s="75" t="n"/>
      <c r="Y2602" s="77" t="n"/>
      <c r="Z2602" s="77" t="n"/>
      <c r="AA2602" s="75" t="n"/>
      <c r="AB2602" s="75" t="n"/>
      <c r="AC2602" s="6" t="n"/>
      <c r="AD2602" s="75" t="n"/>
      <c r="AE2602" s="75" t="n"/>
      <c r="AF2602" s="75" t="n"/>
    </row>
    <row r="2603" ht="15.75" customHeight="1" s="133">
      <c r="A2603" s="75" t="n"/>
      <c r="B2603" s="75" t="n"/>
      <c r="C2603" s="75" t="n"/>
      <c r="D2603" s="75" t="n"/>
      <c r="E2603" s="76" t="n"/>
      <c r="F2603" s="77" t="n"/>
      <c r="G2603" s="75" t="n"/>
      <c r="H2603" s="75">
        <f>IF(ISBLANK(E2603),"",IF(OR(D2603="Butterfly",D2603="Butterfly ",D2603="Iron Fly", D2603="Iron Fly "),LEN(E2603)-LEN(SUBSTITUTE(E2603,"/",""))+2,LEN(E2603)-LEN(SUBSTITUTE(E2603,"/",""))+1))</f>
        <v/>
      </c>
      <c r="I2603" s="78">
        <f>IF(ISBLANK(G2603),"",IF(D2603="Stock","0",Key!$A$3*H2603*G2603))</f>
        <v/>
      </c>
      <c r="J2603" s="78">
        <f>IF(ISBLANK(E2603),"",IF(ISNUMBER(SEARCH("/",E2603)), IF(LEN(E2603)-LEN(SUBSTITUTE(E2603,"/",""))=1,(RIGHT(E2603,LEN(E2603)-FIND("/",E2603)))-(LEFT(E2603,FIND("/",E2603)-1)),(MID(E2603, SEARCH("/",E2603) + 1, SEARCH("/",E2603, SEARCH("/",E2603)+1) - SEARCH("/",E2603) - 1))-(LEFT(E2603,FIND("/",E2603)-1))), "NA"))</f>
        <v/>
      </c>
      <c r="K2603" s="79">
        <f>IF(A2603&lt;&gt;"", IF(ISBLANK(L2603), TODAY(), K2603), "")</f>
        <v/>
      </c>
      <c r="L2603" s="78" t="n"/>
      <c r="M2603" s="78">
        <f>IF(ISBLANK(L2603),"",IF(D2603="Stock",IF(C2603="Buy",L2603*G2603,IF(C2603="Sell",(L2603*G2603)-I2603, X)),IF(C2603="Buy",(L2603*G2603*100)+I2603,IF(C2603="Sell",(L2603*G2603*100)-I2603, X))))</f>
        <v/>
      </c>
      <c r="N2603" s="78">
        <f>IF(ISBLANK(L2603),"",IF(AND(C2603="Sell",D2603="Stock"),M2603,IF(ISBLANK(L2603),"",IF(C2603="Buy",M2603, IF(AND(C2603="Sell",J2603="NA"),(E2603*G2603*100*0.1)+I2603, IF(C2603="Sell",(J2603-L2603)*(100*G2603)+I2603))))))</f>
        <v/>
      </c>
      <c r="O2603" s="75" t="n"/>
      <c r="P2603" s="75" t="n"/>
      <c r="Q2603" s="75">
        <f>IF(ISBLANK(P2603),"",IF(D2603="Stock",P2603*G2603,IF(P2603=0,"0",G2603*P2603*100-(G2603*$AF$14))))</f>
        <v/>
      </c>
      <c r="R2603" s="79">
        <f>IF(P2603&lt;&gt;"", TODAY(), "")</f>
        <v/>
      </c>
      <c r="S2603" s="78">
        <f>IF(AND(K2603&lt;&gt;"", R2603&lt;&gt;""), R2603-K2603, "")</f>
        <v/>
      </c>
      <c r="T2603" s="78" t="n"/>
      <c r="U2603" s="92">
        <f>IF(ISBLANK(P2603),"",IF(C2603="Buy",Q2603-M2603+T2603, IF(C2603="Sell",M2603-Q2603-T2603, X)))</f>
        <v/>
      </c>
      <c r="V2603" s="81">
        <f>IF(ISBLANK(P2603),"",U2603/N2603)</f>
        <v/>
      </c>
      <c r="W2603" s="81">
        <f>IF(ISBLANK(P2603),"",IF(S2603=0,(365/0.5)*V2603,(365/S2603)*V2603))</f>
        <v/>
      </c>
      <c r="X2603" s="75" t="n"/>
      <c r="Y2603" s="77" t="n"/>
      <c r="Z2603" s="77" t="n"/>
      <c r="AA2603" s="75" t="n"/>
      <c r="AB2603" s="75" t="n"/>
      <c r="AC2603" s="6" t="n"/>
      <c r="AD2603" s="75" t="n"/>
      <c r="AE2603" s="75" t="n"/>
      <c r="AF2603" s="75" t="n"/>
    </row>
    <row r="2604" ht="15.75" customHeight="1" s="133">
      <c r="A2604" s="75" t="n"/>
      <c r="B2604" s="75" t="n"/>
      <c r="C2604" s="75" t="n"/>
      <c r="D2604" s="75" t="n"/>
      <c r="E2604" s="76" t="n"/>
      <c r="F2604" s="77" t="n"/>
      <c r="G2604" s="75" t="n"/>
      <c r="H2604" s="75">
        <f>IF(ISBLANK(E2604),"",IF(OR(D2604="Butterfly",D2604="Butterfly ",D2604="Iron Fly", D2604="Iron Fly "),LEN(E2604)-LEN(SUBSTITUTE(E2604,"/",""))+2,LEN(E2604)-LEN(SUBSTITUTE(E2604,"/",""))+1))</f>
        <v/>
      </c>
      <c r="I2604" s="78">
        <f>IF(ISBLANK(G2604),"",IF(D2604="Stock","0",Key!$A$3*H2604*G2604))</f>
        <v/>
      </c>
      <c r="J2604" s="78">
        <f>IF(ISBLANK(E2604),"",IF(ISNUMBER(SEARCH("/",E2604)), IF(LEN(E2604)-LEN(SUBSTITUTE(E2604,"/",""))=1,(RIGHT(E2604,LEN(E2604)-FIND("/",E2604)))-(LEFT(E2604,FIND("/",E2604)-1)),(MID(E2604, SEARCH("/",E2604) + 1, SEARCH("/",E2604, SEARCH("/",E2604)+1) - SEARCH("/",E2604) - 1))-(LEFT(E2604,FIND("/",E2604)-1))), "NA"))</f>
        <v/>
      </c>
      <c r="K2604" s="79">
        <f>IF(A2604&lt;&gt;"", IF(ISBLANK(L2604), TODAY(), K2604), "")</f>
        <v/>
      </c>
      <c r="L2604" s="78" t="n"/>
      <c r="M2604" s="78">
        <f>IF(ISBLANK(L2604),"",IF(D2604="Stock",IF(C2604="Buy",L2604*G2604,IF(C2604="Sell",(L2604*G2604)-I2604, X)),IF(C2604="Buy",(L2604*G2604*100)+I2604,IF(C2604="Sell",(L2604*G2604*100)-I2604, X))))</f>
        <v/>
      </c>
      <c r="N2604" s="78">
        <f>IF(ISBLANK(L2604),"",IF(AND(C2604="Sell",D2604="Stock"),M2604,IF(ISBLANK(L2604),"",IF(C2604="Buy",M2604, IF(AND(C2604="Sell",J2604="NA"),(E2604*G2604*100*0.1)+I2604, IF(C2604="Sell",(J2604-L2604)*(100*G2604)+I2604))))))</f>
        <v/>
      </c>
      <c r="O2604" s="75" t="n"/>
      <c r="P2604" s="75" t="n"/>
      <c r="Q2604" s="75">
        <f>IF(ISBLANK(P2604),"",IF(D2604="Stock",P2604*G2604,IF(P2604=0,"0",G2604*P2604*100-(G2604*$AF$14))))</f>
        <v/>
      </c>
      <c r="R2604" s="79">
        <f>IF(P2604&lt;&gt;"", TODAY(), "")</f>
        <v/>
      </c>
      <c r="S2604" s="78">
        <f>IF(AND(K2604&lt;&gt;"", R2604&lt;&gt;""), R2604-K2604, "")</f>
        <v/>
      </c>
      <c r="T2604" s="78" t="n"/>
      <c r="U2604" s="92">
        <f>IF(ISBLANK(P2604),"",IF(C2604="Buy",Q2604-M2604+T2604, IF(C2604="Sell",M2604-Q2604-T2604, X)))</f>
        <v/>
      </c>
      <c r="V2604" s="81">
        <f>IF(ISBLANK(P2604),"",U2604/N2604)</f>
        <v/>
      </c>
      <c r="W2604" s="81">
        <f>IF(ISBLANK(P2604),"",IF(S2604=0,(365/0.5)*V2604,(365/S2604)*V2604))</f>
        <v/>
      </c>
      <c r="X2604" s="75" t="n"/>
      <c r="Y2604" s="77" t="n"/>
      <c r="Z2604" s="77" t="n"/>
      <c r="AA2604" s="75" t="n"/>
      <c r="AB2604" s="75" t="n"/>
      <c r="AC2604" s="6" t="n"/>
      <c r="AD2604" s="75" t="n"/>
      <c r="AE2604" s="75" t="n"/>
      <c r="AF2604" s="75" t="n"/>
    </row>
    <row r="2605" ht="15.75" customHeight="1" s="133">
      <c r="A2605" s="75" t="n"/>
      <c r="B2605" s="75" t="n"/>
      <c r="C2605" s="75" t="n"/>
      <c r="D2605" s="75" t="n"/>
      <c r="E2605" s="76" t="n"/>
      <c r="F2605" s="77" t="n"/>
      <c r="G2605" s="75" t="n"/>
      <c r="H2605" s="75">
        <f>IF(ISBLANK(E2605),"",IF(OR(D2605="Butterfly",D2605="Butterfly ",D2605="Iron Fly", D2605="Iron Fly "),LEN(E2605)-LEN(SUBSTITUTE(E2605,"/",""))+2,LEN(E2605)-LEN(SUBSTITUTE(E2605,"/",""))+1))</f>
        <v/>
      </c>
      <c r="I2605" s="78">
        <f>IF(ISBLANK(G2605),"",IF(D2605="Stock","0",Key!$A$3*H2605*G2605))</f>
        <v/>
      </c>
      <c r="J2605" s="78">
        <f>IF(ISBLANK(E2605),"",IF(ISNUMBER(SEARCH("/",E2605)), IF(LEN(E2605)-LEN(SUBSTITUTE(E2605,"/",""))=1,(RIGHT(E2605,LEN(E2605)-FIND("/",E2605)))-(LEFT(E2605,FIND("/",E2605)-1)),(MID(E2605, SEARCH("/",E2605) + 1, SEARCH("/",E2605, SEARCH("/",E2605)+1) - SEARCH("/",E2605) - 1))-(LEFT(E2605,FIND("/",E2605)-1))), "NA"))</f>
        <v/>
      </c>
      <c r="K2605" s="79">
        <f>IF(A2605&lt;&gt;"", IF(ISBLANK(L2605), TODAY(), K2605), "")</f>
        <v/>
      </c>
      <c r="L2605" s="78" t="n"/>
      <c r="M2605" s="78">
        <f>IF(ISBLANK(L2605),"",IF(D2605="Stock",IF(C2605="Buy",L2605*G2605,IF(C2605="Sell",(L2605*G2605)-I2605, X)),IF(C2605="Buy",(L2605*G2605*100)+I2605,IF(C2605="Sell",(L2605*G2605*100)-I2605, X))))</f>
        <v/>
      </c>
      <c r="N2605" s="78">
        <f>IF(ISBLANK(L2605),"",IF(AND(C2605="Sell",D2605="Stock"),M2605,IF(ISBLANK(L2605),"",IF(C2605="Buy",M2605, IF(AND(C2605="Sell",J2605="NA"),(E2605*G2605*100*0.1)+I2605, IF(C2605="Sell",(J2605-L2605)*(100*G2605)+I2605))))))</f>
        <v/>
      </c>
      <c r="O2605" s="75" t="n"/>
      <c r="P2605" s="75" t="n"/>
      <c r="Q2605" s="75">
        <f>IF(ISBLANK(P2605),"",IF(D2605="Stock",P2605*G2605,IF(P2605=0,"0",G2605*P2605*100-(G2605*$AF$14))))</f>
        <v/>
      </c>
      <c r="R2605" s="79">
        <f>IF(P2605&lt;&gt;"", TODAY(), "")</f>
        <v/>
      </c>
      <c r="S2605" s="78">
        <f>IF(AND(K2605&lt;&gt;"", R2605&lt;&gt;""), R2605-K2605, "")</f>
        <v/>
      </c>
      <c r="T2605" s="78" t="n"/>
      <c r="U2605" s="92">
        <f>IF(ISBLANK(P2605),"",IF(C2605="Buy",Q2605-M2605+T2605, IF(C2605="Sell",M2605-Q2605-T2605, X)))</f>
        <v/>
      </c>
      <c r="V2605" s="81">
        <f>IF(ISBLANK(P2605),"",U2605/N2605)</f>
        <v/>
      </c>
      <c r="W2605" s="81">
        <f>IF(ISBLANK(P2605),"",IF(S2605=0,(365/0.5)*V2605,(365/S2605)*V2605))</f>
        <v/>
      </c>
      <c r="X2605" s="75" t="n"/>
      <c r="Y2605" s="77" t="n"/>
      <c r="Z2605" s="77" t="n"/>
      <c r="AA2605" s="75" t="n"/>
      <c r="AB2605" s="75" t="n"/>
      <c r="AC2605" s="6" t="n"/>
      <c r="AD2605" s="75" t="n"/>
      <c r="AE2605" s="75" t="n"/>
      <c r="AF2605" s="75" t="n"/>
    </row>
    <row r="2606" ht="15.75" customHeight="1" s="133">
      <c r="A2606" s="75" t="n"/>
      <c r="B2606" s="75" t="n"/>
      <c r="C2606" s="75" t="n"/>
      <c r="D2606" s="75" t="n"/>
      <c r="E2606" s="76" t="n"/>
      <c r="F2606" s="77" t="n"/>
      <c r="G2606" s="75" t="n"/>
      <c r="H2606" s="75">
        <f>IF(ISBLANK(E2606),"",IF(OR(D2606="Butterfly",D2606="Butterfly ",D2606="Iron Fly", D2606="Iron Fly "),LEN(E2606)-LEN(SUBSTITUTE(E2606,"/",""))+2,LEN(E2606)-LEN(SUBSTITUTE(E2606,"/",""))+1))</f>
        <v/>
      </c>
      <c r="I2606" s="78">
        <f>IF(ISBLANK(G2606),"",IF(D2606="Stock","0",Key!$A$3*H2606*G2606))</f>
        <v/>
      </c>
      <c r="J2606" s="78">
        <f>IF(ISBLANK(E2606),"",IF(ISNUMBER(SEARCH("/",E2606)), IF(LEN(E2606)-LEN(SUBSTITUTE(E2606,"/",""))=1,(RIGHT(E2606,LEN(E2606)-FIND("/",E2606)))-(LEFT(E2606,FIND("/",E2606)-1)),(MID(E2606, SEARCH("/",E2606) + 1, SEARCH("/",E2606, SEARCH("/",E2606)+1) - SEARCH("/",E2606) - 1))-(LEFT(E2606,FIND("/",E2606)-1))), "NA"))</f>
        <v/>
      </c>
      <c r="K2606" s="79">
        <f>IF(A2606&lt;&gt;"", IF(ISBLANK(L2606), TODAY(), K2606), "")</f>
        <v/>
      </c>
      <c r="L2606" s="78" t="n"/>
      <c r="M2606" s="78">
        <f>IF(ISBLANK(L2606),"",IF(D2606="Stock",IF(C2606="Buy",L2606*G2606,IF(C2606="Sell",(L2606*G2606)-I2606, X)),IF(C2606="Buy",(L2606*G2606*100)+I2606,IF(C2606="Sell",(L2606*G2606*100)-I2606, X))))</f>
        <v/>
      </c>
      <c r="N2606" s="78">
        <f>IF(ISBLANK(L2606),"",IF(AND(C2606="Sell",D2606="Stock"),M2606,IF(ISBLANK(L2606),"",IF(C2606="Buy",M2606, IF(AND(C2606="Sell",J2606="NA"),(E2606*G2606*100*0.1)+I2606, IF(C2606="Sell",(J2606-L2606)*(100*G2606)+I2606))))))</f>
        <v/>
      </c>
      <c r="O2606" s="75" t="n"/>
      <c r="P2606" s="75" t="n"/>
      <c r="Q2606" s="75">
        <f>IF(ISBLANK(P2606),"",IF(D2606="Stock",P2606*G2606,IF(P2606=0,"0",G2606*P2606*100-(G2606*$AF$14))))</f>
        <v/>
      </c>
      <c r="R2606" s="79">
        <f>IF(P2606&lt;&gt;"", TODAY(), "")</f>
        <v/>
      </c>
      <c r="S2606" s="78">
        <f>IF(AND(K2606&lt;&gt;"", R2606&lt;&gt;""), R2606-K2606, "")</f>
        <v/>
      </c>
      <c r="T2606" s="78" t="n"/>
      <c r="U2606" s="92">
        <f>IF(ISBLANK(P2606),"",IF(C2606="Buy",Q2606-M2606+T2606, IF(C2606="Sell",M2606-Q2606-T2606, X)))</f>
        <v/>
      </c>
      <c r="V2606" s="81">
        <f>IF(ISBLANK(P2606),"",U2606/N2606)</f>
        <v/>
      </c>
      <c r="W2606" s="81">
        <f>IF(ISBLANK(P2606),"",IF(S2606=0,(365/0.5)*V2606,(365/S2606)*V2606))</f>
        <v/>
      </c>
      <c r="X2606" s="75" t="n"/>
      <c r="Y2606" s="77" t="n"/>
      <c r="Z2606" s="77" t="n"/>
      <c r="AA2606" s="75" t="n"/>
      <c r="AB2606" s="75" t="n"/>
      <c r="AC2606" s="6" t="n"/>
      <c r="AD2606" s="75" t="n"/>
      <c r="AE2606" s="75" t="n"/>
      <c r="AF2606" s="75" t="n"/>
    </row>
    <row r="2607" ht="15.75" customHeight="1" s="133">
      <c r="A2607" s="75" t="n"/>
      <c r="B2607" s="75" t="n"/>
      <c r="C2607" s="75" t="n"/>
      <c r="D2607" s="75" t="n"/>
      <c r="E2607" s="76" t="n"/>
      <c r="F2607" s="77" t="n"/>
      <c r="G2607" s="75" t="n"/>
      <c r="H2607" s="75">
        <f>IF(ISBLANK(E2607),"",IF(OR(D2607="Butterfly",D2607="Butterfly ",D2607="Iron Fly", D2607="Iron Fly "),LEN(E2607)-LEN(SUBSTITUTE(E2607,"/",""))+2,LEN(E2607)-LEN(SUBSTITUTE(E2607,"/",""))+1))</f>
        <v/>
      </c>
      <c r="I2607" s="78">
        <f>IF(ISBLANK(G2607),"",IF(D2607="Stock","0",Key!$A$3*H2607*G2607))</f>
        <v/>
      </c>
      <c r="J2607" s="78">
        <f>IF(ISBLANK(E2607),"",IF(ISNUMBER(SEARCH("/",E2607)), IF(LEN(E2607)-LEN(SUBSTITUTE(E2607,"/",""))=1,(RIGHT(E2607,LEN(E2607)-FIND("/",E2607)))-(LEFT(E2607,FIND("/",E2607)-1)),(MID(E2607, SEARCH("/",E2607) + 1, SEARCH("/",E2607, SEARCH("/",E2607)+1) - SEARCH("/",E2607) - 1))-(LEFT(E2607,FIND("/",E2607)-1))), "NA"))</f>
        <v/>
      </c>
      <c r="K2607" s="79">
        <f>IF(A2607&lt;&gt;"", IF(ISBLANK(L2607), TODAY(), K2607), "")</f>
        <v/>
      </c>
      <c r="L2607" s="78" t="n"/>
      <c r="M2607" s="78">
        <f>IF(ISBLANK(L2607),"",IF(D2607="Stock",IF(C2607="Buy",L2607*G2607,IF(C2607="Sell",(L2607*G2607)-I2607, X)),IF(C2607="Buy",(L2607*G2607*100)+I2607,IF(C2607="Sell",(L2607*G2607*100)-I2607, X))))</f>
        <v/>
      </c>
      <c r="N2607" s="78">
        <f>IF(ISBLANK(L2607),"",IF(AND(C2607="Sell",D2607="Stock"),M2607,IF(ISBLANK(L2607),"",IF(C2607="Buy",M2607, IF(AND(C2607="Sell",J2607="NA"),(E2607*G2607*100*0.1)+I2607, IF(C2607="Sell",(J2607-L2607)*(100*G2607)+I2607))))))</f>
        <v/>
      </c>
      <c r="O2607" s="75" t="n"/>
      <c r="P2607" s="75" t="n"/>
      <c r="Q2607" s="75">
        <f>IF(ISBLANK(P2607),"",IF(D2607="Stock",P2607*G2607,IF(P2607=0,"0",G2607*P2607*100-(G2607*$AF$14))))</f>
        <v/>
      </c>
      <c r="R2607" s="79">
        <f>IF(P2607&lt;&gt;"", TODAY(), "")</f>
        <v/>
      </c>
      <c r="S2607" s="78">
        <f>IF(AND(K2607&lt;&gt;"", R2607&lt;&gt;""), R2607-K2607, "")</f>
        <v/>
      </c>
      <c r="T2607" s="78" t="n"/>
      <c r="U2607" s="92">
        <f>IF(ISBLANK(P2607),"",IF(C2607="Buy",Q2607-M2607+T2607, IF(C2607="Sell",M2607-Q2607-T2607, X)))</f>
        <v/>
      </c>
      <c r="V2607" s="81">
        <f>IF(ISBLANK(P2607),"",U2607/N2607)</f>
        <v/>
      </c>
      <c r="W2607" s="81">
        <f>IF(ISBLANK(P2607),"",IF(S2607=0,(365/0.5)*V2607,(365/S2607)*V2607))</f>
        <v/>
      </c>
      <c r="X2607" s="75" t="n"/>
      <c r="Y2607" s="77" t="n"/>
      <c r="Z2607" s="77" t="n"/>
      <c r="AA2607" s="75" t="n"/>
      <c r="AB2607" s="75" t="n"/>
      <c r="AC2607" s="6" t="n"/>
      <c r="AD2607" s="75" t="n"/>
      <c r="AE2607" s="75" t="n"/>
      <c r="AF2607" s="75" t="n"/>
    </row>
    <row r="2608" ht="15.75" customHeight="1" s="133">
      <c r="A2608" s="75" t="n"/>
      <c r="B2608" s="75" t="n"/>
      <c r="C2608" s="75" t="n"/>
      <c r="D2608" s="75" t="n"/>
      <c r="E2608" s="76" t="n"/>
      <c r="F2608" s="77" t="n"/>
      <c r="G2608" s="75" t="n"/>
      <c r="H2608" s="75">
        <f>IF(ISBLANK(E2608),"",IF(OR(D2608="Butterfly",D2608="Butterfly ",D2608="Iron Fly", D2608="Iron Fly "),LEN(E2608)-LEN(SUBSTITUTE(E2608,"/",""))+2,LEN(E2608)-LEN(SUBSTITUTE(E2608,"/",""))+1))</f>
        <v/>
      </c>
      <c r="I2608" s="78">
        <f>IF(ISBLANK(G2608),"",IF(D2608="Stock","0",Key!$A$3*H2608*G2608))</f>
        <v/>
      </c>
      <c r="J2608" s="78">
        <f>IF(ISBLANK(E2608),"",IF(ISNUMBER(SEARCH("/",E2608)), IF(LEN(E2608)-LEN(SUBSTITUTE(E2608,"/",""))=1,(RIGHT(E2608,LEN(E2608)-FIND("/",E2608)))-(LEFT(E2608,FIND("/",E2608)-1)),(MID(E2608, SEARCH("/",E2608) + 1, SEARCH("/",E2608, SEARCH("/",E2608)+1) - SEARCH("/",E2608) - 1))-(LEFT(E2608,FIND("/",E2608)-1))), "NA"))</f>
        <v/>
      </c>
      <c r="K2608" s="79">
        <f>IF(A2608&lt;&gt;"", IF(ISBLANK(L2608), TODAY(), K2608), "")</f>
        <v/>
      </c>
      <c r="L2608" s="78" t="n"/>
      <c r="M2608" s="78">
        <f>IF(ISBLANK(L2608),"",IF(D2608="Stock",IF(C2608="Buy",L2608*G2608,IF(C2608="Sell",(L2608*G2608)-I2608, X)),IF(C2608="Buy",(L2608*G2608*100)+I2608,IF(C2608="Sell",(L2608*G2608*100)-I2608, X))))</f>
        <v/>
      </c>
      <c r="N2608" s="78">
        <f>IF(ISBLANK(L2608),"",IF(AND(C2608="Sell",D2608="Stock"),M2608,IF(ISBLANK(L2608),"",IF(C2608="Buy",M2608, IF(AND(C2608="Sell",J2608="NA"),(E2608*G2608*100*0.1)+I2608, IF(C2608="Sell",(J2608-L2608)*(100*G2608)+I2608))))))</f>
        <v/>
      </c>
      <c r="O2608" s="75" t="n"/>
      <c r="P2608" s="75" t="n"/>
      <c r="Q2608" s="75">
        <f>IF(ISBLANK(P2608),"",IF(D2608="Stock",P2608*G2608,IF(P2608=0,"0",G2608*P2608*100-(G2608*$AF$14))))</f>
        <v/>
      </c>
      <c r="R2608" s="79">
        <f>IF(P2608&lt;&gt;"", TODAY(), "")</f>
        <v/>
      </c>
      <c r="S2608" s="78">
        <f>IF(AND(K2608&lt;&gt;"", R2608&lt;&gt;""), R2608-K2608, "")</f>
        <v/>
      </c>
      <c r="T2608" s="78" t="n"/>
      <c r="U2608" s="92">
        <f>IF(ISBLANK(P2608),"",IF(C2608="Buy",Q2608-M2608+T2608, IF(C2608="Sell",M2608-Q2608-T2608, X)))</f>
        <v/>
      </c>
      <c r="V2608" s="81">
        <f>IF(ISBLANK(P2608),"",U2608/N2608)</f>
        <v/>
      </c>
      <c r="W2608" s="81">
        <f>IF(ISBLANK(P2608),"",IF(S2608=0,(365/0.5)*V2608,(365/S2608)*V2608))</f>
        <v/>
      </c>
      <c r="X2608" s="75" t="n"/>
      <c r="Y2608" s="77" t="n"/>
      <c r="Z2608" s="77" t="n"/>
      <c r="AA2608" s="75" t="n"/>
      <c r="AB2608" s="75" t="n"/>
      <c r="AC2608" s="6" t="n"/>
      <c r="AD2608" s="75" t="n"/>
      <c r="AE2608" s="75" t="n"/>
      <c r="AF2608" s="75" t="n"/>
    </row>
    <row r="2609" ht="15.75" customHeight="1" s="133">
      <c r="A2609" s="75" t="n"/>
      <c r="B2609" s="75" t="n"/>
      <c r="C2609" s="75" t="n"/>
      <c r="D2609" s="75" t="n"/>
      <c r="E2609" s="76" t="n"/>
      <c r="F2609" s="77" t="n"/>
      <c r="G2609" s="75" t="n"/>
      <c r="H2609" s="75">
        <f>IF(ISBLANK(E2609),"",IF(OR(D2609="Butterfly",D2609="Butterfly ",D2609="Iron Fly", D2609="Iron Fly "),LEN(E2609)-LEN(SUBSTITUTE(E2609,"/",""))+2,LEN(E2609)-LEN(SUBSTITUTE(E2609,"/",""))+1))</f>
        <v/>
      </c>
      <c r="I2609" s="78">
        <f>IF(ISBLANK(G2609),"",IF(D2609="Stock","0",Key!$A$3*H2609*G2609))</f>
        <v/>
      </c>
      <c r="J2609" s="78">
        <f>IF(ISBLANK(E2609),"",IF(ISNUMBER(SEARCH("/",E2609)), IF(LEN(E2609)-LEN(SUBSTITUTE(E2609,"/",""))=1,(RIGHT(E2609,LEN(E2609)-FIND("/",E2609)))-(LEFT(E2609,FIND("/",E2609)-1)),(MID(E2609, SEARCH("/",E2609) + 1, SEARCH("/",E2609, SEARCH("/",E2609)+1) - SEARCH("/",E2609) - 1))-(LEFT(E2609,FIND("/",E2609)-1))), "NA"))</f>
        <v/>
      </c>
      <c r="K2609" s="79">
        <f>IF(A2609&lt;&gt;"", IF(ISBLANK(L2609), TODAY(), K2609), "")</f>
        <v/>
      </c>
      <c r="L2609" s="78" t="n"/>
      <c r="M2609" s="78">
        <f>IF(ISBLANK(L2609),"",IF(D2609="Stock",IF(C2609="Buy",L2609*G2609,IF(C2609="Sell",(L2609*G2609)-I2609, X)),IF(C2609="Buy",(L2609*G2609*100)+I2609,IF(C2609="Sell",(L2609*G2609*100)-I2609, X))))</f>
        <v/>
      </c>
      <c r="N2609" s="78">
        <f>IF(ISBLANK(L2609),"",IF(AND(C2609="Sell",D2609="Stock"),M2609,IF(ISBLANK(L2609),"",IF(C2609="Buy",M2609, IF(AND(C2609="Sell",J2609="NA"),(E2609*G2609*100*0.1)+I2609, IF(C2609="Sell",(J2609-L2609)*(100*G2609)+I2609))))))</f>
        <v/>
      </c>
      <c r="O2609" s="75" t="n"/>
      <c r="P2609" s="75" t="n"/>
      <c r="Q2609" s="75">
        <f>IF(ISBLANK(P2609),"",IF(D2609="Stock",P2609*G2609,IF(P2609=0,"0",G2609*P2609*100-(G2609*$AF$14))))</f>
        <v/>
      </c>
      <c r="R2609" s="79">
        <f>IF(P2609&lt;&gt;"", TODAY(), "")</f>
        <v/>
      </c>
      <c r="S2609" s="78">
        <f>IF(AND(K2609&lt;&gt;"", R2609&lt;&gt;""), R2609-K2609, "")</f>
        <v/>
      </c>
      <c r="T2609" s="78" t="n"/>
      <c r="U2609" s="92">
        <f>IF(ISBLANK(P2609),"",IF(C2609="Buy",Q2609-M2609+T2609, IF(C2609="Sell",M2609-Q2609-T2609, X)))</f>
        <v/>
      </c>
      <c r="V2609" s="81">
        <f>IF(ISBLANK(P2609),"",U2609/N2609)</f>
        <v/>
      </c>
      <c r="W2609" s="81">
        <f>IF(ISBLANK(P2609),"",IF(S2609=0,(365/0.5)*V2609,(365/S2609)*V2609))</f>
        <v/>
      </c>
      <c r="X2609" s="75" t="n"/>
      <c r="Y2609" s="77" t="n"/>
      <c r="Z2609" s="77" t="n"/>
      <c r="AA2609" s="75" t="n"/>
      <c r="AB2609" s="75" t="n"/>
      <c r="AC2609" s="6" t="n"/>
      <c r="AD2609" s="75" t="n"/>
      <c r="AE2609" s="75" t="n"/>
      <c r="AF2609" s="75" t="n"/>
    </row>
    <row r="2610" ht="15.75" customHeight="1" s="133">
      <c r="A2610" s="75" t="n"/>
      <c r="B2610" s="75" t="n"/>
      <c r="C2610" s="75" t="n"/>
      <c r="D2610" s="75" t="n"/>
      <c r="E2610" s="76" t="n"/>
      <c r="F2610" s="77" t="n"/>
      <c r="G2610" s="75" t="n"/>
      <c r="H2610" s="75">
        <f>IF(ISBLANK(E2610),"",IF(OR(D2610="Butterfly",D2610="Butterfly ",D2610="Iron Fly", D2610="Iron Fly "),LEN(E2610)-LEN(SUBSTITUTE(E2610,"/",""))+2,LEN(E2610)-LEN(SUBSTITUTE(E2610,"/",""))+1))</f>
        <v/>
      </c>
      <c r="I2610" s="78">
        <f>IF(ISBLANK(G2610),"",IF(D2610="Stock","0",Key!$A$3*H2610*G2610))</f>
        <v/>
      </c>
      <c r="J2610" s="78">
        <f>IF(ISBLANK(E2610),"",IF(ISNUMBER(SEARCH("/",E2610)), IF(LEN(E2610)-LEN(SUBSTITUTE(E2610,"/",""))=1,(RIGHT(E2610,LEN(E2610)-FIND("/",E2610)))-(LEFT(E2610,FIND("/",E2610)-1)),(MID(E2610, SEARCH("/",E2610) + 1, SEARCH("/",E2610, SEARCH("/",E2610)+1) - SEARCH("/",E2610) - 1))-(LEFT(E2610,FIND("/",E2610)-1))), "NA"))</f>
        <v/>
      </c>
      <c r="K2610" s="79">
        <f>IF(A2610&lt;&gt;"", IF(ISBLANK(L2610), TODAY(), K2610), "")</f>
        <v/>
      </c>
      <c r="L2610" s="78" t="n"/>
      <c r="M2610" s="78">
        <f>IF(ISBLANK(L2610),"",IF(D2610="Stock",IF(C2610="Buy",L2610*G2610,IF(C2610="Sell",(L2610*G2610)-I2610, X)),IF(C2610="Buy",(L2610*G2610*100)+I2610,IF(C2610="Sell",(L2610*G2610*100)-I2610, X))))</f>
        <v/>
      </c>
      <c r="N2610" s="78">
        <f>IF(ISBLANK(L2610),"",IF(AND(C2610="Sell",D2610="Stock"),M2610,IF(ISBLANK(L2610),"",IF(C2610="Buy",M2610, IF(AND(C2610="Sell",J2610="NA"),(E2610*G2610*100*0.1)+I2610, IF(C2610="Sell",(J2610-L2610)*(100*G2610)+I2610))))))</f>
        <v/>
      </c>
      <c r="O2610" s="75" t="n"/>
      <c r="P2610" s="75" t="n"/>
      <c r="Q2610" s="75">
        <f>IF(ISBLANK(P2610),"",IF(D2610="Stock",P2610*G2610,IF(P2610=0,"0",G2610*P2610*100-(G2610*$AF$14))))</f>
        <v/>
      </c>
      <c r="R2610" s="79">
        <f>IF(P2610&lt;&gt;"", TODAY(), "")</f>
        <v/>
      </c>
      <c r="S2610" s="78">
        <f>IF(AND(K2610&lt;&gt;"", R2610&lt;&gt;""), R2610-K2610, "")</f>
        <v/>
      </c>
      <c r="T2610" s="78" t="n"/>
      <c r="U2610" s="92">
        <f>IF(ISBLANK(P2610),"",IF(C2610="Buy",Q2610-M2610+T2610, IF(C2610="Sell",M2610-Q2610-T2610, X)))</f>
        <v/>
      </c>
      <c r="V2610" s="81">
        <f>IF(ISBLANK(P2610),"",U2610/N2610)</f>
        <v/>
      </c>
      <c r="W2610" s="81">
        <f>IF(ISBLANK(P2610),"",IF(S2610=0,(365/0.5)*V2610,(365/S2610)*V2610))</f>
        <v/>
      </c>
      <c r="X2610" s="75" t="n"/>
      <c r="Y2610" s="77" t="n"/>
      <c r="Z2610" s="77" t="n"/>
      <c r="AA2610" s="75" t="n"/>
      <c r="AB2610" s="75" t="n"/>
      <c r="AC2610" s="6" t="n"/>
      <c r="AD2610" s="75" t="n"/>
      <c r="AE2610" s="75" t="n"/>
      <c r="AF2610" s="75" t="n"/>
    </row>
    <row r="2611" ht="15.75" customHeight="1" s="133">
      <c r="A2611" s="75" t="n"/>
      <c r="B2611" s="75" t="n"/>
      <c r="C2611" s="75" t="n"/>
      <c r="D2611" s="75" t="n"/>
      <c r="E2611" s="76" t="n"/>
      <c r="F2611" s="77" t="n"/>
      <c r="G2611" s="75" t="n"/>
      <c r="H2611" s="75">
        <f>IF(ISBLANK(E2611),"",IF(OR(D2611="Butterfly",D2611="Butterfly ",D2611="Iron Fly", D2611="Iron Fly "),LEN(E2611)-LEN(SUBSTITUTE(E2611,"/",""))+2,LEN(E2611)-LEN(SUBSTITUTE(E2611,"/",""))+1))</f>
        <v/>
      </c>
      <c r="I2611" s="78">
        <f>IF(ISBLANK(G2611),"",IF(D2611="Stock","0",Key!$A$3*H2611*G2611))</f>
        <v/>
      </c>
      <c r="J2611" s="78">
        <f>IF(ISBLANK(E2611),"",IF(ISNUMBER(SEARCH("/",E2611)), IF(LEN(E2611)-LEN(SUBSTITUTE(E2611,"/",""))=1,(RIGHT(E2611,LEN(E2611)-FIND("/",E2611)))-(LEFT(E2611,FIND("/",E2611)-1)),(MID(E2611, SEARCH("/",E2611) + 1, SEARCH("/",E2611, SEARCH("/",E2611)+1) - SEARCH("/",E2611) - 1))-(LEFT(E2611,FIND("/",E2611)-1))), "NA"))</f>
        <v/>
      </c>
      <c r="K2611" s="79">
        <f>IF(A2611&lt;&gt;"", IF(ISBLANK(L2611), TODAY(), K2611), "")</f>
        <v/>
      </c>
      <c r="L2611" s="78" t="n"/>
      <c r="M2611" s="78">
        <f>IF(ISBLANK(L2611),"",IF(D2611="Stock",IF(C2611="Buy",L2611*G2611,IF(C2611="Sell",(L2611*G2611)-I2611, X)),IF(C2611="Buy",(L2611*G2611*100)+I2611,IF(C2611="Sell",(L2611*G2611*100)-I2611, X))))</f>
        <v/>
      </c>
      <c r="N2611" s="78">
        <f>IF(ISBLANK(L2611),"",IF(AND(C2611="Sell",D2611="Stock"),M2611,IF(ISBLANK(L2611),"",IF(C2611="Buy",M2611, IF(AND(C2611="Sell",J2611="NA"),(E2611*G2611*100*0.1)+I2611, IF(C2611="Sell",(J2611-L2611)*(100*G2611)+I2611))))))</f>
        <v/>
      </c>
      <c r="O2611" s="75" t="n"/>
      <c r="P2611" s="75" t="n"/>
      <c r="Q2611" s="75">
        <f>IF(ISBLANK(P2611),"",IF(D2611="Stock",P2611*G2611,IF(P2611=0,"0",G2611*P2611*100-(G2611*$AF$14))))</f>
        <v/>
      </c>
      <c r="R2611" s="79">
        <f>IF(P2611&lt;&gt;"", TODAY(), "")</f>
        <v/>
      </c>
      <c r="S2611" s="78">
        <f>IF(AND(K2611&lt;&gt;"", R2611&lt;&gt;""), R2611-K2611, "")</f>
        <v/>
      </c>
      <c r="T2611" s="78" t="n"/>
      <c r="U2611" s="92">
        <f>IF(ISBLANK(P2611),"",IF(C2611="Buy",Q2611-M2611+T2611, IF(C2611="Sell",M2611-Q2611-T2611, X)))</f>
        <v/>
      </c>
      <c r="V2611" s="81">
        <f>IF(ISBLANK(P2611),"",U2611/N2611)</f>
        <v/>
      </c>
      <c r="W2611" s="81">
        <f>IF(ISBLANK(P2611),"",IF(S2611=0,(365/0.5)*V2611,(365/S2611)*V2611))</f>
        <v/>
      </c>
      <c r="X2611" s="75" t="n"/>
      <c r="Y2611" s="77" t="n"/>
      <c r="Z2611" s="77" t="n"/>
      <c r="AA2611" s="75" t="n"/>
      <c r="AB2611" s="75" t="n"/>
      <c r="AC2611" s="6" t="n"/>
      <c r="AD2611" s="75" t="n"/>
      <c r="AE2611" s="75" t="n"/>
      <c r="AF2611" s="75" t="n"/>
    </row>
    <row r="2612" ht="15.75" customHeight="1" s="133">
      <c r="A2612" s="75" t="n"/>
      <c r="B2612" s="75" t="n"/>
      <c r="C2612" s="75" t="n"/>
      <c r="D2612" s="75" t="n"/>
      <c r="E2612" s="76" t="n"/>
      <c r="F2612" s="77" t="n"/>
      <c r="G2612" s="75" t="n"/>
      <c r="H2612" s="75">
        <f>IF(ISBLANK(E2612),"",IF(OR(D2612="Butterfly",D2612="Butterfly ",D2612="Iron Fly", D2612="Iron Fly "),LEN(E2612)-LEN(SUBSTITUTE(E2612,"/",""))+2,LEN(E2612)-LEN(SUBSTITUTE(E2612,"/",""))+1))</f>
        <v/>
      </c>
      <c r="I2612" s="78">
        <f>IF(ISBLANK(G2612),"",IF(D2612="Stock","0",Key!$A$3*H2612*G2612))</f>
        <v/>
      </c>
      <c r="J2612" s="78">
        <f>IF(ISBLANK(E2612),"",IF(ISNUMBER(SEARCH("/",E2612)), IF(LEN(E2612)-LEN(SUBSTITUTE(E2612,"/",""))=1,(RIGHT(E2612,LEN(E2612)-FIND("/",E2612)))-(LEFT(E2612,FIND("/",E2612)-1)),(MID(E2612, SEARCH("/",E2612) + 1, SEARCH("/",E2612, SEARCH("/",E2612)+1) - SEARCH("/",E2612) - 1))-(LEFT(E2612,FIND("/",E2612)-1))), "NA"))</f>
        <v/>
      </c>
      <c r="K2612" s="79">
        <f>IF(A2612&lt;&gt;"", IF(ISBLANK(L2612), TODAY(), K2612), "")</f>
        <v/>
      </c>
      <c r="L2612" s="78" t="n"/>
      <c r="M2612" s="78">
        <f>IF(ISBLANK(L2612),"",IF(D2612="Stock",IF(C2612="Buy",L2612*G2612,IF(C2612="Sell",(L2612*G2612)-I2612, X)),IF(C2612="Buy",(L2612*G2612*100)+I2612,IF(C2612="Sell",(L2612*G2612*100)-I2612, X))))</f>
        <v/>
      </c>
      <c r="N2612" s="78">
        <f>IF(ISBLANK(L2612),"",IF(AND(C2612="Sell",D2612="Stock"),M2612,IF(ISBLANK(L2612),"",IF(C2612="Buy",M2612, IF(AND(C2612="Sell",J2612="NA"),(E2612*G2612*100*0.1)+I2612, IF(C2612="Sell",(J2612-L2612)*(100*G2612)+I2612))))))</f>
        <v/>
      </c>
      <c r="O2612" s="75" t="n"/>
      <c r="P2612" s="75" t="n"/>
      <c r="Q2612" s="75">
        <f>IF(ISBLANK(P2612),"",IF(D2612="Stock",P2612*G2612,IF(P2612=0,"0",G2612*P2612*100-(G2612*$AF$14))))</f>
        <v/>
      </c>
      <c r="R2612" s="79">
        <f>IF(P2612&lt;&gt;"", TODAY(), "")</f>
        <v/>
      </c>
      <c r="S2612" s="78">
        <f>IF(AND(K2612&lt;&gt;"", R2612&lt;&gt;""), R2612-K2612, "")</f>
        <v/>
      </c>
      <c r="T2612" s="78" t="n"/>
      <c r="U2612" s="92">
        <f>IF(ISBLANK(P2612),"",IF(C2612="Buy",Q2612-M2612+T2612, IF(C2612="Sell",M2612-Q2612-T2612, X)))</f>
        <v/>
      </c>
      <c r="V2612" s="81">
        <f>IF(ISBLANK(P2612),"",U2612/N2612)</f>
        <v/>
      </c>
      <c r="W2612" s="81">
        <f>IF(ISBLANK(P2612),"",IF(S2612=0,(365/0.5)*V2612,(365/S2612)*V2612))</f>
        <v/>
      </c>
      <c r="X2612" s="75" t="n"/>
      <c r="Y2612" s="77" t="n"/>
      <c r="Z2612" s="77" t="n"/>
      <c r="AA2612" s="75" t="n"/>
      <c r="AB2612" s="75" t="n"/>
      <c r="AC2612" s="6" t="n"/>
      <c r="AD2612" s="75" t="n"/>
      <c r="AE2612" s="75" t="n"/>
      <c r="AF2612" s="75" t="n"/>
    </row>
    <row r="2613" ht="15.75" customHeight="1" s="133">
      <c r="A2613" s="75" t="n"/>
      <c r="B2613" s="75" t="n"/>
      <c r="C2613" s="75" t="n"/>
      <c r="D2613" s="75" t="n"/>
      <c r="E2613" s="76" t="n"/>
      <c r="F2613" s="77" t="n"/>
      <c r="G2613" s="75" t="n"/>
      <c r="H2613" s="75">
        <f>IF(ISBLANK(E2613),"",IF(OR(D2613="Butterfly",D2613="Butterfly ",D2613="Iron Fly", D2613="Iron Fly "),LEN(E2613)-LEN(SUBSTITUTE(E2613,"/",""))+2,LEN(E2613)-LEN(SUBSTITUTE(E2613,"/",""))+1))</f>
        <v/>
      </c>
      <c r="I2613" s="78">
        <f>IF(ISBLANK(G2613),"",IF(D2613="Stock","0",Key!$A$3*H2613*G2613))</f>
        <v/>
      </c>
      <c r="J2613" s="78">
        <f>IF(ISBLANK(E2613),"",IF(ISNUMBER(SEARCH("/",E2613)), IF(LEN(E2613)-LEN(SUBSTITUTE(E2613,"/",""))=1,(RIGHT(E2613,LEN(E2613)-FIND("/",E2613)))-(LEFT(E2613,FIND("/",E2613)-1)),(MID(E2613, SEARCH("/",E2613) + 1, SEARCH("/",E2613, SEARCH("/",E2613)+1) - SEARCH("/",E2613) - 1))-(LEFT(E2613,FIND("/",E2613)-1))), "NA"))</f>
        <v/>
      </c>
      <c r="K2613" s="79">
        <f>IF(A2613&lt;&gt;"", IF(ISBLANK(L2613), TODAY(), K2613), "")</f>
        <v/>
      </c>
      <c r="L2613" s="78" t="n"/>
      <c r="M2613" s="78">
        <f>IF(ISBLANK(L2613),"",IF(D2613="Stock",IF(C2613="Buy",L2613*G2613,IF(C2613="Sell",(L2613*G2613)-I2613, X)),IF(C2613="Buy",(L2613*G2613*100)+I2613,IF(C2613="Sell",(L2613*G2613*100)-I2613, X))))</f>
        <v/>
      </c>
      <c r="N2613" s="78">
        <f>IF(ISBLANK(L2613),"",IF(AND(C2613="Sell",D2613="Stock"),M2613,IF(ISBLANK(L2613),"",IF(C2613="Buy",M2613, IF(AND(C2613="Sell",J2613="NA"),(E2613*G2613*100*0.1)+I2613, IF(C2613="Sell",(J2613-L2613)*(100*G2613)+I2613))))))</f>
        <v/>
      </c>
      <c r="O2613" s="75" t="n"/>
      <c r="P2613" s="75" t="n"/>
      <c r="Q2613" s="75">
        <f>IF(ISBLANK(P2613),"",IF(D2613="Stock",P2613*G2613,IF(P2613=0,"0",G2613*P2613*100-(G2613*$AF$14))))</f>
        <v/>
      </c>
      <c r="R2613" s="79">
        <f>IF(P2613&lt;&gt;"", TODAY(), "")</f>
        <v/>
      </c>
      <c r="S2613" s="78">
        <f>IF(AND(K2613&lt;&gt;"", R2613&lt;&gt;""), R2613-K2613, "")</f>
        <v/>
      </c>
      <c r="T2613" s="78" t="n"/>
      <c r="U2613" s="92">
        <f>IF(ISBLANK(P2613),"",IF(C2613="Buy",Q2613-M2613+T2613, IF(C2613="Sell",M2613-Q2613-T2613, X)))</f>
        <v/>
      </c>
      <c r="V2613" s="81">
        <f>IF(ISBLANK(P2613),"",U2613/N2613)</f>
        <v/>
      </c>
      <c r="W2613" s="81">
        <f>IF(ISBLANK(P2613),"",IF(S2613=0,(365/0.5)*V2613,(365/S2613)*V2613))</f>
        <v/>
      </c>
      <c r="X2613" s="75" t="n"/>
      <c r="Y2613" s="77" t="n"/>
      <c r="Z2613" s="77" t="n"/>
      <c r="AA2613" s="75" t="n"/>
      <c r="AB2613" s="75" t="n"/>
      <c r="AC2613" s="6" t="n"/>
      <c r="AD2613" s="75" t="n"/>
      <c r="AE2613" s="75" t="n"/>
      <c r="AF2613" s="75" t="n"/>
    </row>
    <row r="2614" ht="15.75" customHeight="1" s="133">
      <c r="A2614" s="75" t="n"/>
      <c r="B2614" s="75" t="n"/>
      <c r="C2614" s="75" t="n"/>
      <c r="D2614" s="75" t="n"/>
      <c r="E2614" s="76" t="n"/>
      <c r="F2614" s="77" t="n"/>
      <c r="G2614" s="75" t="n"/>
      <c r="H2614" s="75">
        <f>IF(ISBLANK(E2614),"",IF(OR(D2614="Butterfly",D2614="Butterfly ",D2614="Iron Fly", D2614="Iron Fly "),LEN(E2614)-LEN(SUBSTITUTE(E2614,"/",""))+2,LEN(E2614)-LEN(SUBSTITUTE(E2614,"/",""))+1))</f>
        <v/>
      </c>
      <c r="I2614" s="78">
        <f>IF(ISBLANK(G2614),"",IF(D2614="Stock","0",Key!$A$3*H2614*G2614))</f>
        <v/>
      </c>
      <c r="J2614" s="78">
        <f>IF(ISBLANK(E2614),"",IF(ISNUMBER(SEARCH("/",E2614)), IF(LEN(E2614)-LEN(SUBSTITUTE(E2614,"/",""))=1,(RIGHT(E2614,LEN(E2614)-FIND("/",E2614)))-(LEFT(E2614,FIND("/",E2614)-1)),(MID(E2614, SEARCH("/",E2614) + 1, SEARCH("/",E2614, SEARCH("/",E2614)+1) - SEARCH("/",E2614) - 1))-(LEFT(E2614,FIND("/",E2614)-1))), "NA"))</f>
        <v/>
      </c>
      <c r="K2614" s="79">
        <f>IF(A2614&lt;&gt;"", IF(ISBLANK(L2614), TODAY(), K2614), "")</f>
        <v/>
      </c>
      <c r="L2614" s="78" t="n"/>
      <c r="M2614" s="78">
        <f>IF(ISBLANK(L2614),"",IF(D2614="Stock",IF(C2614="Buy",L2614*G2614,IF(C2614="Sell",(L2614*G2614)-I2614, X)),IF(C2614="Buy",(L2614*G2614*100)+I2614,IF(C2614="Sell",(L2614*G2614*100)-I2614, X))))</f>
        <v/>
      </c>
      <c r="N2614" s="78">
        <f>IF(ISBLANK(L2614),"",IF(AND(C2614="Sell",D2614="Stock"),M2614,IF(ISBLANK(L2614),"",IF(C2614="Buy",M2614, IF(AND(C2614="Sell",J2614="NA"),(E2614*G2614*100*0.1)+I2614, IF(C2614="Sell",(J2614-L2614)*(100*G2614)+I2614))))))</f>
        <v/>
      </c>
      <c r="O2614" s="75" t="n"/>
      <c r="P2614" s="75" t="n"/>
      <c r="Q2614" s="75">
        <f>IF(ISBLANK(P2614),"",IF(D2614="Stock",P2614*G2614,IF(P2614=0,"0",G2614*P2614*100-(G2614*$AF$14))))</f>
        <v/>
      </c>
      <c r="R2614" s="79">
        <f>IF(P2614&lt;&gt;"", TODAY(), "")</f>
        <v/>
      </c>
      <c r="S2614" s="78">
        <f>IF(AND(K2614&lt;&gt;"", R2614&lt;&gt;""), R2614-K2614, "")</f>
        <v/>
      </c>
      <c r="T2614" s="78" t="n"/>
      <c r="U2614" s="92">
        <f>IF(ISBLANK(P2614),"",IF(C2614="Buy",Q2614-M2614+T2614, IF(C2614="Sell",M2614-Q2614-T2614, X)))</f>
        <v/>
      </c>
      <c r="V2614" s="81">
        <f>IF(ISBLANK(P2614),"",U2614/N2614)</f>
        <v/>
      </c>
      <c r="W2614" s="81">
        <f>IF(ISBLANK(P2614),"",IF(S2614=0,(365/0.5)*V2614,(365/S2614)*V2614))</f>
        <v/>
      </c>
      <c r="X2614" s="75" t="n"/>
      <c r="Y2614" s="77" t="n"/>
      <c r="Z2614" s="77" t="n"/>
      <c r="AA2614" s="75" t="n"/>
      <c r="AB2614" s="75" t="n"/>
      <c r="AC2614" s="6" t="n"/>
      <c r="AD2614" s="75" t="n"/>
      <c r="AE2614" s="75" t="n"/>
      <c r="AF2614" s="75" t="n"/>
    </row>
    <row r="2615" ht="15.75" customHeight="1" s="133">
      <c r="A2615" s="75" t="n"/>
      <c r="B2615" s="75" t="n"/>
      <c r="C2615" s="75" t="n"/>
      <c r="D2615" s="75" t="n"/>
      <c r="E2615" s="76" t="n"/>
      <c r="F2615" s="77" t="n"/>
      <c r="G2615" s="75" t="n"/>
      <c r="H2615" s="75">
        <f>IF(ISBLANK(E2615),"",IF(OR(D2615="Butterfly",D2615="Butterfly ",D2615="Iron Fly", D2615="Iron Fly "),LEN(E2615)-LEN(SUBSTITUTE(E2615,"/",""))+2,LEN(E2615)-LEN(SUBSTITUTE(E2615,"/",""))+1))</f>
        <v/>
      </c>
      <c r="I2615" s="78">
        <f>IF(ISBLANK(G2615),"",IF(D2615="Stock","0",Key!$A$3*H2615*G2615))</f>
        <v/>
      </c>
      <c r="J2615" s="78">
        <f>IF(ISBLANK(E2615),"",IF(ISNUMBER(SEARCH("/",E2615)), IF(LEN(E2615)-LEN(SUBSTITUTE(E2615,"/",""))=1,(RIGHT(E2615,LEN(E2615)-FIND("/",E2615)))-(LEFT(E2615,FIND("/",E2615)-1)),(MID(E2615, SEARCH("/",E2615) + 1, SEARCH("/",E2615, SEARCH("/",E2615)+1) - SEARCH("/",E2615) - 1))-(LEFT(E2615,FIND("/",E2615)-1))), "NA"))</f>
        <v/>
      </c>
      <c r="K2615" s="79">
        <f>IF(A2615&lt;&gt;"", IF(ISBLANK(L2615), TODAY(), K2615), "")</f>
        <v/>
      </c>
      <c r="L2615" s="78" t="n"/>
      <c r="M2615" s="78">
        <f>IF(ISBLANK(L2615),"",IF(D2615="Stock",IF(C2615="Buy",L2615*G2615,IF(C2615="Sell",(L2615*G2615)-I2615, X)),IF(C2615="Buy",(L2615*G2615*100)+I2615,IF(C2615="Sell",(L2615*G2615*100)-I2615, X))))</f>
        <v/>
      </c>
      <c r="N2615" s="78">
        <f>IF(ISBLANK(L2615),"",IF(AND(C2615="Sell",D2615="Stock"),M2615,IF(ISBLANK(L2615),"",IF(C2615="Buy",M2615, IF(AND(C2615="Sell",J2615="NA"),(E2615*G2615*100*0.1)+I2615, IF(C2615="Sell",(J2615-L2615)*(100*G2615)+I2615))))))</f>
        <v/>
      </c>
      <c r="O2615" s="75" t="n"/>
      <c r="P2615" s="75" t="n"/>
      <c r="Q2615" s="75">
        <f>IF(ISBLANK(P2615),"",IF(D2615="Stock",P2615*G2615,IF(P2615=0,"0",G2615*P2615*100-(G2615*$AF$14))))</f>
        <v/>
      </c>
      <c r="R2615" s="79">
        <f>IF(P2615&lt;&gt;"", TODAY(), "")</f>
        <v/>
      </c>
      <c r="S2615" s="78">
        <f>IF(AND(K2615&lt;&gt;"", R2615&lt;&gt;""), R2615-K2615, "")</f>
        <v/>
      </c>
      <c r="T2615" s="78" t="n"/>
      <c r="U2615" s="92">
        <f>IF(ISBLANK(P2615),"",IF(C2615="Buy",Q2615-M2615+T2615, IF(C2615="Sell",M2615-Q2615-T2615, X)))</f>
        <v/>
      </c>
      <c r="V2615" s="81">
        <f>IF(ISBLANK(P2615),"",U2615/N2615)</f>
        <v/>
      </c>
      <c r="W2615" s="81">
        <f>IF(ISBLANK(P2615),"",IF(S2615=0,(365/0.5)*V2615,(365/S2615)*V2615))</f>
        <v/>
      </c>
      <c r="X2615" s="75" t="n"/>
      <c r="Y2615" s="77" t="n"/>
      <c r="Z2615" s="77" t="n"/>
      <c r="AA2615" s="75" t="n"/>
      <c r="AB2615" s="75" t="n"/>
      <c r="AC2615" s="6" t="n"/>
      <c r="AD2615" s="75" t="n"/>
      <c r="AE2615" s="75" t="n"/>
      <c r="AF2615" s="75" t="n"/>
    </row>
    <row r="2616" ht="15.75" customHeight="1" s="133">
      <c r="A2616" s="75" t="n"/>
      <c r="B2616" s="75" t="n"/>
      <c r="C2616" s="75" t="n"/>
      <c r="D2616" s="75" t="n"/>
      <c r="E2616" s="76" t="n"/>
      <c r="F2616" s="77" t="n"/>
      <c r="G2616" s="75" t="n"/>
      <c r="H2616" s="75">
        <f>IF(ISBLANK(E2616),"",IF(OR(D2616="Butterfly",D2616="Butterfly ",D2616="Iron Fly", D2616="Iron Fly "),LEN(E2616)-LEN(SUBSTITUTE(E2616,"/",""))+2,LEN(E2616)-LEN(SUBSTITUTE(E2616,"/",""))+1))</f>
        <v/>
      </c>
      <c r="I2616" s="78">
        <f>IF(ISBLANK(G2616),"",IF(D2616="Stock","0",Key!$A$3*H2616*G2616))</f>
        <v/>
      </c>
      <c r="J2616" s="78">
        <f>IF(ISBLANK(E2616),"",IF(ISNUMBER(SEARCH("/",E2616)), IF(LEN(E2616)-LEN(SUBSTITUTE(E2616,"/",""))=1,(RIGHT(E2616,LEN(E2616)-FIND("/",E2616)))-(LEFT(E2616,FIND("/",E2616)-1)),(MID(E2616, SEARCH("/",E2616) + 1, SEARCH("/",E2616, SEARCH("/",E2616)+1) - SEARCH("/",E2616) - 1))-(LEFT(E2616,FIND("/",E2616)-1))), "NA"))</f>
        <v/>
      </c>
      <c r="K2616" s="79">
        <f>IF(A2616&lt;&gt;"", IF(ISBLANK(L2616), TODAY(), K2616), "")</f>
        <v/>
      </c>
      <c r="L2616" s="78" t="n"/>
      <c r="M2616" s="78">
        <f>IF(ISBLANK(L2616),"",IF(D2616="Stock",IF(C2616="Buy",L2616*G2616,IF(C2616="Sell",(L2616*G2616)-I2616, X)),IF(C2616="Buy",(L2616*G2616*100)+I2616,IF(C2616="Sell",(L2616*G2616*100)-I2616, X))))</f>
        <v/>
      </c>
      <c r="N2616" s="78">
        <f>IF(ISBLANK(L2616),"",IF(AND(C2616="Sell",D2616="Stock"),M2616,IF(ISBLANK(L2616),"",IF(C2616="Buy",M2616, IF(AND(C2616="Sell",J2616="NA"),(E2616*G2616*100*0.1)+I2616, IF(C2616="Sell",(J2616-L2616)*(100*G2616)+I2616))))))</f>
        <v/>
      </c>
      <c r="O2616" s="75" t="n"/>
      <c r="P2616" s="75" t="n"/>
      <c r="Q2616" s="75">
        <f>IF(ISBLANK(P2616),"",IF(D2616="Stock",P2616*G2616,IF(P2616=0,"0",G2616*P2616*100-(G2616*$AF$14))))</f>
        <v/>
      </c>
      <c r="R2616" s="79">
        <f>IF(P2616&lt;&gt;"", TODAY(), "")</f>
        <v/>
      </c>
      <c r="S2616" s="78">
        <f>IF(AND(K2616&lt;&gt;"", R2616&lt;&gt;""), R2616-K2616, "")</f>
        <v/>
      </c>
      <c r="T2616" s="78" t="n"/>
      <c r="U2616" s="92">
        <f>IF(ISBLANK(P2616),"",IF(C2616="Buy",Q2616-M2616+T2616, IF(C2616="Sell",M2616-Q2616-T2616, X)))</f>
        <v/>
      </c>
      <c r="V2616" s="81">
        <f>IF(ISBLANK(P2616),"",U2616/N2616)</f>
        <v/>
      </c>
      <c r="W2616" s="81">
        <f>IF(ISBLANK(P2616),"",IF(S2616=0,(365/0.5)*V2616,(365/S2616)*V2616))</f>
        <v/>
      </c>
      <c r="X2616" s="75" t="n"/>
      <c r="Y2616" s="77" t="n"/>
      <c r="Z2616" s="77" t="n"/>
      <c r="AA2616" s="75" t="n"/>
      <c r="AB2616" s="75" t="n"/>
      <c r="AC2616" s="6" t="n"/>
      <c r="AD2616" s="75" t="n"/>
      <c r="AE2616" s="75" t="n"/>
      <c r="AF2616" s="75" t="n"/>
    </row>
    <row r="2617" ht="15.75" customHeight="1" s="133">
      <c r="A2617" s="75" t="n"/>
      <c r="B2617" s="75" t="n"/>
      <c r="C2617" s="75" t="n"/>
      <c r="D2617" s="75" t="n"/>
      <c r="E2617" s="76" t="n"/>
      <c r="F2617" s="77" t="n"/>
      <c r="G2617" s="75" t="n"/>
      <c r="H2617" s="75">
        <f>IF(ISBLANK(E2617),"",IF(OR(D2617="Butterfly",D2617="Butterfly ",D2617="Iron Fly", D2617="Iron Fly "),LEN(E2617)-LEN(SUBSTITUTE(E2617,"/",""))+2,LEN(E2617)-LEN(SUBSTITUTE(E2617,"/",""))+1))</f>
        <v/>
      </c>
      <c r="I2617" s="78">
        <f>IF(ISBLANK(G2617),"",IF(D2617="Stock","0",Key!$A$3*H2617*G2617))</f>
        <v/>
      </c>
      <c r="J2617" s="78">
        <f>IF(ISBLANK(E2617),"",IF(ISNUMBER(SEARCH("/",E2617)), IF(LEN(E2617)-LEN(SUBSTITUTE(E2617,"/",""))=1,(RIGHT(E2617,LEN(E2617)-FIND("/",E2617)))-(LEFT(E2617,FIND("/",E2617)-1)),(MID(E2617, SEARCH("/",E2617) + 1, SEARCH("/",E2617, SEARCH("/",E2617)+1) - SEARCH("/",E2617) - 1))-(LEFT(E2617,FIND("/",E2617)-1))), "NA"))</f>
        <v/>
      </c>
      <c r="K2617" s="79">
        <f>IF(A2617&lt;&gt;"", IF(ISBLANK(L2617), TODAY(), K2617), "")</f>
        <v/>
      </c>
      <c r="L2617" s="78" t="n"/>
      <c r="M2617" s="78">
        <f>IF(ISBLANK(L2617),"",IF(D2617="Stock",IF(C2617="Buy",L2617*G2617,IF(C2617="Sell",(L2617*G2617)-I2617, X)),IF(C2617="Buy",(L2617*G2617*100)+I2617,IF(C2617="Sell",(L2617*G2617*100)-I2617, X))))</f>
        <v/>
      </c>
      <c r="N2617" s="78">
        <f>IF(ISBLANK(L2617),"",IF(AND(C2617="Sell",D2617="Stock"),M2617,IF(ISBLANK(L2617),"",IF(C2617="Buy",M2617, IF(AND(C2617="Sell",J2617="NA"),(E2617*G2617*100*0.1)+I2617, IF(C2617="Sell",(J2617-L2617)*(100*G2617)+I2617))))))</f>
        <v/>
      </c>
      <c r="O2617" s="75" t="n"/>
      <c r="P2617" s="75" t="n"/>
      <c r="Q2617" s="75">
        <f>IF(ISBLANK(P2617),"",IF(D2617="Stock",P2617*G2617,IF(P2617=0,"0",G2617*P2617*100-(G2617*$AF$14))))</f>
        <v/>
      </c>
      <c r="R2617" s="79">
        <f>IF(P2617&lt;&gt;"", TODAY(), "")</f>
        <v/>
      </c>
      <c r="S2617" s="78">
        <f>IF(AND(K2617&lt;&gt;"", R2617&lt;&gt;""), R2617-K2617, "")</f>
        <v/>
      </c>
      <c r="T2617" s="78" t="n"/>
      <c r="U2617" s="92">
        <f>IF(ISBLANK(P2617),"",IF(C2617="Buy",Q2617-M2617+T2617, IF(C2617="Sell",M2617-Q2617-T2617, X)))</f>
        <v/>
      </c>
      <c r="V2617" s="81">
        <f>IF(ISBLANK(P2617),"",U2617/N2617)</f>
        <v/>
      </c>
      <c r="W2617" s="81">
        <f>IF(ISBLANK(P2617),"",IF(S2617=0,(365/0.5)*V2617,(365/S2617)*V2617))</f>
        <v/>
      </c>
      <c r="X2617" s="75" t="n"/>
      <c r="Y2617" s="77" t="n"/>
      <c r="Z2617" s="77" t="n"/>
      <c r="AA2617" s="75" t="n"/>
      <c r="AB2617" s="75" t="n"/>
      <c r="AC2617" s="6" t="n"/>
      <c r="AD2617" s="75" t="n"/>
      <c r="AE2617" s="75" t="n"/>
      <c r="AF2617" s="75" t="n"/>
    </row>
    <row r="2618" ht="15.75" customHeight="1" s="133">
      <c r="A2618" s="75" t="n"/>
      <c r="B2618" s="75" t="n"/>
      <c r="C2618" s="75" t="n"/>
      <c r="D2618" s="75" t="n"/>
      <c r="E2618" s="76" t="n"/>
      <c r="F2618" s="77" t="n"/>
      <c r="G2618" s="75" t="n"/>
      <c r="H2618" s="75">
        <f>IF(ISBLANK(E2618),"",IF(OR(D2618="Butterfly",D2618="Butterfly ",D2618="Iron Fly", D2618="Iron Fly "),LEN(E2618)-LEN(SUBSTITUTE(E2618,"/",""))+2,LEN(E2618)-LEN(SUBSTITUTE(E2618,"/",""))+1))</f>
        <v/>
      </c>
      <c r="I2618" s="78">
        <f>IF(ISBLANK(G2618),"",IF(D2618="Stock","0",Key!$A$3*H2618*G2618))</f>
        <v/>
      </c>
      <c r="J2618" s="78">
        <f>IF(ISBLANK(E2618),"",IF(ISNUMBER(SEARCH("/",E2618)), IF(LEN(E2618)-LEN(SUBSTITUTE(E2618,"/",""))=1,(RIGHT(E2618,LEN(E2618)-FIND("/",E2618)))-(LEFT(E2618,FIND("/",E2618)-1)),(MID(E2618, SEARCH("/",E2618) + 1, SEARCH("/",E2618, SEARCH("/",E2618)+1) - SEARCH("/",E2618) - 1))-(LEFT(E2618,FIND("/",E2618)-1))), "NA"))</f>
        <v/>
      </c>
      <c r="K2618" s="79">
        <f>IF(A2618&lt;&gt;"", IF(ISBLANK(L2618), TODAY(), K2618), "")</f>
        <v/>
      </c>
      <c r="L2618" s="78" t="n"/>
      <c r="M2618" s="78">
        <f>IF(ISBLANK(L2618),"",IF(D2618="Stock",IF(C2618="Buy",L2618*G2618,IF(C2618="Sell",(L2618*G2618)-I2618, X)),IF(C2618="Buy",(L2618*G2618*100)+I2618,IF(C2618="Sell",(L2618*G2618*100)-I2618, X))))</f>
        <v/>
      </c>
      <c r="N2618" s="78">
        <f>IF(ISBLANK(L2618),"",IF(AND(C2618="Sell",D2618="Stock"),M2618,IF(ISBLANK(L2618),"",IF(C2618="Buy",M2618, IF(AND(C2618="Sell",J2618="NA"),(E2618*G2618*100*0.1)+I2618, IF(C2618="Sell",(J2618-L2618)*(100*G2618)+I2618))))))</f>
        <v/>
      </c>
      <c r="O2618" s="75" t="n"/>
      <c r="P2618" s="75" t="n"/>
      <c r="Q2618" s="75">
        <f>IF(ISBLANK(P2618),"",IF(D2618="Stock",P2618*G2618,IF(P2618=0,"0",G2618*P2618*100-(G2618*$AF$14))))</f>
        <v/>
      </c>
      <c r="R2618" s="79">
        <f>IF(P2618&lt;&gt;"", TODAY(), "")</f>
        <v/>
      </c>
      <c r="S2618" s="78">
        <f>IF(AND(K2618&lt;&gt;"", R2618&lt;&gt;""), R2618-K2618, "")</f>
        <v/>
      </c>
      <c r="T2618" s="78" t="n"/>
      <c r="U2618" s="92">
        <f>IF(ISBLANK(P2618),"",IF(C2618="Buy",Q2618-M2618+T2618, IF(C2618="Sell",M2618-Q2618-T2618, X)))</f>
        <v/>
      </c>
      <c r="V2618" s="81">
        <f>IF(ISBLANK(P2618),"",U2618/N2618)</f>
        <v/>
      </c>
      <c r="W2618" s="81">
        <f>IF(ISBLANK(P2618),"",IF(S2618=0,(365/0.5)*V2618,(365/S2618)*V2618))</f>
        <v/>
      </c>
      <c r="X2618" s="75" t="n"/>
      <c r="Y2618" s="77" t="n"/>
      <c r="Z2618" s="77" t="n"/>
      <c r="AA2618" s="75" t="n"/>
      <c r="AB2618" s="75" t="n"/>
      <c r="AC2618" s="6" t="n"/>
      <c r="AD2618" s="75" t="n"/>
      <c r="AE2618" s="75" t="n"/>
      <c r="AF2618" s="75" t="n"/>
    </row>
    <row r="2619" ht="15.75" customHeight="1" s="133">
      <c r="A2619" s="75" t="n"/>
      <c r="B2619" s="75" t="n"/>
      <c r="C2619" s="75" t="n"/>
      <c r="D2619" s="75" t="n"/>
      <c r="E2619" s="76" t="n"/>
      <c r="F2619" s="77" t="n"/>
      <c r="G2619" s="75" t="n"/>
      <c r="H2619" s="75">
        <f>IF(ISBLANK(E2619),"",IF(OR(D2619="Butterfly",D2619="Butterfly ",D2619="Iron Fly", D2619="Iron Fly "),LEN(E2619)-LEN(SUBSTITUTE(E2619,"/",""))+2,LEN(E2619)-LEN(SUBSTITUTE(E2619,"/",""))+1))</f>
        <v/>
      </c>
      <c r="I2619" s="78">
        <f>IF(ISBLANK(G2619),"",IF(D2619="Stock","0",Key!$A$3*H2619*G2619))</f>
        <v/>
      </c>
      <c r="J2619" s="78">
        <f>IF(ISBLANK(E2619),"",IF(ISNUMBER(SEARCH("/",E2619)), IF(LEN(E2619)-LEN(SUBSTITUTE(E2619,"/",""))=1,(RIGHT(E2619,LEN(E2619)-FIND("/",E2619)))-(LEFT(E2619,FIND("/",E2619)-1)),(MID(E2619, SEARCH("/",E2619) + 1, SEARCH("/",E2619, SEARCH("/",E2619)+1) - SEARCH("/",E2619) - 1))-(LEFT(E2619,FIND("/",E2619)-1))), "NA"))</f>
        <v/>
      </c>
      <c r="K2619" s="79">
        <f>IF(A2619&lt;&gt;"", IF(ISBLANK(L2619), TODAY(), K2619), "")</f>
        <v/>
      </c>
      <c r="L2619" s="78" t="n"/>
      <c r="M2619" s="78">
        <f>IF(ISBLANK(L2619),"",IF(D2619="Stock",IF(C2619="Buy",L2619*G2619,IF(C2619="Sell",(L2619*G2619)-I2619, X)),IF(C2619="Buy",(L2619*G2619*100)+I2619,IF(C2619="Sell",(L2619*G2619*100)-I2619, X))))</f>
        <v/>
      </c>
      <c r="N2619" s="78">
        <f>IF(ISBLANK(L2619),"",IF(AND(C2619="Sell",D2619="Stock"),M2619,IF(ISBLANK(L2619),"",IF(C2619="Buy",M2619, IF(AND(C2619="Sell",J2619="NA"),(E2619*G2619*100*0.1)+I2619, IF(C2619="Sell",(J2619-L2619)*(100*G2619)+I2619))))))</f>
        <v/>
      </c>
      <c r="O2619" s="75" t="n"/>
      <c r="P2619" s="75" t="n"/>
      <c r="Q2619" s="75">
        <f>IF(ISBLANK(P2619),"",IF(D2619="Stock",P2619*G2619,IF(P2619=0,"0",G2619*P2619*100-(G2619*$AF$14))))</f>
        <v/>
      </c>
      <c r="R2619" s="79">
        <f>IF(P2619&lt;&gt;"", TODAY(), "")</f>
        <v/>
      </c>
      <c r="S2619" s="78">
        <f>IF(AND(K2619&lt;&gt;"", R2619&lt;&gt;""), R2619-K2619, "")</f>
        <v/>
      </c>
      <c r="T2619" s="78" t="n"/>
      <c r="U2619" s="92">
        <f>IF(ISBLANK(P2619),"",IF(C2619="Buy",Q2619-M2619+T2619, IF(C2619="Sell",M2619-Q2619-T2619, X)))</f>
        <v/>
      </c>
      <c r="V2619" s="81">
        <f>IF(ISBLANK(P2619),"",U2619/N2619)</f>
        <v/>
      </c>
      <c r="W2619" s="81">
        <f>IF(ISBLANK(P2619),"",IF(S2619=0,(365/0.5)*V2619,(365/S2619)*V2619))</f>
        <v/>
      </c>
      <c r="X2619" s="75" t="n"/>
      <c r="Y2619" s="77" t="n"/>
      <c r="Z2619" s="77" t="n"/>
      <c r="AA2619" s="75" t="n"/>
      <c r="AB2619" s="75" t="n"/>
      <c r="AC2619" s="6" t="n"/>
      <c r="AD2619" s="75" t="n"/>
      <c r="AE2619" s="75" t="n"/>
      <c r="AF2619" s="75" t="n"/>
    </row>
    <row r="2620" ht="15.75" customHeight="1" s="133">
      <c r="A2620" s="75" t="n"/>
      <c r="B2620" s="75" t="n"/>
      <c r="C2620" s="75" t="n"/>
      <c r="D2620" s="75" t="n"/>
      <c r="E2620" s="76" t="n"/>
      <c r="F2620" s="77" t="n"/>
      <c r="G2620" s="75" t="n"/>
      <c r="H2620" s="75">
        <f>IF(ISBLANK(E2620),"",IF(OR(D2620="Butterfly",D2620="Butterfly ",D2620="Iron Fly", D2620="Iron Fly "),LEN(E2620)-LEN(SUBSTITUTE(E2620,"/",""))+2,LEN(E2620)-LEN(SUBSTITUTE(E2620,"/",""))+1))</f>
        <v/>
      </c>
      <c r="I2620" s="78">
        <f>IF(ISBLANK(G2620),"",IF(D2620="Stock","0",Key!$A$3*H2620*G2620))</f>
        <v/>
      </c>
      <c r="J2620" s="78">
        <f>IF(ISBLANK(E2620),"",IF(ISNUMBER(SEARCH("/",E2620)), IF(LEN(E2620)-LEN(SUBSTITUTE(E2620,"/",""))=1,(RIGHT(E2620,LEN(E2620)-FIND("/",E2620)))-(LEFT(E2620,FIND("/",E2620)-1)),(MID(E2620, SEARCH("/",E2620) + 1, SEARCH("/",E2620, SEARCH("/",E2620)+1) - SEARCH("/",E2620) - 1))-(LEFT(E2620,FIND("/",E2620)-1))), "NA"))</f>
        <v/>
      </c>
      <c r="K2620" s="79">
        <f>IF(A2620&lt;&gt;"", IF(ISBLANK(L2620), TODAY(), K2620), "")</f>
        <v/>
      </c>
      <c r="L2620" s="78" t="n"/>
      <c r="M2620" s="78">
        <f>IF(ISBLANK(L2620),"",IF(D2620="Stock",IF(C2620="Buy",L2620*G2620,IF(C2620="Sell",(L2620*G2620)-I2620, X)),IF(C2620="Buy",(L2620*G2620*100)+I2620,IF(C2620="Sell",(L2620*G2620*100)-I2620, X))))</f>
        <v/>
      </c>
      <c r="N2620" s="78">
        <f>IF(ISBLANK(L2620),"",IF(AND(C2620="Sell",D2620="Stock"),M2620,IF(ISBLANK(L2620),"",IF(C2620="Buy",M2620, IF(AND(C2620="Sell",J2620="NA"),(E2620*G2620*100*0.1)+I2620, IF(C2620="Sell",(J2620-L2620)*(100*G2620)+I2620))))))</f>
        <v/>
      </c>
      <c r="O2620" s="75" t="n"/>
      <c r="P2620" s="75" t="n"/>
      <c r="Q2620" s="75">
        <f>IF(ISBLANK(P2620),"",IF(D2620="Stock",P2620*G2620,IF(P2620=0,"0",G2620*P2620*100-(G2620*$AF$14))))</f>
        <v/>
      </c>
      <c r="R2620" s="79">
        <f>IF(P2620&lt;&gt;"", TODAY(), "")</f>
        <v/>
      </c>
      <c r="S2620" s="78">
        <f>IF(AND(K2620&lt;&gt;"", R2620&lt;&gt;""), R2620-K2620, "")</f>
        <v/>
      </c>
      <c r="T2620" s="78" t="n"/>
      <c r="U2620" s="92">
        <f>IF(ISBLANK(P2620),"",IF(C2620="Buy",Q2620-M2620+T2620, IF(C2620="Sell",M2620-Q2620-T2620, X)))</f>
        <v/>
      </c>
      <c r="V2620" s="81">
        <f>IF(ISBLANK(P2620),"",U2620/N2620)</f>
        <v/>
      </c>
      <c r="W2620" s="81">
        <f>IF(ISBLANK(P2620),"",IF(S2620=0,(365/0.5)*V2620,(365/S2620)*V2620))</f>
        <v/>
      </c>
      <c r="X2620" s="75" t="n"/>
      <c r="Y2620" s="77" t="n"/>
      <c r="Z2620" s="77" t="n"/>
      <c r="AA2620" s="75" t="n"/>
      <c r="AB2620" s="75" t="n"/>
      <c r="AC2620" s="6" t="n"/>
      <c r="AD2620" s="75" t="n"/>
      <c r="AE2620" s="75" t="n"/>
      <c r="AF2620" s="75" t="n"/>
    </row>
    <row r="2621" ht="15.75" customHeight="1" s="133">
      <c r="A2621" s="75" t="n"/>
      <c r="B2621" s="75" t="n"/>
      <c r="C2621" s="75" t="n"/>
      <c r="D2621" s="75" t="n"/>
      <c r="E2621" s="76" t="n"/>
      <c r="F2621" s="77" t="n"/>
      <c r="G2621" s="75" t="n"/>
      <c r="H2621" s="75">
        <f>IF(ISBLANK(E2621),"",IF(OR(D2621="Butterfly",D2621="Butterfly ",D2621="Iron Fly", D2621="Iron Fly "),LEN(E2621)-LEN(SUBSTITUTE(E2621,"/",""))+2,LEN(E2621)-LEN(SUBSTITUTE(E2621,"/",""))+1))</f>
        <v/>
      </c>
      <c r="I2621" s="78">
        <f>IF(ISBLANK(G2621),"",IF(D2621="Stock","0",Key!$A$3*H2621*G2621))</f>
        <v/>
      </c>
      <c r="J2621" s="78">
        <f>IF(ISBLANK(E2621),"",IF(ISNUMBER(SEARCH("/",E2621)), IF(LEN(E2621)-LEN(SUBSTITUTE(E2621,"/",""))=1,(RIGHT(E2621,LEN(E2621)-FIND("/",E2621)))-(LEFT(E2621,FIND("/",E2621)-1)),(MID(E2621, SEARCH("/",E2621) + 1, SEARCH("/",E2621, SEARCH("/",E2621)+1) - SEARCH("/",E2621) - 1))-(LEFT(E2621,FIND("/",E2621)-1))), "NA"))</f>
        <v/>
      </c>
      <c r="K2621" s="79">
        <f>IF(A2621&lt;&gt;"", IF(ISBLANK(L2621), TODAY(), K2621), "")</f>
        <v/>
      </c>
      <c r="L2621" s="78" t="n"/>
      <c r="M2621" s="78">
        <f>IF(ISBLANK(L2621),"",IF(D2621="Stock",IF(C2621="Buy",L2621*G2621,IF(C2621="Sell",(L2621*G2621)-I2621, X)),IF(C2621="Buy",(L2621*G2621*100)+I2621,IF(C2621="Sell",(L2621*G2621*100)-I2621, X))))</f>
        <v/>
      </c>
      <c r="N2621" s="78">
        <f>IF(ISBLANK(L2621),"",IF(AND(C2621="Sell",D2621="Stock"),M2621,IF(ISBLANK(L2621),"",IF(C2621="Buy",M2621, IF(AND(C2621="Sell",J2621="NA"),(E2621*G2621*100*0.1)+I2621, IF(C2621="Sell",(J2621-L2621)*(100*G2621)+I2621))))))</f>
        <v/>
      </c>
      <c r="O2621" s="75" t="n"/>
      <c r="P2621" s="75" t="n"/>
      <c r="Q2621" s="75">
        <f>IF(ISBLANK(P2621),"",IF(D2621="Stock",P2621*G2621,IF(P2621=0,"0",G2621*P2621*100-(G2621*$AF$14))))</f>
        <v/>
      </c>
      <c r="R2621" s="79">
        <f>IF(P2621&lt;&gt;"", TODAY(), "")</f>
        <v/>
      </c>
      <c r="S2621" s="78">
        <f>IF(AND(K2621&lt;&gt;"", R2621&lt;&gt;""), R2621-K2621, "")</f>
        <v/>
      </c>
      <c r="T2621" s="78" t="n"/>
      <c r="U2621" s="92">
        <f>IF(ISBLANK(P2621),"",IF(C2621="Buy",Q2621-M2621+T2621, IF(C2621="Sell",M2621-Q2621-T2621, X)))</f>
        <v/>
      </c>
      <c r="V2621" s="81">
        <f>IF(ISBLANK(P2621),"",U2621/N2621)</f>
        <v/>
      </c>
      <c r="W2621" s="81">
        <f>IF(ISBLANK(P2621),"",IF(S2621=0,(365/0.5)*V2621,(365/S2621)*V2621))</f>
        <v/>
      </c>
      <c r="X2621" s="75" t="n"/>
      <c r="Y2621" s="77" t="n"/>
      <c r="Z2621" s="77" t="n"/>
      <c r="AA2621" s="75" t="n"/>
      <c r="AB2621" s="75" t="n"/>
      <c r="AC2621" s="6" t="n"/>
      <c r="AD2621" s="75" t="n"/>
      <c r="AE2621" s="75" t="n"/>
      <c r="AF2621" s="75" t="n"/>
    </row>
    <row r="2622" ht="15.75" customHeight="1" s="133">
      <c r="A2622" s="75" t="n"/>
      <c r="B2622" s="75" t="n"/>
      <c r="C2622" s="75" t="n"/>
      <c r="D2622" s="75" t="n"/>
      <c r="E2622" s="76" t="n"/>
      <c r="F2622" s="77" t="n"/>
      <c r="G2622" s="75" t="n"/>
      <c r="H2622" s="75">
        <f>IF(ISBLANK(E2622),"",IF(OR(D2622="Butterfly",D2622="Butterfly ",D2622="Iron Fly", D2622="Iron Fly "),LEN(E2622)-LEN(SUBSTITUTE(E2622,"/",""))+2,LEN(E2622)-LEN(SUBSTITUTE(E2622,"/",""))+1))</f>
        <v/>
      </c>
      <c r="I2622" s="78">
        <f>IF(ISBLANK(G2622),"",IF(D2622="Stock","0",Key!$A$3*H2622*G2622))</f>
        <v/>
      </c>
      <c r="J2622" s="78">
        <f>IF(ISBLANK(E2622),"",IF(ISNUMBER(SEARCH("/",E2622)), IF(LEN(E2622)-LEN(SUBSTITUTE(E2622,"/",""))=1,(RIGHT(E2622,LEN(E2622)-FIND("/",E2622)))-(LEFT(E2622,FIND("/",E2622)-1)),(MID(E2622, SEARCH("/",E2622) + 1, SEARCH("/",E2622, SEARCH("/",E2622)+1) - SEARCH("/",E2622) - 1))-(LEFT(E2622,FIND("/",E2622)-1))), "NA"))</f>
        <v/>
      </c>
      <c r="K2622" s="79">
        <f>IF(A2622&lt;&gt;"", IF(ISBLANK(L2622), TODAY(), K2622), "")</f>
        <v/>
      </c>
      <c r="L2622" s="78" t="n"/>
      <c r="M2622" s="78">
        <f>IF(ISBLANK(L2622),"",IF(D2622="Stock",IF(C2622="Buy",L2622*G2622,IF(C2622="Sell",(L2622*G2622)-I2622, X)),IF(C2622="Buy",(L2622*G2622*100)+I2622,IF(C2622="Sell",(L2622*G2622*100)-I2622, X))))</f>
        <v/>
      </c>
      <c r="N2622" s="78">
        <f>IF(ISBLANK(L2622),"",IF(AND(C2622="Sell",D2622="Stock"),M2622,IF(ISBLANK(L2622),"",IF(C2622="Buy",M2622, IF(AND(C2622="Sell",J2622="NA"),(E2622*G2622*100*0.1)+I2622, IF(C2622="Sell",(J2622-L2622)*(100*G2622)+I2622))))))</f>
        <v/>
      </c>
      <c r="O2622" s="75" t="n"/>
      <c r="P2622" s="75" t="n"/>
      <c r="Q2622" s="75">
        <f>IF(ISBLANK(P2622),"",IF(D2622="Stock",P2622*G2622,IF(P2622=0,"0",G2622*P2622*100-(G2622*$AF$14))))</f>
        <v/>
      </c>
      <c r="R2622" s="79">
        <f>IF(P2622&lt;&gt;"", TODAY(), "")</f>
        <v/>
      </c>
      <c r="S2622" s="78">
        <f>IF(AND(K2622&lt;&gt;"", R2622&lt;&gt;""), R2622-K2622, "")</f>
        <v/>
      </c>
      <c r="T2622" s="78" t="n"/>
      <c r="U2622" s="92">
        <f>IF(ISBLANK(P2622),"",IF(C2622="Buy",Q2622-M2622+T2622, IF(C2622="Sell",M2622-Q2622-T2622, X)))</f>
        <v/>
      </c>
      <c r="V2622" s="81">
        <f>IF(ISBLANK(P2622),"",U2622/N2622)</f>
        <v/>
      </c>
      <c r="W2622" s="81">
        <f>IF(ISBLANK(P2622),"",IF(S2622=0,(365/0.5)*V2622,(365/S2622)*V2622))</f>
        <v/>
      </c>
      <c r="X2622" s="75" t="n"/>
      <c r="Y2622" s="77" t="n"/>
      <c r="Z2622" s="77" t="n"/>
      <c r="AA2622" s="75" t="n"/>
      <c r="AB2622" s="75" t="n"/>
      <c r="AC2622" s="6" t="n"/>
      <c r="AD2622" s="75" t="n"/>
      <c r="AE2622" s="75" t="n"/>
      <c r="AF2622" s="75" t="n"/>
    </row>
    <row r="2623" ht="15.75" customHeight="1" s="133">
      <c r="A2623" s="75" t="n"/>
      <c r="B2623" s="75" t="n"/>
      <c r="C2623" s="75" t="n"/>
      <c r="D2623" s="75" t="n"/>
      <c r="E2623" s="76" t="n"/>
      <c r="F2623" s="77" t="n"/>
      <c r="G2623" s="75" t="n"/>
      <c r="H2623" s="75">
        <f>IF(ISBLANK(E2623),"",IF(OR(D2623="Butterfly",D2623="Butterfly ",D2623="Iron Fly", D2623="Iron Fly "),LEN(E2623)-LEN(SUBSTITUTE(E2623,"/",""))+2,LEN(E2623)-LEN(SUBSTITUTE(E2623,"/",""))+1))</f>
        <v/>
      </c>
      <c r="I2623" s="78">
        <f>IF(ISBLANK(G2623),"",IF(D2623="Stock","0",Key!$A$3*H2623*G2623))</f>
        <v/>
      </c>
      <c r="J2623" s="78">
        <f>IF(ISBLANK(E2623),"",IF(ISNUMBER(SEARCH("/",E2623)), IF(LEN(E2623)-LEN(SUBSTITUTE(E2623,"/",""))=1,(RIGHT(E2623,LEN(E2623)-FIND("/",E2623)))-(LEFT(E2623,FIND("/",E2623)-1)),(MID(E2623, SEARCH("/",E2623) + 1, SEARCH("/",E2623, SEARCH("/",E2623)+1) - SEARCH("/",E2623) - 1))-(LEFT(E2623,FIND("/",E2623)-1))), "NA"))</f>
        <v/>
      </c>
      <c r="K2623" s="79">
        <f>IF(A2623&lt;&gt;"", IF(ISBLANK(L2623), TODAY(), K2623), "")</f>
        <v/>
      </c>
      <c r="L2623" s="78" t="n"/>
      <c r="M2623" s="78">
        <f>IF(ISBLANK(L2623),"",IF(D2623="Stock",IF(C2623="Buy",L2623*G2623,IF(C2623="Sell",(L2623*G2623)-I2623, X)),IF(C2623="Buy",(L2623*G2623*100)+I2623,IF(C2623="Sell",(L2623*G2623*100)-I2623, X))))</f>
        <v/>
      </c>
      <c r="N2623" s="78">
        <f>IF(ISBLANK(L2623),"",IF(AND(C2623="Sell",D2623="Stock"),M2623,IF(ISBLANK(L2623),"",IF(C2623="Buy",M2623, IF(AND(C2623="Sell",J2623="NA"),(E2623*G2623*100*0.1)+I2623, IF(C2623="Sell",(J2623-L2623)*(100*G2623)+I2623))))))</f>
        <v/>
      </c>
      <c r="O2623" s="75" t="n"/>
      <c r="P2623" s="75" t="n"/>
      <c r="Q2623" s="75">
        <f>IF(ISBLANK(P2623),"",IF(D2623="Stock",P2623*G2623,IF(P2623=0,"0",G2623*P2623*100-(G2623*$AF$14))))</f>
        <v/>
      </c>
      <c r="R2623" s="79">
        <f>IF(P2623&lt;&gt;"", TODAY(), "")</f>
        <v/>
      </c>
      <c r="S2623" s="78">
        <f>IF(AND(K2623&lt;&gt;"", R2623&lt;&gt;""), R2623-K2623, "")</f>
        <v/>
      </c>
      <c r="T2623" s="78" t="n"/>
      <c r="U2623" s="92">
        <f>IF(ISBLANK(P2623),"",IF(C2623="Buy",Q2623-M2623+T2623, IF(C2623="Sell",M2623-Q2623-T2623, X)))</f>
        <v/>
      </c>
      <c r="V2623" s="81">
        <f>IF(ISBLANK(P2623),"",U2623/N2623)</f>
        <v/>
      </c>
      <c r="W2623" s="81">
        <f>IF(ISBLANK(P2623),"",IF(S2623=0,(365/0.5)*V2623,(365/S2623)*V2623))</f>
        <v/>
      </c>
      <c r="X2623" s="75" t="n"/>
      <c r="Y2623" s="77" t="n"/>
      <c r="Z2623" s="77" t="n"/>
      <c r="AA2623" s="75" t="n"/>
      <c r="AB2623" s="75" t="n"/>
      <c r="AC2623" s="6" t="n"/>
      <c r="AD2623" s="75" t="n"/>
      <c r="AE2623" s="75" t="n"/>
      <c r="AF2623" s="75" t="n"/>
    </row>
    <row r="2624" ht="15.75" customHeight="1" s="133">
      <c r="A2624" s="75" t="n"/>
      <c r="B2624" s="75" t="n"/>
      <c r="C2624" s="75" t="n"/>
      <c r="D2624" s="75" t="n"/>
      <c r="E2624" s="76" t="n"/>
      <c r="F2624" s="77" t="n"/>
      <c r="G2624" s="75" t="n"/>
      <c r="H2624" s="75">
        <f>IF(ISBLANK(E2624),"",IF(OR(D2624="Butterfly",D2624="Butterfly ",D2624="Iron Fly", D2624="Iron Fly "),LEN(E2624)-LEN(SUBSTITUTE(E2624,"/",""))+2,LEN(E2624)-LEN(SUBSTITUTE(E2624,"/",""))+1))</f>
        <v/>
      </c>
      <c r="I2624" s="78">
        <f>IF(ISBLANK(G2624),"",IF(D2624="Stock","0",Key!$A$3*H2624*G2624))</f>
        <v/>
      </c>
      <c r="J2624" s="78">
        <f>IF(ISBLANK(E2624),"",IF(ISNUMBER(SEARCH("/",E2624)), IF(LEN(E2624)-LEN(SUBSTITUTE(E2624,"/",""))=1,(RIGHT(E2624,LEN(E2624)-FIND("/",E2624)))-(LEFT(E2624,FIND("/",E2624)-1)),(MID(E2624, SEARCH("/",E2624) + 1, SEARCH("/",E2624, SEARCH("/",E2624)+1) - SEARCH("/",E2624) - 1))-(LEFT(E2624,FIND("/",E2624)-1))), "NA"))</f>
        <v/>
      </c>
      <c r="K2624" s="79">
        <f>IF(A2624&lt;&gt;"", IF(ISBLANK(L2624), TODAY(), K2624), "")</f>
        <v/>
      </c>
      <c r="L2624" s="78" t="n"/>
      <c r="M2624" s="78">
        <f>IF(ISBLANK(L2624),"",IF(D2624="Stock",IF(C2624="Buy",L2624*G2624,IF(C2624="Sell",(L2624*G2624)-I2624, X)),IF(C2624="Buy",(L2624*G2624*100)+I2624,IF(C2624="Sell",(L2624*G2624*100)-I2624, X))))</f>
        <v/>
      </c>
      <c r="N2624" s="78">
        <f>IF(ISBLANK(L2624),"",IF(AND(C2624="Sell",D2624="Stock"),M2624,IF(ISBLANK(L2624),"",IF(C2624="Buy",M2624, IF(AND(C2624="Sell",J2624="NA"),(E2624*G2624*100*0.1)+I2624, IF(C2624="Sell",(J2624-L2624)*(100*G2624)+I2624))))))</f>
        <v/>
      </c>
      <c r="O2624" s="75" t="n"/>
      <c r="P2624" s="75" t="n"/>
      <c r="Q2624" s="75">
        <f>IF(ISBLANK(P2624),"",IF(D2624="Stock",P2624*G2624,IF(P2624=0,"0",G2624*P2624*100-(G2624*$AF$14))))</f>
        <v/>
      </c>
      <c r="R2624" s="79">
        <f>IF(P2624&lt;&gt;"", TODAY(), "")</f>
        <v/>
      </c>
      <c r="S2624" s="78">
        <f>IF(AND(K2624&lt;&gt;"", R2624&lt;&gt;""), R2624-K2624, "")</f>
        <v/>
      </c>
      <c r="T2624" s="78" t="n"/>
      <c r="U2624" s="92">
        <f>IF(ISBLANK(P2624),"",IF(C2624="Buy",Q2624-M2624+T2624, IF(C2624="Sell",M2624-Q2624-T2624, X)))</f>
        <v/>
      </c>
      <c r="V2624" s="81">
        <f>IF(ISBLANK(P2624),"",U2624/N2624)</f>
        <v/>
      </c>
      <c r="W2624" s="81">
        <f>IF(ISBLANK(P2624),"",IF(S2624=0,(365/0.5)*V2624,(365/S2624)*V2624))</f>
        <v/>
      </c>
      <c r="X2624" s="75" t="n"/>
      <c r="Y2624" s="77" t="n"/>
      <c r="Z2624" s="77" t="n"/>
      <c r="AA2624" s="75" t="n"/>
      <c r="AB2624" s="75" t="n"/>
      <c r="AC2624" s="6" t="n"/>
      <c r="AD2624" s="75" t="n"/>
      <c r="AE2624" s="75" t="n"/>
      <c r="AF2624" s="75" t="n"/>
    </row>
    <row r="2625" ht="15.75" customHeight="1" s="133">
      <c r="A2625" s="75" t="n"/>
      <c r="B2625" s="75" t="n"/>
      <c r="C2625" s="75" t="n"/>
      <c r="D2625" s="75" t="n"/>
      <c r="E2625" s="76" t="n"/>
      <c r="F2625" s="77" t="n"/>
      <c r="G2625" s="75" t="n"/>
      <c r="H2625" s="75">
        <f>IF(ISBLANK(E2625),"",IF(OR(D2625="Butterfly",D2625="Butterfly ",D2625="Iron Fly", D2625="Iron Fly "),LEN(E2625)-LEN(SUBSTITUTE(E2625,"/",""))+2,LEN(E2625)-LEN(SUBSTITUTE(E2625,"/",""))+1))</f>
        <v/>
      </c>
      <c r="I2625" s="78">
        <f>IF(ISBLANK(G2625),"",IF(D2625="Stock","0",Key!$A$3*H2625*G2625))</f>
        <v/>
      </c>
      <c r="J2625" s="78">
        <f>IF(ISBLANK(E2625),"",IF(ISNUMBER(SEARCH("/",E2625)), IF(LEN(E2625)-LEN(SUBSTITUTE(E2625,"/",""))=1,(RIGHT(E2625,LEN(E2625)-FIND("/",E2625)))-(LEFT(E2625,FIND("/",E2625)-1)),(MID(E2625, SEARCH("/",E2625) + 1, SEARCH("/",E2625, SEARCH("/",E2625)+1) - SEARCH("/",E2625) - 1))-(LEFT(E2625,FIND("/",E2625)-1))), "NA"))</f>
        <v/>
      </c>
      <c r="K2625" s="79">
        <f>IF(A2625&lt;&gt;"", IF(ISBLANK(L2625), TODAY(), K2625), "")</f>
        <v/>
      </c>
      <c r="L2625" s="78" t="n"/>
      <c r="M2625" s="78">
        <f>IF(ISBLANK(L2625),"",IF(D2625="Stock",IF(C2625="Buy",L2625*G2625,IF(C2625="Sell",(L2625*G2625)-I2625, X)),IF(C2625="Buy",(L2625*G2625*100)+I2625,IF(C2625="Sell",(L2625*G2625*100)-I2625, X))))</f>
        <v/>
      </c>
      <c r="N2625" s="78">
        <f>IF(ISBLANK(L2625),"",IF(AND(C2625="Sell",D2625="Stock"),M2625,IF(ISBLANK(L2625),"",IF(C2625="Buy",M2625, IF(AND(C2625="Sell",J2625="NA"),(E2625*G2625*100*0.1)+I2625, IF(C2625="Sell",(J2625-L2625)*(100*G2625)+I2625))))))</f>
        <v/>
      </c>
      <c r="O2625" s="75" t="n"/>
      <c r="P2625" s="75" t="n"/>
      <c r="Q2625" s="75">
        <f>IF(ISBLANK(P2625),"",IF(D2625="Stock",P2625*G2625,IF(P2625=0,"0",G2625*P2625*100-(G2625*$AF$14))))</f>
        <v/>
      </c>
      <c r="R2625" s="79">
        <f>IF(P2625&lt;&gt;"", TODAY(), "")</f>
        <v/>
      </c>
      <c r="S2625" s="78">
        <f>IF(AND(K2625&lt;&gt;"", R2625&lt;&gt;""), R2625-K2625, "")</f>
        <v/>
      </c>
      <c r="T2625" s="78" t="n"/>
      <c r="U2625" s="92">
        <f>IF(ISBLANK(P2625),"",IF(C2625="Buy",Q2625-M2625+T2625, IF(C2625="Sell",M2625-Q2625-T2625, X)))</f>
        <v/>
      </c>
      <c r="V2625" s="81">
        <f>IF(ISBLANK(P2625),"",U2625/N2625)</f>
        <v/>
      </c>
      <c r="W2625" s="81">
        <f>IF(ISBLANK(P2625),"",IF(S2625=0,(365/0.5)*V2625,(365/S2625)*V2625))</f>
        <v/>
      </c>
      <c r="X2625" s="75" t="n"/>
      <c r="Y2625" s="77" t="n"/>
      <c r="Z2625" s="77" t="n"/>
      <c r="AA2625" s="75" t="n"/>
      <c r="AB2625" s="75" t="n"/>
      <c r="AC2625" s="6" t="n"/>
      <c r="AD2625" s="75" t="n"/>
      <c r="AE2625" s="75" t="n"/>
      <c r="AF2625" s="75" t="n"/>
    </row>
    <row r="2626" ht="15.75" customHeight="1" s="133">
      <c r="A2626" s="75" t="n"/>
      <c r="B2626" s="75" t="n"/>
      <c r="C2626" s="75" t="n"/>
      <c r="D2626" s="75" t="n"/>
      <c r="E2626" s="76" t="n"/>
      <c r="F2626" s="77" t="n"/>
      <c r="G2626" s="75" t="n"/>
      <c r="H2626" s="75">
        <f>IF(ISBLANK(E2626),"",IF(OR(D2626="Butterfly",D2626="Butterfly ",D2626="Iron Fly", D2626="Iron Fly "),LEN(E2626)-LEN(SUBSTITUTE(E2626,"/",""))+2,LEN(E2626)-LEN(SUBSTITUTE(E2626,"/",""))+1))</f>
        <v/>
      </c>
      <c r="I2626" s="78">
        <f>IF(ISBLANK(G2626),"",IF(D2626="Stock","0",Key!$A$3*H2626*G2626))</f>
        <v/>
      </c>
      <c r="J2626" s="78">
        <f>IF(ISBLANK(E2626),"",IF(ISNUMBER(SEARCH("/",E2626)), IF(LEN(E2626)-LEN(SUBSTITUTE(E2626,"/",""))=1,(RIGHT(E2626,LEN(E2626)-FIND("/",E2626)))-(LEFT(E2626,FIND("/",E2626)-1)),(MID(E2626, SEARCH("/",E2626) + 1, SEARCH("/",E2626, SEARCH("/",E2626)+1) - SEARCH("/",E2626) - 1))-(LEFT(E2626,FIND("/",E2626)-1))), "NA"))</f>
        <v/>
      </c>
      <c r="K2626" s="79">
        <f>IF(A2626&lt;&gt;"", IF(ISBLANK(L2626), TODAY(), K2626), "")</f>
        <v/>
      </c>
      <c r="L2626" s="78" t="n"/>
      <c r="M2626" s="78">
        <f>IF(ISBLANK(L2626),"",IF(D2626="Stock",IF(C2626="Buy",L2626*G2626,IF(C2626="Sell",(L2626*G2626)-I2626, X)),IF(C2626="Buy",(L2626*G2626*100)+I2626,IF(C2626="Sell",(L2626*G2626*100)-I2626, X))))</f>
        <v/>
      </c>
      <c r="N2626" s="78">
        <f>IF(ISBLANK(L2626),"",IF(AND(C2626="Sell",D2626="Stock"),M2626,IF(ISBLANK(L2626),"",IF(C2626="Buy",M2626, IF(AND(C2626="Sell",J2626="NA"),(E2626*G2626*100*0.1)+I2626, IF(C2626="Sell",(J2626-L2626)*(100*G2626)+I2626))))))</f>
        <v/>
      </c>
      <c r="O2626" s="75" t="n"/>
      <c r="P2626" s="75" t="n"/>
      <c r="Q2626" s="75">
        <f>IF(ISBLANK(P2626),"",IF(D2626="Stock",P2626*G2626,IF(P2626=0,"0",G2626*P2626*100-(G2626*$AF$14))))</f>
        <v/>
      </c>
      <c r="R2626" s="79">
        <f>IF(P2626&lt;&gt;"", TODAY(), "")</f>
        <v/>
      </c>
      <c r="S2626" s="78">
        <f>IF(AND(K2626&lt;&gt;"", R2626&lt;&gt;""), R2626-K2626, "")</f>
        <v/>
      </c>
      <c r="T2626" s="78" t="n"/>
      <c r="U2626" s="92">
        <f>IF(ISBLANK(P2626),"",IF(C2626="Buy",Q2626-M2626+T2626, IF(C2626="Sell",M2626-Q2626-T2626, X)))</f>
        <v/>
      </c>
      <c r="V2626" s="81">
        <f>IF(ISBLANK(P2626),"",U2626/N2626)</f>
        <v/>
      </c>
      <c r="W2626" s="81">
        <f>IF(ISBLANK(P2626),"",IF(S2626=0,(365/0.5)*V2626,(365/S2626)*V2626))</f>
        <v/>
      </c>
      <c r="X2626" s="75" t="n"/>
      <c r="Y2626" s="77" t="n"/>
      <c r="Z2626" s="77" t="n"/>
      <c r="AA2626" s="75" t="n"/>
      <c r="AB2626" s="75" t="n"/>
      <c r="AC2626" s="6" t="n"/>
      <c r="AD2626" s="75" t="n"/>
      <c r="AE2626" s="75" t="n"/>
      <c r="AF2626" s="75" t="n"/>
    </row>
    <row r="2627" ht="15.75" customHeight="1" s="133">
      <c r="A2627" s="75" t="n"/>
      <c r="B2627" s="75" t="n"/>
      <c r="C2627" s="75" t="n"/>
      <c r="D2627" s="75" t="n"/>
      <c r="E2627" s="76" t="n"/>
      <c r="F2627" s="77" t="n"/>
      <c r="G2627" s="75" t="n"/>
      <c r="H2627" s="75">
        <f>IF(ISBLANK(E2627),"",IF(OR(D2627="Butterfly",D2627="Butterfly ",D2627="Iron Fly", D2627="Iron Fly "),LEN(E2627)-LEN(SUBSTITUTE(E2627,"/",""))+2,LEN(E2627)-LEN(SUBSTITUTE(E2627,"/",""))+1))</f>
        <v/>
      </c>
      <c r="I2627" s="78">
        <f>IF(ISBLANK(G2627),"",IF(D2627="Stock","0",Key!$A$3*H2627*G2627))</f>
        <v/>
      </c>
      <c r="J2627" s="78">
        <f>IF(ISBLANK(E2627),"",IF(ISNUMBER(SEARCH("/",E2627)), IF(LEN(E2627)-LEN(SUBSTITUTE(E2627,"/",""))=1,(RIGHT(E2627,LEN(E2627)-FIND("/",E2627)))-(LEFT(E2627,FIND("/",E2627)-1)),(MID(E2627, SEARCH("/",E2627) + 1, SEARCH("/",E2627, SEARCH("/",E2627)+1) - SEARCH("/",E2627) - 1))-(LEFT(E2627,FIND("/",E2627)-1))), "NA"))</f>
        <v/>
      </c>
      <c r="K2627" s="79">
        <f>IF(A2627&lt;&gt;"", IF(ISBLANK(L2627), TODAY(), K2627), "")</f>
        <v/>
      </c>
      <c r="L2627" s="78" t="n"/>
      <c r="M2627" s="78">
        <f>IF(ISBLANK(L2627),"",IF(D2627="Stock",IF(C2627="Buy",L2627*G2627,IF(C2627="Sell",(L2627*G2627)-I2627, X)),IF(C2627="Buy",(L2627*G2627*100)+I2627,IF(C2627="Sell",(L2627*G2627*100)-I2627, X))))</f>
        <v/>
      </c>
      <c r="N2627" s="78">
        <f>IF(ISBLANK(L2627),"",IF(AND(C2627="Sell",D2627="Stock"),M2627,IF(ISBLANK(L2627),"",IF(C2627="Buy",M2627, IF(AND(C2627="Sell",J2627="NA"),(E2627*G2627*100*0.1)+I2627, IF(C2627="Sell",(J2627-L2627)*(100*G2627)+I2627))))))</f>
        <v/>
      </c>
      <c r="O2627" s="75" t="n"/>
      <c r="P2627" s="75" t="n"/>
      <c r="Q2627" s="75">
        <f>IF(ISBLANK(P2627),"",IF(D2627="Stock",P2627*G2627,IF(P2627=0,"0",G2627*P2627*100-(G2627*$AF$14))))</f>
        <v/>
      </c>
      <c r="R2627" s="79">
        <f>IF(P2627&lt;&gt;"", TODAY(), "")</f>
        <v/>
      </c>
      <c r="S2627" s="78">
        <f>IF(AND(K2627&lt;&gt;"", R2627&lt;&gt;""), R2627-K2627, "")</f>
        <v/>
      </c>
      <c r="T2627" s="78" t="n"/>
      <c r="U2627" s="92">
        <f>IF(ISBLANK(P2627),"",IF(C2627="Buy",Q2627-M2627+T2627, IF(C2627="Sell",M2627-Q2627-T2627, X)))</f>
        <v/>
      </c>
      <c r="V2627" s="81">
        <f>IF(ISBLANK(P2627),"",U2627/N2627)</f>
        <v/>
      </c>
      <c r="W2627" s="81">
        <f>IF(ISBLANK(P2627),"",IF(S2627=0,(365/0.5)*V2627,(365/S2627)*V2627))</f>
        <v/>
      </c>
      <c r="X2627" s="75" t="n"/>
      <c r="Y2627" s="77" t="n"/>
      <c r="Z2627" s="77" t="n"/>
      <c r="AA2627" s="75" t="n"/>
      <c r="AB2627" s="75" t="n"/>
      <c r="AC2627" s="6" t="n"/>
      <c r="AD2627" s="75" t="n"/>
      <c r="AE2627" s="75" t="n"/>
      <c r="AF2627" s="75" t="n"/>
    </row>
    <row r="2628" ht="15.75" customHeight="1" s="133">
      <c r="A2628" s="75" t="n"/>
      <c r="B2628" s="75" t="n"/>
      <c r="C2628" s="75" t="n"/>
      <c r="D2628" s="75" t="n"/>
      <c r="E2628" s="76" t="n"/>
      <c r="F2628" s="77" t="n"/>
      <c r="G2628" s="75" t="n"/>
      <c r="H2628" s="75">
        <f>IF(ISBLANK(E2628),"",IF(OR(D2628="Butterfly",D2628="Butterfly ",D2628="Iron Fly", D2628="Iron Fly "),LEN(E2628)-LEN(SUBSTITUTE(E2628,"/",""))+2,LEN(E2628)-LEN(SUBSTITUTE(E2628,"/",""))+1))</f>
        <v/>
      </c>
      <c r="I2628" s="78">
        <f>IF(ISBLANK(G2628),"",IF(D2628="Stock","0",Key!$A$3*H2628*G2628))</f>
        <v/>
      </c>
      <c r="J2628" s="78">
        <f>IF(ISBLANK(E2628),"",IF(ISNUMBER(SEARCH("/",E2628)), IF(LEN(E2628)-LEN(SUBSTITUTE(E2628,"/",""))=1,(RIGHT(E2628,LEN(E2628)-FIND("/",E2628)))-(LEFT(E2628,FIND("/",E2628)-1)),(MID(E2628, SEARCH("/",E2628) + 1, SEARCH("/",E2628, SEARCH("/",E2628)+1) - SEARCH("/",E2628) - 1))-(LEFT(E2628,FIND("/",E2628)-1))), "NA"))</f>
        <v/>
      </c>
      <c r="K2628" s="79">
        <f>IF(A2628&lt;&gt;"", IF(ISBLANK(L2628), TODAY(), K2628), "")</f>
        <v/>
      </c>
      <c r="L2628" s="78" t="n"/>
      <c r="M2628" s="78">
        <f>IF(ISBLANK(L2628),"",IF(D2628="Stock",IF(C2628="Buy",L2628*G2628,IF(C2628="Sell",(L2628*G2628)-I2628, X)),IF(C2628="Buy",(L2628*G2628*100)+I2628,IF(C2628="Sell",(L2628*G2628*100)-I2628, X))))</f>
        <v/>
      </c>
      <c r="N2628" s="78">
        <f>IF(ISBLANK(L2628),"",IF(AND(C2628="Sell",D2628="Stock"),M2628,IF(ISBLANK(L2628),"",IF(C2628="Buy",M2628, IF(AND(C2628="Sell",J2628="NA"),(E2628*G2628*100*0.1)+I2628, IF(C2628="Sell",(J2628-L2628)*(100*G2628)+I2628))))))</f>
        <v/>
      </c>
      <c r="O2628" s="75" t="n"/>
      <c r="P2628" s="75" t="n"/>
      <c r="Q2628" s="75">
        <f>IF(ISBLANK(P2628),"",IF(D2628="Stock",P2628*G2628,IF(P2628=0,"0",G2628*P2628*100-(G2628*$AF$14))))</f>
        <v/>
      </c>
      <c r="R2628" s="79">
        <f>IF(P2628&lt;&gt;"", TODAY(), "")</f>
        <v/>
      </c>
      <c r="S2628" s="78">
        <f>IF(AND(K2628&lt;&gt;"", R2628&lt;&gt;""), R2628-K2628, "")</f>
        <v/>
      </c>
      <c r="T2628" s="78" t="n"/>
      <c r="U2628" s="92">
        <f>IF(ISBLANK(P2628),"",IF(C2628="Buy",Q2628-M2628+T2628, IF(C2628="Sell",M2628-Q2628-T2628, X)))</f>
        <v/>
      </c>
      <c r="V2628" s="81">
        <f>IF(ISBLANK(P2628),"",U2628/N2628)</f>
        <v/>
      </c>
      <c r="W2628" s="81">
        <f>IF(ISBLANK(P2628),"",IF(S2628=0,(365/0.5)*V2628,(365/S2628)*V2628))</f>
        <v/>
      </c>
      <c r="X2628" s="75" t="n"/>
      <c r="Y2628" s="77" t="n"/>
      <c r="Z2628" s="77" t="n"/>
      <c r="AA2628" s="75" t="n"/>
      <c r="AB2628" s="75" t="n"/>
      <c r="AC2628" s="6" t="n"/>
      <c r="AD2628" s="75" t="n"/>
      <c r="AE2628" s="75" t="n"/>
      <c r="AF2628" s="75" t="n"/>
    </row>
    <row r="2629" ht="15.75" customHeight="1" s="133">
      <c r="A2629" s="75" t="n"/>
      <c r="B2629" s="75" t="n"/>
      <c r="C2629" s="75" t="n"/>
      <c r="D2629" s="75" t="n"/>
      <c r="E2629" s="76" t="n"/>
      <c r="F2629" s="77" t="n"/>
      <c r="G2629" s="75" t="n"/>
      <c r="H2629" s="75">
        <f>IF(ISBLANK(E2629),"",IF(OR(D2629="Butterfly",D2629="Butterfly ",D2629="Iron Fly", D2629="Iron Fly "),LEN(E2629)-LEN(SUBSTITUTE(E2629,"/",""))+2,LEN(E2629)-LEN(SUBSTITUTE(E2629,"/",""))+1))</f>
        <v/>
      </c>
      <c r="I2629" s="78">
        <f>IF(ISBLANK(G2629),"",IF(D2629="Stock","0",Key!$A$3*H2629*G2629))</f>
        <v/>
      </c>
      <c r="J2629" s="78">
        <f>IF(ISBLANK(E2629),"",IF(ISNUMBER(SEARCH("/",E2629)), IF(LEN(E2629)-LEN(SUBSTITUTE(E2629,"/",""))=1,(RIGHT(E2629,LEN(E2629)-FIND("/",E2629)))-(LEFT(E2629,FIND("/",E2629)-1)),(MID(E2629, SEARCH("/",E2629) + 1, SEARCH("/",E2629, SEARCH("/",E2629)+1) - SEARCH("/",E2629) - 1))-(LEFT(E2629,FIND("/",E2629)-1))), "NA"))</f>
        <v/>
      </c>
      <c r="K2629" s="79">
        <f>IF(A2629&lt;&gt;"", IF(ISBLANK(L2629), TODAY(), K2629), "")</f>
        <v/>
      </c>
      <c r="L2629" s="78" t="n"/>
      <c r="M2629" s="78">
        <f>IF(ISBLANK(L2629),"",IF(D2629="Stock",IF(C2629="Buy",L2629*G2629,IF(C2629="Sell",(L2629*G2629)-I2629, X)),IF(C2629="Buy",(L2629*G2629*100)+I2629,IF(C2629="Sell",(L2629*G2629*100)-I2629, X))))</f>
        <v/>
      </c>
      <c r="N2629" s="78">
        <f>IF(ISBLANK(L2629),"",IF(AND(C2629="Sell",D2629="Stock"),M2629,IF(ISBLANK(L2629),"",IF(C2629="Buy",M2629, IF(AND(C2629="Sell",J2629="NA"),(E2629*G2629*100*0.1)+I2629, IF(C2629="Sell",(J2629-L2629)*(100*G2629)+I2629))))))</f>
        <v/>
      </c>
      <c r="O2629" s="75" t="n"/>
      <c r="P2629" s="75" t="n"/>
      <c r="Q2629" s="75">
        <f>IF(ISBLANK(P2629),"",IF(D2629="Stock",P2629*G2629,IF(P2629=0,"0",G2629*P2629*100-(G2629*$AF$14))))</f>
        <v/>
      </c>
      <c r="R2629" s="79">
        <f>IF(P2629&lt;&gt;"", TODAY(), "")</f>
        <v/>
      </c>
      <c r="S2629" s="78">
        <f>IF(AND(K2629&lt;&gt;"", R2629&lt;&gt;""), R2629-K2629, "")</f>
        <v/>
      </c>
      <c r="T2629" s="78" t="n"/>
      <c r="U2629" s="92">
        <f>IF(ISBLANK(P2629),"",IF(C2629="Buy",Q2629-M2629+T2629, IF(C2629="Sell",M2629-Q2629-T2629, X)))</f>
        <v/>
      </c>
      <c r="V2629" s="81">
        <f>IF(ISBLANK(P2629),"",U2629/N2629)</f>
        <v/>
      </c>
      <c r="W2629" s="81">
        <f>IF(ISBLANK(P2629),"",IF(S2629=0,(365/0.5)*V2629,(365/S2629)*V2629))</f>
        <v/>
      </c>
      <c r="X2629" s="75" t="n"/>
      <c r="Y2629" s="77" t="n"/>
      <c r="Z2629" s="77" t="n"/>
      <c r="AA2629" s="75" t="n"/>
      <c r="AB2629" s="75" t="n"/>
      <c r="AC2629" s="6" t="n"/>
      <c r="AD2629" s="75" t="n"/>
      <c r="AE2629" s="75" t="n"/>
      <c r="AF2629" s="75" t="n"/>
    </row>
    <row r="2630" ht="15.75" customHeight="1" s="133">
      <c r="A2630" s="75" t="n"/>
      <c r="B2630" s="75" t="n"/>
      <c r="C2630" s="75" t="n"/>
      <c r="D2630" s="75" t="n"/>
      <c r="E2630" s="76" t="n"/>
      <c r="F2630" s="77" t="n"/>
      <c r="G2630" s="75" t="n"/>
      <c r="H2630" s="75">
        <f>IF(ISBLANK(E2630),"",IF(OR(D2630="Butterfly",D2630="Butterfly ",D2630="Iron Fly", D2630="Iron Fly "),LEN(E2630)-LEN(SUBSTITUTE(E2630,"/",""))+2,LEN(E2630)-LEN(SUBSTITUTE(E2630,"/",""))+1))</f>
        <v/>
      </c>
      <c r="I2630" s="78">
        <f>IF(ISBLANK(G2630),"",IF(D2630="Stock","0",Key!$A$3*H2630*G2630))</f>
        <v/>
      </c>
      <c r="J2630" s="78">
        <f>IF(ISBLANK(E2630),"",IF(ISNUMBER(SEARCH("/",E2630)), IF(LEN(E2630)-LEN(SUBSTITUTE(E2630,"/",""))=1,(RIGHT(E2630,LEN(E2630)-FIND("/",E2630)))-(LEFT(E2630,FIND("/",E2630)-1)),(MID(E2630, SEARCH("/",E2630) + 1, SEARCH("/",E2630, SEARCH("/",E2630)+1) - SEARCH("/",E2630) - 1))-(LEFT(E2630,FIND("/",E2630)-1))), "NA"))</f>
        <v/>
      </c>
      <c r="K2630" s="79">
        <f>IF(A2630&lt;&gt;"", IF(ISBLANK(L2630), TODAY(), K2630), "")</f>
        <v/>
      </c>
      <c r="L2630" s="78" t="n"/>
      <c r="M2630" s="78">
        <f>IF(ISBLANK(L2630),"",IF(D2630="Stock",IF(C2630="Buy",L2630*G2630,IF(C2630="Sell",(L2630*G2630)-I2630, X)),IF(C2630="Buy",(L2630*G2630*100)+I2630,IF(C2630="Sell",(L2630*G2630*100)-I2630, X))))</f>
        <v/>
      </c>
      <c r="N2630" s="78">
        <f>IF(ISBLANK(L2630),"",IF(AND(C2630="Sell",D2630="Stock"),M2630,IF(ISBLANK(L2630),"",IF(C2630="Buy",M2630, IF(AND(C2630="Sell",J2630="NA"),(E2630*G2630*100*0.1)+I2630, IF(C2630="Sell",(J2630-L2630)*(100*G2630)+I2630))))))</f>
        <v/>
      </c>
      <c r="O2630" s="75" t="n"/>
      <c r="P2630" s="75" t="n"/>
      <c r="Q2630" s="75">
        <f>IF(ISBLANK(P2630),"",IF(D2630="Stock",P2630*G2630,IF(P2630=0,"0",G2630*P2630*100-(G2630*$AF$14))))</f>
        <v/>
      </c>
      <c r="R2630" s="79">
        <f>IF(P2630&lt;&gt;"", TODAY(), "")</f>
        <v/>
      </c>
      <c r="S2630" s="78">
        <f>IF(AND(K2630&lt;&gt;"", R2630&lt;&gt;""), R2630-K2630, "")</f>
        <v/>
      </c>
      <c r="T2630" s="78" t="n"/>
      <c r="U2630" s="92">
        <f>IF(ISBLANK(P2630),"",IF(C2630="Buy",Q2630-M2630+T2630, IF(C2630="Sell",M2630-Q2630-T2630, X)))</f>
        <v/>
      </c>
      <c r="V2630" s="81">
        <f>IF(ISBLANK(P2630),"",U2630/N2630)</f>
        <v/>
      </c>
      <c r="W2630" s="81">
        <f>IF(ISBLANK(P2630),"",IF(S2630=0,(365/0.5)*V2630,(365/S2630)*V2630))</f>
        <v/>
      </c>
      <c r="X2630" s="75" t="n"/>
      <c r="Y2630" s="77" t="n"/>
      <c r="Z2630" s="77" t="n"/>
      <c r="AA2630" s="75" t="n"/>
      <c r="AB2630" s="75" t="n"/>
      <c r="AC2630" s="6" t="n"/>
      <c r="AD2630" s="75" t="n"/>
      <c r="AE2630" s="75" t="n"/>
      <c r="AF2630" s="75" t="n"/>
    </row>
    <row r="2631" ht="15.75" customHeight="1" s="133">
      <c r="A2631" s="75" t="n"/>
      <c r="B2631" s="75" t="n"/>
      <c r="C2631" s="75" t="n"/>
      <c r="D2631" s="75" t="n"/>
      <c r="E2631" s="76" t="n"/>
      <c r="F2631" s="77" t="n"/>
      <c r="G2631" s="75" t="n"/>
      <c r="H2631" s="75">
        <f>IF(ISBLANK(E2631),"",IF(OR(D2631="Butterfly",D2631="Butterfly ",D2631="Iron Fly", D2631="Iron Fly "),LEN(E2631)-LEN(SUBSTITUTE(E2631,"/",""))+2,LEN(E2631)-LEN(SUBSTITUTE(E2631,"/",""))+1))</f>
        <v/>
      </c>
      <c r="I2631" s="78">
        <f>IF(ISBLANK(G2631),"",IF(D2631="Stock","0",Key!$A$3*H2631*G2631))</f>
        <v/>
      </c>
      <c r="J2631" s="78">
        <f>IF(ISBLANK(E2631),"",IF(ISNUMBER(SEARCH("/",E2631)), IF(LEN(E2631)-LEN(SUBSTITUTE(E2631,"/",""))=1,(RIGHT(E2631,LEN(E2631)-FIND("/",E2631)))-(LEFT(E2631,FIND("/",E2631)-1)),(MID(E2631, SEARCH("/",E2631) + 1, SEARCH("/",E2631, SEARCH("/",E2631)+1) - SEARCH("/",E2631) - 1))-(LEFT(E2631,FIND("/",E2631)-1))), "NA"))</f>
        <v/>
      </c>
      <c r="K2631" s="79">
        <f>IF(A2631&lt;&gt;"", IF(ISBLANK(L2631), TODAY(), K2631), "")</f>
        <v/>
      </c>
      <c r="L2631" s="78" t="n"/>
      <c r="M2631" s="78">
        <f>IF(ISBLANK(L2631),"",IF(D2631="Stock",IF(C2631="Buy",L2631*G2631,IF(C2631="Sell",(L2631*G2631)-I2631, X)),IF(C2631="Buy",(L2631*G2631*100)+I2631,IF(C2631="Sell",(L2631*G2631*100)-I2631, X))))</f>
        <v/>
      </c>
      <c r="N2631" s="78">
        <f>IF(ISBLANK(L2631),"",IF(AND(C2631="Sell",D2631="Stock"),M2631,IF(ISBLANK(L2631),"",IF(C2631="Buy",M2631, IF(AND(C2631="Sell",J2631="NA"),(E2631*G2631*100*0.1)+I2631, IF(C2631="Sell",(J2631-L2631)*(100*G2631)+I2631))))))</f>
        <v/>
      </c>
      <c r="O2631" s="75" t="n"/>
      <c r="P2631" s="75" t="n"/>
      <c r="Q2631" s="75">
        <f>IF(ISBLANK(P2631),"",IF(D2631="Stock",P2631*G2631,IF(P2631=0,"0",G2631*P2631*100-(G2631*$AF$14))))</f>
        <v/>
      </c>
      <c r="R2631" s="79">
        <f>IF(P2631&lt;&gt;"", TODAY(), "")</f>
        <v/>
      </c>
      <c r="S2631" s="78">
        <f>IF(AND(K2631&lt;&gt;"", R2631&lt;&gt;""), R2631-K2631, "")</f>
        <v/>
      </c>
      <c r="T2631" s="78" t="n"/>
      <c r="U2631" s="92">
        <f>IF(ISBLANK(P2631),"",IF(C2631="Buy",Q2631-M2631+T2631, IF(C2631="Sell",M2631-Q2631-T2631, X)))</f>
        <v/>
      </c>
      <c r="V2631" s="81">
        <f>IF(ISBLANK(P2631),"",U2631/N2631)</f>
        <v/>
      </c>
      <c r="W2631" s="81">
        <f>IF(ISBLANK(P2631),"",IF(S2631=0,(365/0.5)*V2631,(365/S2631)*V2631))</f>
        <v/>
      </c>
      <c r="X2631" s="75" t="n"/>
      <c r="Y2631" s="77" t="n"/>
      <c r="Z2631" s="77" t="n"/>
      <c r="AA2631" s="75" t="n"/>
      <c r="AB2631" s="75" t="n"/>
      <c r="AC2631" s="6" t="n"/>
      <c r="AD2631" s="75" t="n"/>
      <c r="AE2631" s="75" t="n"/>
      <c r="AF2631" s="75" t="n"/>
    </row>
    <row r="2632" ht="15.75" customHeight="1" s="133">
      <c r="A2632" s="75" t="n"/>
      <c r="B2632" s="75" t="n"/>
      <c r="C2632" s="75" t="n"/>
      <c r="D2632" s="75" t="n"/>
      <c r="E2632" s="76" t="n"/>
      <c r="F2632" s="77" t="n"/>
      <c r="G2632" s="75" t="n"/>
      <c r="H2632" s="75">
        <f>IF(ISBLANK(E2632),"",IF(OR(D2632="Butterfly",D2632="Butterfly ",D2632="Iron Fly", D2632="Iron Fly "),LEN(E2632)-LEN(SUBSTITUTE(E2632,"/",""))+2,LEN(E2632)-LEN(SUBSTITUTE(E2632,"/",""))+1))</f>
        <v/>
      </c>
      <c r="I2632" s="78">
        <f>IF(ISBLANK(G2632),"",IF(D2632="Stock","0",Key!$A$3*H2632*G2632))</f>
        <v/>
      </c>
      <c r="J2632" s="78">
        <f>IF(ISBLANK(E2632),"",IF(ISNUMBER(SEARCH("/",E2632)), IF(LEN(E2632)-LEN(SUBSTITUTE(E2632,"/",""))=1,(RIGHT(E2632,LEN(E2632)-FIND("/",E2632)))-(LEFT(E2632,FIND("/",E2632)-1)),(MID(E2632, SEARCH("/",E2632) + 1, SEARCH("/",E2632, SEARCH("/",E2632)+1) - SEARCH("/",E2632) - 1))-(LEFT(E2632,FIND("/",E2632)-1))), "NA"))</f>
        <v/>
      </c>
      <c r="K2632" s="79">
        <f>IF(A2632&lt;&gt;"", IF(ISBLANK(L2632), TODAY(), K2632), "")</f>
        <v/>
      </c>
      <c r="L2632" s="78" t="n"/>
      <c r="M2632" s="78">
        <f>IF(ISBLANK(L2632),"",IF(D2632="Stock",IF(C2632="Buy",L2632*G2632,IF(C2632="Sell",(L2632*G2632)-I2632, X)),IF(C2632="Buy",(L2632*G2632*100)+I2632,IF(C2632="Sell",(L2632*G2632*100)-I2632, X))))</f>
        <v/>
      </c>
      <c r="N2632" s="78">
        <f>IF(ISBLANK(L2632),"",IF(AND(C2632="Sell",D2632="Stock"),M2632,IF(ISBLANK(L2632),"",IF(C2632="Buy",M2632, IF(AND(C2632="Sell",J2632="NA"),(E2632*G2632*100*0.1)+I2632, IF(C2632="Sell",(J2632-L2632)*(100*G2632)+I2632))))))</f>
        <v/>
      </c>
      <c r="O2632" s="75" t="n"/>
      <c r="P2632" s="75" t="n"/>
      <c r="Q2632" s="75">
        <f>IF(ISBLANK(P2632),"",IF(D2632="Stock",P2632*G2632,IF(P2632=0,"0",G2632*P2632*100-(G2632*$AF$14))))</f>
        <v/>
      </c>
      <c r="R2632" s="79">
        <f>IF(P2632&lt;&gt;"", TODAY(), "")</f>
        <v/>
      </c>
      <c r="S2632" s="78">
        <f>IF(AND(K2632&lt;&gt;"", R2632&lt;&gt;""), R2632-K2632, "")</f>
        <v/>
      </c>
      <c r="T2632" s="78" t="n"/>
      <c r="U2632" s="92">
        <f>IF(ISBLANK(P2632),"",IF(C2632="Buy",Q2632-M2632+T2632, IF(C2632="Sell",M2632-Q2632-T2632, X)))</f>
        <v/>
      </c>
      <c r="V2632" s="81">
        <f>IF(ISBLANK(P2632),"",U2632/N2632)</f>
        <v/>
      </c>
      <c r="W2632" s="81">
        <f>IF(ISBLANK(P2632),"",IF(S2632=0,(365/0.5)*V2632,(365/S2632)*V2632))</f>
        <v/>
      </c>
      <c r="X2632" s="75" t="n"/>
      <c r="Y2632" s="77" t="n"/>
      <c r="Z2632" s="77" t="n"/>
      <c r="AA2632" s="75" t="n"/>
      <c r="AB2632" s="75" t="n"/>
      <c r="AC2632" s="6" t="n"/>
      <c r="AD2632" s="75" t="n"/>
      <c r="AE2632" s="75" t="n"/>
      <c r="AF2632" s="75" t="n"/>
    </row>
    <row r="2633" ht="15.75" customHeight="1" s="133">
      <c r="A2633" s="75" t="n"/>
      <c r="B2633" s="75" t="n"/>
      <c r="C2633" s="75" t="n"/>
      <c r="D2633" s="75" t="n"/>
      <c r="E2633" s="76" t="n"/>
      <c r="F2633" s="77" t="n"/>
      <c r="G2633" s="75" t="n"/>
      <c r="H2633" s="75">
        <f>IF(ISBLANK(E2633),"",IF(OR(D2633="Butterfly",D2633="Butterfly ",D2633="Iron Fly", D2633="Iron Fly "),LEN(E2633)-LEN(SUBSTITUTE(E2633,"/",""))+2,LEN(E2633)-LEN(SUBSTITUTE(E2633,"/",""))+1))</f>
        <v/>
      </c>
      <c r="I2633" s="78">
        <f>IF(ISBLANK(G2633),"",IF(D2633="Stock","0",Key!$A$3*H2633*G2633))</f>
        <v/>
      </c>
      <c r="J2633" s="78">
        <f>IF(ISBLANK(E2633),"",IF(ISNUMBER(SEARCH("/",E2633)), IF(LEN(E2633)-LEN(SUBSTITUTE(E2633,"/",""))=1,(RIGHT(E2633,LEN(E2633)-FIND("/",E2633)))-(LEFT(E2633,FIND("/",E2633)-1)),(MID(E2633, SEARCH("/",E2633) + 1, SEARCH("/",E2633, SEARCH("/",E2633)+1) - SEARCH("/",E2633) - 1))-(LEFT(E2633,FIND("/",E2633)-1))), "NA"))</f>
        <v/>
      </c>
      <c r="K2633" s="79">
        <f>IF(A2633&lt;&gt;"", IF(ISBLANK(L2633), TODAY(), K2633), "")</f>
        <v/>
      </c>
      <c r="L2633" s="78" t="n"/>
      <c r="M2633" s="78">
        <f>IF(ISBLANK(L2633),"",IF(D2633="Stock",IF(C2633="Buy",L2633*G2633,IF(C2633="Sell",(L2633*G2633)-I2633, X)),IF(C2633="Buy",(L2633*G2633*100)+I2633,IF(C2633="Sell",(L2633*G2633*100)-I2633, X))))</f>
        <v/>
      </c>
      <c r="N2633" s="78">
        <f>IF(ISBLANK(L2633),"",IF(AND(C2633="Sell",D2633="Stock"),M2633,IF(ISBLANK(L2633),"",IF(C2633="Buy",M2633, IF(AND(C2633="Sell",J2633="NA"),(E2633*G2633*100*0.1)+I2633, IF(C2633="Sell",(J2633-L2633)*(100*G2633)+I2633))))))</f>
        <v/>
      </c>
      <c r="O2633" s="75" t="n"/>
      <c r="P2633" s="75" t="n"/>
      <c r="Q2633" s="75">
        <f>IF(ISBLANK(P2633),"",IF(D2633="Stock",P2633*G2633,IF(P2633=0,"0",G2633*P2633*100-(G2633*$AF$14))))</f>
        <v/>
      </c>
      <c r="R2633" s="79">
        <f>IF(P2633&lt;&gt;"", TODAY(), "")</f>
        <v/>
      </c>
      <c r="S2633" s="78">
        <f>IF(AND(K2633&lt;&gt;"", R2633&lt;&gt;""), R2633-K2633, "")</f>
        <v/>
      </c>
      <c r="T2633" s="78" t="n"/>
      <c r="U2633" s="92">
        <f>IF(ISBLANK(P2633),"",IF(C2633="Buy",Q2633-M2633+T2633, IF(C2633="Sell",M2633-Q2633-T2633, X)))</f>
        <v/>
      </c>
      <c r="V2633" s="81">
        <f>IF(ISBLANK(P2633),"",U2633/N2633)</f>
        <v/>
      </c>
      <c r="W2633" s="81">
        <f>IF(ISBLANK(P2633),"",IF(S2633=0,(365/0.5)*V2633,(365/S2633)*V2633))</f>
        <v/>
      </c>
      <c r="X2633" s="75" t="n"/>
      <c r="Y2633" s="77" t="n"/>
      <c r="Z2633" s="77" t="n"/>
      <c r="AA2633" s="75" t="n"/>
      <c r="AB2633" s="75" t="n"/>
      <c r="AC2633" s="6" t="n"/>
      <c r="AD2633" s="75" t="n"/>
      <c r="AE2633" s="75" t="n"/>
      <c r="AF2633" s="75" t="n"/>
    </row>
    <row r="2634" ht="15.75" customHeight="1" s="133">
      <c r="A2634" s="75" t="n"/>
      <c r="B2634" s="75" t="n"/>
      <c r="C2634" s="75" t="n"/>
      <c r="D2634" s="75" t="n"/>
      <c r="E2634" s="76" t="n"/>
      <c r="F2634" s="77" t="n"/>
      <c r="G2634" s="75" t="n"/>
      <c r="H2634" s="75">
        <f>IF(ISBLANK(E2634),"",IF(OR(D2634="Butterfly",D2634="Butterfly ",D2634="Iron Fly", D2634="Iron Fly "),LEN(E2634)-LEN(SUBSTITUTE(E2634,"/",""))+2,LEN(E2634)-LEN(SUBSTITUTE(E2634,"/",""))+1))</f>
        <v/>
      </c>
      <c r="I2634" s="78">
        <f>IF(ISBLANK(G2634),"",IF(D2634="Stock","0",Key!$A$3*H2634*G2634))</f>
        <v/>
      </c>
      <c r="J2634" s="78">
        <f>IF(ISBLANK(E2634),"",IF(ISNUMBER(SEARCH("/",E2634)), IF(LEN(E2634)-LEN(SUBSTITUTE(E2634,"/",""))=1,(RIGHT(E2634,LEN(E2634)-FIND("/",E2634)))-(LEFT(E2634,FIND("/",E2634)-1)),(MID(E2634, SEARCH("/",E2634) + 1, SEARCH("/",E2634, SEARCH("/",E2634)+1) - SEARCH("/",E2634) - 1))-(LEFT(E2634,FIND("/",E2634)-1))), "NA"))</f>
        <v/>
      </c>
      <c r="K2634" s="79">
        <f>IF(A2634&lt;&gt;"", IF(ISBLANK(L2634), TODAY(), K2634), "")</f>
        <v/>
      </c>
      <c r="L2634" s="78" t="n"/>
      <c r="M2634" s="78">
        <f>IF(ISBLANK(L2634),"",IF(D2634="Stock",IF(C2634="Buy",L2634*G2634,IF(C2634="Sell",(L2634*G2634)-I2634, X)),IF(C2634="Buy",(L2634*G2634*100)+I2634,IF(C2634="Sell",(L2634*G2634*100)-I2634, X))))</f>
        <v/>
      </c>
      <c r="N2634" s="78">
        <f>IF(ISBLANK(L2634),"",IF(AND(C2634="Sell",D2634="Stock"),M2634,IF(ISBLANK(L2634),"",IF(C2634="Buy",M2634, IF(AND(C2634="Sell",J2634="NA"),(E2634*G2634*100*0.1)+I2634, IF(C2634="Sell",(J2634-L2634)*(100*G2634)+I2634))))))</f>
        <v/>
      </c>
      <c r="O2634" s="75" t="n"/>
      <c r="P2634" s="75" t="n"/>
      <c r="Q2634" s="75">
        <f>IF(ISBLANK(P2634),"",IF(D2634="Stock",P2634*G2634,IF(P2634=0,"0",G2634*P2634*100-(G2634*$AF$14))))</f>
        <v/>
      </c>
      <c r="R2634" s="79">
        <f>IF(P2634&lt;&gt;"", TODAY(), "")</f>
        <v/>
      </c>
      <c r="S2634" s="78">
        <f>IF(AND(K2634&lt;&gt;"", R2634&lt;&gt;""), R2634-K2634, "")</f>
        <v/>
      </c>
      <c r="T2634" s="78" t="n"/>
      <c r="U2634" s="92">
        <f>IF(ISBLANK(P2634),"",IF(C2634="Buy",Q2634-M2634+T2634, IF(C2634="Sell",M2634-Q2634-T2634, X)))</f>
        <v/>
      </c>
      <c r="V2634" s="81">
        <f>IF(ISBLANK(P2634),"",U2634/N2634)</f>
        <v/>
      </c>
      <c r="W2634" s="81">
        <f>IF(ISBLANK(P2634),"",IF(S2634=0,(365/0.5)*V2634,(365/S2634)*V2634))</f>
        <v/>
      </c>
      <c r="X2634" s="75" t="n"/>
      <c r="Y2634" s="77" t="n"/>
      <c r="Z2634" s="77" t="n"/>
      <c r="AA2634" s="75" t="n"/>
      <c r="AB2634" s="75" t="n"/>
      <c r="AC2634" s="6" t="n"/>
      <c r="AD2634" s="75" t="n"/>
      <c r="AE2634" s="75" t="n"/>
      <c r="AF2634" s="75" t="n"/>
    </row>
    <row r="2635" ht="15.75" customHeight="1" s="133">
      <c r="A2635" s="75" t="n"/>
      <c r="B2635" s="75" t="n"/>
      <c r="C2635" s="75" t="n"/>
      <c r="D2635" s="75" t="n"/>
      <c r="E2635" s="76" t="n"/>
      <c r="F2635" s="77" t="n"/>
      <c r="G2635" s="75" t="n"/>
      <c r="H2635" s="75">
        <f>IF(ISBLANK(E2635),"",IF(OR(D2635="Butterfly",D2635="Butterfly ",D2635="Iron Fly", D2635="Iron Fly "),LEN(E2635)-LEN(SUBSTITUTE(E2635,"/",""))+2,LEN(E2635)-LEN(SUBSTITUTE(E2635,"/",""))+1))</f>
        <v/>
      </c>
      <c r="I2635" s="78">
        <f>IF(ISBLANK(G2635),"",IF(D2635="Stock","0",Key!$A$3*H2635*G2635))</f>
        <v/>
      </c>
      <c r="J2635" s="78">
        <f>IF(ISBLANK(E2635),"",IF(ISNUMBER(SEARCH("/",E2635)), IF(LEN(E2635)-LEN(SUBSTITUTE(E2635,"/",""))=1,(RIGHT(E2635,LEN(E2635)-FIND("/",E2635)))-(LEFT(E2635,FIND("/",E2635)-1)),(MID(E2635, SEARCH("/",E2635) + 1, SEARCH("/",E2635, SEARCH("/",E2635)+1) - SEARCH("/",E2635) - 1))-(LEFT(E2635,FIND("/",E2635)-1))), "NA"))</f>
        <v/>
      </c>
      <c r="K2635" s="79">
        <f>IF(A2635&lt;&gt;"", IF(ISBLANK(L2635), TODAY(), K2635), "")</f>
        <v/>
      </c>
      <c r="L2635" s="78" t="n"/>
      <c r="M2635" s="78">
        <f>IF(ISBLANK(L2635),"",IF(D2635="Stock",IF(C2635="Buy",L2635*G2635,IF(C2635="Sell",(L2635*G2635)-I2635, X)),IF(C2635="Buy",(L2635*G2635*100)+I2635,IF(C2635="Sell",(L2635*G2635*100)-I2635, X))))</f>
        <v/>
      </c>
      <c r="N2635" s="78">
        <f>IF(ISBLANK(L2635),"",IF(AND(C2635="Sell",D2635="Stock"),M2635,IF(ISBLANK(L2635),"",IF(C2635="Buy",M2635, IF(AND(C2635="Sell",J2635="NA"),(E2635*G2635*100*0.1)+I2635, IF(C2635="Sell",(J2635-L2635)*(100*G2635)+I2635))))))</f>
        <v/>
      </c>
      <c r="O2635" s="75" t="n"/>
      <c r="P2635" s="75" t="n"/>
      <c r="Q2635" s="75">
        <f>IF(ISBLANK(P2635),"",IF(D2635="Stock",P2635*G2635,IF(P2635=0,"0",G2635*P2635*100-(G2635*$AF$14))))</f>
        <v/>
      </c>
      <c r="R2635" s="79">
        <f>IF(P2635&lt;&gt;"", TODAY(), "")</f>
        <v/>
      </c>
      <c r="S2635" s="78">
        <f>IF(AND(K2635&lt;&gt;"", R2635&lt;&gt;""), R2635-K2635, "")</f>
        <v/>
      </c>
      <c r="T2635" s="78" t="n"/>
      <c r="U2635" s="92">
        <f>IF(ISBLANK(P2635),"",IF(C2635="Buy",Q2635-M2635+T2635, IF(C2635="Sell",M2635-Q2635-T2635, X)))</f>
        <v/>
      </c>
      <c r="V2635" s="81">
        <f>IF(ISBLANK(P2635),"",U2635/N2635)</f>
        <v/>
      </c>
      <c r="W2635" s="81">
        <f>IF(ISBLANK(P2635),"",IF(S2635=0,(365/0.5)*V2635,(365/S2635)*V2635))</f>
        <v/>
      </c>
      <c r="X2635" s="75" t="n"/>
      <c r="Y2635" s="77" t="n"/>
      <c r="Z2635" s="77" t="n"/>
      <c r="AA2635" s="75" t="n"/>
      <c r="AB2635" s="75" t="n"/>
      <c r="AC2635" s="6" t="n"/>
      <c r="AD2635" s="75" t="n"/>
      <c r="AE2635" s="75" t="n"/>
      <c r="AF2635" s="75" t="n"/>
    </row>
    <row r="2636" ht="15.75" customHeight="1" s="133">
      <c r="A2636" s="75" t="n"/>
      <c r="B2636" s="75" t="n"/>
      <c r="C2636" s="75" t="n"/>
      <c r="D2636" s="75" t="n"/>
      <c r="E2636" s="76" t="n"/>
      <c r="F2636" s="77" t="n"/>
      <c r="G2636" s="75" t="n"/>
      <c r="H2636" s="75">
        <f>IF(ISBLANK(E2636),"",IF(OR(D2636="Butterfly",D2636="Butterfly ",D2636="Iron Fly", D2636="Iron Fly "),LEN(E2636)-LEN(SUBSTITUTE(E2636,"/",""))+2,LEN(E2636)-LEN(SUBSTITUTE(E2636,"/",""))+1))</f>
        <v/>
      </c>
      <c r="I2636" s="78">
        <f>IF(ISBLANK(G2636),"",IF(D2636="Stock","0",Key!$A$3*H2636*G2636))</f>
        <v/>
      </c>
      <c r="J2636" s="78">
        <f>IF(ISBLANK(E2636),"",IF(ISNUMBER(SEARCH("/",E2636)), IF(LEN(E2636)-LEN(SUBSTITUTE(E2636,"/",""))=1,(RIGHT(E2636,LEN(E2636)-FIND("/",E2636)))-(LEFT(E2636,FIND("/",E2636)-1)),(MID(E2636, SEARCH("/",E2636) + 1, SEARCH("/",E2636, SEARCH("/",E2636)+1) - SEARCH("/",E2636) - 1))-(LEFT(E2636,FIND("/",E2636)-1))), "NA"))</f>
        <v/>
      </c>
      <c r="K2636" s="79">
        <f>IF(A2636&lt;&gt;"", IF(ISBLANK(L2636), TODAY(), K2636), "")</f>
        <v/>
      </c>
      <c r="L2636" s="78" t="n"/>
      <c r="M2636" s="78">
        <f>IF(ISBLANK(L2636),"",IF(D2636="Stock",IF(C2636="Buy",L2636*G2636,IF(C2636="Sell",(L2636*G2636)-I2636, X)),IF(C2636="Buy",(L2636*G2636*100)+I2636,IF(C2636="Sell",(L2636*G2636*100)-I2636, X))))</f>
        <v/>
      </c>
      <c r="N2636" s="78">
        <f>IF(ISBLANK(L2636),"",IF(AND(C2636="Sell",D2636="Stock"),M2636,IF(ISBLANK(L2636),"",IF(C2636="Buy",M2636, IF(AND(C2636="Sell",J2636="NA"),(E2636*G2636*100*0.1)+I2636, IF(C2636="Sell",(J2636-L2636)*(100*G2636)+I2636))))))</f>
        <v/>
      </c>
      <c r="O2636" s="75" t="n"/>
      <c r="P2636" s="75" t="n"/>
      <c r="Q2636" s="75">
        <f>IF(ISBLANK(P2636),"",IF(D2636="Stock",P2636*G2636,IF(P2636=0,"0",G2636*P2636*100-(G2636*$AF$14))))</f>
        <v/>
      </c>
      <c r="R2636" s="79">
        <f>IF(P2636&lt;&gt;"", TODAY(), "")</f>
        <v/>
      </c>
      <c r="S2636" s="78">
        <f>IF(AND(K2636&lt;&gt;"", R2636&lt;&gt;""), R2636-K2636, "")</f>
        <v/>
      </c>
      <c r="T2636" s="78" t="n"/>
      <c r="U2636" s="92">
        <f>IF(ISBLANK(P2636),"",IF(C2636="Buy",Q2636-M2636+T2636, IF(C2636="Sell",M2636-Q2636-T2636, X)))</f>
        <v/>
      </c>
      <c r="V2636" s="81">
        <f>IF(ISBLANK(P2636),"",U2636/N2636)</f>
        <v/>
      </c>
      <c r="W2636" s="81">
        <f>IF(ISBLANK(P2636),"",IF(S2636=0,(365/0.5)*V2636,(365/S2636)*V2636))</f>
        <v/>
      </c>
      <c r="X2636" s="75" t="n"/>
      <c r="Y2636" s="77" t="n"/>
      <c r="Z2636" s="77" t="n"/>
      <c r="AA2636" s="75" t="n"/>
      <c r="AB2636" s="75" t="n"/>
      <c r="AC2636" s="6" t="n"/>
      <c r="AD2636" s="75" t="n"/>
      <c r="AE2636" s="75" t="n"/>
      <c r="AF2636" s="75" t="n"/>
    </row>
    <row r="2637" ht="15.75" customHeight="1" s="133">
      <c r="A2637" s="75" t="n"/>
      <c r="B2637" s="75" t="n"/>
      <c r="C2637" s="75" t="n"/>
      <c r="D2637" s="75" t="n"/>
      <c r="E2637" s="76" t="n"/>
      <c r="F2637" s="77" t="n"/>
      <c r="G2637" s="75" t="n"/>
      <c r="H2637" s="75">
        <f>IF(ISBLANK(E2637),"",IF(OR(D2637="Butterfly",D2637="Butterfly ",D2637="Iron Fly", D2637="Iron Fly "),LEN(E2637)-LEN(SUBSTITUTE(E2637,"/",""))+2,LEN(E2637)-LEN(SUBSTITUTE(E2637,"/",""))+1))</f>
        <v/>
      </c>
      <c r="I2637" s="78">
        <f>IF(ISBLANK(G2637),"",IF(D2637="Stock","0",Key!$A$3*H2637*G2637))</f>
        <v/>
      </c>
      <c r="J2637" s="78">
        <f>IF(ISBLANK(E2637),"",IF(ISNUMBER(SEARCH("/",E2637)), IF(LEN(E2637)-LEN(SUBSTITUTE(E2637,"/",""))=1,(RIGHT(E2637,LEN(E2637)-FIND("/",E2637)))-(LEFT(E2637,FIND("/",E2637)-1)),(MID(E2637, SEARCH("/",E2637) + 1, SEARCH("/",E2637, SEARCH("/",E2637)+1) - SEARCH("/",E2637) - 1))-(LEFT(E2637,FIND("/",E2637)-1))), "NA"))</f>
        <v/>
      </c>
      <c r="K2637" s="79">
        <f>IF(A2637&lt;&gt;"", IF(ISBLANK(L2637), TODAY(), K2637), "")</f>
        <v/>
      </c>
      <c r="L2637" s="78" t="n"/>
      <c r="M2637" s="78">
        <f>IF(ISBLANK(L2637),"",IF(D2637="Stock",IF(C2637="Buy",L2637*G2637,IF(C2637="Sell",(L2637*G2637)-I2637, X)),IF(C2637="Buy",(L2637*G2637*100)+I2637,IF(C2637="Sell",(L2637*G2637*100)-I2637, X))))</f>
        <v/>
      </c>
      <c r="N2637" s="78">
        <f>IF(ISBLANK(L2637),"",IF(AND(C2637="Sell",D2637="Stock"),M2637,IF(ISBLANK(L2637),"",IF(C2637="Buy",M2637, IF(AND(C2637="Sell",J2637="NA"),(E2637*G2637*100*0.1)+I2637, IF(C2637="Sell",(J2637-L2637)*(100*G2637)+I2637))))))</f>
        <v/>
      </c>
      <c r="O2637" s="75" t="n"/>
      <c r="P2637" s="75" t="n"/>
      <c r="Q2637" s="75">
        <f>IF(ISBLANK(P2637),"",IF(D2637="Stock",P2637*G2637,IF(P2637=0,"0",G2637*P2637*100-(G2637*$AF$14))))</f>
        <v/>
      </c>
      <c r="R2637" s="79">
        <f>IF(P2637&lt;&gt;"", TODAY(), "")</f>
        <v/>
      </c>
      <c r="S2637" s="78">
        <f>IF(AND(K2637&lt;&gt;"", R2637&lt;&gt;""), R2637-K2637, "")</f>
        <v/>
      </c>
      <c r="T2637" s="78" t="n"/>
      <c r="U2637" s="92">
        <f>IF(ISBLANK(P2637),"",IF(C2637="Buy",Q2637-M2637+T2637, IF(C2637="Sell",M2637-Q2637-T2637, X)))</f>
        <v/>
      </c>
      <c r="V2637" s="81">
        <f>IF(ISBLANK(P2637),"",U2637/N2637)</f>
        <v/>
      </c>
      <c r="W2637" s="81">
        <f>IF(ISBLANK(P2637),"",IF(S2637=0,(365/0.5)*V2637,(365/S2637)*V2637))</f>
        <v/>
      </c>
      <c r="X2637" s="75" t="n"/>
      <c r="Y2637" s="77" t="n"/>
      <c r="Z2637" s="77" t="n"/>
      <c r="AA2637" s="75" t="n"/>
      <c r="AB2637" s="75" t="n"/>
      <c r="AC2637" s="6" t="n"/>
      <c r="AD2637" s="75" t="n"/>
      <c r="AE2637" s="75" t="n"/>
      <c r="AF2637" s="75" t="n"/>
    </row>
    <row r="2638" ht="15.75" customHeight="1" s="133">
      <c r="A2638" s="75" t="n"/>
      <c r="B2638" s="75" t="n"/>
      <c r="C2638" s="75" t="n"/>
      <c r="D2638" s="75" t="n"/>
      <c r="E2638" s="76" t="n"/>
      <c r="F2638" s="77" t="n"/>
      <c r="G2638" s="75" t="n"/>
      <c r="H2638" s="75">
        <f>IF(ISBLANK(E2638),"",IF(OR(D2638="Butterfly",D2638="Butterfly ",D2638="Iron Fly", D2638="Iron Fly "),LEN(E2638)-LEN(SUBSTITUTE(E2638,"/",""))+2,LEN(E2638)-LEN(SUBSTITUTE(E2638,"/",""))+1))</f>
        <v/>
      </c>
      <c r="I2638" s="78">
        <f>IF(ISBLANK(G2638),"",IF(D2638="Stock","0",Key!$A$3*H2638*G2638))</f>
        <v/>
      </c>
      <c r="J2638" s="78">
        <f>IF(ISBLANK(E2638),"",IF(ISNUMBER(SEARCH("/",E2638)), IF(LEN(E2638)-LEN(SUBSTITUTE(E2638,"/",""))=1,(RIGHT(E2638,LEN(E2638)-FIND("/",E2638)))-(LEFT(E2638,FIND("/",E2638)-1)),(MID(E2638, SEARCH("/",E2638) + 1, SEARCH("/",E2638, SEARCH("/",E2638)+1) - SEARCH("/",E2638) - 1))-(LEFT(E2638,FIND("/",E2638)-1))), "NA"))</f>
        <v/>
      </c>
      <c r="K2638" s="79">
        <f>IF(A2638&lt;&gt;"", IF(ISBLANK(L2638), TODAY(), K2638), "")</f>
        <v/>
      </c>
      <c r="L2638" s="78" t="n"/>
      <c r="M2638" s="78">
        <f>IF(ISBLANK(L2638),"",IF(D2638="Stock",IF(C2638="Buy",L2638*G2638,IF(C2638="Sell",(L2638*G2638)-I2638, X)),IF(C2638="Buy",(L2638*G2638*100)+I2638,IF(C2638="Sell",(L2638*G2638*100)-I2638, X))))</f>
        <v/>
      </c>
      <c r="N2638" s="78">
        <f>IF(ISBLANK(L2638),"",IF(AND(C2638="Sell",D2638="Stock"),M2638,IF(ISBLANK(L2638),"",IF(C2638="Buy",M2638, IF(AND(C2638="Sell",J2638="NA"),(E2638*G2638*100*0.1)+I2638, IF(C2638="Sell",(J2638-L2638)*(100*G2638)+I2638))))))</f>
        <v/>
      </c>
      <c r="O2638" s="75" t="n"/>
      <c r="P2638" s="75" t="n"/>
      <c r="Q2638" s="75">
        <f>IF(ISBLANK(P2638),"",IF(D2638="Stock",P2638*G2638,IF(P2638=0,"0",G2638*P2638*100-(G2638*$AF$14))))</f>
        <v/>
      </c>
      <c r="R2638" s="79">
        <f>IF(P2638&lt;&gt;"", TODAY(), "")</f>
        <v/>
      </c>
      <c r="S2638" s="78">
        <f>IF(AND(K2638&lt;&gt;"", R2638&lt;&gt;""), R2638-K2638, "")</f>
        <v/>
      </c>
      <c r="T2638" s="78" t="n"/>
      <c r="U2638" s="92">
        <f>IF(ISBLANK(P2638),"",IF(C2638="Buy",Q2638-M2638+T2638, IF(C2638="Sell",M2638-Q2638-T2638, X)))</f>
        <v/>
      </c>
      <c r="V2638" s="81">
        <f>IF(ISBLANK(P2638),"",U2638/N2638)</f>
        <v/>
      </c>
      <c r="W2638" s="81">
        <f>IF(ISBLANK(P2638),"",IF(S2638=0,(365/0.5)*V2638,(365/S2638)*V2638))</f>
        <v/>
      </c>
      <c r="X2638" s="75" t="n"/>
      <c r="Y2638" s="77" t="n"/>
      <c r="Z2638" s="77" t="n"/>
      <c r="AA2638" s="75" t="n"/>
      <c r="AB2638" s="75" t="n"/>
      <c r="AC2638" s="6" t="n"/>
      <c r="AD2638" s="75" t="n"/>
      <c r="AE2638" s="75" t="n"/>
      <c r="AF2638" s="75" t="n"/>
    </row>
    <row r="2639" ht="15.75" customHeight="1" s="133">
      <c r="A2639" s="75" t="n"/>
      <c r="B2639" s="75" t="n"/>
      <c r="C2639" s="75" t="n"/>
      <c r="D2639" s="75" t="n"/>
      <c r="E2639" s="76" t="n"/>
      <c r="F2639" s="77" t="n"/>
      <c r="G2639" s="75" t="n"/>
      <c r="H2639" s="75">
        <f>IF(ISBLANK(E2639),"",IF(OR(D2639="Butterfly",D2639="Butterfly ",D2639="Iron Fly", D2639="Iron Fly "),LEN(E2639)-LEN(SUBSTITUTE(E2639,"/",""))+2,LEN(E2639)-LEN(SUBSTITUTE(E2639,"/",""))+1))</f>
        <v/>
      </c>
      <c r="I2639" s="78">
        <f>IF(ISBLANK(G2639),"",IF(D2639="Stock","0",Key!$A$3*H2639*G2639))</f>
        <v/>
      </c>
      <c r="J2639" s="78">
        <f>IF(ISBLANK(E2639),"",IF(ISNUMBER(SEARCH("/",E2639)), IF(LEN(E2639)-LEN(SUBSTITUTE(E2639,"/",""))=1,(RIGHT(E2639,LEN(E2639)-FIND("/",E2639)))-(LEFT(E2639,FIND("/",E2639)-1)),(MID(E2639, SEARCH("/",E2639) + 1, SEARCH("/",E2639, SEARCH("/",E2639)+1) - SEARCH("/",E2639) - 1))-(LEFT(E2639,FIND("/",E2639)-1))), "NA"))</f>
        <v/>
      </c>
      <c r="K2639" s="79">
        <f>IF(A2639&lt;&gt;"", IF(ISBLANK(L2639), TODAY(), K2639), "")</f>
        <v/>
      </c>
      <c r="L2639" s="78" t="n"/>
      <c r="M2639" s="78">
        <f>IF(ISBLANK(L2639),"",IF(D2639="Stock",IF(C2639="Buy",L2639*G2639,IF(C2639="Sell",(L2639*G2639)-I2639, X)),IF(C2639="Buy",(L2639*G2639*100)+I2639,IF(C2639="Sell",(L2639*G2639*100)-I2639, X))))</f>
        <v/>
      </c>
      <c r="N2639" s="78">
        <f>IF(ISBLANK(L2639),"",IF(AND(C2639="Sell",D2639="Stock"),M2639,IF(ISBLANK(L2639),"",IF(C2639="Buy",M2639, IF(AND(C2639="Sell",J2639="NA"),(E2639*G2639*100*0.1)+I2639, IF(C2639="Sell",(J2639-L2639)*(100*G2639)+I2639))))))</f>
        <v/>
      </c>
      <c r="O2639" s="75" t="n"/>
      <c r="P2639" s="75" t="n"/>
      <c r="Q2639" s="75">
        <f>IF(ISBLANK(P2639),"",IF(D2639="Stock",P2639*G2639,IF(P2639=0,"0",G2639*P2639*100-(G2639*$AF$14))))</f>
        <v/>
      </c>
      <c r="R2639" s="79">
        <f>IF(P2639&lt;&gt;"", TODAY(), "")</f>
        <v/>
      </c>
      <c r="S2639" s="78">
        <f>IF(AND(K2639&lt;&gt;"", R2639&lt;&gt;""), R2639-K2639, "")</f>
        <v/>
      </c>
      <c r="T2639" s="78" t="n"/>
      <c r="U2639" s="92">
        <f>IF(ISBLANK(P2639),"",IF(C2639="Buy",Q2639-M2639+T2639, IF(C2639="Sell",M2639-Q2639-T2639, X)))</f>
        <v/>
      </c>
      <c r="V2639" s="81">
        <f>IF(ISBLANK(P2639),"",U2639/N2639)</f>
        <v/>
      </c>
      <c r="W2639" s="81">
        <f>IF(ISBLANK(P2639),"",IF(S2639=0,(365/0.5)*V2639,(365/S2639)*V2639))</f>
        <v/>
      </c>
      <c r="X2639" s="75" t="n"/>
      <c r="Y2639" s="77" t="n"/>
      <c r="Z2639" s="77" t="n"/>
      <c r="AA2639" s="75" t="n"/>
      <c r="AB2639" s="75" t="n"/>
      <c r="AC2639" s="6" t="n"/>
      <c r="AD2639" s="75" t="n"/>
      <c r="AE2639" s="75" t="n"/>
      <c r="AF2639" s="75" t="n"/>
    </row>
    <row r="2640" ht="15.75" customHeight="1" s="133">
      <c r="A2640" s="75" t="n"/>
      <c r="B2640" s="75" t="n"/>
      <c r="C2640" s="75" t="n"/>
      <c r="D2640" s="75" t="n"/>
      <c r="E2640" s="76" t="n"/>
      <c r="F2640" s="77" t="n"/>
      <c r="G2640" s="75" t="n"/>
      <c r="H2640" s="75">
        <f>IF(ISBLANK(E2640),"",IF(OR(D2640="Butterfly",D2640="Butterfly ",D2640="Iron Fly", D2640="Iron Fly "),LEN(E2640)-LEN(SUBSTITUTE(E2640,"/",""))+2,LEN(E2640)-LEN(SUBSTITUTE(E2640,"/",""))+1))</f>
        <v/>
      </c>
      <c r="I2640" s="78">
        <f>IF(ISBLANK(G2640),"",IF(D2640="Stock","0",Key!$A$3*H2640*G2640))</f>
        <v/>
      </c>
      <c r="J2640" s="78">
        <f>IF(ISBLANK(E2640),"",IF(ISNUMBER(SEARCH("/",E2640)), IF(LEN(E2640)-LEN(SUBSTITUTE(E2640,"/",""))=1,(RIGHT(E2640,LEN(E2640)-FIND("/",E2640)))-(LEFT(E2640,FIND("/",E2640)-1)),(MID(E2640, SEARCH("/",E2640) + 1, SEARCH("/",E2640, SEARCH("/",E2640)+1) - SEARCH("/",E2640) - 1))-(LEFT(E2640,FIND("/",E2640)-1))), "NA"))</f>
        <v/>
      </c>
      <c r="K2640" s="79">
        <f>IF(A2640&lt;&gt;"", IF(ISBLANK(L2640), TODAY(), K2640), "")</f>
        <v/>
      </c>
      <c r="L2640" s="78" t="n"/>
      <c r="M2640" s="78">
        <f>IF(ISBLANK(L2640),"",IF(D2640="Stock",IF(C2640="Buy",L2640*G2640,IF(C2640="Sell",(L2640*G2640)-I2640, X)),IF(C2640="Buy",(L2640*G2640*100)+I2640,IF(C2640="Sell",(L2640*G2640*100)-I2640, X))))</f>
        <v/>
      </c>
      <c r="N2640" s="78">
        <f>IF(ISBLANK(L2640),"",IF(AND(C2640="Sell",D2640="Stock"),M2640,IF(ISBLANK(L2640),"",IF(C2640="Buy",M2640, IF(AND(C2640="Sell",J2640="NA"),(E2640*G2640*100*0.1)+I2640, IF(C2640="Sell",(J2640-L2640)*(100*G2640)+I2640))))))</f>
        <v/>
      </c>
      <c r="O2640" s="75" t="n"/>
      <c r="P2640" s="75" t="n"/>
      <c r="Q2640" s="75">
        <f>IF(ISBLANK(P2640),"",IF(D2640="Stock",P2640*G2640,IF(P2640=0,"0",G2640*P2640*100-(G2640*$AF$14))))</f>
        <v/>
      </c>
      <c r="R2640" s="79">
        <f>IF(P2640&lt;&gt;"", TODAY(), "")</f>
        <v/>
      </c>
      <c r="S2640" s="78">
        <f>IF(AND(K2640&lt;&gt;"", R2640&lt;&gt;""), R2640-K2640, "")</f>
        <v/>
      </c>
      <c r="T2640" s="78" t="n"/>
      <c r="U2640" s="92">
        <f>IF(ISBLANK(P2640),"",IF(C2640="Buy",Q2640-M2640+T2640, IF(C2640="Sell",M2640-Q2640-T2640, X)))</f>
        <v/>
      </c>
      <c r="V2640" s="81">
        <f>IF(ISBLANK(P2640),"",U2640/N2640)</f>
        <v/>
      </c>
      <c r="W2640" s="81">
        <f>IF(ISBLANK(P2640),"",IF(S2640=0,(365/0.5)*V2640,(365/S2640)*V2640))</f>
        <v/>
      </c>
      <c r="X2640" s="75" t="n"/>
      <c r="Y2640" s="77" t="n"/>
      <c r="Z2640" s="77" t="n"/>
      <c r="AA2640" s="75" t="n"/>
      <c r="AB2640" s="75" t="n"/>
      <c r="AC2640" s="6" t="n"/>
      <c r="AD2640" s="75" t="n"/>
      <c r="AE2640" s="75" t="n"/>
      <c r="AF2640" s="75" t="n"/>
    </row>
    <row r="2641" ht="15.75" customHeight="1" s="133">
      <c r="A2641" s="75" t="n"/>
      <c r="B2641" s="75" t="n"/>
      <c r="C2641" s="75" t="n"/>
      <c r="D2641" s="75" t="n"/>
      <c r="E2641" s="76" t="n"/>
      <c r="F2641" s="77" t="n"/>
      <c r="G2641" s="75" t="n"/>
      <c r="H2641" s="75">
        <f>IF(ISBLANK(E2641),"",IF(OR(D2641="Butterfly",D2641="Butterfly ",D2641="Iron Fly", D2641="Iron Fly "),LEN(E2641)-LEN(SUBSTITUTE(E2641,"/",""))+2,LEN(E2641)-LEN(SUBSTITUTE(E2641,"/",""))+1))</f>
        <v/>
      </c>
      <c r="I2641" s="78">
        <f>IF(ISBLANK(G2641),"",IF(D2641="Stock","0",Key!$A$3*H2641*G2641))</f>
        <v/>
      </c>
      <c r="J2641" s="78">
        <f>IF(ISBLANK(E2641),"",IF(ISNUMBER(SEARCH("/",E2641)), IF(LEN(E2641)-LEN(SUBSTITUTE(E2641,"/",""))=1,(RIGHT(E2641,LEN(E2641)-FIND("/",E2641)))-(LEFT(E2641,FIND("/",E2641)-1)),(MID(E2641, SEARCH("/",E2641) + 1, SEARCH("/",E2641, SEARCH("/",E2641)+1) - SEARCH("/",E2641) - 1))-(LEFT(E2641,FIND("/",E2641)-1))), "NA"))</f>
        <v/>
      </c>
      <c r="K2641" s="79">
        <f>IF(A2641&lt;&gt;"", IF(ISBLANK(L2641), TODAY(), K2641), "")</f>
        <v/>
      </c>
      <c r="L2641" s="78" t="n"/>
      <c r="M2641" s="78">
        <f>IF(ISBLANK(L2641),"",IF(D2641="Stock",IF(C2641="Buy",L2641*G2641,IF(C2641="Sell",(L2641*G2641)-I2641, X)),IF(C2641="Buy",(L2641*G2641*100)+I2641,IF(C2641="Sell",(L2641*G2641*100)-I2641, X))))</f>
        <v/>
      </c>
      <c r="N2641" s="78">
        <f>IF(ISBLANK(L2641),"",IF(AND(C2641="Sell",D2641="Stock"),M2641,IF(ISBLANK(L2641),"",IF(C2641="Buy",M2641, IF(AND(C2641="Sell",J2641="NA"),(E2641*G2641*100*0.1)+I2641, IF(C2641="Sell",(J2641-L2641)*(100*G2641)+I2641))))))</f>
        <v/>
      </c>
      <c r="O2641" s="75" t="n"/>
      <c r="P2641" s="75" t="n"/>
      <c r="Q2641" s="75">
        <f>IF(ISBLANK(P2641),"",IF(D2641="Stock",P2641*G2641,IF(P2641=0,"0",G2641*P2641*100-(G2641*$AF$14))))</f>
        <v/>
      </c>
      <c r="R2641" s="79">
        <f>IF(P2641&lt;&gt;"", TODAY(), "")</f>
        <v/>
      </c>
      <c r="S2641" s="78">
        <f>IF(AND(K2641&lt;&gt;"", R2641&lt;&gt;""), R2641-K2641, "")</f>
        <v/>
      </c>
      <c r="T2641" s="78" t="n"/>
      <c r="U2641" s="92">
        <f>IF(ISBLANK(P2641),"",IF(C2641="Buy",Q2641-M2641+T2641, IF(C2641="Sell",M2641-Q2641-T2641, X)))</f>
        <v/>
      </c>
      <c r="V2641" s="81">
        <f>IF(ISBLANK(P2641),"",U2641/N2641)</f>
        <v/>
      </c>
      <c r="W2641" s="81">
        <f>IF(ISBLANK(P2641),"",IF(S2641=0,(365/0.5)*V2641,(365/S2641)*V2641))</f>
        <v/>
      </c>
      <c r="X2641" s="75" t="n"/>
      <c r="Y2641" s="77" t="n"/>
      <c r="Z2641" s="77" t="n"/>
      <c r="AA2641" s="75" t="n"/>
      <c r="AB2641" s="75" t="n"/>
      <c r="AC2641" s="6" t="n"/>
      <c r="AD2641" s="75" t="n"/>
      <c r="AE2641" s="75" t="n"/>
      <c r="AF2641" s="75" t="n"/>
    </row>
    <row r="2642" ht="15.75" customHeight="1" s="133">
      <c r="A2642" s="75" t="n"/>
      <c r="B2642" s="75" t="n"/>
      <c r="C2642" s="75" t="n"/>
      <c r="D2642" s="75" t="n"/>
      <c r="E2642" s="76" t="n"/>
      <c r="F2642" s="77" t="n"/>
      <c r="G2642" s="75" t="n"/>
      <c r="H2642" s="75">
        <f>IF(ISBLANK(E2642),"",IF(OR(D2642="Butterfly",D2642="Butterfly ",D2642="Iron Fly", D2642="Iron Fly "),LEN(E2642)-LEN(SUBSTITUTE(E2642,"/",""))+2,LEN(E2642)-LEN(SUBSTITUTE(E2642,"/",""))+1))</f>
        <v/>
      </c>
      <c r="I2642" s="78">
        <f>IF(ISBLANK(G2642),"",IF(D2642="Stock","0",Key!$A$3*H2642*G2642))</f>
        <v/>
      </c>
      <c r="J2642" s="78">
        <f>IF(ISBLANK(E2642),"",IF(ISNUMBER(SEARCH("/",E2642)), IF(LEN(E2642)-LEN(SUBSTITUTE(E2642,"/",""))=1,(RIGHT(E2642,LEN(E2642)-FIND("/",E2642)))-(LEFT(E2642,FIND("/",E2642)-1)),(MID(E2642, SEARCH("/",E2642) + 1, SEARCH("/",E2642, SEARCH("/",E2642)+1) - SEARCH("/",E2642) - 1))-(LEFT(E2642,FIND("/",E2642)-1))), "NA"))</f>
        <v/>
      </c>
      <c r="K2642" s="79">
        <f>IF(A2642&lt;&gt;"", IF(ISBLANK(L2642), TODAY(), K2642), "")</f>
        <v/>
      </c>
      <c r="L2642" s="78" t="n"/>
      <c r="M2642" s="78">
        <f>IF(ISBLANK(L2642),"",IF(D2642="Stock",IF(C2642="Buy",L2642*G2642,IF(C2642="Sell",(L2642*G2642)-I2642, X)),IF(C2642="Buy",(L2642*G2642*100)+I2642,IF(C2642="Sell",(L2642*G2642*100)-I2642, X))))</f>
        <v/>
      </c>
      <c r="N2642" s="78">
        <f>IF(ISBLANK(L2642),"",IF(AND(C2642="Sell",D2642="Stock"),M2642,IF(ISBLANK(L2642),"",IF(C2642="Buy",M2642, IF(AND(C2642="Sell",J2642="NA"),(E2642*G2642*100*0.1)+I2642, IF(C2642="Sell",(J2642-L2642)*(100*G2642)+I2642))))))</f>
        <v/>
      </c>
      <c r="O2642" s="75" t="n"/>
      <c r="P2642" s="75" t="n"/>
      <c r="Q2642" s="75">
        <f>IF(ISBLANK(P2642),"",IF(D2642="Stock",P2642*G2642,IF(P2642=0,"0",G2642*P2642*100-(G2642*$AF$14))))</f>
        <v/>
      </c>
      <c r="R2642" s="79">
        <f>IF(P2642&lt;&gt;"", TODAY(), "")</f>
        <v/>
      </c>
      <c r="S2642" s="78">
        <f>IF(AND(K2642&lt;&gt;"", R2642&lt;&gt;""), R2642-K2642, "")</f>
        <v/>
      </c>
      <c r="T2642" s="78" t="n"/>
      <c r="U2642" s="92">
        <f>IF(ISBLANK(P2642),"",IF(C2642="Buy",Q2642-M2642+T2642, IF(C2642="Sell",M2642-Q2642-T2642, X)))</f>
        <v/>
      </c>
      <c r="V2642" s="81">
        <f>IF(ISBLANK(P2642),"",U2642/N2642)</f>
        <v/>
      </c>
      <c r="W2642" s="81">
        <f>IF(ISBLANK(P2642),"",IF(S2642=0,(365/0.5)*V2642,(365/S2642)*V2642))</f>
        <v/>
      </c>
      <c r="X2642" s="75" t="n"/>
      <c r="Y2642" s="77" t="n"/>
      <c r="Z2642" s="77" t="n"/>
      <c r="AA2642" s="75" t="n"/>
      <c r="AB2642" s="75" t="n"/>
      <c r="AC2642" s="6" t="n"/>
      <c r="AD2642" s="75" t="n"/>
      <c r="AE2642" s="75" t="n"/>
      <c r="AF2642" s="75" t="n"/>
    </row>
    <row r="2643" ht="15.75" customHeight="1" s="133">
      <c r="A2643" s="75" t="n"/>
      <c r="B2643" s="75" t="n"/>
      <c r="C2643" s="75" t="n"/>
      <c r="D2643" s="75" t="n"/>
      <c r="E2643" s="76" t="n"/>
      <c r="F2643" s="77" t="n"/>
      <c r="G2643" s="75" t="n"/>
      <c r="H2643" s="75">
        <f>IF(ISBLANK(E2643),"",IF(OR(D2643="Butterfly",D2643="Butterfly ",D2643="Iron Fly", D2643="Iron Fly "),LEN(E2643)-LEN(SUBSTITUTE(E2643,"/",""))+2,LEN(E2643)-LEN(SUBSTITUTE(E2643,"/",""))+1))</f>
        <v/>
      </c>
      <c r="I2643" s="78">
        <f>IF(ISBLANK(G2643),"",IF(D2643="Stock","0",Key!$A$3*H2643*G2643))</f>
        <v/>
      </c>
      <c r="J2643" s="78">
        <f>IF(ISBLANK(E2643),"",IF(ISNUMBER(SEARCH("/",E2643)), IF(LEN(E2643)-LEN(SUBSTITUTE(E2643,"/",""))=1,(RIGHT(E2643,LEN(E2643)-FIND("/",E2643)))-(LEFT(E2643,FIND("/",E2643)-1)),(MID(E2643, SEARCH("/",E2643) + 1, SEARCH("/",E2643, SEARCH("/",E2643)+1) - SEARCH("/",E2643) - 1))-(LEFT(E2643,FIND("/",E2643)-1))), "NA"))</f>
        <v/>
      </c>
      <c r="K2643" s="79">
        <f>IF(A2643&lt;&gt;"", IF(ISBLANK(L2643), TODAY(), K2643), "")</f>
        <v/>
      </c>
      <c r="L2643" s="78" t="n"/>
      <c r="M2643" s="78">
        <f>IF(ISBLANK(L2643),"",IF(D2643="Stock",IF(C2643="Buy",L2643*G2643,IF(C2643="Sell",(L2643*G2643)-I2643, X)),IF(C2643="Buy",(L2643*G2643*100)+I2643,IF(C2643="Sell",(L2643*G2643*100)-I2643, X))))</f>
        <v/>
      </c>
      <c r="N2643" s="78">
        <f>IF(ISBLANK(L2643),"",IF(AND(C2643="Sell",D2643="Stock"),M2643,IF(ISBLANK(L2643),"",IF(C2643="Buy",M2643, IF(AND(C2643="Sell",J2643="NA"),(E2643*G2643*100*0.1)+I2643, IF(C2643="Sell",(J2643-L2643)*(100*G2643)+I2643))))))</f>
        <v/>
      </c>
      <c r="O2643" s="75" t="n"/>
      <c r="P2643" s="75" t="n"/>
      <c r="Q2643" s="75">
        <f>IF(ISBLANK(P2643),"",IF(D2643="Stock",P2643*G2643,IF(P2643=0,"0",G2643*P2643*100-(G2643*$AF$14))))</f>
        <v/>
      </c>
      <c r="R2643" s="79">
        <f>IF(P2643&lt;&gt;"", TODAY(), "")</f>
        <v/>
      </c>
      <c r="S2643" s="78">
        <f>IF(AND(K2643&lt;&gt;"", R2643&lt;&gt;""), R2643-K2643, "")</f>
        <v/>
      </c>
      <c r="T2643" s="78" t="n"/>
      <c r="U2643" s="92">
        <f>IF(ISBLANK(P2643),"",IF(C2643="Buy",Q2643-M2643+T2643, IF(C2643="Sell",M2643-Q2643-T2643, X)))</f>
        <v/>
      </c>
      <c r="V2643" s="81">
        <f>IF(ISBLANK(P2643),"",U2643/N2643)</f>
        <v/>
      </c>
      <c r="W2643" s="81">
        <f>IF(ISBLANK(P2643),"",IF(S2643=0,(365/0.5)*V2643,(365/S2643)*V2643))</f>
        <v/>
      </c>
      <c r="X2643" s="75" t="n"/>
      <c r="Y2643" s="77" t="n"/>
      <c r="Z2643" s="77" t="n"/>
      <c r="AA2643" s="75" t="n"/>
      <c r="AB2643" s="75" t="n"/>
      <c r="AC2643" s="6" t="n"/>
      <c r="AD2643" s="75" t="n"/>
      <c r="AE2643" s="75" t="n"/>
      <c r="AF2643" s="75" t="n"/>
    </row>
    <row r="2644" ht="15.75" customHeight="1" s="133">
      <c r="A2644" s="75" t="n"/>
      <c r="B2644" s="75" t="n"/>
      <c r="C2644" s="75" t="n"/>
      <c r="D2644" s="75" t="n"/>
      <c r="E2644" s="76" t="n"/>
      <c r="F2644" s="77" t="n"/>
      <c r="G2644" s="75" t="n"/>
      <c r="H2644" s="75">
        <f>IF(ISBLANK(E2644),"",IF(OR(D2644="Butterfly",D2644="Butterfly ",D2644="Iron Fly", D2644="Iron Fly "),LEN(E2644)-LEN(SUBSTITUTE(E2644,"/",""))+2,LEN(E2644)-LEN(SUBSTITUTE(E2644,"/",""))+1))</f>
        <v/>
      </c>
      <c r="I2644" s="78">
        <f>IF(ISBLANK(G2644),"",IF(D2644="Stock","0",Key!$A$3*H2644*G2644))</f>
        <v/>
      </c>
      <c r="J2644" s="78">
        <f>IF(ISBLANK(E2644),"",IF(ISNUMBER(SEARCH("/",E2644)), IF(LEN(E2644)-LEN(SUBSTITUTE(E2644,"/",""))=1,(RIGHT(E2644,LEN(E2644)-FIND("/",E2644)))-(LEFT(E2644,FIND("/",E2644)-1)),(MID(E2644, SEARCH("/",E2644) + 1, SEARCH("/",E2644, SEARCH("/",E2644)+1) - SEARCH("/",E2644) - 1))-(LEFT(E2644,FIND("/",E2644)-1))), "NA"))</f>
        <v/>
      </c>
      <c r="K2644" s="79">
        <f>IF(A2644&lt;&gt;"", IF(ISBLANK(L2644), TODAY(), K2644), "")</f>
        <v/>
      </c>
      <c r="L2644" s="78" t="n"/>
      <c r="M2644" s="78">
        <f>IF(ISBLANK(L2644),"",IF(D2644="Stock",IF(C2644="Buy",L2644*G2644,IF(C2644="Sell",(L2644*G2644)-I2644, X)),IF(C2644="Buy",(L2644*G2644*100)+I2644,IF(C2644="Sell",(L2644*G2644*100)-I2644, X))))</f>
        <v/>
      </c>
      <c r="N2644" s="78">
        <f>IF(ISBLANK(L2644),"",IF(AND(C2644="Sell",D2644="Stock"),M2644,IF(ISBLANK(L2644),"",IF(C2644="Buy",M2644, IF(AND(C2644="Sell",J2644="NA"),(E2644*G2644*100*0.1)+I2644, IF(C2644="Sell",(J2644-L2644)*(100*G2644)+I2644))))))</f>
        <v/>
      </c>
      <c r="O2644" s="75" t="n"/>
      <c r="P2644" s="75" t="n"/>
      <c r="Q2644" s="75">
        <f>IF(ISBLANK(P2644),"",IF(D2644="Stock",P2644*G2644,IF(P2644=0,"0",G2644*P2644*100-(G2644*$AF$14))))</f>
        <v/>
      </c>
      <c r="R2644" s="79">
        <f>IF(P2644&lt;&gt;"", TODAY(), "")</f>
        <v/>
      </c>
      <c r="S2644" s="78">
        <f>IF(AND(K2644&lt;&gt;"", R2644&lt;&gt;""), R2644-K2644, "")</f>
        <v/>
      </c>
      <c r="T2644" s="78" t="n"/>
      <c r="U2644" s="92">
        <f>IF(ISBLANK(P2644),"",IF(C2644="Buy",Q2644-M2644+T2644, IF(C2644="Sell",M2644-Q2644-T2644, X)))</f>
        <v/>
      </c>
      <c r="V2644" s="81">
        <f>IF(ISBLANK(P2644),"",U2644/N2644)</f>
        <v/>
      </c>
      <c r="W2644" s="81">
        <f>IF(ISBLANK(P2644),"",IF(S2644=0,(365/0.5)*V2644,(365/S2644)*V2644))</f>
        <v/>
      </c>
      <c r="X2644" s="75" t="n"/>
      <c r="Y2644" s="77" t="n"/>
      <c r="Z2644" s="77" t="n"/>
      <c r="AA2644" s="75" t="n"/>
      <c r="AB2644" s="75" t="n"/>
      <c r="AC2644" s="6" t="n"/>
      <c r="AD2644" s="75" t="n"/>
      <c r="AE2644" s="75" t="n"/>
      <c r="AF2644" s="75" t="n"/>
    </row>
    <row r="2645" ht="15.75" customHeight="1" s="133">
      <c r="A2645" s="75" t="n"/>
      <c r="B2645" s="75" t="n"/>
      <c r="C2645" s="75" t="n"/>
      <c r="D2645" s="75" t="n"/>
      <c r="E2645" s="76" t="n"/>
      <c r="F2645" s="77" t="n"/>
      <c r="G2645" s="75" t="n"/>
      <c r="H2645" s="75">
        <f>IF(ISBLANK(E2645),"",IF(OR(D2645="Butterfly",D2645="Butterfly ",D2645="Iron Fly", D2645="Iron Fly "),LEN(E2645)-LEN(SUBSTITUTE(E2645,"/",""))+2,LEN(E2645)-LEN(SUBSTITUTE(E2645,"/",""))+1))</f>
        <v/>
      </c>
      <c r="I2645" s="78">
        <f>IF(ISBLANK(G2645),"",IF(D2645="Stock","0",Key!$A$3*H2645*G2645))</f>
        <v/>
      </c>
      <c r="J2645" s="78">
        <f>IF(ISBLANK(E2645),"",IF(ISNUMBER(SEARCH("/",E2645)), IF(LEN(E2645)-LEN(SUBSTITUTE(E2645,"/",""))=1,(RIGHT(E2645,LEN(E2645)-FIND("/",E2645)))-(LEFT(E2645,FIND("/",E2645)-1)),(MID(E2645, SEARCH("/",E2645) + 1, SEARCH("/",E2645, SEARCH("/",E2645)+1) - SEARCH("/",E2645) - 1))-(LEFT(E2645,FIND("/",E2645)-1))), "NA"))</f>
        <v/>
      </c>
      <c r="K2645" s="79">
        <f>IF(A2645&lt;&gt;"", IF(ISBLANK(L2645), TODAY(), K2645), "")</f>
        <v/>
      </c>
      <c r="L2645" s="78" t="n"/>
      <c r="M2645" s="78">
        <f>IF(ISBLANK(L2645),"",IF(D2645="Stock",IF(C2645="Buy",L2645*G2645,IF(C2645="Sell",(L2645*G2645)-I2645, X)),IF(C2645="Buy",(L2645*G2645*100)+I2645,IF(C2645="Sell",(L2645*G2645*100)-I2645, X))))</f>
        <v/>
      </c>
      <c r="N2645" s="78">
        <f>IF(ISBLANK(L2645),"",IF(AND(C2645="Sell",D2645="Stock"),M2645,IF(ISBLANK(L2645),"",IF(C2645="Buy",M2645, IF(AND(C2645="Sell",J2645="NA"),(E2645*G2645*100*0.1)+I2645, IF(C2645="Sell",(J2645-L2645)*(100*G2645)+I2645))))))</f>
        <v/>
      </c>
      <c r="O2645" s="75" t="n"/>
      <c r="P2645" s="75" t="n"/>
      <c r="Q2645" s="75">
        <f>IF(ISBLANK(P2645),"",IF(D2645="Stock",P2645*G2645,IF(P2645=0,"0",G2645*P2645*100-(G2645*$AF$14))))</f>
        <v/>
      </c>
      <c r="R2645" s="79">
        <f>IF(P2645&lt;&gt;"", TODAY(), "")</f>
        <v/>
      </c>
      <c r="S2645" s="78">
        <f>IF(AND(K2645&lt;&gt;"", R2645&lt;&gt;""), R2645-K2645, "")</f>
        <v/>
      </c>
      <c r="T2645" s="78" t="n"/>
      <c r="U2645" s="92">
        <f>IF(ISBLANK(P2645),"",IF(C2645="Buy",Q2645-M2645+T2645, IF(C2645="Sell",M2645-Q2645-T2645, X)))</f>
        <v/>
      </c>
      <c r="V2645" s="81">
        <f>IF(ISBLANK(P2645),"",U2645/N2645)</f>
        <v/>
      </c>
      <c r="W2645" s="81">
        <f>IF(ISBLANK(P2645),"",IF(S2645=0,(365/0.5)*V2645,(365/S2645)*V2645))</f>
        <v/>
      </c>
      <c r="X2645" s="75" t="n"/>
      <c r="Y2645" s="77" t="n"/>
      <c r="Z2645" s="77" t="n"/>
      <c r="AA2645" s="75" t="n"/>
      <c r="AB2645" s="75" t="n"/>
      <c r="AC2645" s="6" t="n"/>
      <c r="AD2645" s="75" t="n"/>
      <c r="AE2645" s="75" t="n"/>
      <c r="AF2645" s="75" t="n"/>
    </row>
    <row r="2646" ht="15.75" customHeight="1" s="133">
      <c r="A2646" s="75" t="n"/>
      <c r="B2646" s="75" t="n"/>
      <c r="C2646" s="75" t="n"/>
      <c r="D2646" s="75" t="n"/>
      <c r="E2646" s="76" t="n"/>
      <c r="F2646" s="77" t="n"/>
      <c r="G2646" s="75" t="n"/>
      <c r="H2646" s="75">
        <f>IF(ISBLANK(E2646),"",IF(OR(D2646="Butterfly",D2646="Butterfly ",D2646="Iron Fly", D2646="Iron Fly "),LEN(E2646)-LEN(SUBSTITUTE(E2646,"/",""))+2,LEN(E2646)-LEN(SUBSTITUTE(E2646,"/",""))+1))</f>
        <v/>
      </c>
      <c r="I2646" s="78">
        <f>IF(ISBLANK(G2646),"",IF(D2646="Stock","0",Key!$A$3*H2646*G2646))</f>
        <v/>
      </c>
      <c r="J2646" s="78">
        <f>IF(ISBLANK(E2646),"",IF(ISNUMBER(SEARCH("/",E2646)), IF(LEN(E2646)-LEN(SUBSTITUTE(E2646,"/",""))=1,(RIGHT(E2646,LEN(E2646)-FIND("/",E2646)))-(LEFT(E2646,FIND("/",E2646)-1)),(MID(E2646, SEARCH("/",E2646) + 1, SEARCH("/",E2646, SEARCH("/",E2646)+1) - SEARCH("/",E2646) - 1))-(LEFT(E2646,FIND("/",E2646)-1))), "NA"))</f>
        <v/>
      </c>
      <c r="K2646" s="79">
        <f>IF(A2646&lt;&gt;"", IF(ISBLANK(L2646), TODAY(), K2646), "")</f>
        <v/>
      </c>
      <c r="L2646" s="78" t="n"/>
      <c r="M2646" s="78">
        <f>IF(ISBLANK(L2646),"",IF(D2646="Stock",IF(C2646="Buy",L2646*G2646,IF(C2646="Sell",(L2646*G2646)-I2646, X)),IF(C2646="Buy",(L2646*G2646*100)+I2646,IF(C2646="Sell",(L2646*G2646*100)-I2646, X))))</f>
        <v/>
      </c>
      <c r="N2646" s="78">
        <f>IF(ISBLANK(L2646),"",IF(AND(C2646="Sell",D2646="Stock"),M2646,IF(ISBLANK(L2646),"",IF(C2646="Buy",M2646, IF(AND(C2646="Sell",J2646="NA"),(E2646*G2646*100*0.1)+I2646, IF(C2646="Sell",(J2646-L2646)*(100*G2646)+I2646))))))</f>
        <v/>
      </c>
      <c r="O2646" s="75" t="n"/>
      <c r="P2646" s="75" t="n"/>
      <c r="Q2646" s="75">
        <f>IF(ISBLANK(P2646),"",IF(D2646="Stock",P2646*G2646,IF(P2646=0,"0",G2646*P2646*100-(G2646*$AF$14))))</f>
        <v/>
      </c>
      <c r="R2646" s="79">
        <f>IF(P2646&lt;&gt;"", TODAY(), "")</f>
        <v/>
      </c>
      <c r="S2646" s="78">
        <f>IF(AND(K2646&lt;&gt;"", R2646&lt;&gt;""), R2646-K2646, "")</f>
        <v/>
      </c>
      <c r="T2646" s="78" t="n"/>
      <c r="U2646" s="92">
        <f>IF(ISBLANK(P2646),"",IF(C2646="Buy",Q2646-M2646+T2646, IF(C2646="Sell",M2646-Q2646-T2646, X)))</f>
        <v/>
      </c>
      <c r="V2646" s="81">
        <f>IF(ISBLANK(P2646),"",U2646/N2646)</f>
        <v/>
      </c>
      <c r="W2646" s="81">
        <f>IF(ISBLANK(P2646),"",IF(S2646=0,(365/0.5)*V2646,(365/S2646)*V2646))</f>
        <v/>
      </c>
      <c r="X2646" s="75" t="n"/>
      <c r="Y2646" s="77" t="n"/>
      <c r="Z2646" s="77" t="n"/>
      <c r="AA2646" s="75" t="n"/>
      <c r="AB2646" s="75" t="n"/>
      <c r="AC2646" s="6" t="n"/>
      <c r="AD2646" s="75" t="n"/>
      <c r="AE2646" s="75" t="n"/>
      <c r="AF2646" s="75" t="n"/>
    </row>
    <row r="2647" ht="15.75" customHeight="1" s="133">
      <c r="A2647" s="75" t="n"/>
      <c r="B2647" s="75" t="n"/>
      <c r="C2647" s="75" t="n"/>
      <c r="D2647" s="75" t="n"/>
      <c r="E2647" s="76" t="n"/>
      <c r="F2647" s="77" t="n"/>
      <c r="G2647" s="75" t="n"/>
      <c r="H2647" s="75">
        <f>IF(ISBLANK(E2647),"",IF(OR(D2647="Butterfly",D2647="Butterfly ",D2647="Iron Fly", D2647="Iron Fly "),LEN(E2647)-LEN(SUBSTITUTE(E2647,"/",""))+2,LEN(E2647)-LEN(SUBSTITUTE(E2647,"/",""))+1))</f>
        <v/>
      </c>
      <c r="I2647" s="78">
        <f>IF(ISBLANK(G2647),"",IF(D2647="Stock","0",Key!$A$3*H2647*G2647))</f>
        <v/>
      </c>
      <c r="J2647" s="78">
        <f>IF(ISBLANK(E2647),"",IF(ISNUMBER(SEARCH("/",E2647)), IF(LEN(E2647)-LEN(SUBSTITUTE(E2647,"/",""))=1,(RIGHT(E2647,LEN(E2647)-FIND("/",E2647)))-(LEFT(E2647,FIND("/",E2647)-1)),(MID(E2647, SEARCH("/",E2647) + 1, SEARCH("/",E2647, SEARCH("/",E2647)+1) - SEARCH("/",E2647) - 1))-(LEFT(E2647,FIND("/",E2647)-1))), "NA"))</f>
        <v/>
      </c>
      <c r="K2647" s="79">
        <f>IF(A2647&lt;&gt;"", IF(ISBLANK(L2647), TODAY(), K2647), "")</f>
        <v/>
      </c>
      <c r="L2647" s="78" t="n"/>
      <c r="M2647" s="78">
        <f>IF(ISBLANK(L2647),"",IF(D2647="Stock",IF(C2647="Buy",L2647*G2647,IF(C2647="Sell",(L2647*G2647)-I2647, X)),IF(C2647="Buy",(L2647*G2647*100)+I2647,IF(C2647="Sell",(L2647*G2647*100)-I2647, X))))</f>
        <v/>
      </c>
      <c r="N2647" s="78">
        <f>IF(ISBLANK(L2647),"",IF(AND(C2647="Sell",D2647="Stock"),M2647,IF(ISBLANK(L2647),"",IF(C2647="Buy",M2647, IF(AND(C2647="Sell",J2647="NA"),(E2647*G2647*100*0.1)+I2647, IF(C2647="Sell",(J2647-L2647)*(100*G2647)+I2647))))))</f>
        <v/>
      </c>
      <c r="O2647" s="75" t="n"/>
      <c r="P2647" s="75" t="n"/>
      <c r="Q2647" s="75">
        <f>IF(ISBLANK(P2647),"",IF(D2647="Stock",P2647*G2647,IF(P2647=0,"0",G2647*P2647*100-(G2647*$AF$14))))</f>
        <v/>
      </c>
      <c r="R2647" s="79">
        <f>IF(P2647&lt;&gt;"", TODAY(), "")</f>
        <v/>
      </c>
      <c r="S2647" s="78">
        <f>IF(AND(K2647&lt;&gt;"", R2647&lt;&gt;""), R2647-K2647, "")</f>
        <v/>
      </c>
      <c r="T2647" s="78" t="n"/>
      <c r="U2647" s="92">
        <f>IF(ISBLANK(P2647),"",IF(C2647="Buy",Q2647-M2647+T2647, IF(C2647="Sell",M2647-Q2647-T2647, X)))</f>
        <v/>
      </c>
      <c r="V2647" s="81">
        <f>IF(ISBLANK(P2647),"",U2647/N2647)</f>
        <v/>
      </c>
      <c r="W2647" s="81">
        <f>IF(ISBLANK(P2647),"",IF(S2647=0,(365/0.5)*V2647,(365/S2647)*V2647))</f>
        <v/>
      </c>
      <c r="X2647" s="75" t="n"/>
      <c r="Y2647" s="77" t="n"/>
      <c r="Z2647" s="77" t="n"/>
      <c r="AA2647" s="75" t="n"/>
      <c r="AB2647" s="75" t="n"/>
      <c r="AC2647" s="6" t="n"/>
      <c r="AD2647" s="75" t="n"/>
      <c r="AE2647" s="75" t="n"/>
      <c r="AF2647" s="75" t="n"/>
    </row>
    <row r="2648" ht="15.75" customHeight="1" s="133">
      <c r="A2648" s="75" t="n"/>
      <c r="B2648" s="75" t="n"/>
      <c r="C2648" s="75" t="n"/>
      <c r="D2648" s="75" t="n"/>
      <c r="E2648" s="76" t="n"/>
      <c r="F2648" s="77" t="n"/>
      <c r="G2648" s="75" t="n"/>
      <c r="H2648" s="75">
        <f>IF(ISBLANK(E2648),"",IF(OR(D2648="Butterfly",D2648="Butterfly ",D2648="Iron Fly", D2648="Iron Fly "),LEN(E2648)-LEN(SUBSTITUTE(E2648,"/",""))+2,LEN(E2648)-LEN(SUBSTITUTE(E2648,"/",""))+1))</f>
        <v/>
      </c>
      <c r="I2648" s="78">
        <f>IF(ISBLANK(G2648),"",IF(D2648="Stock","0",Key!$A$3*H2648*G2648))</f>
        <v/>
      </c>
      <c r="J2648" s="78">
        <f>IF(ISBLANK(E2648),"",IF(ISNUMBER(SEARCH("/",E2648)), IF(LEN(E2648)-LEN(SUBSTITUTE(E2648,"/",""))=1,(RIGHT(E2648,LEN(E2648)-FIND("/",E2648)))-(LEFT(E2648,FIND("/",E2648)-1)),(MID(E2648, SEARCH("/",E2648) + 1, SEARCH("/",E2648, SEARCH("/",E2648)+1) - SEARCH("/",E2648) - 1))-(LEFT(E2648,FIND("/",E2648)-1))), "NA"))</f>
        <v/>
      </c>
      <c r="K2648" s="79">
        <f>IF(A2648&lt;&gt;"", IF(ISBLANK(L2648), TODAY(), K2648), "")</f>
        <v/>
      </c>
      <c r="L2648" s="78" t="n"/>
      <c r="M2648" s="78">
        <f>IF(ISBLANK(L2648),"",IF(D2648="Stock",IF(C2648="Buy",L2648*G2648,IF(C2648="Sell",(L2648*G2648)-I2648, X)),IF(C2648="Buy",(L2648*G2648*100)+I2648,IF(C2648="Sell",(L2648*G2648*100)-I2648, X))))</f>
        <v/>
      </c>
      <c r="N2648" s="78">
        <f>IF(ISBLANK(L2648),"",IF(AND(C2648="Sell",D2648="Stock"),M2648,IF(ISBLANK(L2648),"",IF(C2648="Buy",M2648, IF(AND(C2648="Sell",J2648="NA"),(E2648*G2648*100*0.1)+I2648, IF(C2648="Sell",(J2648-L2648)*(100*G2648)+I2648))))))</f>
        <v/>
      </c>
      <c r="O2648" s="75" t="n"/>
      <c r="P2648" s="75" t="n"/>
      <c r="Q2648" s="75">
        <f>IF(ISBLANK(P2648),"",IF(D2648="Stock",P2648*G2648,IF(P2648=0,"0",G2648*P2648*100-(G2648*$AF$14))))</f>
        <v/>
      </c>
      <c r="R2648" s="79">
        <f>IF(P2648&lt;&gt;"", TODAY(), "")</f>
        <v/>
      </c>
      <c r="S2648" s="78">
        <f>IF(AND(K2648&lt;&gt;"", R2648&lt;&gt;""), R2648-K2648, "")</f>
        <v/>
      </c>
      <c r="T2648" s="78" t="n"/>
      <c r="U2648" s="92">
        <f>IF(ISBLANK(P2648),"",IF(C2648="Buy",Q2648-M2648+T2648, IF(C2648="Sell",M2648-Q2648-T2648, X)))</f>
        <v/>
      </c>
      <c r="V2648" s="81">
        <f>IF(ISBLANK(P2648),"",U2648/N2648)</f>
        <v/>
      </c>
      <c r="W2648" s="81">
        <f>IF(ISBLANK(P2648),"",IF(S2648=0,(365/0.5)*V2648,(365/S2648)*V2648))</f>
        <v/>
      </c>
      <c r="X2648" s="75" t="n"/>
      <c r="Y2648" s="77" t="n"/>
      <c r="Z2648" s="77" t="n"/>
      <c r="AA2648" s="75" t="n"/>
      <c r="AB2648" s="75" t="n"/>
      <c r="AC2648" s="6" t="n"/>
      <c r="AD2648" s="75" t="n"/>
      <c r="AE2648" s="75" t="n"/>
      <c r="AF2648" s="75" t="n"/>
    </row>
    <row r="2649" ht="15.75" customHeight="1" s="133">
      <c r="A2649" s="75" t="n"/>
      <c r="B2649" s="75" t="n"/>
      <c r="C2649" s="75" t="n"/>
      <c r="D2649" s="75" t="n"/>
      <c r="E2649" s="76" t="n"/>
      <c r="F2649" s="77" t="n"/>
      <c r="G2649" s="75" t="n"/>
      <c r="H2649" s="75">
        <f>IF(ISBLANK(E2649),"",IF(OR(D2649="Butterfly",D2649="Butterfly ",D2649="Iron Fly", D2649="Iron Fly "),LEN(E2649)-LEN(SUBSTITUTE(E2649,"/",""))+2,LEN(E2649)-LEN(SUBSTITUTE(E2649,"/",""))+1))</f>
        <v/>
      </c>
      <c r="I2649" s="78">
        <f>IF(ISBLANK(G2649),"",IF(D2649="Stock","0",Key!$A$3*H2649*G2649))</f>
        <v/>
      </c>
      <c r="J2649" s="78">
        <f>IF(ISBLANK(E2649),"",IF(ISNUMBER(SEARCH("/",E2649)), IF(LEN(E2649)-LEN(SUBSTITUTE(E2649,"/",""))=1,(RIGHT(E2649,LEN(E2649)-FIND("/",E2649)))-(LEFT(E2649,FIND("/",E2649)-1)),(MID(E2649, SEARCH("/",E2649) + 1, SEARCH("/",E2649, SEARCH("/",E2649)+1) - SEARCH("/",E2649) - 1))-(LEFT(E2649,FIND("/",E2649)-1))), "NA"))</f>
        <v/>
      </c>
      <c r="K2649" s="79">
        <f>IF(A2649&lt;&gt;"", IF(ISBLANK(L2649), TODAY(), K2649), "")</f>
        <v/>
      </c>
      <c r="L2649" s="78" t="n"/>
      <c r="M2649" s="78">
        <f>IF(ISBLANK(L2649),"",IF(D2649="Stock",IF(C2649="Buy",L2649*G2649,IF(C2649="Sell",(L2649*G2649)-I2649, X)),IF(C2649="Buy",(L2649*G2649*100)+I2649,IF(C2649="Sell",(L2649*G2649*100)-I2649, X))))</f>
        <v/>
      </c>
      <c r="N2649" s="78">
        <f>IF(ISBLANK(L2649),"",IF(AND(C2649="Sell",D2649="Stock"),M2649,IF(ISBLANK(L2649),"",IF(C2649="Buy",M2649, IF(AND(C2649="Sell",J2649="NA"),(E2649*G2649*100*0.1)+I2649, IF(C2649="Sell",(J2649-L2649)*(100*G2649)+I2649))))))</f>
        <v/>
      </c>
      <c r="O2649" s="75" t="n"/>
      <c r="P2649" s="75" t="n"/>
      <c r="Q2649" s="75">
        <f>IF(ISBLANK(P2649),"",IF(D2649="Stock",P2649*G2649,IF(P2649=0,"0",G2649*P2649*100-(G2649*$AF$14))))</f>
        <v/>
      </c>
      <c r="R2649" s="79">
        <f>IF(P2649&lt;&gt;"", TODAY(), "")</f>
        <v/>
      </c>
      <c r="S2649" s="78">
        <f>IF(AND(K2649&lt;&gt;"", R2649&lt;&gt;""), R2649-K2649, "")</f>
        <v/>
      </c>
      <c r="T2649" s="78" t="n"/>
      <c r="U2649" s="92">
        <f>IF(ISBLANK(P2649),"",IF(C2649="Buy",Q2649-M2649+T2649, IF(C2649="Sell",M2649-Q2649-T2649, X)))</f>
        <v/>
      </c>
      <c r="V2649" s="81">
        <f>IF(ISBLANK(P2649),"",U2649/N2649)</f>
        <v/>
      </c>
      <c r="W2649" s="81">
        <f>IF(ISBLANK(P2649),"",IF(S2649=0,(365/0.5)*V2649,(365/S2649)*V2649))</f>
        <v/>
      </c>
      <c r="X2649" s="75" t="n"/>
      <c r="Y2649" s="77" t="n"/>
      <c r="Z2649" s="77" t="n"/>
      <c r="AA2649" s="75" t="n"/>
      <c r="AB2649" s="75" t="n"/>
      <c r="AC2649" s="6" t="n"/>
      <c r="AD2649" s="75" t="n"/>
      <c r="AE2649" s="75" t="n"/>
      <c r="AF2649" s="75" t="n"/>
    </row>
    <row r="2650" ht="15.75" customHeight="1" s="133">
      <c r="A2650" s="75" t="n"/>
      <c r="B2650" s="75" t="n"/>
      <c r="C2650" s="75" t="n"/>
      <c r="D2650" s="75" t="n"/>
      <c r="E2650" s="76" t="n"/>
      <c r="F2650" s="77" t="n"/>
      <c r="G2650" s="75" t="n"/>
      <c r="H2650" s="75">
        <f>IF(ISBLANK(E2650),"",IF(OR(D2650="Butterfly",D2650="Butterfly ",D2650="Iron Fly", D2650="Iron Fly "),LEN(E2650)-LEN(SUBSTITUTE(E2650,"/",""))+2,LEN(E2650)-LEN(SUBSTITUTE(E2650,"/",""))+1))</f>
        <v/>
      </c>
      <c r="I2650" s="78">
        <f>IF(ISBLANK(G2650),"",IF(D2650="Stock","0",Key!$A$3*H2650*G2650))</f>
        <v/>
      </c>
      <c r="J2650" s="78">
        <f>IF(ISBLANK(E2650),"",IF(ISNUMBER(SEARCH("/",E2650)), IF(LEN(E2650)-LEN(SUBSTITUTE(E2650,"/",""))=1,(RIGHT(E2650,LEN(E2650)-FIND("/",E2650)))-(LEFT(E2650,FIND("/",E2650)-1)),(MID(E2650, SEARCH("/",E2650) + 1, SEARCH("/",E2650, SEARCH("/",E2650)+1) - SEARCH("/",E2650) - 1))-(LEFT(E2650,FIND("/",E2650)-1))), "NA"))</f>
        <v/>
      </c>
      <c r="K2650" s="79">
        <f>IF(A2650&lt;&gt;"", IF(ISBLANK(L2650), TODAY(), K2650), "")</f>
        <v/>
      </c>
      <c r="L2650" s="78" t="n"/>
      <c r="M2650" s="78">
        <f>IF(ISBLANK(L2650),"",IF(D2650="Stock",IF(C2650="Buy",L2650*G2650,IF(C2650="Sell",(L2650*G2650)-I2650, X)),IF(C2650="Buy",(L2650*G2650*100)+I2650,IF(C2650="Sell",(L2650*G2650*100)-I2650, X))))</f>
        <v/>
      </c>
      <c r="N2650" s="78">
        <f>IF(ISBLANK(L2650),"",IF(AND(C2650="Sell",D2650="Stock"),M2650,IF(ISBLANK(L2650),"",IF(C2650="Buy",M2650, IF(AND(C2650="Sell",J2650="NA"),(E2650*G2650*100*0.1)+I2650, IF(C2650="Sell",(J2650-L2650)*(100*G2650)+I2650))))))</f>
        <v/>
      </c>
      <c r="O2650" s="75" t="n"/>
      <c r="P2650" s="75" t="n"/>
      <c r="Q2650" s="75">
        <f>IF(ISBLANK(P2650),"",IF(D2650="Stock",P2650*G2650,IF(P2650=0,"0",G2650*P2650*100-(G2650*$AF$14))))</f>
        <v/>
      </c>
      <c r="R2650" s="79">
        <f>IF(P2650&lt;&gt;"", TODAY(), "")</f>
        <v/>
      </c>
      <c r="S2650" s="78">
        <f>IF(AND(K2650&lt;&gt;"", R2650&lt;&gt;""), R2650-K2650, "")</f>
        <v/>
      </c>
      <c r="T2650" s="78" t="n"/>
      <c r="U2650" s="92">
        <f>IF(ISBLANK(P2650),"",IF(C2650="Buy",Q2650-M2650+T2650, IF(C2650="Sell",M2650-Q2650-T2650, X)))</f>
        <v/>
      </c>
      <c r="V2650" s="81">
        <f>IF(ISBLANK(P2650),"",U2650/N2650)</f>
        <v/>
      </c>
      <c r="W2650" s="81">
        <f>IF(ISBLANK(P2650),"",IF(S2650=0,(365/0.5)*V2650,(365/S2650)*V2650))</f>
        <v/>
      </c>
      <c r="X2650" s="75" t="n"/>
      <c r="Y2650" s="77" t="n"/>
      <c r="Z2650" s="77" t="n"/>
      <c r="AA2650" s="75" t="n"/>
      <c r="AB2650" s="75" t="n"/>
      <c r="AC2650" s="6" t="n"/>
      <c r="AD2650" s="75" t="n"/>
      <c r="AE2650" s="75" t="n"/>
      <c r="AF2650" s="75" t="n"/>
    </row>
    <row r="2651" ht="15.75" customHeight="1" s="133">
      <c r="A2651" s="75" t="n"/>
      <c r="B2651" s="75" t="n"/>
      <c r="C2651" s="75" t="n"/>
      <c r="D2651" s="75" t="n"/>
      <c r="E2651" s="76" t="n"/>
      <c r="F2651" s="77" t="n"/>
      <c r="G2651" s="75" t="n"/>
      <c r="H2651" s="75">
        <f>IF(ISBLANK(E2651),"",IF(OR(D2651="Butterfly",D2651="Butterfly ",D2651="Iron Fly", D2651="Iron Fly "),LEN(E2651)-LEN(SUBSTITUTE(E2651,"/",""))+2,LEN(E2651)-LEN(SUBSTITUTE(E2651,"/",""))+1))</f>
        <v/>
      </c>
      <c r="I2651" s="78">
        <f>IF(ISBLANK(G2651),"",IF(D2651="Stock","0",Key!$A$3*H2651*G2651))</f>
        <v/>
      </c>
      <c r="J2651" s="78">
        <f>IF(ISBLANK(E2651),"",IF(ISNUMBER(SEARCH("/",E2651)), IF(LEN(E2651)-LEN(SUBSTITUTE(E2651,"/",""))=1,(RIGHT(E2651,LEN(E2651)-FIND("/",E2651)))-(LEFT(E2651,FIND("/",E2651)-1)),(MID(E2651, SEARCH("/",E2651) + 1, SEARCH("/",E2651, SEARCH("/",E2651)+1) - SEARCH("/",E2651) - 1))-(LEFT(E2651,FIND("/",E2651)-1))), "NA"))</f>
        <v/>
      </c>
      <c r="K2651" s="79">
        <f>IF(A2651&lt;&gt;"", IF(ISBLANK(L2651), TODAY(), K2651), "")</f>
        <v/>
      </c>
      <c r="L2651" s="78" t="n"/>
      <c r="M2651" s="78">
        <f>IF(ISBLANK(L2651),"",IF(D2651="Stock",IF(C2651="Buy",L2651*G2651,IF(C2651="Sell",(L2651*G2651)-I2651, X)),IF(C2651="Buy",(L2651*G2651*100)+I2651,IF(C2651="Sell",(L2651*G2651*100)-I2651, X))))</f>
        <v/>
      </c>
      <c r="N2651" s="78">
        <f>IF(ISBLANK(L2651),"",IF(AND(C2651="Sell",D2651="Stock"),M2651,IF(ISBLANK(L2651),"",IF(C2651="Buy",M2651, IF(AND(C2651="Sell",J2651="NA"),(E2651*G2651*100*0.1)+I2651, IF(C2651="Sell",(J2651-L2651)*(100*G2651)+I2651))))))</f>
        <v/>
      </c>
      <c r="O2651" s="75" t="n"/>
      <c r="P2651" s="75" t="n"/>
      <c r="Q2651" s="75">
        <f>IF(ISBLANK(P2651),"",IF(D2651="Stock",P2651*G2651,IF(P2651=0,"0",G2651*P2651*100-(G2651*$AF$14))))</f>
        <v/>
      </c>
      <c r="R2651" s="79">
        <f>IF(P2651&lt;&gt;"", TODAY(), "")</f>
        <v/>
      </c>
      <c r="S2651" s="78">
        <f>IF(AND(K2651&lt;&gt;"", R2651&lt;&gt;""), R2651-K2651, "")</f>
        <v/>
      </c>
      <c r="T2651" s="78" t="n"/>
      <c r="U2651" s="92">
        <f>IF(ISBLANK(P2651),"",IF(C2651="Buy",Q2651-M2651+T2651, IF(C2651="Sell",M2651-Q2651-T2651, X)))</f>
        <v/>
      </c>
      <c r="V2651" s="81">
        <f>IF(ISBLANK(P2651),"",U2651/N2651)</f>
        <v/>
      </c>
      <c r="W2651" s="81">
        <f>IF(ISBLANK(P2651),"",IF(S2651=0,(365/0.5)*V2651,(365/S2651)*V2651))</f>
        <v/>
      </c>
      <c r="X2651" s="75" t="n"/>
      <c r="Y2651" s="77" t="n"/>
      <c r="Z2651" s="77" t="n"/>
      <c r="AA2651" s="75" t="n"/>
      <c r="AB2651" s="75" t="n"/>
      <c r="AC2651" s="6" t="n"/>
      <c r="AD2651" s="75" t="n"/>
      <c r="AE2651" s="75" t="n"/>
      <c r="AF2651" s="75" t="n"/>
    </row>
    <row r="2652" ht="15.75" customHeight="1" s="133">
      <c r="A2652" s="75" t="n"/>
      <c r="B2652" s="75" t="n"/>
      <c r="C2652" s="75" t="n"/>
      <c r="D2652" s="75" t="n"/>
      <c r="E2652" s="76" t="n"/>
      <c r="F2652" s="77" t="n"/>
      <c r="G2652" s="75" t="n"/>
      <c r="H2652" s="75">
        <f>IF(ISBLANK(E2652),"",IF(OR(D2652="Butterfly",D2652="Butterfly ",D2652="Iron Fly", D2652="Iron Fly "),LEN(E2652)-LEN(SUBSTITUTE(E2652,"/",""))+2,LEN(E2652)-LEN(SUBSTITUTE(E2652,"/",""))+1))</f>
        <v/>
      </c>
      <c r="I2652" s="78">
        <f>IF(ISBLANK(G2652),"",IF(D2652="Stock","0",Key!$A$3*H2652*G2652))</f>
        <v/>
      </c>
      <c r="J2652" s="78">
        <f>IF(ISBLANK(E2652),"",IF(ISNUMBER(SEARCH("/",E2652)), IF(LEN(E2652)-LEN(SUBSTITUTE(E2652,"/",""))=1,(RIGHT(E2652,LEN(E2652)-FIND("/",E2652)))-(LEFT(E2652,FIND("/",E2652)-1)),(MID(E2652, SEARCH("/",E2652) + 1, SEARCH("/",E2652, SEARCH("/",E2652)+1) - SEARCH("/",E2652) - 1))-(LEFT(E2652,FIND("/",E2652)-1))), "NA"))</f>
        <v/>
      </c>
      <c r="K2652" s="79">
        <f>IF(A2652&lt;&gt;"", IF(ISBLANK(L2652), TODAY(), K2652), "")</f>
        <v/>
      </c>
      <c r="L2652" s="78" t="n"/>
      <c r="M2652" s="78">
        <f>IF(ISBLANK(L2652),"",IF(D2652="Stock",IF(C2652="Buy",L2652*G2652,IF(C2652="Sell",(L2652*G2652)-I2652, X)),IF(C2652="Buy",(L2652*G2652*100)+I2652,IF(C2652="Sell",(L2652*G2652*100)-I2652, X))))</f>
        <v/>
      </c>
      <c r="N2652" s="78">
        <f>IF(ISBLANK(L2652),"",IF(AND(C2652="Sell",D2652="Stock"),M2652,IF(ISBLANK(L2652),"",IF(C2652="Buy",M2652, IF(AND(C2652="Sell",J2652="NA"),(E2652*G2652*100*0.1)+I2652, IF(C2652="Sell",(J2652-L2652)*(100*G2652)+I2652))))))</f>
        <v/>
      </c>
      <c r="O2652" s="75" t="n"/>
      <c r="P2652" s="75" t="n"/>
      <c r="Q2652" s="75">
        <f>IF(ISBLANK(P2652),"",IF(D2652="Stock",P2652*G2652,IF(P2652=0,"0",G2652*P2652*100-(G2652*$AF$14))))</f>
        <v/>
      </c>
      <c r="R2652" s="79">
        <f>IF(P2652&lt;&gt;"", TODAY(), "")</f>
        <v/>
      </c>
      <c r="S2652" s="78">
        <f>IF(AND(K2652&lt;&gt;"", R2652&lt;&gt;""), R2652-K2652, "")</f>
        <v/>
      </c>
      <c r="T2652" s="78" t="n"/>
      <c r="U2652" s="92">
        <f>IF(ISBLANK(P2652),"",IF(C2652="Buy",Q2652-M2652+T2652, IF(C2652="Sell",M2652-Q2652-T2652, X)))</f>
        <v/>
      </c>
      <c r="V2652" s="81">
        <f>IF(ISBLANK(P2652),"",U2652/N2652)</f>
        <v/>
      </c>
      <c r="W2652" s="81">
        <f>IF(ISBLANK(P2652),"",IF(S2652=0,(365/0.5)*V2652,(365/S2652)*V2652))</f>
        <v/>
      </c>
      <c r="X2652" s="75" t="n"/>
      <c r="Y2652" s="77" t="n"/>
      <c r="Z2652" s="77" t="n"/>
      <c r="AA2652" s="75" t="n"/>
      <c r="AB2652" s="75" t="n"/>
      <c r="AC2652" s="6" t="n"/>
      <c r="AD2652" s="75" t="n"/>
      <c r="AE2652" s="75" t="n"/>
      <c r="AF2652" s="75" t="n"/>
    </row>
    <row r="2653" ht="15.75" customHeight="1" s="133">
      <c r="A2653" s="75" t="n"/>
      <c r="B2653" s="75" t="n"/>
      <c r="C2653" s="75" t="n"/>
      <c r="D2653" s="75" t="n"/>
      <c r="E2653" s="76" t="n"/>
      <c r="F2653" s="77" t="n"/>
      <c r="G2653" s="75" t="n"/>
      <c r="H2653" s="75">
        <f>IF(ISBLANK(E2653),"",IF(OR(D2653="Butterfly",D2653="Butterfly ",D2653="Iron Fly", D2653="Iron Fly "),LEN(E2653)-LEN(SUBSTITUTE(E2653,"/",""))+2,LEN(E2653)-LEN(SUBSTITUTE(E2653,"/",""))+1))</f>
        <v/>
      </c>
      <c r="I2653" s="78">
        <f>IF(ISBLANK(G2653),"",IF(D2653="Stock","0",Key!$A$3*H2653*G2653))</f>
        <v/>
      </c>
      <c r="J2653" s="78">
        <f>IF(ISBLANK(E2653),"",IF(ISNUMBER(SEARCH("/",E2653)), IF(LEN(E2653)-LEN(SUBSTITUTE(E2653,"/",""))=1,(RIGHT(E2653,LEN(E2653)-FIND("/",E2653)))-(LEFT(E2653,FIND("/",E2653)-1)),(MID(E2653, SEARCH("/",E2653) + 1, SEARCH("/",E2653, SEARCH("/",E2653)+1) - SEARCH("/",E2653) - 1))-(LEFT(E2653,FIND("/",E2653)-1))), "NA"))</f>
        <v/>
      </c>
      <c r="K2653" s="79">
        <f>IF(A2653&lt;&gt;"", IF(ISBLANK(L2653), TODAY(), K2653), "")</f>
        <v/>
      </c>
      <c r="L2653" s="78" t="n"/>
      <c r="M2653" s="78">
        <f>IF(ISBLANK(L2653),"",IF(D2653="Stock",IF(C2653="Buy",L2653*G2653,IF(C2653="Sell",(L2653*G2653)-I2653, X)),IF(C2653="Buy",(L2653*G2653*100)+I2653,IF(C2653="Sell",(L2653*G2653*100)-I2653, X))))</f>
        <v/>
      </c>
      <c r="N2653" s="78">
        <f>IF(ISBLANK(L2653),"",IF(AND(C2653="Sell",D2653="Stock"),M2653,IF(ISBLANK(L2653),"",IF(C2653="Buy",M2653, IF(AND(C2653="Sell",J2653="NA"),(E2653*G2653*100*0.1)+I2653, IF(C2653="Sell",(J2653-L2653)*(100*G2653)+I2653))))))</f>
        <v/>
      </c>
      <c r="O2653" s="75" t="n"/>
      <c r="P2653" s="75" t="n"/>
      <c r="Q2653" s="75">
        <f>IF(ISBLANK(P2653),"",IF(D2653="Stock",P2653*G2653,IF(P2653=0,"0",G2653*P2653*100-(G2653*$AF$14))))</f>
        <v/>
      </c>
      <c r="R2653" s="79">
        <f>IF(P2653&lt;&gt;"", TODAY(), "")</f>
        <v/>
      </c>
      <c r="S2653" s="78">
        <f>IF(AND(K2653&lt;&gt;"", R2653&lt;&gt;""), R2653-K2653, "")</f>
        <v/>
      </c>
      <c r="T2653" s="78" t="n"/>
      <c r="U2653" s="92">
        <f>IF(ISBLANK(P2653),"",IF(C2653="Buy",Q2653-M2653+T2653, IF(C2653="Sell",M2653-Q2653-T2653, X)))</f>
        <v/>
      </c>
      <c r="V2653" s="81">
        <f>IF(ISBLANK(P2653),"",U2653/N2653)</f>
        <v/>
      </c>
      <c r="W2653" s="81">
        <f>IF(ISBLANK(P2653),"",IF(S2653=0,(365/0.5)*V2653,(365/S2653)*V2653))</f>
        <v/>
      </c>
      <c r="X2653" s="75" t="n"/>
      <c r="Y2653" s="77" t="n"/>
      <c r="Z2653" s="77" t="n"/>
      <c r="AA2653" s="75" t="n"/>
      <c r="AB2653" s="75" t="n"/>
      <c r="AC2653" s="6" t="n"/>
      <c r="AD2653" s="75" t="n"/>
      <c r="AE2653" s="75" t="n"/>
      <c r="AF2653" s="75" t="n"/>
    </row>
    <row r="2654" ht="15.75" customHeight="1" s="133">
      <c r="A2654" s="75" t="n"/>
      <c r="B2654" s="75" t="n"/>
      <c r="C2654" s="75" t="n"/>
      <c r="D2654" s="75" t="n"/>
      <c r="E2654" s="76" t="n"/>
      <c r="F2654" s="77" t="n"/>
      <c r="G2654" s="75" t="n"/>
      <c r="H2654" s="75">
        <f>IF(ISBLANK(E2654),"",IF(OR(D2654="Butterfly",D2654="Butterfly ",D2654="Iron Fly", D2654="Iron Fly "),LEN(E2654)-LEN(SUBSTITUTE(E2654,"/",""))+2,LEN(E2654)-LEN(SUBSTITUTE(E2654,"/",""))+1))</f>
        <v/>
      </c>
      <c r="I2654" s="78">
        <f>IF(ISBLANK(G2654),"",IF(D2654="Stock","0",Key!$A$3*H2654*G2654))</f>
        <v/>
      </c>
      <c r="J2654" s="78">
        <f>IF(ISBLANK(E2654),"",IF(ISNUMBER(SEARCH("/",E2654)), IF(LEN(E2654)-LEN(SUBSTITUTE(E2654,"/",""))=1,(RIGHT(E2654,LEN(E2654)-FIND("/",E2654)))-(LEFT(E2654,FIND("/",E2654)-1)),(MID(E2654, SEARCH("/",E2654) + 1, SEARCH("/",E2654, SEARCH("/",E2654)+1) - SEARCH("/",E2654) - 1))-(LEFT(E2654,FIND("/",E2654)-1))), "NA"))</f>
        <v/>
      </c>
      <c r="K2654" s="79">
        <f>IF(A2654&lt;&gt;"", IF(ISBLANK(L2654), TODAY(), K2654), "")</f>
        <v/>
      </c>
      <c r="L2654" s="78" t="n"/>
      <c r="M2654" s="78">
        <f>IF(ISBLANK(L2654),"",IF(D2654="Stock",IF(C2654="Buy",L2654*G2654,IF(C2654="Sell",(L2654*G2654)-I2654, X)),IF(C2654="Buy",(L2654*G2654*100)+I2654,IF(C2654="Sell",(L2654*G2654*100)-I2654, X))))</f>
        <v/>
      </c>
      <c r="N2654" s="78">
        <f>IF(ISBLANK(L2654),"",IF(AND(C2654="Sell",D2654="Stock"),M2654,IF(ISBLANK(L2654),"",IF(C2654="Buy",M2654, IF(AND(C2654="Sell",J2654="NA"),(E2654*G2654*100*0.1)+I2654, IF(C2654="Sell",(J2654-L2654)*(100*G2654)+I2654))))))</f>
        <v/>
      </c>
      <c r="O2654" s="75" t="n"/>
      <c r="P2654" s="75" t="n"/>
      <c r="Q2654" s="75">
        <f>IF(ISBLANK(P2654),"",IF(D2654="Stock",P2654*G2654,IF(P2654=0,"0",G2654*P2654*100-(G2654*$AF$14))))</f>
        <v/>
      </c>
      <c r="R2654" s="79">
        <f>IF(P2654&lt;&gt;"", TODAY(), "")</f>
        <v/>
      </c>
      <c r="S2654" s="78">
        <f>IF(AND(K2654&lt;&gt;"", R2654&lt;&gt;""), R2654-K2654, "")</f>
        <v/>
      </c>
      <c r="T2654" s="78" t="n"/>
      <c r="U2654" s="92">
        <f>IF(ISBLANK(P2654),"",IF(C2654="Buy",Q2654-M2654+T2654, IF(C2654="Sell",M2654-Q2654-T2654, X)))</f>
        <v/>
      </c>
      <c r="V2654" s="81">
        <f>IF(ISBLANK(P2654),"",U2654/N2654)</f>
        <v/>
      </c>
      <c r="W2654" s="81">
        <f>IF(ISBLANK(P2654),"",IF(S2654=0,(365/0.5)*V2654,(365/S2654)*V2654))</f>
        <v/>
      </c>
      <c r="X2654" s="75" t="n"/>
      <c r="Y2654" s="77" t="n"/>
      <c r="Z2654" s="77" t="n"/>
      <c r="AA2654" s="75" t="n"/>
      <c r="AB2654" s="75" t="n"/>
      <c r="AC2654" s="6" t="n"/>
      <c r="AD2654" s="75" t="n"/>
      <c r="AE2654" s="75" t="n"/>
      <c r="AF2654" s="75" t="n"/>
    </row>
    <row r="2655" ht="15.75" customHeight="1" s="133">
      <c r="A2655" s="75" t="n"/>
      <c r="B2655" s="75" t="n"/>
      <c r="C2655" s="75" t="n"/>
      <c r="D2655" s="75" t="n"/>
      <c r="E2655" s="76" t="n"/>
      <c r="F2655" s="77" t="n"/>
      <c r="G2655" s="75" t="n"/>
      <c r="H2655" s="75">
        <f>IF(ISBLANK(E2655),"",IF(OR(D2655="Butterfly",D2655="Butterfly ",D2655="Iron Fly", D2655="Iron Fly "),LEN(E2655)-LEN(SUBSTITUTE(E2655,"/",""))+2,LEN(E2655)-LEN(SUBSTITUTE(E2655,"/",""))+1))</f>
        <v/>
      </c>
      <c r="I2655" s="78">
        <f>IF(ISBLANK(G2655),"",IF(D2655="Stock","0",Key!$A$3*H2655*G2655))</f>
        <v/>
      </c>
      <c r="J2655" s="78">
        <f>IF(ISBLANK(E2655),"",IF(ISNUMBER(SEARCH("/",E2655)), IF(LEN(E2655)-LEN(SUBSTITUTE(E2655,"/",""))=1,(RIGHT(E2655,LEN(E2655)-FIND("/",E2655)))-(LEFT(E2655,FIND("/",E2655)-1)),(MID(E2655, SEARCH("/",E2655) + 1, SEARCH("/",E2655, SEARCH("/",E2655)+1) - SEARCH("/",E2655) - 1))-(LEFT(E2655,FIND("/",E2655)-1))), "NA"))</f>
        <v/>
      </c>
      <c r="K2655" s="79">
        <f>IF(A2655&lt;&gt;"", IF(ISBLANK(L2655), TODAY(), K2655), "")</f>
        <v/>
      </c>
      <c r="L2655" s="78" t="n"/>
      <c r="M2655" s="78">
        <f>IF(ISBLANK(L2655),"",IF(D2655="Stock",IF(C2655="Buy",L2655*G2655,IF(C2655="Sell",(L2655*G2655)-I2655, X)),IF(C2655="Buy",(L2655*G2655*100)+I2655,IF(C2655="Sell",(L2655*G2655*100)-I2655, X))))</f>
        <v/>
      </c>
      <c r="N2655" s="78">
        <f>IF(ISBLANK(L2655),"",IF(AND(C2655="Sell",D2655="Stock"),M2655,IF(ISBLANK(L2655),"",IF(C2655="Buy",M2655, IF(AND(C2655="Sell",J2655="NA"),(E2655*G2655*100*0.1)+I2655, IF(C2655="Sell",(J2655-L2655)*(100*G2655)+I2655))))))</f>
        <v/>
      </c>
      <c r="O2655" s="75" t="n"/>
      <c r="P2655" s="75" t="n"/>
      <c r="Q2655" s="75">
        <f>IF(ISBLANK(P2655),"",IF(D2655="Stock",P2655*G2655,IF(P2655=0,"0",G2655*P2655*100-(G2655*$AF$14))))</f>
        <v/>
      </c>
      <c r="R2655" s="79">
        <f>IF(P2655&lt;&gt;"", TODAY(), "")</f>
        <v/>
      </c>
      <c r="S2655" s="78">
        <f>IF(AND(K2655&lt;&gt;"", R2655&lt;&gt;""), R2655-K2655, "")</f>
        <v/>
      </c>
      <c r="T2655" s="78" t="n"/>
      <c r="U2655" s="92">
        <f>IF(ISBLANK(P2655),"",IF(C2655="Buy",Q2655-M2655+T2655, IF(C2655="Sell",M2655-Q2655-T2655, X)))</f>
        <v/>
      </c>
      <c r="V2655" s="81">
        <f>IF(ISBLANK(P2655),"",U2655/N2655)</f>
        <v/>
      </c>
      <c r="W2655" s="81">
        <f>IF(ISBLANK(P2655),"",IF(S2655=0,(365/0.5)*V2655,(365/S2655)*V2655))</f>
        <v/>
      </c>
      <c r="X2655" s="75" t="n"/>
      <c r="Y2655" s="77" t="n"/>
      <c r="Z2655" s="77" t="n"/>
      <c r="AA2655" s="75" t="n"/>
      <c r="AB2655" s="75" t="n"/>
      <c r="AC2655" s="6" t="n"/>
      <c r="AD2655" s="75" t="n"/>
      <c r="AE2655" s="75" t="n"/>
      <c r="AF2655" s="75" t="n"/>
    </row>
    <row r="2656" ht="15.75" customHeight="1" s="133">
      <c r="A2656" s="75" t="n"/>
      <c r="B2656" s="75" t="n"/>
      <c r="C2656" s="75" t="n"/>
      <c r="D2656" s="75" t="n"/>
      <c r="E2656" s="76" t="n"/>
      <c r="F2656" s="77" t="n"/>
      <c r="G2656" s="75" t="n"/>
      <c r="H2656" s="75">
        <f>IF(ISBLANK(E2656),"",IF(OR(D2656="Butterfly",D2656="Butterfly ",D2656="Iron Fly", D2656="Iron Fly "),LEN(E2656)-LEN(SUBSTITUTE(E2656,"/",""))+2,LEN(E2656)-LEN(SUBSTITUTE(E2656,"/",""))+1))</f>
        <v/>
      </c>
      <c r="I2656" s="78">
        <f>IF(ISBLANK(G2656),"",IF(D2656="Stock","0",Key!$A$3*H2656*G2656))</f>
        <v/>
      </c>
      <c r="J2656" s="78">
        <f>IF(ISBLANK(E2656),"",IF(ISNUMBER(SEARCH("/",E2656)), IF(LEN(E2656)-LEN(SUBSTITUTE(E2656,"/",""))=1,(RIGHT(E2656,LEN(E2656)-FIND("/",E2656)))-(LEFT(E2656,FIND("/",E2656)-1)),(MID(E2656, SEARCH("/",E2656) + 1, SEARCH("/",E2656, SEARCH("/",E2656)+1) - SEARCH("/",E2656) - 1))-(LEFT(E2656,FIND("/",E2656)-1))), "NA"))</f>
        <v/>
      </c>
      <c r="K2656" s="79">
        <f>IF(A2656&lt;&gt;"", IF(ISBLANK(L2656), TODAY(), K2656), "")</f>
        <v/>
      </c>
      <c r="L2656" s="78" t="n"/>
      <c r="M2656" s="78">
        <f>IF(ISBLANK(L2656),"",IF(D2656="Stock",IF(C2656="Buy",L2656*G2656,IF(C2656="Sell",(L2656*G2656)-I2656, X)),IF(C2656="Buy",(L2656*G2656*100)+I2656,IF(C2656="Sell",(L2656*G2656*100)-I2656, X))))</f>
        <v/>
      </c>
      <c r="N2656" s="78">
        <f>IF(ISBLANK(L2656),"",IF(AND(C2656="Sell",D2656="Stock"),M2656,IF(ISBLANK(L2656),"",IF(C2656="Buy",M2656, IF(AND(C2656="Sell",J2656="NA"),(E2656*G2656*100*0.1)+I2656, IF(C2656="Sell",(J2656-L2656)*(100*G2656)+I2656))))))</f>
        <v/>
      </c>
      <c r="O2656" s="75" t="n"/>
      <c r="P2656" s="75" t="n"/>
      <c r="Q2656" s="75">
        <f>IF(ISBLANK(P2656),"",IF(D2656="Stock",P2656*G2656,IF(P2656=0,"0",G2656*P2656*100-(G2656*$AF$14))))</f>
        <v/>
      </c>
      <c r="R2656" s="79">
        <f>IF(P2656&lt;&gt;"", TODAY(), "")</f>
        <v/>
      </c>
      <c r="S2656" s="78">
        <f>IF(AND(K2656&lt;&gt;"", R2656&lt;&gt;""), R2656-K2656, "")</f>
        <v/>
      </c>
      <c r="T2656" s="78" t="n"/>
      <c r="U2656" s="92">
        <f>IF(ISBLANK(P2656),"",IF(C2656="Buy",Q2656-M2656+T2656, IF(C2656="Sell",M2656-Q2656-T2656, X)))</f>
        <v/>
      </c>
      <c r="V2656" s="81">
        <f>IF(ISBLANK(P2656),"",U2656/N2656)</f>
        <v/>
      </c>
      <c r="W2656" s="81">
        <f>IF(ISBLANK(P2656),"",IF(S2656=0,(365/0.5)*V2656,(365/S2656)*V2656))</f>
        <v/>
      </c>
      <c r="X2656" s="75" t="n"/>
      <c r="Y2656" s="77" t="n"/>
      <c r="Z2656" s="77" t="n"/>
      <c r="AA2656" s="75" t="n"/>
      <c r="AB2656" s="75" t="n"/>
      <c r="AC2656" s="6" t="n"/>
      <c r="AD2656" s="75" t="n"/>
      <c r="AE2656" s="75" t="n"/>
      <c r="AF2656" s="75" t="n"/>
    </row>
    <row r="2657" ht="15.75" customHeight="1" s="133">
      <c r="A2657" s="75" t="n"/>
      <c r="B2657" s="75" t="n"/>
      <c r="C2657" s="75" t="n"/>
      <c r="D2657" s="75" t="n"/>
      <c r="E2657" s="76" t="n"/>
      <c r="F2657" s="77" t="n"/>
      <c r="G2657" s="75" t="n"/>
      <c r="H2657" s="75">
        <f>IF(ISBLANK(E2657),"",IF(OR(D2657="Butterfly",D2657="Butterfly ",D2657="Iron Fly", D2657="Iron Fly "),LEN(E2657)-LEN(SUBSTITUTE(E2657,"/",""))+2,LEN(E2657)-LEN(SUBSTITUTE(E2657,"/",""))+1))</f>
        <v/>
      </c>
      <c r="I2657" s="78">
        <f>IF(ISBLANK(G2657),"",IF(D2657="Stock","0",Key!$A$3*H2657*G2657))</f>
        <v/>
      </c>
      <c r="J2657" s="78">
        <f>IF(ISBLANK(E2657),"",IF(ISNUMBER(SEARCH("/",E2657)), IF(LEN(E2657)-LEN(SUBSTITUTE(E2657,"/",""))=1,(RIGHT(E2657,LEN(E2657)-FIND("/",E2657)))-(LEFT(E2657,FIND("/",E2657)-1)),(MID(E2657, SEARCH("/",E2657) + 1, SEARCH("/",E2657, SEARCH("/",E2657)+1) - SEARCH("/",E2657) - 1))-(LEFT(E2657,FIND("/",E2657)-1))), "NA"))</f>
        <v/>
      </c>
      <c r="K2657" s="79">
        <f>IF(A2657&lt;&gt;"", IF(ISBLANK(L2657), TODAY(), K2657), "")</f>
        <v/>
      </c>
      <c r="L2657" s="78" t="n"/>
      <c r="M2657" s="78">
        <f>IF(ISBLANK(L2657),"",IF(D2657="Stock",IF(C2657="Buy",L2657*G2657,IF(C2657="Sell",(L2657*G2657)-I2657, X)),IF(C2657="Buy",(L2657*G2657*100)+I2657,IF(C2657="Sell",(L2657*G2657*100)-I2657, X))))</f>
        <v/>
      </c>
      <c r="N2657" s="78">
        <f>IF(ISBLANK(L2657),"",IF(AND(C2657="Sell",D2657="Stock"),M2657,IF(ISBLANK(L2657),"",IF(C2657="Buy",M2657, IF(AND(C2657="Sell",J2657="NA"),(E2657*G2657*100*0.1)+I2657, IF(C2657="Sell",(J2657-L2657)*(100*G2657)+I2657))))))</f>
        <v/>
      </c>
      <c r="O2657" s="75" t="n"/>
      <c r="P2657" s="75" t="n"/>
      <c r="Q2657" s="75">
        <f>IF(ISBLANK(P2657),"",IF(D2657="Stock",P2657*G2657,IF(P2657=0,"0",G2657*P2657*100-(G2657*$AF$14))))</f>
        <v/>
      </c>
      <c r="R2657" s="79">
        <f>IF(P2657&lt;&gt;"", TODAY(), "")</f>
        <v/>
      </c>
      <c r="S2657" s="78">
        <f>IF(AND(K2657&lt;&gt;"", R2657&lt;&gt;""), R2657-K2657, "")</f>
        <v/>
      </c>
      <c r="T2657" s="78" t="n"/>
      <c r="U2657" s="92">
        <f>IF(ISBLANK(P2657),"",IF(C2657="Buy",Q2657-M2657+T2657, IF(C2657="Sell",M2657-Q2657-T2657, X)))</f>
        <v/>
      </c>
      <c r="V2657" s="81">
        <f>IF(ISBLANK(P2657),"",U2657/N2657)</f>
        <v/>
      </c>
      <c r="W2657" s="81">
        <f>IF(ISBLANK(P2657),"",IF(S2657=0,(365/0.5)*V2657,(365/S2657)*V2657))</f>
        <v/>
      </c>
      <c r="X2657" s="75" t="n"/>
      <c r="Y2657" s="77" t="n"/>
      <c r="Z2657" s="77" t="n"/>
      <c r="AA2657" s="75" t="n"/>
      <c r="AB2657" s="75" t="n"/>
      <c r="AC2657" s="6" t="n"/>
      <c r="AD2657" s="75" t="n"/>
      <c r="AE2657" s="75" t="n"/>
      <c r="AF2657" s="75" t="n"/>
    </row>
    <row r="2658" ht="15.75" customHeight="1" s="133">
      <c r="A2658" s="75" t="n"/>
      <c r="B2658" s="75" t="n"/>
      <c r="C2658" s="75" t="n"/>
      <c r="D2658" s="75" t="n"/>
      <c r="E2658" s="76" t="n"/>
      <c r="F2658" s="77" t="n"/>
      <c r="G2658" s="75" t="n"/>
      <c r="H2658" s="75">
        <f>IF(ISBLANK(E2658),"",IF(OR(D2658="Butterfly",D2658="Butterfly ",D2658="Iron Fly", D2658="Iron Fly "),LEN(E2658)-LEN(SUBSTITUTE(E2658,"/",""))+2,LEN(E2658)-LEN(SUBSTITUTE(E2658,"/",""))+1))</f>
        <v/>
      </c>
      <c r="I2658" s="78">
        <f>IF(ISBLANK(G2658),"",IF(D2658="Stock","0",Key!$A$3*H2658*G2658))</f>
        <v/>
      </c>
      <c r="J2658" s="78">
        <f>IF(ISBLANK(E2658),"",IF(ISNUMBER(SEARCH("/",E2658)), IF(LEN(E2658)-LEN(SUBSTITUTE(E2658,"/",""))=1,(RIGHT(E2658,LEN(E2658)-FIND("/",E2658)))-(LEFT(E2658,FIND("/",E2658)-1)),(MID(E2658, SEARCH("/",E2658) + 1, SEARCH("/",E2658, SEARCH("/",E2658)+1) - SEARCH("/",E2658) - 1))-(LEFT(E2658,FIND("/",E2658)-1))), "NA"))</f>
        <v/>
      </c>
      <c r="K2658" s="79">
        <f>IF(A2658&lt;&gt;"", IF(ISBLANK(L2658), TODAY(), K2658), "")</f>
        <v/>
      </c>
      <c r="L2658" s="78" t="n"/>
      <c r="M2658" s="78">
        <f>IF(ISBLANK(L2658),"",IF(D2658="Stock",IF(C2658="Buy",L2658*G2658,IF(C2658="Sell",(L2658*G2658)-I2658, X)),IF(C2658="Buy",(L2658*G2658*100)+I2658,IF(C2658="Sell",(L2658*G2658*100)-I2658, X))))</f>
        <v/>
      </c>
      <c r="N2658" s="78">
        <f>IF(ISBLANK(L2658),"",IF(AND(C2658="Sell",D2658="Stock"),M2658,IF(ISBLANK(L2658),"",IF(C2658="Buy",M2658, IF(AND(C2658="Sell",J2658="NA"),(E2658*G2658*100*0.1)+I2658, IF(C2658="Sell",(J2658-L2658)*(100*G2658)+I2658))))))</f>
        <v/>
      </c>
      <c r="O2658" s="75" t="n"/>
      <c r="P2658" s="75" t="n"/>
      <c r="Q2658" s="75">
        <f>IF(ISBLANK(P2658),"",IF(D2658="Stock",P2658*G2658,IF(P2658=0,"0",G2658*P2658*100-(G2658*$AF$14))))</f>
        <v/>
      </c>
      <c r="R2658" s="79">
        <f>IF(P2658&lt;&gt;"", TODAY(), "")</f>
        <v/>
      </c>
      <c r="S2658" s="78">
        <f>IF(AND(K2658&lt;&gt;"", R2658&lt;&gt;""), R2658-K2658, "")</f>
        <v/>
      </c>
      <c r="T2658" s="78" t="n"/>
      <c r="U2658" s="92">
        <f>IF(ISBLANK(P2658),"",IF(C2658="Buy",Q2658-M2658+T2658, IF(C2658="Sell",M2658-Q2658-T2658, X)))</f>
        <v/>
      </c>
      <c r="V2658" s="81">
        <f>IF(ISBLANK(P2658),"",U2658/N2658)</f>
        <v/>
      </c>
      <c r="W2658" s="81">
        <f>IF(ISBLANK(P2658),"",IF(S2658=0,(365/0.5)*V2658,(365/S2658)*V2658))</f>
        <v/>
      </c>
      <c r="X2658" s="75" t="n"/>
      <c r="Y2658" s="77" t="n"/>
      <c r="Z2658" s="77" t="n"/>
      <c r="AA2658" s="75" t="n"/>
      <c r="AB2658" s="75" t="n"/>
      <c r="AC2658" s="6" t="n"/>
      <c r="AD2658" s="75" t="n"/>
      <c r="AE2658" s="75" t="n"/>
      <c r="AF2658" s="75" t="n"/>
    </row>
    <row r="2659" ht="15.75" customHeight="1" s="133">
      <c r="A2659" s="75" t="n"/>
      <c r="B2659" s="75" t="n"/>
      <c r="C2659" s="75" t="n"/>
      <c r="D2659" s="75" t="n"/>
      <c r="E2659" s="76" t="n"/>
      <c r="F2659" s="77" t="n"/>
      <c r="G2659" s="75" t="n"/>
      <c r="H2659" s="75">
        <f>IF(ISBLANK(E2659),"",IF(OR(D2659="Butterfly",D2659="Butterfly ",D2659="Iron Fly", D2659="Iron Fly "),LEN(E2659)-LEN(SUBSTITUTE(E2659,"/",""))+2,LEN(E2659)-LEN(SUBSTITUTE(E2659,"/",""))+1))</f>
        <v/>
      </c>
      <c r="I2659" s="78">
        <f>IF(ISBLANK(G2659),"",IF(D2659="Stock","0",Key!$A$3*H2659*G2659))</f>
        <v/>
      </c>
      <c r="J2659" s="78">
        <f>IF(ISBLANK(E2659),"",IF(ISNUMBER(SEARCH("/",E2659)), IF(LEN(E2659)-LEN(SUBSTITUTE(E2659,"/",""))=1,(RIGHT(E2659,LEN(E2659)-FIND("/",E2659)))-(LEFT(E2659,FIND("/",E2659)-1)),(MID(E2659, SEARCH("/",E2659) + 1, SEARCH("/",E2659, SEARCH("/",E2659)+1) - SEARCH("/",E2659) - 1))-(LEFT(E2659,FIND("/",E2659)-1))), "NA"))</f>
        <v/>
      </c>
      <c r="K2659" s="79">
        <f>IF(A2659&lt;&gt;"", IF(ISBLANK(L2659), TODAY(), K2659), "")</f>
        <v/>
      </c>
      <c r="L2659" s="78" t="n"/>
      <c r="M2659" s="78">
        <f>IF(ISBLANK(L2659),"",IF(D2659="Stock",IF(C2659="Buy",L2659*G2659,IF(C2659="Sell",(L2659*G2659)-I2659, X)),IF(C2659="Buy",(L2659*G2659*100)+I2659,IF(C2659="Sell",(L2659*G2659*100)-I2659, X))))</f>
        <v/>
      </c>
      <c r="N2659" s="78">
        <f>IF(ISBLANK(L2659),"",IF(AND(C2659="Sell",D2659="Stock"),M2659,IF(ISBLANK(L2659),"",IF(C2659="Buy",M2659, IF(AND(C2659="Sell",J2659="NA"),(E2659*G2659*100*0.1)+I2659, IF(C2659="Sell",(J2659-L2659)*(100*G2659)+I2659))))))</f>
        <v/>
      </c>
      <c r="O2659" s="75" t="n"/>
      <c r="P2659" s="75" t="n"/>
      <c r="Q2659" s="75">
        <f>IF(ISBLANK(P2659),"",IF(D2659="Stock",P2659*G2659,IF(P2659=0,"0",G2659*P2659*100-(G2659*$AF$14))))</f>
        <v/>
      </c>
      <c r="R2659" s="79">
        <f>IF(P2659&lt;&gt;"", TODAY(), "")</f>
        <v/>
      </c>
      <c r="S2659" s="78">
        <f>IF(AND(K2659&lt;&gt;"", R2659&lt;&gt;""), R2659-K2659, "")</f>
        <v/>
      </c>
      <c r="T2659" s="78" t="n"/>
      <c r="U2659" s="92">
        <f>IF(ISBLANK(P2659),"",IF(C2659="Buy",Q2659-M2659+T2659, IF(C2659="Sell",M2659-Q2659-T2659, X)))</f>
        <v/>
      </c>
      <c r="V2659" s="81">
        <f>IF(ISBLANK(P2659),"",U2659/N2659)</f>
        <v/>
      </c>
      <c r="W2659" s="81">
        <f>IF(ISBLANK(P2659),"",IF(S2659=0,(365/0.5)*V2659,(365/S2659)*V2659))</f>
        <v/>
      </c>
      <c r="X2659" s="75" t="n"/>
      <c r="Y2659" s="77" t="n"/>
      <c r="Z2659" s="77" t="n"/>
      <c r="AA2659" s="75" t="n"/>
      <c r="AB2659" s="75" t="n"/>
      <c r="AC2659" s="6" t="n"/>
      <c r="AD2659" s="75" t="n"/>
      <c r="AE2659" s="75" t="n"/>
      <c r="AF2659" s="75" t="n"/>
    </row>
    <row r="2660" ht="15.75" customHeight="1" s="133">
      <c r="A2660" s="75" t="n"/>
      <c r="B2660" s="75" t="n"/>
      <c r="C2660" s="75" t="n"/>
      <c r="D2660" s="75" t="n"/>
      <c r="E2660" s="76" t="n"/>
      <c r="F2660" s="77" t="n"/>
      <c r="G2660" s="75" t="n"/>
      <c r="H2660" s="75">
        <f>IF(ISBLANK(E2660),"",IF(OR(D2660="Butterfly",D2660="Butterfly ",D2660="Iron Fly", D2660="Iron Fly "),LEN(E2660)-LEN(SUBSTITUTE(E2660,"/",""))+2,LEN(E2660)-LEN(SUBSTITUTE(E2660,"/",""))+1))</f>
        <v/>
      </c>
      <c r="I2660" s="78">
        <f>IF(ISBLANK(G2660),"",IF(D2660="Stock","0",Key!$A$3*H2660*G2660))</f>
        <v/>
      </c>
      <c r="J2660" s="78">
        <f>IF(ISBLANK(E2660),"",IF(ISNUMBER(SEARCH("/",E2660)), IF(LEN(E2660)-LEN(SUBSTITUTE(E2660,"/",""))=1,(RIGHT(E2660,LEN(E2660)-FIND("/",E2660)))-(LEFT(E2660,FIND("/",E2660)-1)),(MID(E2660, SEARCH("/",E2660) + 1, SEARCH("/",E2660, SEARCH("/",E2660)+1) - SEARCH("/",E2660) - 1))-(LEFT(E2660,FIND("/",E2660)-1))), "NA"))</f>
        <v/>
      </c>
      <c r="K2660" s="79">
        <f>IF(A2660&lt;&gt;"", IF(ISBLANK(L2660), TODAY(), K2660), "")</f>
        <v/>
      </c>
      <c r="L2660" s="78" t="n"/>
      <c r="M2660" s="78">
        <f>IF(ISBLANK(L2660),"",IF(D2660="Stock",IF(C2660="Buy",L2660*G2660,IF(C2660="Sell",(L2660*G2660)-I2660, X)),IF(C2660="Buy",(L2660*G2660*100)+I2660,IF(C2660="Sell",(L2660*G2660*100)-I2660, X))))</f>
        <v/>
      </c>
      <c r="N2660" s="78">
        <f>IF(ISBLANK(L2660),"",IF(AND(C2660="Sell",D2660="Stock"),M2660,IF(ISBLANK(L2660),"",IF(C2660="Buy",M2660, IF(AND(C2660="Sell",J2660="NA"),(E2660*G2660*100*0.1)+I2660, IF(C2660="Sell",(J2660-L2660)*(100*G2660)+I2660))))))</f>
        <v/>
      </c>
      <c r="O2660" s="75" t="n"/>
      <c r="P2660" s="75" t="n"/>
      <c r="Q2660" s="75">
        <f>IF(ISBLANK(P2660),"",IF(D2660="Stock",P2660*G2660,IF(P2660=0,"0",G2660*P2660*100-(G2660*$AF$14))))</f>
        <v/>
      </c>
      <c r="R2660" s="79">
        <f>IF(P2660&lt;&gt;"", TODAY(), "")</f>
        <v/>
      </c>
      <c r="S2660" s="78">
        <f>IF(AND(K2660&lt;&gt;"", R2660&lt;&gt;""), R2660-K2660, "")</f>
        <v/>
      </c>
      <c r="T2660" s="78" t="n"/>
      <c r="U2660" s="92">
        <f>IF(ISBLANK(P2660),"",IF(C2660="Buy",Q2660-M2660+T2660, IF(C2660="Sell",M2660-Q2660-T2660, X)))</f>
        <v/>
      </c>
      <c r="V2660" s="81">
        <f>IF(ISBLANK(P2660),"",U2660/N2660)</f>
        <v/>
      </c>
      <c r="W2660" s="81">
        <f>IF(ISBLANK(P2660),"",IF(S2660=0,(365/0.5)*V2660,(365/S2660)*V2660))</f>
        <v/>
      </c>
      <c r="X2660" s="75" t="n"/>
      <c r="Y2660" s="77" t="n"/>
      <c r="Z2660" s="77" t="n"/>
      <c r="AA2660" s="75" t="n"/>
      <c r="AB2660" s="75" t="n"/>
      <c r="AC2660" s="6" t="n"/>
      <c r="AD2660" s="75" t="n"/>
      <c r="AE2660" s="75" t="n"/>
      <c r="AF2660" s="75" t="n"/>
    </row>
    <row r="2661" ht="15.75" customHeight="1" s="133">
      <c r="A2661" s="75" t="n"/>
      <c r="B2661" s="75" t="n"/>
      <c r="C2661" s="75" t="n"/>
      <c r="D2661" s="75" t="n"/>
      <c r="E2661" s="76" t="n"/>
      <c r="F2661" s="77" t="n"/>
      <c r="G2661" s="75" t="n"/>
      <c r="H2661" s="75">
        <f>IF(ISBLANK(E2661),"",IF(OR(D2661="Butterfly",D2661="Butterfly ",D2661="Iron Fly", D2661="Iron Fly "),LEN(E2661)-LEN(SUBSTITUTE(E2661,"/",""))+2,LEN(E2661)-LEN(SUBSTITUTE(E2661,"/",""))+1))</f>
        <v/>
      </c>
      <c r="I2661" s="78">
        <f>IF(ISBLANK(G2661),"",IF(D2661="Stock","0",Key!$A$3*H2661*G2661))</f>
        <v/>
      </c>
      <c r="J2661" s="78">
        <f>IF(ISBLANK(E2661),"",IF(ISNUMBER(SEARCH("/",E2661)), IF(LEN(E2661)-LEN(SUBSTITUTE(E2661,"/",""))=1,(RIGHT(E2661,LEN(E2661)-FIND("/",E2661)))-(LEFT(E2661,FIND("/",E2661)-1)),(MID(E2661, SEARCH("/",E2661) + 1, SEARCH("/",E2661, SEARCH("/",E2661)+1) - SEARCH("/",E2661) - 1))-(LEFT(E2661,FIND("/",E2661)-1))), "NA"))</f>
        <v/>
      </c>
      <c r="K2661" s="79">
        <f>IF(A2661&lt;&gt;"", IF(ISBLANK(L2661), TODAY(), K2661), "")</f>
        <v/>
      </c>
      <c r="L2661" s="78" t="n"/>
      <c r="M2661" s="78">
        <f>IF(ISBLANK(L2661),"",IF(D2661="Stock",IF(C2661="Buy",L2661*G2661,IF(C2661="Sell",(L2661*G2661)-I2661, X)),IF(C2661="Buy",(L2661*G2661*100)+I2661,IF(C2661="Sell",(L2661*G2661*100)-I2661, X))))</f>
        <v/>
      </c>
      <c r="N2661" s="78">
        <f>IF(ISBLANK(L2661),"",IF(AND(C2661="Sell",D2661="Stock"),M2661,IF(ISBLANK(L2661),"",IF(C2661="Buy",M2661, IF(AND(C2661="Sell",J2661="NA"),(E2661*G2661*100*0.1)+I2661, IF(C2661="Sell",(J2661-L2661)*(100*G2661)+I2661))))))</f>
        <v/>
      </c>
      <c r="O2661" s="75" t="n"/>
      <c r="P2661" s="75" t="n"/>
      <c r="Q2661" s="75">
        <f>IF(ISBLANK(P2661),"",IF(D2661="Stock",P2661*G2661,IF(P2661=0,"0",G2661*P2661*100-(G2661*$AF$14))))</f>
        <v/>
      </c>
      <c r="R2661" s="79">
        <f>IF(P2661&lt;&gt;"", TODAY(), "")</f>
        <v/>
      </c>
      <c r="S2661" s="78">
        <f>IF(AND(K2661&lt;&gt;"", R2661&lt;&gt;""), R2661-K2661, "")</f>
        <v/>
      </c>
      <c r="T2661" s="78" t="n"/>
      <c r="U2661" s="92">
        <f>IF(ISBLANK(P2661),"",IF(C2661="Buy",Q2661-M2661+T2661, IF(C2661="Sell",M2661-Q2661-T2661, X)))</f>
        <v/>
      </c>
      <c r="V2661" s="81">
        <f>IF(ISBLANK(P2661),"",U2661/N2661)</f>
        <v/>
      </c>
      <c r="W2661" s="81">
        <f>IF(ISBLANK(P2661),"",IF(S2661=0,(365/0.5)*V2661,(365/S2661)*V2661))</f>
        <v/>
      </c>
      <c r="X2661" s="75" t="n"/>
      <c r="Y2661" s="77" t="n"/>
      <c r="Z2661" s="77" t="n"/>
      <c r="AA2661" s="75" t="n"/>
      <c r="AB2661" s="75" t="n"/>
      <c r="AC2661" s="6" t="n"/>
      <c r="AD2661" s="75" t="n"/>
      <c r="AE2661" s="75" t="n"/>
      <c r="AF2661" s="75" t="n"/>
    </row>
    <row r="2662" ht="15.75" customHeight="1" s="133">
      <c r="A2662" s="75" t="n"/>
      <c r="B2662" s="75" t="n"/>
      <c r="C2662" s="75" t="n"/>
      <c r="D2662" s="75" t="n"/>
      <c r="E2662" s="76" t="n"/>
      <c r="F2662" s="77" t="n"/>
      <c r="G2662" s="75" t="n"/>
      <c r="H2662" s="75">
        <f>IF(ISBLANK(E2662),"",IF(OR(D2662="Butterfly",D2662="Butterfly ",D2662="Iron Fly", D2662="Iron Fly "),LEN(E2662)-LEN(SUBSTITUTE(E2662,"/",""))+2,LEN(E2662)-LEN(SUBSTITUTE(E2662,"/",""))+1))</f>
        <v/>
      </c>
      <c r="I2662" s="78">
        <f>IF(ISBLANK(G2662),"",IF(D2662="Stock","0",Key!$A$3*H2662*G2662))</f>
        <v/>
      </c>
      <c r="J2662" s="78">
        <f>IF(ISBLANK(E2662),"",IF(ISNUMBER(SEARCH("/",E2662)), IF(LEN(E2662)-LEN(SUBSTITUTE(E2662,"/",""))=1,(RIGHT(E2662,LEN(E2662)-FIND("/",E2662)))-(LEFT(E2662,FIND("/",E2662)-1)),(MID(E2662, SEARCH("/",E2662) + 1, SEARCH("/",E2662, SEARCH("/",E2662)+1) - SEARCH("/",E2662) - 1))-(LEFT(E2662,FIND("/",E2662)-1))), "NA"))</f>
        <v/>
      </c>
      <c r="K2662" s="79">
        <f>IF(A2662&lt;&gt;"", IF(ISBLANK(L2662), TODAY(), K2662), "")</f>
        <v/>
      </c>
      <c r="L2662" s="78" t="n"/>
      <c r="M2662" s="78">
        <f>IF(ISBLANK(L2662),"",IF(D2662="Stock",IF(C2662="Buy",L2662*G2662,IF(C2662="Sell",(L2662*G2662)-I2662, X)),IF(C2662="Buy",(L2662*G2662*100)+I2662,IF(C2662="Sell",(L2662*G2662*100)-I2662, X))))</f>
        <v/>
      </c>
      <c r="N2662" s="78">
        <f>IF(ISBLANK(L2662),"",IF(AND(C2662="Sell",D2662="Stock"),M2662,IF(ISBLANK(L2662),"",IF(C2662="Buy",M2662, IF(AND(C2662="Sell",J2662="NA"),(E2662*G2662*100*0.1)+I2662, IF(C2662="Sell",(J2662-L2662)*(100*G2662)+I2662))))))</f>
        <v/>
      </c>
      <c r="O2662" s="75" t="n"/>
      <c r="P2662" s="75" t="n"/>
      <c r="Q2662" s="75">
        <f>IF(ISBLANK(P2662),"",IF(D2662="Stock",P2662*G2662,IF(P2662=0,"0",G2662*P2662*100-(G2662*$AF$14))))</f>
        <v/>
      </c>
      <c r="R2662" s="79">
        <f>IF(P2662&lt;&gt;"", TODAY(), "")</f>
        <v/>
      </c>
      <c r="S2662" s="78">
        <f>IF(AND(K2662&lt;&gt;"", R2662&lt;&gt;""), R2662-K2662, "")</f>
        <v/>
      </c>
      <c r="T2662" s="78" t="n"/>
      <c r="U2662" s="92">
        <f>IF(ISBLANK(P2662),"",IF(C2662="Buy",Q2662-M2662+T2662, IF(C2662="Sell",M2662-Q2662-T2662, X)))</f>
        <v/>
      </c>
      <c r="V2662" s="81">
        <f>IF(ISBLANK(P2662),"",U2662/N2662)</f>
        <v/>
      </c>
      <c r="W2662" s="81">
        <f>IF(ISBLANK(P2662),"",IF(S2662=0,(365/0.5)*V2662,(365/S2662)*V2662))</f>
        <v/>
      </c>
      <c r="X2662" s="75" t="n"/>
      <c r="Y2662" s="77" t="n"/>
      <c r="Z2662" s="77" t="n"/>
      <c r="AA2662" s="75" t="n"/>
      <c r="AB2662" s="75" t="n"/>
      <c r="AC2662" s="6" t="n"/>
      <c r="AD2662" s="75" t="n"/>
      <c r="AE2662" s="75" t="n"/>
      <c r="AF2662" s="75" t="n"/>
    </row>
    <row r="2663" ht="15.75" customHeight="1" s="133">
      <c r="A2663" s="75" t="n"/>
      <c r="B2663" s="75" t="n"/>
      <c r="C2663" s="75" t="n"/>
      <c r="D2663" s="75" t="n"/>
      <c r="E2663" s="76" t="n"/>
      <c r="F2663" s="77" t="n"/>
      <c r="G2663" s="75" t="n"/>
      <c r="H2663" s="75">
        <f>IF(ISBLANK(E2663),"",IF(OR(D2663="Butterfly",D2663="Butterfly ",D2663="Iron Fly", D2663="Iron Fly "),LEN(E2663)-LEN(SUBSTITUTE(E2663,"/",""))+2,LEN(E2663)-LEN(SUBSTITUTE(E2663,"/",""))+1))</f>
        <v/>
      </c>
      <c r="I2663" s="78">
        <f>IF(ISBLANK(G2663),"",IF(D2663="Stock","0",Key!$A$3*H2663*G2663))</f>
        <v/>
      </c>
      <c r="J2663" s="78">
        <f>IF(ISBLANK(E2663),"",IF(ISNUMBER(SEARCH("/",E2663)), IF(LEN(E2663)-LEN(SUBSTITUTE(E2663,"/",""))=1,(RIGHT(E2663,LEN(E2663)-FIND("/",E2663)))-(LEFT(E2663,FIND("/",E2663)-1)),(MID(E2663, SEARCH("/",E2663) + 1, SEARCH("/",E2663, SEARCH("/",E2663)+1) - SEARCH("/",E2663) - 1))-(LEFT(E2663,FIND("/",E2663)-1))), "NA"))</f>
        <v/>
      </c>
      <c r="K2663" s="79">
        <f>IF(A2663&lt;&gt;"", IF(ISBLANK(L2663), TODAY(), K2663), "")</f>
        <v/>
      </c>
      <c r="L2663" s="78" t="n"/>
      <c r="M2663" s="78">
        <f>IF(ISBLANK(L2663),"",IF(D2663="Stock",IF(C2663="Buy",L2663*G2663,IF(C2663="Sell",(L2663*G2663)-I2663, X)),IF(C2663="Buy",(L2663*G2663*100)+I2663,IF(C2663="Sell",(L2663*G2663*100)-I2663, X))))</f>
        <v/>
      </c>
      <c r="N2663" s="78">
        <f>IF(ISBLANK(L2663),"",IF(AND(C2663="Sell",D2663="Stock"),M2663,IF(ISBLANK(L2663),"",IF(C2663="Buy",M2663, IF(AND(C2663="Sell",J2663="NA"),(E2663*G2663*100*0.1)+I2663, IF(C2663="Sell",(J2663-L2663)*(100*G2663)+I2663))))))</f>
        <v/>
      </c>
      <c r="O2663" s="75" t="n"/>
      <c r="P2663" s="75" t="n"/>
      <c r="Q2663" s="75">
        <f>IF(ISBLANK(P2663),"",IF(D2663="Stock",P2663*G2663,IF(P2663=0,"0",G2663*P2663*100-(G2663*$AF$14))))</f>
        <v/>
      </c>
      <c r="R2663" s="79">
        <f>IF(P2663&lt;&gt;"", TODAY(), "")</f>
        <v/>
      </c>
      <c r="S2663" s="78">
        <f>IF(AND(K2663&lt;&gt;"", R2663&lt;&gt;""), R2663-K2663, "")</f>
        <v/>
      </c>
      <c r="T2663" s="78" t="n"/>
      <c r="U2663" s="92">
        <f>IF(ISBLANK(P2663),"",IF(C2663="Buy",Q2663-M2663+T2663, IF(C2663="Sell",M2663-Q2663-T2663, X)))</f>
        <v/>
      </c>
      <c r="V2663" s="81">
        <f>IF(ISBLANK(P2663),"",U2663/N2663)</f>
        <v/>
      </c>
      <c r="W2663" s="81">
        <f>IF(ISBLANK(P2663),"",IF(S2663=0,(365/0.5)*V2663,(365/S2663)*V2663))</f>
        <v/>
      </c>
      <c r="X2663" s="75" t="n"/>
      <c r="Y2663" s="77" t="n"/>
      <c r="Z2663" s="77" t="n"/>
      <c r="AA2663" s="75" t="n"/>
      <c r="AB2663" s="75" t="n"/>
      <c r="AC2663" s="6" t="n"/>
      <c r="AD2663" s="75" t="n"/>
      <c r="AE2663" s="75" t="n"/>
      <c r="AF2663" s="75" t="n"/>
    </row>
    <row r="2664" ht="15.75" customHeight="1" s="133">
      <c r="A2664" s="75" t="n"/>
      <c r="B2664" s="75" t="n"/>
      <c r="C2664" s="75" t="n"/>
      <c r="D2664" s="75" t="n"/>
      <c r="E2664" s="76" t="n"/>
      <c r="F2664" s="77" t="n"/>
      <c r="G2664" s="75" t="n"/>
      <c r="H2664" s="75">
        <f>IF(ISBLANK(E2664),"",IF(OR(D2664="Butterfly",D2664="Butterfly ",D2664="Iron Fly", D2664="Iron Fly "),LEN(E2664)-LEN(SUBSTITUTE(E2664,"/",""))+2,LEN(E2664)-LEN(SUBSTITUTE(E2664,"/",""))+1))</f>
        <v/>
      </c>
      <c r="I2664" s="78">
        <f>IF(ISBLANK(G2664),"",IF(D2664="Stock","0",Key!$A$3*H2664*G2664))</f>
        <v/>
      </c>
      <c r="J2664" s="78">
        <f>IF(ISBLANK(E2664),"",IF(ISNUMBER(SEARCH("/",E2664)), IF(LEN(E2664)-LEN(SUBSTITUTE(E2664,"/",""))=1,(RIGHT(E2664,LEN(E2664)-FIND("/",E2664)))-(LEFT(E2664,FIND("/",E2664)-1)),(MID(E2664, SEARCH("/",E2664) + 1, SEARCH("/",E2664, SEARCH("/",E2664)+1) - SEARCH("/",E2664) - 1))-(LEFT(E2664,FIND("/",E2664)-1))), "NA"))</f>
        <v/>
      </c>
      <c r="K2664" s="79">
        <f>IF(A2664&lt;&gt;"", IF(ISBLANK(L2664), TODAY(), K2664), "")</f>
        <v/>
      </c>
      <c r="L2664" s="78" t="n"/>
      <c r="M2664" s="78">
        <f>IF(ISBLANK(L2664),"",IF(D2664="Stock",IF(C2664="Buy",L2664*G2664,IF(C2664="Sell",(L2664*G2664)-I2664, X)),IF(C2664="Buy",(L2664*G2664*100)+I2664,IF(C2664="Sell",(L2664*G2664*100)-I2664, X))))</f>
        <v/>
      </c>
      <c r="N2664" s="78">
        <f>IF(ISBLANK(L2664),"",IF(AND(C2664="Sell",D2664="Stock"),M2664,IF(ISBLANK(L2664),"",IF(C2664="Buy",M2664, IF(AND(C2664="Sell",J2664="NA"),(E2664*G2664*100*0.1)+I2664, IF(C2664="Sell",(J2664-L2664)*(100*G2664)+I2664))))))</f>
        <v/>
      </c>
      <c r="O2664" s="75" t="n"/>
      <c r="P2664" s="75" t="n"/>
      <c r="Q2664" s="75">
        <f>IF(ISBLANK(P2664),"",IF(D2664="Stock",P2664*G2664,IF(P2664=0,"0",G2664*P2664*100-(G2664*$AF$14))))</f>
        <v/>
      </c>
      <c r="R2664" s="79">
        <f>IF(P2664&lt;&gt;"", TODAY(), "")</f>
        <v/>
      </c>
      <c r="S2664" s="78">
        <f>IF(AND(K2664&lt;&gt;"", R2664&lt;&gt;""), R2664-K2664, "")</f>
        <v/>
      </c>
      <c r="T2664" s="78" t="n"/>
      <c r="U2664" s="92">
        <f>IF(ISBLANK(P2664),"",IF(C2664="Buy",Q2664-M2664+T2664, IF(C2664="Sell",M2664-Q2664-T2664, X)))</f>
        <v/>
      </c>
      <c r="V2664" s="81">
        <f>IF(ISBLANK(P2664),"",U2664/N2664)</f>
        <v/>
      </c>
      <c r="W2664" s="81">
        <f>IF(ISBLANK(P2664),"",IF(S2664=0,(365/0.5)*V2664,(365/S2664)*V2664))</f>
        <v/>
      </c>
      <c r="X2664" s="75" t="n"/>
      <c r="Y2664" s="77" t="n"/>
      <c r="Z2664" s="77" t="n"/>
      <c r="AA2664" s="75" t="n"/>
      <c r="AB2664" s="75" t="n"/>
      <c r="AC2664" s="6" t="n"/>
      <c r="AD2664" s="75" t="n"/>
      <c r="AE2664" s="75" t="n"/>
      <c r="AF2664" s="75" t="n"/>
    </row>
    <row r="2665" ht="15.75" customHeight="1" s="133">
      <c r="A2665" s="75" t="n"/>
      <c r="B2665" s="75" t="n"/>
      <c r="C2665" s="75" t="n"/>
      <c r="D2665" s="75" t="n"/>
      <c r="E2665" s="76" t="n"/>
      <c r="F2665" s="77" t="n"/>
      <c r="G2665" s="75" t="n"/>
      <c r="H2665" s="75">
        <f>IF(ISBLANK(E2665),"",IF(OR(D2665="Butterfly",D2665="Butterfly ",D2665="Iron Fly", D2665="Iron Fly "),LEN(E2665)-LEN(SUBSTITUTE(E2665,"/",""))+2,LEN(E2665)-LEN(SUBSTITUTE(E2665,"/",""))+1))</f>
        <v/>
      </c>
      <c r="I2665" s="78">
        <f>IF(ISBLANK(G2665),"",IF(D2665="Stock","0",Key!$A$3*H2665*G2665))</f>
        <v/>
      </c>
      <c r="J2665" s="78">
        <f>IF(ISBLANK(E2665),"",IF(ISNUMBER(SEARCH("/",E2665)), IF(LEN(E2665)-LEN(SUBSTITUTE(E2665,"/",""))=1,(RIGHT(E2665,LEN(E2665)-FIND("/",E2665)))-(LEFT(E2665,FIND("/",E2665)-1)),(MID(E2665, SEARCH("/",E2665) + 1, SEARCH("/",E2665, SEARCH("/",E2665)+1) - SEARCH("/",E2665) - 1))-(LEFT(E2665,FIND("/",E2665)-1))), "NA"))</f>
        <v/>
      </c>
      <c r="K2665" s="79">
        <f>IF(A2665&lt;&gt;"", IF(ISBLANK(L2665), TODAY(), K2665), "")</f>
        <v/>
      </c>
      <c r="L2665" s="78" t="n"/>
      <c r="M2665" s="78">
        <f>IF(ISBLANK(L2665),"",IF(D2665="Stock",IF(C2665="Buy",L2665*G2665,IF(C2665="Sell",(L2665*G2665)-I2665, X)),IF(C2665="Buy",(L2665*G2665*100)+I2665,IF(C2665="Sell",(L2665*G2665*100)-I2665, X))))</f>
        <v/>
      </c>
      <c r="N2665" s="78">
        <f>IF(ISBLANK(L2665),"",IF(AND(C2665="Sell",D2665="Stock"),M2665,IF(ISBLANK(L2665),"",IF(C2665="Buy",M2665, IF(AND(C2665="Sell",J2665="NA"),(E2665*G2665*100*0.1)+I2665, IF(C2665="Sell",(J2665-L2665)*(100*G2665)+I2665))))))</f>
        <v/>
      </c>
      <c r="O2665" s="75" t="n"/>
      <c r="P2665" s="75" t="n"/>
      <c r="Q2665" s="75">
        <f>IF(ISBLANK(P2665),"",IF(D2665="Stock",P2665*G2665,IF(P2665=0,"0",G2665*P2665*100-(G2665*$AF$14))))</f>
        <v/>
      </c>
      <c r="R2665" s="79">
        <f>IF(P2665&lt;&gt;"", TODAY(), "")</f>
        <v/>
      </c>
      <c r="S2665" s="78">
        <f>IF(AND(K2665&lt;&gt;"", R2665&lt;&gt;""), R2665-K2665, "")</f>
        <v/>
      </c>
      <c r="T2665" s="78" t="n"/>
      <c r="U2665" s="92">
        <f>IF(ISBLANK(P2665),"",IF(C2665="Buy",Q2665-M2665+T2665, IF(C2665="Sell",M2665-Q2665-T2665, X)))</f>
        <v/>
      </c>
      <c r="V2665" s="81">
        <f>IF(ISBLANK(P2665),"",U2665/N2665)</f>
        <v/>
      </c>
      <c r="W2665" s="81">
        <f>IF(ISBLANK(P2665),"",IF(S2665=0,(365/0.5)*V2665,(365/S2665)*V2665))</f>
        <v/>
      </c>
      <c r="X2665" s="75" t="n"/>
      <c r="Y2665" s="77" t="n"/>
      <c r="Z2665" s="77" t="n"/>
      <c r="AA2665" s="75" t="n"/>
      <c r="AB2665" s="75" t="n"/>
      <c r="AC2665" s="6" t="n"/>
      <c r="AD2665" s="75" t="n"/>
      <c r="AE2665" s="75" t="n"/>
      <c r="AF2665" s="75" t="n"/>
    </row>
    <row r="2666" ht="15.75" customHeight="1" s="133">
      <c r="A2666" s="75" t="n"/>
      <c r="B2666" s="75" t="n"/>
      <c r="C2666" s="75" t="n"/>
      <c r="D2666" s="75" t="n"/>
      <c r="E2666" s="76" t="n"/>
      <c r="F2666" s="77" t="n"/>
      <c r="G2666" s="75" t="n"/>
      <c r="H2666" s="75">
        <f>IF(ISBLANK(E2666),"",IF(OR(D2666="Butterfly",D2666="Butterfly ",D2666="Iron Fly", D2666="Iron Fly "),LEN(E2666)-LEN(SUBSTITUTE(E2666,"/",""))+2,LEN(E2666)-LEN(SUBSTITUTE(E2666,"/",""))+1))</f>
        <v/>
      </c>
      <c r="I2666" s="78">
        <f>IF(ISBLANK(G2666),"",IF(D2666="Stock","0",Key!$A$3*H2666*G2666))</f>
        <v/>
      </c>
      <c r="J2666" s="78">
        <f>IF(ISBLANK(E2666),"",IF(ISNUMBER(SEARCH("/",E2666)), IF(LEN(E2666)-LEN(SUBSTITUTE(E2666,"/",""))=1,(RIGHT(E2666,LEN(E2666)-FIND("/",E2666)))-(LEFT(E2666,FIND("/",E2666)-1)),(MID(E2666, SEARCH("/",E2666) + 1, SEARCH("/",E2666, SEARCH("/",E2666)+1) - SEARCH("/",E2666) - 1))-(LEFT(E2666,FIND("/",E2666)-1))), "NA"))</f>
        <v/>
      </c>
      <c r="K2666" s="79">
        <f>IF(A2666&lt;&gt;"", IF(ISBLANK(L2666), TODAY(), K2666), "")</f>
        <v/>
      </c>
      <c r="L2666" s="78" t="n"/>
      <c r="M2666" s="78">
        <f>IF(ISBLANK(L2666),"",IF(D2666="Stock",IF(C2666="Buy",L2666*G2666,IF(C2666="Sell",(L2666*G2666)-I2666, X)),IF(C2666="Buy",(L2666*G2666*100)+I2666,IF(C2666="Sell",(L2666*G2666*100)-I2666, X))))</f>
        <v/>
      </c>
      <c r="N2666" s="78">
        <f>IF(ISBLANK(L2666),"",IF(AND(C2666="Sell",D2666="Stock"),M2666,IF(ISBLANK(L2666),"",IF(C2666="Buy",M2666, IF(AND(C2666="Sell",J2666="NA"),(E2666*G2666*100*0.1)+I2666, IF(C2666="Sell",(J2666-L2666)*(100*G2666)+I2666))))))</f>
        <v/>
      </c>
      <c r="O2666" s="75" t="n"/>
      <c r="P2666" s="75" t="n"/>
      <c r="Q2666" s="75">
        <f>IF(ISBLANK(P2666),"",IF(D2666="Stock",P2666*G2666,IF(P2666=0,"0",G2666*P2666*100-(G2666*$AF$14))))</f>
        <v/>
      </c>
      <c r="R2666" s="79">
        <f>IF(P2666&lt;&gt;"", TODAY(), "")</f>
        <v/>
      </c>
      <c r="S2666" s="78">
        <f>IF(AND(K2666&lt;&gt;"", R2666&lt;&gt;""), R2666-K2666, "")</f>
        <v/>
      </c>
      <c r="T2666" s="78" t="n"/>
      <c r="U2666" s="92">
        <f>IF(ISBLANK(P2666),"",IF(C2666="Buy",Q2666-M2666+T2666, IF(C2666="Sell",M2666-Q2666-T2666, X)))</f>
        <v/>
      </c>
      <c r="V2666" s="81">
        <f>IF(ISBLANK(P2666),"",U2666/N2666)</f>
        <v/>
      </c>
      <c r="W2666" s="81">
        <f>IF(ISBLANK(P2666),"",IF(S2666=0,(365/0.5)*V2666,(365/S2666)*V2666))</f>
        <v/>
      </c>
      <c r="X2666" s="75" t="n"/>
      <c r="Y2666" s="77" t="n"/>
      <c r="Z2666" s="77" t="n"/>
      <c r="AA2666" s="75" t="n"/>
      <c r="AB2666" s="75" t="n"/>
      <c r="AC2666" s="6" t="n"/>
      <c r="AD2666" s="75" t="n"/>
      <c r="AE2666" s="75" t="n"/>
      <c r="AF2666" s="75" t="n"/>
    </row>
    <row r="2667" ht="15.75" customHeight="1" s="133">
      <c r="A2667" s="75" t="n"/>
      <c r="B2667" s="75" t="n"/>
      <c r="C2667" s="75" t="n"/>
      <c r="D2667" s="75" t="n"/>
      <c r="E2667" s="76" t="n"/>
      <c r="F2667" s="77" t="n"/>
      <c r="G2667" s="75" t="n"/>
      <c r="H2667" s="75">
        <f>IF(ISBLANK(E2667),"",IF(OR(D2667="Butterfly",D2667="Butterfly ",D2667="Iron Fly", D2667="Iron Fly "),LEN(E2667)-LEN(SUBSTITUTE(E2667,"/",""))+2,LEN(E2667)-LEN(SUBSTITUTE(E2667,"/",""))+1))</f>
        <v/>
      </c>
      <c r="I2667" s="78">
        <f>IF(ISBLANK(G2667),"",IF(D2667="Stock","0",Key!$A$3*H2667*G2667))</f>
        <v/>
      </c>
      <c r="J2667" s="78">
        <f>IF(ISBLANK(E2667),"",IF(ISNUMBER(SEARCH("/",E2667)), IF(LEN(E2667)-LEN(SUBSTITUTE(E2667,"/",""))=1,(RIGHT(E2667,LEN(E2667)-FIND("/",E2667)))-(LEFT(E2667,FIND("/",E2667)-1)),(MID(E2667, SEARCH("/",E2667) + 1, SEARCH("/",E2667, SEARCH("/",E2667)+1) - SEARCH("/",E2667) - 1))-(LEFT(E2667,FIND("/",E2667)-1))), "NA"))</f>
        <v/>
      </c>
      <c r="K2667" s="79">
        <f>IF(A2667&lt;&gt;"", IF(ISBLANK(L2667), TODAY(), K2667), "")</f>
        <v/>
      </c>
      <c r="L2667" s="78" t="n"/>
      <c r="M2667" s="78">
        <f>IF(ISBLANK(L2667),"",IF(D2667="Stock",IF(C2667="Buy",L2667*G2667,IF(C2667="Sell",(L2667*G2667)-I2667, X)),IF(C2667="Buy",(L2667*G2667*100)+I2667,IF(C2667="Sell",(L2667*G2667*100)-I2667, X))))</f>
        <v/>
      </c>
      <c r="N2667" s="78">
        <f>IF(ISBLANK(L2667),"",IF(AND(C2667="Sell",D2667="Stock"),M2667,IF(ISBLANK(L2667),"",IF(C2667="Buy",M2667, IF(AND(C2667="Sell",J2667="NA"),(E2667*G2667*100*0.1)+I2667, IF(C2667="Sell",(J2667-L2667)*(100*G2667)+I2667))))))</f>
        <v/>
      </c>
      <c r="O2667" s="75" t="n"/>
      <c r="P2667" s="75" t="n"/>
      <c r="Q2667" s="75">
        <f>IF(ISBLANK(P2667),"",IF(D2667="Stock",P2667*G2667,IF(P2667=0,"0",G2667*P2667*100-(G2667*$AF$14))))</f>
        <v/>
      </c>
      <c r="R2667" s="79">
        <f>IF(P2667&lt;&gt;"", TODAY(), "")</f>
        <v/>
      </c>
      <c r="S2667" s="78">
        <f>IF(AND(K2667&lt;&gt;"", R2667&lt;&gt;""), R2667-K2667, "")</f>
        <v/>
      </c>
      <c r="T2667" s="78" t="n"/>
      <c r="U2667" s="92">
        <f>IF(ISBLANK(P2667),"",IF(C2667="Buy",Q2667-M2667+T2667, IF(C2667="Sell",M2667-Q2667-T2667, X)))</f>
        <v/>
      </c>
      <c r="V2667" s="81">
        <f>IF(ISBLANK(P2667),"",U2667/N2667)</f>
        <v/>
      </c>
      <c r="W2667" s="81">
        <f>IF(ISBLANK(P2667),"",IF(S2667=0,(365/0.5)*V2667,(365/S2667)*V2667))</f>
        <v/>
      </c>
      <c r="X2667" s="75" t="n"/>
      <c r="Y2667" s="77" t="n"/>
      <c r="Z2667" s="77" t="n"/>
      <c r="AA2667" s="75" t="n"/>
      <c r="AB2667" s="75" t="n"/>
      <c r="AC2667" s="6" t="n"/>
      <c r="AD2667" s="75" t="n"/>
      <c r="AE2667" s="75" t="n"/>
      <c r="AF2667" s="75" t="n"/>
    </row>
    <row r="2668" ht="15.75" customHeight="1" s="133">
      <c r="A2668" s="75" t="n"/>
      <c r="B2668" s="75" t="n"/>
      <c r="C2668" s="75" t="n"/>
      <c r="D2668" s="75" t="n"/>
      <c r="E2668" s="76" t="n"/>
      <c r="F2668" s="77" t="n"/>
      <c r="G2668" s="75" t="n"/>
      <c r="H2668" s="75">
        <f>IF(ISBLANK(E2668),"",IF(OR(D2668="Butterfly",D2668="Butterfly ",D2668="Iron Fly", D2668="Iron Fly "),LEN(E2668)-LEN(SUBSTITUTE(E2668,"/",""))+2,LEN(E2668)-LEN(SUBSTITUTE(E2668,"/",""))+1))</f>
        <v/>
      </c>
      <c r="I2668" s="78">
        <f>IF(ISBLANK(G2668),"",IF(D2668="Stock","0",Key!$A$3*H2668*G2668))</f>
        <v/>
      </c>
      <c r="J2668" s="78">
        <f>IF(ISBLANK(E2668),"",IF(ISNUMBER(SEARCH("/",E2668)), IF(LEN(E2668)-LEN(SUBSTITUTE(E2668,"/",""))=1,(RIGHT(E2668,LEN(E2668)-FIND("/",E2668)))-(LEFT(E2668,FIND("/",E2668)-1)),(MID(E2668, SEARCH("/",E2668) + 1, SEARCH("/",E2668, SEARCH("/",E2668)+1) - SEARCH("/",E2668) - 1))-(LEFT(E2668,FIND("/",E2668)-1))), "NA"))</f>
        <v/>
      </c>
      <c r="K2668" s="79">
        <f>IF(A2668&lt;&gt;"", IF(ISBLANK(L2668), TODAY(), K2668), "")</f>
        <v/>
      </c>
      <c r="L2668" s="78" t="n"/>
      <c r="M2668" s="78">
        <f>IF(ISBLANK(L2668),"",IF(D2668="Stock",IF(C2668="Buy",L2668*G2668,IF(C2668="Sell",(L2668*G2668)-I2668, X)),IF(C2668="Buy",(L2668*G2668*100)+I2668,IF(C2668="Sell",(L2668*G2668*100)-I2668, X))))</f>
        <v/>
      </c>
      <c r="N2668" s="78">
        <f>IF(ISBLANK(L2668),"",IF(AND(C2668="Sell",D2668="Stock"),M2668,IF(ISBLANK(L2668),"",IF(C2668="Buy",M2668, IF(AND(C2668="Sell",J2668="NA"),(E2668*G2668*100*0.1)+I2668, IF(C2668="Sell",(J2668-L2668)*(100*G2668)+I2668))))))</f>
        <v/>
      </c>
      <c r="O2668" s="75" t="n"/>
      <c r="P2668" s="75" t="n"/>
      <c r="Q2668" s="75">
        <f>IF(ISBLANK(P2668),"",IF(D2668="Stock",P2668*G2668,IF(P2668=0,"0",G2668*P2668*100-(G2668*$AF$14))))</f>
        <v/>
      </c>
      <c r="R2668" s="79">
        <f>IF(P2668&lt;&gt;"", TODAY(), "")</f>
        <v/>
      </c>
      <c r="S2668" s="78">
        <f>IF(AND(K2668&lt;&gt;"", R2668&lt;&gt;""), R2668-K2668, "")</f>
        <v/>
      </c>
      <c r="T2668" s="78" t="n"/>
      <c r="U2668" s="92">
        <f>IF(ISBLANK(P2668),"",IF(C2668="Buy",Q2668-M2668+T2668, IF(C2668="Sell",M2668-Q2668-T2668, X)))</f>
        <v/>
      </c>
      <c r="V2668" s="81">
        <f>IF(ISBLANK(P2668),"",U2668/N2668)</f>
        <v/>
      </c>
      <c r="W2668" s="81">
        <f>IF(ISBLANK(P2668),"",IF(S2668=0,(365/0.5)*V2668,(365/S2668)*V2668))</f>
        <v/>
      </c>
      <c r="X2668" s="75" t="n"/>
      <c r="Y2668" s="77" t="n"/>
      <c r="Z2668" s="77" t="n"/>
      <c r="AA2668" s="75" t="n"/>
      <c r="AB2668" s="75" t="n"/>
      <c r="AC2668" s="6" t="n"/>
      <c r="AD2668" s="75" t="n"/>
      <c r="AE2668" s="75" t="n"/>
      <c r="AF2668" s="75" t="n"/>
    </row>
    <row r="2669" ht="15.75" customHeight="1" s="133">
      <c r="A2669" s="75" t="n"/>
      <c r="B2669" s="75" t="n"/>
      <c r="C2669" s="75" t="n"/>
      <c r="D2669" s="75" t="n"/>
      <c r="E2669" s="76" t="n"/>
      <c r="F2669" s="77" t="n"/>
      <c r="G2669" s="75" t="n"/>
      <c r="H2669" s="75">
        <f>IF(ISBLANK(E2669),"",IF(OR(D2669="Butterfly",D2669="Butterfly ",D2669="Iron Fly", D2669="Iron Fly "),LEN(E2669)-LEN(SUBSTITUTE(E2669,"/",""))+2,LEN(E2669)-LEN(SUBSTITUTE(E2669,"/",""))+1))</f>
        <v/>
      </c>
      <c r="I2669" s="78">
        <f>IF(ISBLANK(G2669),"",IF(D2669="Stock","0",Key!$A$3*H2669*G2669))</f>
        <v/>
      </c>
      <c r="J2669" s="78">
        <f>IF(ISBLANK(E2669),"",IF(ISNUMBER(SEARCH("/",E2669)), IF(LEN(E2669)-LEN(SUBSTITUTE(E2669,"/",""))=1,(RIGHT(E2669,LEN(E2669)-FIND("/",E2669)))-(LEFT(E2669,FIND("/",E2669)-1)),(MID(E2669, SEARCH("/",E2669) + 1, SEARCH("/",E2669, SEARCH("/",E2669)+1) - SEARCH("/",E2669) - 1))-(LEFT(E2669,FIND("/",E2669)-1))), "NA"))</f>
        <v/>
      </c>
      <c r="K2669" s="79">
        <f>IF(A2669&lt;&gt;"", IF(ISBLANK(L2669), TODAY(), K2669), "")</f>
        <v/>
      </c>
      <c r="L2669" s="78" t="n"/>
      <c r="M2669" s="78">
        <f>IF(ISBLANK(L2669),"",IF(D2669="Stock",IF(C2669="Buy",L2669*G2669,IF(C2669="Sell",(L2669*G2669)-I2669, X)),IF(C2669="Buy",(L2669*G2669*100)+I2669,IF(C2669="Sell",(L2669*G2669*100)-I2669, X))))</f>
        <v/>
      </c>
      <c r="N2669" s="78">
        <f>IF(ISBLANK(L2669),"",IF(AND(C2669="Sell",D2669="Stock"),M2669,IF(ISBLANK(L2669),"",IF(C2669="Buy",M2669, IF(AND(C2669="Sell",J2669="NA"),(E2669*G2669*100*0.1)+I2669, IF(C2669="Sell",(J2669-L2669)*(100*G2669)+I2669))))))</f>
        <v/>
      </c>
      <c r="O2669" s="75" t="n"/>
      <c r="P2669" s="75" t="n"/>
      <c r="Q2669" s="75">
        <f>IF(ISBLANK(P2669),"",IF(D2669="Stock",P2669*G2669,IF(P2669=0,"0",G2669*P2669*100-(G2669*$AF$14))))</f>
        <v/>
      </c>
      <c r="R2669" s="79">
        <f>IF(P2669&lt;&gt;"", TODAY(), "")</f>
        <v/>
      </c>
      <c r="S2669" s="78">
        <f>IF(AND(K2669&lt;&gt;"", R2669&lt;&gt;""), R2669-K2669, "")</f>
        <v/>
      </c>
      <c r="T2669" s="78" t="n"/>
      <c r="U2669" s="92">
        <f>IF(ISBLANK(P2669),"",IF(C2669="Buy",Q2669-M2669+T2669, IF(C2669="Sell",M2669-Q2669-T2669, X)))</f>
        <v/>
      </c>
      <c r="V2669" s="81">
        <f>IF(ISBLANK(P2669),"",U2669/N2669)</f>
        <v/>
      </c>
      <c r="W2669" s="81">
        <f>IF(ISBLANK(P2669),"",IF(S2669=0,(365/0.5)*V2669,(365/S2669)*V2669))</f>
        <v/>
      </c>
      <c r="X2669" s="75" t="n"/>
      <c r="Y2669" s="77" t="n"/>
      <c r="Z2669" s="77" t="n"/>
      <c r="AA2669" s="75" t="n"/>
      <c r="AB2669" s="75" t="n"/>
      <c r="AC2669" s="6" t="n"/>
      <c r="AD2669" s="75" t="n"/>
      <c r="AE2669" s="75" t="n"/>
      <c r="AF2669" s="75" t="n"/>
    </row>
    <row r="2670" ht="15.75" customHeight="1" s="133">
      <c r="A2670" s="75" t="n"/>
      <c r="B2670" s="75" t="n"/>
      <c r="C2670" s="75" t="n"/>
      <c r="D2670" s="75" t="n"/>
      <c r="E2670" s="76" t="n"/>
      <c r="F2670" s="77" t="n"/>
      <c r="G2670" s="75" t="n"/>
      <c r="H2670" s="75">
        <f>IF(ISBLANK(E2670),"",IF(OR(D2670="Butterfly",D2670="Butterfly ",D2670="Iron Fly", D2670="Iron Fly "),LEN(E2670)-LEN(SUBSTITUTE(E2670,"/",""))+2,LEN(E2670)-LEN(SUBSTITUTE(E2670,"/",""))+1))</f>
        <v/>
      </c>
      <c r="I2670" s="78">
        <f>IF(ISBLANK(G2670),"",IF(D2670="Stock","0",Key!$A$3*H2670*G2670))</f>
        <v/>
      </c>
      <c r="J2670" s="78">
        <f>IF(ISBLANK(E2670),"",IF(ISNUMBER(SEARCH("/",E2670)), IF(LEN(E2670)-LEN(SUBSTITUTE(E2670,"/",""))=1,(RIGHT(E2670,LEN(E2670)-FIND("/",E2670)))-(LEFT(E2670,FIND("/",E2670)-1)),(MID(E2670, SEARCH("/",E2670) + 1, SEARCH("/",E2670, SEARCH("/",E2670)+1) - SEARCH("/",E2670) - 1))-(LEFT(E2670,FIND("/",E2670)-1))), "NA"))</f>
        <v/>
      </c>
      <c r="K2670" s="79">
        <f>IF(A2670&lt;&gt;"", IF(ISBLANK(L2670), TODAY(), K2670), "")</f>
        <v/>
      </c>
      <c r="L2670" s="78" t="n"/>
      <c r="M2670" s="78">
        <f>IF(ISBLANK(L2670),"",IF(D2670="Stock",IF(C2670="Buy",L2670*G2670,IF(C2670="Sell",(L2670*G2670)-I2670, X)),IF(C2670="Buy",(L2670*G2670*100)+I2670,IF(C2670="Sell",(L2670*G2670*100)-I2670, X))))</f>
        <v/>
      </c>
      <c r="N2670" s="78">
        <f>IF(ISBLANK(L2670),"",IF(AND(C2670="Sell",D2670="Stock"),M2670,IF(ISBLANK(L2670),"",IF(C2670="Buy",M2670, IF(AND(C2670="Sell",J2670="NA"),(E2670*G2670*100*0.1)+I2670, IF(C2670="Sell",(J2670-L2670)*(100*G2670)+I2670))))))</f>
        <v/>
      </c>
      <c r="O2670" s="75" t="n"/>
      <c r="P2670" s="75" t="n"/>
      <c r="Q2670" s="75">
        <f>IF(ISBLANK(P2670),"",IF(D2670="Stock",P2670*G2670,IF(P2670=0,"0",G2670*P2670*100-(G2670*$AF$14))))</f>
        <v/>
      </c>
      <c r="R2670" s="79">
        <f>IF(P2670&lt;&gt;"", TODAY(), "")</f>
        <v/>
      </c>
      <c r="S2670" s="78">
        <f>IF(AND(K2670&lt;&gt;"", R2670&lt;&gt;""), R2670-K2670, "")</f>
        <v/>
      </c>
      <c r="T2670" s="78" t="n"/>
      <c r="U2670" s="92">
        <f>IF(ISBLANK(P2670),"",IF(C2670="Buy",Q2670-M2670+T2670, IF(C2670="Sell",M2670-Q2670-T2670, X)))</f>
        <v/>
      </c>
      <c r="V2670" s="81">
        <f>IF(ISBLANK(P2670),"",U2670/N2670)</f>
        <v/>
      </c>
      <c r="W2670" s="81">
        <f>IF(ISBLANK(P2670),"",IF(S2670=0,(365/0.5)*V2670,(365/S2670)*V2670))</f>
        <v/>
      </c>
      <c r="X2670" s="75" t="n"/>
      <c r="Y2670" s="77" t="n"/>
      <c r="Z2670" s="77" t="n"/>
      <c r="AA2670" s="75" t="n"/>
      <c r="AB2670" s="75" t="n"/>
      <c r="AC2670" s="6" t="n"/>
      <c r="AD2670" s="75" t="n"/>
      <c r="AE2670" s="75" t="n"/>
      <c r="AF2670" s="75" t="n"/>
    </row>
    <row r="2671" ht="15.75" customHeight="1" s="133">
      <c r="A2671" s="75" t="n"/>
      <c r="B2671" s="75" t="n"/>
      <c r="C2671" s="75" t="n"/>
      <c r="D2671" s="75" t="n"/>
      <c r="E2671" s="76" t="n"/>
      <c r="F2671" s="77" t="n"/>
      <c r="G2671" s="75" t="n"/>
      <c r="H2671" s="75">
        <f>IF(ISBLANK(E2671),"",IF(OR(D2671="Butterfly",D2671="Butterfly ",D2671="Iron Fly", D2671="Iron Fly "),LEN(E2671)-LEN(SUBSTITUTE(E2671,"/",""))+2,LEN(E2671)-LEN(SUBSTITUTE(E2671,"/",""))+1))</f>
        <v/>
      </c>
      <c r="I2671" s="78">
        <f>IF(ISBLANK(G2671),"",IF(D2671="Stock","0",Key!$A$3*H2671*G2671))</f>
        <v/>
      </c>
      <c r="J2671" s="78">
        <f>IF(ISBLANK(E2671),"",IF(ISNUMBER(SEARCH("/",E2671)), IF(LEN(E2671)-LEN(SUBSTITUTE(E2671,"/",""))=1,(RIGHT(E2671,LEN(E2671)-FIND("/",E2671)))-(LEFT(E2671,FIND("/",E2671)-1)),(MID(E2671, SEARCH("/",E2671) + 1, SEARCH("/",E2671, SEARCH("/",E2671)+1) - SEARCH("/",E2671) - 1))-(LEFT(E2671,FIND("/",E2671)-1))), "NA"))</f>
        <v/>
      </c>
      <c r="K2671" s="79">
        <f>IF(A2671&lt;&gt;"", IF(ISBLANK(L2671), TODAY(), K2671), "")</f>
        <v/>
      </c>
      <c r="L2671" s="78" t="n"/>
      <c r="M2671" s="78">
        <f>IF(ISBLANK(L2671),"",IF(D2671="Stock",IF(C2671="Buy",L2671*G2671,IF(C2671="Sell",(L2671*G2671)-I2671, X)),IF(C2671="Buy",(L2671*G2671*100)+I2671,IF(C2671="Sell",(L2671*G2671*100)-I2671, X))))</f>
        <v/>
      </c>
      <c r="N2671" s="78">
        <f>IF(ISBLANK(L2671),"",IF(AND(C2671="Sell",D2671="Stock"),M2671,IF(ISBLANK(L2671),"",IF(C2671="Buy",M2671, IF(AND(C2671="Sell",J2671="NA"),(E2671*G2671*100*0.1)+I2671, IF(C2671="Sell",(J2671-L2671)*(100*G2671)+I2671))))))</f>
        <v/>
      </c>
      <c r="O2671" s="75" t="n"/>
      <c r="P2671" s="75" t="n"/>
      <c r="Q2671" s="75">
        <f>IF(ISBLANK(P2671),"",IF(D2671="Stock",P2671*G2671,IF(P2671=0,"0",G2671*P2671*100-(G2671*$AF$14))))</f>
        <v/>
      </c>
      <c r="R2671" s="79">
        <f>IF(P2671&lt;&gt;"", TODAY(), "")</f>
        <v/>
      </c>
      <c r="S2671" s="78">
        <f>IF(AND(K2671&lt;&gt;"", R2671&lt;&gt;""), R2671-K2671, "")</f>
        <v/>
      </c>
      <c r="T2671" s="78" t="n"/>
      <c r="U2671" s="92">
        <f>IF(ISBLANK(P2671),"",IF(C2671="Buy",Q2671-M2671+T2671, IF(C2671="Sell",M2671-Q2671-T2671, X)))</f>
        <v/>
      </c>
      <c r="V2671" s="81">
        <f>IF(ISBLANK(P2671),"",U2671/N2671)</f>
        <v/>
      </c>
      <c r="W2671" s="81">
        <f>IF(ISBLANK(P2671),"",IF(S2671=0,(365/0.5)*V2671,(365/S2671)*V2671))</f>
        <v/>
      </c>
      <c r="X2671" s="75" t="n"/>
      <c r="Y2671" s="77" t="n"/>
      <c r="Z2671" s="77" t="n"/>
      <c r="AA2671" s="75" t="n"/>
      <c r="AB2671" s="75" t="n"/>
      <c r="AC2671" s="6" t="n"/>
      <c r="AD2671" s="75" t="n"/>
      <c r="AE2671" s="75" t="n"/>
      <c r="AF2671" s="75" t="n"/>
    </row>
    <row r="2672" ht="15.75" customHeight="1" s="133">
      <c r="A2672" s="75" t="n"/>
      <c r="B2672" s="75" t="n"/>
      <c r="C2672" s="75" t="n"/>
      <c r="D2672" s="75" t="n"/>
      <c r="E2672" s="76" t="n"/>
      <c r="F2672" s="77" t="n"/>
      <c r="G2672" s="75" t="n"/>
      <c r="H2672" s="75">
        <f>IF(ISBLANK(E2672),"",IF(OR(D2672="Butterfly",D2672="Butterfly ",D2672="Iron Fly", D2672="Iron Fly "),LEN(E2672)-LEN(SUBSTITUTE(E2672,"/",""))+2,LEN(E2672)-LEN(SUBSTITUTE(E2672,"/",""))+1))</f>
        <v/>
      </c>
      <c r="I2672" s="78">
        <f>IF(ISBLANK(G2672),"",IF(D2672="Stock","0",Key!$A$3*H2672*G2672))</f>
        <v/>
      </c>
      <c r="J2672" s="78">
        <f>IF(ISBLANK(E2672),"",IF(ISNUMBER(SEARCH("/",E2672)), IF(LEN(E2672)-LEN(SUBSTITUTE(E2672,"/",""))=1,(RIGHT(E2672,LEN(E2672)-FIND("/",E2672)))-(LEFT(E2672,FIND("/",E2672)-1)),(MID(E2672, SEARCH("/",E2672) + 1, SEARCH("/",E2672, SEARCH("/",E2672)+1) - SEARCH("/",E2672) - 1))-(LEFT(E2672,FIND("/",E2672)-1))), "NA"))</f>
        <v/>
      </c>
      <c r="K2672" s="79">
        <f>IF(A2672&lt;&gt;"", IF(ISBLANK(L2672), TODAY(), K2672), "")</f>
        <v/>
      </c>
      <c r="L2672" s="78" t="n"/>
      <c r="M2672" s="78">
        <f>IF(ISBLANK(L2672),"",IF(D2672="Stock",IF(C2672="Buy",L2672*G2672,IF(C2672="Sell",(L2672*G2672)-I2672, X)),IF(C2672="Buy",(L2672*G2672*100)+I2672,IF(C2672="Sell",(L2672*G2672*100)-I2672, X))))</f>
        <v/>
      </c>
      <c r="N2672" s="78">
        <f>IF(ISBLANK(L2672),"",IF(AND(C2672="Sell",D2672="Stock"),M2672,IF(ISBLANK(L2672),"",IF(C2672="Buy",M2672, IF(AND(C2672="Sell",J2672="NA"),(E2672*G2672*100*0.1)+I2672, IF(C2672="Sell",(J2672-L2672)*(100*G2672)+I2672))))))</f>
        <v/>
      </c>
      <c r="O2672" s="75" t="n"/>
      <c r="P2672" s="75" t="n"/>
      <c r="Q2672" s="75">
        <f>IF(ISBLANK(P2672),"",IF(D2672="Stock",P2672*G2672,IF(P2672=0,"0",G2672*P2672*100-(G2672*$AF$14))))</f>
        <v/>
      </c>
      <c r="R2672" s="79">
        <f>IF(P2672&lt;&gt;"", TODAY(), "")</f>
        <v/>
      </c>
      <c r="S2672" s="78">
        <f>IF(AND(K2672&lt;&gt;"", R2672&lt;&gt;""), R2672-K2672, "")</f>
        <v/>
      </c>
      <c r="T2672" s="78" t="n"/>
      <c r="U2672" s="92">
        <f>IF(ISBLANK(P2672),"",IF(C2672="Buy",Q2672-M2672+T2672, IF(C2672="Sell",M2672-Q2672-T2672, X)))</f>
        <v/>
      </c>
      <c r="V2672" s="81">
        <f>IF(ISBLANK(P2672),"",U2672/N2672)</f>
        <v/>
      </c>
      <c r="W2672" s="81">
        <f>IF(ISBLANK(P2672),"",IF(S2672=0,(365/0.5)*V2672,(365/S2672)*V2672))</f>
        <v/>
      </c>
      <c r="X2672" s="75" t="n"/>
      <c r="Y2672" s="77" t="n"/>
      <c r="Z2672" s="77" t="n"/>
      <c r="AA2672" s="75" t="n"/>
      <c r="AB2672" s="75" t="n"/>
      <c r="AC2672" s="6" t="n"/>
      <c r="AD2672" s="75" t="n"/>
      <c r="AE2672" s="75" t="n"/>
      <c r="AF2672" s="75" t="n"/>
    </row>
    <row r="2673" ht="15.75" customHeight="1" s="133">
      <c r="A2673" s="75" t="n"/>
      <c r="B2673" s="75" t="n"/>
      <c r="C2673" s="75" t="n"/>
      <c r="D2673" s="75" t="n"/>
      <c r="E2673" s="76" t="n"/>
      <c r="F2673" s="77" t="n"/>
      <c r="G2673" s="75" t="n"/>
      <c r="H2673" s="75">
        <f>IF(ISBLANK(E2673),"",IF(OR(D2673="Butterfly",D2673="Butterfly ",D2673="Iron Fly", D2673="Iron Fly "),LEN(E2673)-LEN(SUBSTITUTE(E2673,"/",""))+2,LEN(E2673)-LEN(SUBSTITUTE(E2673,"/",""))+1))</f>
        <v/>
      </c>
      <c r="I2673" s="78">
        <f>IF(ISBLANK(G2673),"",IF(D2673="Stock","0",Key!$A$3*H2673*G2673))</f>
        <v/>
      </c>
      <c r="J2673" s="78">
        <f>IF(ISBLANK(E2673),"",IF(ISNUMBER(SEARCH("/",E2673)), IF(LEN(E2673)-LEN(SUBSTITUTE(E2673,"/",""))=1,(RIGHT(E2673,LEN(E2673)-FIND("/",E2673)))-(LEFT(E2673,FIND("/",E2673)-1)),(MID(E2673, SEARCH("/",E2673) + 1, SEARCH("/",E2673, SEARCH("/",E2673)+1) - SEARCH("/",E2673) - 1))-(LEFT(E2673,FIND("/",E2673)-1))), "NA"))</f>
        <v/>
      </c>
      <c r="K2673" s="79">
        <f>IF(A2673&lt;&gt;"", IF(ISBLANK(L2673), TODAY(), K2673), "")</f>
        <v/>
      </c>
      <c r="L2673" s="78" t="n"/>
      <c r="M2673" s="78">
        <f>IF(ISBLANK(L2673),"",IF(D2673="Stock",IF(C2673="Buy",L2673*G2673,IF(C2673="Sell",(L2673*G2673)-I2673, X)),IF(C2673="Buy",(L2673*G2673*100)+I2673,IF(C2673="Sell",(L2673*G2673*100)-I2673, X))))</f>
        <v/>
      </c>
      <c r="N2673" s="78">
        <f>IF(ISBLANK(L2673),"",IF(AND(C2673="Sell",D2673="Stock"),M2673,IF(ISBLANK(L2673),"",IF(C2673="Buy",M2673, IF(AND(C2673="Sell",J2673="NA"),(E2673*G2673*100*0.1)+I2673, IF(C2673="Sell",(J2673-L2673)*(100*G2673)+I2673))))))</f>
        <v/>
      </c>
      <c r="O2673" s="75" t="n"/>
      <c r="P2673" s="75" t="n"/>
      <c r="Q2673" s="75">
        <f>IF(ISBLANK(P2673),"",IF(D2673="Stock",P2673*G2673,IF(P2673=0,"0",G2673*P2673*100-(G2673*$AF$14))))</f>
        <v/>
      </c>
      <c r="R2673" s="79">
        <f>IF(P2673&lt;&gt;"", TODAY(), "")</f>
        <v/>
      </c>
      <c r="S2673" s="78">
        <f>IF(AND(K2673&lt;&gt;"", R2673&lt;&gt;""), R2673-K2673, "")</f>
        <v/>
      </c>
      <c r="T2673" s="78" t="n"/>
      <c r="U2673" s="92">
        <f>IF(ISBLANK(P2673),"",IF(C2673="Buy",Q2673-M2673+T2673, IF(C2673="Sell",M2673-Q2673-T2673, X)))</f>
        <v/>
      </c>
      <c r="V2673" s="81">
        <f>IF(ISBLANK(P2673),"",U2673/N2673)</f>
        <v/>
      </c>
      <c r="W2673" s="81">
        <f>IF(ISBLANK(P2673),"",IF(S2673=0,(365/0.5)*V2673,(365/S2673)*V2673))</f>
        <v/>
      </c>
      <c r="X2673" s="75" t="n"/>
      <c r="Y2673" s="77" t="n"/>
      <c r="Z2673" s="77" t="n"/>
      <c r="AA2673" s="75" t="n"/>
      <c r="AB2673" s="75" t="n"/>
      <c r="AC2673" s="6" t="n"/>
      <c r="AD2673" s="75" t="n"/>
      <c r="AE2673" s="75" t="n"/>
      <c r="AF2673" s="75" t="n"/>
    </row>
    <row r="2674" ht="15.75" customHeight="1" s="133">
      <c r="A2674" s="75" t="n"/>
      <c r="B2674" s="75" t="n"/>
      <c r="C2674" s="75" t="n"/>
      <c r="D2674" s="75" t="n"/>
      <c r="E2674" s="76" t="n"/>
      <c r="F2674" s="77" t="n"/>
      <c r="G2674" s="75" t="n"/>
      <c r="H2674" s="75">
        <f>IF(ISBLANK(E2674),"",IF(OR(D2674="Butterfly",D2674="Butterfly ",D2674="Iron Fly", D2674="Iron Fly "),LEN(E2674)-LEN(SUBSTITUTE(E2674,"/",""))+2,LEN(E2674)-LEN(SUBSTITUTE(E2674,"/",""))+1))</f>
        <v/>
      </c>
      <c r="I2674" s="78">
        <f>IF(ISBLANK(G2674),"",IF(D2674="Stock","0",Key!$A$3*H2674*G2674))</f>
        <v/>
      </c>
      <c r="J2674" s="78">
        <f>IF(ISBLANK(E2674),"",IF(ISNUMBER(SEARCH("/",E2674)), IF(LEN(E2674)-LEN(SUBSTITUTE(E2674,"/",""))=1,(RIGHT(E2674,LEN(E2674)-FIND("/",E2674)))-(LEFT(E2674,FIND("/",E2674)-1)),(MID(E2674, SEARCH("/",E2674) + 1, SEARCH("/",E2674, SEARCH("/",E2674)+1) - SEARCH("/",E2674) - 1))-(LEFT(E2674,FIND("/",E2674)-1))), "NA"))</f>
        <v/>
      </c>
      <c r="K2674" s="79">
        <f>IF(A2674&lt;&gt;"", IF(ISBLANK(L2674), TODAY(), K2674), "")</f>
        <v/>
      </c>
      <c r="L2674" s="78" t="n"/>
      <c r="M2674" s="78">
        <f>IF(ISBLANK(L2674),"",IF(D2674="Stock",IF(C2674="Buy",L2674*G2674,IF(C2674="Sell",(L2674*G2674)-I2674, X)),IF(C2674="Buy",(L2674*G2674*100)+I2674,IF(C2674="Sell",(L2674*G2674*100)-I2674, X))))</f>
        <v/>
      </c>
      <c r="N2674" s="78">
        <f>IF(ISBLANK(L2674),"",IF(AND(C2674="Sell",D2674="Stock"),M2674,IF(ISBLANK(L2674),"",IF(C2674="Buy",M2674, IF(AND(C2674="Sell",J2674="NA"),(E2674*G2674*100*0.1)+I2674, IF(C2674="Sell",(J2674-L2674)*(100*G2674)+I2674))))))</f>
        <v/>
      </c>
      <c r="O2674" s="75" t="n"/>
      <c r="P2674" s="75" t="n"/>
      <c r="Q2674" s="75">
        <f>IF(ISBLANK(P2674),"",IF(D2674="Stock",P2674*G2674,IF(P2674=0,"0",G2674*P2674*100-(G2674*$AF$14))))</f>
        <v/>
      </c>
      <c r="R2674" s="79">
        <f>IF(P2674&lt;&gt;"", TODAY(), "")</f>
        <v/>
      </c>
      <c r="S2674" s="78">
        <f>IF(AND(K2674&lt;&gt;"", R2674&lt;&gt;""), R2674-K2674, "")</f>
        <v/>
      </c>
      <c r="T2674" s="78" t="n"/>
      <c r="U2674" s="92">
        <f>IF(ISBLANK(P2674),"",IF(C2674="Buy",Q2674-M2674+T2674, IF(C2674="Sell",M2674-Q2674-T2674, X)))</f>
        <v/>
      </c>
      <c r="V2674" s="81">
        <f>IF(ISBLANK(P2674),"",U2674/N2674)</f>
        <v/>
      </c>
      <c r="W2674" s="81">
        <f>IF(ISBLANK(P2674),"",IF(S2674=0,(365/0.5)*V2674,(365/S2674)*V2674))</f>
        <v/>
      </c>
      <c r="X2674" s="75" t="n"/>
      <c r="Y2674" s="77" t="n"/>
      <c r="Z2674" s="77" t="n"/>
      <c r="AA2674" s="75" t="n"/>
      <c r="AB2674" s="75" t="n"/>
      <c r="AC2674" s="6" t="n"/>
      <c r="AD2674" s="75" t="n"/>
      <c r="AE2674" s="75" t="n"/>
      <c r="AF2674" s="75" t="n"/>
    </row>
    <row r="2675" ht="15.75" customHeight="1" s="133">
      <c r="A2675" s="75" t="n"/>
      <c r="B2675" s="75" t="n"/>
      <c r="C2675" s="75" t="n"/>
      <c r="D2675" s="75" t="n"/>
      <c r="E2675" s="76" t="n"/>
      <c r="F2675" s="77" t="n"/>
      <c r="G2675" s="75" t="n"/>
      <c r="H2675" s="75">
        <f>IF(ISBLANK(E2675),"",IF(OR(D2675="Butterfly",D2675="Butterfly ",D2675="Iron Fly", D2675="Iron Fly "),LEN(E2675)-LEN(SUBSTITUTE(E2675,"/",""))+2,LEN(E2675)-LEN(SUBSTITUTE(E2675,"/",""))+1))</f>
        <v/>
      </c>
      <c r="I2675" s="78">
        <f>IF(ISBLANK(G2675),"",IF(D2675="Stock","0",Key!$A$3*H2675*G2675))</f>
        <v/>
      </c>
      <c r="J2675" s="78">
        <f>IF(ISBLANK(E2675),"",IF(ISNUMBER(SEARCH("/",E2675)), IF(LEN(E2675)-LEN(SUBSTITUTE(E2675,"/",""))=1,(RIGHT(E2675,LEN(E2675)-FIND("/",E2675)))-(LEFT(E2675,FIND("/",E2675)-1)),(MID(E2675, SEARCH("/",E2675) + 1, SEARCH("/",E2675, SEARCH("/",E2675)+1) - SEARCH("/",E2675) - 1))-(LEFT(E2675,FIND("/",E2675)-1))), "NA"))</f>
        <v/>
      </c>
      <c r="K2675" s="79">
        <f>IF(A2675&lt;&gt;"", IF(ISBLANK(L2675), TODAY(), K2675), "")</f>
        <v/>
      </c>
      <c r="L2675" s="78" t="n"/>
      <c r="M2675" s="78">
        <f>IF(ISBLANK(L2675),"",IF(D2675="Stock",IF(C2675="Buy",L2675*G2675,IF(C2675="Sell",(L2675*G2675)-I2675, X)),IF(C2675="Buy",(L2675*G2675*100)+I2675,IF(C2675="Sell",(L2675*G2675*100)-I2675, X))))</f>
        <v/>
      </c>
      <c r="N2675" s="78">
        <f>IF(ISBLANK(L2675),"",IF(AND(C2675="Sell",D2675="Stock"),M2675,IF(ISBLANK(L2675),"",IF(C2675="Buy",M2675, IF(AND(C2675="Sell",J2675="NA"),(E2675*G2675*100*0.1)+I2675, IF(C2675="Sell",(J2675-L2675)*(100*G2675)+I2675))))))</f>
        <v/>
      </c>
      <c r="O2675" s="75" t="n"/>
      <c r="P2675" s="75" t="n"/>
      <c r="Q2675" s="75">
        <f>IF(ISBLANK(P2675),"",IF(D2675="Stock",P2675*G2675,IF(P2675=0,"0",G2675*P2675*100-(G2675*$AF$14))))</f>
        <v/>
      </c>
      <c r="R2675" s="79">
        <f>IF(P2675&lt;&gt;"", TODAY(), "")</f>
        <v/>
      </c>
      <c r="S2675" s="78">
        <f>IF(AND(K2675&lt;&gt;"", R2675&lt;&gt;""), R2675-K2675, "")</f>
        <v/>
      </c>
      <c r="T2675" s="78" t="n"/>
      <c r="U2675" s="92">
        <f>IF(ISBLANK(P2675),"",IF(C2675="Buy",Q2675-M2675+T2675, IF(C2675="Sell",M2675-Q2675-T2675, X)))</f>
        <v/>
      </c>
      <c r="V2675" s="81">
        <f>IF(ISBLANK(P2675),"",U2675/N2675)</f>
        <v/>
      </c>
      <c r="W2675" s="81">
        <f>IF(ISBLANK(P2675),"",IF(S2675=0,(365/0.5)*V2675,(365/S2675)*V2675))</f>
        <v/>
      </c>
      <c r="X2675" s="75" t="n"/>
      <c r="Y2675" s="77" t="n"/>
      <c r="Z2675" s="77" t="n"/>
      <c r="AA2675" s="75" t="n"/>
      <c r="AB2675" s="75" t="n"/>
      <c r="AC2675" s="6" t="n"/>
      <c r="AD2675" s="75" t="n"/>
      <c r="AE2675" s="75" t="n"/>
      <c r="AF2675" s="75" t="n"/>
    </row>
    <row r="2676" ht="15.75" customHeight="1" s="133">
      <c r="A2676" s="75" t="n"/>
      <c r="B2676" s="75" t="n"/>
      <c r="C2676" s="75" t="n"/>
      <c r="D2676" s="75" t="n"/>
      <c r="E2676" s="76" t="n"/>
      <c r="F2676" s="77" t="n"/>
      <c r="G2676" s="75" t="n"/>
      <c r="H2676" s="75">
        <f>IF(ISBLANK(E2676),"",IF(OR(D2676="Butterfly",D2676="Butterfly ",D2676="Iron Fly", D2676="Iron Fly "),LEN(E2676)-LEN(SUBSTITUTE(E2676,"/",""))+2,LEN(E2676)-LEN(SUBSTITUTE(E2676,"/",""))+1))</f>
        <v/>
      </c>
      <c r="I2676" s="78">
        <f>IF(ISBLANK(G2676),"",IF(D2676="Stock","0",Key!$A$3*H2676*G2676))</f>
        <v/>
      </c>
      <c r="J2676" s="78">
        <f>IF(ISBLANK(E2676),"",IF(ISNUMBER(SEARCH("/",E2676)), IF(LEN(E2676)-LEN(SUBSTITUTE(E2676,"/",""))=1,(RIGHT(E2676,LEN(E2676)-FIND("/",E2676)))-(LEFT(E2676,FIND("/",E2676)-1)),(MID(E2676, SEARCH("/",E2676) + 1, SEARCH("/",E2676, SEARCH("/",E2676)+1) - SEARCH("/",E2676) - 1))-(LEFT(E2676,FIND("/",E2676)-1))), "NA"))</f>
        <v/>
      </c>
      <c r="K2676" s="79">
        <f>IF(A2676&lt;&gt;"", IF(ISBLANK(L2676), TODAY(), K2676), "")</f>
        <v/>
      </c>
      <c r="L2676" s="78" t="n"/>
      <c r="M2676" s="78">
        <f>IF(ISBLANK(L2676),"",IF(D2676="Stock",IF(C2676="Buy",L2676*G2676,IF(C2676="Sell",(L2676*G2676)-I2676, X)),IF(C2676="Buy",(L2676*G2676*100)+I2676,IF(C2676="Sell",(L2676*G2676*100)-I2676, X))))</f>
        <v/>
      </c>
      <c r="N2676" s="78">
        <f>IF(ISBLANK(L2676),"",IF(AND(C2676="Sell",D2676="Stock"),M2676,IF(ISBLANK(L2676),"",IF(C2676="Buy",M2676, IF(AND(C2676="Sell",J2676="NA"),(E2676*G2676*100*0.1)+I2676, IF(C2676="Sell",(J2676-L2676)*(100*G2676)+I2676))))))</f>
        <v/>
      </c>
      <c r="O2676" s="75" t="n"/>
      <c r="P2676" s="75" t="n"/>
      <c r="Q2676" s="75">
        <f>IF(ISBLANK(P2676),"",IF(D2676="Stock",P2676*G2676,IF(P2676=0,"0",G2676*P2676*100-(G2676*$AF$14))))</f>
        <v/>
      </c>
      <c r="R2676" s="79">
        <f>IF(P2676&lt;&gt;"", TODAY(), "")</f>
        <v/>
      </c>
      <c r="S2676" s="78">
        <f>IF(AND(K2676&lt;&gt;"", R2676&lt;&gt;""), R2676-K2676, "")</f>
        <v/>
      </c>
      <c r="T2676" s="78" t="n"/>
      <c r="U2676" s="92">
        <f>IF(ISBLANK(P2676),"",IF(C2676="Buy",Q2676-M2676+T2676, IF(C2676="Sell",M2676-Q2676-T2676, X)))</f>
        <v/>
      </c>
      <c r="V2676" s="81">
        <f>IF(ISBLANK(P2676),"",U2676/N2676)</f>
        <v/>
      </c>
      <c r="W2676" s="81">
        <f>IF(ISBLANK(P2676),"",IF(S2676=0,(365/0.5)*V2676,(365/S2676)*V2676))</f>
        <v/>
      </c>
      <c r="X2676" s="75" t="n"/>
      <c r="Y2676" s="77" t="n"/>
      <c r="Z2676" s="77" t="n"/>
      <c r="AA2676" s="75" t="n"/>
      <c r="AB2676" s="75" t="n"/>
      <c r="AC2676" s="6" t="n"/>
      <c r="AD2676" s="75" t="n"/>
      <c r="AE2676" s="75" t="n"/>
      <c r="AF2676" s="75" t="n"/>
    </row>
    <row r="2677" ht="15.75" customHeight="1" s="133">
      <c r="A2677" s="75" t="n"/>
      <c r="B2677" s="75" t="n"/>
      <c r="C2677" s="75" t="n"/>
      <c r="D2677" s="75" t="n"/>
      <c r="E2677" s="76" t="n"/>
      <c r="F2677" s="77" t="n"/>
      <c r="G2677" s="75" t="n"/>
      <c r="H2677" s="75">
        <f>IF(ISBLANK(E2677),"",IF(OR(D2677="Butterfly",D2677="Butterfly ",D2677="Iron Fly", D2677="Iron Fly "),LEN(E2677)-LEN(SUBSTITUTE(E2677,"/",""))+2,LEN(E2677)-LEN(SUBSTITUTE(E2677,"/",""))+1))</f>
        <v/>
      </c>
      <c r="I2677" s="78">
        <f>IF(ISBLANK(G2677),"",IF(D2677="Stock","0",Key!$A$3*H2677*G2677))</f>
        <v/>
      </c>
      <c r="J2677" s="78">
        <f>IF(ISBLANK(E2677),"",IF(ISNUMBER(SEARCH("/",E2677)), IF(LEN(E2677)-LEN(SUBSTITUTE(E2677,"/",""))=1,(RIGHT(E2677,LEN(E2677)-FIND("/",E2677)))-(LEFT(E2677,FIND("/",E2677)-1)),(MID(E2677, SEARCH("/",E2677) + 1, SEARCH("/",E2677, SEARCH("/",E2677)+1) - SEARCH("/",E2677) - 1))-(LEFT(E2677,FIND("/",E2677)-1))), "NA"))</f>
        <v/>
      </c>
      <c r="K2677" s="79">
        <f>IF(A2677&lt;&gt;"", IF(ISBLANK(L2677), TODAY(), K2677), "")</f>
        <v/>
      </c>
      <c r="L2677" s="78" t="n"/>
      <c r="M2677" s="78">
        <f>IF(ISBLANK(L2677),"",IF(D2677="Stock",IF(C2677="Buy",L2677*G2677,IF(C2677="Sell",(L2677*G2677)-I2677, X)),IF(C2677="Buy",(L2677*G2677*100)+I2677,IF(C2677="Sell",(L2677*G2677*100)-I2677, X))))</f>
        <v/>
      </c>
      <c r="N2677" s="78">
        <f>IF(ISBLANK(L2677),"",IF(AND(C2677="Sell",D2677="Stock"),M2677,IF(ISBLANK(L2677),"",IF(C2677="Buy",M2677, IF(AND(C2677="Sell",J2677="NA"),(E2677*G2677*100*0.1)+I2677, IF(C2677="Sell",(J2677-L2677)*(100*G2677)+I2677))))))</f>
        <v/>
      </c>
      <c r="O2677" s="75" t="n"/>
      <c r="P2677" s="75" t="n"/>
      <c r="Q2677" s="75">
        <f>IF(ISBLANK(P2677),"",IF(D2677="Stock",P2677*G2677,IF(P2677=0,"0",G2677*P2677*100-(G2677*$AF$14))))</f>
        <v/>
      </c>
      <c r="R2677" s="79">
        <f>IF(P2677&lt;&gt;"", TODAY(), "")</f>
        <v/>
      </c>
      <c r="S2677" s="78">
        <f>IF(AND(K2677&lt;&gt;"", R2677&lt;&gt;""), R2677-K2677, "")</f>
        <v/>
      </c>
      <c r="T2677" s="78" t="n"/>
      <c r="U2677" s="92">
        <f>IF(ISBLANK(P2677),"",IF(C2677="Buy",Q2677-M2677+T2677, IF(C2677="Sell",M2677-Q2677-T2677, X)))</f>
        <v/>
      </c>
      <c r="V2677" s="81">
        <f>IF(ISBLANK(P2677),"",U2677/N2677)</f>
        <v/>
      </c>
      <c r="W2677" s="81">
        <f>IF(ISBLANK(P2677),"",IF(S2677=0,(365/0.5)*V2677,(365/S2677)*V2677))</f>
        <v/>
      </c>
      <c r="X2677" s="75" t="n"/>
      <c r="Y2677" s="77" t="n"/>
      <c r="Z2677" s="77" t="n"/>
      <c r="AA2677" s="75" t="n"/>
      <c r="AB2677" s="75" t="n"/>
      <c r="AC2677" s="6" t="n"/>
      <c r="AD2677" s="75" t="n"/>
      <c r="AE2677" s="75" t="n"/>
      <c r="AF2677" s="75" t="n"/>
    </row>
    <row r="2678" ht="15.75" customHeight="1" s="133">
      <c r="A2678" s="75" t="n"/>
      <c r="B2678" s="75" t="n"/>
      <c r="C2678" s="75" t="n"/>
      <c r="D2678" s="75" t="n"/>
      <c r="E2678" s="76" t="n"/>
      <c r="F2678" s="77" t="n"/>
      <c r="G2678" s="75" t="n"/>
      <c r="H2678" s="75">
        <f>IF(ISBLANK(E2678),"",IF(OR(D2678="Butterfly",D2678="Butterfly ",D2678="Iron Fly", D2678="Iron Fly "),LEN(E2678)-LEN(SUBSTITUTE(E2678,"/",""))+2,LEN(E2678)-LEN(SUBSTITUTE(E2678,"/",""))+1))</f>
        <v/>
      </c>
      <c r="I2678" s="78">
        <f>IF(ISBLANK(G2678),"",IF(D2678="Stock","0",Key!$A$3*H2678*G2678))</f>
        <v/>
      </c>
      <c r="J2678" s="78">
        <f>IF(ISBLANK(E2678),"",IF(ISNUMBER(SEARCH("/",E2678)), IF(LEN(E2678)-LEN(SUBSTITUTE(E2678,"/",""))=1,(RIGHT(E2678,LEN(E2678)-FIND("/",E2678)))-(LEFT(E2678,FIND("/",E2678)-1)),(MID(E2678, SEARCH("/",E2678) + 1, SEARCH("/",E2678, SEARCH("/",E2678)+1) - SEARCH("/",E2678) - 1))-(LEFT(E2678,FIND("/",E2678)-1))), "NA"))</f>
        <v/>
      </c>
      <c r="K2678" s="79">
        <f>IF(A2678&lt;&gt;"", IF(ISBLANK(L2678), TODAY(), K2678), "")</f>
        <v/>
      </c>
      <c r="L2678" s="78" t="n"/>
      <c r="M2678" s="78">
        <f>IF(ISBLANK(L2678),"",IF(D2678="Stock",IF(C2678="Buy",L2678*G2678,IF(C2678="Sell",(L2678*G2678)-I2678, X)),IF(C2678="Buy",(L2678*G2678*100)+I2678,IF(C2678="Sell",(L2678*G2678*100)-I2678, X))))</f>
        <v/>
      </c>
      <c r="N2678" s="78">
        <f>IF(ISBLANK(L2678),"",IF(AND(C2678="Sell",D2678="Stock"),M2678,IF(ISBLANK(L2678),"",IF(C2678="Buy",M2678, IF(AND(C2678="Sell",J2678="NA"),(E2678*G2678*100*0.1)+I2678, IF(C2678="Sell",(J2678-L2678)*(100*G2678)+I2678))))))</f>
        <v/>
      </c>
      <c r="O2678" s="75" t="n"/>
      <c r="P2678" s="75" t="n"/>
      <c r="Q2678" s="75">
        <f>IF(ISBLANK(P2678),"",IF(D2678="Stock",P2678*G2678,IF(P2678=0,"0",G2678*P2678*100-(G2678*$AF$14))))</f>
        <v/>
      </c>
      <c r="R2678" s="79">
        <f>IF(P2678&lt;&gt;"", TODAY(), "")</f>
        <v/>
      </c>
      <c r="S2678" s="78">
        <f>IF(AND(K2678&lt;&gt;"", R2678&lt;&gt;""), R2678-K2678, "")</f>
        <v/>
      </c>
      <c r="T2678" s="78" t="n"/>
      <c r="U2678" s="92">
        <f>IF(ISBLANK(P2678),"",IF(C2678="Buy",Q2678-M2678+T2678, IF(C2678="Sell",M2678-Q2678-T2678, X)))</f>
        <v/>
      </c>
      <c r="V2678" s="81">
        <f>IF(ISBLANK(P2678),"",U2678/N2678)</f>
        <v/>
      </c>
      <c r="W2678" s="81">
        <f>IF(ISBLANK(P2678),"",IF(S2678=0,(365/0.5)*V2678,(365/S2678)*V2678))</f>
        <v/>
      </c>
      <c r="X2678" s="75" t="n"/>
      <c r="Y2678" s="77" t="n"/>
      <c r="Z2678" s="77" t="n"/>
      <c r="AA2678" s="75" t="n"/>
      <c r="AB2678" s="75" t="n"/>
      <c r="AC2678" s="6" t="n"/>
      <c r="AD2678" s="75" t="n"/>
      <c r="AE2678" s="75" t="n"/>
      <c r="AF2678" s="75" t="n"/>
    </row>
    <row r="2679" ht="15.75" customHeight="1" s="133">
      <c r="A2679" s="75" t="n"/>
      <c r="B2679" s="75" t="n"/>
      <c r="C2679" s="75" t="n"/>
      <c r="D2679" s="75" t="n"/>
      <c r="E2679" s="76" t="n"/>
      <c r="F2679" s="77" t="n"/>
      <c r="G2679" s="75" t="n"/>
      <c r="H2679" s="75">
        <f>IF(ISBLANK(E2679),"",IF(OR(D2679="Butterfly",D2679="Butterfly ",D2679="Iron Fly", D2679="Iron Fly "),LEN(E2679)-LEN(SUBSTITUTE(E2679,"/",""))+2,LEN(E2679)-LEN(SUBSTITUTE(E2679,"/",""))+1))</f>
        <v/>
      </c>
      <c r="I2679" s="78">
        <f>IF(ISBLANK(G2679),"",IF(D2679="Stock","0",Key!$A$3*H2679*G2679))</f>
        <v/>
      </c>
      <c r="J2679" s="78">
        <f>IF(ISBLANK(E2679),"",IF(ISNUMBER(SEARCH("/",E2679)), IF(LEN(E2679)-LEN(SUBSTITUTE(E2679,"/",""))=1,(RIGHT(E2679,LEN(E2679)-FIND("/",E2679)))-(LEFT(E2679,FIND("/",E2679)-1)),(MID(E2679, SEARCH("/",E2679) + 1, SEARCH("/",E2679, SEARCH("/",E2679)+1) - SEARCH("/",E2679) - 1))-(LEFT(E2679,FIND("/",E2679)-1))), "NA"))</f>
        <v/>
      </c>
      <c r="K2679" s="79">
        <f>IF(A2679&lt;&gt;"", IF(ISBLANK(L2679), TODAY(), K2679), "")</f>
        <v/>
      </c>
      <c r="L2679" s="78" t="n"/>
      <c r="M2679" s="78">
        <f>IF(ISBLANK(L2679),"",IF(D2679="Stock",IF(C2679="Buy",L2679*G2679,IF(C2679="Sell",(L2679*G2679)-I2679, X)),IF(C2679="Buy",(L2679*G2679*100)+I2679,IF(C2679="Sell",(L2679*G2679*100)-I2679, X))))</f>
        <v/>
      </c>
      <c r="N2679" s="78">
        <f>IF(ISBLANK(L2679),"",IF(AND(C2679="Sell",D2679="Stock"),M2679,IF(ISBLANK(L2679),"",IF(C2679="Buy",M2679, IF(AND(C2679="Sell",J2679="NA"),(E2679*G2679*100*0.1)+I2679, IF(C2679="Sell",(J2679-L2679)*(100*G2679)+I2679))))))</f>
        <v/>
      </c>
      <c r="O2679" s="75" t="n"/>
      <c r="P2679" s="75" t="n"/>
      <c r="Q2679" s="75">
        <f>IF(ISBLANK(P2679),"",IF(D2679="Stock",P2679*G2679,IF(P2679=0,"0",G2679*P2679*100-(G2679*$AF$14))))</f>
        <v/>
      </c>
      <c r="R2679" s="79">
        <f>IF(P2679&lt;&gt;"", TODAY(), "")</f>
        <v/>
      </c>
      <c r="S2679" s="78">
        <f>IF(AND(K2679&lt;&gt;"", R2679&lt;&gt;""), R2679-K2679, "")</f>
        <v/>
      </c>
      <c r="T2679" s="78" t="n"/>
      <c r="U2679" s="92">
        <f>IF(ISBLANK(P2679),"",IF(C2679="Buy",Q2679-M2679+T2679, IF(C2679="Sell",M2679-Q2679-T2679, X)))</f>
        <v/>
      </c>
      <c r="V2679" s="81">
        <f>IF(ISBLANK(P2679),"",U2679/N2679)</f>
        <v/>
      </c>
      <c r="W2679" s="81">
        <f>IF(ISBLANK(P2679),"",IF(S2679=0,(365/0.5)*V2679,(365/S2679)*V2679))</f>
        <v/>
      </c>
      <c r="X2679" s="75" t="n"/>
      <c r="Y2679" s="77" t="n"/>
      <c r="Z2679" s="77" t="n"/>
      <c r="AA2679" s="75" t="n"/>
      <c r="AB2679" s="75" t="n"/>
      <c r="AC2679" s="6" t="n"/>
      <c r="AD2679" s="75" t="n"/>
      <c r="AE2679" s="75" t="n"/>
      <c r="AF2679" s="75" t="n"/>
    </row>
    <row r="2680" ht="15.75" customHeight="1" s="133">
      <c r="A2680" s="75" t="n"/>
      <c r="B2680" s="75" t="n"/>
      <c r="C2680" s="75" t="n"/>
      <c r="D2680" s="75" t="n"/>
      <c r="E2680" s="76" t="n"/>
      <c r="F2680" s="77" t="n"/>
      <c r="G2680" s="75" t="n"/>
      <c r="H2680" s="75">
        <f>IF(ISBLANK(E2680),"",IF(OR(D2680="Butterfly",D2680="Butterfly ",D2680="Iron Fly", D2680="Iron Fly "),LEN(E2680)-LEN(SUBSTITUTE(E2680,"/",""))+2,LEN(E2680)-LEN(SUBSTITUTE(E2680,"/",""))+1))</f>
        <v/>
      </c>
      <c r="I2680" s="78">
        <f>IF(ISBLANK(G2680),"",IF(D2680="Stock","0",Key!$A$3*H2680*G2680))</f>
        <v/>
      </c>
      <c r="J2680" s="78">
        <f>IF(ISBLANK(E2680),"",IF(ISNUMBER(SEARCH("/",E2680)), IF(LEN(E2680)-LEN(SUBSTITUTE(E2680,"/",""))=1,(RIGHT(E2680,LEN(E2680)-FIND("/",E2680)))-(LEFT(E2680,FIND("/",E2680)-1)),(MID(E2680, SEARCH("/",E2680) + 1, SEARCH("/",E2680, SEARCH("/",E2680)+1) - SEARCH("/",E2680) - 1))-(LEFT(E2680,FIND("/",E2680)-1))), "NA"))</f>
        <v/>
      </c>
      <c r="K2680" s="79">
        <f>IF(A2680&lt;&gt;"", IF(ISBLANK(L2680), TODAY(), K2680), "")</f>
        <v/>
      </c>
      <c r="L2680" s="78" t="n"/>
      <c r="M2680" s="78">
        <f>IF(ISBLANK(L2680),"",IF(D2680="Stock",IF(C2680="Buy",L2680*G2680,IF(C2680="Sell",(L2680*G2680)-I2680, X)),IF(C2680="Buy",(L2680*G2680*100)+I2680,IF(C2680="Sell",(L2680*G2680*100)-I2680, X))))</f>
        <v/>
      </c>
      <c r="N2680" s="78">
        <f>IF(ISBLANK(L2680),"",IF(AND(C2680="Sell",D2680="Stock"),M2680,IF(ISBLANK(L2680),"",IF(C2680="Buy",M2680, IF(AND(C2680="Sell",J2680="NA"),(E2680*G2680*100*0.1)+I2680, IF(C2680="Sell",(J2680-L2680)*(100*G2680)+I2680))))))</f>
        <v/>
      </c>
      <c r="O2680" s="75" t="n"/>
      <c r="P2680" s="75" t="n"/>
      <c r="Q2680" s="75">
        <f>IF(ISBLANK(P2680),"",IF(D2680="Stock",P2680*G2680,IF(P2680=0,"0",G2680*P2680*100-(G2680*$AF$14))))</f>
        <v/>
      </c>
      <c r="R2680" s="79">
        <f>IF(P2680&lt;&gt;"", TODAY(), "")</f>
        <v/>
      </c>
      <c r="S2680" s="78">
        <f>IF(AND(K2680&lt;&gt;"", R2680&lt;&gt;""), R2680-K2680, "")</f>
        <v/>
      </c>
      <c r="T2680" s="78" t="n"/>
      <c r="U2680" s="92">
        <f>IF(ISBLANK(P2680),"",IF(C2680="Buy",Q2680-M2680+T2680, IF(C2680="Sell",M2680-Q2680-T2680, X)))</f>
        <v/>
      </c>
      <c r="V2680" s="81">
        <f>IF(ISBLANK(P2680),"",U2680/N2680)</f>
        <v/>
      </c>
      <c r="W2680" s="81">
        <f>IF(ISBLANK(P2680),"",IF(S2680=0,(365/0.5)*V2680,(365/S2680)*V2680))</f>
        <v/>
      </c>
      <c r="X2680" s="75" t="n"/>
      <c r="Y2680" s="77" t="n"/>
      <c r="Z2680" s="77" t="n"/>
      <c r="AA2680" s="75" t="n"/>
      <c r="AB2680" s="75" t="n"/>
      <c r="AC2680" s="6" t="n"/>
      <c r="AD2680" s="75" t="n"/>
      <c r="AE2680" s="75" t="n"/>
      <c r="AF2680" s="75" t="n"/>
    </row>
    <row r="2681" ht="15.75" customHeight="1" s="133">
      <c r="A2681" s="75" t="n"/>
      <c r="B2681" s="75" t="n"/>
      <c r="C2681" s="75" t="n"/>
      <c r="D2681" s="75" t="n"/>
      <c r="E2681" s="76" t="n"/>
      <c r="F2681" s="77" t="n"/>
      <c r="G2681" s="75" t="n"/>
      <c r="H2681" s="75">
        <f>IF(ISBLANK(E2681),"",IF(OR(D2681="Butterfly",D2681="Butterfly ",D2681="Iron Fly", D2681="Iron Fly "),LEN(E2681)-LEN(SUBSTITUTE(E2681,"/",""))+2,LEN(E2681)-LEN(SUBSTITUTE(E2681,"/",""))+1))</f>
        <v/>
      </c>
      <c r="I2681" s="78">
        <f>IF(ISBLANK(G2681),"",IF(D2681="Stock","0",Key!$A$3*H2681*G2681))</f>
        <v/>
      </c>
      <c r="J2681" s="78">
        <f>IF(ISBLANK(E2681),"",IF(ISNUMBER(SEARCH("/",E2681)), IF(LEN(E2681)-LEN(SUBSTITUTE(E2681,"/",""))=1,(RIGHT(E2681,LEN(E2681)-FIND("/",E2681)))-(LEFT(E2681,FIND("/",E2681)-1)),(MID(E2681, SEARCH("/",E2681) + 1, SEARCH("/",E2681, SEARCH("/",E2681)+1) - SEARCH("/",E2681) - 1))-(LEFT(E2681,FIND("/",E2681)-1))), "NA"))</f>
        <v/>
      </c>
      <c r="K2681" s="79">
        <f>IF(A2681&lt;&gt;"", IF(ISBLANK(L2681), TODAY(), K2681), "")</f>
        <v/>
      </c>
      <c r="L2681" s="78" t="n"/>
      <c r="M2681" s="78">
        <f>IF(ISBLANK(L2681),"",IF(D2681="Stock",IF(C2681="Buy",L2681*G2681,IF(C2681="Sell",(L2681*G2681)-I2681, X)),IF(C2681="Buy",(L2681*G2681*100)+I2681,IF(C2681="Sell",(L2681*G2681*100)-I2681, X))))</f>
        <v/>
      </c>
      <c r="N2681" s="78">
        <f>IF(ISBLANK(L2681),"",IF(AND(C2681="Sell",D2681="Stock"),M2681,IF(ISBLANK(L2681),"",IF(C2681="Buy",M2681, IF(AND(C2681="Sell",J2681="NA"),(E2681*G2681*100*0.1)+I2681, IF(C2681="Sell",(J2681-L2681)*(100*G2681)+I2681))))))</f>
        <v/>
      </c>
      <c r="O2681" s="75" t="n"/>
      <c r="P2681" s="75" t="n"/>
      <c r="Q2681" s="75">
        <f>IF(ISBLANK(P2681),"",IF(D2681="Stock",P2681*G2681,IF(P2681=0,"0",G2681*P2681*100-(G2681*$AF$14))))</f>
        <v/>
      </c>
      <c r="R2681" s="79">
        <f>IF(P2681&lt;&gt;"", TODAY(), "")</f>
        <v/>
      </c>
      <c r="S2681" s="78">
        <f>IF(AND(K2681&lt;&gt;"", R2681&lt;&gt;""), R2681-K2681, "")</f>
        <v/>
      </c>
      <c r="T2681" s="78" t="n"/>
      <c r="U2681" s="92">
        <f>IF(ISBLANK(P2681),"",IF(C2681="Buy",Q2681-M2681+T2681, IF(C2681="Sell",M2681-Q2681-T2681, X)))</f>
        <v/>
      </c>
      <c r="V2681" s="81">
        <f>IF(ISBLANK(P2681),"",U2681/N2681)</f>
        <v/>
      </c>
      <c r="W2681" s="81">
        <f>IF(ISBLANK(P2681),"",IF(S2681=0,(365/0.5)*V2681,(365/S2681)*V2681))</f>
        <v/>
      </c>
      <c r="X2681" s="75" t="n"/>
      <c r="Y2681" s="77" t="n"/>
      <c r="Z2681" s="77" t="n"/>
      <c r="AA2681" s="75" t="n"/>
      <c r="AB2681" s="75" t="n"/>
      <c r="AC2681" s="6" t="n"/>
      <c r="AD2681" s="75" t="n"/>
      <c r="AE2681" s="75" t="n"/>
      <c r="AF2681" s="75" t="n"/>
    </row>
    <row r="2682" ht="15.75" customHeight="1" s="133">
      <c r="A2682" s="75" t="n"/>
      <c r="B2682" s="75" t="n"/>
      <c r="C2682" s="75" t="n"/>
      <c r="D2682" s="75" t="n"/>
      <c r="E2682" s="76" t="n"/>
      <c r="F2682" s="77" t="n"/>
      <c r="G2682" s="75" t="n"/>
      <c r="H2682" s="75">
        <f>IF(ISBLANK(E2682),"",IF(OR(D2682="Butterfly",D2682="Butterfly ",D2682="Iron Fly", D2682="Iron Fly "),LEN(E2682)-LEN(SUBSTITUTE(E2682,"/",""))+2,LEN(E2682)-LEN(SUBSTITUTE(E2682,"/",""))+1))</f>
        <v/>
      </c>
      <c r="I2682" s="78">
        <f>IF(ISBLANK(G2682),"",IF(D2682="Stock","0",Key!$A$3*H2682*G2682))</f>
        <v/>
      </c>
      <c r="J2682" s="78">
        <f>IF(ISBLANK(E2682),"",IF(ISNUMBER(SEARCH("/",E2682)), IF(LEN(E2682)-LEN(SUBSTITUTE(E2682,"/",""))=1,(RIGHT(E2682,LEN(E2682)-FIND("/",E2682)))-(LEFT(E2682,FIND("/",E2682)-1)),(MID(E2682, SEARCH("/",E2682) + 1, SEARCH("/",E2682, SEARCH("/",E2682)+1) - SEARCH("/",E2682) - 1))-(LEFT(E2682,FIND("/",E2682)-1))), "NA"))</f>
        <v/>
      </c>
      <c r="K2682" s="79">
        <f>IF(A2682&lt;&gt;"", IF(ISBLANK(L2682), TODAY(), K2682), "")</f>
        <v/>
      </c>
      <c r="L2682" s="78" t="n"/>
      <c r="M2682" s="78">
        <f>IF(ISBLANK(L2682),"",IF(D2682="Stock",IF(C2682="Buy",L2682*G2682,IF(C2682="Sell",(L2682*G2682)-I2682, X)),IF(C2682="Buy",(L2682*G2682*100)+I2682,IF(C2682="Sell",(L2682*G2682*100)-I2682, X))))</f>
        <v/>
      </c>
      <c r="N2682" s="78">
        <f>IF(ISBLANK(L2682),"",IF(AND(C2682="Sell",D2682="Stock"),M2682,IF(ISBLANK(L2682),"",IF(C2682="Buy",M2682, IF(AND(C2682="Sell",J2682="NA"),(E2682*G2682*100*0.1)+I2682, IF(C2682="Sell",(J2682-L2682)*(100*G2682)+I2682))))))</f>
        <v/>
      </c>
      <c r="O2682" s="75" t="n"/>
      <c r="P2682" s="75" t="n"/>
      <c r="Q2682" s="75">
        <f>IF(ISBLANK(P2682),"",IF(D2682="Stock",P2682*G2682,IF(P2682=0,"0",G2682*P2682*100-(G2682*$AF$14))))</f>
        <v/>
      </c>
      <c r="R2682" s="79">
        <f>IF(P2682&lt;&gt;"", TODAY(), "")</f>
        <v/>
      </c>
      <c r="S2682" s="78">
        <f>IF(AND(K2682&lt;&gt;"", R2682&lt;&gt;""), R2682-K2682, "")</f>
        <v/>
      </c>
      <c r="T2682" s="78" t="n"/>
      <c r="U2682" s="92">
        <f>IF(ISBLANK(P2682),"",IF(C2682="Buy",Q2682-M2682+T2682, IF(C2682="Sell",M2682-Q2682-T2682, X)))</f>
        <v/>
      </c>
      <c r="V2682" s="81">
        <f>IF(ISBLANK(P2682),"",U2682/N2682)</f>
        <v/>
      </c>
      <c r="W2682" s="81">
        <f>IF(ISBLANK(P2682),"",IF(S2682=0,(365/0.5)*V2682,(365/S2682)*V2682))</f>
        <v/>
      </c>
      <c r="X2682" s="75" t="n"/>
      <c r="Y2682" s="77" t="n"/>
      <c r="Z2682" s="77" t="n"/>
      <c r="AA2682" s="75" t="n"/>
      <c r="AB2682" s="75" t="n"/>
      <c r="AC2682" s="6" t="n"/>
      <c r="AD2682" s="75" t="n"/>
      <c r="AE2682" s="75" t="n"/>
      <c r="AF2682" s="75" t="n"/>
    </row>
    <row r="2683" ht="15.75" customHeight="1" s="133">
      <c r="A2683" s="75" t="n"/>
      <c r="B2683" s="75" t="n"/>
      <c r="C2683" s="75" t="n"/>
      <c r="D2683" s="75" t="n"/>
      <c r="E2683" s="76" t="n"/>
      <c r="F2683" s="77" t="n"/>
      <c r="G2683" s="75" t="n"/>
      <c r="H2683" s="75">
        <f>IF(ISBLANK(E2683),"",IF(OR(D2683="Butterfly",D2683="Butterfly ",D2683="Iron Fly", D2683="Iron Fly "),LEN(E2683)-LEN(SUBSTITUTE(E2683,"/",""))+2,LEN(E2683)-LEN(SUBSTITUTE(E2683,"/",""))+1))</f>
        <v/>
      </c>
      <c r="I2683" s="78">
        <f>IF(ISBLANK(G2683),"",IF(D2683="Stock","0",Key!$A$3*H2683*G2683))</f>
        <v/>
      </c>
      <c r="J2683" s="78">
        <f>IF(ISBLANK(E2683),"",IF(ISNUMBER(SEARCH("/",E2683)), IF(LEN(E2683)-LEN(SUBSTITUTE(E2683,"/",""))=1,(RIGHT(E2683,LEN(E2683)-FIND("/",E2683)))-(LEFT(E2683,FIND("/",E2683)-1)),(MID(E2683, SEARCH("/",E2683) + 1, SEARCH("/",E2683, SEARCH("/",E2683)+1) - SEARCH("/",E2683) - 1))-(LEFT(E2683,FIND("/",E2683)-1))), "NA"))</f>
        <v/>
      </c>
      <c r="K2683" s="79">
        <f>IF(A2683&lt;&gt;"", IF(ISBLANK(L2683), TODAY(), K2683), "")</f>
        <v/>
      </c>
      <c r="L2683" s="78" t="n"/>
      <c r="M2683" s="78">
        <f>IF(ISBLANK(L2683),"",IF(D2683="Stock",IF(C2683="Buy",L2683*G2683,IF(C2683="Sell",(L2683*G2683)-I2683, X)),IF(C2683="Buy",(L2683*G2683*100)+I2683,IF(C2683="Sell",(L2683*G2683*100)-I2683, X))))</f>
        <v/>
      </c>
      <c r="N2683" s="78">
        <f>IF(ISBLANK(L2683),"",IF(AND(C2683="Sell",D2683="Stock"),M2683,IF(ISBLANK(L2683),"",IF(C2683="Buy",M2683, IF(AND(C2683="Sell",J2683="NA"),(E2683*G2683*100*0.1)+I2683, IF(C2683="Sell",(J2683-L2683)*(100*G2683)+I2683))))))</f>
        <v/>
      </c>
      <c r="O2683" s="75" t="n"/>
      <c r="P2683" s="75" t="n"/>
      <c r="Q2683" s="75">
        <f>IF(ISBLANK(P2683),"",IF(D2683="Stock",P2683*G2683,IF(P2683=0,"0",G2683*P2683*100-(G2683*$AF$14))))</f>
        <v/>
      </c>
      <c r="R2683" s="79">
        <f>IF(P2683&lt;&gt;"", TODAY(), "")</f>
        <v/>
      </c>
      <c r="S2683" s="78">
        <f>IF(AND(K2683&lt;&gt;"", R2683&lt;&gt;""), R2683-K2683, "")</f>
        <v/>
      </c>
      <c r="T2683" s="78" t="n"/>
      <c r="U2683" s="92">
        <f>IF(ISBLANK(P2683),"",IF(C2683="Buy",Q2683-M2683+T2683, IF(C2683="Sell",M2683-Q2683-T2683, X)))</f>
        <v/>
      </c>
      <c r="V2683" s="81">
        <f>IF(ISBLANK(P2683),"",U2683/N2683)</f>
        <v/>
      </c>
      <c r="W2683" s="81">
        <f>IF(ISBLANK(P2683),"",IF(S2683=0,(365/0.5)*V2683,(365/S2683)*V2683))</f>
        <v/>
      </c>
      <c r="X2683" s="75" t="n"/>
      <c r="Y2683" s="77" t="n"/>
      <c r="Z2683" s="77" t="n"/>
      <c r="AA2683" s="75" t="n"/>
      <c r="AB2683" s="75" t="n"/>
      <c r="AC2683" s="6" t="n"/>
      <c r="AD2683" s="75" t="n"/>
      <c r="AE2683" s="75" t="n"/>
      <c r="AF2683" s="75" t="n"/>
    </row>
    <row r="2684" ht="15.75" customHeight="1" s="133">
      <c r="A2684" s="75" t="n"/>
      <c r="B2684" s="75" t="n"/>
      <c r="C2684" s="75" t="n"/>
      <c r="D2684" s="75" t="n"/>
      <c r="E2684" s="76" t="n"/>
      <c r="F2684" s="77" t="n"/>
      <c r="G2684" s="75" t="n"/>
      <c r="H2684" s="75">
        <f>IF(ISBLANK(E2684),"",IF(OR(D2684="Butterfly",D2684="Butterfly ",D2684="Iron Fly", D2684="Iron Fly "),LEN(E2684)-LEN(SUBSTITUTE(E2684,"/",""))+2,LEN(E2684)-LEN(SUBSTITUTE(E2684,"/",""))+1))</f>
        <v/>
      </c>
      <c r="I2684" s="78">
        <f>IF(ISBLANK(G2684),"",IF(D2684="Stock","0",Key!$A$3*H2684*G2684))</f>
        <v/>
      </c>
      <c r="J2684" s="78">
        <f>IF(ISBLANK(E2684),"",IF(ISNUMBER(SEARCH("/",E2684)), IF(LEN(E2684)-LEN(SUBSTITUTE(E2684,"/",""))=1,(RIGHT(E2684,LEN(E2684)-FIND("/",E2684)))-(LEFT(E2684,FIND("/",E2684)-1)),(MID(E2684, SEARCH("/",E2684) + 1, SEARCH("/",E2684, SEARCH("/",E2684)+1) - SEARCH("/",E2684) - 1))-(LEFT(E2684,FIND("/",E2684)-1))), "NA"))</f>
        <v/>
      </c>
      <c r="K2684" s="79">
        <f>IF(A2684&lt;&gt;"", IF(ISBLANK(L2684), TODAY(), K2684), "")</f>
        <v/>
      </c>
      <c r="L2684" s="78" t="n"/>
      <c r="M2684" s="78">
        <f>IF(ISBLANK(L2684),"",IF(D2684="Stock",IF(C2684="Buy",L2684*G2684,IF(C2684="Sell",(L2684*G2684)-I2684, X)),IF(C2684="Buy",(L2684*G2684*100)+I2684,IF(C2684="Sell",(L2684*G2684*100)-I2684, X))))</f>
        <v/>
      </c>
      <c r="N2684" s="78">
        <f>IF(ISBLANK(L2684),"",IF(AND(C2684="Sell",D2684="Stock"),M2684,IF(ISBLANK(L2684),"",IF(C2684="Buy",M2684, IF(AND(C2684="Sell",J2684="NA"),(E2684*G2684*100*0.1)+I2684, IF(C2684="Sell",(J2684-L2684)*(100*G2684)+I2684))))))</f>
        <v/>
      </c>
      <c r="O2684" s="75" t="n"/>
      <c r="P2684" s="75" t="n"/>
      <c r="Q2684" s="75">
        <f>IF(ISBLANK(P2684),"",IF(D2684="Stock",P2684*G2684,IF(P2684=0,"0",G2684*P2684*100-(G2684*$AF$14))))</f>
        <v/>
      </c>
      <c r="R2684" s="79">
        <f>IF(P2684&lt;&gt;"", TODAY(), "")</f>
        <v/>
      </c>
      <c r="S2684" s="78">
        <f>IF(AND(K2684&lt;&gt;"", R2684&lt;&gt;""), R2684-K2684, "")</f>
        <v/>
      </c>
      <c r="T2684" s="78" t="n"/>
      <c r="U2684" s="92">
        <f>IF(ISBLANK(P2684),"",IF(C2684="Buy",Q2684-M2684+T2684, IF(C2684="Sell",M2684-Q2684-T2684, X)))</f>
        <v/>
      </c>
      <c r="V2684" s="81">
        <f>IF(ISBLANK(P2684),"",U2684/N2684)</f>
        <v/>
      </c>
      <c r="W2684" s="81">
        <f>IF(ISBLANK(P2684),"",IF(S2684=0,(365/0.5)*V2684,(365/S2684)*V2684))</f>
        <v/>
      </c>
      <c r="X2684" s="75" t="n"/>
      <c r="Y2684" s="77" t="n"/>
      <c r="Z2684" s="77" t="n"/>
      <c r="AA2684" s="75" t="n"/>
      <c r="AB2684" s="75" t="n"/>
      <c r="AC2684" s="6" t="n"/>
      <c r="AD2684" s="75" t="n"/>
      <c r="AE2684" s="75" t="n"/>
      <c r="AF2684" s="75" t="n"/>
    </row>
    <row r="2685" ht="15.75" customHeight="1" s="133">
      <c r="A2685" s="75" t="n"/>
      <c r="B2685" s="75" t="n"/>
      <c r="C2685" s="75" t="n"/>
      <c r="D2685" s="75" t="n"/>
      <c r="E2685" s="76" t="n"/>
      <c r="F2685" s="77" t="n"/>
      <c r="G2685" s="75" t="n"/>
      <c r="H2685" s="75">
        <f>IF(ISBLANK(E2685),"",IF(OR(D2685="Butterfly",D2685="Butterfly ",D2685="Iron Fly", D2685="Iron Fly "),LEN(E2685)-LEN(SUBSTITUTE(E2685,"/",""))+2,LEN(E2685)-LEN(SUBSTITUTE(E2685,"/",""))+1))</f>
        <v/>
      </c>
      <c r="I2685" s="78">
        <f>IF(ISBLANK(G2685),"",IF(D2685="Stock","0",Key!$A$3*H2685*G2685))</f>
        <v/>
      </c>
      <c r="J2685" s="78">
        <f>IF(ISBLANK(E2685),"",IF(ISNUMBER(SEARCH("/",E2685)), IF(LEN(E2685)-LEN(SUBSTITUTE(E2685,"/",""))=1,(RIGHT(E2685,LEN(E2685)-FIND("/",E2685)))-(LEFT(E2685,FIND("/",E2685)-1)),(MID(E2685, SEARCH("/",E2685) + 1, SEARCH("/",E2685, SEARCH("/",E2685)+1) - SEARCH("/",E2685) - 1))-(LEFT(E2685,FIND("/",E2685)-1))), "NA"))</f>
        <v/>
      </c>
      <c r="K2685" s="79">
        <f>IF(A2685&lt;&gt;"", IF(ISBLANK(L2685), TODAY(), K2685), "")</f>
        <v/>
      </c>
      <c r="L2685" s="78" t="n"/>
      <c r="M2685" s="78">
        <f>IF(ISBLANK(L2685),"",IF(D2685="Stock",IF(C2685="Buy",L2685*G2685,IF(C2685="Sell",(L2685*G2685)-I2685, X)),IF(C2685="Buy",(L2685*G2685*100)+I2685,IF(C2685="Sell",(L2685*G2685*100)-I2685, X))))</f>
        <v/>
      </c>
      <c r="N2685" s="78">
        <f>IF(ISBLANK(L2685),"",IF(AND(C2685="Sell",D2685="Stock"),M2685,IF(ISBLANK(L2685),"",IF(C2685="Buy",M2685, IF(AND(C2685="Sell",J2685="NA"),(E2685*G2685*100*0.1)+I2685, IF(C2685="Sell",(J2685-L2685)*(100*G2685)+I2685))))))</f>
        <v/>
      </c>
      <c r="O2685" s="75" t="n"/>
      <c r="P2685" s="75" t="n"/>
      <c r="Q2685" s="75">
        <f>IF(ISBLANK(P2685),"",IF(D2685="Stock",P2685*G2685,IF(P2685=0,"0",G2685*P2685*100-(G2685*$AF$14))))</f>
        <v/>
      </c>
      <c r="R2685" s="79">
        <f>IF(P2685&lt;&gt;"", TODAY(), "")</f>
        <v/>
      </c>
      <c r="S2685" s="78">
        <f>IF(AND(K2685&lt;&gt;"", R2685&lt;&gt;""), R2685-K2685, "")</f>
        <v/>
      </c>
      <c r="T2685" s="78" t="n"/>
      <c r="U2685" s="92">
        <f>IF(ISBLANK(P2685),"",IF(C2685="Buy",Q2685-M2685+T2685, IF(C2685="Sell",M2685-Q2685-T2685, X)))</f>
        <v/>
      </c>
      <c r="V2685" s="81">
        <f>IF(ISBLANK(P2685),"",U2685/N2685)</f>
        <v/>
      </c>
      <c r="W2685" s="81">
        <f>IF(ISBLANK(P2685),"",IF(S2685=0,(365/0.5)*V2685,(365/S2685)*V2685))</f>
        <v/>
      </c>
      <c r="X2685" s="75" t="n"/>
      <c r="Y2685" s="77" t="n"/>
      <c r="Z2685" s="77" t="n"/>
      <c r="AA2685" s="75" t="n"/>
      <c r="AB2685" s="75" t="n"/>
      <c r="AC2685" s="6" t="n"/>
      <c r="AD2685" s="75" t="n"/>
      <c r="AE2685" s="75" t="n"/>
      <c r="AF2685" s="75" t="n"/>
    </row>
    <row r="2686" ht="15.75" customHeight="1" s="133">
      <c r="A2686" s="75" t="n"/>
      <c r="B2686" s="75" t="n"/>
      <c r="C2686" s="75" t="n"/>
      <c r="D2686" s="75" t="n"/>
      <c r="E2686" s="76" t="n"/>
      <c r="F2686" s="77" t="n"/>
      <c r="G2686" s="75" t="n"/>
      <c r="H2686" s="75">
        <f>IF(ISBLANK(E2686),"",IF(OR(D2686="Butterfly",D2686="Butterfly ",D2686="Iron Fly", D2686="Iron Fly "),LEN(E2686)-LEN(SUBSTITUTE(E2686,"/",""))+2,LEN(E2686)-LEN(SUBSTITUTE(E2686,"/",""))+1))</f>
        <v/>
      </c>
      <c r="I2686" s="78">
        <f>IF(ISBLANK(G2686),"",IF(D2686="Stock","0",Key!$A$3*H2686*G2686))</f>
        <v/>
      </c>
      <c r="J2686" s="78">
        <f>IF(ISBLANK(E2686),"",IF(ISNUMBER(SEARCH("/",E2686)), IF(LEN(E2686)-LEN(SUBSTITUTE(E2686,"/",""))=1,(RIGHT(E2686,LEN(E2686)-FIND("/",E2686)))-(LEFT(E2686,FIND("/",E2686)-1)),(MID(E2686, SEARCH("/",E2686) + 1, SEARCH("/",E2686, SEARCH("/",E2686)+1) - SEARCH("/",E2686) - 1))-(LEFT(E2686,FIND("/",E2686)-1))), "NA"))</f>
        <v/>
      </c>
      <c r="K2686" s="79">
        <f>IF(A2686&lt;&gt;"", IF(ISBLANK(L2686), TODAY(), K2686), "")</f>
        <v/>
      </c>
      <c r="L2686" s="78" t="n"/>
      <c r="M2686" s="78">
        <f>IF(ISBLANK(L2686),"",IF(D2686="Stock",IF(C2686="Buy",L2686*G2686,IF(C2686="Sell",(L2686*G2686)-I2686, X)),IF(C2686="Buy",(L2686*G2686*100)+I2686,IF(C2686="Sell",(L2686*G2686*100)-I2686, X))))</f>
        <v/>
      </c>
      <c r="N2686" s="78">
        <f>IF(ISBLANK(L2686),"",IF(AND(C2686="Sell",D2686="Stock"),M2686,IF(ISBLANK(L2686),"",IF(C2686="Buy",M2686, IF(AND(C2686="Sell",J2686="NA"),(E2686*G2686*100*0.1)+I2686, IF(C2686="Sell",(J2686-L2686)*(100*G2686)+I2686))))))</f>
        <v/>
      </c>
      <c r="O2686" s="75" t="n"/>
      <c r="P2686" s="75" t="n"/>
      <c r="Q2686" s="75">
        <f>IF(ISBLANK(P2686),"",IF(D2686="Stock",P2686*G2686,IF(P2686=0,"0",G2686*P2686*100-(G2686*$AF$14))))</f>
        <v/>
      </c>
      <c r="R2686" s="79">
        <f>IF(P2686&lt;&gt;"", TODAY(), "")</f>
        <v/>
      </c>
      <c r="S2686" s="78">
        <f>IF(AND(K2686&lt;&gt;"", R2686&lt;&gt;""), R2686-K2686, "")</f>
        <v/>
      </c>
      <c r="T2686" s="78" t="n"/>
      <c r="U2686" s="92">
        <f>IF(ISBLANK(P2686),"",IF(C2686="Buy",Q2686-M2686+T2686, IF(C2686="Sell",M2686-Q2686-T2686, X)))</f>
        <v/>
      </c>
      <c r="V2686" s="81">
        <f>IF(ISBLANK(P2686),"",U2686/N2686)</f>
        <v/>
      </c>
      <c r="W2686" s="81">
        <f>IF(ISBLANK(P2686),"",IF(S2686=0,(365/0.5)*V2686,(365/S2686)*V2686))</f>
        <v/>
      </c>
      <c r="X2686" s="75" t="n"/>
      <c r="Y2686" s="77" t="n"/>
      <c r="Z2686" s="77" t="n"/>
      <c r="AA2686" s="75" t="n"/>
      <c r="AB2686" s="75" t="n"/>
      <c r="AC2686" s="6" t="n"/>
      <c r="AD2686" s="75" t="n"/>
      <c r="AE2686" s="75" t="n"/>
      <c r="AF2686" s="75" t="n"/>
    </row>
    <row r="2687" ht="15.75" customHeight="1" s="133">
      <c r="A2687" s="75" t="n"/>
      <c r="B2687" s="75" t="n"/>
      <c r="C2687" s="75" t="n"/>
      <c r="D2687" s="75" t="n"/>
      <c r="E2687" s="76" t="n"/>
      <c r="F2687" s="77" t="n"/>
      <c r="G2687" s="75" t="n"/>
      <c r="H2687" s="75">
        <f>IF(ISBLANK(E2687),"",IF(OR(D2687="Butterfly",D2687="Butterfly ",D2687="Iron Fly", D2687="Iron Fly "),LEN(E2687)-LEN(SUBSTITUTE(E2687,"/",""))+2,LEN(E2687)-LEN(SUBSTITUTE(E2687,"/",""))+1))</f>
        <v/>
      </c>
      <c r="I2687" s="78">
        <f>IF(ISBLANK(G2687),"",IF(D2687="Stock","0",Key!$A$3*H2687*G2687))</f>
        <v/>
      </c>
      <c r="J2687" s="78">
        <f>IF(ISBLANK(E2687),"",IF(ISNUMBER(SEARCH("/",E2687)), IF(LEN(E2687)-LEN(SUBSTITUTE(E2687,"/",""))=1,(RIGHT(E2687,LEN(E2687)-FIND("/",E2687)))-(LEFT(E2687,FIND("/",E2687)-1)),(MID(E2687, SEARCH("/",E2687) + 1, SEARCH("/",E2687, SEARCH("/",E2687)+1) - SEARCH("/",E2687) - 1))-(LEFT(E2687,FIND("/",E2687)-1))), "NA"))</f>
        <v/>
      </c>
      <c r="K2687" s="79">
        <f>IF(A2687&lt;&gt;"", IF(ISBLANK(L2687), TODAY(), K2687), "")</f>
        <v/>
      </c>
      <c r="L2687" s="78" t="n"/>
      <c r="M2687" s="78">
        <f>IF(ISBLANK(L2687),"",IF(D2687="Stock",IF(C2687="Buy",L2687*G2687,IF(C2687="Sell",(L2687*G2687)-I2687, X)),IF(C2687="Buy",(L2687*G2687*100)+I2687,IF(C2687="Sell",(L2687*G2687*100)-I2687, X))))</f>
        <v/>
      </c>
      <c r="N2687" s="78">
        <f>IF(ISBLANK(L2687),"",IF(AND(C2687="Sell",D2687="Stock"),M2687,IF(ISBLANK(L2687),"",IF(C2687="Buy",M2687, IF(AND(C2687="Sell",J2687="NA"),(E2687*G2687*100*0.1)+I2687, IF(C2687="Sell",(J2687-L2687)*(100*G2687)+I2687))))))</f>
        <v/>
      </c>
      <c r="O2687" s="75" t="n"/>
      <c r="P2687" s="75" t="n"/>
      <c r="Q2687" s="75">
        <f>IF(ISBLANK(P2687),"",IF(D2687="Stock",P2687*G2687,IF(P2687=0,"0",G2687*P2687*100-(G2687*$AF$14))))</f>
        <v/>
      </c>
      <c r="R2687" s="79">
        <f>IF(P2687&lt;&gt;"", TODAY(), "")</f>
        <v/>
      </c>
      <c r="S2687" s="78">
        <f>IF(AND(K2687&lt;&gt;"", R2687&lt;&gt;""), R2687-K2687, "")</f>
        <v/>
      </c>
      <c r="T2687" s="78" t="n"/>
      <c r="U2687" s="92">
        <f>IF(ISBLANK(P2687),"",IF(C2687="Buy",Q2687-M2687+T2687, IF(C2687="Sell",M2687-Q2687-T2687, X)))</f>
        <v/>
      </c>
      <c r="V2687" s="81">
        <f>IF(ISBLANK(P2687),"",U2687/N2687)</f>
        <v/>
      </c>
      <c r="W2687" s="81">
        <f>IF(ISBLANK(P2687),"",IF(S2687=0,(365/0.5)*V2687,(365/S2687)*V2687))</f>
        <v/>
      </c>
      <c r="X2687" s="75" t="n"/>
      <c r="Y2687" s="77" t="n"/>
      <c r="Z2687" s="77" t="n"/>
      <c r="AA2687" s="75" t="n"/>
      <c r="AB2687" s="75" t="n"/>
      <c r="AC2687" s="6" t="n"/>
      <c r="AD2687" s="75" t="n"/>
      <c r="AE2687" s="75" t="n"/>
      <c r="AF2687" s="75" t="n"/>
    </row>
    <row r="2688" ht="15.75" customHeight="1" s="133">
      <c r="A2688" s="75" t="n"/>
      <c r="B2688" s="75" t="n"/>
      <c r="C2688" s="75" t="n"/>
      <c r="D2688" s="75" t="n"/>
      <c r="E2688" s="76" t="n"/>
      <c r="F2688" s="77" t="n"/>
      <c r="G2688" s="75" t="n"/>
      <c r="H2688" s="75">
        <f>IF(ISBLANK(E2688),"",IF(OR(D2688="Butterfly",D2688="Butterfly ",D2688="Iron Fly", D2688="Iron Fly "),LEN(E2688)-LEN(SUBSTITUTE(E2688,"/",""))+2,LEN(E2688)-LEN(SUBSTITUTE(E2688,"/",""))+1))</f>
        <v/>
      </c>
      <c r="I2688" s="78">
        <f>IF(ISBLANK(G2688),"",IF(D2688="Stock","0",Key!$A$3*H2688*G2688))</f>
        <v/>
      </c>
      <c r="J2688" s="78">
        <f>IF(ISBLANK(E2688),"",IF(ISNUMBER(SEARCH("/",E2688)), IF(LEN(E2688)-LEN(SUBSTITUTE(E2688,"/",""))=1,(RIGHT(E2688,LEN(E2688)-FIND("/",E2688)))-(LEFT(E2688,FIND("/",E2688)-1)),(MID(E2688, SEARCH("/",E2688) + 1, SEARCH("/",E2688, SEARCH("/",E2688)+1) - SEARCH("/",E2688) - 1))-(LEFT(E2688,FIND("/",E2688)-1))), "NA"))</f>
        <v/>
      </c>
      <c r="K2688" s="79">
        <f>IF(A2688&lt;&gt;"", IF(ISBLANK(L2688), TODAY(), K2688), "")</f>
        <v/>
      </c>
      <c r="L2688" s="78" t="n"/>
      <c r="M2688" s="78">
        <f>IF(ISBLANK(L2688),"",IF(D2688="Stock",IF(C2688="Buy",L2688*G2688,IF(C2688="Sell",(L2688*G2688)-I2688, X)),IF(C2688="Buy",(L2688*G2688*100)+I2688,IF(C2688="Sell",(L2688*G2688*100)-I2688, X))))</f>
        <v/>
      </c>
      <c r="N2688" s="78">
        <f>IF(ISBLANK(L2688),"",IF(AND(C2688="Sell",D2688="Stock"),M2688,IF(ISBLANK(L2688),"",IF(C2688="Buy",M2688, IF(AND(C2688="Sell",J2688="NA"),(E2688*G2688*100*0.1)+I2688, IF(C2688="Sell",(J2688-L2688)*(100*G2688)+I2688))))))</f>
        <v/>
      </c>
      <c r="O2688" s="75" t="n"/>
      <c r="P2688" s="75" t="n"/>
      <c r="Q2688" s="75">
        <f>IF(ISBLANK(P2688),"",IF(D2688="Stock",P2688*G2688,IF(P2688=0,"0",G2688*P2688*100-(G2688*$AF$14))))</f>
        <v/>
      </c>
      <c r="R2688" s="79">
        <f>IF(P2688&lt;&gt;"", TODAY(), "")</f>
        <v/>
      </c>
      <c r="S2688" s="78">
        <f>IF(AND(K2688&lt;&gt;"", R2688&lt;&gt;""), R2688-K2688, "")</f>
        <v/>
      </c>
      <c r="T2688" s="78" t="n"/>
      <c r="U2688" s="92">
        <f>IF(ISBLANK(P2688),"",IF(C2688="Buy",Q2688-M2688+T2688, IF(C2688="Sell",M2688-Q2688-T2688, X)))</f>
        <v/>
      </c>
      <c r="V2688" s="81">
        <f>IF(ISBLANK(P2688),"",U2688/N2688)</f>
        <v/>
      </c>
      <c r="W2688" s="81">
        <f>IF(ISBLANK(P2688),"",IF(S2688=0,(365/0.5)*V2688,(365/S2688)*V2688))</f>
        <v/>
      </c>
      <c r="X2688" s="75" t="n"/>
      <c r="Y2688" s="77" t="n"/>
      <c r="Z2688" s="77" t="n"/>
      <c r="AA2688" s="75" t="n"/>
      <c r="AB2688" s="75" t="n"/>
      <c r="AC2688" s="6" t="n"/>
      <c r="AD2688" s="75" t="n"/>
      <c r="AE2688" s="75" t="n"/>
      <c r="AF2688" s="75" t="n"/>
    </row>
    <row r="2689" ht="15.75" customHeight="1" s="133">
      <c r="A2689" s="75" t="n"/>
      <c r="B2689" s="75" t="n"/>
      <c r="C2689" s="75" t="n"/>
      <c r="D2689" s="75" t="n"/>
      <c r="E2689" s="76" t="n"/>
      <c r="F2689" s="77" t="n"/>
      <c r="G2689" s="75" t="n"/>
      <c r="H2689" s="75">
        <f>IF(ISBLANK(E2689),"",IF(OR(D2689="Butterfly",D2689="Butterfly ",D2689="Iron Fly", D2689="Iron Fly "),LEN(E2689)-LEN(SUBSTITUTE(E2689,"/",""))+2,LEN(E2689)-LEN(SUBSTITUTE(E2689,"/",""))+1))</f>
        <v/>
      </c>
      <c r="I2689" s="78">
        <f>IF(ISBLANK(G2689),"",IF(D2689="Stock","0",Key!$A$3*H2689*G2689))</f>
        <v/>
      </c>
      <c r="J2689" s="78">
        <f>IF(ISBLANK(E2689),"",IF(ISNUMBER(SEARCH("/",E2689)), IF(LEN(E2689)-LEN(SUBSTITUTE(E2689,"/",""))=1,(RIGHT(E2689,LEN(E2689)-FIND("/",E2689)))-(LEFT(E2689,FIND("/",E2689)-1)),(MID(E2689, SEARCH("/",E2689) + 1, SEARCH("/",E2689, SEARCH("/",E2689)+1) - SEARCH("/",E2689) - 1))-(LEFT(E2689,FIND("/",E2689)-1))), "NA"))</f>
        <v/>
      </c>
      <c r="K2689" s="79">
        <f>IF(A2689&lt;&gt;"", IF(ISBLANK(L2689), TODAY(), K2689), "")</f>
        <v/>
      </c>
      <c r="L2689" s="78" t="n"/>
      <c r="M2689" s="78">
        <f>IF(ISBLANK(L2689),"",IF(D2689="Stock",IF(C2689="Buy",L2689*G2689,IF(C2689="Sell",(L2689*G2689)-I2689, X)),IF(C2689="Buy",(L2689*G2689*100)+I2689,IF(C2689="Sell",(L2689*G2689*100)-I2689, X))))</f>
        <v/>
      </c>
      <c r="N2689" s="78">
        <f>IF(ISBLANK(L2689),"",IF(AND(C2689="Sell",D2689="Stock"),M2689,IF(ISBLANK(L2689),"",IF(C2689="Buy",M2689, IF(AND(C2689="Sell",J2689="NA"),(E2689*G2689*100*0.1)+I2689, IF(C2689="Sell",(J2689-L2689)*(100*G2689)+I2689))))))</f>
        <v/>
      </c>
      <c r="O2689" s="75" t="n"/>
      <c r="P2689" s="75" t="n"/>
      <c r="Q2689" s="75">
        <f>IF(ISBLANK(P2689),"",IF(D2689="Stock",P2689*G2689,IF(P2689=0,"0",G2689*P2689*100-(G2689*$AF$14))))</f>
        <v/>
      </c>
      <c r="R2689" s="79">
        <f>IF(P2689&lt;&gt;"", TODAY(), "")</f>
        <v/>
      </c>
      <c r="S2689" s="78">
        <f>IF(AND(K2689&lt;&gt;"", R2689&lt;&gt;""), R2689-K2689, "")</f>
        <v/>
      </c>
      <c r="T2689" s="78" t="n"/>
      <c r="U2689" s="92">
        <f>IF(ISBLANK(P2689),"",IF(C2689="Buy",Q2689-M2689+T2689, IF(C2689="Sell",M2689-Q2689-T2689, X)))</f>
        <v/>
      </c>
      <c r="V2689" s="81">
        <f>IF(ISBLANK(P2689),"",U2689/N2689)</f>
        <v/>
      </c>
      <c r="W2689" s="81">
        <f>IF(ISBLANK(P2689),"",IF(S2689=0,(365/0.5)*V2689,(365/S2689)*V2689))</f>
        <v/>
      </c>
      <c r="X2689" s="75" t="n"/>
      <c r="Y2689" s="77" t="n"/>
      <c r="Z2689" s="77" t="n"/>
      <c r="AA2689" s="75" t="n"/>
      <c r="AB2689" s="75" t="n"/>
      <c r="AC2689" s="6" t="n"/>
      <c r="AD2689" s="75" t="n"/>
      <c r="AE2689" s="75" t="n"/>
      <c r="AF2689" s="75" t="n"/>
    </row>
    <row r="2690" ht="15.75" customHeight="1" s="133">
      <c r="A2690" s="75" t="n"/>
      <c r="B2690" s="75" t="n"/>
      <c r="C2690" s="75" t="n"/>
      <c r="D2690" s="75" t="n"/>
      <c r="E2690" s="76" t="n"/>
      <c r="F2690" s="77" t="n"/>
      <c r="G2690" s="75" t="n"/>
      <c r="H2690" s="75">
        <f>IF(ISBLANK(E2690),"",IF(OR(D2690="Butterfly",D2690="Butterfly ",D2690="Iron Fly", D2690="Iron Fly "),LEN(E2690)-LEN(SUBSTITUTE(E2690,"/",""))+2,LEN(E2690)-LEN(SUBSTITUTE(E2690,"/",""))+1))</f>
        <v/>
      </c>
      <c r="I2690" s="78">
        <f>IF(ISBLANK(G2690),"",IF(D2690="Stock","0",Key!$A$3*H2690*G2690))</f>
        <v/>
      </c>
      <c r="J2690" s="78">
        <f>IF(ISBLANK(E2690),"",IF(ISNUMBER(SEARCH("/",E2690)), IF(LEN(E2690)-LEN(SUBSTITUTE(E2690,"/",""))=1,(RIGHT(E2690,LEN(E2690)-FIND("/",E2690)))-(LEFT(E2690,FIND("/",E2690)-1)),(MID(E2690, SEARCH("/",E2690) + 1, SEARCH("/",E2690, SEARCH("/",E2690)+1) - SEARCH("/",E2690) - 1))-(LEFT(E2690,FIND("/",E2690)-1))), "NA"))</f>
        <v/>
      </c>
      <c r="K2690" s="79">
        <f>IF(A2690&lt;&gt;"", IF(ISBLANK(L2690), TODAY(), K2690), "")</f>
        <v/>
      </c>
      <c r="L2690" s="78" t="n"/>
      <c r="M2690" s="78">
        <f>IF(ISBLANK(L2690),"",IF(D2690="Stock",IF(C2690="Buy",L2690*G2690,IF(C2690="Sell",(L2690*G2690)-I2690, X)),IF(C2690="Buy",(L2690*G2690*100)+I2690,IF(C2690="Sell",(L2690*G2690*100)-I2690, X))))</f>
        <v/>
      </c>
      <c r="N2690" s="78">
        <f>IF(ISBLANK(L2690),"",IF(AND(C2690="Sell",D2690="Stock"),M2690,IF(ISBLANK(L2690),"",IF(C2690="Buy",M2690, IF(AND(C2690="Sell",J2690="NA"),(E2690*G2690*100*0.1)+I2690, IF(C2690="Sell",(J2690-L2690)*(100*G2690)+I2690))))))</f>
        <v/>
      </c>
      <c r="O2690" s="75" t="n"/>
      <c r="P2690" s="75" t="n"/>
      <c r="Q2690" s="75">
        <f>IF(ISBLANK(P2690),"",IF(D2690="Stock",P2690*G2690,IF(P2690=0,"0",G2690*P2690*100-(G2690*$AF$14))))</f>
        <v/>
      </c>
      <c r="R2690" s="79">
        <f>IF(P2690&lt;&gt;"", TODAY(), "")</f>
        <v/>
      </c>
      <c r="S2690" s="78">
        <f>IF(AND(K2690&lt;&gt;"", R2690&lt;&gt;""), R2690-K2690, "")</f>
        <v/>
      </c>
      <c r="T2690" s="78" t="n"/>
      <c r="U2690" s="92">
        <f>IF(ISBLANK(P2690),"",IF(C2690="Buy",Q2690-M2690+T2690, IF(C2690="Sell",M2690-Q2690-T2690, X)))</f>
        <v/>
      </c>
      <c r="V2690" s="81">
        <f>IF(ISBLANK(P2690),"",U2690/N2690)</f>
        <v/>
      </c>
      <c r="W2690" s="81">
        <f>IF(ISBLANK(P2690),"",IF(S2690=0,(365/0.5)*V2690,(365/S2690)*V2690))</f>
        <v/>
      </c>
      <c r="X2690" s="75" t="n"/>
      <c r="Y2690" s="77" t="n"/>
      <c r="Z2690" s="77" t="n"/>
      <c r="AA2690" s="75" t="n"/>
      <c r="AB2690" s="75" t="n"/>
      <c r="AC2690" s="6" t="n"/>
      <c r="AD2690" s="75" t="n"/>
      <c r="AE2690" s="75" t="n"/>
      <c r="AF2690" s="75" t="n"/>
    </row>
    <row r="2691" ht="15.75" customHeight="1" s="133">
      <c r="A2691" s="75" t="n"/>
      <c r="B2691" s="75" t="n"/>
      <c r="C2691" s="75" t="n"/>
      <c r="D2691" s="75" t="n"/>
      <c r="E2691" s="76" t="n"/>
      <c r="F2691" s="77" t="n"/>
      <c r="G2691" s="75" t="n"/>
      <c r="H2691" s="75">
        <f>IF(ISBLANK(E2691),"",IF(OR(D2691="Butterfly",D2691="Butterfly ",D2691="Iron Fly", D2691="Iron Fly "),LEN(E2691)-LEN(SUBSTITUTE(E2691,"/",""))+2,LEN(E2691)-LEN(SUBSTITUTE(E2691,"/",""))+1))</f>
        <v/>
      </c>
      <c r="I2691" s="78">
        <f>IF(ISBLANK(G2691),"",IF(D2691="Stock","0",Key!$A$3*H2691*G2691))</f>
        <v/>
      </c>
      <c r="J2691" s="78">
        <f>IF(ISBLANK(E2691),"",IF(ISNUMBER(SEARCH("/",E2691)), IF(LEN(E2691)-LEN(SUBSTITUTE(E2691,"/",""))=1,(RIGHT(E2691,LEN(E2691)-FIND("/",E2691)))-(LEFT(E2691,FIND("/",E2691)-1)),(MID(E2691, SEARCH("/",E2691) + 1, SEARCH("/",E2691, SEARCH("/",E2691)+1) - SEARCH("/",E2691) - 1))-(LEFT(E2691,FIND("/",E2691)-1))), "NA"))</f>
        <v/>
      </c>
      <c r="K2691" s="79">
        <f>IF(A2691&lt;&gt;"", IF(ISBLANK(L2691), TODAY(), K2691), "")</f>
        <v/>
      </c>
      <c r="L2691" s="78" t="n"/>
      <c r="M2691" s="78">
        <f>IF(ISBLANK(L2691),"",IF(D2691="Stock",IF(C2691="Buy",L2691*G2691,IF(C2691="Sell",(L2691*G2691)-I2691, X)),IF(C2691="Buy",(L2691*G2691*100)+I2691,IF(C2691="Sell",(L2691*G2691*100)-I2691, X))))</f>
        <v/>
      </c>
      <c r="N2691" s="78">
        <f>IF(ISBLANK(L2691),"",IF(AND(C2691="Sell",D2691="Stock"),M2691,IF(ISBLANK(L2691),"",IF(C2691="Buy",M2691, IF(AND(C2691="Sell",J2691="NA"),(E2691*G2691*100*0.1)+I2691, IF(C2691="Sell",(J2691-L2691)*(100*G2691)+I2691))))))</f>
        <v/>
      </c>
      <c r="O2691" s="75" t="n"/>
      <c r="P2691" s="75" t="n"/>
      <c r="Q2691" s="75">
        <f>IF(ISBLANK(P2691),"",IF(D2691="Stock",P2691*G2691,IF(P2691=0,"0",G2691*P2691*100-(G2691*$AF$14))))</f>
        <v/>
      </c>
      <c r="R2691" s="79">
        <f>IF(P2691&lt;&gt;"", TODAY(), "")</f>
        <v/>
      </c>
      <c r="S2691" s="78">
        <f>IF(AND(K2691&lt;&gt;"", R2691&lt;&gt;""), R2691-K2691, "")</f>
        <v/>
      </c>
      <c r="T2691" s="78" t="n"/>
      <c r="U2691" s="92">
        <f>IF(ISBLANK(P2691),"",IF(C2691="Buy",Q2691-M2691+T2691, IF(C2691="Sell",M2691-Q2691-T2691, X)))</f>
        <v/>
      </c>
      <c r="V2691" s="81">
        <f>IF(ISBLANK(P2691),"",U2691/N2691)</f>
        <v/>
      </c>
      <c r="W2691" s="81">
        <f>IF(ISBLANK(P2691),"",IF(S2691=0,(365/0.5)*V2691,(365/S2691)*V2691))</f>
        <v/>
      </c>
      <c r="X2691" s="75" t="n"/>
      <c r="Y2691" s="77" t="n"/>
      <c r="Z2691" s="77" t="n"/>
      <c r="AA2691" s="75" t="n"/>
      <c r="AB2691" s="75" t="n"/>
      <c r="AC2691" s="6" t="n"/>
      <c r="AD2691" s="75" t="n"/>
      <c r="AE2691" s="75" t="n"/>
      <c r="AF2691" s="75" t="n"/>
    </row>
    <row r="2692" ht="15.75" customHeight="1" s="133">
      <c r="A2692" s="75" t="n"/>
      <c r="B2692" s="75" t="n"/>
      <c r="C2692" s="75" t="n"/>
      <c r="D2692" s="75" t="n"/>
      <c r="E2692" s="76" t="n"/>
      <c r="F2692" s="77" t="n"/>
      <c r="G2692" s="75" t="n"/>
      <c r="H2692" s="75">
        <f>IF(ISBLANK(E2692),"",IF(OR(D2692="Butterfly",D2692="Butterfly ",D2692="Iron Fly", D2692="Iron Fly "),LEN(E2692)-LEN(SUBSTITUTE(E2692,"/",""))+2,LEN(E2692)-LEN(SUBSTITUTE(E2692,"/",""))+1))</f>
        <v/>
      </c>
      <c r="I2692" s="78">
        <f>IF(ISBLANK(G2692),"",IF(D2692="Stock","0",Key!$A$3*H2692*G2692))</f>
        <v/>
      </c>
      <c r="J2692" s="78">
        <f>IF(ISBLANK(E2692),"",IF(ISNUMBER(SEARCH("/",E2692)), IF(LEN(E2692)-LEN(SUBSTITUTE(E2692,"/",""))=1,(RIGHT(E2692,LEN(E2692)-FIND("/",E2692)))-(LEFT(E2692,FIND("/",E2692)-1)),(MID(E2692, SEARCH("/",E2692) + 1, SEARCH("/",E2692, SEARCH("/",E2692)+1) - SEARCH("/",E2692) - 1))-(LEFT(E2692,FIND("/",E2692)-1))), "NA"))</f>
        <v/>
      </c>
      <c r="K2692" s="79">
        <f>IF(A2692&lt;&gt;"", IF(ISBLANK(L2692), TODAY(), K2692), "")</f>
        <v/>
      </c>
      <c r="L2692" s="78" t="n"/>
      <c r="M2692" s="78">
        <f>IF(ISBLANK(L2692),"",IF(D2692="Stock",IF(C2692="Buy",L2692*G2692,IF(C2692="Sell",(L2692*G2692)-I2692, X)),IF(C2692="Buy",(L2692*G2692*100)+I2692,IF(C2692="Sell",(L2692*G2692*100)-I2692, X))))</f>
        <v/>
      </c>
      <c r="N2692" s="78">
        <f>IF(ISBLANK(L2692),"",IF(AND(C2692="Sell",D2692="Stock"),M2692,IF(ISBLANK(L2692),"",IF(C2692="Buy",M2692, IF(AND(C2692="Sell",J2692="NA"),(E2692*G2692*100*0.1)+I2692, IF(C2692="Sell",(J2692-L2692)*(100*G2692)+I2692))))))</f>
        <v/>
      </c>
      <c r="O2692" s="75" t="n"/>
      <c r="P2692" s="75" t="n"/>
      <c r="Q2692" s="75">
        <f>IF(ISBLANK(P2692),"",IF(D2692="Stock",P2692*G2692,IF(P2692=0,"0",G2692*P2692*100-(G2692*$AF$14))))</f>
        <v/>
      </c>
      <c r="R2692" s="79">
        <f>IF(P2692&lt;&gt;"", TODAY(), "")</f>
        <v/>
      </c>
      <c r="S2692" s="78">
        <f>IF(AND(K2692&lt;&gt;"", R2692&lt;&gt;""), R2692-K2692, "")</f>
        <v/>
      </c>
      <c r="T2692" s="78" t="n"/>
      <c r="U2692" s="92">
        <f>IF(ISBLANK(P2692),"",IF(C2692="Buy",Q2692-M2692+T2692, IF(C2692="Sell",M2692-Q2692-T2692, X)))</f>
        <v/>
      </c>
      <c r="V2692" s="81">
        <f>IF(ISBLANK(P2692),"",U2692/N2692)</f>
        <v/>
      </c>
      <c r="W2692" s="81">
        <f>IF(ISBLANK(P2692),"",IF(S2692=0,(365/0.5)*V2692,(365/S2692)*V2692))</f>
        <v/>
      </c>
      <c r="X2692" s="75" t="n"/>
      <c r="Y2692" s="77" t="n"/>
      <c r="Z2692" s="77" t="n"/>
      <c r="AA2692" s="75" t="n"/>
      <c r="AB2692" s="75" t="n"/>
      <c r="AC2692" s="6" t="n"/>
      <c r="AD2692" s="75" t="n"/>
      <c r="AE2692" s="75" t="n"/>
      <c r="AF2692" s="75" t="n"/>
    </row>
    <row r="2693" ht="15.75" customHeight="1" s="133">
      <c r="A2693" s="75" t="n"/>
      <c r="B2693" s="75" t="n"/>
      <c r="C2693" s="75" t="n"/>
      <c r="D2693" s="75" t="n"/>
      <c r="E2693" s="76" t="n"/>
      <c r="F2693" s="77" t="n"/>
      <c r="G2693" s="75" t="n"/>
      <c r="H2693" s="75">
        <f>IF(ISBLANK(E2693),"",IF(OR(D2693="Butterfly",D2693="Butterfly ",D2693="Iron Fly", D2693="Iron Fly "),LEN(E2693)-LEN(SUBSTITUTE(E2693,"/",""))+2,LEN(E2693)-LEN(SUBSTITUTE(E2693,"/",""))+1))</f>
        <v/>
      </c>
      <c r="I2693" s="78">
        <f>IF(ISBLANK(G2693),"",IF(D2693="Stock","0",Key!$A$3*H2693*G2693))</f>
        <v/>
      </c>
      <c r="J2693" s="78">
        <f>IF(ISBLANK(E2693),"",IF(ISNUMBER(SEARCH("/",E2693)), IF(LEN(E2693)-LEN(SUBSTITUTE(E2693,"/",""))=1,(RIGHT(E2693,LEN(E2693)-FIND("/",E2693)))-(LEFT(E2693,FIND("/",E2693)-1)),(MID(E2693, SEARCH("/",E2693) + 1, SEARCH("/",E2693, SEARCH("/",E2693)+1) - SEARCH("/",E2693) - 1))-(LEFT(E2693,FIND("/",E2693)-1))), "NA"))</f>
        <v/>
      </c>
      <c r="K2693" s="79">
        <f>IF(A2693&lt;&gt;"", IF(ISBLANK(L2693), TODAY(), K2693), "")</f>
        <v/>
      </c>
      <c r="L2693" s="78" t="n"/>
      <c r="M2693" s="78">
        <f>IF(ISBLANK(L2693),"",IF(D2693="Stock",IF(C2693="Buy",L2693*G2693,IF(C2693="Sell",(L2693*G2693)-I2693, X)),IF(C2693="Buy",(L2693*G2693*100)+I2693,IF(C2693="Sell",(L2693*G2693*100)-I2693, X))))</f>
        <v/>
      </c>
      <c r="N2693" s="78">
        <f>IF(ISBLANK(L2693),"",IF(AND(C2693="Sell",D2693="Stock"),M2693,IF(ISBLANK(L2693),"",IF(C2693="Buy",M2693, IF(AND(C2693="Sell",J2693="NA"),(E2693*G2693*100*0.1)+I2693, IF(C2693="Sell",(J2693-L2693)*(100*G2693)+I2693))))))</f>
        <v/>
      </c>
      <c r="O2693" s="75" t="n"/>
      <c r="P2693" s="75" t="n"/>
      <c r="Q2693" s="75">
        <f>IF(ISBLANK(P2693),"",IF(D2693="Stock",P2693*G2693,IF(P2693=0,"0",G2693*P2693*100-(G2693*$AF$14))))</f>
        <v/>
      </c>
      <c r="R2693" s="79">
        <f>IF(P2693&lt;&gt;"", TODAY(), "")</f>
        <v/>
      </c>
      <c r="S2693" s="78">
        <f>IF(AND(K2693&lt;&gt;"", R2693&lt;&gt;""), R2693-K2693, "")</f>
        <v/>
      </c>
      <c r="T2693" s="78" t="n"/>
      <c r="U2693" s="92">
        <f>IF(ISBLANK(P2693),"",IF(C2693="Buy",Q2693-M2693+T2693, IF(C2693="Sell",M2693-Q2693-T2693, X)))</f>
        <v/>
      </c>
      <c r="V2693" s="81">
        <f>IF(ISBLANK(P2693),"",U2693/N2693)</f>
        <v/>
      </c>
      <c r="W2693" s="81">
        <f>IF(ISBLANK(P2693),"",IF(S2693=0,(365/0.5)*V2693,(365/S2693)*V2693))</f>
        <v/>
      </c>
      <c r="X2693" s="75" t="n"/>
      <c r="Y2693" s="77" t="n"/>
      <c r="Z2693" s="77" t="n"/>
      <c r="AA2693" s="75" t="n"/>
      <c r="AB2693" s="75" t="n"/>
      <c r="AC2693" s="6" t="n"/>
      <c r="AD2693" s="75" t="n"/>
      <c r="AE2693" s="75" t="n"/>
      <c r="AF2693" s="75" t="n"/>
    </row>
    <row r="2694" ht="15.75" customHeight="1" s="133">
      <c r="A2694" s="75" t="n"/>
      <c r="B2694" s="75" t="n"/>
      <c r="C2694" s="75" t="n"/>
      <c r="D2694" s="75" t="n"/>
      <c r="E2694" s="76" t="n"/>
      <c r="F2694" s="77" t="n"/>
      <c r="G2694" s="75" t="n"/>
      <c r="H2694" s="75">
        <f>IF(ISBLANK(E2694),"",IF(OR(D2694="Butterfly",D2694="Butterfly ",D2694="Iron Fly", D2694="Iron Fly "),LEN(E2694)-LEN(SUBSTITUTE(E2694,"/",""))+2,LEN(E2694)-LEN(SUBSTITUTE(E2694,"/",""))+1))</f>
        <v/>
      </c>
      <c r="I2694" s="78">
        <f>IF(ISBLANK(G2694),"",IF(D2694="Stock","0",Key!$A$3*H2694*G2694))</f>
        <v/>
      </c>
      <c r="J2694" s="78">
        <f>IF(ISBLANK(E2694),"",IF(ISNUMBER(SEARCH("/",E2694)), IF(LEN(E2694)-LEN(SUBSTITUTE(E2694,"/",""))=1,(RIGHT(E2694,LEN(E2694)-FIND("/",E2694)))-(LEFT(E2694,FIND("/",E2694)-1)),(MID(E2694, SEARCH("/",E2694) + 1, SEARCH("/",E2694, SEARCH("/",E2694)+1) - SEARCH("/",E2694) - 1))-(LEFT(E2694,FIND("/",E2694)-1))), "NA"))</f>
        <v/>
      </c>
      <c r="K2694" s="79">
        <f>IF(A2694&lt;&gt;"", IF(ISBLANK(L2694), TODAY(), K2694), "")</f>
        <v/>
      </c>
      <c r="L2694" s="78" t="n"/>
      <c r="M2694" s="78">
        <f>IF(ISBLANK(L2694),"",IF(D2694="Stock",IF(C2694="Buy",L2694*G2694,IF(C2694="Sell",(L2694*G2694)-I2694, X)),IF(C2694="Buy",(L2694*G2694*100)+I2694,IF(C2694="Sell",(L2694*G2694*100)-I2694, X))))</f>
        <v/>
      </c>
      <c r="N2694" s="78">
        <f>IF(ISBLANK(L2694),"",IF(AND(C2694="Sell",D2694="Stock"),M2694,IF(ISBLANK(L2694),"",IF(C2694="Buy",M2694, IF(AND(C2694="Sell",J2694="NA"),(E2694*G2694*100*0.1)+I2694, IF(C2694="Sell",(J2694-L2694)*(100*G2694)+I2694))))))</f>
        <v/>
      </c>
      <c r="O2694" s="75" t="n"/>
      <c r="P2694" s="75" t="n"/>
      <c r="Q2694" s="75">
        <f>IF(ISBLANK(P2694),"",IF(D2694="Stock",P2694*G2694,IF(P2694=0,"0",G2694*P2694*100-(G2694*$AF$14))))</f>
        <v/>
      </c>
      <c r="R2694" s="79">
        <f>IF(P2694&lt;&gt;"", TODAY(), "")</f>
        <v/>
      </c>
      <c r="S2694" s="78">
        <f>IF(AND(K2694&lt;&gt;"", R2694&lt;&gt;""), R2694-K2694, "")</f>
        <v/>
      </c>
      <c r="T2694" s="78" t="n"/>
      <c r="U2694" s="92">
        <f>IF(ISBLANK(P2694),"",IF(C2694="Buy",Q2694-M2694+T2694, IF(C2694="Sell",M2694-Q2694-T2694, X)))</f>
        <v/>
      </c>
      <c r="V2694" s="81">
        <f>IF(ISBLANK(P2694),"",U2694/N2694)</f>
        <v/>
      </c>
      <c r="W2694" s="81">
        <f>IF(ISBLANK(P2694),"",IF(S2694=0,(365/0.5)*V2694,(365/S2694)*V2694))</f>
        <v/>
      </c>
      <c r="X2694" s="75" t="n"/>
      <c r="Y2694" s="77" t="n"/>
      <c r="Z2694" s="77" t="n"/>
      <c r="AA2694" s="75" t="n"/>
      <c r="AB2694" s="75" t="n"/>
      <c r="AC2694" s="6" t="n"/>
      <c r="AD2694" s="75" t="n"/>
      <c r="AE2694" s="75" t="n"/>
      <c r="AF2694" s="75" t="n"/>
    </row>
    <row r="2695" ht="15.75" customHeight="1" s="133">
      <c r="A2695" s="75" t="n"/>
      <c r="B2695" s="75" t="n"/>
      <c r="C2695" s="75" t="n"/>
      <c r="D2695" s="75" t="n"/>
      <c r="E2695" s="76" t="n"/>
      <c r="F2695" s="77" t="n"/>
      <c r="G2695" s="75" t="n"/>
      <c r="H2695" s="75">
        <f>IF(ISBLANK(E2695),"",IF(OR(D2695="Butterfly",D2695="Butterfly ",D2695="Iron Fly", D2695="Iron Fly "),LEN(E2695)-LEN(SUBSTITUTE(E2695,"/",""))+2,LEN(E2695)-LEN(SUBSTITUTE(E2695,"/",""))+1))</f>
        <v/>
      </c>
      <c r="I2695" s="78">
        <f>IF(ISBLANK(G2695),"",IF(D2695="Stock","0",Key!$A$3*H2695*G2695))</f>
        <v/>
      </c>
      <c r="J2695" s="78">
        <f>IF(ISBLANK(E2695),"",IF(ISNUMBER(SEARCH("/",E2695)), IF(LEN(E2695)-LEN(SUBSTITUTE(E2695,"/",""))=1,(RIGHT(E2695,LEN(E2695)-FIND("/",E2695)))-(LEFT(E2695,FIND("/",E2695)-1)),(MID(E2695, SEARCH("/",E2695) + 1, SEARCH("/",E2695, SEARCH("/",E2695)+1) - SEARCH("/",E2695) - 1))-(LEFT(E2695,FIND("/",E2695)-1))), "NA"))</f>
        <v/>
      </c>
      <c r="K2695" s="79">
        <f>IF(A2695&lt;&gt;"", IF(ISBLANK(L2695), TODAY(), K2695), "")</f>
        <v/>
      </c>
      <c r="L2695" s="78" t="n"/>
      <c r="M2695" s="78">
        <f>IF(ISBLANK(L2695),"",IF(D2695="Stock",IF(C2695="Buy",L2695*G2695,IF(C2695="Sell",(L2695*G2695)-I2695, X)),IF(C2695="Buy",(L2695*G2695*100)+I2695,IF(C2695="Sell",(L2695*G2695*100)-I2695, X))))</f>
        <v/>
      </c>
      <c r="N2695" s="78">
        <f>IF(ISBLANK(L2695),"",IF(AND(C2695="Sell",D2695="Stock"),M2695,IF(ISBLANK(L2695),"",IF(C2695="Buy",M2695, IF(AND(C2695="Sell",J2695="NA"),(E2695*G2695*100*0.1)+I2695, IF(C2695="Sell",(J2695-L2695)*(100*G2695)+I2695))))))</f>
        <v/>
      </c>
      <c r="O2695" s="75" t="n"/>
      <c r="P2695" s="75" t="n"/>
      <c r="Q2695" s="75">
        <f>IF(ISBLANK(P2695),"",IF(D2695="Stock",P2695*G2695,IF(P2695=0,"0",G2695*P2695*100-(G2695*$AF$14))))</f>
        <v/>
      </c>
      <c r="R2695" s="79">
        <f>IF(P2695&lt;&gt;"", TODAY(), "")</f>
        <v/>
      </c>
      <c r="S2695" s="78">
        <f>IF(AND(K2695&lt;&gt;"", R2695&lt;&gt;""), R2695-K2695, "")</f>
        <v/>
      </c>
      <c r="T2695" s="78" t="n"/>
      <c r="U2695" s="92">
        <f>IF(ISBLANK(P2695),"",IF(C2695="Buy",Q2695-M2695+T2695, IF(C2695="Sell",M2695-Q2695-T2695, X)))</f>
        <v/>
      </c>
      <c r="V2695" s="81">
        <f>IF(ISBLANK(P2695),"",U2695/N2695)</f>
        <v/>
      </c>
      <c r="W2695" s="81">
        <f>IF(ISBLANK(P2695),"",IF(S2695=0,(365/0.5)*V2695,(365/S2695)*V2695))</f>
        <v/>
      </c>
      <c r="X2695" s="75" t="n"/>
      <c r="Y2695" s="77" t="n"/>
      <c r="Z2695" s="77" t="n"/>
      <c r="AA2695" s="75" t="n"/>
      <c r="AB2695" s="75" t="n"/>
      <c r="AC2695" s="6" t="n"/>
      <c r="AD2695" s="75" t="n"/>
      <c r="AE2695" s="75" t="n"/>
      <c r="AF2695" s="75" t="n"/>
    </row>
    <row r="2696" ht="15.75" customHeight="1" s="133">
      <c r="A2696" s="75" t="n"/>
      <c r="B2696" s="75" t="n"/>
      <c r="C2696" s="75" t="n"/>
      <c r="D2696" s="75" t="n"/>
      <c r="E2696" s="76" t="n"/>
      <c r="F2696" s="77" t="n"/>
      <c r="G2696" s="75" t="n"/>
      <c r="H2696" s="75">
        <f>IF(ISBLANK(E2696),"",IF(OR(D2696="Butterfly",D2696="Butterfly ",D2696="Iron Fly", D2696="Iron Fly "),LEN(E2696)-LEN(SUBSTITUTE(E2696,"/",""))+2,LEN(E2696)-LEN(SUBSTITUTE(E2696,"/",""))+1))</f>
        <v/>
      </c>
      <c r="I2696" s="78">
        <f>IF(ISBLANK(G2696),"",IF(D2696="Stock","0",Key!$A$3*H2696*G2696))</f>
        <v/>
      </c>
      <c r="J2696" s="78">
        <f>IF(ISBLANK(E2696),"",IF(ISNUMBER(SEARCH("/",E2696)), IF(LEN(E2696)-LEN(SUBSTITUTE(E2696,"/",""))=1,(RIGHT(E2696,LEN(E2696)-FIND("/",E2696)))-(LEFT(E2696,FIND("/",E2696)-1)),(MID(E2696, SEARCH("/",E2696) + 1, SEARCH("/",E2696, SEARCH("/",E2696)+1) - SEARCH("/",E2696) - 1))-(LEFT(E2696,FIND("/",E2696)-1))), "NA"))</f>
        <v/>
      </c>
      <c r="K2696" s="79">
        <f>IF(A2696&lt;&gt;"", IF(ISBLANK(L2696), TODAY(), K2696), "")</f>
        <v/>
      </c>
      <c r="L2696" s="78" t="n"/>
      <c r="M2696" s="78">
        <f>IF(ISBLANK(L2696),"",IF(D2696="Stock",IF(C2696="Buy",L2696*G2696,IF(C2696="Sell",(L2696*G2696)-I2696, X)),IF(C2696="Buy",(L2696*G2696*100)+I2696,IF(C2696="Sell",(L2696*G2696*100)-I2696, X))))</f>
        <v/>
      </c>
      <c r="N2696" s="78">
        <f>IF(ISBLANK(L2696),"",IF(AND(C2696="Sell",D2696="Stock"),M2696,IF(ISBLANK(L2696),"",IF(C2696="Buy",M2696, IF(AND(C2696="Sell",J2696="NA"),(E2696*G2696*100*0.1)+I2696, IF(C2696="Sell",(J2696-L2696)*(100*G2696)+I2696))))))</f>
        <v/>
      </c>
      <c r="O2696" s="75" t="n"/>
      <c r="P2696" s="75" t="n"/>
      <c r="Q2696" s="75">
        <f>IF(ISBLANK(P2696),"",IF(D2696="Stock",P2696*G2696,IF(P2696=0,"0",G2696*P2696*100-(G2696*$AF$14))))</f>
        <v/>
      </c>
      <c r="R2696" s="79">
        <f>IF(P2696&lt;&gt;"", TODAY(), "")</f>
        <v/>
      </c>
      <c r="S2696" s="78">
        <f>IF(AND(K2696&lt;&gt;"", R2696&lt;&gt;""), R2696-K2696, "")</f>
        <v/>
      </c>
      <c r="T2696" s="78" t="n"/>
      <c r="U2696" s="92">
        <f>IF(ISBLANK(P2696),"",IF(C2696="Buy",Q2696-M2696+T2696, IF(C2696="Sell",M2696-Q2696-T2696, X)))</f>
        <v/>
      </c>
      <c r="V2696" s="81">
        <f>IF(ISBLANK(P2696),"",U2696/N2696)</f>
        <v/>
      </c>
      <c r="W2696" s="81">
        <f>IF(ISBLANK(P2696),"",IF(S2696=0,(365/0.5)*V2696,(365/S2696)*V2696))</f>
        <v/>
      </c>
      <c r="X2696" s="75" t="n"/>
      <c r="Y2696" s="77" t="n"/>
      <c r="Z2696" s="77" t="n"/>
      <c r="AA2696" s="75" t="n"/>
      <c r="AB2696" s="75" t="n"/>
      <c r="AC2696" s="6" t="n"/>
      <c r="AD2696" s="75" t="n"/>
      <c r="AE2696" s="75" t="n"/>
      <c r="AF2696" s="75" t="n"/>
    </row>
    <row r="2697" ht="15.75" customHeight="1" s="133">
      <c r="A2697" s="75" t="n"/>
      <c r="B2697" s="75" t="n"/>
      <c r="C2697" s="75" t="n"/>
      <c r="D2697" s="75" t="n"/>
      <c r="E2697" s="76" t="n"/>
      <c r="F2697" s="77" t="n"/>
      <c r="G2697" s="75" t="n"/>
      <c r="H2697" s="75">
        <f>IF(ISBLANK(E2697),"",IF(OR(D2697="Butterfly",D2697="Butterfly ",D2697="Iron Fly", D2697="Iron Fly "),LEN(E2697)-LEN(SUBSTITUTE(E2697,"/",""))+2,LEN(E2697)-LEN(SUBSTITUTE(E2697,"/",""))+1))</f>
        <v/>
      </c>
      <c r="I2697" s="78">
        <f>IF(ISBLANK(G2697),"",IF(D2697="Stock","0",Key!$A$3*H2697*G2697))</f>
        <v/>
      </c>
      <c r="J2697" s="78">
        <f>IF(ISBLANK(E2697),"",IF(ISNUMBER(SEARCH("/",E2697)), IF(LEN(E2697)-LEN(SUBSTITUTE(E2697,"/",""))=1,(RIGHT(E2697,LEN(E2697)-FIND("/",E2697)))-(LEFT(E2697,FIND("/",E2697)-1)),(MID(E2697, SEARCH("/",E2697) + 1, SEARCH("/",E2697, SEARCH("/",E2697)+1) - SEARCH("/",E2697) - 1))-(LEFT(E2697,FIND("/",E2697)-1))), "NA"))</f>
        <v/>
      </c>
      <c r="K2697" s="79">
        <f>IF(A2697&lt;&gt;"", IF(ISBLANK(L2697), TODAY(), K2697), "")</f>
        <v/>
      </c>
      <c r="L2697" s="78" t="n"/>
      <c r="M2697" s="78">
        <f>IF(ISBLANK(L2697),"",IF(D2697="Stock",IF(C2697="Buy",L2697*G2697,IF(C2697="Sell",(L2697*G2697)-I2697, X)),IF(C2697="Buy",(L2697*G2697*100)+I2697,IF(C2697="Sell",(L2697*G2697*100)-I2697, X))))</f>
        <v/>
      </c>
      <c r="N2697" s="78">
        <f>IF(ISBLANK(L2697),"",IF(AND(C2697="Sell",D2697="Stock"),M2697,IF(ISBLANK(L2697),"",IF(C2697="Buy",M2697, IF(AND(C2697="Sell",J2697="NA"),(E2697*G2697*100*0.1)+I2697, IF(C2697="Sell",(J2697-L2697)*(100*G2697)+I2697))))))</f>
        <v/>
      </c>
      <c r="O2697" s="75" t="n"/>
      <c r="P2697" s="75" t="n"/>
      <c r="Q2697" s="75">
        <f>IF(ISBLANK(P2697),"",IF(D2697="Stock",P2697*G2697,IF(P2697=0,"0",G2697*P2697*100-(G2697*$AF$14))))</f>
        <v/>
      </c>
      <c r="R2697" s="79">
        <f>IF(P2697&lt;&gt;"", TODAY(), "")</f>
        <v/>
      </c>
      <c r="S2697" s="78">
        <f>IF(AND(K2697&lt;&gt;"", R2697&lt;&gt;""), R2697-K2697, "")</f>
        <v/>
      </c>
      <c r="T2697" s="78" t="n"/>
      <c r="U2697" s="92">
        <f>IF(ISBLANK(P2697),"",IF(C2697="Buy",Q2697-M2697+T2697, IF(C2697="Sell",M2697-Q2697-T2697, X)))</f>
        <v/>
      </c>
      <c r="V2697" s="81">
        <f>IF(ISBLANK(P2697),"",U2697/N2697)</f>
        <v/>
      </c>
      <c r="W2697" s="81">
        <f>IF(ISBLANK(P2697),"",IF(S2697=0,(365/0.5)*V2697,(365/S2697)*V2697))</f>
        <v/>
      </c>
      <c r="X2697" s="75" t="n"/>
      <c r="Y2697" s="77" t="n"/>
      <c r="Z2697" s="77" t="n"/>
      <c r="AA2697" s="75" t="n"/>
      <c r="AB2697" s="75" t="n"/>
      <c r="AC2697" s="6" t="n"/>
      <c r="AD2697" s="75" t="n"/>
      <c r="AE2697" s="75" t="n"/>
      <c r="AF2697" s="75" t="n"/>
    </row>
    <row r="2698" ht="15.75" customHeight="1" s="133">
      <c r="A2698" s="75" t="n"/>
      <c r="B2698" s="75" t="n"/>
      <c r="C2698" s="75" t="n"/>
      <c r="D2698" s="75" t="n"/>
      <c r="E2698" s="76" t="n"/>
      <c r="F2698" s="77" t="n"/>
      <c r="G2698" s="75" t="n"/>
      <c r="H2698" s="75">
        <f>IF(ISBLANK(E2698),"",IF(OR(D2698="Butterfly",D2698="Butterfly ",D2698="Iron Fly", D2698="Iron Fly "),LEN(E2698)-LEN(SUBSTITUTE(E2698,"/",""))+2,LEN(E2698)-LEN(SUBSTITUTE(E2698,"/",""))+1))</f>
        <v/>
      </c>
      <c r="I2698" s="78">
        <f>IF(ISBLANK(G2698),"",IF(D2698="Stock","0",Key!$A$3*H2698*G2698))</f>
        <v/>
      </c>
      <c r="J2698" s="78">
        <f>IF(ISBLANK(E2698),"",IF(ISNUMBER(SEARCH("/",E2698)), IF(LEN(E2698)-LEN(SUBSTITUTE(E2698,"/",""))=1,(RIGHT(E2698,LEN(E2698)-FIND("/",E2698)))-(LEFT(E2698,FIND("/",E2698)-1)),(MID(E2698, SEARCH("/",E2698) + 1, SEARCH("/",E2698, SEARCH("/",E2698)+1) - SEARCH("/",E2698) - 1))-(LEFT(E2698,FIND("/",E2698)-1))), "NA"))</f>
        <v/>
      </c>
      <c r="K2698" s="79">
        <f>IF(A2698&lt;&gt;"", IF(ISBLANK(L2698), TODAY(), K2698), "")</f>
        <v/>
      </c>
      <c r="L2698" s="78" t="n"/>
      <c r="M2698" s="78">
        <f>IF(ISBLANK(L2698),"",IF(D2698="Stock",IF(C2698="Buy",L2698*G2698,IF(C2698="Sell",(L2698*G2698)-I2698, X)),IF(C2698="Buy",(L2698*G2698*100)+I2698,IF(C2698="Sell",(L2698*G2698*100)-I2698, X))))</f>
        <v/>
      </c>
      <c r="N2698" s="78">
        <f>IF(ISBLANK(L2698),"",IF(AND(C2698="Sell",D2698="Stock"),M2698,IF(ISBLANK(L2698),"",IF(C2698="Buy",M2698, IF(AND(C2698="Sell",J2698="NA"),(E2698*G2698*100*0.1)+I2698, IF(C2698="Sell",(J2698-L2698)*(100*G2698)+I2698))))))</f>
        <v/>
      </c>
      <c r="O2698" s="75" t="n"/>
      <c r="P2698" s="75" t="n"/>
      <c r="Q2698" s="75">
        <f>IF(ISBLANK(P2698),"",IF(D2698="Stock",P2698*G2698,IF(P2698=0,"0",G2698*P2698*100-(G2698*$AF$14))))</f>
        <v/>
      </c>
      <c r="R2698" s="79">
        <f>IF(P2698&lt;&gt;"", TODAY(), "")</f>
        <v/>
      </c>
      <c r="S2698" s="78">
        <f>IF(AND(K2698&lt;&gt;"", R2698&lt;&gt;""), R2698-K2698, "")</f>
        <v/>
      </c>
      <c r="T2698" s="78" t="n"/>
      <c r="U2698" s="92">
        <f>IF(ISBLANK(P2698),"",IF(C2698="Buy",Q2698-M2698+T2698, IF(C2698="Sell",M2698-Q2698-T2698, X)))</f>
        <v/>
      </c>
      <c r="V2698" s="81">
        <f>IF(ISBLANK(P2698),"",U2698/N2698)</f>
        <v/>
      </c>
      <c r="W2698" s="81">
        <f>IF(ISBLANK(P2698),"",IF(S2698=0,(365/0.5)*V2698,(365/S2698)*V2698))</f>
        <v/>
      </c>
      <c r="X2698" s="75" t="n"/>
      <c r="Y2698" s="77" t="n"/>
      <c r="Z2698" s="77" t="n"/>
      <c r="AA2698" s="75" t="n"/>
      <c r="AB2698" s="75" t="n"/>
      <c r="AC2698" s="6" t="n"/>
      <c r="AD2698" s="75" t="n"/>
      <c r="AE2698" s="75" t="n"/>
      <c r="AF2698" s="75" t="n"/>
    </row>
    <row r="2699" ht="15.75" customHeight="1" s="133">
      <c r="A2699" s="75" t="n"/>
      <c r="B2699" s="75" t="n"/>
      <c r="C2699" s="75" t="n"/>
      <c r="D2699" s="75" t="n"/>
      <c r="E2699" s="76" t="n"/>
      <c r="F2699" s="77" t="n"/>
      <c r="G2699" s="75" t="n"/>
      <c r="H2699" s="75">
        <f>IF(ISBLANK(E2699),"",IF(OR(D2699="Butterfly",D2699="Butterfly ",D2699="Iron Fly", D2699="Iron Fly "),LEN(E2699)-LEN(SUBSTITUTE(E2699,"/",""))+2,LEN(E2699)-LEN(SUBSTITUTE(E2699,"/",""))+1))</f>
        <v/>
      </c>
      <c r="I2699" s="78">
        <f>IF(ISBLANK(G2699),"",IF(D2699="Stock","0",Key!$A$3*H2699*G2699))</f>
        <v/>
      </c>
      <c r="J2699" s="78">
        <f>IF(ISBLANK(E2699),"",IF(ISNUMBER(SEARCH("/",E2699)), IF(LEN(E2699)-LEN(SUBSTITUTE(E2699,"/",""))=1,(RIGHT(E2699,LEN(E2699)-FIND("/",E2699)))-(LEFT(E2699,FIND("/",E2699)-1)),(MID(E2699, SEARCH("/",E2699) + 1, SEARCH("/",E2699, SEARCH("/",E2699)+1) - SEARCH("/",E2699) - 1))-(LEFT(E2699,FIND("/",E2699)-1))), "NA"))</f>
        <v/>
      </c>
      <c r="K2699" s="79">
        <f>IF(A2699&lt;&gt;"", IF(ISBLANK(L2699), TODAY(), K2699), "")</f>
        <v/>
      </c>
      <c r="L2699" s="78" t="n"/>
      <c r="M2699" s="78">
        <f>IF(ISBLANK(L2699),"",IF(D2699="Stock",IF(C2699="Buy",L2699*G2699,IF(C2699="Sell",(L2699*G2699)-I2699, X)),IF(C2699="Buy",(L2699*G2699*100)+I2699,IF(C2699="Sell",(L2699*G2699*100)-I2699, X))))</f>
        <v/>
      </c>
      <c r="N2699" s="78">
        <f>IF(ISBLANK(L2699),"",IF(AND(C2699="Sell",D2699="Stock"),M2699,IF(ISBLANK(L2699),"",IF(C2699="Buy",M2699, IF(AND(C2699="Sell",J2699="NA"),(E2699*G2699*100*0.1)+I2699, IF(C2699="Sell",(J2699-L2699)*(100*G2699)+I2699))))))</f>
        <v/>
      </c>
      <c r="O2699" s="75" t="n"/>
      <c r="P2699" s="75" t="n"/>
      <c r="Q2699" s="75">
        <f>IF(ISBLANK(P2699),"",IF(D2699="Stock",P2699*G2699,IF(P2699=0,"0",G2699*P2699*100-(G2699*$AF$14))))</f>
        <v/>
      </c>
      <c r="R2699" s="79">
        <f>IF(P2699&lt;&gt;"", TODAY(), "")</f>
        <v/>
      </c>
      <c r="S2699" s="78">
        <f>IF(AND(K2699&lt;&gt;"", R2699&lt;&gt;""), R2699-K2699, "")</f>
        <v/>
      </c>
      <c r="T2699" s="78" t="n"/>
      <c r="U2699" s="92">
        <f>IF(ISBLANK(P2699),"",IF(C2699="Buy",Q2699-M2699+T2699, IF(C2699="Sell",M2699-Q2699-T2699, X)))</f>
        <v/>
      </c>
      <c r="V2699" s="81">
        <f>IF(ISBLANK(P2699),"",U2699/N2699)</f>
        <v/>
      </c>
      <c r="W2699" s="81">
        <f>IF(ISBLANK(P2699),"",IF(S2699=0,(365/0.5)*V2699,(365/S2699)*V2699))</f>
        <v/>
      </c>
      <c r="X2699" s="75" t="n"/>
      <c r="Y2699" s="77" t="n"/>
      <c r="Z2699" s="77" t="n"/>
      <c r="AA2699" s="75" t="n"/>
      <c r="AB2699" s="75" t="n"/>
      <c r="AC2699" s="6" t="n"/>
      <c r="AD2699" s="75" t="n"/>
      <c r="AE2699" s="75" t="n"/>
      <c r="AF2699" s="75" t="n"/>
    </row>
    <row r="2700" ht="15.75" customHeight="1" s="133">
      <c r="A2700" s="75" t="n"/>
      <c r="B2700" s="75" t="n"/>
      <c r="C2700" s="75" t="n"/>
      <c r="D2700" s="75" t="n"/>
      <c r="E2700" s="76" t="n"/>
      <c r="F2700" s="77" t="n"/>
      <c r="G2700" s="75" t="n"/>
      <c r="H2700" s="75">
        <f>IF(ISBLANK(E2700),"",IF(OR(D2700="Butterfly",D2700="Butterfly ",D2700="Iron Fly", D2700="Iron Fly "),LEN(E2700)-LEN(SUBSTITUTE(E2700,"/",""))+2,LEN(E2700)-LEN(SUBSTITUTE(E2700,"/",""))+1))</f>
        <v/>
      </c>
      <c r="I2700" s="78">
        <f>IF(ISBLANK(G2700),"",IF(D2700="Stock","0",Key!$A$3*H2700*G2700))</f>
        <v/>
      </c>
      <c r="J2700" s="78">
        <f>IF(ISBLANK(E2700),"",IF(ISNUMBER(SEARCH("/",E2700)), IF(LEN(E2700)-LEN(SUBSTITUTE(E2700,"/",""))=1,(RIGHT(E2700,LEN(E2700)-FIND("/",E2700)))-(LEFT(E2700,FIND("/",E2700)-1)),(MID(E2700, SEARCH("/",E2700) + 1, SEARCH("/",E2700, SEARCH("/",E2700)+1) - SEARCH("/",E2700) - 1))-(LEFT(E2700,FIND("/",E2700)-1))), "NA"))</f>
        <v/>
      </c>
      <c r="K2700" s="79">
        <f>IF(A2700&lt;&gt;"", IF(ISBLANK(L2700), TODAY(), K2700), "")</f>
        <v/>
      </c>
      <c r="L2700" s="78" t="n"/>
      <c r="M2700" s="78">
        <f>IF(ISBLANK(L2700),"",IF(D2700="Stock",IF(C2700="Buy",L2700*G2700,IF(C2700="Sell",(L2700*G2700)-I2700, X)),IF(C2700="Buy",(L2700*G2700*100)+I2700,IF(C2700="Sell",(L2700*G2700*100)-I2700, X))))</f>
        <v/>
      </c>
      <c r="N2700" s="78">
        <f>IF(ISBLANK(L2700),"",IF(AND(C2700="Sell",D2700="Stock"),M2700,IF(ISBLANK(L2700),"",IF(C2700="Buy",M2700, IF(AND(C2700="Sell",J2700="NA"),(E2700*G2700*100*0.1)+I2700, IF(C2700="Sell",(J2700-L2700)*(100*G2700)+I2700))))))</f>
        <v/>
      </c>
      <c r="O2700" s="75" t="n"/>
      <c r="P2700" s="75" t="n"/>
      <c r="Q2700" s="75">
        <f>IF(ISBLANK(P2700),"",IF(D2700="Stock",P2700*G2700,IF(P2700=0,"0",G2700*P2700*100-(G2700*$AF$14))))</f>
        <v/>
      </c>
      <c r="R2700" s="79">
        <f>IF(P2700&lt;&gt;"", TODAY(), "")</f>
        <v/>
      </c>
      <c r="S2700" s="78">
        <f>IF(AND(K2700&lt;&gt;"", R2700&lt;&gt;""), R2700-K2700, "")</f>
        <v/>
      </c>
      <c r="T2700" s="78" t="n"/>
      <c r="U2700" s="92">
        <f>IF(ISBLANK(P2700),"",IF(C2700="Buy",Q2700-M2700+T2700, IF(C2700="Sell",M2700-Q2700-T2700, X)))</f>
        <v/>
      </c>
      <c r="V2700" s="81">
        <f>IF(ISBLANK(P2700),"",U2700/N2700)</f>
        <v/>
      </c>
      <c r="W2700" s="81">
        <f>IF(ISBLANK(P2700),"",IF(S2700=0,(365/0.5)*V2700,(365/S2700)*V2700))</f>
        <v/>
      </c>
      <c r="X2700" s="75" t="n"/>
      <c r="Y2700" s="77" t="n"/>
      <c r="Z2700" s="77" t="n"/>
      <c r="AA2700" s="75" t="n"/>
      <c r="AB2700" s="75" t="n"/>
      <c r="AC2700" s="6" t="n"/>
      <c r="AD2700" s="75" t="n"/>
      <c r="AE2700" s="75" t="n"/>
      <c r="AF2700" s="75" t="n"/>
    </row>
    <row r="2701" ht="15.75" customHeight="1" s="133">
      <c r="A2701" s="75" t="n"/>
      <c r="B2701" s="75" t="n"/>
      <c r="C2701" s="75" t="n"/>
      <c r="D2701" s="75" t="n"/>
      <c r="E2701" s="76" t="n"/>
      <c r="F2701" s="77" t="n"/>
      <c r="G2701" s="75" t="n"/>
      <c r="H2701" s="75">
        <f>IF(ISBLANK(E2701),"",IF(OR(D2701="Butterfly",D2701="Butterfly ",D2701="Iron Fly", D2701="Iron Fly "),LEN(E2701)-LEN(SUBSTITUTE(E2701,"/",""))+2,LEN(E2701)-LEN(SUBSTITUTE(E2701,"/",""))+1))</f>
        <v/>
      </c>
      <c r="I2701" s="78">
        <f>IF(ISBLANK(G2701),"",IF(D2701="Stock","0",Key!$A$3*H2701*G2701))</f>
        <v/>
      </c>
      <c r="J2701" s="78">
        <f>IF(ISBLANK(E2701),"",IF(ISNUMBER(SEARCH("/",E2701)), IF(LEN(E2701)-LEN(SUBSTITUTE(E2701,"/",""))=1,(RIGHT(E2701,LEN(E2701)-FIND("/",E2701)))-(LEFT(E2701,FIND("/",E2701)-1)),(MID(E2701, SEARCH("/",E2701) + 1, SEARCH("/",E2701, SEARCH("/",E2701)+1) - SEARCH("/",E2701) - 1))-(LEFT(E2701,FIND("/",E2701)-1))), "NA"))</f>
        <v/>
      </c>
      <c r="K2701" s="79">
        <f>IF(A2701&lt;&gt;"", IF(ISBLANK(L2701), TODAY(), K2701), "")</f>
        <v/>
      </c>
      <c r="L2701" s="78" t="n"/>
      <c r="M2701" s="78">
        <f>IF(ISBLANK(L2701),"",IF(D2701="Stock",IF(C2701="Buy",L2701*G2701,IF(C2701="Sell",(L2701*G2701)-I2701, X)),IF(C2701="Buy",(L2701*G2701*100)+I2701,IF(C2701="Sell",(L2701*G2701*100)-I2701, X))))</f>
        <v/>
      </c>
      <c r="N2701" s="78">
        <f>IF(ISBLANK(L2701),"",IF(AND(C2701="Sell",D2701="Stock"),M2701,IF(ISBLANK(L2701),"",IF(C2701="Buy",M2701, IF(AND(C2701="Sell",J2701="NA"),(E2701*G2701*100*0.1)+I2701, IF(C2701="Sell",(J2701-L2701)*(100*G2701)+I2701))))))</f>
        <v/>
      </c>
      <c r="O2701" s="75" t="n"/>
      <c r="P2701" s="75" t="n"/>
      <c r="Q2701" s="75">
        <f>IF(ISBLANK(P2701),"",IF(D2701="Stock",P2701*G2701,IF(P2701=0,"0",G2701*P2701*100-(G2701*$AF$14))))</f>
        <v/>
      </c>
      <c r="R2701" s="79">
        <f>IF(P2701&lt;&gt;"", TODAY(), "")</f>
        <v/>
      </c>
      <c r="S2701" s="78">
        <f>IF(AND(K2701&lt;&gt;"", R2701&lt;&gt;""), R2701-K2701, "")</f>
        <v/>
      </c>
      <c r="T2701" s="78" t="n"/>
      <c r="U2701" s="92">
        <f>IF(ISBLANK(P2701),"",IF(C2701="Buy",Q2701-M2701+T2701, IF(C2701="Sell",M2701-Q2701-T2701, X)))</f>
        <v/>
      </c>
      <c r="V2701" s="81">
        <f>IF(ISBLANK(P2701),"",U2701/N2701)</f>
        <v/>
      </c>
      <c r="W2701" s="81">
        <f>IF(ISBLANK(P2701),"",IF(S2701=0,(365/0.5)*V2701,(365/S2701)*V2701))</f>
        <v/>
      </c>
      <c r="X2701" s="75" t="n"/>
      <c r="Y2701" s="77" t="n"/>
      <c r="Z2701" s="77" t="n"/>
      <c r="AA2701" s="75" t="n"/>
      <c r="AB2701" s="75" t="n"/>
      <c r="AC2701" s="6" t="n"/>
      <c r="AD2701" s="75" t="n"/>
      <c r="AE2701" s="75" t="n"/>
      <c r="AF2701" s="75" t="n"/>
    </row>
    <row r="2702" ht="15.75" customHeight="1" s="133">
      <c r="A2702" s="75" t="n"/>
      <c r="B2702" s="75" t="n"/>
      <c r="C2702" s="75" t="n"/>
      <c r="D2702" s="75" t="n"/>
      <c r="E2702" s="76" t="n"/>
      <c r="F2702" s="77" t="n"/>
      <c r="G2702" s="75" t="n"/>
      <c r="H2702" s="75">
        <f>IF(ISBLANK(E2702),"",IF(OR(D2702="Butterfly",D2702="Butterfly ",D2702="Iron Fly", D2702="Iron Fly "),LEN(E2702)-LEN(SUBSTITUTE(E2702,"/",""))+2,LEN(E2702)-LEN(SUBSTITUTE(E2702,"/",""))+1))</f>
        <v/>
      </c>
      <c r="I2702" s="78">
        <f>IF(ISBLANK(G2702),"",IF(D2702="Stock","0",Key!$A$3*H2702*G2702))</f>
        <v/>
      </c>
      <c r="J2702" s="78">
        <f>IF(ISBLANK(E2702),"",IF(ISNUMBER(SEARCH("/",E2702)), IF(LEN(E2702)-LEN(SUBSTITUTE(E2702,"/",""))=1,(RIGHT(E2702,LEN(E2702)-FIND("/",E2702)))-(LEFT(E2702,FIND("/",E2702)-1)),(MID(E2702, SEARCH("/",E2702) + 1, SEARCH("/",E2702, SEARCH("/",E2702)+1) - SEARCH("/",E2702) - 1))-(LEFT(E2702,FIND("/",E2702)-1))), "NA"))</f>
        <v/>
      </c>
      <c r="K2702" s="79">
        <f>IF(A2702&lt;&gt;"", IF(ISBLANK(L2702), TODAY(), K2702), "")</f>
        <v/>
      </c>
      <c r="L2702" s="78" t="n"/>
      <c r="M2702" s="78">
        <f>IF(ISBLANK(L2702),"",IF(D2702="Stock",IF(C2702="Buy",L2702*G2702,IF(C2702="Sell",(L2702*G2702)-I2702, X)),IF(C2702="Buy",(L2702*G2702*100)+I2702,IF(C2702="Sell",(L2702*G2702*100)-I2702, X))))</f>
        <v/>
      </c>
      <c r="N2702" s="78">
        <f>IF(ISBLANK(L2702),"",IF(AND(C2702="Sell",D2702="Stock"),M2702,IF(ISBLANK(L2702),"",IF(C2702="Buy",M2702, IF(AND(C2702="Sell",J2702="NA"),(E2702*G2702*100*0.1)+I2702, IF(C2702="Sell",(J2702-L2702)*(100*G2702)+I2702))))))</f>
        <v/>
      </c>
      <c r="O2702" s="75" t="n"/>
      <c r="P2702" s="75" t="n"/>
      <c r="Q2702" s="75">
        <f>IF(ISBLANK(P2702),"",IF(D2702="Stock",P2702*G2702,IF(P2702=0,"0",G2702*P2702*100-(G2702*$AF$14))))</f>
        <v/>
      </c>
      <c r="R2702" s="79">
        <f>IF(P2702&lt;&gt;"", TODAY(), "")</f>
        <v/>
      </c>
      <c r="S2702" s="78">
        <f>IF(AND(K2702&lt;&gt;"", R2702&lt;&gt;""), R2702-K2702, "")</f>
        <v/>
      </c>
      <c r="T2702" s="78" t="n"/>
      <c r="U2702" s="92">
        <f>IF(ISBLANK(P2702),"",IF(C2702="Buy",Q2702-M2702+T2702, IF(C2702="Sell",M2702-Q2702-T2702, X)))</f>
        <v/>
      </c>
      <c r="V2702" s="81">
        <f>IF(ISBLANK(P2702),"",U2702/N2702)</f>
        <v/>
      </c>
      <c r="W2702" s="81">
        <f>IF(ISBLANK(P2702),"",IF(S2702=0,(365/0.5)*V2702,(365/S2702)*V2702))</f>
        <v/>
      </c>
      <c r="X2702" s="75" t="n"/>
      <c r="Y2702" s="77" t="n"/>
      <c r="Z2702" s="77" t="n"/>
      <c r="AA2702" s="75" t="n"/>
      <c r="AB2702" s="75" t="n"/>
      <c r="AC2702" s="6" t="n"/>
      <c r="AD2702" s="75" t="n"/>
      <c r="AE2702" s="75" t="n"/>
      <c r="AF2702" s="75" t="n"/>
    </row>
    <row r="2703" ht="15.75" customHeight="1" s="133">
      <c r="A2703" s="75" t="n"/>
      <c r="B2703" s="75" t="n"/>
      <c r="C2703" s="75" t="n"/>
      <c r="D2703" s="75" t="n"/>
      <c r="E2703" s="76" t="n"/>
      <c r="F2703" s="77" t="n"/>
      <c r="G2703" s="75" t="n"/>
      <c r="H2703" s="75">
        <f>IF(ISBLANK(E2703),"",IF(OR(D2703="Butterfly",D2703="Butterfly ",D2703="Iron Fly", D2703="Iron Fly "),LEN(E2703)-LEN(SUBSTITUTE(E2703,"/",""))+2,LEN(E2703)-LEN(SUBSTITUTE(E2703,"/",""))+1))</f>
        <v/>
      </c>
      <c r="I2703" s="78">
        <f>IF(ISBLANK(G2703),"",IF(D2703="Stock","0",Key!$A$3*H2703*G2703))</f>
        <v/>
      </c>
      <c r="J2703" s="78">
        <f>IF(ISBLANK(E2703),"",IF(ISNUMBER(SEARCH("/",E2703)), IF(LEN(E2703)-LEN(SUBSTITUTE(E2703,"/",""))=1,(RIGHT(E2703,LEN(E2703)-FIND("/",E2703)))-(LEFT(E2703,FIND("/",E2703)-1)),(MID(E2703, SEARCH("/",E2703) + 1, SEARCH("/",E2703, SEARCH("/",E2703)+1) - SEARCH("/",E2703) - 1))-(LEFT(E2703,FIND("/",E2703)-1))), "NA"))</f>
        <v/>
      </c>
      <c r="K2703" s="79">
        <f>IF(A2703&lt;&gt;"", IF(ISBLANK(L2703), TODAY(), K2703), "")</f>
        <v/>
      </c>
      <c r="L2703" s="78" t="n"/>
      <c r="M2703" s="78">
        <f>IF(ISBLANK(L2703),"",IF(D2703="Stock",IF(C2703="Buy",L2703*G2703,IF(C2703="Sell",(L2703*G2703)-I2703, X)),IF(C2703="Buy",(L2703*G2703*100)+I2703,IF(C2703="Sell",(L2703*G2703*100)-I2703, X))))</f>
        <v/>
      </c>
      <c r="N2703" s="78">
        <f>IF(ISBLANK(L2703),"",IF(AND(C2703="Sell",D2703="Stock"),M2703,IF(ISBLANK(L2703),"",IF(C2703="Buy",M2703, IF(AND(C2703="Sell",J2703="NA"),(E2703*G2703*100*0.1)+I2703, IF(C2703="Sell",(J2703-L2703)*(100*G2703)+I2703))))))</f>
        <v/>
      </c>
      <c r="O2703" s="75" t="n"/>
      <c r="P2703" s="75" t="n"/>
      <c r="Q2703" s="75">
        <f>IF(ISBLANK(P2703),"",IF(D2703="Stock",P2703*G2703,IF(P2703=0,"0",G2703*P2703*100-(G2703*$AF$14))))</f>
        <v/>
      </c>
      <c r="R2703" s="79">
        <f>IF(P2703&lt;&gt;"", TODAY(), "")</f>
        <v/>
      </c>
      <c r="S2703" s="78">
        <f>IF(AND(K2703&lt;&gt;"", R2703&lt;&gt;""), R2703-K2703, "")</f>
        <v/>
      </c>
      <c r="T2703" s="78" t="n"/>
      <c r="U2703" s="92">
        <f>IF(ISBLANK(P2703),"",IF(C2703="Buy",Q2703-M2703+T2703, IF(C2703="Sell",M2703-Q2703-T2703, X)))</f>
        <v/>
      </c>
      <c r="V2703" s="81">
        <f>IF(ISBLANK(P2703),"",U2703/N2703)</f>
        <v/>
      </c>
      <c r="W2703" s="81">
        <f>IF(ISBLANK(P2703),"",IF(S2703=0,(365/0.5)*V2703,(365/S2703)*V2703))</f>
        <v/>
      </c>
      <c r="X2703" s="75" t="n"/>
      <c r="Y2703" s="77" t="n"/>
      <c r="Z2703" s="77" t="n"/>
      <c r="AA2703" s="75" t="n"/>
      <c r="AB2703" s="75" t="n"/>
      <c r="AC2703" s="6" t="n"/>
      <c r="AD2703" s="75" t="n"/>
      <c r="AE2703" s="75" t="n"/>
      <c r="AF2703" s="75" t="n"/>
    </row>
    <row r="2704" ht="15.75" customHeight="1" s="133">
      <c r="A2704" s="75" t="n"/>
      <c r="B2704" s="75" t="n"/>
      <c r="C2704" s="75" t="n"/>
      <c r="D2704" s="75" t="n"/>
      <c r="E2704" s="76" t="n"/>
      <c r="F2704" s="77" t="n"/>
      <c r="G2704" s="75" t="n"/>
      <c r="H2704" s="75">
        <f>IF(ISBLANK(E2704),"",IF(OR(D2704="Butterfly",D2704="Butterfly ",D2704="Iron Fly", D2704="Iron Fly "),LEN(E2704)-LEN(SUBSTITUTE(E2704,"/",""))+2,LEN(E2704)-LEN(SUBSTITUTE(E2704,"/",""))+1))</f>
        <v/>
      </c>
      <c r="I2704" s="78">
        <f>IF(ISBLANK(G2704),"",IF(D2704="Stock","0",Key!$A$3*H2704*G2704))</f>
        <v/>
      </c>
      <c r="J2704" s="78">
        <f>IF(ISBLANK(E2704),"",IF(ISNUMBER(SEARCH("/",E2704)), IF(LEN(E2704)-LEN(SUBSTITUTE(E2704,"/",""))=1,(RIGHT(E2704,LEN(E2704)-FIND("/",E2704)))-(LEFT(E2704,FIND("/",E2704)-1)),(MID(E2704, SEARCH("/",E2704) + 1, SEARCH("/",E2704, SEARCH("/",E2704)+1) - SEARCH("/",E2704) - 1))-(LEFT(E2704,FIND("/",E2704)-1))), "NA"))</f>
        <v/>
      </c>
      <c r="K2704" s="79">
        <f>IF(A2704&lt;&gt;"", IF(ISBLANK(L2704), TODAY(), K2704), "")</f>
        <v/>
      </c>
      <c r="L2704" s="78" t="n"/>
      <c r="M2704" s="78">
        <f>IF(ISBLANK(L2704),"",IF(D2704="Stock",IF(C2704="Buy",L2704*G2704,IF(C2704="Sell",(L2704*G2704)-I2704, X)),IF(C2704="Buy",(L2704*G2704*100)+I2704,IF(C2704="Sell",(L2704*G2704*100)-I2704, X))))</f>
        <v/>
      </c>
      <c r="N2704" s="78">
        <f>IF(ISBLANK(L2704),"",IF(AND(C2704="Sell",D2704="Stock"),M2704,IF(ISBLANK(L2704),"",IF(C2704="Buy",M2704, IF(AND(C2704="Sell",J2704="NA"),(E2704*G2704*100*0.1)+I2704, IF(C2704="Sell",(J2704-L2704)*(100*G2704)+I2704))))))</f>
        <v/>
      </c>
      <c r="O2704" s="75" t="n"/>
      <c r="P2704" s="75" t="n"/>
      <c r="Q2704" s="75">
        <f>IF(ISBLANK(P2704),"",IF(D2704="Stock",P2704*G2704,IF(P2704=0,"0",G2704*P2704*100-(G2704*$AF$14))))</f>
        <v/>
      </c>
      <c r="R2704" s="79">
        <f>IF(P2704&lt;&gt;"", TODAY(), "")</f>
        <v/>
      </c>
      <c r="S2704" s="78">
        <f>IF(AND(K2704&lt;&gt;"", R2704&lt;&gt;""), R2704-K2704, "")</f>
        <v/>
      </c>
      <c r="T2704" s="78" t="n"/>
      <c r="U2704" s="92">
        <f>IF(ISBLANK(P2704),"",IF(C2704="Buy",Q2704-M2704+T2704, IF(C2704="Sell",M2704-Q2704-T2704, X)))</f>
        <v/>
      </c>
      <c r="V2704" s="81">
        <f>IF(ISBLANK(P2704),"",U2704/N2704)</f>
        <v/>
      </c>
      <c r="W2704" s="81">
        <f>IF(ISBLANK(P2704),"",IF(S2704=0,(365/0.5)*V2704,(365/S2704)*V2704))</f>
        <v/>
      </c>
      <c r="X2704" s="75" t="n"/>
      <c r="Y2704" s="77" t="n"/>
      <c r="Z2704" s="77" t="n"/>
      <c r="AA2704" s="75" t="n"/>
      <c r="AB2704" s="75" t="n"/>
      <c r="AC2704" s="6" t="n"/>
      <c r="AD2704" s="75" t="n"/>
      <c r="AE2704" s="75" t="n"/>
      <c r="AF2704" s="75" t="n"/>
    </row>
    <row r="2705" ht="15.75" customHeight="1" s="133">
      <c r="A2705" s="75" t="n"/>
      <c r="B2705" s="75" t="n"/>
      <c r="C2705" s="75" t="n"/>
      <c r="D2705" s="75" t="n"/>
      <c r="E2705" s="76" t="n"/>
      <c r="F2705" s="77" t="n"/>
      <c r="G2705" s="75" t="n"/>
      <c r="H2705" s="75">
        <f>IF(ISBLANK(E2705),"",IF(OR(D2705="Butterfly",D2705="Butterfly ",D2705="Iron Fly", D2705="Iron Fly "),LEN(E2705)-LEN(SUBSTITUTE(E2705,"/",""))+2,LEN(E2705)-LEN(SUBSTITUTE(E2705,"/",""))+1))</f>
        <v/>
      </c>
      <c r="I2705" s="78">
        <f>IF(ISBLANK(G2705),"",IF(D2705="Stock","0",Key!$A$3*H2705*G2705))</f>
        <v/>
      </c>
      <c r="J2705" s="78">
        <f>IF(ISBLANK(E2705),"",IF(ISNUMBER(SEARCH("/",E2705)), IF(LEN(E2705)-LEN(SUBSTITUTE(E2705,"/",""))=1,(RIGHT(E2705,LEN(E2705)-FIND("/",E2705)))-(LEFT(E2705,FIND("/",E2705)-1)),(MID(E2705, SEARCH("/",E2705) + 1, SEARCH("/",E2705, SEARCH("/",E2705)+1) - SEARCH("/",E2705) - 1))-(LEFT(E2705,FIND("/",E2705)-1))), "NA"))</f>
        <v/>
      </c>
      <c r="K2705" s="79">
        <f>IF(A2705&lt;&gt;"", IF(ISBLANK(L2705), TODAY(), K2705), "")</f>
        <v/>
      </c>
      <c r="L2705" s="78" t="n"/>
      <c r="M2705" s="78">
        <f>IF(ISBLANK(L2705),"",IF(D2705="Stock",IF(C2705="Buy",L2705*G2705,IF(C2705="Sell",(L2705*G2705)-I2705, X)),IF(C2705="Buy",(L2705*G2705*100)+I2705,IF(C2705="Sell",(L2705*G2705*100)-I2705, X))))</f>
        <v/>
      </c>
      <c r="N2705" s="78">
        <f>IF(ISBLANK(L2705),"",IF(AND(C2705="Sell",D2705="Stock"),M2705,IF(ISBLANK(L2705),"",IF(C2705="Buy",M2705, IF(AND(C2705="Sell",J2705="NA"),(E2705*G2705*100*0.1)+I2705, IF(C2705="Sell",(J2705-L2705)*(100*G2705)+I2705))))))</f>
        <v/>
      </c>
      <c r="O2705" s="75" t="n"/>
      <c r="P2705" s="75" t="n"/>
      <c r="Q2705" s="75">
        <f>IF(ISBLANK(P2705),"",IF(D2705="Stock",P2705*G2705,IF(P2705=0,"0",G2705*P2705*100-(G2705*$AF$14))))</f>
        <v/>
      </c>
      <c r="R2705" s="79">
        <f>IF(P2705&lt;&gt;"", TODAY(), "")</f>
        <v/>
      </c>
      <c r="S2705" s="78">
        <f>IF(AND(K2705&lt;&gt;"", R2705&lt;&gt;""), R2705-K2705, "")</f>
        <v/>
      </c>
      <c r="T2705" s="78" t="n"/>
      <c r="U2705" s="92">
        <f>IF(ISBLANK(P2705),"",IF(C2705="Buy",Q2705-M2705+T2705, IF(C2705="Sell",M2705-Q2705-T2705, X)))</f>
        <v/>
      </c>
      <c r="V2705" s="81">
        <f>IF(ISBLANK(P2705),"",U2705/N2705)</f>
        <v/>
      </c>
      <c r="W2705" s="81">
        <f>IF(ISBLANK(P2705),"",IF(S2705=0,(365/0.5)*V2705,(365/S2705)*V2705))</f>
        <v/>
      </c>
      <c r="X2705" s="75" t="n"/>
      <c r="Y2705" s="77" t="n"/>
      <c r="Z2705" s="77" t="n"/>
      <c r="AA2705" s="75" t="n"/>
      <c r="AB2705" s="75" t="n"/>
      <c r="AC2705" s="6" t="n"/>
      <c r="AD2705" s="75" t="n"/>
      <c r="AE2705" s="75" t="n"/>
      <c r="AF2705" s="75" t="n"/>
    </row>
    <row r="2706" ht="15.75" customHeight="1" s="133">
      <c r="A2706" s="75" t="n"/>
      <c r="B2706" s="75" t="n"/>
      <c r="C2706" s="75" t="n"/>
      <c r="D2706" s="75" t="n"/>
      <c r="E2706" s="76" t="n"/>
      <c r="F2706" s="77" t="n"/>
      <c r="G2706" s="75" t="n"/>
      <c r="H2706" s="75">
        <f>IF(ISBLANK(E2706),"",IF(OR(D2706="Butterfly",D2706="Butterfly ",D2706="Iron Fly", D2706="Iron Fly "),LEN(E2706)-LEN(SUBSTITUTE(E2706,"/",""))+2,LEN(E2706)-LEN(SUBSTITUTE(E2706,"/",""))+1))</f>
        <v/>
      </c>
      <c r="I2706" s="78">
        <f>IF(ISBLANK(G2706),"",IF(D2706="Stock","0",Key!$A$3*H2706*G2706))</f>
        <v/>
      </c>
      <c r="J2706" s="78">
        <f>IF(ISBLANK(E2706),"",IF(ISNUMBER(SEARCH("/",E2706)), IF(LEN(E2706)-LEN(SUBSTITUTE(E2706,"/",""))=1,(RIGHT(E2706,LEN(E2706)-FIND("/",E2706)))-(LEFT(E2706,FIND("/",E2706)-1)),(MID(E2706, SEARCH("/",E2706) + 1, SEARCH("/",E2706, SEARCH("/",E2706)+1) - SEARCH("/",E2706) - 1))-(LEFT(E2706,FIND("/",E2706)-1))), "NA"))</f>
        <v/>
      </c>
      <c r="K2706" s="79">
        <f>IF(A2706&lt;&gt;"", IF(ISBLANK(L2706), TODAY(), K2706), "")</f>
        <v/>
      </c>
      <c r="L2706" s="78" t="n"/>
      <c r="M2706" s="78">
        <f>IF(ISBLANK(L2706),"",IF(D2706="Stock",IF(C2706="Buy",L2706*G2706,IF(C2706="Sell",(L2706*G2706)-I2706, X)),IF(C2706="Buy",(L2706*G2706*100)+I2706,IF(C2706="Sell",(L2706*G2706*100)-I2706, X))))</f>
        <v/>
      </c>
      <c r="N2706" s="78">
        <f>IF(ISBLANK(L2706),"",IF(AND(C2706="Sell",D2706="Stock"),M2706,IF(ISBLANK(L2706),"",IF(C2706="Buy",M2706, IF(AND(C2706="Sell",J2706="NA"),(E2706*G2706*100*0.1)+I2706, IF(C2706="Sell",(J2706-L2706)*(100*G2706)+I2706))))))</f>
        <v/>
      </c>
      <c r="O2706" s="75" t="n"/>
      <c r="P2706" s="75" t="n"/>
      <c r="Q2706" s="75">
        <f>IF(ISBLANK(P2706),"",IF(D2706="Stock",P2706*G2706,IF(P2706=0,"0",G2706*P2706*100-(G2706*$AF$14))))</f>
        <v/>
      </c>
      <c r="R2706" s="79">
        <f>IF(P2706&lt;&gt;"", TODAY(), "")</f>
        <v/>
      </c>
      <c r="S2706" s="78">
        <f>IF(AND(K2706&lt;&gt;"", R2706&lt;&gt;""), R2706-K2706, "")</f>
        <v/>
      </c>
      <c r="T2706" s="78" t="n"/>
      <c r="U2706" s="92">
        <f>IF(ISBLANK(P2706),"",IF(C2706="Buy",Q2706-M2706+T2706, IF(C2706="Sell",M2706-Q2706-T2706, X)))</f>
        <v/>
      </c>
      <c r="V2706" s="81">
        <f>IF(ISBLANK(P2706),"",U2706/N2706)</f>
        <v/>
      </c>
      <c r="W2706" s="81">
        <f>IF(ISBLANK(P2706),"",IF(S2706=0,(365/0.5)*V2706,(365/S2706)*V2706))</f>
        <v/>
      </c>
      <c r="X2706" s="75" t="n"/>
      <c r="Y2706" s="77" t="n"/>
      <c r="Z2706" s="77" t="n"/>
      <c r="AA2706" s="75" t="n"/>
      <c r="AB2706" s="75" t="n"/>
      <c r="AC2706" s="6" t="n"/>
      <c r="AD2706" s="75" t="n"/>
      <c r="AE2706" s="75" t="n"/>
      <c r="AF2706" s="75" t="n"/>
    </row>
    <row r="2707" ht="15.75" customHeight="1" s="133">
      <c r="A2707" s="75" t="n"/>
      <c r="B2707" s="75" t="n"/>
      <c r="C2707" s="75" t="n"/>
      <c r="D2707" s="75" t="n"/>
      <c r="E2707" s="76" t="n"/>
      <c r="F2707" s="77" t="n"/>
      <c r="G2707" s="75" t="n"/>
      <c r="H2707" s="75">
        <f>IF(ISBLANK(E2707),"",IF(OR(D2707="Butterfly",D2707="Butterfly ",D2707="Iron Fly", D2707="Iron Fly "),LEN(E2707)-LEN(SUBSTITUTE(E2707,"/",""))+2,LEN(E2707)-LEN(SUBSTITUTE(E2707,"/",""))+1))</f>
        <v/>
      </c>
      <c r="I2707" s="78">
        <f>IF(ISBLANK(G2707),"",IF(D2707="Stock","0",Key!$A$3*H2707*G2707))</f>
        <v/>
      </c>
      <c r="J2707" s="78">
        <f>IF(ISBLANK(E2707),"",IF(ISNUMBER(SEARCH("/",E2707)), IF(LEN(E2707)-LEN(SUBSTITUTE(E2707,"/",""))=1,(RIGHT(E2707,LEN(E2707)-FIND("/",E2707)))-(LEFT(E2707,FIND("/",E2707)-1)),(MID(E2707, SEARCH("/",E2707) + 1, SEARCH("/",E2707, SEARCH("/",E2707)+1) - SEARCH("/",E2707) - 1))-(LEFT(E2707,FIND("/",E2707)-1))), "NA"))</f>
        <v/>
      </c>
      <c r="K2707" s="79">
        <f>IF(A2707&lt;&gt;"", IF(ISBLANK(L2707), TODAY(), K2707), "")</f>
        <v/>
      </c>
      <c r="L2707" s="78" t="n"/>
      <c r="M2707" s="78">
        <f>IF(ISBLANK(L2707),"",IF(D2707="Stock",IF(C2707="Buy",L2707*G2707,IF(C2707="Sell",(L2707*G2707)-I2707, X)),IF(C2707="Buy",(L2707*G2707*100)+I2707,IF(C2707="Sell",(L2707*G2707*100)-I2707, X))))</f>
        <v/>
      </c>
      <c r="N2707" s="78">
        <f>IF(ISBLANK(L2707),"",IF(AND(C2707="Sell",D2707="Stock"),M2707,IF(ISBLANK(L2707),"",IF(C2707="Buy",M2707, IF(AND(C2707="Sell",J2707="NA"),(E2707*G2707*100*0.1)+I2707, IF(C2707="Sell",(J2707-L2707)*(100*G2707)+I2707))))))</f>
        <v/>
      </c>
      <c r="O2707" s="75" t="n"/>
      <c r="P2707" s="75" t="n"/>
      <c r="Q2707" s="75">
        <f>IF(ISBLANK(P2707),"",IF(D2707="Stock",P2707*G2707,IF(P2707=0,"0",G2707*P2707*100-(G2707*$AF$14))))</f>
        <v/>
      </c>
      <c r="R2707" s="79">
        <f>IF(P2707&lt;&gt;"", TODAY(), "")</f>
        <v/>
      </c>
      <c r="S2707" s="78">
        <f>IF(AND(K2707&lt;&gt;"", R2707&lt;&gt;""), R2707-K2707, "")</f>
        <v/>
      </c>
      <c r="T2707" s="78" t="n"/>
      <c r="U2707" s="92">
        <f>IF(ISBLANK(P2707),"",IF(C2707="Buy",Q2707-M2707+T2707, IF(C2707="Sell",M2707-Q2707-T2707, X)))</f>
        <v/>
      </c>
      <c r="V2707" s="81">
        <f>IF(ISBLANK(P2707),"",U2707/N2707)</f>
        <v/>
      </c>
      <c r="W2707" s="81">
        <f>IF(ISBLANK(P2707),"",IF(S2707=0,(365/0.5)*V2707,(365/S2707)*V2707))</f>
        <v/>
      </c>
      <c r="X2707" s="75" t="n"/>
      <c r="Y2707" s="77" t="n"/>
      <c r="Z2707" s="77" t="n"/>
      <c r="AA2707" s="75" t="n"/>
      <c r="AB2707" s="75" t="n"/>
      <c r="AC2707" s="6" t="n"/>
      <c r="AD2707" s="75" t="n"/>
      <c r="AE2707" s="75" t="n"/>
      <c r="AF2707" s="75" t="n"/>
    </row>
    <row r="2708" ht="15.75" customHeight="1" s="133">
      <c r="A2708" s="75" t="n"/>
      <c r="B2708" s="75" t="n"/>
      <c r="C2708" s="75" t="n"/>
      <c r="D2708" s="75" t="n"/>
      <c r="E2708" s="76" t="n"/>
      <c r="F2708" s="77" t="n"/>
      <c r="G2708" s="75" t="n"/>
      <c r="H2708" s="75">
        <f>IF(ISBLANK(E2708),"",IF(OR(D2708="Butterfly",D2708="Butterfly ",D2708="Iron Fly", D2708="Iron Fly "),LEN(E2708)-LEN(SUBSTITUTE(E2708,"/",""))+2,LEN(E2708)-LEN(SUBSTITUTE(E2708,"/",""))+1))</f>
        <v/>
      </c>
      <c r="I2708" s="78">
        <f>IF(ISBLANK(G2708),"",IF(D2708="Stock","0",Key!$A$3*H2708*G2708))</f>
        <v/>
      </c>
      <c r="J2708" s="78">
        <f>IF(ISBLANK(E2708),"",IF(ISNUMBER(SEARCH("/",E2708)), IF(LEN(E2708)-LEN(SUBSTITUTE(E2708,"/",""))=1,(RIGHT(E2708,LEN(E2708)-FIND("/",E2708)))-(LEFT(E2708,FIND("/",E2708)-1)),(MID(E2708, SEARCH("/",E2708) + 1, SEARCH("/",E2708, SEARCH("/",E2708)+1) - SEARCH("/",E2708) - 1))-(LEFT(E2708,FIND("/",E2708)-1))), "NA"))</f>
        <v/>
      </c>
      <c r="K2708" s="79">
        <f>IF(A2708&lt;&gt;"", IF(ISBLANK(L2708), TODAY(), K2708), "")</f>
        <v/>
      </c>
      <c r="L2708" s="78" t="n"/>
      <c r="M2708" s="78">
        <f>IF(ISBLANK(L2708),"",IF(D2708="Stock",IF(C2708="Buy",L2708*G2708,IF(C2708="Sell",(L2708*G2708)-I2708, X)),IF(C2708="Buy",(L2708*G2708*100)+I2708,IF(C2708="Sell",(L2708*G2708*100)-I2708, X))))</f>
        <v/>
      </c>
      <c r="N2708" s="78">
        <f>IF(ISBLANK(L2708),"",IF(AND(C2708="Sell",D2708="Stock"),M2708,IF(ISBLANK(L2708),"",IF(C2708="Buy",M2708, IF(AND(C2708="Sell",J2708="NA"),(E2708*G2708*100*0.1)+I2708, IF(C2708="Sell",(J2708-L2708)*(100*G2708)+I2708))))))</f>
        <v/>
      </c>
      <c r="O2708" s="75" t="n"/>
      <c r="P2708" s="75" t="n"/>
      <c r="Q2708" s="75">
        <f>IF(ISBLANK(P2708),"",IF(D2708="Stock",P2708*G2708,IF(P2708=0,"0",G2708*P2708*100-(G2708*$AF$14))))</f>
        <v/>
      </c>
      <c r="R2708" s="79">
        <f>IF(P2708&lt;&gt;"", TODAY(), "")</f>
        <v/>
      </c>
      <c r="S2708" s="78">
        <f>IF(AND(K2708&lt;&gt;"", R2708&lt;&gt;""), R2708-K2708, "")</f>
        <v/>
      </c>
      <c r="T2708" s="78" t="n"/>
      <c r="U2708" s="92">
        <f>IF(ISBLANK(P2708),"",IF(C2708="Buy",Q2708-M2708+T2708, IF(C2708="Sell",M2708-Q2708-T2708, X)))</f>
        <v/>
      </c>
      <c r="V2708" s="81">
        <f>IF(ISBLANK(P2708),"",U2708/N2708)</f>
        <v/>
      </c>
      <c r="W2708" s="81">
        <f>IF(ISBLANK(P2708),"",IF(S2708=0,(365/0.5)*V2708,(365/S2708)*V2708))</f>
        <v/>
      </c>
      <c r="X2708" s="75" t="n"/>
      <c r="Y2708" s="77" t="n"/>
      <c r="Z2708" s="77" t="n"/>
      <c r="AA2708" s="75" t="n"/>
      <c r="AB2708" s="75" t="n"/>
      <c r="AC2708" s="6" t="n"/>
      <c r="AD2708" s="75" t="n"/>
      <c r="AE2708" s="75" t="n"/>
      <c r="AF2708" s="75" t="n"/>
    </row>
    <row r="2709" ht="15.75" customHeight="1" s="133">
      <c r="A2709" s="75" t="n"/>
      <c r="B2709" s="75" t="n"/>
      <c r="C2709" s="75" t="n"/>
      <c r="D2709" s="75" t="n"/>
      <c r="E2709" s="76" t="n"/>
      <c r="F2709" s="77" t="n"/>
      <c r="G2709" s="75" t="n"/>
      <c r="H2709" s="75">
        <f>IF(ISBLANK(E2709),"",IF(OR(D2709="Butterfly",D2709="Butterfly ",D2709="Iron Fly", D2709="Iron Fly "),LEN(E2709)-LEN(SUBSTITUTE(E2709,"/",""))+2,LEN(E2709)-LEN(SUBSTITUTE(E2709,"/",""))+1))</f>
        <v/>
      </c>
      <c r="I2709" s="78">
        <f>IF(ISBLANK(G2709),"",IF(D2709="Stock","0",Key!$A$3*H2709*G2709))</f>
        <v/>
      </c>
      <c r="J2709" s="78">
        <f>IF(ISBLANK(E2709),"",IF(ISNUMBER(SEARCH("/",E2709)), IF(LEN(E2709)-LEN(SUBSTITUTE(E2709,"/",""))=1,(RIGHT(E2709,LEN(E2709)-FIND("/",E2709)))-(LEFT(E2709,FIND("/",E2709)-1)),(MID(E2709, SEARCH("/",E2709) + 1, SEARCH("/",E2709, SEARCH("/",E2709)+1) - SEARCH("/",E2709) - 1))-(LEFT(E2709,FIND("/",E2709)-1))), "NA"))</f>
        <v/>
      </c>
      <c r="K2709" s="79">
        <f>IF(A2709&lt;&gt;"", IF(ISBLANK(L2709), TODAY(), K2709), "")</f>
        <v/>
      </c>
      <c r="L2709" s="78" t="n"/>
      <c r="M2709" s="78">
        <f>IF(ISBLANK(L2709),"",IF(D2709="Stock",IF(C2709="Buy",L2709*G2709,IF(C2709="Sell",(L2709*G2709)-I2709, X)),IF(C2709="Buy",(L2709*G2709*100)+I2709,IF(C2709="Sell",(L2709*G2709*100)-I2709, X))))</f>
        <v/>
      </c>
      <c r="N2709" s="78">
        <f>IF(ISBLANK(L2709),"",IF(AND(C2709="Sell",D2709="Stock"),M2709,IF(ISBLANK(L2709),"",IF(C2709="Buy",M2709, IF(AND(C2709="Sell",J2709="NA"),(E2709*G2709*100*0.1)+I2709, IF(C2709="Sell",(J2709-L2709)*(100*G2709)+I2709))))))</f>
        <v/>
      </c>
      <c r="O2709" s="75" t="n"/>
      <c r="P2709" s="75" t="n"/>
      <c r="Q2709" s="75">
        <f>IF(ISBLANK(P2709),"",IF(D2709="Stock",P2709*G2709,IF(P2709=0,"0",G2709*P2709*100-(G2709*$AF$14))))</f>
        <v/>
      </c>
      <c r="R2709" s="79">
        <f>IF(P2709&lt;&gt;"", TODAY(), "")</f>
        <v/>
      </c>
      <c r="S2709" s="78">
        <f>IF(AND(K2709&lt;&gt;"", R2709&lt;&gt;""), R2709-K2709, "")</f>
        <v/>
      </c>
      <c r="T2709" s="78" t="n"/>
      <c r="U2709" s="92">
        <f>IF(ISBLANK(P2709),"",IF(C2709="Buy",Q2709-M2709+T2709, IF(C2709="Sell",M2709-Q2709-T2709, X)))</f>
        <v/>
      </c>
      <c r="V2709" s="81">
        <f>IF(ISBLANK(P2709),"",U2709/N2709)</f>
        <v/>
      </c>
      <c r="W2709" s="81">
        <f>IF(ISBLANK(P2709),"",IF(S2709=0,(365/0.5)*V2709,(365/S2709)*V2709))</f>
        <v/>
      </c>
      <c r="X2709" s="75" t="n"/>
      <c r="Y2709" s="77" t="n"/>
      <c r="Z2709" s="77" t="n"/>
      <c r="AA2709" s="75" t="n"/>
      <c r="AB2709" s="75" t="n"/>
      <c r="AC2709" s="6" t="n"/>
      <c r="AD2709" s="75" t="n"/>
      <c r="AE2709" s="75" t="n"/>
      <c r="AF2709" s="75" t="n"/>
    </row>
    <row r="2710" ht="15.75" customHeight="1" s="133">
      <c r="A2710" s="75" t="n"/>
      <c r="B2710" s="75" t="n"/>
      <c r="C2710" s="75" t="n"/>
      <c r="D2710" s="75" t="n"/>
      <c r="E2710" s="76" t="n"/>
      <c r="F2710" s="77" t="n"/>
      <c r="G2710" s="75" t="n"/>
      <c r="H2710" s="75">
        <f>IF(ISBLANK(E2710),"",IF(OR(D2710="Butterfly",D2710="Butterfly ",D2710="Iron Fly", D2710="Iron Fly "),LEN(E2710)-LEN(SUBSTITUTE(E2710,"/",""))+2,LEN(E2710)-LEN(SUBSTITUTE(E2710,"/",""))+1))</f>
        <v/>
      </c>
      <c r="I2710" s="78">
        <f>IF(ISBLANK(G2710),"",IF(D2710="Stock","0",Key!$A$3*H2710*G2710))</f>
        <v/>
      </c>
      <c r="J2710" s="78">
        <f>IF(ISBLANK(E2710),"",IF(ISNUMBER(SEARCH("/",E2710)), IF(LEN(E2710)-LEN(SUBSTITUTE(E2710,"/",""))=1,(RIGHT(E2710,LEN(E2710)-FIND("/",E2710)))-(LEFT(E2710,FIND("/",E2710)-1)),(MID(E2710, SEARCH("/",E2710) + 1, SEARCH("/",E2710, SEARCH("/",E2710)+1) - SEARCH("/",E2710) - 1))-(LEFT(E2710,FIND("/",E2710)-1))), "NA"))</f>
        <v/>
      </c>
      <c r="K2710" s="79">
        <f>IF(A2710&lt;&gt;"", IF(ISBLANK(L2710), TODAY(), K2710), "")</f>
        <v/>
      </c>
      <c r="L2710" s="78" t="n"/>
      <c r="M2710" s="78">
        <f>IF(ISBLANK(L2710),"",IF(D2710="Stock",IF(C2710="Buy",L2710*G2710,IF(C2710="Sell",(L2710*G2710)-I2710, X)),IF(C2710="Buy",(L2710*G2710*100)+I2710,IF(C2710="Sell",(L2710*G2710*100)-I2710, X))))</f>
        <v/>
      </c>
      <c r="N2710" s="78">
        <f>IF(ISBLANK(L2710),"",IF(AND(C2710="Sell",D2710="Stock"),M2710,IF(ISBLANK(L2710),"",IF(C2710="Buy",M2710, IF(AND(C2710="Sell",J2710="NA"),(E2710*G2710*100*0.1)+I2710, IF(C2710="Sell",(J2710-L2710)*(100*G2710)+I2710))))))</f>
        <v/>
      </c>
      <c r="O2710" s="75" t="n"/>
      <c r="P2710" s="75" t="n"/>
      <c r="Q2710" s="75">
        <f>IF(ISBLANK(P2710),"",IF(D2710="Stock",P2710*G2710,IF(P2710=0,"0",G2710*P2710*100-(G2710*$AF$14))))</f>
        <v/>
      </c>
      <c r="R2710" s="79">
        <f>IF(P2710&lt;&gt;"", TODAY(), "")</f>
        <v/>
      </c>
      <c r="S2710" s="78">
        <f>IF(AND(K2710&lt;&gt;"", R2710&lt;&gt;""), R2710-K2710, "")</f>
        <v/>
      </c>
      <c r="T2710" s="78" t="n"/>
      <c r="U2710" s="92">
        <f>IF(ISBLANK(P2710),"",IF(C2710="Buy",Q2710-M2710+T2710, IF(C2710="Sell",M2710-Q2710-T2710, X)))</f>
        <v/>
      </c>
      <c r="V2710" s="81">
        <f>IF(ISBLANK(P2710),"",U2710/N2710)</f>
        <v/>
      </c>
      <c r="W2710" s="81">
        <f>IF(ISBLANK(P2710),"",IF(S2710=0,(365/0.5)*V2710,(365/S2710)*V2710))</f>
        <v/>
      </c>
      <c r="X2710" s="75" t="n"/>
      <c r="Y2710" s="77" t="n"/>
      <c r="Z2710" s="77" t="n"/>
      <c r="AA2710" s="75" t="n"/>
      <c r="AB2710" s="75" t="n"/>
      <c r="AC2710" s="6" t="n"/>
      <c r="AD2710" s="75" t="n"/>
      <c r="AE2710" s="75" t="n"/>
      <c r="AF2710" s="75" t="n"/>
    </row>
    <row r="2711" ht="15.75" customHeight="1" s="133">
      <c r="A2711" s="75" t="n"/>
      <c r="B2711" s="75" t="n"/>
      <c r="C2711" s="75" t="n"/>
      <c r="D2711" s="75" t="n"/>
      <c r="E2711" s="76" t="n"/>
      <c r="F2711" s="77" t="n"/>
      <c r="G2711" s="75" t="n"/>
      <c r="H2711" s="75">
        <f>IF(ISBLANK(E2711),"",IF(OR(D2711="Butterfly",D2711="Butterfly ",D2711="Iron Fly", D2711="Iron Fly "),LEN(E2711)-LEN(SUBSTITUTE(E2711,"/",""))+2,LEN(E2711)-LEN(SUBSTITUTE(E2711,"/",""))+1))</f>
        <v/>
      </c>
      <c r="I2711" s="78">
        <f>IF(ISBLANK(G2711),"",IF(D2711="Stock","0",Key!$A$3*H2711*G2711))</f>
        <v/>
      </c>
      <c r="J2711" s="78">
        <f>IF(ISBLANK(E2711),"",IF(ISNUMBER(SEARCH("/",E2711)), IF(LEN(E2711)-LEN(SUBSTITUTE(E2711,"/",""))=1,(RIGHT(E2711,LEN(E2711)-FIND("/",E2711)))-(LEFT(E2711,FIND("/",E2711)-1)),(MID(E2711, SEARCH("/",E2711) + 1, SEARCH("/",E2711, SEARCH("/",E2711)+1) - SEARCH("/",E2711) - 1))-(LEFT(E2711,FIND("/",E2711)-1))), "NA"))</f>
        <v/>
      </c>
      <c r="K2711" s="79">
        <f>IF(A2711&lt;&gt;"", IF(ISBLANK(L2711), TODAY(), K2711), "")</f>
        <v/>
      </c>
      <c r="L2711" s="78" t="n"/>
      <c r="M2711" s="78">
        <f>IF(ISBLANK(L2711),"",IF(D2711="Stock",IF(C2711="Buy",L2711*G2711,IF(C2711="Sell",(L2711*G2711)-I2711, X)),IF(C2711="Buy",(L2711*G2711*100)+I2711,IF(C2711="Sell",(L2711*G2711*100)-I2711, X))))</f>
        <v/>
      </c>
      <c r="N2711" s="78">
        <f>IF(ISBLANK(L2711),"",IF(AND(C2711="Sell",D2711="Stock"),M2711,IF(ISBLANK(L2711),"",IF(C2711="Buy",M2711, IF(AND(C2711="Sell",J2711="NA"),(E2711*G2711*100*0.1)+I2711, IF(C2711="Sell",(J2711-L2711)*(100*G2711)+I2711))))))</f>
        <v/>
      </c>
      <c r="O2711" s="75" t="n"/>
      <c r="P2711" s="75" t="n"/>
      <c r="Q2711" s="75">
        <f>IF(ISBLANK(P2711),"",IF(D2711="Stock",P2711*G2711,IF(P2711=0,"0",G2711*P2711*100-(G2711*$AF$14))))</f>
        <v/>
      </c>
      <c r="R2711" s="79">
        <f>IF(P2711&lt;&gt;"", TODAY(), "")</f>
        <v/>
      </c>
      <c r="S2711" s="78">
        <f>IF(AND(K2711&lt;&gt;"", R2711&lt;&gt;""), R2711-K2711, "")</f>
        <v/>
      </c>
      <c r="T2711" s="78" t="n"/>
      <c r="U2711" s="92">
        <f>IF(ISBLANK(P2711),"",IF(C2711="Buy",Q2711-M2711+T2711, IF(C2711="Sell",M2711-Q2711-T2711, X)))</f>
        <v/>
      </c>
      <c r="V2711" s="81">
        <f>IF(ISBLANK(P2711),"",U2711/N2711)</f>
        <v/>
      </c>
      <c r="W2711" s="81">
        <f>IF(ISBLANK(P2711),"",IF(S2711=0,(365/0.5)*V2711,(365/S2711)*V2711))</f>
        <v/>
      </c>
      <c r="X2711" s="75" t="n"/>
      <c r="Y2711" s="77" t="n"/>
      <c r="Z2711" s="77" t="n"/>
      <c r="AA2711" s="75" t="n"/>
      <c r="AB2711" s="75" t="n"/>
      <c r="AC2711" s="6" t="n"/>
      <c r="AD2711" s="75" t="n"/>
      <c r="AE2711" s="75" t="n"/>
      <c r="AF2711" s="75" t="n"/>
    </row>
    <row r="2712" ht="15.75" customHeight="1" s="133">
      <c r="A2712" s="75" t="n"/>
      <c r="B2712" s="75" t="n"/>
      <c r="C2712" s="75" t="n"/>
      <c r="D2712" s="75" t="n"/>
      <c r="E2712" s="76" t="n"/>
      <c r="F2712" s="77" t="n"/>
      <c r="G2712" s="75" t="n"/>
      <c r="H2712" s="75">
        <f>IF(ISBLANK(E2712),"",IF(OR(D2712="Butterfly",D2712="Butterfly ",D2712="Iron Fly", D2712="Iron Fly "),LEN(E2712)-LEN(SUBSTITUTE(E2712,"/",""))+2,LEN(E2712)-LEN(SUBSTITUTE(E2712,"/",""))+1))</f>
        <v/>
      </c>
      <c r="I2712" s="78">
        <f>IF(ISBLANK(G2712),"",IF(D2712="Stock","0",Key!$A$3*H2712*G2712))</f>
        <v/>
      </c>
      <c r="J2712" s="78">
        <f>IF(ISBLANK(E2712),"",IF(ISNUMBER(SEARCH("/",E2712)), IF(LEN(E2712)-LEN(SUBSTITUTE(E2712,"/",""))=1,(RIGHT(E2712,LEN(E2712)-FIND("/",E2712)))-(LEFT(E2712,FIND("/",E2712)-1)),(MID(E2712, SEARCH("/",E2712) + 1, SEARCH("/",E2712, SEARCH("/",E2712)+1) - SEARCH("/",E2712) - 1))-(LEFT(E2712,FIND("/",E2712)-1))), "NA"))</f>
        <v/>
      </c>
      <c r="K2712" s="79">
        <f>IF(A2712&lt;&gt;"", IF(ISBLANK(L2712), TODAY(), K2712), "")</f>
        <v/>
      </c>
      <c r="L2712" s="78" t="n"/>
      <c r="M2712" s="78">
        <f>IF(ISBLANK(L2712),"",IF(D2712="Stock",IF(C2712="Buy",L2712*G2712,IF(C2712="Sell",(L2712*G2712)-I2712, X)),IF(C2712="Buy",(L2712*G2712*100)+I2712,IF(C2712="Sell",(L2712*G2712*100)-I2712, X))))</f>
        <v/>
      </c>
      <c r="N2712" s="78">
        <f>IF(ISBLANK(L2712),"",IF(AND(C2712="Sell",D2712="Stock"),M2712,IF(ISBLANK(L2712),"",IF(C2712="Buy",M2712, IF(AND(C2712="Sell",J2712="NA"),(E2712*G2712*100*0.1)+I2712, IF(C2712="Sell",(J2712-L2712)*(100*G2712)+I2712))))))</f>
        <v/>
      </c>
      <c r="O2712" s="75" t="n"/>
      <c r="P2712" s="75" t="n"/>
      <c r="Q2712" s="75">
        <f>IF(ISBLANK(P2712),"",IF(D2712="Stock",P2712*G2712,IF(P2712=0,"0",G2712*P2712*100-(G2712*$AF$14))))</f>
        <v/>
      </c>
      <c r="R2712" s="79">
        <f>IF(P2712&lt;&gt;"", TODAY(), "")</f>
        <v/>
      </c>
      <c r="S2712" s="78">
        <f>IF(AND(K2712&lt;&gt;"", R2712&lt;&gt;""), R2712-K2712, "")</f>
        <v/>
      </c>
      <c r="T2712" s="78" t="n"/>
      <c r="U2712" s="92">
        <f>IF(ISBLANK(P2712),"",IF(C2712="Buy",Q2712-M2712+T2712, IF(C2712="Sell",M2712-Q2712-T2712, X)))</f>
        <v/>
      </c>
      <c r="V2712" s="81">
        <f>IF(ISBLANK(P2712),"",U2712/N2712)</f>
        <v/>
      </c>
      <c r="W2712" s="81">
        <f>IF(ISBLANK(P2712),"",IF(S2712=0,(365/0.5)*V2712,(365/S2712)*V2712))</f>
        <v/>
      </c>
      <c r="X2712" s="75" t="n"/>
      <c r="Y2712" s="77" t="n"/>
      <c r="Z2712" s="77" t="n"/>
      <c r="AA2712" s="75" t="n"/>
      <c r="AB2712" s="75" t="n"/>
      <c r="AC2712" s="6" t="n"/>
      <c r="AD2712" s="75" t="n"/>
      <c r="AE2712" s="75" t="n"/>
      <c r="AF2712" s="75" t="n"/>
    </row>
    <row r="2713" ht="15.75" customHeight="1" s="133">
      <c r="A2713" s="75" t="n"/>
      <c r="B2713" s="75" t="n"/>
      <c r="C2713" s="75" t="n"/>
      <c r="D2713" s="75" t="n"/>
      <c r="E2713" s="76" t="n"/>
      <c r="F2713" s="77" t="n"/>
      <c r="G2713" s="75" t="n"/>
      <c r="H2713" s="75">
        <f>IF(ISBLANK(E2713),"",IF(OR(D2713="Butterfly",D2713="Butterfly ",D2713="Iron Fly", D2713="Iron Fly "),LEN(E2713)-LEN(SUBSTITUTE(E2713,"/",""))+2,LEN(E2713)-LEN(SUBSTITUTE(E2713,"/",""))+1))</f>
        <v/>
      </c>
      <c r="I2713" s="78">
        <f>IF(ISBLANK(G2713),"",IF(D2713="Stock","0",Key!$A$3*H2713*G2713))</f>
        <v/>
      </c>
      <c r="J2713" s="78">
        <f>IF(ISBLANK(E2713),"",IF(ISNUMBER(SEARCH("/",E2713)), IF(LEN(E2713)-LEN(SUBSTITUTE(E2713,"/",""))=1,(RIGHT(E2713,LEN(E2713)-FIND("/",E2713)))-(LEFT(E2713,FIND("/",E2713)-1)),(MID(E2713, SEARCH("/",E2713) + 1, SEARCH("/",E2713, SEARCH("/",E2713)+1) - SEARCH("/",E2713) - 1))-(LEFT(E2713,FIND("/",E2713)-1))), "NA"))</f>
        <v/>
      </c>
      <c r="K2713" s="79">
        <f>IF(A2713&lt;&gt;"", IF(ISBLANK(L2713), TODAY(), K2713), "")</f>
        <v/>
      </c>
      <c r="L2713" s="78" t="n"/>
      <c r="M2713" s="78">
        <f>IF(ISBLANK(L2713),"",IF(D2713="Stock",IF(C2713="Buy",L2713*G2713,IF(C2713="Sell",(L2713*G2713)-I2713, X)),IF(C2713="Buy",(L2713*G2713*100)+I2713,IF(C2713="Sell",(L2713*G2713*100)-I2713, X))))</f>
        <v/>
      </c>
      <c r="N2713" s="78">
        <f>IF(ISBLANK(L2713),"",IF(AND(C2713="Sell",D2713="Stock"),M2713,IF(ISBLANK(L2713),"",IF(C2713="Buy",M2713, IF(AND(C2713="Sell",J2713="NA"),(E2713*G2713*100*0.1)+I2713, IF(C2713="Sell",(J2713-L2713)*(100*G2713)+I2713))))))</f>
        <v/>
      </c>
      <c r="O2713" s="75" t="n"/>
      <c r="P2713" s="75" t="n"/>
      <c r="Q2713" s="75">
        <f>IF(ISBLANK(P2713),"",IF(D2713="Stock",P2713*G2713,IF(P2713=0,"0",G2713*P2713*100-(G2713*$AF$14))))</f>
        <v/>
      </c>
      <c r="R2713" s="79">
        <f>IF(P2713&lt;&gt;"", TODAY(), "")</f>
        <v/>
      </c>
      <c r="S2713" s="78">
        <f>IF(AND(K2713&lt;&gt;"", R2713&lt;&gt;""), R2713-K2713, "")</f>
        <v/>
      </c>
      <c r="T2713" s="78" t="n"/>
      <c r="U2713" s="92">
        <f>IF(ISBLANK(P2713),"",IF(C2713="Buy",Q2713-M2713+T2713, IF(C2713="Sell",M2713-Q2713-T2713, X)))</f>
        <v/>
      </c>
      <c r="V2713" s="81">
        <f>IF(ISBLANK(P2713),"",U2713/N2713)</f>
        <v/>
      </c>
      <c r="W2713" s="81">
        <f>IF(ISBLANK(P2713),"",IF(S2713=0,(365/0.5)*V2713,(365/S2713)*V2713))</f>
        <v/>
      </c>
      <c r="X2713" s="75" t="n"/>
      <c r="Y2713" s="77" t="n"/>
      <c r="Z2713" s="77" t="n"/>
      <c r="AA2713" s="75" t="n"/>
      <c r="AB2713" s="75" t="n"/>
      <c r="AC2713" s="6" t="n"/>
      <c r="AD2713" s="75" t="n"/>
      <c r="AE2713" s="75" t="n"/>
      <c r="AF2713" s="75" t="n"/>
    </row>
    <row r="2714" ht="15.75" customHeight="1" s="133">
      <c r="A2714" s="75" t="n"/>
      <c r="B2714" s="75" t="n"/>
      <c r="C2714" s="75" t="n"/>
      <c r="D2714" s="75" t="n"/>
      <c r="E2714" s="76" t="n"/>
      <c r="F2714" s="77" t="n"/>
      <c r="G2714" s="75" t="n"/>
      <c r="H2714" s="75">
        <f>IF(ISBLANK(E2714),"",IF(OR(D2714="Butterfly",D2714="Butterfly ",D2714="Iron Fly", D2714="Iron Fly "),LEN(E2714)-LEN(SUBSTITUTE(E2714,"/",""))+2,LEN(E2714)-LEN(SUBSTITUTE(E2714,"/",""))+1))</f>
        <v/>
      </c>
      <c r="I2714" s="78">
        <f>IF(ISBLANK(G2714),"",IF(D2714="Stock","0",Key!$A$3*H2714*G2714))</f>
        <v/>
      </c>
      <c r="J2714" s="78">
        <f>IF(ISBLANK(E2714),"",IF(ISNUMBER(SEARCH("/",E2714)), IF(LEN(E2714)-LEN(SUBSTITUTE(E2714,"/",""))=1,(RIGHT(E2714,LEN(E2714)-FIND("/",E2714)))-(LEFT(E2714,FIND("/",E2714)-1)),(MID(E2714, SEARCH("/",E2714) + 1, SEARCH("/",E2714, SEARCH("/",E2714)+1) - SEARCH("/",E2714) - 1))-(LEFT(E2714,FIND("/",E2714)-1))), "NA"))</f>
        <v/>
      </c>
      <c r="K2714" s="79">
        <f>IF(A2714&lt;&gt;"", IF(ISBLANK(L2714), TODAY(), K2714), "")</f>
        <v/>
      </c>
      <c r="L2714" s="78" t="n"/>
      <c r="M2714" s="78">
        <f>IF(ISBLANK(L2714),"",IF(D2714="Stock",IF(C2714="Buy",L2714*G2714,IF(C2714="Sell",(L2714*G2714)-I2714, X)),IF(C2714="Buy",(L2714*G2714*100)+I2714,IF(C2714="Sell",(L2714*G2714*100)-I2714, X))))</f>
        <v/>
      </c>
      <c r="N2714" s="78">
        <f>IF(ISBLANK(L2714),"",IF(AND(C2714="Sell",D2714="Stock"),M2714,IF(ISBLANK(L2714),"",IF(C2714="Buy",M2714, IF(AND(C2714="Sell",J2714="NA"),(E2714*G2714*100*0.1)+I2714, IF(C2714="Sell",(J2714-L2714)*(100*G2714)+I2714))))))</f>
        <v/>
      </c>
      <c r="O2714" s="75" t="n"/>
      <c r="P2714" s="75" t="n"/>
      <c r="Q2714" s="75">
        <f>IF(ISBLANK(P2714),"",IF(D2714="Stock",P2714*G2714,IF(P2714=0,"0",G2714*P2714*100-(G2714*$AF$14))))</f>
        <v/>
      </c>
      <c r="R2714" s="79">
        <f>IF(P2714&lt;&gt;"", TODAY(), "")</f>
        <v/>
      </c>
      <c r="S2714" s="78">
        <f>IF(AND(K2714&lt;&gt;"", R2714&lt;&gt;""), R2714-K2714, "")</f>
        <v/>
      </c>
      <c r="T2714" s="78" t="n"/>
      <c r="U2714" s="92">
        <f>IF(ISBLANK(P2714),"",IF(C2714="Buy",Q2714-M2714+T2714, IF(C2714="Sell",M2714-Q2714-T2714, X)))</f>
        <v/>
      </c>
      <c r="V2714" s="81">
        <f>IF(ISBLANK(P2714),"",U2714/N2714)</f>
        <v/>
      </c>
      <c r="W2714" s="81">
        <f>IF(ISBLANK(P2714),"",IF(S2714=0,(365/0.5)*V2714,(365/S2714)*V2714))</f>
        <v/>
      </c>
      <c r="X2714" s="75" t="n"/>
      <c r="Y2714" s="77" t="n"/>
      <c r="Z2714" s="77" t="n"/>
      <c r="AA2714" s="75" t="n"/>
      <c r="AB2714" s="75" t="n"/>
      <c r="AC2714" s="6" t="n"/>
      <c r="AD2714" s="75" t="n"/>
      <c r="AE2714" s="75" t="n"/>
      <c r="AF2714" s="75" t="n"/>
    </row>
    <row r="2715" ht="15.75" customHeight="1" s="133">
      <c r="A2715" s="75" t="n"/>
      <c r="B2715" s="75" t="n"/>
      <c r="C2715" s="75" t="n"/>
      <c r="D2715" s="75" t="n"/>
      <c r="E2715" s="76" t="n"/>
      <c r="F2715" s="77" t="n"/>
      <c r="G2715" s="75" t="n"/>
      <c r="H2715" s="75">
        <f>IF(ISBLANK(E2715),"",IF(OR(D2715="Butterfly",D2715="Butterfly ",D2715="Iron Fly", D2715="Iron Fly "),LEN(E2715)-LEN(SUBSTITUTE(E2715,"/",""))+2,LEN(E2715)-LEN(SUBSTITUTE(E2715,"/",""))+1))</f>
        <v/>
      </c>
      <c r="I2715" s="78">
        <f>IF(ISBLANK(G2715),"",IF(D2715="Stock","0",Key!$A$3*H2715*G2715))</f>
        <v/>
      </c>
      <c r="J2715" s="78">
        <f>IF(ISBLANK(E2715),"",IF(ISNUMBER(SEARCH("/",E2715)), IF(LEN(E2715)-LEN(SUBSTITUTE(E2715,"/",""))=1,(RIGHT(E2715,LEN(E2715)-FIND("/",E2715)))-(LEFT(E2715,FIND("/",E2715)-1)),(MID(E2715, SEARCH("/",E2715) + 1, SEARCH("/",E2715, SEARCH("/",E2715)+1) - SEARCH("/",E2715) - 1))-(LEFT(E2715,FIND("/",E2715)-1))), "NA"))</f>
        <v/>
      </c>
      <c r="K2715" s="79">
        <f>IF(A2715&lt;&gt;"", IF(ISBLANK(L2715), TODAY(), K2715), "")</f>
        <v/>
      </c>
      <c r="L2715" s="78" t="n"/>
      <c r="M2715" s="78">
        <f>IF(ISBLANK(L2715),"",IF(D2715="Stock",IF(C2715="Buy",L2715*G2715,IF(C2715="Sell",(L2715*G2715)-I2715, X)),IF(C2715="Buy",(L2715*G2715*100)+I2715,IF(C2715="Sell",(L2715*G2715*100)-I2715, X))))</f>
        <v/>
      </c>
      <c r="N2715" s="78">
        <f>IF(ISBLANK(L2715),"",IF(AND(C2715="Sell",D2715="Stock"),M2715,IF(ISBLANK(L2715),"",IF(C2715="Buy",M2715, IF(AND(C2715="Sell",J2715="NA"),(E2715*G2715*100*0.1)+I2715, IF(C2715="Sell",(J2715-L2715)*(100*G2715)+I2715))))))</f>
        <v/>
      </c>
      <c r="O2715" s="75" t="n"/>
      <c r="P2715" s="75" t="n"/>
      <c r="Q2715" s="75">
        <f>IF(ISBLANK(P2715),"",IF(D2715="Stock",P2715*G2715,IF(P2715=0,"0",G2715*P2715*100-(G2715*$AF$14))))</f>
        <v/>
      </c>
      <c r="R2715" s="79">
        <f>IF(P2715&lt;&gt;"", TODAY(), "")</f>
        <v/>
      </c>
      <c r="S2715" s="78">
        <f>IF(AND(K2715&lt;&gt;"", R2715&lt;&gt;""), R2715-K2715, "")</f>
        <v/>
      </c>
      <c r="T2715" s="78" t="n"/>
      <c r="U2715" s="92">
        <f>IF(ISBLANK(P2715),"",IF(C2715="Buy",Q2715-M2715+T2715, IF(C2715="Sell",M2715-Q2715-T2715, X)))</f>
        <v/>
      </c>
      <c r="V2715" s="81">
        <f>IF(ISBLANK(P2715),"",U2715/N2715)</f>
        <v/>
      </c>
      <c r="W2715" s="81">
        <f>IF(ISBLANK(P2715),"",IF(S2715=0,(365/0.5)*V2715,(365/S2715)*V2715))</f>
        <v/>
      </c>
      <c r="X2715" s="75" t="n"/>
      <c r="Y2715" s="77" t="n"/>
      <c r="Z2715" s="77" t="n"/>
      <c r="AA2715" s="75" t="n"/>
      <c r="AB2715" s="75" t="n"/>
      <c r="AC2715" s="6" t="n"/>
      <c r="AD2715" s="75" t="n"/>
      <c r="AE2715" s="75" t="n"/>
      <c r="AF2715" s="75" t="n"/>
    </row>
    <row r="2716" ht="15.75" customHeight="1" s="133">
      <c r="A2716" s="75" t="n"/>
      <c r="B2716" s="75" t="n"/>
      <c r="C2716" s="75" t="n"/>
      <c r="D2716" s="75" t="n"/>
      <c r="E2716" s="76" t="n"/>
      <c r="F2716" s="77" t="n"/>
      <c r="G2716" s="75" t="n"/>
      <c r="H2716" s="75">
        <f>IF(ISBLANK(E2716),"",IF(OR(D2716="Butterfly",D2716="Butterfly ",D2716="Iron Fly", D2716="Iron Fly "),LEN(E2716)-LEN(SUBSTITUTE(E2716,"/",""))+2,LEN(E2716)-LEN(SUBSTITUTE(E2716,"/",""))+1))</f>
        <v/>
      </c>
      <c r="I2716" s="78">
        <f>IF(ISBLANK(G2716),"",IF(D2716="Stock","0",Key!$A$3*H2716*G2716))</f>
        <v/>
      </c>
      <c r="J2716" s="78">
        <f>IF(ISBLANK(E2716),"",IF(ISNUMBER(SEARCH("/",E2716)), IF(LEN(E2716)-LEN(SUBSTITUTE(E2716,"/",""))=1,(RIGHT(E2716,LEN(E2716)-FIND("/",E2716)))-(LEFT(E2716,FIND("/",E2716)-1)),(MID(E2716, SEARCH("/",E2716) + 1, SEARCH("/",E2716, SEARCH("/",E2716)+1) - SEARCH("/",E2716) - 1))-(LEFT(E2716,FIND("/",E2716)-1))), "NA"))</f>
        <v/>
      </c>
      <c r="K2716" s="79">
        <f>IF(A2716&lt;&gt;"", IF(ISBLANK(L2716), TODAY(), K2716), "")</f>
        <v/>
      </c>
      <c r="L2716" s="78" t="n"/>
      <c r="M2716" s="78">
        <f>IF(ISBLANK(L2716),"",IF(D2716="Stock",IF(C2716="Buy",L2716*G2716,IF(C2716="Sell",(L2716*G2716)-I2716, X)),IF(C2716="Buy",(L2716*G2716*100)+I2716,IF(C2716="Sell",(L2716*G2716*100)-I2716, X))))</f>
        <v/>
      </c>
      <c r="N2716" s="78">
        <f>IF(ISBLANK(L2716),"",IF(AND(C2716="Sell",D2716="Stock"),M2716,IF(ISBLANK(L2716),"",IF(C2716="Buy",M2716, IF(AND(C2716="Sell",J2716="NA"),(E2716*G2716*100*0.1)+I2716, IF(C2716="Sell",(J2716-L2716)*(100*G2716)+I2716))))))</f>
        <v/>
      </c>
      <c r="O2716" s="75" t="n"/>
      <c r="P2716" s="75" t="n"/>
      <c r="Q2716" s="75">
        <f>IF(ISBLANK(P2716),"",IF(D2716="Stock",P2716*G2716,IF(P2716=0,"0",G2716*P2716*100-(G2716*$AF$14))))</f>
        <v/>
      </c>
      <c r="R2716" s="79">
        <f>IF(P2716&lt;&gt;"", TODAY(), "")</f>
        <v/>
      </c>
      <c r="S2716" s="78">
        <f>IF(AND(K2716&lt;&gt;"", R2716&lt;&gt;""), R2716-K2716, "")</f>
        <v/>
      </c>
      <c r="T2716" s="78" t="n"/>
      <c r="U2716" s="92">
        <f>IF(ISBLANK(P2716),"",IF(C2716="Buy",Q2716-M2716+T2716, IF(C2716="Sell",M2716-Q2716-T2716, X)))</f>
        <v/>
      </c>
      <c r="V2716" s="81">
        <f>IF(ISBLANK(P2716),"",U2716/N2716)</f>
        <v/>
      </c>
      <c r="W2716" s="81">
        <f>IF(ISBLANK(P2716),"",IF(S2716=0,(365/0.5)*V2716,(365/S2716)*V2716))</f>
        <v/>
      </c>
      <c r="X2716" s="75" t="n"/>
      <c r="Y2716" s="77" t="n"/>
      <c r="Z2716" s="77" t="n"/>
      <c r="AA2716" s="75" t="n"/>
      <c r="AB2716" s="75" t="n"/>
      <c r="AC2716" s="6" t="n"/>
      <c r="AD2716" s="75" t="n"/>
      <c r="AE2716" s="75" t="n"/>
      <c r="AF2716" s="75" t="n"/>
    </row>
    <row r="2717" ht="15.75" customHeight="1" s="133">
      <c r="A2717" s="75" t="n"/>
      <c r="B2717" s="75" t="n"/>
      <c r="C2717" s="75" t="n"/>
      <c r="D2717" s="75" t="n"/>
      <c r="E2717" s="76" t="n"/>
      <c r="F2717" s="77" t="n"/>
      <c r="G2717" s="75" t="n"/>
      <c r="H2717" s="75">
        <f>IF(ISBLANK(E2717),"",IF(OR(D2717="Butterfly",D2717="Butterfly ",D2717="Iron Fly", D2717="Iron Fly "),LEN(E2717)-LEN(SUBSTITUTE(E2717,"/",""))+2,LEN(E2717)-LEN(SUBSTITUTE(E2717,"/",""))+1))</f>
        <v/>
      </c>
      <c r="I2717" s="78">
        <f>IF(ISBLANK(G2717),"",IF(D2717="Stock","0",Key!$A$3*H2717*G2717))</f>
        <v/>
      </c>
      <c r="J2717" s="78">
        <f>IF(ISBLANK(E2717),"",IF(ISNUMBER(SEARCH("/",E2717)), IF(LEN(E2717)-LEN(SUBSTITUTE(E2717,"/",""))=1,(RIGHT(E2717,LEN(E2717)-FIND("/",E2717)))-(LEFT(E2717,FIND("/",E2717)-1)),(MID(E2717, SEARCH("/",E2717) + 1, SEARCH("/",E2717, SEARCH("/",E2717)+1) - SEARCH("/",E2717) - 1))-(LEFT(E2717,FIND("/",E2717)-1))), "NA"))</f>
        <v/>
      </c>
      <c r="K2717" s="79">
        <f>IF(A2717&lt;&gt;"", IF(ISBLANK(L2717), TODAY(), K2717), "")</f>
        <v/>
      </c>
      <c r="L2717" s="78" t="n"/>
      <c r="M2717" s="78">
        <f>IF(ISBLANK(L2717),"",IF(D2717="Stock",IF(C2717="Buy",L2717*G2717,IF(C2717="Sell",(L2717*G2717)-I2717, X)),IF(C2717="Buy",(L2717*G2717*100)+I2717,IF(C2717="Sell",(L2717*G2717*100)-I2717, X))))</f>
        <v/>
      </c>
      <c r="N2717" s="78">
        <f>IF(ISBLANK(L2717),"",IF(AND(C2717="Sell",D2717="Stock"),M2717,IF(ISBLANK(L2717),"",IF(C2717="Buy",M2717, IF(AND(C2717="Sell",J2717="NA"),(E2717*G2717*100*0.1)+I2717, IF(C2717="Sell",(J2717-L2717)*(100*G2717)+I2717))))))</f>
        <v/>
      </c>
      <c r="O2717" s="75" t="n"/>
      <c r="P2717" s="75" t="n"/>
      <c r="Q2717" s="75">
        <f>IF(ISBLANK(P2717),"",IF(D2717="Stock",P2717*G2717,IF(P2717=0,"0",G2717*P2717*100-(G2717*$AF$14))))</f>
        <v/>
      </c>
      <c r="R2717" s="79">
        <f>IF(P2717&lt;&gt;"", TODAY(), "")</f>
        <v/>
      </c>
      <c r="S2717" s="78">
        <f>IF(AND(K2717&lt;&gt;"", R2717&lt;&gt;""), R2717-K2717, "")</f>
        <v/>
      </c>
      <c r="T2717" s="78" t="n"/>
      <c r="U2717" s="92">
        <f>IF(ISBLANK(P2717),"",IF(C2717="Buy",Q2717-M2717+T2717, IF(C2717="Sell",M2717-Q2717-T2717, X)))</f>
        <v/>
      </c>
      <c r="V2717" s="81">
        <f>IF(ISBLANK(P2717),"",U2717/N2717)</f>
        <v/>
      </c>
      <c r="W2717" s="81">
        <f>IF(ISBLANK(P2717),"",IF(S2717=0,(365/0.5)*V2717,(365/S2717)*V2717))</f>
        <v/>
      </c>
      <c r="X2717" s="75" t="n"/>
      <c r="Y2717" s="77" t="n"/>
      <c r="Z2717" s="77" t="n"/>
      <c r="AA2717" s="75" t="n"/>
      <c r="AB2717" s="75" t="n"/>
      <c r="AC2717" s="6" t="n"/>
      <c r="AD2717" s="75" t="n"/>
      <c r="AE2717" s="75" t="n"/>
      <c r="AF2717" s="75" t="n"/>
    </row>
    <row r="2718" ht="15.75" customHeight="1" s="133">
      <c r="A2718" s="75" t="n"/>
      <c r="B2718" s="75" t="n"/>
      <c r="C2718" s="75" t="n"/>
      <c r="D2718" s="75" t="n"/>
      <c r="E2718" s="76" t="n"/>
      <c r="F2718" s="77" t="n"/>
      <c r="G2718" s="75" t="n"/>
      <c r="H2718" s="75">
        <f>IF(ISBLANK(E2718),"",IF(OR(D2718="Butterfly",D2718="Butterfly ",D2718="Iron Fly", D2718="Iron Fly "),LEN(E2718)-LEN(SUBSTITUTE(E2718,"/",""))+2,LEN(E2718)-LEN(SUBSTITUTE(E2718,"/",""))+1))</f>
        <v/>
      </c>
      <c r="I2718" s="78">
        <f>IF(ISBLANK(G2718),"",IF(D2718="Stock","0",Key!$A$3*H2718*G2718))</f>
        <v/>
      </c>
      <c r="J2718" s="78">
        <f>IF(ISBLANK(E2718),"",IF(ISNUMBER(SEARCH("/",E2718)), IF(LEN(E2718)-LEN(SUBSTITUTE(E2718,"/",""))=1,(RIGHT(E2718,LEN(E2718)-FIND("/",E2718)))-(LEFT(E2718,FIND("/",E2718)-1)),(MID(E2718, SEARCH("/",E2718) + 1, SEARCH("/",E2718, SEARCH("/",E2718)+1) - SEARCH("/",E2718) - 1))-(LEFT(E2718,FIND("/",E2718)-1))), "NA"))</f>
        <v/>
      </c>
      <c r="K2718" s="79">
        <f>IF(A2718&lt;&gt;"", IF(ISBLANK(L2718), TODAY(), K2718), "")</f>
        <v/>
      </c>
      <c r="L2718" s="78" t="n"/>
      <c r="M2718" s="78">
        <f>IF(ISBLANK(L2718),"",IF(D2718="Stock",IF(C2718="Buy",L2718*G2718,IF(C2718="Sell",(L2718*G2718)-I2718, X)),IF(C2718="Buy",(L2718*G2718*100)+I2718,IF(C2718="Sell",(L2718*G2718*100)-I2718, X))))</f>
        <v/>
      </c>
      <c r="N2718" s="78">
        <f>IF(ISBLANK(L2718),"",IF(AND(C2718="Sell",D2718="Stock"),M2718,IF(ISBLANK(L2718),"",IF(C2718="Buy",M2718, IF(AND(C2718="Sell",J2718="NA"),(E2718*G2718*100*0.1)+I2718, IF(C2718="Sell",(J2718-L2718)*(100*G2718)+I2718))))))</f>
        <v/>
      </c>
      <c r="O2718" s="75" t="n"/>
      <c r="P2718" s="75" t="n"/>
      <c r="Q2718" s="75">
        <f>IF(ISBLANK(P2718),"",IF(D2718="Stock",P2718*G2718,IF(P2718=0,"0",G2718*P2718*100-(G2718*$AF$14))))</f>
        <v/>
      </c>
      <c r="R2718" s="79">
        <f>IF(P2718&lt;&gt;"", TODAY(), "")</f>
        <v/>
      </c>
      <c r="S2718" s="78">
        <f>IF(AND(K2718&lt;&gt;"", R2718&lt;&gt;""), R2718-K2718, "")</f>
        <v/>
      </c>
      <c r="T2718" s="78" t="n"/>
      <c r="U2718" s="92">
        <f>IF(ISBLANK(P2718),"",IF(C2718="Buy",Q2718-M2718+T2718, IF(C2718="Sell",M2718-Q2718-T2718, X)))</f>
        <v/>
      </c>
      <c r="V2718" s="81">
        <f>IF(ISBLANK(P2718),"",U2718/N2718)</f>
        <v/>
      </c>
      <c r="W2718" s="81">
        <f>IF(ISBLANK(P2718),"",IF(S2718=0,(365/0.5)*V2718,(365/S2718)*V2718))</f>
        <v/>
      </c>
      <c r="X2718" s="75" t="n"/>
      <c r="Y2718" s="77" t="n"/>
      <c r="Z2718" s="77" t="n"/>
      <c r="AA2718" s="75" t="n"/>
      <c r="AB2718" s="75" t="n"/>
      <c r="AC2718" s="6" t="n"/>
      <c r="AD2718" s="75" t="n"/>
      <c r="AE2718" s="75" t="n"/>
      <c r="AF2718" s="75" t="n"/>
    </row>
    <row r="2719" ht="15.75" customHeight="1" s="133">
      <c r="A2719" s="75" t="n"/>
      <c r="B2719" s="75" t="n"/>
      <c r="C2719" s="75" t="n"/>
      <c r="D2719" s="75" t="n"/>
      <c r="E2719" s="76" t="n"/>
      <c r="F2719" s="77" t="n"/>
      <c r="G2719" s="75" t="n"/>
      <c r="H2719" s="75">
        <f>IF(ISBLANK(E2719),"",IF(OR(D2719="Butterfly",D2719="Butterfly ",D2719="Iron Fly", D2719="Iron Fly "),LEN(E2719)-LEN(SUBSTITUTE(E2719,"/",""))+2,LEN(E2719)-LEN(SUBSTITUTE(E2719,"/",""))+1))</f>
        <v/>
      </c>
      <c r="I2719" s="78">
        <f>IF(ISBLANK(G2719),"",IF(D2719="Stock","0",Key!$A$3*H2719*G2719))</f>
        <v/>
      </c>
      <c r="J2719" s="78">
        <f>IF(ISBLANK(E2719),"",IF(ISNUMBER(SEARCH("/",E2719)), IF(LEN(E2719)-LEN(SUBSTITUTE(E2719,"/",""))=1,(RIGHT(E2719,LEN(E2719)-FIND("/",E2719)))-(LEFT(E2719,FIND("/",E2719)-1)),(MID(E2719, SEARCH("/",E2719) + 1, SEARCH("/",E2719, SEARCH("/",E2719)+1) - SEARCH("/",E2719) - 1))-(LEFT(E2719,FIND("/",E2719)-1))), "NA"))</f>
        <v/>
      </c>
      <c r="K2719" s="79">
        <f>IF(A2719&lt;&gt;"", IF(ISBLANK(L2719), TODAY(), K2719), "")</f>
        <v/>
      </c>
      <c r="L2719" s="78" t="n"/>
      <c r="M2719" s="78">
        <f>IF(ISBLANK(L2719),"",IF(D2719="Stock",IF(C2719="Buy",L2719*G2719,IF(C2719="Sell",(L2719*G2719)-I2719, X)),IF(C2719="Buy",(L2719*G2719*100)+I2719,IF(C2719="Sell",(L2719*G2719*100)-I2719, X))))</f>
        <v/>
      </c>
      <c r="N2719" s="78">
        <f>IF(ISBLANK(L2719),"",IF(AND(C2719="Sell",D2719="Stock"),M2719,IF(ISBLANK(L2719),"",IF(C2719="Buy",M2719, IF(AND(C2719="Sell",J2719="NA"),(E2719*G2719*100*0.1)+I2719, IF(C2719="Sell",(J2719-L2719)*(100*G2719)+I2719))))))</f>
        <v/>
      </c>
      <c r="O2719" s="75" t="n"/>
      <c r="P2719" s="75" t="n"/>
      <c r="Q2719" s="75">
        <f>IF(ISBLANK(P2719),"",IF(D2719="Stock",P2719*G2719,IF(P2719=0,"0",G2719*P2719*100-(G2719*$AF$14))))</f>
        <v/>
      </c>
      <c r="R2719" s="79">
        <f>IF(P2719&lt;&gt;"", TODAY(), "")</f>
        <v/>
      </c>
      <c r="S2719" s="78">
        <f>IF(AND(K2719&lt;&gt;"", R2719&lt;&gt;""), R2719-K2719, "")</f>
        <v/>
      </c>
      <c r="T2719" s="78" t="n"/>
      <c r="U2719" s="92">
        <f>IF(ISBLANK(P2719),"",IF(C2719="Buy",Q2719-M2719+T2719, IF(C2719="Sell",M2719-Q2719-T2719, X)))</f>
        <v/>
      </c>
      <c r="V2719" s="81">
        <f>IF(ISBLANK(P2719),"",U2719/N2719)</f>
        <v/>
      </c>
      <c r="W2719" s="81">
        <f>IF(ISBLANK(P2719),"",IF(S2719=0,(365/0.5)*V2719,(365/S2719)*V2719))</f>
        <v/>
      </c>
      <c r="X2719" s="75" t="n"/>
      <c r="Y2719" s="77" t="n"/>
      <c r="Z2719" s="77" t="n"/>
      <c r="AA2719" s="75" t="n"/>
      <c r="AB2719" s="75" t="n"/>
      <c r="AC2719" s="6" t="n"/>
      <c r="AD2719" s="75" t="n"/>
      <c r="AE2719" s="75" t="n"/>
      <c r="AF2719" s="75" t="n"/>
    </row>
    <row r="2720" ht="15.75" customHeight="1" s="133">
      <c r="A2720" s="75" t="n"/>
      <c r="B2720" s="75" t="n"/>
      <c r="C2720" s="75" t="n"/>
      <c r="D2720" s="75" t="n"/>
      <c r="E2720" s="76" t="n"/>
      <c r="F2720" s="77" t="n"/>
      <c r="G2720" s="75" t="n"/>
      <c r="H2720" s="75">
        <f>IF(ISBLANK(E2720),"",IF(OR(D2720="Butterfly",D2720="Butterfly ",D2720="Iron Fly", D2720="Iron Fly "),LEN(E2720)-LEN(SUBSTITUTE(E2720,"/",""))+2,LEN(E2720)-LEN(SUBSTITUTE(E2720,"/",""))+1))</f>
        <v/>
      </c>
      <c r="I2720" s="78">
        <f>IF(ISBLANK(G2720),"",IF(D2720="Stock","0",Key!$A$3*H2720*G2720))</f>
        <v/>
      </c>
      <c r="J2720" s="78">
        <f>IF(ISBLANK(E2720),"",IF(ISNUMBER(SEARCH("/",E2720)), IF(LEN(E2720)-LEN(SUBSTITUTE(E2720,"/",""))=1,(RIGHT(E2720,LEN(E2720)-FIND("/",E2720)))-(LEFT(E2720,FIND("/",E2720)-1)),(MID(E2720, SEARCH("/",E2720) + 1, SEARCH("/",E2720, SEARCH("/",E2720)+1) - SEARCH("/",E2720) - 1))-(LEFT(E2720,FIND("/",E2720)-1))), "NA"))</f>
        <v/>
      </c>
      <c r="K2720" s="79">
        <f>IF(A2720&lt;&gt;"", IF(ISBLANK(L2720), TODAY(), K2720), "")</f>
        <v/>
      </c>
      <c r="L2720" s="78" t="n"/>
      <c r="M2720" s="78">
        <f>IF(ISBLANK(L2720),"",IF(D2720="Stock",IF(C2720="Buy",L2720*G2720,IF(C2720="Sell",(L2720*G2720)-I2720, X)),IF(C2720="Buy",(L2720*G2720*100)+I2720,IF(C2720="Sell",(L2720*G2720*100)-I2720, X))))</f>
        <v/>
      </c>
      <c r="N2720" s="78">
        <f>IF(ISBLANK(L2720),"",IF(AND(C2720="Sell",D2720="Stock"),M2720,IF(ISBLANK(L2720),"",IF(C2720="Buy",M2720, IF(AND(C2720="Sell",J2720="NA"),(E2720*G2720*100*0.1)+I2720, IF(C2720="Sell",(J2720-L2720)*(100*G2720)+I2720))))))</f>
        <v/>
      </c>
      <c r="O2720" s="75" t="n"/>
      <c r="P2720" s="75" t="n"/>
      <c r="Q2720" s="75">
        <f>IF(ISBLANK(P2720),"",IF(D2720="Stock",P2720*G2720,IF(P2720=0,"0",G2720*P2720*100-(G2720*$AF$14))))</f>
        <v/>
      </c>
      <c r="R2720" s="79">
        <f>IF(P2720&lt;&gt;"", TODAY(), "")</f>
        <v/>
      </c>
      <c r="S2720" s="78">
        <f>IF(AND(K2720&lt;&gt;"", R2720&lt;&gt;""), R2720-K2720, "")</f>
        <v/>
      </c>
      <c r="T2720" s="78" t="n"/>
      <c r="U2720" s="92">
        <f>IF(ISBLANK(P2720),"",IF(C2720="Buy",Q2720-M2720+T2720, IF(C2720="Sell",M2720-Q2720-T2720, X)))</f>
        <v/>
      </c>
      <c r="V2720" s="81">
        <f>IF(ISBLANK(P2720),"",U2720/N2720)</f>
        <v/>
      </c>
      <c r="W2720" s="81">
        <f>IF(ISBLANK(P2720),"",IF(S2720=0,(365/0.5)*V2720,(365/S2720)*V2720))</f>
        <v/>
      </c>
      <c r="X2720" s="75" t="n"/>
      <c r="Y2720" s="77" t="n"/>
      <c r="Z2720" s="77" t="n"/>
      <c r="AA2720" s="75" t="n"/>
      <c r="AB2720" s="75" t="n"/>
      <c r="AC2720" s="6" t="n"/>
      <c r="AD2720" s="75" t="n"/>
      <c r="AE2720" s="75" t="n"/>
      <c r="AF2720" s="75" t="n"/>
    </row>
    <row r="2721" ht="15.75" customHeight="1" s="133">
      <c r="A2721" s="75" t="n"/>
      <c r="B2721" s="75" t="n"/>
      <c r="C2721" s="75" t="n"/>
      <c r="D2721" s="75" t="n"/>
      <c r="E2721" s="76" t="n"/>
      <c r="F2721" s="77" t="n"/>
      <c r="G2721" s="75" t="n"/>
      <c r="H2721" s="75">
        <f>IF(ISBLANK(E2721),"",IF(OR(D2721="Butterfly",D2721="Butterfly ",D2721="Iron Fly", D2721="Iron Fly "),LEN(E2721)-LEN(SUBSTITUTE(E2721,"/",""))+2,LEN(E2721)-LEN(SUBSTITUTE(E2721,"/",""))+1))</f>
        <v/>
      </c>
      <c r="I2721" s="78">
        <f>IF(ISBLANK(G2721),"",IF(D2721="Stock","0",Key!$A$3*H2721*G2721))</f>
        <v/>
      </c>
      <c r="J2721" s="78">
        <f>IF(ISBLANK(E2721),"",IF(ISNUMBER(SEARCH("/",E2721)), IF(LEN(E2721)-LEN(SUBSTITUTE(E2721,"/",""))=1,(RIGHT(E2721,LEN(E2721)-FIND("/",E2721)))-(LEFT(E2721,FIND("/",E2721)-1)),(MID(E2721, SEARCH("/",E2721) + 1, SEARCH("/",E2721, SEARCH("/",E2721)+1) - SEARCH("/",E2721) - 1))-(LEFT(E2721,FIND("/",E2721)-1))), "NA"))</f>
        <v/>
      </c>
      <c r="K2721" s="79">
        <f>IF(A2721&lt;&gt;"", IF(ISBLANK(L2721), TODAY(), K2721), "")</f>
        <v/>
      </c>
      <c r="L2721" s="78" t="n"/>
      <c r="M2721" s="78">
        <f>IF(ISBLANK(L2721),"",IF(D2721="Stock",IF(C2721="Buy",L2721*G2721,IF(C2721="Sell",(L2721*G2721)-I2721, X)),IF(C2721="Buy",(L2721*G2721*100)+I2721,IF(C2721="Sell",(L2721*G2721*100)-I2721, X))))</f>
        <v/>
      </c>
      <c r="N2721" s="78">
        <f>IF(ISBLANK(L2721),"",IF(AND(C2721="Sell",D2721="Stock"),M2721,IF(ISBLANK(L2721),"",IF(C2721="Buy",M2721, IF(AND(C2721="Sell",J2721="NA"),(E2721*G2721*100*0.1)+I2721, IF(C2721="Sell",(J2721-L2721)*(100*G2721)+I2721))))))</f>
        <v/>
      </c>
      <c r="O2721" s="75" t="n"/>
      <c r="P2721" s="75" t="n"/>
      <c r="Q2721" s="75">
        <f>IF(ISBLANK(P2721),"",IF(D2721="Stock",P2721*G2721,IF(P2721=0,"0",G2721*P2721*100-(G2721*$AF$14))))</f>
        <v/>
      </c>
      <c r="R2721" s="79">
        <f>IF(P2721&lt;&gt;"", TODAY(), "")</f>
        <v/>
      </c>
      <c r="S2721" s="78">
        <f>IF(AND(K2721&lt;&gt;"", R2721&lt;&gt;""), R2721-K2721, "")</f>
        <v/>
      </c>
      <c r="T2721" s="78" t="n"/>
      <c r="U2721" s="92">
        <f>IF(ISBLANK(P2721),"",IF(C2721="Buy",Q2721-M2721+T2721, IF(C2721="Sell",M2721-Q2721-T2721, X)))</f>
        <v/>
      </c>
      <c r="V2721" s="81">
        <f>IF(ISBLANK(P2721),"",U2721/N2721)</f>
        <v/>
      </c>
      <c r="W2721" s="81">
        <f>IF(ISBLANK(P2721),"",IF(S2721=0,(365/0.5)*V2721,(365/S2721)*V2721))</f>
        <v/>
      </c>
      <c r="X2721" s="75" t="n"/>
      <c r="Y2721" s="77" t="n"/>
      <c r="Z2721" s="77" t="n"/>
      <c r="AA2721" s="75" t="n"/>
      <c r="AB2721" s="75" t="n"/>
      <c r="AC2721" s="6" t="n"/>
      <c r="AD2721" s="75" t="n"/>
      <c r="AE2721" s="75" t="n"/>
      <c r="AF2721" s="75" t="n"/>
    </row>
    <row r="2722" ht="15.75" customHeight="1" s="133">
      <c r="A2722" s="75" t="n"/>
      <c r="B2722" s="75" t="n"/>
      <c r="C2722" s="75" t="n"/>
      <c r="D2722" s="75" t="n"/>
      <c r="E2722" s="76" t="n"/>
      <c r="F2722" s="77" t="n"/>
      <c r="G2722" s="75" t="n"/>
      <c r="H2722" s="75">
        <f>IF(ISBLANK(E2722),"",IF(OR(D2722="Butterfly",D2722="Butterfly ",D2722="Iron Fly", D2722="Iron Fly "),LEN(E2722)-LEN(SUBSTITUTE(E2722,"/",""))+2,LEN(E2722)-LEN(SUBSTITUTE(E2722,"/",""))+1))</f>
        <v/>
      </c>
      <c r="I2722" s="78">
        <f>IF(ISBLANK(G2722),"",IF(D2722="Stock","0",Key!$A$3*H2722*G2722))</f>
        <v/>
      </c>
      <c r="J2722" s="78">
        <f>IF(ISBLANK(E2722),"",IF(ISNUMBER(SEARCH("/",E2722)), IF(LEN(E2722)-LEN(SUBSTITUTE(E2722,"/",""))=1,(RIGHT(E2722,LEN(E2722)-FIND("/",E2722)))-(LEFT(E2722,FIND("/",E2722)-1)),(MID(E2722, SEARCH("/",E2722) + 1, SEARCH("/",E2722, SEARCH("/",E2722)+1) - SEARCH("/",E2722) - 1))-(LEFT(E2722,FIND("/",E2722)-1))), "NA"))</f>
        <v/>
      </c>
      <c r="K2722" s="79">
        <f>IF(A2722&lt;&gt;"", IF(ISBLANK(L2722), TODAY(), K2722), "")</f>
        <v/>
      </c>
      <c r="L2722" s="78" t="n"/>
      <c r="M2722" s="78">
        <f>IF(ISBLANK(L2722),"",IF(D2722="Stock",IF(C2722="Buy",L2722*G2722,IF(C2722="Sell",(L2722*G2722)-I2722, X)),IF(C2722="Buy",(L2722*G2722*100)+I2722,IF(C2722="Sell",(L2722*G2722*100)-I2722, X))))</f>
        <v/>
      </c>
      <c r="N2722" s="78">
        <f>IF(ISBLANK(L2722),"",IF(AND(C2722="Sell",D2722="Stock"),M2722,IF(ISBLANK(L2722),"",IF(C2722="Buy",M2722, IF(AND(C2722="Sell",J2722="NA"),(E2722*G2722*100*0.1)+I2722, IF(C2722="Sell",(J2722-L2722)*(100*G2722)+I2722))))))</f>
        <v/>
      </c>
      <c r="O2722" s="75" t="n"/>
      <c r="P2722" s="75" t="n"/>
      <c r="Q2722" s="75">
        <f>IF(ISBLANK(P2722),"",IF(D2722="Stock",P2722*G2722,IF(P2722=0,"0",G2722*P2722*100-(G2722*$AF$14))))</f>
        <v/>
      </c>
      <c r="R2722" s="79">
        <f>IF(P2722&lt;&gt;"", TODAY(), "")</f>
        <v/>
      </c>
      <c r="S2722" s="78">
        <f>IF(AND(K2722&lt;&gt;"", R2722&lt;&gt;""), R2722-K2722, "")</f>
        <v/>
      </c>
      <c r="T2722" s="78" t="n"/>
      <c r="U2722" s="92">
        <f>IF(ISBLANK(P2722),"",IF(C2722="Buy",Q2722-M2722+T2722, IF(C2722="Sell",M2722-Q2722-T2722, X)))</f>
        <v/>
      </c>
      <c r="V2722" s="81">
        <f>IF(ISBLANK(P2722),"",U2722/N2722)</f>
        <v/>
      </c>
      <c r="W2722" s="81">
        <f>IF(ISBLANK(P2722),"",IF(S2722=0,(365/0.5)*V2722,(365/S2722)*V2722))</f>
        <v/>
      </c>
      <c r="X2722" s="75" t="n"/>
      <c r="Y2722" s="77" t="n"/>
      <c r="Z2722" s="77" t="n"/>
      <c r="AA2722" s="75" t="n"/>
      <c r="AB2722" s="75" t="n"/>
      <c r="AC2722" s="6" t="n"/>
      <c r="AD2722" s="75" t="n"/>
      <c r="AE2722" s="75" t="n"/>
      <c r="AF2722" s="75" t="n"/>
    </row>
    <row r="2723" ht="15.75" customHeight="1" s="133">
      <c r="A2723" s="75" t="n"/>
      <c r="B2723" s="75" t="n"/>
      <c r="C2723" s="75" t="n"/>
      <c r="D2723" s="75" t="n"/>
      <c r="E2723" s="76" t="n"/>
      <c r="F2723" s="77" t="n"/>
      <c r="G2723" s="75" t="n"/>
      <c r="H2723" s="75">
        <f>IF(ISBLANK(E2723),"",IF(OR(D2723="Butterfly",D2723="Butterfly ",D2723="Iron Fly", D2723="Iron Fly "),LEN(E2723)-LEN(SUBSTITUTE(E2723,"/",""))+2,LEN(E2723)-LEN(SUBSTITUTE(E2723,"/",""))+1))</f>
        <v/>
      </c>
      <c r="I2723" s="78">
        <f>IF(ISBLANK(G2723),"",IF(D2723="Stock","0",Key!$A$3*H2723*G2723))</f>
        <v/>
      </c>
      <c r="J2723" s="78">
        <f>IF(ISBLANK(E2723),"",IF(ISNUMBER(SEARCH("/",E2723)), IF(LEN(E2723)-LEN(SUBSTITUTE(E2723,"/",""))=1,(RIGHT(E2723,LEN(E2723)-FIND("/",E2723)))-(LEFT(E2723,FIND("/",E2723)-1)),(MID(E2723, SEARCH("/",E2723) + 1, SEARCH("/",E2723, SEARCH("/",E2723)+1) - SEARCH("/",E2723) - 1))-(LEFT(E2723,FIND("/",E2723)-1))), "NA"))</f>
        <v/>
      </c>
      <c r="K2723" s="79">
        <f>IF(A2723&lt;&gt;"", IF(ISBLANK(L2723), TODAY(), K2723), "")</f>
        <v/>
      </c>
      <c r="L2723" s="78" t="n"/>
      <c r="M2723" s="78">
        <f>IF(ISBLANK(L2723),"",IF(D2723="Stock",IF(C2723="Buy",L2723*G2723,IF(C2723="Sell",(L2723*G2723)-I2723, X)),IF(C2723="Buy",(L2723*G2723*100)+I2723,IF(C2723="Sell",(L2723*G2723*100)-I2723, X))))</f>
        <v/>
      </c>
      <c r="N2723" s="78">
        <f>IF(ISBLANK(L2723),"",IF(AND(C2723="Sell",D2723="Stock"),M2723,IF(ISBLANK(L2723),"",IF(C2723="Buy",M2723, IF(AND(C2723="Sell",J2723="NA"),(E2723*G2723*100*0.1)+I2723, IF(C2723="Sell",(J2723-L2723)*(100*G2723)+I2723))))))</f>
        <v/>
      </c>
      <c r="O2723" s="75" t="n"/>
      <c r="P2723" s="75" t="n"/>
      <c r="Q2723" s="75">
        <f>IF(ISBLANK(P2723),"",IF(D2723="Stock",P2723*G2723,IF(P2723=0,"0",G2723*P2723*100-(G2723*$AF$14))))</f>
        <v/>
      </c>
      <c r="R2723" s="79">
        <f>IF(P2723&lt;&gt;"", TODAY(), "")</f>
        <v/>
      </c>
      <c r="S2723" s="78">
        <f>IF(AND(K2723&lt;&gt;"", R2723&lt;&gt;""), R2723-K2723, "")</f>
        <v/>
      </c>
      <c r="T2723" s="78" t="n"/>
      <c r="U2723" s="92">
        <f>IF(ISBLANK(P2723),"",IF(C2723="Buy",Q2723-M2723+T2723, IF(C2723="Sell",M2723-Q2723-T2723, X)))</f>
        <v/>
      </c>
      <c r="V2723" s="81">
        <f>IF(ISBLANK(P2723),"",U2723/N2723)</f>
        <v/>
      </c>
      <c r="W2723" s="81">
        <f>IF(ISBLANK(P2723),"",IF(S2723=0,(365/0.5)*V2723,(365/S2723)*V2723))</f>
        <v/>
      </c>
      <c r="X2723" s="75" t="n"/>
      <c r="Y2723" s="77" t="n"/>
      <c r="Z2723" s="77" t="n"/>
      <c r="AA2723" s="75" t="n"/>
      <c r="AB2723" s="75" t="n"/>
      <c r="AC2723" s="6" t="n"/>
      <c r="AD2723" s="75" t="n"/>
      <c r="AE2723" s="75" t="n"/>
      <c r="AF2723" s="75" t="n"/>
    </row>
    <row r="2724" ht="15.75" customHeight="1" s="133">
      <c r="A2724" s="75" t="n"/>
      <c r="B2724" s="75" t="n"/>
      <c r="C2724" s="75" t="n"/>
      <c r="D2724" s="75" t="n"/>
      <c r="E2724" s="76" t="n"/>
      <c r="F2724" s="77" t="n"/>
      <c r="G2724" s="75" t="n"/>
      <c r="H2724" s="75">
        <f>IF(ISBLANK(E2724),"",IF(OR(D2724="Butterfly",D2724="Butterfly ",D2724="Iron Fly", D2724="Iron Fly "),LEN(E2724)-LEN(SUBSTITUTE(E2724,"/",""))+2,LEN(E2724)-LEN(SUBSTITUTE(E2724,"/",""))+1))</f>
        <v/>
      </c>
      <c r="I2724" s="78">
        <f>IF(ISBLANK(G2724),"",IF(D2724="Stock","0",Key!$A$3*H2724*G2724))</f>
        <v/>
      </c>
      <c r="J2724" s="78">
        <f>IF(ISBLANK(E2724),"",IF(ISNUMBER(SEARCH("/",E2724)), IF(LEN(E2724)-LEN(SUBSTITUTE(E2724,"/",""))=1,(RIGHT(E2724,LEN(E2724)-FIND("/",E2724)))-(LEFT(E2724,FIND("/",E2724)-1)),(MID(E2724, SEARCH("/",E2724) + 1, SEARCH("/",E2724, SEARCH("/",E2724)+1) - SEARCH("/",E2724) - 1))-(LEFT(E2724,FIND("/",E2724)-1))), "NA"))</f>
        <v/>
      </c>
      <c r="K2724" s="79">
        <f>IF(A2724&lt;&gt;"", IF(ISBLANK(L2724), TODAY(), K2724), "")</f>
        <v/>
      </c>
      <c r="L2724" s="78" t="n"/>
      <c r="M2724" s="78">
        <f>IF(ISBLANK(L2724),"",IF(D2724="Stock",IF(C2724="Buy",L2724*G2724,IF(C2724="Sell",(L2724*G2724)-I2724, X)),IF(C2724="Buy",(L2724*G2724*100)+I2724,IF(C2724="Sell",(L2724*G2724*100)-I2724, X))))</f>
        <v/>
      </c>
      <c r="N2724" s="78">
        <f>IF(ISBLANK(L2724),"",IF(AND(C2724="Sell",D2724="Stock"),M2724,IF(ISBLANK(L2724),"",IF(C2724="Buy",M2724, IF(AND(C2724="Sell",J2724="NA"),(E2724*G2724*100*0.1)+I2724, IF(C2724="Sell",(J2724-L2724)*(100*G2724)+I2724))))))</f>
        <v/>
      </c>
      <c r="O2724" s="75" t="n"/>
      <c r="P2724" s="75" t="n"/>
      <c r="Q2724" s="75">
        <f>IF(ISBLANK(P2724),"",IF(D2724="Stock",P2724*G2724,IF(P2724=0,"0",G2724*P2724*100-(G2724*$AF$14))))</f>
        <v/>
      </c>
      <c r="R2724" s="79">
        <f>IF(P2724&lt;&gt;"", TODAY(), "")</f>
        <v/>
      </c>
      <c r="S2724" s="78">
        <f>IF(AND(K2724&lt;&gt;"", R2724&lt;&gt;""), R2724-K2724, "")</f>
        <v/>
      </c>
      <c r="T2724" s="78" t="n"/>
      <c r="U2724" s="92">
        <f>IF(ISBLANK(P2724),"",IF(C2724="Buy",Q2724-M2724+T2724, IF(C2724="Sell",M2724-Q2724-T2724, X)))</f>
        <v/>
      </c>
      <c r="V2724" s="81">
        <f>IF(ISBLANK(P2724),"",U2724/N2724)</f>
        <v/>
      </c>
      <c r="W2724" s="81">
        <f>IF(ISBLANK(P2724),"",IF(S2724=0,(365/0.5)*V2724,(365/S2724)*V2724))</f>
        <v/>
      </c>
      <c r="X2724" s="75" t="n"/>
      <c r="Y2724" s="77" t="n"/>
      <c r="Z2724" s="77" t="n"/>
      <c r="AA2724" s="75" t="n"/>
      <c r="AB2724" s="75" t="n"/>
      <c r="AC2724" s="6" t="n"/>
      <c r="AD2724" s="75" t="n"/>
      <c r="AE2724" s="75" t="n"/>
      <c r="AF2724" s="75" t="n"/>
    </row>
    <row r="2725" ht="15.75" customHeight="1" s="133">
      <c r="A2725" s="75" t="n"/>
      <c r="B2725" s="75" t="n"/>
      <c r="C2725" s="75" t="n"/>
      <c r="D2725" s="75" t="n"/>
      <c r="E2725" s="76" t="n"/>
      <c r="F2725" s="77" t="n"/>
      <c r="G2725" s="75" t="n"/>
      <c r="H2725" s="75">
        <f>IF(ISBLANK(E2725),"",IF(OR(D2725="Butterfly",D2725="Butterfly ",D2725="Iron Fly", D2725="Iron Fly "),LEN(E2725)-LEN(SUBSTITUTE(E2725,"/",""))+2,LEN(E2725)-LEN(SUBSTITUTE(E2725,"/",""))+1))</f>
        <v/>
      </c>
      <c r="I2725" s="78">
        <f>IF(ISBLANK(G2725),"",IF(D2725="Stock","0",Key!$A$3*H2725*G2725))</f>
        <v/>
      </c>
      <c r="J2725" s="78">
        <f>IF(ISBLANK(E2725),"",IF(ISNUMBER(SEARCH("/",E2725)), IF(LEN(E2725)-LEN(SUBSTITUTE(E2725,"/",""))=1,(RIGHT(E2725,LEN(E2725)-FIND("/",E2725)))-(LEFT(E2725,FIND("/",E2725)-1)),(MID(E2725, SEARCH("/",E2725) + 1, SEARCH("/",E2725, SEARCH("/",E2725)+1) - SEARCH("/",E2725) - 1))-(LEFT(E2725,FIND("/",E2725)-1))), "NA"))</f>
        <v/>
      </c>
      <c r="K2725" s="79">
        <f>IF(A2725&lt;&gt;"", IF(ISBLANK(L2725), TODAY(), K2725), "")</f>
        <v/>
      </c>
      <c r="L2725" s="78" t="n"/>
      <c r="M2725" s="78">
        <f>IF(ISBLANK(L2725),"",IF(D2725="Stock",IF(C2725="Buy",L2725*G2725,IF(C2725="Sell",(L2725*G2725)-I2725, X)),IF(C2725="Buy",(L2725*G2725*100)+I2725,IF(C2725="Sell",(L2725*G2725*100)-I2725, X))))</f>
        <v/>
      </c>
      <c r="N2725" s="78">
        <f>IF(ISBLANK(L2725),"",IF(AND(C2725="Sell",D2725="Stock"),M2725,IF(ISBLANK(L2725),"",IF(C2725="Buy",M2725, IF(AND(C2725="Sell",J2725="NA"),(E2725*G2725*100*0.1)+I2725, IF(C2725="Sell",(J2725-L2725)*(100*G2725)+I2725))))))</f>
        <v/>
      </c>
      <c r="O2725" s="75" t="n"/>
      <c r="P2725" s="75" t="n"/>
      <c r="Q2725" s="75">
        <f>IF(ISBLANK(P2725),"",IF(D2725="Stock",P2725*G2725,IF(P2725=0,"0",G2725*P2725*100-(G2725*$AF$14))))</f>
        <v/>
      </c>
      <c r="R2725" s="79">
        <f>IF(P2725&lt;&gt;"", TODAY(), "")</f>
        <v/>
      </c>
      <c r="S2725" s="78">
        <f>IF(AND(K2725&lt;&gt;"", R2725&lt;&gt;""), R2725-K2725, "")</f>
        <v/>
      </c>
      <c r="T2725" s="78" t="n"/>
      <c r="U2725" s="92">
        <f>IF(ISBLANK(P2725),"",IF(C2725="Buy",Q2725-M2725+T2725, IF(C2725="Sell",M2725-Q2725-T2725, X)))</f>
        <v/>
      </c>
      <c r="V2725" s="81">
        <f>IF(ISBLANK(P2725),"",U2725/N2725)</f>
        <v/>
      </c>
      <c r="W2725" s="81">
        <f>IF(ISBLANK(P2725),"",IF(S2725=0,(365/0.5)*V2725,(365/S2725)*V2725))</f>
        <v/>
      </c>
      <c r="X2725" s="75" t="n"/>
      <c r="Y2725" s="77" t="n"/>
      <c r="Z2725" s="77" t="n"/>
      <c r="AA2725" s="75" t="n"/>
      <c r="AB2725" s="75" t="n"/>
      <c r="AC2725" s="6" t="n"/>
      <c r="AD2725" s="75" t="n"/>
      <c r="AE2725" s="75" t="n"/>
      <c r="AF2725" s="75" t="n"/>
    </row>
    <row r="2726" ht="15.75" customHeight="1" s="133">
      <c r="A2726" s="75" t="n"/>
      <c r="B2726" s="75" t="n"/>
      <c r="C2726" s="75" t="n"/>
      <c r="D2726" s="75" t="n"/>
      <c r="E2726" s="76" t="n"/>
      <c r="F2726" s="77" t="n"/>
      <c r="G2726" s="75" t="n"/>
      <c r="H2726" s="75">
        <f>IF(ISBLANK(E2726),"",IF(OR(D2726="Butterfly",D2726="Butterfly ",D2726="Iron Fly", D2726="Iron Fly "),LEN(E2726)-LEN(SUBSTITUTE(E2726,"/",""))+2,LEN(E2726)-LEN(SUBSTITUTE(E2726,"/",""))+1))</f>
        <v/>
      </c>
      <c r="I2726" s="78">
        <f>IF(ISBLANK(G2726),"",IF(D2726="Stock","0",Key!$A$3*H2726*G2726))</f>
        <v/>
      </c>
      <c r="J2726" s="78">
        <f>IF(ISBLANK(E2726),"",IF(ISNUMBER(SEARCH("/",E2726)), IF(LEN(E2726)-LEN(SUBSTITUTE(E2726,"/",""))=1,(RIGHT(E2726,LEN(E2726)-FIND("/",E2726)))-(LEFT(E2726,FIND("/",E2726)-1)),(MID(E2726, SEARCH("/",E2726) + 1, SEARCH("/",E2726, SEARCH("/",E2726)+1) - SEARCH("/",E2726) - 1))-(LEFT(E2726,FIND("/",E2726)-1))), "NA"))</f>
        <v/>
      </c>
      <c r="K2726" s="79">
        <f>IF(A2726&lt;&gt;"", IF(ISBLANK(L2726), TODAY(), K2726), "")</f>
        <v/>
      </c>
      <c r="L2726" s="78" t="n"/>
      <c r="M2726" s="78">
        <f>IF(ISBLANK(L2726),"",IF(D2726="Stock",IF(C2726="Buy",L2726*G2726,IF(C2726="Sell",(L2726*G2726)-I2726, X)),IF(C2726="Buy",(L2726*G2726*100)+I2726,IF(C2726="Sell",(L2726*G2726*100)-I2726, X))))</f>
        <v/>
      </c>
      <c r="N2726" s="78">
        <f>IF(ISBLANK(L2726),"",IF(AND(C2726="Sell",D2726="Stock"),M2726,IF(ISBLANK(L2726),"",IF(C2726="Buy",M2726, IF(AND(C2726="Sell",J2726="NA"),(E2726*G2726*100*0.1)+I2726, IF(C2726="Sell",(J2726-L2726)*(100*G2726)+I2726))))))</f>
        <v/>
      </c>
      <c r="O2726" s="75" t="n"/>
      <c r="P2726" s="75" t="n"/>
      <c r="Q2726" s="75">
        <f>IF(ISBLANK(P2726),"",IF(D2726="Stock",P2726*G2726,IF(P2726=0,"0",G2726*P2726*100-(G2726*$AF$14))))</f>
        <v/>
      </c>
      <c r="R2726" s="79">
        <f>IF(P2726&lt;&gt;"", TODAY(), "")</f>
        <v/>
      </c>
      <c r="S2726" s="78">
        <f>IF(AND(K2726&lt;&gt;"", R2726&lt;&gt;""), R2726-K2726, "")</f>
        <v/>
      </c>
      <c r="T2726" s="78" t="n"/>
      <c r="U2726" s="92">
        <f>IF(ISBLANK(P2726),"",IF(C2726="Buy",Q2726-M2726+T2726, IF(C2726="Sell",M2726-Q2726-T2726, X)))</f>
        <v/>
      </c>
      <c r="V2726" s="81">
        <f>IF(ISBLANK(P2726),"",U2726/N2726)</f>
        <v/>
      </c>
      <c r="W2726" s="81">
        <f>IF(ISBLANK(P2726),"",IF(S2726=0,(365/0.5)*V2726,(365/S2726)*V2726))</f>
        <v/>
      </c>
      <c r="X2726" s="75" t="n"/>
      <c r="Y2726" s="77" t="n"/>
      <c r="Z2726" s="77" t="n"/>
      <c r="AA2726" s="75" t="n"/>
      <c r="AB2726" s="75" t="n"/>
      <c r="AC2726" s="6" t="n"/>
      <c r="AD2726" s="75" t="n"/>
      <c r="AE2726" s="75" t="n"/>
      <c r="AF2726" s="75" t="n"/>
    </row>
    <row r="2727" ht="15.75" customHeight="1" s="133">
      <c r="A2727" s="75" t="n"/>
      <c r="B2727" s="75" t="n"/>
      <c r="C2727" s="75" t="n"/>
      <c r="D2727" s="75" t="n"/>
      <c r="E2727" s="76" t="n"/>
      <c r="F2727" s="77" t="n"/>
      <c r="G2727" s="75" t="n"/>
      <c r="H2727" s="75">
        <f>IF(ISBLANK(E2727),"",IF(OR(D2727="Butterfly",D2727="Butterfly ",D2727="Iron Fly", D2727="Iron Fly "),LEN(E2727)-LEN(SUBSTITUTE(E2727,"/",""))+2,LEN(E2727)-LEN(SUBSTITUTE(E2727,"/",""))+1))</f>
        <v/>
      </c>
      <c r="I2727" s="78">
        <f>IF(ISBLANK(G2727),"",IF(D2727="Stock","0",Key!$A$3*H2727*G2727))</f>
        <v/>
      </c>
      <c r="J2727" s="78">
        <f>IF(ISBLANK(E2727),"",IF(ISNUMBER(SEARCH("/",E2727)), IF(LEN(E2727)-LEN(SUBSTITUTE(E2727,"/",""))=1,(RIGHT(E2727,LEN(E2727)-FIND("/",E2727)))-(LEFT(E2727,FIND("/",E2727)-1)),(MID(E2727, SEARCH("/",E2727) + 1, SEARCH("/",E2727, SEARCH("/",E2727)+1) - SEARCH("/",E2727) - 1))-(LEFT(E2727,FIND("/",E2727)-1))), "NA"))</f>
        <v/>
      </c>
      <c r="K2727" s="79">
        <f>IF(A2727&lt;&gt;"", IF(ISBLANK(L2727), TODAY(), K2727), "")</f>
        <v/>
      </c>
      <c r="L2727" s="78" t="n"/>
      <c r="M2727" s="78">
        <f>IF(ISBLANK(L2727),"",IF(D2727="Stock",IF(C2727="Buy",L2727*G2727,IF(C2727="Sell",(L2727*G2727)-I2727, X)),IF(C2727="Buy",(L2727*G2727*100)+I2727,IF(C2727="Sell",(L2727*G2727*100)-I2727, X))))</f>
        <v/>
      </c>
      <c r="N2727" s="78">
        <f>IF(ISBLANK(L2727),"",IF(AND(C2727="Sell",D2727="Stock"),M2727,IF(ISBLANK(L2727),"",IF(C2727="Buy",M2727, IF(AND(C2727="Sell",J2727="NA"),(E2727*G2727*100*0.1)+I2727, IF(C2727="Sell",(J2727-L2727)*(100*G2727)+I2727))))))</f>
        <v/>
      </c>
      <c r="O2727" s="75" t="n"/>
      <c r="P2727" s="75" t="n"/>
      <c r="Q2727" s="75">
        <f>IF(ISBLANK(P2727),"",IF(D2727="Stock",P2727*G2727,IF(P2727=0,"0",G2727*P2727*100-(G2727*$AF$14))))</f>
        <v/>
      </c>
      <c r="R2727" s="79">
        <f>IF(P2727&lt;&gt;"", TODAY(), "")</f>
        <v/>
      </c>
      <c r="S2727" s="78">
        <f>IF(AND(K2727&lt;&gt;"", R2727&lt;&gt;""), R2727-K2727, "")</f>
        <v/>
      </c>
      <c r="T2727" s="78" t="n"/>
      <c r="U2727" s="92">
        <f>IF(ISBLANK(P2727),"",IF(C2727="Buy",Q2727-M2727+T2727, IF(C2727="Sell",M2727-Q2727-T2727, X)))</f>
        <v/>
      </c>
      <c r="V2727" s="81">
        <f>IF(ISBLANK(P2727),"",U2727/N2727)</f>
        <v/>
      </c>
      <c r="W2727" s="81">
        <f>IF(ISBLANK(P2727),"",IF(S2727=0,(365/0.5)*V2727,(365/S2727)*V2727))</f>
        <v/>
      </c>
      <c r="X2727" s="75" t="n"/>
      <c r="Y2727" s="77" t="n"/>
      <c r="Z2727" s="77" t="n"/>
      <c r="AA2727" s="75" t="n"/>
      <c r="AB2727" s="75" t="n"/>
      <c r="AC2727" s="6" t="n"/>
      <c r="AD2727" s="75" t="n"/>
      <c r="AE2727" s="75" t="n"/>
      <c r="AF2727" s="75" t="n"/>
    </row>
    <row r="2728" ht="15.75" customHeight="1" s="133">
      <c r="A2728" s="75" t="n"/>
      <c r="B2728" s="75" t="n"/>
      <c r="C2728" s="75" t="n"/>
      <c r="D2728" s="75" t="n"/>
      <c r="E2728" s="76" t="n"/>
      <c r="F2728" s="77" t="n"/>
      <c r="G2728" s="75" t="n"/>
      <c r="H2728" s="75">
        <f>IF(ISBLANK(E2728),"",IF(OR(D2728="Butterfly",D2728="Butterfly ",D2728="Iron Fly", D2728="Iron Fly "),LEN(E2728)-LEN(SUBSTITUTE(E2728,"/",""))+2,LEN(E2728)-LEN(SUBSTITUTE(E2728,"/",""))+1))</f>
        <v/>
      </c>
      <c r="I2728" s="78">
        <f>IF(ISBLANK(G2728),"",IF(D2728="Stock","0",Key!$A$3*H2728*G2728))</f>
        <v/>
      </c>
      <c r="J2728" s="78">
        <f>IF(ISBLANK(E2728),"",IF(ISNUMBER(SEARCH("/",E2728)), IF(LEN(E2728)-LEN(SUBSTITUTE(E2728,"/",""))=1,(RIGHT(E2728,LEN(E2728)-FIND("/",E2728)))-(LEFT(E2728,FIND("/",E2728)-1)),(MID(E2728, SEARCH("/",E2728) + 1, SEARCH("/",E2728, SEARCH("/",E2728)+1) - SEARCH("/",E2728) - 1))-(LEFT(E2728,FIND("/",E2728)-1))), "NA"))</f>
        <v/>
      </c>
      <c r="K2728" s="79">
        <f>IF(A2728&lt;&gt;"", IF(ISBLANK(L2728), TODAY(), K2728), "")</f>
        <v/>
      </c>
      <c r="L2728" s="78" t="n"/>
      <c r="M2728" s="78">
        <f>IF(ISBLANK(L2728),"",IF(D2728="Stock",IF(C2728="Buy",L2728*G2728,IF(C2728="Sell",(L2728*G2728)-I2728, X)),IF(C2728="Buy",(L2728*G2728*100)+I2728,IF(C2728="Sell",(L2728*G2728*100)-I2728, X))))</f>
        <v/>
      </c>
      <c r="N2728" s="78">
        <f>IF(ISBLANK(L2728),"",IF(AND(C2728="Sell",D2728="Stock"),M2728,IF(ISBLANK(L2728),"",IF(C2728="Buy",M2728, IF(AND(C2728="Sell",J2728="NA"),(E2728*G2728*100*0.1)+I2728, IF(C2728="Sell",(J2728-L2728)*(100*G2728)+I2728))))))</f>
        <v/>
      </c>
      <c r="O2728" s="75" t="n"/>
      <c r="P2728" s="75" t="n"/>
      <c r="Q2728" s="75">
        <f>IF(ISBLANK(P2728),"",IF(D2728="Stock",P2728*G2728,IF(P2728=0,"0",G2728*P2728*100-(G2728*$AF$14))))</f>
        <v/>
      </c>
      <c r="R2728" s="79">
        <f>IF(P2728&lt;&gt;"", TODAY(), "")</f>
        <v/>
      </c>
      <c r="S2728" s="78">
        <f>IF(AND(K2728&lt;&gt;"", R2728&lt;&gt;""), R2728-K2728, "")</f>
        <v/>
      </c>
      <c r="T2728" s="78" t="n"/>
      <c r="U2728" s="92">
        <f>IF(ISBLANK(P2728),"",IF(C2728="Buy",Q2728-M2728+T2728, IF(C2728="Sell",M2728-Q2728-T2728, X)))</f>
        <v/>
      </c>
      <c r="V2728" s="81">
        <f>IF(ISBLANK(P2728),"",U2728/N2728)</f>
        <v/>
      </c>
      <c r="W2728" s="81">
        <f>IF(ISBLANK(P2728),"",IF(S2728=0,(365/0.5)*V2728,(365/S2728)*V2728))</f>
        <v/>
      </c>
      <c r="X2728" s="75" t="n"/>
      <c r="Y2728" s="77" t="n"/>
      <c r="Z2728" s="77" t="n"/>
      <c r="AA2728" s="75" t="n"/>
      <c r="AB2728" s="75" t="n"/>
      <c r="AC2728" s="6" t="n"/>
      <c r="AD2728" s="75" t="n"/>
      <c r="AE2728" s="75" t="n"/>
      <c r="AF2728" s="75" t="n"/>
    </row>
    <row r="2729" ht="15.75" customHeight="1" s="133">
      <c r="A2729" s="75" t="n"/>
      <c r="B2729" s="75" t="n"/>
      <c r="C2729" s="75" t="n"/>
      <c r="D2729" s="75" t="n"/>
      <c r="E2729" s="76" t="n"/>
      <c r="F2729" s="77" t="n"/>
      <c r="G2729" s="75" t="n"/>
      <c r="H2729" s="75">
        <f>IF(ISBLANK(E2729),"",IF(OR(D2729="Butterfly",D2729="Butterfly ",D2729="Iron Fly", D2729="Iron Fly "),LEN(E2729)-LEN(SUBSTITUTE(E2729,"/",""))+2,LEN(E2729)-LEN(SUBSTITUTE(E2729,"/",""))+1))</f>
        <v/>
      </c>
      <c r="I2729" s="78">
        <f>IF(ISBLANK(G2729),"",IF(D2729="Stock","0",Key!$A$3*H2729*G2729))</f>
        <v/>
      </c>
      <c r="J2729" s="78">
        <f>IF(ISBLANK(E2729),"",IF(ISNUMBER(SEARCH("/",E2729)), IF(LEN(E2729)-LEN(SUBSTITUTE(E2729,"/",""))=1,(RIGHT(E2729,LEN(E2729)-FIND("/",E2729)))-(LEFT(E2729,FIND("/",E2729)-1)),(MID(E2729, SEARCH("/",E2729) + 1, SEARCH("/",E2729, SEARCH("/",E2729)+1) - SEARCH("/",E2729) - 1))-(LEFT(E2729,FIND("/",E2729)-1))), "NA"))</f>
        <v/>
      </c>
      <c r="K2729" s="79">
        <f>IF(A2729&lt;&gt;"", IF(ISBLANK(L2729), TODAY(), K2729), "")</f>
        <v/>
      </c>
      <c r="L2729" s="78" t="n"/>
      <c r="M2729" s="78">
        <f>IF(ISBLANK(L2729),"",IF(D2729="Stock",IF(C2729="Buy",L2729*G2729,IF(C2729="Sell",(L2729*G2729)-I2729, X)),IF(C2729="Buy",(L2729*G2729*100)+I2729,IF(C2729="Sell",(L2729*G2729*100)-I2729, X))))</f>
        <v/>
      </c>
      <c r="N2729" s="78">
        <f>IF(ISBLANK(L2729),"",IF(AND(C2729="Sell",D2729="Stock"),M2729,IF(ISBLANK(L2729),"",IF(C2729="Buy",M2729, IF(AND(C2729="Sell",J2729="NA"),(E2729*G2729*100*0.1)+I2729, IF(C2729="Sell",(J2729-L2729)*(100*G2729)+I2729))))))</f>
        <v/>
      </c>
      <c r="O2729" s="75" t="n"/>
      <c r="P2729" s="75" t="n"/>
      <c r="Q2729" s="75">
        <f>IF(ISBLANK(P2729),"",IF(D2729="Stock",P2729*G2729,IF(P2729=0,"0",G2729*P2729*100-(G2729*$AF$14))))</f>
        <v/>
      </c>
      <c r="R2729" s="79">
        <f>IF(P2729&lt;&gt;"", TODAY(), "")</f>
        <v/>
      </c>
      <c r="S2729" s="78">
        <f>IF(AND(K2729&lt;&gt;"", R2729&lt;&gt;""), R2729-K2729, "")</f>
        <v/>
      </c>
      <c r="T2729" s="78" t="n"/>
      <c r="U2729" s="92">
        <f>IF(ISBLANK(P2729),"",IF(C2729="Buy",Q2729-M2729+T2729, IF(C2729="Sell",M2729-Q2729-T2729, X)))</f>
        <v/>
      </c>
      <c r="V2729" s="81">
        <f>IF(ISBLANK(P2729),"",U2729/N2729)</f>
        <v/>
      </c>
      <c r="W2729" s="81">
        <f>IF(ISBLANK(P2729),"",IF(S2729=0,(365/0.5)*V2729,(365/S2729)*V2729))</f>
        <v/>
      </c>
      <c r="X2729" s="75" t="n"/>
      <c r="Y2729" s="77" t="n"/>
      <c r="Z2729" s="77" t="n"/>
      <c r="AA2729" s="75" t="n"/>
      <c r="AB2729" s="75" t="n"/>
      <c r="AC2729" s="6" t="n"/>
      <c r="AD2729" s="75" t="n"/>
      <c r="AE2729" s="75" t="n"/>
      <c r="AF2729" s="75" t="n"/>
    </row>
    <row r="2730" ht="15.75" customHeight="1" s="133">
      <c r="A2730" s="75" t="n"/>
      <c r="B2730" s="75" t="n"/>
      <c r="C2730" s="75" t="n"/>
      <c r="D2730" s="75" t="n"/>
      <c r="E2730" s="76" t="n"/>
      <c r="F2730" s="77" t="n"/>
      <c r="G2730" s="75" t="n"/>
      <c r="H2730" s="75">
        <f>IF(ISBLANK(E2730),"",IF(OR(D2730="Butterfly",D2730="Butterfly ",D2730="Iron Fly", D2730="Iron Fly "),LEN(E2730)-LEN(SUBSTITUTE(E2730,"/",""))+2,LEN(E2730)-LEN(SUBSTITUTE(E2730,"/",""))+1))</f>
        <v/>
      </c>
      <c r="I2730" s="78">
        <f>IF(ISBLANK(G2730),"",IF(D2730="Stock","0",Key!$A$3*H2730*G2730))</f>
        <v/>
      </c>
      <c r="J2730" s="78">
        <f>IF(ISBLANK(E2730),"",IF(ISNUMBER(SEARCH("/",E2730)), IF(LEN(E2730)-LEN(SUBSTITUTE(E2730,"/",""))=1,(RIGHT(E2730,LEN(E2730)-FIND("/",E2730)))-(LEFT(E2730,FIND("/",E2730)-1)),(MID(E2730, SEARCH("/",E2730) + 1, SEARCH("/",E2730, SEARCH("/",E2730)+1) - SEARCH("/",E2730) - 1))-(LEFT(E2730,FIND("/",E2730)-1))), "NA"))</f>
        <v/>
      </c>
      <c r="K2730" s="79">
        <f>IF(A2730&lt;&gt;"", IF(ISBLANK(L2730), TODAY(), K2730), "")</f>
        <v/>
      </c>
      <c r="L2730" s="78" t="n"/>
      <c r="M2730" s="78">
        <f>IF(ISBLANK(L2730),"",IF(D2730="Stock",IF(C2730="Buy",L2730*G2730,IF(C2730="Sell",(L2730*G2730)-I2730, X)),IF(C2730="Buy",(L2730*G2730*100)+I2730,IF(C2730="Sell",(L2730*G2730*100)-I2730, X))))</f>
        <v/>
      </c>
      <c r="N2730" s="78">
        <f>IF(ISBLANK(L2730),"",IF(AND(C2730="Sell",D2730="Stock"),M2730,IF(ISBLANK(L2730),"",IF(C2730="Buy",M2730, IF(AND(C2730="Sell",J2730="NA"),(E2730*G2730*100*0.1)+I2730, IF(C2730="Sell",(J2730-L2730)*(100*G2730)+I2730))))))</f>
        <v/>
      </c>
      <c r="O2730" s="75" t="n"/>
      <c r="P2730" s="75" t="n"/>
      <c r="Q2730" s="75">
        <f>IF(ISBLANK(P2730),"",IF(D2730="Stock",P2730*G2730,IF(P2730=0,"0",G2730*P2730*100-(G2730*$AF$14))))</f>
        <v/>
      </c>
      <c r="R2730" s="79">
        <f>IF(P2730&lt;&gt;"", TODAY(), "")</f>
        <v/>
      </c>
      <c r="S2730" s="78">
        <f>IF(AND(K2730&lt;&gt;"", R2730&lt;&gt;""), R2730-K2730, "")</f>
        <v/>
      </c>
      <c r="T2730" s="78" t="n"/>
      <c r="U2730" s="92">
        <f>IF(ISBLANK(P2730),"",IF(C2730="Buy",Q2730-M2730+T2730, IF(C2730="Sell",M2730-Q2730-T2730, X)))</f>
        <v/>
      </c>
      <c r="V2730" s="81">
        <f>IF(ISBLANK(P2730),"",U2730/N2730)</f>
        <v/>
      </c>
      <c r="W2730" s="81">
        <f>IF(ISBLANK(P2730),"",IF(S2730=0,(365/0.5)*V2730,(365/S2730)*V2730))</f>
        <v/>
      </c>
      <c r="X2730" s="75" t="n"/>
      <c r="Y2730" s="77" t="n"/>
      <c r="Z2730" s="77" t="n"/>
      <c r="AA2730" s="75" t="n"/>
      <c r="AB2730" s="75" t="n"/>
      <c r="AC2730" s="6" t="n"/>
      <c r="AD2730" s="75" t="n"/>
      <c r="AE2730" s="75" t="n"/>
      <c r="AF2730" s="75" t="n"/>
    </row>
    <row r="2731" ht="15.75" customHeight="1" s="133">
      <c r="A2731" s="75" t="n"/>
      <c r="B2731" s="75" t="n"/>
      <c r="C2731" s="75" t="n"/>
      <c r="D2731" s="75" t="n"/>
      <c r="E2731" s="76" t="n"/>
      <c r="F2731" s="77" t="n"/>
      <c r="G2731" s="75" t="n"/>
      <c r="H2731" s="75">
        <f>IF(ISBLANK(E2731),"",IF(OR(D2731="Butterfly",D2731="Butterfly ",D2731="Iron Fly", D2731="Iron Fly "),LEN(E2731)-LEN(SUBSTITUTE(E2731,"/",""))+2,LEN(E2731)-LEN(SUBSTITUTE(E2731,"/",""))+1))</f>
        <v/>
      </c>
      <c r="I2731" s="78">
        <f>IF(ISBLANK(G2731),"",IF(D2731="Stock","0",Key!$A$3*H2731*G2731))</f>
        <v/>
      </c>
      <c r="J2731" s="78">
        <f>IF(ISBLANK(E2731),"",IF(ISNUMBER(SEARCH("/",E2731)), IF(LEN(E2731)-LEN(SUBSTITUTE(E2731,"/",""))=1,(RIGHT(E2731,LEN(E2731)-FIND("/",E2731)))-(LEFT(E2731,FIND("/",E2731)-1)),(MID(E2731, SEARCH("/",E2731) + 1, SEARCH("/",E2731, SEARCH("/",E2731)+1) - SEARCH("/",E2731) - 1))-(LEFT(E2731,FIND("/",E2731)-1))), "NA"))</f>
        <v/>
      </c>
      <c r="K2731" s="79">
        <f>IF(A2731&lt;&gt;"", IF(ISBLANK(L2731), TODAY(), K2731), "")</f>
        <v/>
      </c>
      <c r="L2731" s="78" t="n"/>
      <c r="M2731" s="78">
        <f>IF(ISBLANK(L2731),"",IF(D2731="Stock",IF(C2731="Buy",L2731*G2731,IF(C2731="Sell",(L2731*G2731)-I2731, X)),IF(C2731="Buy",(L2731*G2731*100)+I2731,IF(C2731="Sell",(L2731*G2731*100)-I2731, X))))</f>
        <v/>
      </c>
      <c r="N2731" s="78">
        <f>IF(ISBLANK(L2731),"",IF(AND(C2731="Sell",D2731="Stock"),M2731,IF(ISBLANK(L2731),"",IF(C2731="Buy",M2731, IF(AND(C2731="Sell",J2731="NA"),(E2731*G2731*100*0.1)+I2731, IF(C2731="Sell",(J2731-L2731)*(100*G2731)+I2731))))))</f>
        <v/>
      </c>
      <c r="O2731" s="75" t="n"/>
      <c r="P2731" s="75" t="n"/>
      <c r="Q2731" s="75">
        <f>IF(ISBLANK(P2731),"",IF(D2731="Stock",P2731*G2731,IF(P2731=0,"0",G2731*P2731*100-(G2731*$AF$14))))</f>
        <v/>
      </c>
      <c r="R2731" s="79">
        <f>IF(P2731&lt;&gt;"", TODAY(), "")</f>
        <v/>
      </c>
      <c r="S2731" s="78">
        <f>IF(AND(K2731&lt;&gt;"", R2731&lt;&gt;""), R2731-K2731, "")</f>
        <v/>
      </c>
      <c r="T2731" s="78" t="n"/>
      <c r="U2731" s="92">
        <f>IF(ISBLANK(P2731),"",IF(C2731="Buy",Q2731-M2731+T2731, IF(C2731="Sell",M2731-Q2731-T2731, X)))</f>
        <v/>
      </c>
      <c r="V2731" s="81">
        <f>IF(ISBLANK(P2731),"",U2731/N2731)</f>
        <v/>
      </c>
      <c r="W2731" s="81">
        <f>IF(ISBLANK(P2731),"",IF(S2731=0,(365/0.5)*V2731,(365/S2731)*V2731))</f>
        <v/>
      </c>
      <c r="X2731" s="75" t="n"/>
      <c r="Y2731" s="77" t="n"/>
      <c r="Z2731" s="77" t="n"/>
      <c r="AA2731" s="75" t="n"/>
      <c r="AB2731" s="75" t="n"/>
      <c r="AC2731" s="6" t="n"/>
      <c r="AD2731" s="75" t="n"/>
      <c r="AE2731" s="75" t="n"/>
      <c r="AF2731" s="75" t="n"/>
    </row>
    <row r="2732" ht="15.75" customHeight="1" s="133">
      <c r="A2732" s="75" t="n"/>
      <c r="B2732" s="75" t="n"/>
      <c r="C2732" s="75" t="n"/>
      <c r="D2732" s="75" t="n"/>
      <c r="E2732" s="76" t="n"/>
      <c r="F2732" s="77" t="n"/>
      <c r="G2732" s="75" t="n"/>
      <c r="H2732" s="75">
        <f>IF(ISBLANK(E2732),"",IF(OR(D2732="Butterfly",D2732="Butterfly ",D2732="Iron Fly", D2732="Iron Fly "),LEN(E2732)-LEN(SUBSTITUTE(E2732,"/",""))+2,LEN(E2732)-LEN(SUBSTITUTE(E2732,"/",""))+1))</f>
        <v/>
      </c>
      <c r="I2732" s="78">
        <f>IF(ISBLANK(G2732),"",IF(D2732="Stock","0",Key!$A$3*H2732*G2732))</f>
        <v/>
      </c>
      <c r="J2732" s="78">
        <f>IF(ISBLANK(E2732),"",IF(ISNUMBER(SEARCH("/",E2732)), IF(LEN(E2732)-LEN(SUBSTITUTE(E2732,"/",""))=1,(RIGHT(E2732,LEN(E2732)-FIND("/",E2732)))-(LEFT(E2732,FIND("/",E2732)-1)),(MID(E2732, SEARCH("/",E2732) + 1, SEARCH("/",E2732, SEARCH("/",E2732)+1) - SEARCH("/",E2732) - 1))-(LEFT(E2732,FIND("/",E2732)-1))), "NA"))</f>
        <v/>
      </c>
      <c r="K2732" s="79">
        <f>IF(A2732&lt;&gt;"", IF(ISBLANK(L2732), TODAY(), K2732), "")</f>
        <v/>
      </c>
      <c r="L2732" s="78" t="n"/>
      <c r="M2732" s="78">
        <f>IF(ISBLANK(L2732),"",IF(D2732="Stock",IF(C2732="Buy",L2732*G2732,IF(C2732="Sell",(L2732*G2732)-I2732, X)),IF(C2732="Buy",(L2732*G2732*100)+I2732,IF(C2732="Sell",(L2732*G2732*100)-I2732, X))))</f>
        <v/>
      </c>
      <c r="N2732" s="78">
        <f>IF(ISBLANK(L2732),"",IF(AND(C2732="Sell",D2732="Stock"),M2732,IF(ISBLANK(L2732),"",IF(C2732="Buy",M2732, IF(AND(C2732="Sell",J2732="NA"),(E2732*G2732*100*0.1)+I2732, IF(C2732="Sell",(J2732-L2732)*(100*G2732)+I2732))))))</f>
        <v/>
      </c>
      <c r="O2732" s="75" t="n"/>
      <c r="P2732" s="75" t="n"/>
      <c r="Q2732" s="75">
        <f>IF(ISBLANK(P2732),"",IF(D2732="Stock",P2732*G2732,IF(P2732=0,"0",G2732*P2732*100-(G2732*$AF$14))))</f>
        <v/>
      </c>
      <c r="R2732" s="79">
        <f>IF(P2732&lt;&gt;"", TODAY(), "")</f>
        <v/>
      </c>
      <c r="S2732" s="78">
        <f>IF(AND(K2732&lt;&gt;"", R2732&lt;&gt;""), R2732-K2732, "")</f>
        <v/>
      </c>
      <c r="T2732" s="78" t="n"/>
      <c r="U2732" s="92">
        <f>IF(ISBLANK(P2732),"",IF(C2732="Buy",Q2732-M2732+T2732, IF(C2732="Sell",M2732-Q2732-T2732, X)))</f>
        <v/>
      </c>
      <c r="V2732" s="81">
        <f>IF(ISBLANK(P2732),"",U2732/N2732)</f>
        <v/>
      </c>
      <c r="W2732" s="81">
        <f>IF(ISBLANK(P2732),"",IF(S2732=0,(365/0.5)*V2732,(365/S2732)*V2732))</f>
        <v/>
      </c>
      <c r="X2732" s="75" t="n"/>
      <c r="Y2732" s="77" t="n"/>
      <c r="Z2732" s="77" t="n"/>
      <c r="AA2732" s="75" t="n"/>
      <c r="AB2732" s="75" t="n"/>
      <c r="AC2732" s="6" t="n"/>
      <c r="AD2732" s="75" t="n"/>
      <c r="AE2732" s="75" t="n"/>
      <c r="AF2732" s="75" t="n"/>
    </row>
    <row r="2733" ht="15.75" customHeight="1" s="133">
      <c r="A2733" s="75" t="n"/>
      <c r="B2733" s="75" t="n"/>
      <c r="C2733" s="75" t="n"/>
      <c r="D2733" s="75" t="n"/>
      <c r="E2733" s="76" t="n"/>
      <c r="F2733" s="77" t="n"/>
      <c r="G2733" s="75" t="n"/>
      <c r="H2733" s="75">
        <f>IF(ISBLANK(E2733),"",IF(OR(D2733="Butterfly",D2733="Butterfly ",D2733="Iron Fly", D2733="Iron Fly "),LEN(E2733)-LEN(SUBSTITUTE(E2733,"/",""))+2,LEN(E2733)-LEN(SUBSTITUTE(E2733,"/",""))+1))</f>
        <v/>
      </c>
      <c r="I2733" s="78">
        <f>IF(ISBLANK(G2733),"",IF(D2733="Stock","0",Key!$A$3*H2733*G2733))</f>
        <v/>
      </c>
      <c r="J2733" s="78">
        <f>IF(ISBLANK(E2733),"",IF(ISNUMBER(SEARCH("/",E2733)), IF(LEN(E2733)-LEN(SUBSTITUTE(E2733,"/",""))=1,(RIGHT(E2733,LEN(E2733)-FIND("/",E2733)))-(LEFT(E2733,FIND("/",E2733)-1)),(MID(E2733, SEARCH("/",E2733) + 1, SEARCH("/",E2733, SEARCH("/",E2733)+1) - SEARCH("/",E2733) - 1))-(LEFT(E2733,FIND("/",E2733)-1))), "NA"))</f>
        <v/>
      </c>
      <c r="K2733" s="79">
        <f>IF(A2733&lt;&gt;"", IF(ISBLANK(L2733), TODAY(), K2733), "")</f>
        <v/>
      </c>
      <c r="L2733" s="78" t="n"/>
      <c r="M2733" s="78">
        <f>IF(ISBLANK(L2733),"",IF(D2733="Stock",IF(C2733="Buy",L2733*G2733,IF(C2733="Sell",(L2733*G2733)-I2733, X)),IF(C2733="Buy",(L2733*G2733*100)+I2733,IF(C2733="Sell",(L2733*G2733*100)-I2733, X))))</f>
        <v/>
      </c>
      <c r="N2733" s="78">
        <f>IF(ISBLANK(L2733),"",IF(AND(C2733="Sell",D2733="Stock"),M2733,IF(ISBLANK(L2733),"",IF(C2733="Buy",M2733, IF(AND(C2733="Sell",J2733="NA"),(E2733*G2733*100*0.1)+I2733, IF(C2733="Sell",(J2733-L2733)*(100*G2733)+I2733))))))</f>
        <v/>
      </c>
      <c r="O2733" s="75" t="n"/>
      <c r="P2733" s="75" t="n"/>
      <c r="Q2733" s="75">
        <f>IF(ISBLANK(P2733),"",IF(D2733="Stock",P2733*G2733,IF(P2733=0,"0",G2733*P2733*100-(G2733*$AF$14))))</f>
        <v/>
      </c>
      <c r="R2733" s="79">
        <f>IF(P2733&lt;&gt;"", TODAY(), "")</f>
        <v/>
      </c>
      <c r="S2733" s="78">
        <f>IF(AND(K2733&lt;&gt;"", R2733&lt;&gt;""), R2733-K2733, "")</f>
        <v/>
      </c>
      <c r="T2733" s="78" t="n"/>
      <c r="U2733" s="92">
        <f>IF(ISBLANK(P2733),"",IF(C2733="Buy",Q2733-M2733+T2733, IF(C2733="Sell",M2733-Q2733-T2733, X)))</f>
        <v/>
      </c>
      <c r="V2733" s="81">
        <f>IF(ISBLANK(P2733),"",U2733/N2733)</f>
        <v/>
      </c>
      <c r="W2733" s="81">
        <f>IF(ISBLANK(P2733),"",IF(S2733=0,(365/0.5)*V2733,(365/S2733)*V2733))</f>
        <v/>
      </c>
      <c r="X2733" s="75" t="n"/>
      <c r="Y2733" s="77" t="n"/>
      <c r="Z2733" s="77" t="n"/>
      <c r="AA2733" s="75" t="n"/>
      <c r="AB2733" s="75" t="n"/>
      <c r="AC2733" s="6" t="n"/>
      <c r="AD2733" s="75" t="n"/>
      <c r="AE2733" s="75" t="n"/>
      <c r="AF2733" s="75" t="n"/>
    </row>
    <row r="2734" ht="15.75" customHeight="1" s="133">
      <c r="A2734" s="75" t="n"/>
      <c r="B2734" s="75" t="n"/>
      <c r="C2734" s="75" t="n"/>
      <c r="D2734" s="75" t="n"/>
      <c r="E2734" s="76" t="n"/>
      <c r="F2734" s="77" t="n"/>
      <c r="G2734" s="75" t="n"/>
      <c r="H2734" s="75">
        <f>IF(ISBLANK(E2734),"",IF(OR(D2734="Butterfly",D2734="Butterfly ",D2734="Iron Fly", D2734="Iron Fly "),LEN(E2734)-LEN(SUBSTITUTE(E2734,"/",""))+2,LEN(E2734)-LEN(SUBSTITUTE(E2734,"/",""))+1))</f>
        <v/>
      </c>
      <c r="I2734" s="78">
        <f>IF(ISBLANK(G2734),"",IF(D2734="Stock","0",Key!$A$3*H2734*G2734))</f>
        <v/>
      </c>
      <c r="J2734" s="78">
        <f>IF(ISBLANK(E2734),"",IF(ISNUMBER(SEARCH("/",E2734)), IF(LEN(E2734)-LEN(SUBSTITUTE(E2734,"/",""))=1,(RIGHT(E2734,LEN(E2734)-FIND("/",E2734)))-(LEFT(E2734,FIND("/",E2734)-1)),(MID(E2734, SEARCH("/",E2734) + 1, SEARCH("/",E2734, SEARCH("/",E2734)+1) - SEARCH("/",E2734) - 1))-(LEFT(E2734,FIND("/",E2734)-1))), "NA"))</f>
        <v/>
      </c>
      <c r="K2734" s="79">
        <f>IF(A2734&lt;&gt;"", IF(ISBLANK(L2734), TODAY(), K2734), "")</f>
        <v/>
      </c>
      <c r="L2734" s="78" t="n"/>
      <c r="M2734" s="78">
        <f>IF(ISBLANK(L2734),"",IF(D2734="Stock",IF(C2734="Buy",L2734*G2734,IF(C2734="Sell",(L2734*G2734)-I2734, X)),IF(C2734="Buy",(L2734*G2734*100)+I2734,IF(C2734="Sell",(L2734*G2734*100)-I2734, X))))</f>
        <v/>
      </c>
      <c r="N2734" s="78">
        <f>IF(ISBLANK(L2734),"",IF(AND(C2734="Sell",D2734="Stock"),M2734,IF(ISBLANK(L2734),"",IF(C2734="Buy",M2734, IF(AND(C2734="Sell",J2734="NA"),(E2734*G2734*100*0.1)+I2734, IF(C2734="Sell",(J2734-L2734)*(100*G2734)+I2734))))))</f>
        <v/>
      </c>
      <c r="O2734" s="75" t="n"/>
      <c r="P2734" s="75" t="n"/>
      <c r="Q2734" s="75">
        <f>IF(ISBLANK(P2734),"",IF(D2734="Stock",P2734*G2734,IF(P2734=0,"0",G2734*P2734*100-(G2734*$AF$14))))</f>
        <v/>
      </c>
      <c r="R2734" s="79">
        <f>IF(P2734&lt;&gt;"", TODAY(), "")</f>
        <v/>
      </c>
      <c r="S2734" s="78">
        <f>IF(AND(K2734&lt;&gt;"", R2734&lt;&gt;""), R2734-K2734, "")</f>
        <v/>
      </c>
      <c r="T2734" s="78" t="n"/>
      <c r="U2734" s="92">
        <f>IF(ISBLANK(P2734),"",IF(C2734="Buy",Q2734-M2734+T2734, IF(C2734="Sell",M2734-Q2734-T2734, X)))</f>
        <v/>
      </c>
      <c r="V2734" s="81">
        <f>IF(ISBLANK(P2734),"",U2734/N2734)</f>
        <v/>
      </c>
      <c r="W2734" s="81">
        <f>IF(ISBLANK(P2734),"",IF(S2734=0,(365/0.5)*V2734,(365/S2734)*V2734))</f>
        <v/>
      </c>
      <c r="X2734" s="75" t="n"/>
      <c r="Y2734" s="77" t="n"/>
      <c r="Z2734" s="77" t="n"/>
      <c r="AA2734" s="75" t="n"/>
      <c r="AB2734" s="75" t="n"/>
      <c r="AC2734" s="6" t="n"/>
      <c r="AD2734" s="75" t="n"/>
      <c r="AE2734" s="75" t="n"/>
      <c r="AF2734" s="75" t="n"/>
    </row>
    <row r="2735" ht="15.75" customHeight="1" s="133">
      <c r="A2735" s="75" t="n"/>
      <c r="B2735" s="75" t="n"/>
      <c r="C2735" s="75" t="n"/>
      <c r="D2735" s="75" t="n"/>
      <c r="E2735" s="76" t="n"/>
      <c r="F2735" s="77" t="n"/>
      <c r="G2735" s="75" t="n"/>
      <c r="H2735" s="75">
        <f>IF(ISBLANK(E2735),"",IF(OR(D2735="Butterfly",D2735="Butterfly ",D2735="Iron Fly", D2735="Iron Fly "),LEN(E2735)-LEN(SUBSTITUTE(E2735,"/",""))+2,LEN(E2735)-LEN(SUBSTITUTE(E2735,"/",""))+1))</f>
        <v/>
      </c>
      <c r="I2735" s="78">
        <f>IF(ISBLANK(G2735),"",IF(D2735="Stock","0",Key!$A$3*H2735*G2735))</f>
        <v/>
      </c>
      <c r="J2735" s="78">
        <f>IF(ISBLANK(E2735),"",IF(ISNUMBER(SEARCH("/",E2735)), IF(LEN(E2735)-LEN(SUBSTITUTE(E2735,"/",""))=1,(RIGHT(E2735,LEN(E2735)-FIND("/",E2735)))-(LEFT(E2735,FIND("/",E2735)-1)),(MID(E2735, SEARCH("/",E2735) + 1, SEARCH("/",E2735, SEARCH("/",E2735)+1) - SEARCH("/",E2735) - 1))-(LEFT(E2735,FIND("/",E2735)-1))), "NA"))</f>
        <v/>
      </c>
      <c r="K2735" s="79">
        <f>IF(A2735&lt;&gt;"", IF(ISBLANK(L2735), TODAY(), K2735), "")</f>
        <v/>
      </c>
      <c r="L2735" s="78" t="n"/>
      <c r="M2735" s="78">
        <f>IF(ISBLANK(L2735),"",IF(D2735="Stock",IF(C2735="Buy",L2735*G2735,IF(C2735="Sell",(L2735*G2735)-I2735, X)),IF(C2735="Buy",(L2735*G2735*100)+I2735,IF(C2735="Sell",(L2735*G2735*100)-I2735, X))))</f>
        <v/>
      </c>
      <c r="N2735" s="78">
        <f>IF(ISBLANK(L2735),"",IF(AND(C2735="Sell",D2735="Stock"),M2735,IF(ISBLANK(L2735),"",IF(C2735="Buy",M2735, IF(AND(C2735="Sell",J2735="NA"),(E2735*G2735*100*0.1)+I2735, IF(C2735="Sell",(J2735-L2735)*(100*G2735)+I2735))))))</f>
        <v/>
      </c>
      <c r="O2735" s="75" t="n"/>
      <c r="P2735" s="75" t="n"/>
      <c r="Q2735" s="75">
        <f>IF(ISBLANK(P2735),"",IF(D2735="Stock",P2735*G2735,IF(P2735=0,"0",G2735*P2735*100-(G2735*$AF$14))))</f>
        <v/>
      </c>
      <c r="R2735" s="79">
        <f>IF(P2735&lt;&gt;"", TODAY(), "")</f>
        <v/>
      </c>
      <c r="S2735" s="78">
        <f>IF(AND(K2735&lt;&gt;"", R2735&lt;&gt;""), R2735-K2735, "")</f>
        <v/>
      </c>
      <c r="T2735" s="78" t="n"/>
      <c r="U2735" s="92">
        <f>IF(ISBLANK(P2735),"",IF(C2735="Buy",Q2735-M2735+T2735, IF(C2735="Sell",M2735-Q2735-T2735, X)))</f>
        <v/>
      </c>
      <c r="V2735" s="81">
        <f>IF(ISBLANK(P2735),"",U2735/N2735)</f>
        <v/>
      </c>
      <c r="W2735" s="81">
        <f>IF(ISBLANK(P2735),"",IF(S2735=0,(365/0.5)*V2735,(365/S2735)*V2735))</f>
        <v/>
      </c>
      <c r="X2735" s="75" t="n"/>
      <c r="Y2735" s="77" t="n"/>
      <c r="Z2735" s="77" t="n"/>
      <c r="AA2735" s="75" t="n"/>
      <c r="AB2735" s="75" t="n"/>
      <c r="AC2735" s="6" t="n"/>
      <c r="AD2735" s="75" t="n"/>
      <c r="AE2735" s="75" t="n"/>
      <c r="AF2735" s="75" t="n"/>
    </row>
    <row r="2736" ht="15.75" customHeight="1" s="133">
      <c r="A2736" s="75" t="n"/>
      <c r="B2736" s="75" t="n"/>
      <c r="C2736" s="75" t="n"/>
      <c r="D2736" s="75" t="n"/>
      <c r="E2736" s="76" t="n"/>
      <c r="F2736" s="77" t="n"/>
      <c r="G2736" s="75" t="n"/>
      <c r="H2736" s="75">
        <f>IF(ISBLANK(E2736),"",IF(OR(D2736="Butterfly",D2736="Butterfly ",D2736="Iron Fly", D2736="Iron Fly "),LEN(E2736)-LEN(SUBSTITUTE(E2736,"/",""))+2,LEN(E2736)-LEN(SUBSTITUTE(E2736,"/",""))+1))</f>
        <v/>
      </c>
      <c r="I2736" s="78">
        <f>IF(ISBLANK(G2736),"",IF(D2736="Stock","0",Key!$A$3*H2736*G2736))</f>
        <v/>
      </c>
      <c r="J2736" s="78">
        <f>IF(ISBLANK(E2736),"",IF(ISNUMBER(SEARCH("/",E2736)), IF(LEN(E2736)-LEN(SUBSTITUTE(E2736,"/",""))=1,(RIGHT(E2736,LEN(E2736)-FIND("/",E2736)))-(LEFT(E2736,FIND("/",E2736)-1)),(MID(E2736, SEARCH("/",E2736) + 1, SEARCH("/",E2736, SEARCH("/",E2736)+1) - SEARCH("/",E2736) - 1))-(LEFT(E2736,FIND("/",E2736)-1))), "NA"))</f>
        <v/>
      </c>
      <c r="K2736" s="79">
        <f>IF(A2736&lt;&gt;"", IF(ISBLANK(L2736), TODAY(), K2736), "")</f>
        <v/>
      </c>
      <c r="L2736" s="78" t="n"/>
      <c r="M2736" s="78">
        <f>IF(ISBLANK(L2736),"",IF(D2736="Stock",IF(C2736="Buy",L2736*G2736,IF(C2736="Sell",(L2736*G2736)-I2736, X)),IF(C2736="Buy",(L2736*G2736*100)+I2736,IF(C2736="Sell",(L2736*G2736*100)-I2736, X))))</f>
        <v/>
      </c>
      <c r="N2736" s="78">
        <f>IF(ISBLANK(L2736),"",IF(AND(C2736="Sell",D2736="Stock"),M2736,IF(ISBLANK(L2736),"",IF(C2736="Buy",M2736, IF(AND(C2736="Sell",J2736="NA"),(E2736*G2736*100*0.1)+I2736, IF(C2736="Sell",(J2736-L2736)*(100*G2736)+I2736))))))</f>
        <v/>
      </c>
      <c r="O2736" s="75" t="n"/>
      <c r="P2736" s="75" t="n"/>
      <c r="Q2736" s="75">
        <f>IF(ISBLANK(P2736),"",IF(D2736="Stock",P2736*G2736,IF(P2736=0,"0",G2736*P2736*100-(G2736*$AF$14))))</f>
        <v/>
      </c>
      <c r="R2736" s="79">
        <f>IF(P2736&lt;&gt;"", TODAY(), "")</f>
        <v/>
      </c>
      <c r="S2736" s="78">
        <f>IF(AND(K2736&lt;&gt;"", R2736&lt;&gt;""), R2736-K2736, "")</f>
        <v/>
      </c>
      <c r="T2736" s="78" t="n"/>
      <c r="U2736" s="92">
        <f>IF(ISBLANK(P2736),"",IF(C2736="Buy",Q2736-M2736+T2736, IF(C2736="Sell",M2736-Q2736-T2736, X)))</f>
        <v/>
      </c>
      <c r="V2736" s="81">
        <f>IF(ISBLANK(P2736),"",U2736/N2736)</f>
        <v/>
      </c>
      <c r="W2736" s="81">
        <f>IF(ISBLANK(P2736),"",IF(S2736=0,(365/0.5)*V2736,(365/S2736)*V2736))</f>
        <v/>
      </c>
      <c r="X2736" s="75" t="n"/>
      <c r="Y2736" s="77" t="n"/>
      <c r="Z2736" s="77" t="n"/>
      <c r="AA2736" s="75" t="n"/>
      <c r="AB2736" s="75" t="n"/>
      <c r="AC2736" s="6" t="n"/>
      <c r="AD2736" s="75" t="n"/>
      <c r="AE2736" s="75" t="n"/>
      <c r="AF2736" s="75" t="n"/>
    </row>
    <row r="2737" ht="15.75" customHeight="1" s="133">
      <c r="A2737" s="75" t="n"/>
      <c r="B2737" s="75" t="n"/>
      <c r="C2737" s="75" t="n"/>
      <c r="D2737" s="75" t="n"/>
      <c r="E2737" s="76" t="n"/>
      <c r="F2737" s="77" t="n"/>
      <c r="G2737" s="75" t="n"/>
      <c r="H2737" s="75">
        <f>IF(ISBLANK(E2737),"",IF(OR(D2737="Butterfly",D2737="Butterfly ",D2737="Iron Fly", D2737="Iron Fly "),LEN(E2737)-LEN(SUBSTITUTE(E2737,"/",""))+2,LEN(E2737)-LEN(SUBSTITUTE(E2737,"/",""))+1))</f>
        <v/>
      </c>
      <c r="I2737" s="78">
        <f>IF(ISBLANK(G2737),"",IF(D2737="Stock","0",Key!$A$3*H2737*G2737))</f>
        <v/>
      </c>
      <c r="J2737" s="78">
        <f>IF(ISBLANK(E2737),"",IF(ISNUMBER(SEARCH("/",E2737)), IF(LEN(E2737)-LEN(SUBSTITUTE(E2737,"/",""))=1,(RIGHT(E2737,LEN(E2737)-FIND("/",E2737)))-(LEFT(E2737,FIND("/",E2737)-1)),(MID(E2737, SEARCH("/",E2737) + 1, SEARCH("/",E2737, SEARCH("/",E2737)+1) - SEARCH("/",E2737) - 1))-(LEFT(E2737,FIND("/",E2737)-1))), "NA"))</f>
        <v/>
      </c>
      <c r="K2737" s="79">
        <f>IF(A2737&lt;&gt;"", IF(ISBLANK(L2737), TODAY(), K2737), "")</f>
        <v/>
      </c>
      <c r="L2737" s="78" t="n"/>
      <c r="M2737" s="78">
        <f>IF(ISBLANK(L2737),"",IF(D2737="Stock",IF(C2737="Buy",L2737*G2737,IF(C2737="Sell",(L2737*G2737)-I2737, X)),IF(C2737="Buy",(L2737*G2737*100)+I2737,IF(C2737="Sell",(L2737*G2737*100)-I2737, X))))</f>
        <v/>
      </c>
      <c r="N2737" s="78">
        <f>IF(ISBLANK(L2737),"",IF(AND(C2737="Sell",D2737="Stock"),M2737,IF(ISBLANK(L2737),"",IF(C2737="Buy",M2737, IF(AND(C2737="Sell",J2737="NA"),(E2737*G2737*100*0.1)+I2737, IF(C2737="Sell",(J2737-L2737)*(100*G2737)+I2737))))))</f>
        <v/>
      </c>
      <c r="O2737" s="75" t="n"/>
      <c r="P2737" s="75" t="n"/>
      <c r="Q2737" s="75">
        <f>IF(ISBLANK(P2737),"",IF(D2737="Stock",P2737*G2737,IF(P2737=0,"0",G2737*P2737*100-(G2737*$AF$14))))</f>
        <v/>
      </c>
      <c r="R2737" s="79">
        <f>IF(P2737&lt;&gt;"", TODAY(), "")</f>
        <v/>
      </c>
      <c r="S2737" s="78">
        <f>IF(AND(K2737&lt;&gt;"", R2737&lt;&gt;""), R2737-K2737, "")</f>
        <v/>
      </c>
      <c r="T2737" s="78" t="n"/>
      <c r="U2737" s="92">
        <f>IF(ISBLANK(P2737),"",IF(C2737="Buy",Q2737-M2737+T2737, IF(C2737="Sell",M2737-Q2737-T2737, X)))</f>
        <v/>
      </c>
      <c r="V2737" s="81">
        <f>IF(ISBLANK(P2737),"",U2737/N2737)</f>
        <v/>
      </c>
      <c r="W2737" s="81">
        <f>IF(ISBLANK(P2737),"",IF(S2737=0,(365/0.5)*V2737,(365/S2737)*V2737))</f>
        <v/>
      </c>
      <c r="X2737" s="75" t="n"/>
      <c r="Y2737" s="77" t="n"/>
      <c r="Z2737" s="77" t="n"/>
      <c r="AA2737" s="75" t="n"/>
      <c r="AB2737" s="75" t="n"/>
      <c r="AC2737" s="6" t="n"/>
      <c r="AD2737" s="75" t="n"/>
      <c r="AE2737" s="75" t="n"/>
      <c r="AF2737" s="75" t="n"/>
    </row>
    <row r="2738" ht="15.75" customHeight="1" s="133">
      <c r="A2738" s="75" t="n"/>
      <c r="B2738" s="75" t="n"/>
      <c r="C2738" s="75" t="n"/>
      <c r="D2738" s="75" t="n"/>
      <c r="E2738" s="76" t="n"/>
      <c r="F2738" s="77" t="n"/>
      <c r="G2738" s="75" t="n"/>
      <c r="H2738" s="75">
        <f>IF(ISBLANK(E2738),"",IF(OR(D2738="Butterfly",D2738="Butterfly ",D2738="Iron Fly", D2738="Iron Fly "),LEN(E2738)-LEN(SUBSTITUTE(E2738,"/",""))+2,LEN(E2738)-LEN(SUBSTITUTE(E2738,"/",""))+1))</f>
        <v/>
      </c>
      <c r="I2738" s="78">
        <f>IF(ISBLANK(G2738),"",IF(D2738="Stock","0",Key!$A$3*H2738*G2738))</f>
        <v/>
      </c>
      <c r="J2738" s="78">
        <f>IF(ISBLANK(E2738),"",IF(ISNUMBER(SEARCH("/",E2738)), IF(LEN(E2738)-LEN(SUBSTITUTE(E2738,"/",""))=1,(RIGHT(E2738,LEN(E2738)-FIND("/",E2738)))-(LEFT(E2738,FIND("/",E2738)-1)),(MID(E2738, SEARCH("/",E2738) + 1, SEARCH("/",E2738, SEARCH("/",E2738)+1) - SEARCH("/",E2738) - 1))-(LEFT(E2738,FIND("/",E2738)-1))), "NA"))</f>
        <v/>
      </c>
      <c r="K2738" s="79">
        <f>IF(A2738&lt;&gt;"", IF(ISBLANK(L2738), TODAY(), K2738), "")</f>
        <v/>
      </c>
      <c r="L2738" s="78" t="n"/>
      <c r="M2738" s="78">
        <f>IF(ISBLANK(L2738),"",IF(D2738="Stock",IF(C2738="Buy",L2738*G2738,IF(C2738="Sell",(L2738*G2738)-I2738, X)),IF(C2738="Buy",(L2738*G2738*100)+I2738,IF(C2738="Sell",(L2738*G2738*100)-I2738, X))))</f>
        <v/>
      </c>
      <c r="N2738" s="78">
        <f>IF(ISBLANK(L2738),"",IF(AND(C2738="Sell",D2738="Stock"),M2738,IF(ISBLANK(L2738),"",IF(C2738="Buy",M2738, IF(AND(C2738="Sell",J2738="NA"),(E2738*G2738*100*0.1)+I2738, IF(C2738="Sell",(J2738-L2738)*(100*G2738)+I2738))))))</f>
        <v/>
      </c>
      <c r="O2738" s="75" t="n"/>
      <c r="P2738" s="75" t="n"/>
      <c r="Q2738" s="75">
        <f>IF(ISBLANK(P2738),"",IF(D2738="Stock",P2738*G2738,IF(P2738=0,"0",G2738*P2738*100-(G2738*$AF$14))))</f>
        <v/>
      </c>
      <c r="R2738" s="79">
        <f>IF(P2738&lt;&gt;"", TODAY(), "")</f>
        <v/>
      </c>
      <c r="S2738" s="78">
        <f>IF(AND(K2738&lt;&gt;"", R2738&lt;&gt;""), R2738-K2738, "")</f>
        <v/>
      </c>
      <c r="T2738" s="78" t="n"/>
      <c r="U2738" s="92">
        <f>IF(ISBLANK(P2738),"",IF(C2738="Buy",Q2738-M2738+T2738, IF(C2738="Sell",M2738-Q2738-T2738, X)))</f>
        <v/>
      </c>
      <c r="V2738" s="81">
        <f>IF(ISBLANK(P2738),"",U2738/N2738)</f>
        <v/>
      </c>
      <c r="W2738" s="81">
        <f>IF(ISBLANK(P2738),"",IF(S2738=0,(365/0.5)*V2738,(365/S2738)*V2738))</f>
        <v/>
      </c>
      <c r="X2738" s="75" t="n"/>
      <c r="Y2738" s="77" t="n"/>
      <c r="Z2738" s="77" t="n"/>
      <c r="AA2738" s="75" t="n"/>
      <c r="AB2738" s="75" t="n"/>
      <c r="AC2738" s="6" t="n"/>
      <c r="AD2738" s="75" t="n"/>
      <c r="AE2738" s="75" t="n"/>
      <c r="AF2738" s="75" t="n"/>
    </row>
    <row r="2739" ht="15.75" customHeight="1" s="133">
      <c r="A2739" s="75" t="n"/>
      <c r="B2739" s="75" t="n"/>
      <c r="C2739" s="75" t="n"/>
      <c r="D2739" s="75" t="n"/>
      <c r="E2739" s="76" t="n"/>
      <c r="F2739" s="77" t="n"/>
      <c r="G2739" s="75" t="n"/>
      <c r="H2739" s="75">
        <f>IF(ISBLANK(E2739),"",IF(OR(D2739="Butterfly",D2739="Butterfly ",D2739="Iron Fly", D2739="Iron Fly "),LEN(E2739)-LEN(SUBSTITUTE(E2739,"/",""))+2,LEN(E2739)-LEN(SUBSTITUTE(E2739,"/",""))+1))</f>
        <v/>
      </c>
      <c r="I2739" s="78">
        <f>IF(ISBLANK(G2739),"",IF(D2739="Stock","0",Key!$A$3*H2739*G2739))</f>
        <v/>
      </c>
      <c r="J2739" s="78">
        <f>IF(ISBLANK(E2739),"",IF(ISNUMBER(SEARCH("/",E2739)), IF(LEN(E2739)-LEN(SUBSTITUTE(E2739,"/",""))=1,(RIGHT(E2739,LEN(E2739)-FIND("/",E2739)))-(LEFT(E2739,FIND("/",E2739)-1)),(MID(E2739, SEARCH("/",E2739) + 1, SEARCH("/",E2739, SEARCH("/",E2739)+1) - SEARCH("/",E2739) - 1))-(LEFT(E2739,FIND("/",E2739)-1))), "NA"))</f>
        <v/>
      </c>
      <c r="K2739" s="79">
        <f>IF(A2739&lt;&gt;"", IF(ISBLANK(L2739), TODAY(), K2739), "")</f>
        <v/>
      </c>
      <c r="L2739" s="78" t="n"/>
      <c r="M2739" s="78">
        <f>IF(ISBLANK(L2739),"",IF(D2739="Stock",IF(C2739="Buy",L2739*G2739,IF(C2739="Sell",(L2739*G2739)-I2739, X)),IF(C2739="Buy",(L2739*G2739*100)+I2739,IF(C2739="Sell",(L2739*G2739*100)-I2739, X))))</f>
        <v/>
      </c>
      <c r="N2739" s="78">
        <f>IF(ISBLANK(L2739),"",IF(AND(C2739="Sell",D2739="Stock"),M2739,IF(ISBLANK(L2739),"",IF(C2739="Buy",M2739, IF(AND(C2739="Sell",J2739="NA"),(E2739*G2739*100*0.1)+I2739, IF(C2739="Sell",(J2739-L2739)*(100*G2739)+I2739))))))</f>
        <v/>
      </c>
      <c r="O2739" s="75" t="n"/>
      <c r="P2739" s="75" t="n"/>
      <c r="Q2739" s="75">
        <f>IF(ISBLANK(P2739),"",IF(D2739="Stock",P2739*G2739,IF(P2739=0,"0",G2739*P2739*100-(G2739*$AF$14))))</f>
        <v/>
      </c>
      <c r="R2739" s="79">
        <f>IF(P2739&lt;&gt;"", TODAY(), "")</f>
        <v/>
      </c>
      <c r="S2739" s="78">
        <f>IF(AND(K2739&lt;&gt;"", R2739&lt;&gt;""), R2739-K2739, "")</f>
        <v/>
      </c>
      <c r="T2739" s="78" t="n"/>
      <c r="U2739" s="92">
        <f>IF(ISBLANK(P2739),"",IF(C2739="Buy",Q2739-M2739+T2739, IF(C2739="Sell",M2739-Q2739-T2739, X)))</f>
        <v/>
      </c>
      <c r="V2739" s="81">
        <f>IF(ISBLANK(P2739),"",U2739/N2739)</f>
        <v/>
      </c>
      <c r="W2739" s="81">
        <f>IF(ISBLANK(P2739),"",IF(S2739=0,(365/0.5)*V2739,(365/S2739)*V2739))</f>
        <v/>
      </c>
      <c r="X2739" s="75" t="n"/>
      <c r="Y2739" s="77" t="n"/>
      <c r="Z2739" s="77" t="n"/>
      <c r="AA2739" s="75" t="n"/>
      <c r="AB2739" s="75" t="n"/>
      <c r="AC2739" s="6" t="n"/>
      <c r="AD2739" s="75" t="n"/>
      <c r="AE2739" s="75" t="n"/>
      <c r="AF2739" s="75" t="n"/>
    </row>
    <row r="2740" ht="15.75" customHeight="1" s="133">
      <c r="A2740" s="75" t="n"/>
      <c r="B2740" s="75" t="n"/>
      <c r="C2740" s="75" t="n"/>
      <c r="D2740" s="75" t="n"/>
      <c r="E2740" s="76" t="n"/>
      <c r="F2740" s="77" t="n"/>
      <c r="G2740" s="75" t="n"/>
      <c r="H2740" s="75">
        <f>IF(ISBLANK(E2740),"",IF(OR(D2740="Butterfly",D2740="Butterfly ",D2740="Iron Fly", D2740="Iron Fly "),LEN(E2740)-LEN(SUBSTITUTE(E2740,"/",""))+2,LEN(E2740)-LEN(SUBSTITUTE(E2740,"/",""))+1))</f>
        <v/>
      </c>
      <c r="I2740" s="78">
        <f>IF(ISBLANK(G2740),"",IF(D2740="Stock","0",Key!$A$3*H2740*G2740))</f>
        <v/>
      </c>
      <c r="J2740" s="78">
        <f>IF(ISBLANK(E2740),"",IF(ISNUMBER(SEARCH("/",E2740)), IF(LEN(E2740)-LEN(SUBSTITUTE(E2740,"/",""))=1,(RIGHT(E2740,LEN(E2740)-FIND("/",E2740)))-(LEFT(E2740,FIND("/",E2740)-1)),(MID(E2740, SEARCH("/",E2740) + 1, SEARCH("/",E2740, SEARCH("/",E2740)+1) - SEARCH("/",E2740) - 1))-(LEFT(E2740,FIND("/",E2740)-1))), "NA"))</f>
        <v/>
      </c>
      <c r="K2740" s="79">
        <f>IF(A2740&lt;&gt;"", IF(ISBLANK(L2740), TODAY(), K2740), "")</f>
        <v/>
      </c>
      <c r="L2740" s="78" t="n"/>
      <c r="M2740" s="78">
        <f>IF(ISBLANK(L2740),"",IF(D2740="Stock",IF(C2740="Buy",L2740*G2740,IF(C2740="Sell",(L2740*G2740)-I2740, X)),IF(C2740="Buy",(L2740*G2740*100)+I2740,IF(C2740="Sell",(L2740*G2740*100)-I2740, X))))</f>
        <v/>
      </c>
      <c r="N2740" s="78">
        <f>IF(ISBLANK(L2740),"",IF(AND(C2740="Sell",D2740="Stock"),M2740,IF(ISBLANK(L2740),"",IF(C2740="Buy",M2740, IF(AND(C2740="Sell",J2740="NA"),(E2740*G2740*100*0.1)+I2740, IF(C2740="Sell",(J2740-L2740)*(100*G2740)+I2740))))))</f>
        <v/>
      </c>
      <c r="O2740" s="75" t="n"/>
      <c r="P2740" s="75" t="n"/>
      <c r="Q2740" s="75">
        <f>IF(ISBLANK(P2740),"",IF(D2740="Stock",P2740*G2740,IF(P2740=0,"0",G2740*P2740*100-(G2740*$AF$14))))</f>
        <v/>
      </c>
      <c r="R2740" s="79">
        <f>IF(P2740&lt;&gt;"", TODAY(), "")</f>
        <v/>
      </c>
      <c r="S2740" s="78">
        <f>IF(AND(K2740&lt;&gt;"", R2740&lt;&gt;""), R2740-K2740, "")</f>
        <v/>
      </c>
      <c r="T2740" s="78" t="n"/>
      <c r="U2740" s="92">
        <f>IF(ISBLANK(P2740),"",IF(C2740="Buy",Q2740-M2740+T2740, IF(C2740="Sell",M2740-Q2740-T2740, X)))</f>
        <v/>
      </c>
      <c r="V2740" s="81">
        <f>IF(ISBLANK(P2740),"",U2740/N2740)</f>
        <v/>
      </c>
      <c r="W2740" s="81">
        <f>IF(ISBLANK(P2740),"",IF(S2740=0,(365/0.5)*V2740,(365/S2740)*V2740))</f>
        <v/>
      </c>
      <c r="X2740" s="75" t="n"/>
      <c r="Y2740" s="77" t="n"/>
      <c r="Z2740" s="77" t="n"/>
      <c r="AA2740" s="75" t="n"/>
      <c r="AB2740" s="75" t="n"/>
      <c r="AC2740" s="6" t="n"/>
      <c r="AD2740" s="75" t="n"/>
      <c r="AE2740" s="75" t="n"/>
      <c r="AF2740" s="75" t="n"/>
    </row>
    <row r="2741" ht="15.75" customHeight="1" s="133">
      <c r="A2741" s="75" t="n"/>
      <c r="B2741" s="75" t="n"/>
      <c r="C2741" s="75" t="n"/>
      <c r="D2741" s="75" t="n"/>
      <c r="E2741" s="76" t="n"/>
      <c r="F2741" s="77" t="n"/>
      <c r="G2741" s="75" t="n"/>
      <c r="H2741" s="75">
        <f>IF(ISBLANK(E2741),"",IF(OR(D2741="Butterfly",D2741="Butterfly ",D2741="Iron Fly", D2741="Iron Fly "),LEN(E2741)-LEN(SUBSTITUTE(E2741,"/",""))+2,LEN(E2741)-LEN(SUBSTITUTE(E2741,"/",""))+1))</f>
        <v/>
      </c>
      <c r="I2741" s="78">
        <f>IF(ISBLANK(G2741),"",IF(D2741="Stock","0",Key!$A$3*H2741*G2741))</f>
        <v/>
      </c>
      <c r="J2741" s="78">
        <f>IF(ISBLANK(E2741),"",IF(ISNUMBER(SEARCH("/",E2741)), IF(LEN(E2741)-LEN(SUBSTITUTE(E2741,"/",""))=1,(RIGHT(E2741,LEN(E2741)-FIND("/",E2741)))-(LEFT(E2741,FIND("/",E2741)-1)),(MID(E2741, SEARCH("/",E2741) + 1, SEARCH("/",E2741, SEARCH("/",E2741)+1) - SEARCH("/",E2741) - 1))-(LEFT(E2741,FIND("/",E2741)-1))), "NA"))</f>
        <v/>
      </c>
      <c r="K2741" s="79">
        <f>IF(A2741&lt;&gt;"", IF(ISBLANK(L2741), TODAY(), K2741), "")</f>
        <v/>
      </c>
      <c r="L2741" s="78" t="n"/>
      <c r="M2741" s="78">
        <f>IF(ISBLANK(L2741),"",IF(D2741="Stock",IF(C2741="Buy",L2741*G2741,IF(C2741="Sell",(L2741*G2741)-I2741, X)),IF(C2741="Buy",(L2741*G2741*100)+I2741,IF(C2741="Sell",(L2741*G2741*100)-I2741, X))))</f>
        <v/>
      </c>
      <c r="N2741" s="78">
        <f>IF(ISBLANK(L2741),"",IF(AND(C2741="Sell",D2741="Stock"),M2741,IF(ISBLANK(L2741),"",IF(C2741="Buy",M2741, IF(AND(C2741="Sell",J2741="NA"),(E2741*G2741*100*0.1)+I2741, IF(C2741="Sell",(J2741-L2741)*(100*G2741)+I2741))))))</f>
        <v/>
      </c>
      <c r="O2741" s="75" t="n"/>
      <c r="P2741" s="75" t="n"/>
      <c r="Q2741" s="75">
        <f>IF(ISBLANK(P2741),"",IF(D2741="Stock",P2741*G2741,IF(P2741=0,"0",G2741*P2741*100-(G2741*$AF$14))))</f>
        <v/>
      </c>
      <c r="R2741" s="79">
        <f>IF(P2741&lt;&gt;"", TODAY(), "")</f>
        <v/>
      </c>
      <c r="S2741" s="78">
        <f>IF(AND(K2741&lt;&gt;"", R2741&lt;&gt;""), R2741-K2741, "")</f>
        <v/>
      </c>
      <c r="T2741" s="78" t="n"/>
      <c r="U2741" s="92">
        <f>IF(ISBLANK(P2741),"",IF(C2741="Buy",Q2741-M2741+T2741, IF(C2741="Sell",M2741-Q2741-T2741, X)))</f>
        <v/>
      </c>
      <c r="V2741" s="81">
        <f>IF(ISBLANK(P2741),"",U2741/N2741)</f>
        <v/>
      </c>
      <c r="W2741" s="81">
        <f>IF(ISBLANK(P2741),"",IF(S2741=0,(365/0.5)*V2741,(365/S2741)*V2741))</f>
        <v/>
      </c>
      <c r="X2741" s="75" t="n"/>
      <c r="Y2741" s="77" t="n"/>
      <c r="Z2741" s="77" t="n"/>
      <c r="AA2741" s="75" t="n"/>
      <c r="AB2741" s="75" t="n"/>
      <c r="AC2741" s="6" t="n"/>
      <c r="AD2741" s="75" t="n"/>
      <c r="AE2741" s="75" t="n"/>
      <c r="AF2741" s="75" t="n"/>
    </row>
    <row r="2742" ht="15.75" customHeight="1" s="133">
      <c r="A2742" s="75" t="n"/>
      <c r="B2742" s="75" t="n"/>
      <c r="C2742" s="75" t="n"/>
      <c r="D2742" s="75" t="n"/>
      <c r="E2742" s="76" t="n"/>
      <c r="F2742" s="77" t="n"/>
      <c r="G2742" s="75" t="n"/>
      <c r="H2742" s="75">
        <f>IF(ISBLANK(E2742),"",IF(OR(D2742="Butterfly",D2742="Butterfly ",D2742="Iron Fly", D2742="Iron Fly "),LEN(E2742)-LEN(SUBSTITUTE(E2742,"/",""))+2,LEN(E2742)-LEN(SUBSTITUTE(E2742,"/",""))+1))</f>
        <v/>
      </c>
      <c r="I2742" s="78">
        <f>IF(ISBLANK(G2742),"",IF(D2742="Stock","0",Key!$A$3*H2742*G2742))</f>
        <v/>
      </c>
      <c r="J2742" s="78">
        <f>IF(ISBLANK(E2742),"",IF(ISNUMBER(SEARCH("/",E2742)), IF(LEN(E2742)-LEN(SUBSTITUTE(E2742,"/",""))=1,(RIGHT(E2742,LEN(E2742)-FIND("/",E2742)))-(LEFT(E2742,FIND("/",E2742)-1)),(MID(E2742, SEARCH("/",E2742) + 1, SEARCH("/",E2742, SEARCH("/",E2742)+1) - SEARCH("/",E2742) - 1))-(LEFT(E2742,FIND("/",E2742)-1))), "NA"))</f>
        <v/>
      </c>
      <c r="K2742" s="79">
        <f>IF(A2742&lt;&gt;"", IF(ISBLANK(L2742), TODAY(), K2742), "")</f>
        <v/>
      </c>
      <c r="L2742" s="78" t="n"/>
      <c r="M2742" s="78">
        <f>IF(ISBLANK(L2742),"",IF(D2742="Stock",IF(C2742="Buy",L2742*G2742,IF(C2742="Sell",(L2742*G2742)-I2742, X)),IF(C2742="Buy",(L2742*G2742*100)+I2742,IF(C2742="Sell",(L2742*G2742*100)-I2742, X))))</f>
        <v/>
      </c>
      <c r="N2742" s="78">
        <f>IF(ISBLANK(L2742),"",IF(AND(C2742="Sell",D2742="Stock"),M2742,IF(ISBLANK(L2742),"",IF(C2742="Buy",M2742, IF(AND(C2742="Sell",J2742="NA"),(E2742*G2742*100*0.1)+I2742, IF(C2742="Sell",(J2742-L2742)*(100*G2742)+I2742))))))</f>
        <v/>
      </c>
      <c r="O2742" s="75" t="n"/>
      <c r="P2742" s="75" t="n"/>
      <c r="Q2742" s="75">
        <f>IF(ISBLANK(P2742),"",IF(D2742="Stock",P2742*G2742,IF(P2742=0,"0",G2742*P2742*100-(G2742*$AF$14))))</f>
        <v/>
      </c>
      <c r="R2742" s="79">
        <f>IF(P2742&lt;&gt;"", TODAY(), "")</f>
        <v/>
      </c>
      <c r="S2742" s="78">
        <f>IF(AND(K2742&lt;&gt;"", R2742&lt;&gt;""), R2742-K2742, "")</f>
        <v/>
      </c>
      <c r="T2742" s="78" t="n"/>
      <c r="U2742" s="92">
        <f>IF(ISBLANK(P2742),"",IF(C2742="Buy",Q2742-M2742+T2742, IF(C2742="Sell",M2742-Q2742-T2742, X)))</f>
        <v/>
      </c>
      <c r="V2742" s="81">
        <f>IF(ISBLANK(P2742),"",U2742/N2742)</f>
        <v/>
      </c>
      <c r="W2742" s="81">
        <f>IF(ISBLANK(P2742),"",IF(S2742=0,(365/0.5)*V2742,(365/S2742)*V2742))</f>
        <v/>
      </c>
      <c r="X2742" s="75" t="n"/>
      <c r="Y2742" s="77" t="n"/>
      <c r="Z2742" s="77" t="n"/>
      <c r="AA2742" s="75" t="n"/>
      <c r="AB2742" s="75" t="n"/>
      <c r="AC2742" s="6" t="n"/>
      <c r="AD2742" s="75" t="n"/>
      <c r="AE2742" s="75" t="n"/>
      <c r="AF2742" s="75" t="n"/>
    </row>
    <row r="2743" ht="15.75" customHeight="1" s="133">
      <c r="A2743" s="75" t="n"/>
      <c r="B2743" s="75" t="n"/>
      <c r="C2743" s="75" t="n"/>
      <c r="D2743" s="75" t="n"/>
      <c r="E2743" s="76" t="n"/>
      <c r="F2743" s="77" t="n"/>
      <c r="G2743" s="75" t="n"/>
      <c r="H2743" s="75">
        <f>IF(ISBLANK(E2743),"",IF(OR(D2743="Butterfly",D2743="Butterfly ",D2743="Iron Fly", D2743="Iron Fly "),LEN(E2743)-LEN(SUBSTITUTE(E2743,"/",""))+2,LEN(E2743)-LEN(SUBSTITUTE(E2743,"/",""))+1))</f>
        <v/>
      </c>
      <c r="I2743" s="78">
        <f>IF(ISBLANK(G2743),"",IF(D2743="Stock","0",Key!$A$3*H2743*G2743))</f>
        <v/>
      </c>
      <c r="J2743" s="78">
        <f>IF(ISBLANK(E2743),"",IF(ISNUMBER(SEARCH("/",E2743)), IF(LEN(E2743)-LEN(SUBSTITUTE(E2743,"/",""))=1,(RIGHT(E2743,LEN(E2743)-FIND("/",E2743)))-(LEFT(E2743,FIND("/",E2743)-1)),(MID(E2743, SEARCH("/",E2743) + 1, SEARCH("/",E2743, SEARCH("/",E2743)+1) - SEARCH("/",E2743) - 1))-(LEFT(E2743,FIND("/",E2743)-1))), "NA"))</f>
        <v/>
      </c>
      <c r="K2743" s="79">
        <f>IF(A2743&lt;&gt;"", IF(ISBLANK(L2743), TODAY(), K2743), "")</f>
        <v/>
      </c>
      <c r="L2743" s="78" t="n"/>
      <c r="M2743" s="78">
        <f>IF(ISBLANK(L2743),"",IF(D2743="Stock",IF(C2743="Buy",L2743*G2743,IF(C2743="Sell",(L2743*G2743)-I2743, X)),IF(C2743="Buy",(L2743*G2743*100)+I2743,IF(C2743="Sell",(L2743*G2743*100)-I2743, X))))</f>
        <v/>
      </c>
      <c r="N2743" s="78">
        <f>IF(ISBLANK(L2743),"",IF(AND(C2743="Sell",D2743="Stock"),M2743,IF(ISBLANK(L2743),"",IF(C2743="Buy",M2743, IF(AND(C2743="Sell",J2743="NA"),(E2743*G2743*100*0.1)+I2743, IF(C2743="Sell",(J2743-L2743)*(100*G2743)+I2743))))))</f>
        <v/>
      </c>
      <c r="O2743" s="75" t="n"/>
      <c r="P2743" s="75" t="n"/>
      <c r="Q2743" s="75">
        <f>IF(ISBLANK(P2743),"",IF(D2743="Stock",P2743*G2743,IF(P2743=0,"0",G2743*P2743*100-(G2743*$AF$14))))</f>
        <v/>
      </c>
      <c r="R2743" s="79">
        <f>IF(P2743&lt;&gt;"", TODAY(), "")</f>
        <v/>
      </c>
      <c r="S2743" s="78">
        <f>IF(AND(K2743&lt;&gt;"", R2743&lt;&gt;""), R2743-K2743, "")</f>
        <v/>
      </c>
      <c r="T2743" s="78" t="n"/>
      <c r="U2743" s="92">
        <f>IF(ISBLANK(P2743),"",IF(C2743="Buy",Q2743-M2743+T2743, IF(C2743="Sell",M2743-Q2743-T2743, X)))</f>
        <v/>
      </c>
      <c r="V2743" s="81">
        <f>IF(ISBLANK(P2743),"",U2743/N2743)</f>
        <v/>
      </c>
      <c r="W2743" s="81">
        <f>IF(ISBLANK(P2743),"",IF(S2743=0,(365/0.5)*V2743,(365/S2743)*V2743))</f>
        <v/>
      </c>
      <c r="X2743" s="75" t="n"/>
      <c r="Y2743" s="77" t="n"/>
      <c r="Z2743" s="77" t="n"/>
      <c r="AA2743" s="75" t="n"/>
      <c r="AB2743" s="75" t="n"/>
      <c r="AC2743" s="6" t="n"/>
      <c r="AD2743" s="75" t="n"/>
      <c r="AE2743" s="75" t="n"/>
      <c r="AF2743" s="75" t="n"/>
    </row>
    <row r="2744" ht="15.75" customHeight="1" s="133">
      <c r="A2744" s="75" t="n"/>
      <c r="B2744" s="75" t="n"/>
      <c r="C2744" s="75" t="n"/>
      <c r="D2744" s="75" t="n"/>
      <c r="E2744" s="76" t="n"/>
      <c r="F2744" s="77" t="n"/>
      <c r="G2744" s="75" t="n"/>
      <c r="H2744" s="75">
        <f>IF(ISBLANK(E2744),"",IF(OR(D2744="Butterfly",D2744="Butterfly ",D2744="Iron Fly", D2744="Iron Fly "),LEN(E2744)-LEN(SUBSTITUTE(E2744,"/",""))+2,LEN(E2744)-LEN(SUBSTITUTE(E2744,"/",""))+1))</f>
        <v/>
      </c>
      <c r="I2744" s="78">
        <f>IF(ISBLANK(G2744),"",IF(D2744="Stock","0",Key!$A$3*H2744*G2744))</f>
        <v/>
      </c>
      <c r="J2744" s="78">
        <f>IF(ISBLANK(E2744),"",IF(ISNUMBER(SEARCH("/",E2744)), IF(LEN(E2744)-LEN(SUBSTITUTE(E2744,"/",""))=1,(RIGHT(E2744,LEN(E2744)-FIND("/",E2744)))-(LEFT(E2744,FIND("/",E2744)-1)),(MID(E2744, SEARCH("/",E2744) + 1, SEARCH("/",E2744, SEARCH("/",E2744)+1) - SEARCH("/",E2744) - 1))-(LEFT(E2744,FIND("/",E2744)-1))), "NA"))</f>
        <v/>
      </c>
      <c r="K2744" s="79">
        <f>IF(A2744&lt;&gt;"", IF(ISBLANK(L2744), TODAY(), K2744), "")</f>
        <v/>
      </c>
      <c r="L2744" s="78" t="n"/>
      <c r="M2744" s="78">
        <f>IF(ISBLANK(L2744),"",IF(D2744="Stock",IF(C2744="Buy",L2744*G2744,IF(C2744="Sell",(L2744*G2744)-I2744, X)),IF(C2744="Buy",(L2744*G2744*100)+I2744,IF(C2744="Sell",(L2744*G2744*100)-I2744, X))))</f>
        <v/>
      </c>
      <c r="N2744" s="78">
        <f>IF(ISBLANK(L2744),"",IF(AND(C2744="Sell",D2744="Stock"),M2744,IF(ISBLANK(L2744),"",IF(C2744="Buy",M2744, IF(AND(C2744="Sell",J2744="NA"),(E2744*G2744*100*0.1)+I2744, IF(C2744="Sell",(J2744-L2744)*(100*G2744)+I2744))))))</f>
        <v/>
      </c>
      <c r="O2744" s="75" t="n"/>
      <c r="P2744" s="75" t="n"/>
      <c r="Q2744" s="75">
        <f>IF(ISBLANK(P2744),"",IF(D2744="Stock",P2744*G2744,IF(P2744=0,"0",G2744*P2744*100-(G2744*$AF$14))))</f>
        <v/>
      </c>
      <c r="R2744" s="79">
        <f>IF(P2744&lt;&gt;"", TODAY(), "")</f>
        <v/>
      </c>
      <c r="S2744" s="78">
        <f>IF(AND(K2744&lt;&gt;"", R2744&lt;&gt;""), R2744-K2744, "")</f>
        <v/>
      </c>
      <c r="T2744" s="78" t="n"/>
      <c r="U2744" s="92">
        <f>IF(ISBLANK(P2744),"",IF(C2744="Buy",Q2744-M2744+T2744, IF(C2744="Sell",M2744-Q2744-T2744, X)))</f>
        <v/>
      </c>
      <c r="V2744" s="81">
        <f>IF(ISBLANK(P2744),"",U2744/N2744)</f>
        <v/>
      </c>
      <c r="W2744" s="81">
        <f>IF(ISBLANK(P2744),"",IF(S2744=0,(365/0.5)*V2744,(365/S2744)*V2744))</f>
        <v/>
      </c>
      <c r="X2744" s="75" t="n"/>
      <c r="Y2744" s="77" t="n"/>
      <c r="Z2744" s="77" t="n"/>
      <c r="AA2744" s="75" t="n"/>
      <c r="AB2744" s="75" t="n"/>
      <c r="AC2744" s="6" t="n"/>
      <c r="AD2744" s="75" t="n"/>
      <c r="AE2744" s="75" t="n"/>
      <c r="AF2744" s="75" t="n"/>
    </row>
    <row r="2745" ht="15.75" customHeight="1" s="133">
      <c r="A2745" s="75" t="n"/>
      <c r="B2745" s="75" t="n"/>
      <c r="C2745" s="75" t="n"/>
      <c r="D2745" s="75" t="n"/>
      <c r="E2745" s="76" t="n"/>
      <c r="F2745" s="77" t="n"/>
      <c r="G2745" s="75" t="n"/>
      <c r="H2745" s="75">
        <f>IF(ISBLANK(E2745),"",IF(OR(D2745="Butterfly",D2745="Butterfly ",D2745="Iron Fly", D2745="Iron Fly "),LEN(E2745)-LEN(SUBSTITUTE(E2745,"/",""))+2,LEN(E2745)-LEN(SUBSTITUTE(E2745,"/",""))+1))</f>
        <v/>
      </c>
      <c r="I2745" s="78">
        <f>IF(ISBLANK(G2745),"",IF(D2745="Stock","0",Key!$A$3*H2745*G2745))</f>
        <v/>
      </c>
      <c r="J2745" s="78">
        <f>IF(ISBLANK(E2745),"",IF(ISNUMBER(SEARCH("/",E2745)), IF(LEN(E2745)-LEN(SUBSTITUTE(E2745,"/",""))=1,(RIGHT(E2745,LEN(E2745)-FIND("/",E2745)))-(LEFT(E2745,FIND("/",E2745)-1)),(MID(E2745, SEARCH("/",E2745) + 1, SEARCH("/",E2745, SEARCH("/",E2745)+1) - SEARCH("/",E2745) - 1))-(LEFT(E2745,FIND("/",E2745)-1))), "NA"))</f>
        <v/>
      </c>
      <c r="K2745" s="79">
        <f>IF(A2745&lt;&gt;"", IF(ISBLANK(L2745), TODAY(), K2745), "")</f>
        <v/>
      </c>
      <c r="L2745" s="78" t="n"/>
      <c r="M2745" s="78">
        <f>IF(ISBLANK(L2745),"",IF(D2745="Stock",IF(C2745="Buy",L2745*G2745,IF(C2745="Sell",(L2745*G2745)-I2745, X)),IF(C2745="Buy",(L2745*G2745*100)+I2745,IF(C2745="Sell",(L2745*G2745*100)-I2745, X))))</f>
        <v/>
      </c>
      <c r="N2745" s="78">
        <f>IF(ISBLANK(L2745),"",IF(AND(C2745="Sell",D2745="Stock"),M2745,IF(ISBLANK(L2745),"",IF(C2745="Buy",M2745, IF(AND(C2745="Sell",J2745="NA"),(E2745*G2745*100*0.1)+I2745, IF(C2745="Sell",(J2745-L2745)*(100*G2745)+I2745))))))</f>
        <v/>
      </c>
      <c r="O2745" s="75" t="n"/>
      <c r="P2745" s="75" t="n"/>
      <c r="Q2745" s="75">
        <f>IF(ISBLANK(P2745),"",IF(D2745="Stock",P2745*G2745,IF(P2745=0,"0",G2745*P2745*100-(G2745*$AF$14))))</f>
        <v/>
      </c>
      <c r="R2745" s="79">
        <f>IF(P2745&lt;&gt;"", TODAY(), "")</f>
        <v/>
      </c>
      <c r="S2745" s="78">
        <f>IF(AND(K2745&lt;&gt;"", R2745&lt;&gt;""), R2745-K2745, "")</f>
        <v/>
      </c>
      <c r="T2745" s="78" t="n"/>
      <c r="U2745" s="92">
        <f>IF(ISBLANK(P2745),"",IF(C2745="Buy",Q2745-M2745+T2745, IF(C2745="Sell",M2745-Q2745-T2745, X)))</f>
        <v/>
      </c>
      <c r="V2745" s="81">
        <f>IF(ISBLANK(P2745),"",U2745/N2745)</f>
        <v/>
      </c>
      <c r="W2745" s="81">
        <f>IF(ISBLANK(P2745),"",IF(S2745=0,(365/0.5)*V2745,(365/S2745)*V2745))</f>
        <v/>
      </c>
      <c r="X2745" s="75" t="n"/>
      <c r="Y2745" s="77" t="n"/>
      <c r="Z2745" s="77" t="n"/>
      <c r="AA2745" s="75" t="n"/>
      <c r="AB2745" s="75" t="n"/>
      <c r="AC2745" s="6" t="n"/>
      <c r="AD2745" s="75" t="n"/>
      <c r="AE2745" s="75" t="n"/>
      <c r="AF2745" s="75" t="n"/>
    </row>
    <row r="2746" ht="15.75" customHeight="1" s="133">
      <c r="A2746" s="75" t="n"/>
      <c r="B2746" s="75" t="n"/>
      <c r="C2746" s="75" t="n"/>
      <c r="D2746" s="75" t="n"/>
      <c r="E2746" s="76" t="n"/>
      <c r="F2746" s="77" t="n"/>
      <c r="G2746" s="75" t="n"/>
      <c r="H2746" s="75">
        <f>IF(ISBLANK(E2746),"",IF(OR(D2746="Butterfly",D2746="Butterfly ",D2746="Iron Fly", D2746="Iron Fly "),LEN(E2746)-LEN(SUBSTITUTE(E2746,"/",""))+2,LEN(E2746)-LEN(SUBSTITUTE(E2746,"/",""))+1))</f>
        <v/>
      </c>
      <c r="I2746" s="78">
        <f>IF(ISBLANK(G2746),"",IF(D2746="Stock","0",Key!$A$3*H2746*G2746))</f>
        <v/>
      </c>
      <c r="J2746" s="78">
        <f>IF(ISBLANK(E2746),"",IF(ISNUMBER(SEARCH("/",E2746)), IF(LEN(E2746)-LEN(SUBSTITUTE(E2746,"/",""))=1,(RIGHT(E2746,LEN(E2746)-FIND("/",E2746)))-(LEFT(E2746,FIND("/",E2746)-1)),(MID(E2746, SEARCH("/",E2746) + 1, SEARCH("/",E2746, SEARCH("/",E2746)+1) - SEARCH("/",E2746) - 1))-(LEFT(E2746,FIND("/",E2746)-1))), "NA"))</f>
        <v/>
      </c>
      <c r="K2746" s="79">
        <f>IF(A2746&lt;&gt;"", IF(ISBLANK(L2746), TODAY(), K2746), "")</f>
        <v/>
      </c>
      <c r="L2746" s="78" t="n"/>
      <c r="M2746" s="78">
        <f>IF(ISBLANK(L2746),"",IF(D2746="Stock",IF(C2746="Buy",L2746*G2746,IF(C2746="Sell",(L2746*G2746)-I2746, X)),IF(C2746="Buy",(L2746*G2746*100)+I2746,IF(C2746="Sell",(L2746*G2746*100)-I2746, X))))</f>
        <v/>
      </c>
      <c r="N2746" s="78">
        <f>IF(ISBLANK(L2746),"",IF(AND(C2746="Sell",D2746="Stock"),M2746,IF(ISBLANK(L2746),"",IF(C2746="Buy",M2746, IF(AND(C2746="Sell",J2746="NA"),(E2746*G2746*100*0.1)+I2746, IF(C2746="Sell",(J2746-L2746)*(100*G2746)+I2746))))))</f>
        <v/>
      </c>
      <c r="O2746" s="75" t="n"/>
      <c r="P2746" s="75" t="n"/>
      <c r="Q2746" s="75">
        <f>IF(ISBLANK(P2746),"",IF(D2746="Stock",P2746*G2746,IF(P2746=0,"0",G2746*P2746*100-(G2746*$AF$14))))</f>
        <v/>
      </c>
      <c r="R2746" s="79">
        <f>IF(P2746&lt;&gt;"", TODAY(), "")</f>
        <v/>
      </c>
      <c r="S2746" s="78">
        <f>IF(AND(K2746&lt;&gt;"", R2746&lt;&gt;""), R2746-K2746, "")</f>
        <v/>
      </c>
      <c r="T2746" s="78" t="n"/>
      <c r="U2746" s="92">
        <f>IF(ISBLANK(P2746),"",IF(C2746="Buy",Q2746-M2746+T2746, IF(C2746="Sell",M2746-Q2746-T2746, X)))</f>
        <v/>
      </c>
      <c r="V2746" s="81">
        <f>IF(ISBLANK(P2746),"",U2746/N2746)</f>
        <v/>
      </c>
      <c r="W2746" s="81">
        <f>IF(ISBLANK(P2746),"",IF(S2746=0,(365/0.5)*V2746,(365/S2746)*V2746))</f>
        <v/>
      </c>
      <c r="X2746" s="75" t="n"/>
      <c r="Y2746" s="77" t="n"/>
      <c r="Z2746" s="77" t="n"/>
      <c r="AA2746" s="75" t="n"/>
      <c r="AB2746" s="75" t="n"/>
      <c r="AC2746" s="6" t="n"/>
      <c r="AD2746" s="75" t="n"/>
      <c r="AE2746" s="75" t="n"/>
      <c r="AF2746" s="75" t="n"/>
    </row>
    <row r="2747" ht="15.75" customHeight="1" s="133">
      <c r="A2747" s="75" t="n"/>
      <c r="B2747" s="75" t="n"/>
      <c r="C2747" s="75" t="n"/>
      <c r="D2747" s="75" t="n"/>
      <c r="E2747" s="76" t="n"/>
      <c r="F2747" s="77" t="n"/>
      <c r="G2747" s="75" t="n"/>
      <c r="H2747" s="75">
        <f>IF(ISBLANK(E2747),"",IF(OR(D2747="Butterfly",D2747="Butterfly ",D2747="Iron Fly", D2747="Iron Fly "),LEN(E2747)-LEN(SUBSTITUTE(E2747,"/",""))+2,LEN(E2747)-LEN(SUBSTITUTE(E2747,"/",""))+1))</f>
        <v/>
      </c>
      <c r="I2747" s="78">
        <f>IF(ISBLANK(G2747),"",IF(D2747="Stock","0",Key!$A$3*H2747*G2747))</f>
        <v/>
      </c>
      <c r="J2747" s="78">
        <f>IF(ISBLANK(E2747),"",IF(ISNUMBER(SEARCH("/",E2747)), IF(LEN(E2747)-LEN(SUBSTITUTE(E2747,"/",""))=1,(RIGHT(E2747,LEN(E2747)-FIND("/",E2747)))-(LEFT(E2747,FIND("/",E2747)-1)),(MID(E2747, SEARCH("/",E2747) + 1, SEARCH("/",E2747, SEARCH("/",E2747)+1) - SEARCH("/",E2747) - 1))-(LEFT(E2747,FIND("/",E2747)-1))), "NA"))</f>
        <v/>
      </c>
      <c r="K2747" s="79">
        <f>IF(A2747&lt;&gt;"", IF(ISBLANK(L2747), TODAY(), K2747), "")</f>
        <v/>
      </c>
      <c r="L2747" s="78" t="n"/>
      <c r="M2747" s="78">
        <f>IF(ISBLANK(L2747),"",IF(D2747="Stock",IF(C2747="Buy",L2747*G2747,IF(C2747="Sell",(L2747*G2747)-I2747, X)),IF(C2747="Buy",(L2747*G2747*100)+I2747,IF(C2747="Sell",(L2747*G2747*100)-I2747, X))))</f>
        <v/>
      </c>
      <c r="N2747" s="78">
        <f>IF(ISBLANK(L2747),"",IF(AND(C2747="Sell",D2747="Stock"),M2747,IF(ISBLANK(L2747),"",IF(C2747="Buy",M2747, IF(AND(C2747="Sell",J2747="NA"),(E2747*G2747*100*0.1)+I2747, IF(C2747="Sell",(J2747-L2747)*(100*G2747)+I2747))))))</f>
        <v/>
      </c>
      <c r="O2747" s="75" t="n"/>
      <c r="P2747" s="75" t="n"/>
      <c r="Q2747" s="75">
        <f>IF(ISBLANK(P2747),"",IF(D2747="Stock",P2747*G2747,IF(P2747=0,"0",G2747*P2747*100-(G2747*$AF$14))))</f>
        <v/>
      </c>
      <c r="R2747" s="79">
        <f>IF(P2747&lt;&gt;"", TODAY(), "")</f>
        <v/>
      </c>
      <c r="S2747" s="78">
        <f>IF(AND(K2747&lt;&gt;"", R2747&lt;&gt;""), R2747-K2747, "")</f>
        <v/>
      </c>
      <c r="T2747" s="78" t="n"/>
      <c r="U2747" s="92">
        <f>IF(ISBLANK(P2747),"",IF(C2747="Buy",Q2747-M2747+T2747, IF(C2747="Sell",M2747-Q2747-T2747, X)))</f>
        <v/>
      </c>
      <c r="V2747" s="81">
        <f>IF(ISBLANK(P2747),"",U2747/N2747)</f>
        <v/>
      </c>
      <c r="W2747" s="81">
        <f>IF(ISBLANK(P2747),"",IF(S2747=0,(365/0.5)*V2747,(365/S2747)*V2747))</f>
        <v/>
      </c>
      <c r="X2747" s="75" t="n"/>
      <c r="Y2747" s="77" t="n"/>
      <c r="Z2747" s="77" t="n"/>
      <c r="AA2747" s="75" t="n"/>
      <c r="AB2747" s="75" t="n"/>
      <c r="AC2747" s="6" t="n"/>
      <c r="AD2747" s="75" t="n"/>
      <c r="AE2747" s="75" t="n"/>
      <c r="AF2747" s="75" t="n"/>
    </row>
    <row r="2748" ht="15.75" customHeight="1" s="133">
      <c r="A2748" s="75" t="n"/>
      <c r="B2748" s="75" t="n"/>
      <c r="C2748" s="75" t="n"/>
      <c r="D2748" s="75" t="n"/>
      <c r="E2748" s="76" t="n"/>
      <c r="F2748" s="77" t="n"/>
      <c r="G2748" s="75" t="n"/>
      <c r="H2748" s="75">
        <f>IF(ISBLANK(E2748),"",IF(OR(D2748="Butterfly",D2748="Butterfly ",D2748="Iron Fly", D2748="Iron Fly "),LEN(E2748)-LEN(SUBSTITUTE(E2748,"/",""))+2,LEN(E2748)-LEN(SUBSTITUTE(E2748,"/",""))+1))</f>
        <v/>
      </c>
      <c r="I2748" s="78">
        <f>IF(ISBLANK(G2748),"",IF(D2748="Stock","0",Key!$A$3*H2748*G2748))</f>
        <v/>
      </c>
      <c r="J2748" s="78">
        <f>IF(ISBLANK(E2748),"",IF(ISNUMBER(SEARCH("/",E2748)), IF(LEN(E2748)-LEN(SUBSTITUTE(E2748,"/",""))=1,(RIGHT(E2748,LEN(E2748)-FIND("/",E2748)))-(LEFT(E2748,FIND("/",E2748)-1)),(MID(E2748, SEARCH("/",E2748) + 1, SEARCH("/",E2748, SEARCH("/",E2748)+1) - SEARCH("/",E2748) - 1))-(LEFT(E2748,FIND("/",E2748)-1))), "NA"))</f>
        <v/>
      </c>
      <c r="K2748" s="79">
        <f>IF(A2748&lt;&gt;"", IF(ISBLANK(L2748), TODAY(), K2748), "")</f>
        <v/>
      </c>
      <c r="L2748" s="78" t="n"/>
      <c r="M2748" s="78">
        <f>IF(ISBLANK(L2748),"",IF(D2748="Stock",IF(C2748="Buy",L2748*G2748,IF(C2748="Sell",(L2748*G2748)-I2748, X)),IF(C2748="Buy",(L2748*G2748*100)+I2748,IF(C2748="Sell",(L2748*G2748*100)-I2748, X))))</f>
        <v/>
      </c>
      <c r="N2748" s="78">
        <f>IF(ISBLANK(L2748),"",IF(AND(C2748="Sell",D2748="Stock"),M2748,IF(ISBLANK(L2748),"",IF(C2748="Buy",M2748, IF(AND(C2748="Sell",J2748="NA"),(E2748*G2748*100*0.1)+I2748, IF(C2748="Sell",(J2748-L2748)*(100*G2748)+I2748))))))</f>
        <v/>
      </c>
      <c r="O2748" s="75" t="n"/>
      <c r="P2748" s="75" t="n"/>
      <c r="Q2748" s="75">
        <f>IF(ISBLANK(P2748),"",IF(D2748="Stock",P2748*G2748,IF(P2748=0,"0",G2748*P2748*100-(G2748*$AF$14))))</f>
        <v/>
      </c>
      <c r="R2748" s="79">
        <f>IF(P2748&lt;&gt;"", TODAY(), "")</f>
        <v/>
      </c>
      <c r="S2748" s="78">
        <f>IF(AND(K2748&lt;&gt;"", R2748&lt;&gt;""), R2748-K2748, "")</f>
        <v/>
      </c>
      <c r="T2748" s="78" t="n"/>
      <c r="U2748" s="92">
        <f>IF(ISBLANK(P2748),"",IF(C2748="Buy",Q2748-M2748+T2748, IF(C2748="Sell",M2748-Q2748-T2748, X)))</f>
        <v/>
      </c>
      <c r="V2748" s="81">
        <f>IF(ISBLANK(P2748),"",U2748/N2748)</f>
        <v/>
      </c>
      <c r="W2748" s="81">
        <f>IF(ISBLANK(P2748),"",IF(S2748=0,(365/0.5)*V2748,(365/S2748)*V2748))</f>
        <v/>
      </c>
      <c r="X2748" s="75" t="n"/>
      <c r="Y2748" s="77" t="n"/>
      <c r="Z2748" s="77" t="n"/>
      <c r="AA2748" s="75" t="n"/>
      <c r="AB2748" s="75" t="n"/>
      <c r="AC2748" s="6" t="n"/>
      <c r="AD2748" s="75" t="n"/>
      <c r="AE2748" s="75" t="n"/>
      <c r="AF2748" s="75" t="n"/>
    </row>
    <row r="2749" ht="15.75" customHeight="1" s="133">
      <c r="A2749" s="75" t="n"/>
      <c r="B2749" s="75" t="n"/>
      <c r="C2749" s="75" t="n"/>
      <c r="D2749" s="75" t="n"/>
      <c r="E2749" s="76" t="n"/>
      <c r="F2749" s="77" t="n"/>
      <c r="G2749" s="75" t="n"/>
      <c r="H2749" s="75">
        <f>IF(ISBLANK(E2749),"",IF(OR(D2749="Butterfly",D2749="Butterfly ",D2749="Iron Fly", D2749="Iron Fly "),LEN(E2749)-LEN(SUBSTITUTE(E2749,"/",""))+2,LEN(E2749)-LEN(SUBSTITUTE(E2749,"/",""))+1))</f>
        <v/>
      </c>
      <c r="I2749" s="78">
        <f>IF(ISBLANK(G2749),"",IF(D2749="Stock","0",Key!$A$3*H2749*G2749))</f>
        <v/>
      </c>
      <c r="J2749" s="78">
        <f>IF(ISBLANK(E2749),"",IF(ISNUMBER(SEARCH("/",E2749)), IF(LEN(E2749)-LEN(SUBSTITUTE(E2749,"/",""))=1,(RIGHT(E2749,LEN(E2749)-FIND("/",E2749)))-(LEFT(E2749,FIND("/",E2749)-1)),(MID(E2749, SEARCH("/",E2749) + 1, SEARCH("/",E2749, SEARCH("/",E2749)+1) - SEARCH("/",E2749) - 1))-(LEFT(E2749,FIND("/",E2749)-1))), "NA"))</f>
        <v/>
      </c>
      <c r="K2749" s="79">
        <f>IF(A2749&lt;&gt;"", IF(ISBLANK(L2749), TODAY(), K2749), "")</f>
        <v/>
      </c>
      <c r="L2749" s="78" t="n"/>
      <c r="M2749" s="78">
        <f>IF(ISBLANK(L2749),"",IF(D2749="Stock",IF(C2749="Buy",L2749*G2749,IF(C2749="Sell",(L2749*G2749)-I2749, X)),IF(C2749="Buy",(L2749*G2749*100)+I2749,IF(C2749="Sell",(L2749*G2749*100)-I2749, X))))</f>
        <v/>
      </c>
      <c r="N2749" s="78">
        <f>IF(ISBLANK(L2749),"",IF(AND(C2749="Sell",D2749="Stock"),M2749,IF(ISBLANK(L2749),"",IF(C2749="Buy",M2749, IF(AND(C2749="Sell",J2749="NA"),(E2749*G2749*100*0.1)+I2749, IF(C2749="Sell",(J2749-L2749)*(100*G2749)+I2749))))))</f>
        <v/>
      </c>
      <c r="O2749" s="75" t="n"/>
      <c r="P2749" s="75" t="n"/>
      <c r="Q2749" s="75">
        <f>IF(ISBLANK(P2749),"",IF(D2749="Stock",P2749*G2749,IF(P2749=0,"0",G2749*P2749*100-(G2749*$AF$14))))</f>
        <v/>
      </c>
      <c r="R2749" s="79">
        <f>IF(P2749&lt;&gt;"", TODAY(), "")</f>
        <v/>
      </c>
      <c r="S2749" s="78">
        <f>IF(AND(K2749&lt;&gt;"", R2749&lt;&gt;""), R2749-K2749, "")</f>
        <v/>
      </c>
      <c r="T2749" s="78" t="n"/>
      <c r="U2749" s="92">
        <f>IF(ISBLANK(P2749),"",IF(C2749="Buy",Q2749-M2749+T2749, IF(C2749="Sell",M2749-Q2749-T2749, X)))</f>
        <v/>
      </c>
      <c r="V2749" s="81">
        <f>IF(ISBLANK(P2749),"",U2749/N2749)</f>
        <v/>
      </c>
      <c r="W2749" s="81">
        <f>IF(ISBLANK(P2749),"",IF(S2749=0,(365/0.5)*V2749,(365/S2749)*V2749))</f>
        <v/>
      </c>
      <c r="X2749" s="75" t="n"/>
      <c r="Y2749" s="77" t="n"/>
      <c r="Z2749" s="77" t="n"/>
      <c r="AA2749" s="75" t="n"/>
      <c r="AB2749" s="75" t="n"/>
      <c r="AC2749" s="6" t="n"/>
      <c r="AD2749" s="75" t="n"/>
      <c r="AE2749" s="75" t="n"/>
      <c r="AF2749" s="75" t="n"/>
    </row>
    <row r="2750" ht="15.75" customHeight="1" s="133">
      <c r="A2750" s="75" t="n"/>
      <c r="B2750" s="75" t="n"/>
      <c r="C2750" s="75" t="n"/>
      <c r="D2750" s="75" t="n"/>
      <c r="E2750" s="76" t="n"/>
      <c r="F2750" s="77" t="n"/>
      <c r="G2750" s="75" t="n"/>
      <c r="H2750" s="75">
        <f>IF(ISBLANK(E2750),"",IF(OR(D2750="Butterfly",D2750="Butterfly ",D2750="Iron Fly", D2750="Iron Fly "),LEN(E2750)-LEN(SUBSTITUTE(E2750,"/",""))+2,LEN(E2750)-LEN(SUBSTITUTE(E2750,"/",""))+1))</f>
        <v/>
      </c>
      <c r="I2750" s="78">
        <f>IF(ISBLANK(G2750),"",IF(D2750="Stock","0",Key!$A$3*H2750*G2750))</f>
        <v/>
      </c>
      <c r="J2750" s="78">
        <f>IF(ISBLANK(E2750),"",IF(ISNUMBER(SEARCH("/",E2750)), IF(LEN(E2750)-LEN(SUBSTITUTE(E2750,"/",""))=1,(RIGHT(E2750,LEN(E2750)-FIND("/",E2750)))-(LEFT(E2750,FIND("/",E2750)-1)),(MID(E2750, SEARCH("/",E2750) + 1, SEARCH("/",E2750, SEARCH("/",E2750)+1) - SEARCH("/",E2750) - 1))-(LEFT(E2750,FIND("/",E2750)-1))), "NA"))</f>
        <v/>
      </c>
      <c r="K2750" s="79">
        <f>IF(A2750&lt;&gt;"", IF(ISBLANK(L2750), TODAY(), K2750), "")</f>
        <v/>
      </c>
      <c r="L2750" s="78" t="n"/>
      <c r="M2750" s="78">
        <f>IF(ISBLANK(L2750),"",IF(D2750="Stock",IF(C2750="Buy",L2750*G2750,IF(C2750="Sell",(L2750*G2750)-I2750, X)),IF(C2750="Buy",(L2750*G2750*100)+I2750,IF(C2750="Sell",(L2750*G2750*100)-I2750, X))))</f>
        <v/>
      </c>
      <c r="N2750" s="78">
        <f>IF(ISBLANK(L2750),"",IF(AND(C2750="Sell",D2750="Stock"),M2750,IF(ISBLANK(L2750),"",IF(C2750="Buy",M2750, IF(AND(C2750="Sell",J2750="NA"),(E2750*G2750*100*0.1)+I2750, IF(C2750="Sell",(J2750-L2750)*(100*G2750)+I2750))))))</f>
        <v/>
      </c>
      <c r="O2750" s="75" t="n"/>
      <c r="P2750" s="75" t="n"/>
      <c r="Q2750" s="75">
        <f>IF(ISBLANK(P2750),"",IF(D2750="Stock",P2750*G2750,IF(P2750=0,"0",G2750*P2750*100-(G2750*$AF$14))))</f>
        <v/>
      </c>
      <c r="R2750" s="79">
        <f>IF(P2750&lt;&gt;"", TODAY(), "")</f>
        <v/>
      </c>
      <c r="S2750" s="78">
        <f>IF(AND(K2750&lt;&gt;"", R2750&lt;&gt;""), R2750-K2750, "")</f>
        <v/>
      </c>
      <c r="T2750" s="78" t="n"/>
      <c r="U2750" s="92">
        <f>IF(ISBLANK(P2750),"",IF(C2750="Buy",Q2750-M2750+T2750, IF(C2750="Sell",M2750-Q2750-T2750, X)))</f>
        <v/>
      </c>
      <c r="V2750" s="81">
        <f>IF(ISBLANK(P2750),"",U2750/N2750)</f>
        <v/>
      </c>
      <c r="W2750" s="81">
        <f>IF(ISBLANK(P2750),"",IF(S2750=0,(365/0.5)*V2750,(365/S2750)*V2750))</f>
        <v/>
      </c>
      <c r="X2750" s="75" t="n"/>
      <c r="Y2750" s="77" t="n"/>
      <c r="Z2750" s="77" t="n"/>
      <c r="AA2750" s="75" t="n"/>
      <c r="AB2750" s="75" t="n"/>
      <c r="AC2750" s="6" t="n"/>
      <c r="AD2750" s="75" t="n"/>
      <c r="AE2750" s="75" t="n"/>
      <c r="AF2750" s="75" t="n"/>
    </row>
    <row r="2751" ht="15.75" customHeight="1" s="133">
      <c r="A2751" s="75" t="n"/>
      <c r="B2751" s="75" t="n"/>
      <c r="C2751" s="75" t="n"/>
      <c r="D2751" s="75" t="n"/>
      <c r="E2751" s="76" t="n"/>
      <c r="F2751" s="77" t="n"/>
      <c r="G2751" s="75" t="n"/>
      <c r="H2751" s="75">
        <f>IF(ISBLANK(E2751),"",IF(OR(D2751="Butterfly",D2751="Butterfly ",D2751="Iron Fly", D2751="Iron Fly "),LEN(E2751)-LEN(SUBSTITUTE(E2751,"/",""))+2,LEN(E2751)-LEN(SUBSTITUTE(E2751,"/",""))+1))</f>
        <v/>
      </c>
      <c r="I2751" s="78">
        <f>IF(ISBLANK(G2751),"",IF(D2751="Stock","0",Key!$A$3*H2751*G2751))</f>
        <v/>
      </c>
      <c r="J2751" s="78">
        <f>IF(ISBLANK(E2751),"",IF(ISNUMBER(SEARCH("/",E2751)), IF(LEN(E2751)-LEN(SUBSTITUTE(E2751,"/",""))=1,(RIGHT(E2751,LEN(E2751)-FIND("/",E2751)))-(LEFT(E2751,FIND("/",E2751)-1)),(MID(E2751, SEARCH("/",E2751) + 1, SEARCH("/",E2751, SEARCH("/",E2751)+1) - SEARCH("/",E2751) - 1))-(LEFT(E2751,FIND("/",E2751)-1))), "NA"))</f>
        <v/>
      </c>
      <c r="K2751" s="79">
        <f>IF(A2751&lt;&gt;"", IF(ISBLANK(L2751), TODAY(), K2751), "")</f>
        <v/>
      </c>
      <c r="L2751" s="78" t="n"/>
      <c r="M2751" s="78">
        <f>IF(ISBLANK(L2751),"",IF(D2751="Stock",IF(C2751="Buy",L2751*G2751,IF(C2751="Sell",(L2751*G2751)-I2751, X)),IF(C2751="Buy",(L2751*G2751*100)+I2751,IF(C2751="Sell",(L2751*G2751*100)-I2751, X))))</f>
        <v/>
      </c>
      <c r="N2751" s="78">
        <f>IF(ISBLANK(L2751),"",IF(AND(C2751="Sell",D2751="Stock"),M2751,IF(ISBLANK(L2751),"",IF(C2751="Buy",M2751, IF(AND(C2751="Sell",J2751="NA"),(E2751*G2751*100*0.1)+I2751, IF(C2751="Sell",(J2751-L2751)*(100*G2751)+I2751))))))</f>
        <v/>
      </c>
      <c r="O2751" s="75" t="n"/>
      <c r="P2751" s="75" t="n"/>
      <c r="Q2751" s="75">
        <f>IF(ISBLANK(P2751),"",IF(D2751="Stock",P2751*G2751,IF(P2751=0,"0",G2751*P2751*100-(G2751*$AF$14))))</f>
        <v/>
      </c>
      <c r="R2751" s="79">
        <f>IF(P2751&lt;&gt;"", TODAY(), "")</f>
        <v/>
      </c>
      <c r="S2751" s="78">
        <f>IF(AND(K2751&lt;&gt;"", R2751&lt;&gt;""), R2751-K2751, "")</f>
        <v/>
      </c>
      <c r="T2751" s="78" t="n"/>
      <c r="U2751" s="92">
        <f>IF(ISBLANK(P2751),"",IF(C2751="Buy",Q2751-M2751+T2751, IF(C2751="Sell",M2751-Q2751-T2751, X)))</f>
        <v/>
      </c>
      <c r="V2751" s="81">
        <f>IF(ISBLANK(P2751),"",U2751/N2751)</f>
        <v/>
      </c>
      <c r="W2751" s="81">
        <f>IF(ISBLANK(P2751),"",IF(S2751=0,(365/0.5)*V2751,(365/S2751)*V2751))</f>
        <v/>
      </c>
      <c r="X2751" s="75" t="n"/>
      <c r="Y2751" s="77" t="n"/>
      <c r="Z2751" s="77" t="n"/>
      <c r="AA2751" s="75" t="n"/>
      <c r="AB2751" s="75" t="n"/>
      <c r="AC2751" s="6" t="n"/>
      <c r="AD2751" s="75" t="n"/>
      <c r="AE2751" s="75" t="n"/>
      <c r="AF2751" s="75" t="n"/>
    </row>
    <row r="2752" ht="15.75" customHeight="1" s="133">
      <c r="A2752" s="75" t="n"/>
      <c r="B2752" s="75" t="n"/>
      <c r="C2752" s="75" t="n"/>
      <c r="D2752" s="75" t="n"/>
      <c r="E2752" s="76" t="n"/>
      <c r="F2752" s="77" t="n"/>
      <c r="G2752" s="75" t="n"/>
      <c r="H2752" s="75">
        <f>IF(ISBLANK(E2752),"",IF(OR(D2752="Butterfly",D2752="Butterfly ",D2752="Iron Fly", D2752="Iron Fly "),LEN(E2752)-LEN(SUBSTITUTE(E2752,"/",""))+2,LEN(E2752)-LEN(SUBSTITUTE(E2752,"/",""))+1))</f>
        <v/>
      </c>
      <c r="I2752" s="78">
        <f>IF(ISBLANK(G2752),"",IF(D2752="Stock","0",Key!$A$3*H2752*G2752))</f>
        <v/>
      </c>
      <c r="J2752" s="78">
        <f>IF(ISBLANK(E2752),"",IF(ISNUMBER(SEARCH("/",E2752)), IF(LEN(E2752)-LEN(SUBSTITUTE(E2752,"/",""))=1,(RIGHT(E2752,LEN(E2752)-FIND("/",E2752)))-(LEFT(E2752,FIND("/",E2752)-1)),(MID(E2752, SEARCH("/",E2752) + 1, SEARCH("/",E2752, SEARCH("/",E2752)+1) - SEARCH("/",E2752) - 1))-(LEFT(E2752,FIND("/",E2752)-1))), "NA"))</f>
        <v/>
      </c>
      <c r="K2752" s="79">
        <f>IF(A2752&lt;&gt;"", IF(ISBLANK(L2752), TODAY(), K2752), "")</f>
        <v/>
      </c>
      <c r="L2752" s="78" t="n"/>
      <c r="M2752" s="78">
        <f>IF(ISBLANK(L2752),"",IF(D2752="Stock",IF(C2752="Buy",L2752*G2752,IF(C2752="Sell",(L2752*G2752)-I2752, X)),IF(C2752="Buy",(L2752*G2752*100)+I2752,IF(C2752="Sell",(L2752*G2752*100)-I2752, X))))</f>
        <v/>
      </c>
      <c r="N2752" s="78">
        <f>IF(ISBLANK(L2752),"",IF(AND(C2752="Sell",D2752="Stock"),M2752,IF(ISBLANK(L2752),"",IF(C2752="Buy",M2752, IF(AND(C2752="Sell",J2752="NA"),(E2752*G2752*100*0.1)+I2752, IF(C2752="Sell",(J2752-L2752)*(100*G2752)+I2752))))))</f>
        <v/>
      </c>
      <c r="O2752" s="75" t="n"/>
      <c r="P2752" s="75" t="n"/>
      <c r="Q2752" s="75">
        <f>IF(ISBLANK(P2752),"",IF(D2752="Stock",P2752*G2752,IF(P2752=0,"0",G2752*P2752*100-(G2752*$AF$14))))</f>
        <v/>
      </c>
      <c r="R2752" s="79">
        <f>IF(P2752&lt;&gt;"", TODAY(), "")</f>
        <v/>
      </c>
      <c r="S2752" s="78">
        <f>IF(AND(K2752&lt;&gt;"", R2752&lt;&gt;""), R2752-K2752, "")</f>
        <v/>
      </c>
      <c r="T2752" s="78" t="n"/>
      <c r="U2752" s="92">
        <f>IF(ISBLANK(P2752),"",IF(C2752="Buy",Q2752-M2752+T2752, IF(C2752="Sell",M2752-Q2752-T2752, X)))</f>
        <v/>
      </c>
      <c r="V2752" s="81">
        <f>IF(ISBLANK(P2752),"",U2752/N2752)</f>
        <v/>
      </c>
      <c r="W2752" s="81">
        <f>IF(ISBLANK(P2752),"",IF(S2752=0,(365/0.5)*V2752,(365/S2752)*V2752))</f>
        <v/>
      </c>
      <c r="X2752" s="75" t="n"/>
      <c r="Y2752" s="77" t="n"/>
      <c r="Z2752" s="77" t="n"/>
      <c r="AA2752" s="75" t="n"/>
      <c r="AB2752" s="75" t="n"/>
      <c r="AC2752" s="6" t="n"/>
      <c r="AD2752" s="75" t="n"/>
      <c r="AE2752" s="75" t="n"/>
      <c r="AF2752" s="75" t="n"/>
    </row>
    <row r="2753" ht="15.75" customHeight="1" s="133">
      <c r="A2753" s="75" t="n"/>
      <c r="B2753" s="75" t="n"/>
      <c r="C2753" s="75" t="n"/>
      <c r="D2753" s="75" t="n"/>
      <c r="E2753" s="76" t="n"/>
      <c r="F2753" s="77" t="n"/>
      <c r="G2753" s="75" t="n"/>
      <c r="H2753" s="75">
        <f>IF(ISBLANK(E2753),"",IF(OR(D2753="Butterfly",D2753="Butterfly ",D2753="Iron Fly", D2753="Iron Fly "),LEN(E2753)-LEN(SUBSTITUTE(E2753,"/",""))+2,LEN(E2753)-LEN(SUBSTITUTE(E2753,"/",""))+1))</f>
        <v/>
      </c>
      <c r="I2753" s="78">
        <f>IF(ISBLANK(G2753),"",IF(D2753="Stock","0",Key!$A$3*H2753*G2753))</f>
        <v/>
      </c>
      <c r="J2753" s="78">
        <f>IF(ISBLANK(E2753),"",IF(ISNUMBER(SEARCH("/",E2753)), IF(LEN(E2753)-LEN(SUBSTITUTE(E2753,"/",""))=1,(RIGHT(E2753,LEN(E2753)-FIND("/",E2753)))-(LEFT(E2753,FIND("/",E2753)-1)),(MID(E2753, SEARCH("/",E2753) + 1, SEARCH("/",E2753, SEARCH("/",E2753)+1) - SEARCH("/",E2753) - 1))-(LEFT(E2753,FIND("/",E2753)-1))), "NA"))</f>
        <v/>
      </c>
      <c r="K2753" s="79">
        <f>IF(A2753&lt;&gt;"", IF(ISBLANK(L2753), TODAY(), K2753), "")</f>
        <v/>
      </c>
      <c r="L2753" s="78" t="n"/>
      <c r="M2753" s="78">
        <f>IF(ISBLANK(L2753),"",IF(D2753="Stock",IF(C2753="Buy",L2753*G2753,IF(C2753="Sell",(L2753*G2753)-I2753, X)),IF(C2753="Buy",(L2753*G2753*100)+I2753,IF(C2753="Sell",(L2753*G2753*100)-I2753, X))))</f>
        <v/>
      </c>
      <c r="N2753" s="78">
        <f>IF(ISBLANK(L2753),"",IF(AND(C2753="Sell",D2753="Stock"),M2753,IF(ISBLANK(L2753),"",IF(C2753="Buy",M2753, IF(AND(C2753="Sell",J2753="NA"),(E2753*G2753*100*0.1)+I2753, IF(C2753="Sell",(J2753-L2753)*(100*G2753)+I2753))))))</f>
        <v/>
      </c>
      <c r="O2753" s="75" t="n"/>
      <c r="P2753" s="75" t="n"/>
      <c r="Q2753" s="75">
        <f>IF(ISBLANK(P2753),"",IF(D2753="Stock",P2753*G2753,IF(P2753=0,"0",G2753*P2753*100-(G2753*$AF$14))))</f>
        <v/>
      </c>
      <c r="R2753" s="79">
        <f>IF(P2753&lt;&gt;"", TODAY(), "")</f>
        <v/>
      </c>
      <c r="S2753" s="78">
        <f>IF(AND(K2753&lt;&gt;"", R2753&lt;&gt;""), R2753-K2753, "")</f>
        <v/>
      </c>
      <c r="T2753" s="78" t="n"/>
      <c r="U2753" s="92">
        <f>IF(ISBLANK(P2753),"",IF(C2753="Buy",Q2753-M2753+T2753, IF(C2753="Sell",M2753-Q2753-T2753, X)))</f>
        <v/>
      </c>
      <c r="V2753" s="81">
        <f>IF(ISBLANK(P2753),"",U2753/N2753)</f>
        <v/>
      </c>
      <c r="W2753" s="81">
        <f>IF(ISBLANK(P2753),"",IF(S2753=0,(365/0.5)*V2753,(365/S2753)*V2753))</f>
        <v/>
      </c>
      <c r="X2753" s="75" t="n"/>
      <c r="Y2753" s="77" t="n"/>
      <c r="Z2753" s="77" t="n"/>
      <c r="AA2753" s="75" t="n"/>
      <c r="AB2753" s="75" t="n"/>
      <c r="AC2753" s="6" t="n"/>
      <c r="AD2753" s="75" t="n"/>
      <c r="AE2753" s="75" t="n"/>
      <c r="AF2753" s="75" t="n"/>
    </row>
    <row r="2754" ht="15.75" customHeight="1" s="133">
      <c r="A2754" s="75" t="n"/>
      <c r="B2754" s="75" t="n"/>
      <c r="C2754" s="75" t="n"/>
      <c r="D2754" s="75" t="n"/>
      <c r="E2754" s="76" t="n"/>
      <c r="F2754" s="77" t="n"/>
      <c r="G2754" s="75" t="n"/>
      <c r="H2754" s="75">
        <f>IF(ISBLANK(E2754),"",IF(OR(D2754="Butterfly",D2754="Butterfly ",D2754="Iron Fly", D2754="Iron Fly "),LEN(E2754)-LEN(SUBSTITUTE(E2754,"/",""))+2,LEN(E2754)-LEN(SUBSTITUTE(E2754,"/",""))+1))</f>
        <v/>
      </c>
      <c r="I2754" s="78">
        <f>IF(ISBLANK(G2754),"",IF(D2754="Stock","0",Key!$A$3*H2754*G2754))</f>
        <v/>
      </c>
      <c r="J2754" s="78">
        <f>IF(ISBLANK(E2754),"",IF(ISNUMBER(SEARCH("/",E2754)), IF(LEN(E2754)-LEN(SUBSTITUTE(E2754,"/",""))=1,(RIGHT(E2754,LEN(E2754)-FIND("/",E2754)))-(LEFT(E2754,FIND("/",E2754)-1)),(MID(E2754, SEARCH("/",E2754) + 1, SEARCH("/",E2754, SEARCH("/",E2754)+1) - SEARCH("/",E2754) - 1))-(LEFT(E2754,FIND("/",E2754)-1))), "NA"))</f>
        <v/>
      </c>
      <c r="K2754" s="79">
        <f>IF(A2754&lt;&gt;"", IF(ISBLANK(L2754), TODAY(), K2754), "")</f>
        <v/>
      </c>
      <c r="L2754" s="78" t="n"/>
      <c r="M2754" s="78">
        <f>IF(ISBLANK(L2754),"",IF(D2754="Stock",IF(C2754="Buy",L2754*G2754,IF(C2754="Sell",(L2754*G2754)-I2754, X)),IF(C2754="Buy",(L2754*G2754*100)+I2754,IF(C2754="Sell",(L2754*G2754*100)-I2754, X))))</f>
        <v/>
      </c>
      <c r="N2754" s="78">
        <f>IF(ISBLANK(L2754),"",IF(AND(C2754="Sell",D2754="Stock"),M2754,IF(ISBLANK(L2754),"",IF(C2754="Buy",M2754, IF(AND(C2754="Sell",J2754="NA"),(E2754*G2754*100*0.1)+I2754, IF(C2754="Sell",(J2754-L2754)*(100*G2754)+I2754))))))</f>
        <v/>
      </c>
      <c r="O2754" s="75" t="n"/>
      <c r="P2754" s="75" t="n"/>
      <c r="Q2754" s="75">
        <f>IF(ISBLANK(P2754),"",IF(D2754="Stock",P2754*G2754,IF(P2754=0,"0",G2754*P2754*100-(G2754*$AF$14))))</f>
        <v/>
      </c>
      <c r="R2754" s="79">
        <f>IF(P2754&lt;&gt;"", TODAY(), "")</f>
        <v/>
      </c>
      <c r="S2754" s="78">
        <f>IF(AND(K2754&lt;&gt;"", R2754&lt;&gt;""), R2754-K2754, "")</f>
        <v/>
      </c>
      <c r="T2754" s="78" t="n"/>
      <c r="U2754" s="92">
        <f>IF(ISBLANK(P2754),"",IF(C2754="Buy",Q2754-M2754+T2754, IF(C2754="Sell",M2754-Q2754-T2754, X)))</f>
        <v/>
      </c>
      <c r="V2754" s="81">
        <f>IF(ISBLANK(P2754),"",U2754/N2754)</f>
        <v/>
      </c>
      <c r="W2754" s="81">
        <f>IF(ISBLANK(P2754),"",IF(S2754=0,(365/0.5)*V2754,(365/S2754)*V2754))</f>
        <v/>
      </c>
      <c r="X2754" s="75" t="n"/>
      <c r="Y2754" s="77" t="n"/>
      <c r="Z2754" s="77" t="n"/>
      <c r="AA2754" s="75" t="n"/>
      <c r="AB2754" s="75" t="n"/>
      <c r="AC2754" s="6" t="n"/>
      <c r="AD2754" s="75" t="n"/>
      <c r="AE2754" s="75" t="n"/>
      <c r="AF2754" s="75" t="n"/>
    </row>
    <row r="2755" ht="15.75" customHeight="1" s="133">
      <c r="A2755" s="75" t="n"/>
      <c r="B2755" s="75" t="n"/>
      <c r="C2755" s="75" t="n"/>
      <c r="D2755" s="75" t="n"/>
      <c r="E2755" s="76" t="n"/>
      <c r="F2755" s="77" t="n"/>
      <c r="G2755" s="75" t="n"/>
      <c r="H2755" s="75">
        <f>IF(ISBLANK(E2755),"",IF(OR(D2755="Butterfly",D2755="Butterfly ",D2755="Iron Fly", D2755="Iron Fly "),LEN(E2755)-LEN(SUBSTITUTE(E2755,"/",""))+2,LEN(E2755)-LEN(SUBSTITUTE(E2755,"/",""))+1))</f>
        <v/>
      </c>
      <c r="I2755" s="78">
        <f>IF(ISBLANK(G2755),"",IF(D2755="Stock","0",Key!$A$3*H2755*G2755))</f>
        <v/>
      </c>
      <c r="J2755" s="78">
        <f>IF(ISBLANK(E2755),"",IF(ISNUMBER(SEARCH("/",E2755)), IF(LEN(E2755)-LEN(SUBSTITUTE(E2755,"/",""))=1,(RIGHT(E2755,LEN(E2755)-FIND("/",E2755)))-(LEFT(E2755,FIND("/",E2755)-1)),(MID(E2755, SEARCH("/",E2755) + 1, SEARCH("/",E2755, SEARCH("/",E2755)+1) - SEARCH("/",E2755) - 1))-(LEFT(E2755,FIND("/",E2755)-1))), "NA"))</f>
        <v/>
      </c>
      <c r="K2755" s="79">
        <f>IF(A2755&lt;&gt;"", IF(ISBLANK(L2755), TODAY(), K2755), "")</f>
        <v/>
      </c>
      <c r="L2755" s="78" t="n"/>
      <c r="M2755" s="78">
        <f>IF(ISBLANK(L2755),"",IF(D2755="Stock",IF(C2755="Buy",L2755*G2755,IF(C2755="Sell",(L2755*G2755)-I2755, X)),IF(C2755="Buy",(L2755*G2755*100)+I2755,IF(C2755="Sell",(L2755*G2755*100)-I2755, X))))</f>
        <v/>
      </c>
      <c r="N2755" s="78">
        <f>IF(ISBLANK(L2755),"",IF(AND(C2755="Sell",D2755="Stock"),M2755,IF(ISBLANK(L2755),"",IF(C2755="Buy",M2755, IF(AND(C2755="Sell",J2755="NA"),(E2755*G2755*100*0.1)+I2755, IF(C2755="Sell",(J2755-L2755)*(100*G2755)+I2755))))))</f>
        <v/>
      </c>
      <c r="O2755" s="75" t="n"/>
      <c r="P2755" s="75" t="n"/>
      <c r="Q2755" s="75">
        <f>IF(ISBLANK(P2755),"",IF(D2755="Stock",P2755*G2755,IF(P2755=0,"0",G2755*P2755*100-(G2755*$AF$14))))</f>
        <v/>
      </c>
      <c r="R2755" s="79">
        <f>IF(P2755&lt;&gt;"", TODAY(), "")</f>
        <v/>
      </c>
      <c r="S2755" s="78">
        <f>IF(AND(K2755&lt;&gt;"", R2755&lt;&gt;""), R2755-K2755, "")</f>
        <v/>
      </c>
      <c r="T2755" s="78" t="n"/>
      <c r="U2755" s="92">
        <f>IF(ISBLANK(P2755),"",IF(C2755="Buy",Q2755-M2755+T2755, IF(C2755="Sell",M2755-Q2755-T2755, X)))</f>
        <v/>
      </c>
      <c r="V2755" s="81">
        <f>IF(ISBLANK(P2755),"",U2755/N2755)</f>
        <v/>
      </c>
      <c r="W2755" s="81">
        <f>IF(ISBLANK(P2755),"",IF(S2755=0,(365/0.5)*V2755,(365/S2755)*V2755))</f>
        <v/>
      </c>
      <c r="X2755" s="75" t="n"/>
      <c r="Y2755" s="77" t="n"/>
      <c r="Z2755" s="77" t="n"/>
      <c r="AA2755" s="75" t="n"/>
      <c r="AB2755" s="75" t="n"/>
      <c r="AC2755" s="6" t="n"/>
      <c r="AD2755" s="75" t="n"/>
      <c r="AE2755" s="75" t="n"/>
      <c r="AF2755" s="75" t="n"/>
    </row>
    <row r="2756" ht="15.75" customHeight="1" s="133">
      <c r="A2756" s="75" t="n"/>
      <c r="B2756" s="75" t="n"/>
      <c r="C2756" s="75" t="n"/>
      <c r="D2756" s="75" t="n"/>
      <c r="E2756" s="76" t="n"/>
      <c r="F2756" s="77" t="n"/>
      <c r="G2756" s="75" t="n"/>
      <c r="H2756" s="75">
        <f>IF(ISBLANK(E2756),"",IF(OR(D2756="Butterfly",D2756="Butterfly ",D2756="Iron Fly", D2756="Iron Fly "),LEN(E2756)-LEN(SUBSTITUTE(E2756,"/",""))+2,LEN(E2756)-LEN(SUBSTITUTE(E2756,"/",""))+1))</f>
        <v/>
      </c>
      <c r="I2756" s="78">
        <f>IF(ISBLANK(G2756),"",IF(D2756="Stock","0",Key!$A$3*H2756*G2756))</f>
        <v/>
      </c>
      <c r="J2756" s="78">
        <f>IF(ISBLANK(E2756),"",IF(ISNUMBER(SEARCH("/",E2756)), IF(LEN(E2756)-LEN(SUBSTITUTE(E2756,"/",""))=1,(RIGHT(E2756,LEN(E2756)-FIND("/",E2756)))-(LEFT(E2756,FIND("/",E2756)-1)),(MID(E2756, SEARCH("/",E2756) + 1, SEARCH("/",E2756, SEARCH("/",E2756)+1) - SEARCH("/",E2756) - 1))-(LEFT(E2756,FIND("/",E2756)-1))), "NA"))</f>
        <v/>
      </c>
      <c r="K2756" s="79">
        <f>IF(A2756&lt;&gt;"", IF(ISBLANK(L2756), TODAY(), K2756), "")</f>
        <v/>
      </c>
      <c r="L2756" s="78" t="n"/>
      <c r="M2756" s="78">
        <f>IF(ISBLANK(L2756),"",IF(D2756="Stock",IF(C2756="Buy",L2756*G2756,IF(C2756="Sell",(L2756*G2756)-I2756, X)),IF(C2756="Buy",(L2756*G2756*100)+I2756,IF(C2756="Sell",(L2756*G2756*100)-I2756, X))))</f>
        <v/>
      </c>
      <c r="N2756" s="78">
        <f>IF(ISBLANK(L2756),"",IF(AND(C2756="Sell",D2756="Stock"),M2756,IF(ISBLANK(L2756),"",IF(C2756="Buy",M2756, IF(AND(C2756="Sell",J2756="NA"),(E2756*G2756*100*0.1)+I2756, IF(C2756="Sell",(J2756-L2756)*(100*G2756)+I2756))))))</f>
        <v/>
      </c>
      <c r="O2756" s="75" t="n"/>
      <c r="P2756" s="75" t="n"/>
      <c r="Q2756" s="75">
        <f>IF(ISBLANK(P2756),"",IF(D2756="Stock",P2756*G2756,IF(P2756=0,"0",G2756*P2756*100-(G2756*$AF$14))))</f>
        <v/>
      </c>
      <c r="R2756" s="79">
        <f>IF(P2756&lt;&gt;"", TODAY(), "")</f>
        <v/>
      </c>
      <c r="S2756" s="78">
        <f>IF(AND(K2756&lt;&gt;"", R2756&lt;&gt;""), R2756-K2756, "")</f>
        <v/>
      </c>
      <c r="T2756" s="78" t="n"/>
      <c r="U2756" s="92">
        <f>IF(ISBLANK(P2756),"",IF(C2756="Buy",Q2756-M2756+T2756, IF(C2756="Sell",M2756-Q2756-T2756, X)))</f>
        <v/>
      </c>
      <c r="V2756" s="81">
        <f>IF(ISBLANK(P2756),"",U2756/N2756)</f>
        <v/>
      </c>
      <c r="W2756" s="81">
        <f>IF(ISBLANK(P2756),"",IF(S2756=0,(365/0.5)*V2756,(365/S2756)*V2756))</f>
        <v/>
      </c>
      <c r="X2756" s="75" t="n"/>
      <c r="Y2756" s="77" t="n"/>
      <c r="Z2756" s="77" t="n"/>
      <c r="AA2756" s="75" t="n"/>
      <c r="AB2756" s="75" t="n"/>
      <c r="AC2756" s="6" t="n"/>
      <c r="AD2756" s="75" t="n"/>
      <c r="AE2756" s="75" t="n"/>
      <c r="AF2756" s="75" t="n"/>
    </row>
    <row r="2757" ht="15.75" customHeight="1" s="133">
      <c r="A2757" s="75" t="n"/>
      <c r="B2757" s="75" t="n"/>
      <c r="C2757" s="75" t="n"/>
      <c r="D2757" s="75" t="n"/>
      <c r="E2757" s="76" t="n"/>
      <c r="F2757" s="77" t="n"/>
      <c r="G2757" s="75" t="n"/>
      <c r="H2757" s="75">
        <f>IF(ISBLANK(E2757),"",IF(OR(D2757="Butterfly",D2757="Butterfly ",D2757="Iron Fly", D2757="Iron Fly "),LEN(E2757)-LEN(SUBSTITUTE(E2757,"/",""))+2,LEN(E2757)-LEN(SUBSTITUTE(E2757,"/",""))+1))</f>
        <v/>
      </c>
      <c r="I2757" s="78">
        <f>IF(ISBLANK(G2757),"",IF(D2757="Stock","0",Key!$A$3*H2757*G2757))</f>
        <v/>
      </c>
      <c r="J2757" s="78">
        <f>IF(ISBLANK(E2757),"",IF(ISNUMBER(SEARCH("/",E2757)), IF(LEN(E2757)-LEN(SUBSTITUTE(E2757,"/",""))=1,(RIGHT(E2757,LEN(E2757)-FIND("/",E2757)))-(LEFT(E2757,FIND("/",E2757)-1)),(MID(E2757, SEARCH("/",E2757) + 1, SEARCH("/",E2757, SEARCH("/",E2757)+1) - SEARCH("/",E2757) - 1))-(LEFT(E2757,FIND("/",E2757)-1))), "NA"))</f>
        <v/>
      </c>
      <c r="K2757" s="79">
        <f>IF(A2757&lt;&gt;"", IF(ISBLANK(L2757), TODAY(), K2757), "")</f>
        <v/>
      </c>
      <c r="L2757" s="78" t="n"/>
      <c r="M2757" s="78">
        <f>IF(ISBLANK(L2757),"",IF(D2757="Stock",IF(C2757="Buy",L2757*G2757,IF(C2757="Sell",(L2757*G2757)-I2757, X)),IF(C2757="Buy",(L2757*G2757*100)+I2757,IF(C2757="Sell",(L2757*G2757*100)-I2757, X))))</f>
        <v/>
      </c>
      <c r="N2757" s="78">
        <f>IF(ISBLANK(L2757),"",IF(AND(C2757="Sell",D2757="Stock"),M2757,IF(ISBLANK(L2757),"",IF(C2757="Buy",M2757, IF(AND(C2757="Sell",J2757="NA"),(E2757*G2757*100*0.1)+I2757, IF(C2757="Sell",(J2757-L2757)*(100*G2757)+I2757))))))</f>
        <v/>
      </c>
      <c r="O2757" s="75" t="n"/>
      <c r="P2757" s="75" t="n"/>
      <c r="Q2757" s="75">
        <f>IF(ISBLANK(P2757),"",IF(D2757="Stock",P2757*G2757,IF(P2757=0,"0",G2757*P2757*100-(G2757*$AF$14))))</f>
        <v/>
      </c>
      <c r="R2757" s="79">
        <f>IF(P2757&lt;&gt;"", TODAY(), "")</f>
        <v/>
      </c>
      <c r="S2757" s="78">
        <f>IF(AND(K2757&lt;&gt;"", R2757&lt;&gt;""), R2757-K2757, "")</f>
        <v/>
      </c>
      <c r="T2757" s="78" t="n"/>
      <c r="U2757" s="92">
        <f>IF(ISBLANK(P2757),"",IF(C2757="Buy",Q2757-M2757+T2757, IF(C2757="Sell",M2757-Q2757-T2757, X)))</f>
        <v/>
      </c>
      <c r="V2757" s="81">
        <f>IF(ISBLANK(P2757),"",U2757/N2757)</f>
        <v/>
      </c>
      <c r="W2757" s="81">
        <f>IF(ISBLANK(P2757),"",IF(S2757=0,(365/0.5)*V2757,(365/S2757)*V2757))</f>
        <v/>
      </c>
      <c r="X2757" s="75" t="n"/>
      <c r="Y2757" s="77" t="n"/>
      <c r="Z2757" s="77" t="n"/>
      <c r="AA2757" s="75" t="n"/>
      <c r="AB2757" s="75" t="n"/>
      <c r="AC2757" s="6" t="n"/>
      <c r="AD2757" s="75" t="n"/>
      <c r="AE2757" s="75" t="n"/>
      <c r="AF2757" s="75" t="n"/>
    </row>
    <row r="2758" ht="15.75" customHeight="1" s="133">
      <c r="A2758" s="75" t="n"/>
      <c r="B2758" s="75" t="n"/>
      <c r="C2758" s="75" t="n"/>
      <c r="D2758" s="75" t="n"/>
      <c r="E2758" s="76" t="n"/>
      <c r="F2758" s="77" t="n"/>
      <c r="G2758" s="75" t="n"/>
      <c r="H2758" s="75">
        <f>IF(ISBLANK(E2758),"",IF(OR(D2758="Butterfly",D2758="Butterfly ",D2758="Iron Fly", D2758="Iron Fly "),LEN(E2758)-LEN(SUBSTITUTE(E2758,"/",""))+2,LEN(E2758)-LEN(SUBSTITUTE(E2758,"/",""))+1))</f>
        <v/>
      </c>
      <c r="I2758" s="78">
        <f>IF(ISBLANK(G2758),"",IF(D2758="Stock","0",Key!$A$3*H2758*G2758))</f>
        <v/>
      </c>
      <c r="J2758" s="78">
        <f>IF(ISBLANK(E2758),"",IF(ISNUMBER(SEARCH("/",E2758)), IF(LEN(E2758)-LEN(SUBSTITUTE(E2758,"/",""))=1,(RIGHT(E2758,LEN(E2758)-FIND("/",E2758)))-(LEFT(E2758,FIND("/",E2758)-1)),(MID(E2758, SEARCH("/",E2758) + 1, SEARCH("/",E2758, SEARCH("/",E2758)+1) - SEARCH("/",E2758) - 1))-(LEFT(E2758,FIND("/",E2758)-1))), "NA"))</f>
        <v/>
      </c>
      <c r="K2758" s="79">
        <f>IF(A2758&lt;&gt;"", IF(ISBLANK(L2758), TODAY(), K2758), "")</f>
        <v/>
      </c>
      <c r="L2758" s="78" t="n"/>
      <c r="M2758" s="78">
        <f>IF(ISBLANK(L2758),"",IF(D2758="Stock",IF(C2758="Buy",L2758*G2758,IF(C2758="Sell",(L2758*G2758)-I2758, X)),IF(C2758="Buy",(L2758*G2758*100)+I2758,IF(C2758="Sell",(L2758*G2758*100)-I2758, X))))</f>
        <v/>
      </c>
      <c r="N2758" s="78">
        <f>IF(ISBLANK(L2758),"",IF(AND(C2758="Sell",D2758="Stock"),M2758,IF(ISBLANK(L2758),"",IF(C2758="Buy",M2758, IF(AND(C2758="Sell",J2758="NA"),(E2758*G2758*100*0.1)+I2758, IF(C2758="Sell",(J2758-L2758)*(100*G2758)+I2758))))))</f>
        <v/>
      </c>
      <c r="O2758" s="75" t="n"/>
      <c r="P2758" s="75" t="n"/>
      <c r="Q2758" s="75">
        <f>IF(ISBLANK(P2758),"",IF(D2758="Stock",P2758*G2758,IF(P2758=0,"0",G2758*P2758*100-(G2758*$AF$14))))</f>
        <v/>
      </c>
      <c r="R2758" s="79">
        <f>IF(P2758&lt;&gt;"", TODAY(), "")</f>
        <v/>
      </c>
      <c r="S2758" s="78">
        <f>IF(AND(K2758&lt;&gt;"", R2758&lt;&gt;""), R2758-K2758, "")</f>
        <v/>
      </c>
      <c r="T2758" s="78" t="n"/>
      <c r="U2758" s="92">
        <f>IF(ISBLANK(P2758),"",IF(C2758="Buy",Q2758-M2758+T2758, IF(C2758="Sell",M2758-Q2758-T2758, X)))</f>
        <v/>
      </c>
      <c r="V2758" s="81">
        <f>IF(ISBLANK(P2758),"",U2758/N2758)</f>
        <v/>
      </c>
      <c r="W2758" s="81">
        <f>IF(ISBLANK(P2758),"",IF(S2758=0,(365/0.5)*V2758,(365/S2758)*V2758))</f>
        <v/>
      </c>
      <c r="X2758" s="75" t="n"/>
      <c r="Y2758" s="77" t="n"/>
      <c r="Z2758" s="77" t="n"/>
      <c r="AA2758" s="75" t="n"/>
      <c r="AB2758" s="75" t="n"/>
      <c r="AC2758" s="6" t="n"/>
      <c r="AD2758" s="75" t="n"/>
      <c r="AE2758" s="75" t="n"/>
      <c r="AF2758" s="75" t="n"/>
    </row>
    <row r="2759" ht="15.75" customHeight="1" s="133">
      <c r="A2759" s="75" t="n"/>
      <c r="B2759" s="75" t="n"/>
      <c r="C2759" s="75" t="n"/>
      <c r="D2759" s="75" t="n"/>
      <c r="E2759" s="76" t="n"/>
      <c r="F2759" s="77" t="n"/>
      <c r="G2759" s="75" t="n"/>
      <c r="H2759" s="75">
        <f>IF(ISBLANK(E2759),"",IF(OR(D2759="Butterfly",D2759="Butterfly ",D2759="Iron Fly", D2759="Iron Fly "),LEN(E2759)-LEN(SUBSTITUTE(E2759,"/",""))+2,LEN(E2759)-LEN(SUBSTITUTE(E2759,"/",""))+1))</f>
        <v/>
      </c>
      <c r="I2759" s="78">
        <f>IF(ISBLANK(G2759),"",IF(D2759="Stock","0",Key!$A$3*H2759*G2759))</f>
        <v/>
      </c>
      <c r="J2759" s="78">
        <f>IF(ISBLANK(E2759),"",IF(ISNUMBER(SEARCH("/",E2759)), IF(LEN(E2759)-LEN(SUBSTITUTE(E2759,"/",""))=1,(RIGHT(E2759,LEN(E2759)-FIND("/",E2759)))-(LEFT(E2759,FIND("/",E2759)-1)),(MID(E2759, SEARCH("/",E2759) + 1, SEARCH("/",E2759, SEARCH("/",E2759)+1) - SEARCH("/",E2759) - 1))-(LEFT(E2759,FIND("/",E2759)-1))), "NA"))</f>
        <v/>
      </c>
      <c r="K2759" s="79">
        <f>IF(A2759&lt;&gt;"", IF(ISBLANK(L2759), TODAY(), K2759), "")</f>
        <v/>
      </c>
      <c r="L2759" s="78" t="n"/>
      <c r="M2759" s="78">
        <f>IF(ISBLANK(L2759),"",IF(D2759="Stock",IF(C2759="Buy",L2759*G2759,IF(C2759="Sell",(L2759*G2759)-I2759, X)),IF(C2759="Buy",(L2759*G2759*100)+I2759,IF(C2759="Sell",(L2759*G2759*100)-I2759, X))))</f>
        <v/>
      </c>
      <c r="N2759" s="78">
        <f>IF(ISBLANK(L2759),"",IF(AND(C2759="Sell",D2759="Stock"),M2759,IF(ISBLANK(L2759),"",IF(C2759="Buy",M2759, IF(AND(C2759="Sell",J2759="NA"),(E2759*G2759*100*0.1)+I2759, IF(C2759="Sell",(J2759-L2759)*(100*G2759)+I2759))))))</f>
        <v/>
      </c>
      <c r="O2759" s="75" t="n"/>
      <c r="P2759" s="75" t="n"/>
      <c r="Q2759" s="75">
        <f>IF(ISBLANK(P2759),"",IF(D2759="Stock",P2759*G2759,IF(P2759=0,"0",G2759*P2759*100-(G2759*$AF$14))))</f>
        <v/>
      </c>
      <c r="R2759" s="79">
        <f>IF(P2759&lt;&gt;"", TODAY(), "")</f>
        <v/>
      </c>
      <c r="S2759" s="78">
        <f>IF(AND(K2759&lt;&gt;"", R2759&lt;&gt;""), R2759-K2759, "")</f>
        <v/>
      </c>
      <c r="T2759" s="78" t="n"/>
      <c r="U2759" s="92">
        <f>IF(ISBLANK(P2759),"",IF(C2759="Buy",Q2759-M2759+T2759, IF(C2759="Sell",M2759-Q2759-T2759, X)))</f>
        <v/>
      </c>
      <c r="V2759" s="81">
        <f>IF(ISBLANK(P2759),"",U2759/N2759)</f>
        <v/>
      </c>
      <c r="W2759" s="81">
        <f>IF(ISBLANK(P2759),"",IF(S2759=0,(365/0.5)*V2759,(365/S2759)*V2759))</f>
        <v/>
      </c>
      <c r="X2759" s="75" t="n"/>
      <c r="Y2759" s="77" t="n"/>
      <c r="Z2759" s="77" t="n"/>
      <c r="AA2759" s="75" t="n"/>
      <c r="AB2759" s="75" t="n"/>
      <c r="AC2759" s="6" t="n"/>
      <c r="AD2759" s="75" t="n"/>
      <c r="AE2759" s="75" t="n"/>
      <c r="AF2759" s="75" t="n"/>
    </row>
    <row r="2760" ht="15.75" customHeight="1" s="133">
      <c r="A2760" s="75" t="n"/>
      <c r="B2760" s="75" t="n"/>
      <c r="C2760" s="75" t="n"/>
      <c r="D2760" s="75" t="n"/>
      <c r="E2760" s="76" t="n"/>
      <c r="F2760" s="77" t="n"/>
      <c r="G2760" s="75" t="n"/>
      <c r="H2760" s="75">
        <f>IF(ISBLANK(E2760),"",IF(OR(D2760="Butterfly",D2760="Butterfly ",D2760="Iron Fly", D2760="Iron Fly "),LEN(E2760)-LEN(SUBSTITUTE(E2760,"/",""))+2,LEN(E2760)-LEN(SUBSTITUTE(E2760,"/",""))+1))</f>
        <v/>
      </c>
      <c r="I2760" s="78">
        <f>IF(ISBLANK(G2760),"",IF(D2760="Stock","0",Key!$A$3*H2760*G2760))</f>
        <v/>
      </c>
      <c r="J2760" s="78">
        <f>IF(ISBLANK(E2760),"",IF(ISNUMBER(SEARCH("/",E2760)), IF(LEN(E2760)-LEN(SUBSTITUTE(E2760,"/",""))=1,(RIGHT(E2760,LEN(E2760)-FIND("/",E2760)))-(LEFT(E2760,FIND("/",E2760)-1)),(MID(E2760, SEARCH("/",E2760) + 1, SEARCH("/",E2760, SEARCH("/",E2760)+1) - SEARCH("/",E2760) - 1))-(LEFT(E2760,FIND("/",E2760)-1))), "NA"))</f>
        <v/>
      </c>
      <c r="K2760" s="79">
        <f>IF(A2760&lt;&gt;"", IF(ISBLANK(L2760), TODAY(), K2760), "")</f>
        <v/>
      </c>
      <c r="L2760" s="78" t="n"/>
      <c r="M2760" s="78">
        <f>IF(ISBLANK(L2760),"",IF(D2760="Stock",IF(C2760="Buy",L2760*G2760,IF(C2760="Sell",(L2760*G2760)-I2760, X)),IF(C2760="Buy",(L2760*G2760*100)+I2760,IF(C2760="Sell",(L2760*G2760*100)-I2760, X))))</f>
        <v/>
      </c>
      <c r="N2760" s="78">
        <f>IF(ISBLANK(L2760),"",IF(AND(C2760="Sell",D2760="Stock"),M2760,IF(ISBLANK(L2760),"",IF(C2760="Buy",M2760, IF(AND(C2760="Sell",J2760="NA"),(E2760*G2760*100*0.1)+I2760, IF(C2760="Sell",(J2760-L2760)*(100*G2760)+I2760))))))</f>
        <v/>
      </c>
      <c r="O2760" s="75" t="n"/>
      <c r="P2760" s="75" t="n"/>
      <c r="Q2760" s="75">
        <f>IF(ISBLANK(P2760),"",IF(D2760="Stock",P2760*G2760,IF(P2760=0,"0",G2760*P2760*100-(G2760*$AF$14))))</f>
        <v/>
      </c>
      <c r="R2760" s="79">
        <f>IF(P2760&lt;&gt;"", TODAY(), "")</f>
        <v/>
      </c>
      <c r="S2760" s="78">
        <f>IF(AND(K2760&lt;&gt;"", R2760&lt;&gt;""), R2760-K2760, "")</f>
        <v/>
      </c>
      <c r="T2760" s="78" t="n"/>
      <c r="U2760" s="92">
        <f>IF(ISBLANK(P2760),"",IF(C2760="Buy",Q2760-M2760+T2760, IF(C2760="Sell",M2760-Q2760-T2760, X)))</f>
        <v/>
      </c>
      <c r="V2760" s="81">
        <f>IF(ISBLANK(P2760),"",U2760/N2760)</f>
        <v/>
      </c>
      <c r="W2760" s="81">
        <f>IF(ISBLANK(P2760),"",IF(S2760=0,(365/0.5)*V2760,(365/S2760)*V2760))</f>
        <v/>
      </c>
      <c r="X2760" s="75" t="n"/>
      <c r="Y2760" s="77" t="n"/>
      <c r="Z2760" s="77" t="n"/>
      <c r="AA2760" s="75" t="n"/>
      <c r="AB2760" s="75" t="n"/>
      <c r="AC2760" s="6" t="n"/>
      <c r="AD2760" s="75" t="n"/>
      <c r="AE2760" s="75" t="n"/>
      <c r="AF2760" s="75" t="n"/>
    </row>
    <row r="2761" ht="15.75" customHeight="1" s="133">
      <c r="A2761" s="75" t="n"/>
      <c r="B2761" s="75" t="n"/>
      <c r="C2761" s="75" t="n"/>
      <c r="D2761" s="75" t="n"/>
      <c r="E2761" s="76" t="n"/>
      <c r="F2761" s="77" t="n"/>
      <c r="G2761" s="75" t="n"/>
      <c r="H2761" s="75">
        <f>IF(ISBLANK(E2761),"",IF(OR(D2761="Butterfly",D2761="Butterfly ",D2761="Iron Fly", D2761="Iron Fly "),LEN(E2761)-LEN(SUBSTITUTE(E2761,"/",""))+2,LEN(E2761)-LEN(SUBSTITUTE(E2761,"/",""))+1))</f>
        <v/>
      </c>
      <c r="I2761" s="78">
        <f>IF(ISBLANK(G2761),"",IF(D2761="Stock","0",Key!$A$3*H2761*G2761))</f>
        <v/>
      </c>
      <c r="J2761" s="78">
        <f>IF(ISBLANK(E2761),"",IF(ISNUMBER(SEARCH("/",E2761)), IF(LEN(E2761)-LEN(SUBSTITUTE(E2761,"/",""))=1,(RIGHT(E2761,LEN(E2761)-FIND("/",E2761)))-(LEFT(E2761,FIND("/",E2761)-1)),(MID(E2761, SEARCH("/",E2761) + 1, SEARCH("/",E2761, SEARCH("/",E2761)+1) - SEARCH("/",E2761) - 1))-(LEFT(E2761,FIND("/",E2761)-1))), "NA"))</f>
        <v/>
      </c>
      <c r="K2761" s="79">
        <f>IF(A2761&lt;&gt;"", IF(ISBLANK(L2761), TODAY(), K2761), "")</f>
        <v/>
      </c>
      <c r="L2761" s="78" t="n"/>
      <c r="M2761" s="78">
        <f>IF(ISBLANK(L2761),"",IF(D2761="Stock",IF(C2761="Buy",L2761*G2761,IF(C2761="Sell",(L2761*G2761)-I2761, X)),IF(C2761="Buy",(L2761*G2761*100)+I2761,IF(C2761="Sell",(L2761*G2761*100)-I2761, X))))</f>
        <v/>
      </c>
      <c r="N2761" s="78">
        <f>IF(ISBLANK(L2761),"",IF(AND(C2761="Sell",D2761="Stock"),M2761,IF(ISBLANK(L2761),"",IF(C2761="Buy",M2761, IF(AND(C2761="Sell",J2761="NA"),(E2761*G2761*100*0.1)+I2761, IF(C2761="Sell",(J2761-L2761)*(100*G2761)+I2761))))))</f>
        <v/>
      </c>
      <c r="O2761" s="75" t="n"/>
      <c r="P2761" s="75" t="n"/>
      <c r="Q2761" s="75">
        <f>IF(ISBLANK(P2761),"",IF(D2761="Stock",P2761*G2761,IF(P2761=0,"0",G2761*P2761*100-(G2761*$AF$14))))</f>
        <v/>
      </c>
      <c r="R2761" s="79">
        <f>IF(P2761&lt;&gt;"", TODAY(), "")</f>
        <v/>
      </c>
      <c r="S2761" s="78">
        <f>IF(AND(K2761&lt;&gt;"", R2761&lt;&gt;""), R2761-K2761, "")</f>
        <v/>
      </c>
      <c r="T2761" s="78" t="n"/>
      <c r="U2761" s="92">
        <f>IF(ISBLANK(P2761),"",IF(C2761="Buy",Q2761-M2761+T2761, IF(C2761="Sell",M2761-Q2761-T2761, X)))</f>
        <v/>
      </c>
      <c r="V2761" s="81">
        <f>IF(ISBLANK(P2761),"",U2761/N2761)</f>
        <v/>
      </c>
      <c r="W2761" s="81">
        <f>IF(ISBLANK(P2761),"",IF(S2761=0,(365/0.5)*V2761,(365/S2761)*V2761))</f>
        <v/>
      </c>
      <c r="X2761" s="75" t="n"/>
      <c r="Y2761" s="77" t="n"/>
      <c r="Z2761" s="77" t="n"/>
      <c r="AA2761" s="75" t="n"/>
      <c r="AB2761" s="75" t="n"/>
      <c r="AC2761" s="6" t="n"/>
      <c r="AD2761" s="75" t="n"/>
      <c r="AE2761" s="75" t="n"/>
      <c r="AF2761" s="75" t="n"/>
    </row>
    <row r="2762" ht="15.75" customHeight="1" s="133">
      <c r="A2762" s="75" t="n"/>
      <c r="B2762" s="75" t="n"/>
      <c r="C2762" s="75" t="n"/>
      <c r="D2762" s="75" t="n"/>
      <c r="E2762" s="76" t="n"/>
      <c r="F2762" s="77" t="n"/>
      <c r="G2762" s="75" t="n"/>
      <c r="H2762" s="75">
        <f>IF(ISBLANK(E2762),"",IF(OR(D2762="Butterfly",D2762="Butterfly ",D2762="Iron Fly", D2762="Iron Fly "),LEN(E2762)-LEN(SUBSTITUTE(E2762,"/",""))+2,LEN(E2762)-LEN(SUBSTITUTE(E2762,"/",""))+1))</f>
        <v/>
      </c>
      <c r="I2762" s="78">
        <f>IF(ISBLANK(G2762),"",IF(D2762="Stock","0",Key!$A$3*H2762*G2762))</f>
        <v/>
      </c>
      <c r="J2762" s="78">
        <f>IF(ISBLANK(E2762),"",IF(ISNUMBER(SEARCH("/",E2762)), IF(LEN(E2762)-LEN(SUBSTITUTE(E2762,"/",""))=1,(RIGHT(E2762,LEN(E2762)-FIND("/",E2762)))-(LEFT(E2762,FIND("/",E2762)-1)),(MID(E2762, SEARCH("/",E2762) + 1, SEARCH("/",E2762, SEARCH("/",E2762)+1) - SEARCH("/",E2762) - 1))-(LEFT(E2762,FIND("/",E2762)-1))), "NA"))</f>
        <v/>
      </c>
      <c r="K2762" s="79">
        <f>IF(A2762&lt;&gt;"", IF(ISBLANK(L2762), TODAY(), K2762), "")</f>
        <v/>
      </c>
      <c r="L2762" s="78" t="n"/>
      <c r="M2762" s="78">
        <f>IF(ISBLANK(L2762),"",IF(D2762="Stock",IF(C2762="Buy",L2762*G2762,IF(C2762="Sell",(L2762*G2762)-I2762, X)),IF(C2762="Buy",(L2762*G2762*100)+I2762,IF(C2762="Sell",(L2762*G2762*100)-I2762, X))))</f>
        <v/>
      </c>
      <c r="N2762" s="78">
        <f>IF(ISBLANK(L2762),"",IF(AND(C2762="Sell",D2762="Stock"),M2762,IF(ISBLANK(L2762),"",IF(C2762="Buy",M2762, IF(AND(C2762="Sell",J2762="NA"),(E2762*G2762*100*0.1)+I2762, IF(C2762="Sell",(J2762-L2762)*(100*G2762)+I2762))))))</f>
        <v/>
      </c>
      <c r="O2762" s="75" t="n"/>
      <c r="P2762" s="75" t="n"/>
      <c r="Q2762" s="75">
        <f>IF(ISBLANK(P2762),"",IF(D2762="Stock",P2762*G2762,IF(P2762=0,"0",G2762*P2762*100-(G2762*$AF$14))))</f>
        <v/>
      </c>
      <c r="R2762" s="79">
        <f>IF(P2762&lt;&gt;"", TODAY(), "")</f>
        <v/>
      </c>
      <c r="S2762" s="78">
        <f>IF(AND(K2762&lt;&gt;"", R2762&lt;&gt;""), R2762-K2762, "")</f>
        <v/>
      </c>
      <c r="T2762" s="78" t="n"/>
      <c r="U2762" s="92">
        <f>IF(ISBLANK(P2762),"",IF(C2762="Buy",Q2762-M2762+T2762, IF(C2762="Sell",M2762-Q2762-T2762, X)))</f>
        <v/>
      </c>
      <c r="V2762" s="81">
        <f>IF(ISBLANK(P2762),"",U2762/N2762)</f>
        <v/>
      </c>
      <c r="W2762" s="81">
        <f>IF(ISBLANK(P2762),"",IF(S2762=0,(365/0.5)*V2762,(365/S2762)*V2762))</f>
        <v/>
      </c>
      <c r="X2762" s="75" t="n"/>
      <c r="Y2762" s="77" t="n"/>
      <c r="Z2762" s="77" t="n"/>
      <c r="AA2762" s="75" t="n"/>
      <c r="AB2762" s="75" t="n"/>
      <c r="AC2762" s="6" t="n"/>
      <c r="AD2762" s="75" t="n"/>
      <c r="AE2762" s="75" t="n"/>
      <c r="AF2762" s="75" t="n"/>
    </row>
    <row r="2763" ht="15.75" customHeight="1" s="133">
      <c r="A2763" s="75" t="n"/>
      <c r="B2763" s="75" t="n"/>
      <c r="C2763" s="75" t="n"/>
      <c r="D2763" s="75" t="n"/>
      <c r="E2763" s="76" t="n"/>
      <c r="F2763" s="77" t="n"/>
      <c r="G2763" s="75" t="n"/>
      <c r="H2763" s="75">
        <f>IF(ISBLANK(E2763),"",IF(OR(D2763="Butterfly",D2763="Butterfly ",D2763="Iron Fly", D2763="Iron Fly "),LEN(E2763)-LEN(SUBSTITUTE(E2763,"/",""))+2,LEN(E2763)-LEN(SUBSTITUTE(E2763,"/",""))+1))</f>
        <v/>
      </c>
      <c r="I2763" s="78">
        <f>IF(ISBLANK(G2763),"",IF(D2763="Stock","0",Key!$A$3*H2763*G2763))</f>
        <v/>
      </c>
      <c r="J2763" s="78">
        <f>IF(ISBLANK(E2763),"",IF(ISNUMBER(SEARCH("/",E2763)), IF(LEN(E2763)-LEN(SUBSTITUTE(E2763,"/",""))=1,(RIGHT(E2763,LEN(E2763)-FIND("/",E2763)))-(LEFT(E2763,FIND("/",E2763)-1)),(MID(E2763, SEARCH("/",E2763) + 1, SEARCH("/",E2763, SEARCH("/",E2763)+1) - SEARCH("/",E2763) - 1))-(LEFT(E2763,FIND("/",E2763)-1))), "NA"))</f>
        <v/>
      </c>
      <c r="K2763" s="79">
        <f>IF(A2763&lt;&gt;"", IF(ISBLANK(L2763), TODAY(), K2763), "")</f>
        <v/>
      </c>
      <c r="L2763" s="78" t="n"/>
      <c r="M2763" s="78">
        <f>IF(ISBLANK(L2763),"",IF(D2763="Stock",IF(C2763="Buy",L2763*G2763,IF(C2763="Sell",(L2763*G2763)-I2763, X)),IF(C2763="Buy",(L2763*G2763*100)+I2763,IF(C2763="Sell",(L2763*G2763*100)-I2763, X))))</f>
        <v/>
      </c>
      <c r="N2763" s="78">
        <f>IF(ISBLANK(L2763),"",IF(AND(C2763="Sell",D2763="Stock"),M2763,IF(ISBLANK(L2763),"",IF(C2763="Buy",M2763, IF(AND(C2763="Sell",J2763="NA"),(E2763*G2763*100*0.1)+I2763, IF(C2763="Sell",(J2763-L2763)*(100*G2763)+I2763))))))</f>
        <v/>
      </c>
      <c r="O2763" s="75" t="n"/>
      <c r="P2763" s="75" t="n"/>
      <c r="Q2763" s="75">
        <f>IF(ISBLANK(P2763),"",IF(D2763="Stock",P2763*G2763,IF(P2763=0,"0",G2763*P2763*100-(G2763*$AF$14))))</f>
        <v/>
      </c>
      <c r="R2763" s="79">
        <f>IF(P2763&lt;&gt;"", TODAY(), "")</f>
        <v/>
      </c>
      <c r="S2763" s="78">
        <f>IF(AND(K2763&lt;&gt;"", R2763&lt;&gt;""), R2763-K2763, "")</f>
        <v/>
      </c>
      <c r="T2763" s="78" t="n"/>
      <c r="U2763" s="92">
        <f>IF(ISBLANK(P2763),"",IF(C2763="Buy",Q2763-M2763+T2763, IF(C2763="Sell",M2763-Q2763-T2763, X)))</f>
        <v/>
      </c>
      <c r="V2763" s="81">
        <f>IF(ISBLANK(P2763),"",U2763/N2763)</f>
        <v/>
      </c>
      <c r="W2763" s="81">
        <f>IF(ISBLANK(P2763),"",IF(S2763=0,(365/0.5)*V2763,(365/S2763)*V2763))</f>
        <v/>
      </c>
      <c r="X2763" s="75" t="n"/>
      <c r="Y2763" s="77" t="n"/>
      <c r="Z2763" s="77" t="n"/>
      <c r="AA2763" s="75" t="n"/>
      <c r="AB2763" s="75" t="n"/>
      <c r="AC2763" s="6" t="n"/>
      <c r="AD2763" s="75" t="n"/>
      <c r="AE2763" s="75" t="n"/>
      <c r="AF2763" s="75" t="n"/>
    </row>
    <row r="2764" ht="15.75" customHeight="1" s="133">
      <c r="A2764" s="75" t="n"/>
      <c r="B2764" s="75" t="n"/>
      <c r="C2764" s="75" t="n"/>
      <c r="D2764" s="75" t="n"/>
      <c r="E2764" s="76" t="n"/>
      <c r="F2764" s="77" t="n"/>
      <c r="G2764" s="75" t="n"/>
      <c r="H2764" s="75">
        <f>IF(ISBLANK(E2764),"",IF(OR(D2764="Butterfly",D2764="Butterfly ",D2764="Iron Fly", D2764="Iron Fly "),LEN(E2764)-LEN(SUBSTITUTE(E2764,"/",""))+2,LEN(E2764)-LEN(SUBSTITUTE(E2764,"/",""))+1))</f>
        <v/>
      </c>
      <c r="I2764" s="78">
        <f>IF(ISBLANK(G2764),"",IF(D2764="Stock","0",Key!$A$3*H2764*G2764))</f>
        <v/>
      </c>
      <c r="J2764" s="78">
        <f>IF(ISBLANK(E2764),"",IF(ISNUMBER(SEARCH("/",E2764)), IF(LEN(E2764)-LEN(SUBSTITUTE(E2764,"/",""))=1,(RIGHT(E2764,LEN(E2764)-FIND("/",E2764)))-(LEFT(E2764,FIND("/",E2764)-1)),(MID(E2764, SEARCH("/",E2764) + 1, SEARCH("/",E2764, SEARCH("/",E2764)+1) - SEARCH("/",E2764) - 1))-(LEFT(E2764,FIND("/",E2764)-1))), "NA"))</f>
        <v/>
      </c>
      <c r="K2764" s="79">
        <f>IF(A2764&lt;&gt;"", IF(ISBLANK(L2764), TODAY(), K2764), "")</f>
        <v/>
      </c>
      <c r="L2764" s="78" t="n"/>
      <c r="M2764" s="78">
        <f>IF(ISBLANK(L2764),"",IF(D2764="Stock",IF(C2764="Buy",L2764*G2764,IF(C2764="Sell",(L2764*G2764)-I2764, X)),IF(C2764="Buy",(L2764*G2764*100)+I2764,IF(C2764="Sell",(L2764*G2764*100)-I2764, X))))</f>
        <v/>
      </c>
      <c r="N2764" s="78">
        <f>IF(ISBLANK(L2764),"",IF(AND(C2764="Sell",D2764="Stock"),M2764,IF(ISBLANK(L2764),"",IF(C2764="Buy",M2764, IF(AND(C2764="Sell",J2764="NA"),(E2764*G2764*100*0.1)+I2764, IF(C2764="Sell",(J2764-L2764)*(100*G2764)+I2764))))))</f>
        <v/>
      </c>
      <c r="O2764" s="75" t="n"/>
      <c r="P2764" s="75" t="n"/>
      <c r="Q2764" s="75">
        <f>IF(ISBLANK(P2764),"",IF(D2764="Stock",P2764*G2764,IF(P2764=0,"0",G2764*P2764*100-(G2764*$AF$14))))</f>
        <v/>
      </c>
      <c r="R2764" s="79">
        <f>IF(P2764&lt;&gt;"", TODAY(), "")</f>
        <v/>
      </c>
      <c r="S2764" s="78">
        <f>IF(AND(K2764&lt;&gt;"", R2764&lt;&gt;""), R2764-K2764, "")</f>
        <v/>
      </c>
      <c r="T2764" s="78" t="n"/>
      <c r="U2764" s="92">
        <f>IF(ISBLANK(P2764),"",IF(C2764="Buy",Q2764-M2764+T2764, IF(C2764="Sell",M2764-Q2764-T2764, X)))</f>
        <v/>
      </c>
      <c r="V2764" s="81">
        <f>IF(ISBLANK(P2764),"",U2764/N2764)</f>
        <v/>
      </c>
      <c r="W2764" s="81">
        <f>IF(ISBLANK(P2764),"",IF(S2764=0,(365/0.5)*V2764,(365/S2764)*V2764))</f>
        <v/>
      </c>
      <c r="X2764" s="75" t="n"/>
      <c r="Y2764" s="77" t="n"/>
      <c r="Z2764" s="77" t="n"/>
      <c r="AA2764" s="75" t="n"/>
      <c r="AB2764" s="75" t="n"/>
      <c r="AC2764" s="6" t="n"/>
      <c r="AD2764" s="75" t="n"/>
      <c r="AE2764" s="75" t="n"/>
      <c r="AF2764" s="75" t="n"/>
    </row>
    <row r="2765" ht="15.75" customHeight="1" s="133">
      <c r="A2765" s="75" t="n"/>
      <c r="B2765" s="75" t="n"/>
      <c r="C2765" s="75" t="n"/>
      <c r="D2765" s="75" t="n"/>
      <c r="E2765" s="76" t="n"/>
      <c r="F2765" s="77" t="n"/>
      <c r="G2765" s="75" t="n"/>
      <c r="H2765" s="75">
        <f>IF(ISBLANK(E2765),"",IF(OR(D2765="Butterfly",D2765="Butterfly ",D2765="Iron Fly", D2765="Iron Fly "),LEN(E2765)-LEN(SUBSTITUTE(E2765,"/",""))+2,LEN(E2765)-LEN(SUBSTITUTE(E2765,"/",""))+1))</f>
        <v/>
      </c>
      <c r="I2765" s="78">
        <f>IF(ISBLANK(G2765),"",IF(D2765="Stock","0",Key!$A$3*H2765*G2765))</f>
        <v/>
      </c>
      <c r="J2765" s="78">
        <f>IF(ISBLANK(E2765),"",IF(ISNUMBER(SEARCH("/",E2765)), IF(LEN(E2765)-LEN(SUBSTITUTE(E2765,"/",""))=1,(RIGHT(E2765,LEN(E2765)-FIND("/",E2765)))-(LEFT(E2765,FIND("/",E2765)-1)),(MID(E2765, SEARCH("/",E2765) + 1, SEARCH("/",E2765, SEARCH("/",E2765)+1) - SEARCH("/",E2765) - 1))-(LEFT(E2765,FIND("/",E2765)-1))), "NA"))</f>
        <v/>
      </c>
      <c r="K2765" s="79">
        <f>IF(A2765&lt;&gt;"", IF(ISBLANK(L2765), TODAY(), K2765), "")</f>
        <v/>
      </c>
      <c r="L2765" s="78" t="n"/>
      <c r="M2765" s="78">
        <f>IF(ISBLANK(L2765),"",IF(D2765="Stock",IF(C2765="Buy",L2765*G2765,IF(C2765="Sell",(L2765*G2765)-I2765, X)),IF(C2765="Buy",(L2765*G2765*100)+I2765,IF(C2765="Sell",(L2765*G2765*100)-I2765, X))))</f>
        <v/>
      </c>
      <c r="N2765" s="78">
        <f>IF(ISBLANK(L2765),"",IF(AND(C2765="Sell",D2765="Stock"),M2765,IF(ISBLANK(L2765),"",IF(C2765="Buy",M2765, IF(AND(C2765="Sell",J2765="NA"),(E2765*G2765*100*0.1)+I2765, IF(C2765="Sell",(J2765-L2765)*(100*G2765)+I2765))))))</f>
        <v/>
      </c>
      <c r="O2765" s="75" t="n"/>
      <c r="P2765" s="75" t="n"/>
      <c r="Q2765" s="75">
        <f>IF(ISBLANK(P2765),"",IF(D2765="Stock",P2765*G2765,IF(P2765=0,"0",G2765*P2765*100-(G2765*$AF$14))))</f>
        <v/>
      </c>
      <c r="R2765" s="79">
        <f>IF(P2765&lt;&gt;"", TODAY(), "")</f>
        <v/>
      </c>
      <c r="S2765" s="78">
        <f>IF(AND(K2765&lt;&gt;"", R2765&lt;&gt;""), R2765-K2765, "")</f>
        <v/>
      </c>
      <c r="T2765" s="78" t="n"/>
      <c r="U2765" s="92">
        <f>IF(ISBLANK(P2765),"",IF(C2765="Buy",Q2765-M2765+T2765, IF(C2765="Sell",M2765-Q2765-T2765, X)))</f>
        <v/>
      </c>
      <c r="V2765" s="81">
        <f>IF(ISBLANK(P2765),"",U2765/N2765)</f>
        <v/>
      </c>
      <c r="W2765" s="81">
        <f>IF(ISBLANK(P2765),"",IF(S2765=0,(365/0.5)*V2765,(365/S2765)*V2765))</f>
        <v/>
      </c>
      <c r="X2765" s="75" t="n"/>
      <c r="Y2765" s="77" t="n"/>
      <c r="Z2765" s="77" t="n"/>
      <c r="AA2765" s="75" t="n"/>
      <c r="AB2765" s="75" t="n"/>
      <c r="AC2765" s="6" t="n"/>
      <c r="AD2765" s="75" t="n"/>
      <c r="AE2765" s="75" t="n"/>
      <c r="AF2765" s="75" t="n"/>
    </row>
    <row r="2766" ht="15.75" customHeight="1" s="133">
      <c r="A2766" s="75" t="n"/>
      <c r="B2766" s="75" t="n"/>
      <c r="C2766" s="75" t="n"/>
      <c r="D2766" s="75" t="n"/>
      <c r="E2766" s="76" t="n"/>
      <c r="F2766" s="77" t="n"/>
      <c r="G2766" s="75" t="n"/>
      <c r="H2766" s="75">
        <f>IF(ISBLANK(E2766),"",IF(OR(D2766="Butterfly",D2766="Butterfly ",D2766="Iron Fly", D2766="Iron Fly "),LEN(E2766)-LEN(SUBSTITUTE(E2766,"/",""))+2,LEN(E2766)-LEN(SUBSTITUTE(E2766,"/",""))+1))</f>
        <v/>
      </c>
      <c r="I2766" s="78">
        <f>IF(ISBLANK(G2766),"",IF(D2766="Stock","0",Key!$A$3*H2766*G2766))</f>
        <v/>
      </c>
      <c r="J2766" s="78">
        <f>IF(ISBLANK(E2766),"",IF(ISNUMBER(SEARCH("/",E2766)), IF(LEN(E2766)-LEN(SUBSTITUTE(E2766,"/",""))=1,(RIGHT(E2766,LEN(E2766)-FIND("/",E2766)))-(LEFT(E2766,FIND("/",E2766)-1)),(MID(E2766, SEARCH("/",E2766) + 1, SEARCH("/",E2766, SEARCH("/",E2766)+1) - SEARCH("/",E2766) - 1))-(LEFT(E2766,FIND("/",E2766)-1))), "NA"))</f>
        <v/>
      </c>
      <c r="K2766" s="79">
        <f>IF(A2766&lt;&gt;"", IF(ISBLANK(L2766), TODAY(), K2766), "")</f>
        <v/>
      </c>
      <c r="L2766" s="78" t="n"/>
      <c r="M2766" s="78">
        <f>IF(ISBLANK(L2766),"",IF(D2766="Stock",IF(C2766="Buy",L2766*G2766,IF(C2766="Sell",(L2766*G2766)-I2766, X)),IF(C2766="Buy",(L2766*G2766*100)+I2766,IF(C2766="Sell",(L2766*G2766*100)-I2766, X))))</f>
        <v/>
      </c>
      <c r="N2766" s="78">
        <f>IF(ISBLANK(L2766),"",IF(AND(C2766="Sell",D2766="Stock"),M2766,IF(ISBLANK(L2766),"",IF(C2766="Buy",M2766, IF(AND(C2766="Sell",J2766="NA"),(E2766*G2766*100*0.1)+I2766, IF(C2766="Sell",(J2766-L2766)*(100*G2766)+I2766))))))</f>
        <v/>
      </c>
      <c r="O2766" s="75" t="n"/>
      <c r="P2766" s="75" t="n"/>
      <c r="Q2766" s="75">
        <f>IF(ISBLANK(P2766),"",IF(D2766="Stock",P2766*G2766,IF(P2766=0,"0",G2766*P2766*100-(G2766*$AF$14))))</f>
        <v/>
      </c>
      <c r="R2766" s="79">
        <f>IF(P2766&lt;&gt;"", TODAY(), "")</f>
        <v/>
      </c>
      <c r="S2766" s="78">
        <f>IF(AND(K2766&lt;&gt;"", R2766&lt;&gt;""), R2766-K2766, "")</f>
        <v/>
      </c>
      <c r="T2766" s="78" t="n"/>
      <c r="U2766" s="92">
        <f>IF(ISBLANK(P2766),"",IF(C2766="Buy",Q2766-M2766+T2766, IF(C2766="Sell",M2766-Q2766-T2766, X)))</f>
        <v/>
      </c>
      <c r="V2766" s="81">
        <f>IF(ISBLANK(P2766),"",U2766/N2766)</f>
        <v/>
      </c>
      <c r="W2766" s="81">
        <f>IF(ISBLANK(P2766),"",IF(S2766=0,(365/0.5)*V2766,(365/S2766)*V2766))</f>
        <v/>
      </c>
      <c r="X2766" s="75" t="n"/>
      <c r="Y2766" s="77" t="n"/>
      <c r="Z2766" s="77" t="n"/>
      <c r="AA2766" s="75" t="n"/>
      <c r="AB2766" s="75" t="n"/>
      <c r="AC2766" s="6" t="n"/>
      <c r="AD2766" s="75" t="n"/>
      <c r="AE2766" s="75" t="n"/>
      <c r="AF2766" s="75" t="n"/>
    </row>
    <row r="2767" ht="15.75" customHeight="1" s="133">
      <c r="A2767" s="75" t="n"/>
      <c r="B2767" s="75" t="n"/>
      <c r="C2767" s="75" t="n"/>
      <c r="D2767" s="75" t="n"/>
      <c r="E2767" s="76" t="n"/>
      <c r="F2767" s="77" t="n"/>
      <c r="G2767" s="75" t="n"/>
      <c r="H2767" s="75">
        <f>IF(ISBLANK(E2767),"",IF(OR(D2767="Butterfly",D2767="Butterfly ",D2767="Iron Fly", D2767="Iron Fly "),LEN(E2767)-LEN(SUBSTITUTE(E2767,"/",""))+2,LEN(E2767)-LEN(SUBSTITUTE(E2767,"/",""))+1))</f>
        <v/>
      </c>
      <c r="I2767" s="78">
        <f>IF(ISBLANK(G2767),"",IF(D2767="Stock","0",Key!$A$3*H2767*G2767))</f>
        <v/>
      </c>
      <c r="J2767" s="78">
        <f>IF(ISBLANK(E2767),"",IF(ISNUMBER(SEARCH("/",E2767)), IF(LEN(E2767)-LEN(SUBSTITUTE(E2767,"/",""))=1,(RIGHT(E2767,LEN(E2767)-FIND("/",E2767)))-(LEFT(E2767,FIND("/",E2767)-1)),(MID(E2767, SEARCH("/",E2767) + 1, SEARCH("/",E2767, SEARCH("/",E2767)+1) - SEARCH("/",E2767) - 1))-(LEFT(E2767,FIND("/",E2767)-1))), "NA"))</f>
        <v/>
      </c>
      <c r="K2767" s="79">
        <f>IF(A2767&lt;&gt;"", IF(ISBLANK(L2767), TODAY(), K2767), "")</f>
        <v/>
      </c>
      <c r="L2767" s="78" t="n"/>
      <c r="M2767" s="78">
        <f>IF(ISBLANK(L2767),"",IF(D2767="Stock",IF(C2767="Buy",L2767*G2767,IF(C2767="Sell",(L2767*G2767)-I2767, X)),IF(C2767="Buy",(L2767*G2767*100)+I2767,IF(C2767="Sell",(L2767*G2767*100)-I2767, X))))</f>
        <v/>
      </c>
      <c r="N2767" s="78">
        <f>IF(ISBLANK(L2767),"",IF(AND(C2767="Sell",D2767="Stock"),M2767,IF(ISBLANK(L2767),"",IF(C2767="Buy",M2767, IF(AND(C2767="Sell",J2767="NA"),(E2767*G2767*100*0.1)+I2767, IF(C2767="Sell",(J2767-L2767)*(100*G2767)+I2767))))))</f>
        <v/>
      </c>
      <c r="O2767" s="75" t="n"/>
      <c r="P2767" s="75" t="n"/>
      <c r="Q2767" s="75">
        <f>IF(ISBLANK(P2767),"",IF(D2767="Stock",P2767*G2767,IF(P2767=0,"0",G2767*P2767*100-(G2767*$AF$14))))</f>
        <v/>
      </c>
      <c r="R2767" s="79">
        <f>IF(P2767&lt;&gt;"", TODAY(), "")</f>
        <v/>
      </c>
      <c r="S2767" s="78">
        <f>IF(AND(K2767&lt;&gt;"", R2767&lt;&gt;""), R2767-K2767, "")</f>
        <v/>
      </c>
      <c r="T2767" s="78" t="n"/>
      <c r="U2767" s="92">
        <f>IF(ISBLANK(P2767),"",IF(C2767="Buy",Q2767-M2767+T2767, IF(C2767="Sell",M2767-Q2767-T2767, X)))</f>
        <v/>
      </c>
      <c r="V2767" s="81">
        <f>IF(ISBLANK(P2767),"",U2767/N2767)</f>
        <v/>
      </c>
      <c r="W2767" s="81">
        <f>IF(ISBLANK(P2767),"",IF(S2767=0,(365/0.5)*V2767,(365/S2767)*V2767))</f>
        <v/>
      </c>
      <c r="X2767" s="75" t="n"/>
      <c r="Y2767" s="77" t="n"/>
      <c r="Z2767" s="77" t="n"/>
      <c r="AA2767" s="75" t="n"/>
      <c r="AB2767" s="75" t="n"/>
      <c r="AC2767" s="6" t="n"/>
      <c r="AD2767" s="75" t="n"/>
      <c r="AE2767" s="75" t="n"/>
      <c r="AF2767" s="75" t="n"/>
    </row>
    <row r="2768" ht="15.75" customHeight="1" s="133">
      <c r="A2768" s="75" t="n"/>
      <c r="B2768" s="75" t="n"/>
      <c r="C2768" s="75" t="n"/>
      <c r="D2768" s="75" t="n"/>
      <c r="E2768" s="76" t="n"/>
      <c r="F2768" s="77" t="n"/>
      <c r="G2768" s="75" t="n"/>
      <c r="H2768" s="75">
        <f>IF(ISBLANK(E2768),"",IF(OR(D2768="Butterfly",D2768="Butterfly ",D2768="Iron Fly", D2768="Iron Fly "),LEN(E2768)-LEN(SUBSTITUTE(E2768,"/",""))+2,LEN(E2768)-LEN(SUBSTITUTE(E2768,"/",""))+1))</f>
        <v/>
      </c>
      <c r="I2768" s="78">
        <f>IF(ISBLANK(G2768),"",IF(D2768="Stock","0",Key!$A$3*H2768*G2768))</f>
        <v/>
      </c>
      <c r="J2768" s="78">
        <f>IF(ISBLANK(E2768),"",IF(ISNUMBER(SEARCH("/",E2768)), IF(LEN(E2768)-LEN(SUBSTITUTE(E2768,"/",""))=1,(RIGHT(E2768,LEN(E2768)-FIND("/",E2768)))-(LEFT(E2768,FIND("/",E2768)-1)),(MID(E2768, SEARCH("/",E2768) + 1, SEARCH("/",E2768, SEARCH("/",E2768)+1) - SEARCH("/",E2768) - 1))-(LEFT(E2768,FIND("/",E2768)-1))), "NA"))</f>
        <v/>
      </c>
      <c r="K2768" s="79">
        <f>IF(A2768&lt;&gt;"", IF(ISBLANK(L2768), TODAY(), K2768), "")</f>
        <v/>
      </c>
      <c r="L2768" s="78" t="n"/>
      <c r="M2768" s="78">
        <f>IF(ISBLANK(L2768),"",IF(D2768="Stock",IF(C2768="Buy",L2768*G2768,IF(C2768="Sell",(L2768*G2768)-I2768, X)),IF(C2768="Buy",(L2768*G2768*100)+I2768,IF(C2768="Sell",(L2768*G2768*100)-I2768, X))))</f>
        <v/>
      </c>
      <c r="N2768" s="78">
        <f>IF(ISBLANK(L2768),"",IF(AND(C2768="Sell",D2768="Stock"),M2768,IF(ISBLANK(L2768),"",IF(C2768="Buy",M2768, IF(AND(C2768="Sell",J2768="NA"),(E2768*G2768*100*0.1)+I2768, IF(C2768="Sell",(J2768-L2768)*(100*G2768)+I2768))))))</f>
        <v/>
      </c>
      <c r="O2768" s="75" t="n"/>
      <c r="P2768" s="75" t="n"/>
      <c r="Q2768" s="75">
        <f>IF(ISBLANK(P2768),"",IF(D2768="Stock",P2768*G2768,IF(P2768=0,"0",G2768*P2768*100-(G2768*$AF$14))))</f>
        <v/>
      </c>
      <c r="R2768" s="79">
        <f>IF(P2768&lt;&gt;"", TODAY(), "")</f>
        <v/>
      </c>
      <c r="S2768" s="78">
        <f>IF(AND(K2768&lt;&gt;"", R2768&lt;&gt;""), R2768-K2768, "")</f>
        <v/>
      </c>
      <c r="T2768" s="78" t="n"/>
      <c r="U2768" s="92">
        <f>IF(ISBLANK(P2768),"",IF(C2768="Buy",Q2768-M2768+T2768, IF(C2768="Sell",M2768-Q2768-T2768, X)))</f>
        <v/>
      </c>
      <c r="V2768" s="81">
        <f>IF(ISBLANK(P2768),"",U2768/N2768)</f>
        <v/>
      </c>
      <c r="W2768" s="81">
        <f>IF(ISBLANK(P2768),"",IF(S2768=0,(365/0.5)*V2768,(365/S2768)*V2768))</f>
        <v/>
      </c>
      <c r="X2768" s="75" t="n"/>
      <c r="Y2768" s="77" t="n"/>
      <c r="Z2768" s="77" t="n"/>
      <c r="AA2768" s="75" t="n"/>
      <c r="AB2768" s="75" t="n"/>
      <c r="AC2768" s="6" t="n"/>
      <c r="AD2768" s="75" t="n"/>
      <c r="AE2768" s="75" t="n"/>
      <c r="AF2768" s="75" t="n"/>
    </row>
    <row r="2769" ht="15.75" customHeight="1" s="133">
      <c r="A2769" s="75" t="n"/>
      <c r="B2769" s="75" t="n"/>
      <c r="C2769" s="75" t="n"/>
      <c r="D2769" s="75" t="n"/>
      <c r="E2769" s="76" t="n"/>
      <c r="F2769" s="77" t="n"/>
      <c r="G2769" s="75" t="n"/>
      <c r="H2769" s="75">
        <f>IF(ISBLANK(E2769),"",IF(OR(D2769="Butterfly",D2769="Butterfly ",D2769="Iron Fly", D2769="Iron Fly "),LEN(E2769)-LEN(SUBSTITUTE(E2769,"/",""))+2,LEN(E2769)-LEN(SUBSTITUTE(E2769,"/",""))+1))</f>
        <v/>
      </c>
      <c r="I2769" s="78">
        <f>IF(ISBLANK(G2769),"",IF(D2769="Stock","0",Key!$A$3*H2769*G2769))</f>
        <v/>
      </c>
      <c r="J2769" s="78">
        <f>IF(ISBLANK(E2769),"",IF(ISNUMBER(SEARCH("/",E2769)), IF(LEN(E2769)-LEN(SUBSTITUTE(E2769,"/",""))=1,(RIGHT(E2769,LEN(E2769)-FIND("/",E2769)))-(LEFT(E2769,FIND("/",E2769)-1)),(MID(E2769, SEARCH("/",E2769) + 1, SEARCH("/",E2769, SEARCH("/",E2769)+1) - SEARCH("/",E2769) - 1))-(LEFT(E2769,FIND("/",E2769)-1))), "NA"))</f>
        <v/>
      </c>
      <c r="K2769" s="79">
        <f>IF(A2769&lt;&gt;"", IF(ISBLANK(L2769), TODAY(), K2769), "")</f>
        <v/>
      </c>
      <c r="L2769" s="78" t="n"/>
      <c r="M2769" s="78">
        <f>IF(ISBLANK(L2769),"",IF(D2769="Stock",IF(C2769="Buy",L2769*G2769,IF(C2769="Sell",(L2769*G2769)-I2769, X)),IF(C2769="Buy",(L2769*G2769*100)+I2769,IF(C2769="Sell",(L2769*G2769*100)-I2769, X))))</f>
        <v/>
      </c>
      <c r="N2769" s="78">
        <f>IF(ISBLANK(L2769),"",IF(AND(C2769="Sell",D2769="Stock"),M2769,IF(ISBLANK(L2769),"",IF(C2769="Buy",M2769, IF(AND(C2769="Sell",J2769="NA"),(E2769*G2769*100*0.1)+I2769, IF(C2769="Sell",(J2769-L2769)*(100*G2769)+I2769))))))</f>
        <v/>
      </c>
      <c r="O2769" s="75" t="n"/>
      <c r="P2769" s="75" t="n"/>
      <c r="Q2769" s="75">
        <f>IF(ISBLANK(P2769),"",IF(D2769="Stock",P2769*G2769,IF(P2769=0,"0",G2769*P2769*100-(G2769*$AF$14))))</f>
        <v/>
      </c>
      <c r="R2769" s="79">
        <f>IF(P2769&lt;&gt;"", TODAY(), "")</f>
        <v/>
      </c>
      <c r="S2769" s="78">
        <f>IF(AND(K2769&lt;&gt;"", R2769&lt;&gt;""), R2769-K2769, "")</f>
        <v/>
      </c>
      <c r="T2769" s="78" t="n"/>
      <c r="U2769" s="92">
        <f>IF(ISBLANK(P2769),"",IF(C2769="Buy",Q2769-M2769+T2769, IF(C2769="Sell",M2769-Q2769-T2769, X)))</f>
        <v/>
      </c>
      <c r="V2769" s="81">
        <f>IF(ISBLANK(P2769),"",U2769/N2769)</f>
        <v/>
      </c>
      <c r="W2769" s="81">
        <f>IF(ISBLANK(P2769),"",IF(S2769=0,(365/0.5)*V2769,(365/S2769)*V2769))</f>
        <v/>
      </c>
      <c r="X2769" s="75" t="n"/>
      <c r="Y2769" s="77" t="n"/>
      <c r="Z2769" s="77" t="n"/>
      <c r="AA2769" s="75" t="n"/>
      <c r="AB2769" s="75" t="n"/>
      <c r="AC2769" s="6" t="n"/>
      <c r="AD2769" s="75" t="n"/>
      <c r="AE2769" s="75" t="n"/>
      <c r="AF2769" s="75" t="n"/>
    </row>
    <row r="2770" ht="15.75" customHeight="1" s="133">
      <c r="A2770" s="75" t="n"/>
      <c r="B2770" s="75" t="n"/>
      <c r="C2770" s="75" t="n"/>
      <c r="D2770" s="75" t="n"/>
      <c r="E2770" s="76" t="n"/>
      <c r="F2770" s="77" t="n"/>
      <c r="G2770" s="75" t="n"/>
      <c r="H2770" s="75">
        <f>IF(ISBLANK(E2770),"",IF(OR(D2770="Butterfly",D2770="Butterfly ",D2770="Iron Fly", D2770="Iron Fly "),LEN(E2770)-LEN(SUBSTITUTE(E2770,"/",""))+2,LEN(E2770)-LEN(SUBSTITUTE(E2770,"/",""))+1))</f>
        <v/>
      </c>
      <c r="I2770" s="78">
        <f>IF(ISBLANK(G2770),"",IF(D2770="Stock","0",Key!$A$3*H2770*G2770))</f>
        <v/>
      </c>
      <c r="J2770" s="78">
        <f>IF(ISBLANK(E2770),"",IF(ISNUMBER(SEARCH("/",E2770)), IF(LEN(E2770)-LEN(SUBSTITUTE(E2770,"/",""))=1,(RIGHT(E2770,LEN(E2770)-FIND("/",E2770)))-(LEFT(E2770,FIND("/",E2770)-1)),(MID(E2770, SEARCH("/",E2770) + 1, SEARCH("/",E2770, SEARCH("/",E2770)+1) - SEARCH("/",E2770) - 1))-(LEFT(E2770,FIND("/",E2770)-1))), "NA"))</f>
        <v/>
      </c>
      <c r="K2770" s="79">
        <f>IF(A2770&lt;&gt;"", IF(ISBLANK(L2770), TODAY(), K2770), "")</f>
        <v/>
      </c>
      <c r="L2770" s="78" t="n"/>
      <c r="M2770" s="78">
        <f>IF(ISBLANK(L2770),"",IF(D2770="Stock",IF(C2770="Buy",L2770*G2770,IF(C2770="Sell",(L2770*G2770)-I2770, X)),IF(C2770="Buy",(L2770*G2770*100)+I2770,IF(C2770="Sell",(L2770*G2770*100)-I2770, X))))</f>
        <v/>
      </c>
      <c r="N2770" s="78">
        <f>IF(ISBLANK(L2770),"",IF(AND(C2770="Sell",D2770="Stock"),M2770,IF(ISBLANK(L2770),"",IF(C2770="Buy",M2770, IF(AND(C2770="Sell",J2770="NA"),(E2770*G2770*100*0.1)+I2770, IF(C2770="Sell",(J2770-L2770)*(100*G2770)+I2770))))))</f>
        <v/>
      </c>
      <c r="O2770" s="75" t="n"/>
      <c r="P2770" s="75" t="n"/>
      <c r="Q2770" s="75">
        <f>IF(ISBLANK(P2770),"",IF(D2770="Stock",P2770*G2770,IF(P2770=0,"0",G2770*P2770*100-(G2770*$AF$14))))</f>
        <v/>
      </c>
      <c r="R2770" s="79">
        <f>IF(P2770&lt;&gt;"", TODAY(), "")</f>
        <v/>
      </c>
      <c r="S2770" s="78">
        <f>IF(AND(K2770&lt;&gt;"", R2770&lt;&gt;""), R2770-K2770, "")</f>
        <v/>
      </c>
      <c r="T2770" s="78" t="n"/>
      <c r="U2770" s="92">
        <f>IF(ISBLANK(P2770),"",IF(C2770="Buy",Q2770-M2770+T2770, IF(C2770="Sell",M2770-Q2770-T2770, X)))</f>
        <v/>
      </c>
      <c r="V2770" s="81">
        <f>IF(ISBLANK(P2770),"",U2770/N2770)</f>
        <v/>
      </c>
      <c r="W2770" s="81">
        <f>IF(ISBLANK(P2770),"",IF(S2770=0,(365/0.5)*V2770,(365/S2770)*V2770))</f>
        <v/>
      </c>
      <c r="X2770" s="75" t="n"/>
      <c r="Y2770" s="77" t="n"/>
      <c r="Z2770" s="77" t="n"/>
      <c r="AA2770" s="75" t="n"/>
      <c r="AB2770" s="75" t="n"/>
      <c r="AC2770" s="6" t="n"/>
      <c r="AD2770" s="75" t="n"/>
      <c r="AE2770" s="75" t="n"/>
      <c r="AF2770" s="75" t="n"/>
    </row>
    <row r="2771" ht="15.75" customHeight="1" s="133">
      <c r="A2771" s="75" t="n"/>
      <c r="B2771" s="75" t="n"/>
      <c r="C2771" s="75" t="n"/>
      <c r="D2771" s="75" t="n"/>
      <c r="E2771" s="76" t="n"/>
      <c r="F2771" s="77" t="n"/>
      <c r="G2771" s="75" t="n"/>
      <c r="H2771" s="75">
        <f>IF(ISBLANK(E2771),"",IF(OR(D2771="Butterfly",D2771="Butterfly ",D2771="Iron Fly", D2771="Iron Fly "),LEN(E2771)-LEN(SUBSTITUTE(E2771,"/",""))+2,LEN(E2771)-LEN(SUBSTITUTE(E2771,"/",""))+1))</f>
        <v/>
      </c>
      <c r="I2771" s="78">
        <f>IF(ISBLANK(G2771),"",IF(D2771="Stock","0",Key!$A$3*H2771*G2771))</f>
        <v/>
      </c>
      <c r="J2771" s="78">
        <f>IF(ISBLANK(E2771),"",IF(ISNUMBER(SEARCH("/",E2771)), IF(LEN(E2771)-LEN(SUBSTITUTE(E2771,"/",""))=1,(RIGHT(E2771,LEN(E2771)-FIND("/",E2771)))-(LEFT(E2771,FIND("/",E2771)-1)),(MID(E2771, SEARCH("/",E2771) + 1, SEARCH("/",E2771, SEARCH("/",E2771)+1) - SEARCH("/",E2771) - 1))-(LEFT(E2771,FIND("/",E2771)-1))), "NA"))</f>
        <v/>
      </c>
      <c r="K2771" s="79">
        <f>IF(A2771&lt;&gt;"", IF(ISBLANK(L2771), TODAY(), K2771), "")</f>
        <v/>
      </c>
      <c r="L2771" s="78" t="n"/>
      <c r="M2771" s="78">
        <f>IF(ISBLANK(L2771),"",IF(D2771="Stock",IF(C2771="Buy",L2771*G2771,IF(C2771="Sell",(L2771*G2771)-I2771, X)),IF(C2771="Buy",(L2771*G2771*100)+I2771,IF(C2771="Sell",(L2771*G2771*100)-I2771, X))))</f>
        <v/>
      </c>
      <c r="N2771" s="78">
        <f>IF(ISBLANK(L2771),"",IF(AND(C2771="Sell",D2771="Stock"),M2771,IF(ISBLANK(L2771),"",IF(C2771="Buy",M2771, IF(AND(C2771="Sell",J2771="NA"),(E2771*G2771*100*0.1)+I2771, IF(C2771="Sell",(J2771-L2771)*(100*G2771)+I2771))))))</f>
        <v/>
      </c>
      <c r="O2771" s="75" t="n"/>
      <c r="P2771" s="75" t="n"/>
      <c r="Q2771" s="75">
        <f>IF(ISBLANK(P2771),"",IF(D2771="Stock",P2771*G2771,IF(P2771=0,"0",G2771*P2771*100-(G2771*$AF$14))))</f>
        <v/>
      </c>
      <c r="R2771" s="79">
        <f>IF(P2771&lt;&gt;"", TODAY(), "")</f>
        <v/>
      </c>
      <c r="S2771" s="78">
        <f>IF(AND(K2771&lt;&gt;"", R2771&lt;&gt;""), R2771-K2771, "")</f>
        <v/>
      </c>
      <c r="T2771" s="78" t="n"/>
      <c r="U2771" s="92">
        <f>IF(ISBLANK(P2771),"",IF(C2771="Buy",Q2771-M2771+T2771, IF(C2771="Sell",M2771-Q2771-T2771, X)))</f>
        <v/>
      </c>
      <c r="V2771" s="81">
        <f>IF(ISBLANK(P2771),"",U2771/N2771)</f>
        <v/>
      </c>
      <c r="W2771" s="81">
        <f>IF(ISBLANK(P2771),"",IF(S2771=0,(365/0.5)*V2771,(365/S2771)*V2771))</f>
        <v/>
      </c>
      <c r="X2771" s="75" t="n"/>
      <c r="Y2771" s="77" t="n"/>
      <c r="Z2771" s="77" t="n"/>
      <c r="AA2771" s="75" t="n"/>
      <c r="AB2771" s="75" t="n"/>
      <c r="AC2771" s="6" t="n"/>
      <c r="AD2771" s="75" t="n"/>
      <c r="AE2771" s="75" t="n"/>
      <c r="AF2771" s="75" t="n"/>
    </row>
    <row r="2772" ht="15.75" customHeight="1" s="133">
      <c r="A2772" s="75" t="n"/>
      <c r="B2772" s="75" t="n"/>
      <c r="C2772" s="75" t="n"/>
      <c r="D2772" s="75" t="n"/>
      <c r="E2772" s="76" t="n"/>
      <c r="F2772" s="77" t="n"/>
      <c r="G2772" s="75" t="n"/>
      <c r="H2772" s="75">
        <f>IF(ISBLANK(E2772),"",IF(OR(D2772="Butterfly",D2772="Butterfly ",D2772="Iron Fly", D2772="Iron Fly "),LEN(E2772)-LEN(SUBSTITUTE(E2772,"/",""))+2,LEN(E2772)-LEN(SUBSTITUTE(E2772,"/",""))+1))</f>
        <v/>
      </c>
      <c r="I2772" s="78">
        <f>IF(ISBLANK(G2772),"",IF(D2772="Stock","0",Key!$A$3*H2772*G2772))</f>
        <v/>
      </c>
      <c r="J2772" s="78">
        <f>IF(ISBLANK(E2772),"",IF(ISNUMBER(SEARCH("/",E2772)), IF(LEN(E2772)-LEN(SUBSTITUTE(E2772,"/",""))=1,(RIGHT(E2772,LEN(E2772)-FIND("/",E2772)))-(LEFT(E2772,FIND("/",E2772)-1)),(MID(E2772, SEARCH("/",E2772) + 1, SEARCH("/",E2772, SEARCH("/",E2772)+1) - SEARCH("/",E2772) - 1))-(LEFT(E2772,FIND("/",E2772)-1))), "NA"))</f>
        <v/>
      </c>
      <c r="K2772" s="79">
        <f>IF(A2772&lt;&gt;"", IF(ISBLANK(L2772), TODAY(), K2772), "")</f>
        <v/>
      </c>
      <c r="L2772" s="78" t="n"/>
      <c r="M2772" s="78">
        <f>IF(ISBLANK(L2772),"",IF(D2772="Stock",IF(C2772="Buy",L2772*G2772,IF(C2772="Sell",(L2772*G2772)-I2772, X)),IF(C2772="Buy",(L2772*G2772*100)+I2772,IF(C2772="Sell",(L2772*G2772*100)-I2772, X))))</f>
        <v/>
      </c>
      <c r="N2772" s="78">
        <f>IF(ISBLANK(L2772),"",IF(AND(C2772="Sell",D2772="Stock"),M2772,IF(ISBLANK(L2772),"",IF(C2772="Buy",M2772, IF(AND(C2772="Sell",J2772="NA"),(E2772*G2772*100*0.1)+I2772, IF(C2772="Sell",(J2772-L2772)*(100*G2772)+I2772))))))</f>
        <v/>
      </c>
      <c r="O2772" s="75" t="n"/>
      <c r="P2772" s="75" t="n"/>
      <c r="Q2772" s="75">
        <f>IF(ISBLANK(P2772),"",IF(D2772="Stock",P2772*G2772,IF(P2772=0,"0",G2772*P2772*100-(G2772*$AF$14))))</f>
        <v/>
      </c>
      <c r="R2772" s="79">
        <f>IF(P2772&lt;&gt;"", TODAY(), "")</f>
        <v/>
      </c>
      <c r="S2772" s="78">
        <f>IF(AND(K2772&lt;&gt;"", R2772&lt;&gt;""), R2772-K2772, "")</f>
        <v/>
      </c>
      <c r="T2772" s="78" t="n"/>
      <c r="U2772" s="92">
        <f>IF(ISBLANK(P2772),"",IF(C2772="Buy",Q2772-M2772+T2772, IF(C2772="Sell",M2772-Q2772-T2772, X)))</f>
        <v/>
      </c>
      <c r="V2772" s="81">
        <f>IF(ISBLANK(P2772),"",U2772/N2772)</f>
        <v/>
      </c>
      <c r="W2772" s="81">
        <f>IF(ISBLANK(P2772),"",IF(S2772=0,(365/0.5)*V2772,(365/S2772)*V2772))</f>
        <v/>
      </c>
      <c r="X2772" s="75" t="n"/>
      <c r="Y2772" s="77" t="n"/>
      <c r="Z2772" s="77" t="n"/>
      <c r="AA2772" s="75" t="n"/>
      <c r="AB2772" s="75" t="n"/>
      <c r="AC2772" s="6" t="n"/>
      <c r="AD2772" s="75" t="n"/>
      <c r="AE2772" s="75" t="n"/>
      <c r="AF2772" s="75" t="n"/>
    </row>
    <row r="2773" ht="15.75" customHeight="1" s="133">
      <c r="A2773" s="75" t="n"/>
      <c r="B2773" s="75" t="n"/>
      <c r="C2773" s="75" t="n"/>
      <c r="D2773" s="75" t="n"/>
      <c r="E2773" s="76" t="n"/>
      <c r="F2773" s="77" t="n"/>
      <c r="G2773" s="75" t="n"/>
      <c r="H2773" s="75">
        <f>IF(ISBLANK(E2773),"",IF(OR(D2773="Butterfly",D2773="Butterfly ",D2773="Iron Fly", D2773="Iron Fly "),LEN(E2773)-LEN(SUBSTITUTE(E2773,"/",""))+2,LEN(E2773)-LEN(SUBSTITUTE(E2773,"/",""))+1))</f>
        <v/>
      </c>
      <c r="I2773" s="78">
        <f>IF(ISBLANK(G2773),"",IF(D2773="Stock","0",Key!$A$3*H2773*G2773))</f>
        <v/>
      </c>
      <c r="J2773" s="78">
        <f>IF(ISBLANK(E2773),"",IF(ISNUMBER(SEARCH("/",E2773)), IF(LEN(E2773)-LEN(SUBSTITUTE(E2773,"/",""))=1,(RIGHT(E2773,LEN(E2773)-FIND("/",E2773)))-(LEFT(E2773,FIND("/",E2773)-1)),(MID(E2773, SEARCH("/",E2773) + 1, SEARCH("/",E2773, SEARCH("/",E2773)+1) - SEARCH("/",E2773) - 1))-(LEFT(E2773,FIND("/",E2773)-1))), "NA"))</f>
        <v/>
      </c>
      <c r="K2773" s="79">
        <f>IF(A2773&lt;&gt;"", IF(ISBLANK(L2773), TODAY(), K2773), "")</f>
        <v/>
      </c>
      <c r="L2773" s="78" t="n"/>
      <c r="M2773" s="78">
        <f>IF(ISBLANK(L2773),"",IF(D2773="Stock",IF(C2773="Buy",L2773*G2773,IF(C2773="Sell",(L2773*G2773)-I2773, X)),IF(C2773="Buy",(L2773*G2773*100)+I2773,IF(C2773="Sell",(L2773*G2773*100)-I2773, X))))</f>
        <v/>
      </c>
      <c r="N2773" s="78">
        <f>IF(ISBLANK(L2773),"",IF(AND(C2773="Sell",D2773="Stock"),M2773,IF(ISBLANK(L2773),"",IF(C2773="Buy",M2773, IF(AND(C2773="Sell",J2773="NA"),(E2773*G2773*100*0.1)+I2773, IF(C2773="Sell",(J2773-L2773)*(100*G2773)+I2773))))))</f>
        <v/>
      </c>
      <c r="O2773" s="75" t="n"/>
      <c r="P2773" s="75" t="n"/>
      <c r="Q2773" s="75">
        <f>IF(ISBLANK(P2773),"",IF(D2773="Stock",P2773*G2773,IF(P2773=0,"0",G2773*P2773*100-(G2773*$AF$14))))</f>
        <v/>
      </c>
      <c r="R2773" s="79">
        <f>IF(P2773&lt;&gt;"", TODAY(), "")</f>
        <v/>
      </c>
      <c r="S2773" s="78">
        <f>IF(AND(K2773&lt;&gt;"", R2773&lt;&gt;""), R2773-K2773, "")</f>
        <v/>
      </c>
      <c r="T2773" s="78" t="n"/>
      <c r="U2773" s="92">
        <f>IF(ISBLANK(P2773),"",IF(C2773="Buy",Q2773-M2773+T2773, IF(C2773="Sell",M2773-Q2773-T2773, X)))</f>
        <v/>
      </c>
      <c r="V2773" s="81">
        <f>IF(ISBLANK(P2773),"",U2773/N2773)</f>
        <v/>
      </c>
      <c r="W2773" s="81">
        <f>IF(ISBLANK(P2773),"",IF(S2773=0,(365/0.5)*V2773,(365/S2773)*V2773))</f>
        <v/>
      </c>
      <c r="X2773" s="75" t="n"/>
      <c r="Y2773" s="77" t="n"/>
      <c r="Z2773" s="77" t="n"/>
      <c r="AA2773" s="75" t="n"/>
      <c r="AB2773" s="75" t="n"/>
      <c r="AC2773" s="6" t="n"/>
      <c r="AD2773" s="75" t="n"/>
      <c r="AE2773" s="75" t="n"/>
      <c r="AF2773" s="75" t="n"/>
    </row>
    <row r="2774" ht="15.75" customHeight="1" s="133">
      <c r="A2774" s="75" t="n"/>
      <c r="B2774" s="75" t="n"/>
      <c r="C2774" s="75" t="n"/>
      <c r="D2774" s="75" t="n"/>
      <c r="E2774" s="76" t="n"/>
      <c r="F2774" s="77" t="n"/>
      <c r="G2774" s="75" t="n"/>
      <c r="H2774" s="75">
        <f>IF(ISBLANK(E2774),"",IF(OR(D2774="Butterfly",D2774="Butterfly ",D2774="Iron Fly", D2774="Iron Fly "),LEN(E2774)-LEN(SUBSTITUTE(E2774,"/",""))+2,LEN(E2774)-LEN(SUBSTITUTE(E2774,"/",""))+1))</f>
        <v/>
      </c>
      <c r="I2774" s="78">
        <f>IF(ISBLANK(G2774),"",IF(D2774="Stock","0",Key!$A$3*H2774*G2774))</f>
        <v/>
      </c>
      <c r="J2774" s="78">
        <f>IF(ISBLANK(E2774),"",IF(ISNUMBER(SEARCH("/",E2774)), IF(LEN(E2774)-LEN(SUBSTITUTE(E2774,"/",""))=1,(RIGHT(E2774,LEN(E2774)-FIND("/",E2774)))-(LEFT(E2774,FIND("/",E2774)-1)),(MID(E2774, SEARCH("/",E2774) + 1, SEARCH("/",E2774, SEARCH("/",E2774)+1) - SEARCH("/",E2774) - 1))-(LEFT(E2774,FIND("/",E2774)-1))), "NA"))</f>
        <v/>
      </c>
      <c r="K2774" s="79">
        <f>IF(A2774&lt;&gt;"", IF(ISBLANK(L2774), TODAY(), K2774), "")</f>
        <v/>
      </c>
      <c r="L2774" s="78" t="n"/>
      <c r="M2774" s="78">
        <f>IF(ISBLANK(L2774),"",IF(D2774="Stock",IF(C2774="Buy",L2774*G2774,IF(C2774="Sell",(L2774*G2774)-I2774, X)),IF(C2774="Buy",(L2774*G2774*100)+I2774,IF(C2774="Sell",(L2774*G2774*100)-I2774, X))))</f>
        <v/>
      </c>
      <c r="N2774" s="78">
        <f>IF(ISBLANK(L2774),"",IF(AND(C2774="Sell",D2774="Stock"),M2774,IF(ISBLANK(L2774),"",IF(C2774="Buy",M2774, IF(AND(C2774="Sell",J2774="NA"),(E2774*G2774*100*0.1)+I2774, IF(C2774="Sell",(J2774-L2774)*(100*G2774)+I2774))))))</f>
        <v/>
      </c>
      <c r="O2774" s="75" t="n"/>
      <c r="P2774" s="75" t="n"/>
      <c r="Q2774" s="75">
        <f>IF(ISBLANK(P2774),"",IF(D2774="Stock",P2774*G2774,IF(P2774=0,"0",G2774*P2774*100-(G2774*$AF$14))))</f>
        <v/>
      </c>
      <c r="R2774" s="79">
        <f>IF(P2774&lt;&gt;"", TODAY(), "")</f>
        <v/>
      </c>
      <c r="S2774" s="78">
        <f>IF(AND(K2774&lt;&gt;"", R2774&lt;&gt;""), R2774-K2774, "")</f>
        <v/>
      </c>
      <c r="T2774" s="78" t="n"/>
      <c r="U2774" s="92">
        <f>IF(ISBLANK(P2774),"",IF(C2774="Buy",Q2774-M2774+T2774, IF(C2774="Sell",M2774-Q2774-T2774, X)))</f>
        <v/>
      </c>
      <c r="V2774" s="81">
        <f>IF(ISBLANK(P2774),"",U2774/N2774)</f>
        <v/>
      </c>
      <c r="W2774" s="81">
        <f>IF(ISBLANK(P2774),"",IF(S2774=0,(365/0.5)*V2774,(365/S2774)*V2774))</f>
        <v/>
      </c>
      <c r="X2774" s="75" t="n"/>
      <c r="Y2774" s="77" t="n"/>
      <c r="Z2774" s="77" t="n"/>
      <c r="AA2774" s="75" t="n"/>
      <c r="AB2774" s="75" t="n"/>
      <c r="AC2774" s="6" t="n"/>
      <c r="AD2774" s="75" t="n"/>
      <c r="AE2774" s="75" t="n"/>
      <c r="AF2774" s="75" t="n"/>
    </row>
    <row r="2775" ht="15.75" customHeight="1" s="133">
      <c r="A2775" s="75" t="n"/>
      <c r="B2775" s="75" t="n"/>
      <c r="C2775" s="75" t="n"/>
      <c r="D2775" s="75" t="n"/>
      <c r="E2775" s="76" t="n"/>
      <c r="F2775" s="77" t="n"/>
      <c r="G2775" s="75" t="n"/>
      <c r="H2775" s="75">
        <f>IF(ISBLANK(E2775),"",IF(OR(D2775="Butterfly",D2775="Butterfly ",D2775="Iron Fly", D2775="Iron Fly "),LEN(E2775)-LEN(SUBSTITUTE(E2775,"/",""))+2,LEN(E2775)-LEN(SUBSTITUTE(E2775,"/",""))+1))</f>
        <v/>
      </c>
      <c r="I2775" s="78">
        <f>IF(ISBLANK(G2775),"",IF(D2775="Stock","0",Key!$A$3*H2775*G2775))</f>
        <v/>
      </c>
      <c r="J2775" s="78">
        <f>IF(ISBLANK(E2775),"",IF(ISNUMBER(SEARCH("/",E2775)), IF(LEN(E2775)-LEN(SUBSTITUTE(E2775,"/",""))=1,(RIGHT(E2775,LEN(E2775)-FIND("/",E2775)))-(LEFT(E2775,FIND("/",E2775)-1)),(MID(E2775, SEARCH("/",E2775) + 1, SEARCH("/",E2775, SEARCH("/",E2775)+1) - SEARCH("/",E2775) - 1))-(LEFT(E2775,FIND("/",E2775)-1))), "NA"))</f>
        <v/>
      </c>
      <c r="K2775" s="79">
        <f>IF(A2775&lt;&gt;"", IF(ISBLANK(L2775), TODAY(), K2775), "")</f>
        <v/>
      </c>
      <c r="L2775" s="78" t="n"/>
      <c r="M2775" s="78">
        <f>IF(ISBLANK(L2775),"",IF(D2775="Stock",IF(C2775="Buy",L2775*G2775,IF(C2775="Sell",(L2775*G2775)-I2775, X)),IF(C2775="Buy",(L2775*G2775*100)+I2775,IF(C2775="Sell",(L2775*G2775*100)-I2775, X))))</f>
        <v/>
      </c>
      <c r="N2775" s="78">
        <f>IF(ISBLANK(L2775),"",IF(AND(C2775="Sell",D2775="Stock"),M2775,IF(ISBLANK(L2775),"",IF(C2775="Buy",M2775, IF(AND(C2775="Sell",J2775="NA"),(E2775*G2775*100*0.1)+I2775, IF(C2775="Sell",(J2775-L2775)*(100*G2775)+I2775))))))</f>
        <v/>
      </c>
      <c r="O2775" s="75" t="n"/>
      <c r="P2775" s="75" t="n"/>
      <c r="Q2775" s="75">
        <f>IF(ISBLANK(P2775),"",IF(D2775="Stock",P2775*G2775,IF(P2775=0,"0",G2775*P2775*100-(G2775*$AF$14))))</f>
        <v/>
      </c>
      <c r="R2775" s="79">
        <f>IF(P2775&lt;&gt;"", TODAY(), "")</f>
        <v/>
      </c>
      <c r="S2775" s="78">
        <f>IF(AND(K2775&lt;&gt;"", R2775&lt;&gt;""), R2775-K2775, "")</f>
        <v/>
      </c>
      <c r="T2775" s="78" t="n"/>
      <c r="U2775" s="92">
        <f>IF(ISBLANK(P2775),"",IF(C2775="Buy",Q2775-M2775+T2775, IF(C2775="Sell",M2775-Q2775-T2775, X)))</f>
        <v/>
      </c>
      <c r="V2775" s="81">
        <f>IF(ISBLANK(P2775),"",U2775/N2775)</f>
        <v/>
      </c>
      <c r="W2775" s="81">
        <f>IF(ISBLANK(P2775),"",IF(S2775=0,(365/0.5)*V2775,(365/S2775)*V2775))</f>
        <v/>
      </c>
      <c r="X2775" s="75" t="n"/>
      <c r="Y2775" s="77" t="n"/>
      <c r="Z2775" s="77" t="n"/>
      <c r="AA2775" s="75" t="n"/>
      <c r="AB2775" s="75" t="n"/>
      <c r="AC2775" s="6" t="n"/>
      <c r="AD2775" s="75" t="n"/>
      <c r="AE2775" s="75" t="n"/>
      <c r="AF2775" s="75" t="n"/>
    </row>
    <row r="2776" ht="15.75" customHeight="1" s="133">
      <c r="A2776" s="75" t="n"/>
      <c r="B2776" s="75" t="n"/>
      <c r="C2776" s="75" t="n"/>
      <c r="D2776" s="75" t="n"/>
      <c r="E2776" s="76" t="n"/>
      <c r="F2776" s="77" t="n"/>
      <c r="G2776" s="75" t="n"/>
      <c r="H2776" s="75">
        <f>IF(ISBLANK(E2776),"",IF(OR(D2776="Butterfly",D2776="Butterfly ",D2776="Iron Fly", D2776="Iron Fly "),LEN(E2776)-LEN(SUBSTITUTE(E2776,"/",""))+2,LEN(E2776)-LEN(SUBSTITUTE(E2776,"/",""))+1))</f>
        <v/>
      </c>
      <c r="I2776" s="78">
        <f>IF(ISBLANK(G2776),"",IF(D2776="Stock","0",Key!$A$3*H2776*G2776))</f>
        <v/>
      </c>
      <c r="J2776" s="78">
        <f>IF(ISBLANK(E2776),"",IF(ISNUMBER(SEARCH("/",E2776)), IF(LEN(E2776)-LEN(SUBSTITUTE(E2776,"/",""))=1,(RIGHT(E2776,LEN(E2776)-FIND("/",E2776)))-(LEFT(E2776,FIND("/",E2776)-1)),(MID(E2776, SEARCH("/",E2776) + 1, SEARCH("/",E2776, SEARCH("/",E2776)+1) - SEARCH("/",E2776) - 1))-(LEFT(E2776,FIND("/",E2776)-1))), "NA"))</f>
        <v/>
      </c>
      <c r="K2776" s="79">
        <f>IF(A2776&lt;&gt;"", IF(ISBLANK(L2776), TODAY(), K2776), "")</f>
        <v/>
      </c>
      <c r="L2776" s="78" t="n"/>
      <c r="M2776" s="78">
        <f>IF(ISBLANK(L2776),"",IF(D2776="Stock",IF(C2776="Buy",L2776*G2776,IF(C2776="Sell",(L2776*G2776)-I2776, X)),IF(C2776="Buy",(L2776*G2776*100)+I2776,IF(C2776="Sell",(L2776*G2776*100)-I2776, X))))</f>
        <v/>
      </c>
      <c r="N2776" s="78">
        <f>IF(ISBLANK(L2776),"",IF(AND(C2776="Sell",D2776="Stock"),M2776,IF(ISBLANK(L2776),"",IF(C2776="Buy",M2776, IF(AND(C2776="Sell",J2776="NA"),(E2776*G2776*100*0.1)+I2776, IF(C2776="Sell",(J2776-L2776)*(100*G2776)+I2776))))))</f>
        <v/>
      </c>
      <c r="O2776" s="75" t="n"/>
      <c r="P2776" s="75" t="n"/>
      <c r="Q2776" s="75">
        <f>IF(ISBLANK(P2776),"",IF(D2776="Stock",P2776*G2776,IF(P2776=0,"0",G2776*P2776*100-(G2776*$AF$14))))</f>
        <v/>
      </c>
      <c r="R2776" s="79">
        <f>IF(P2776&lt;&gt;"", TODAY(), "")</f>
        <v/>
      </c>
      <c r="S2776" s="78">
        <f>IF(AND(K2776&lt;&gt;"", R2776&lt;&gt;""), R2776-K2776, "")</f>
        <v/>
      </c>
      <c r="T2776" s="78" t="n"/>
      <c r="U2776" s="92">
        <f>IF(ISBLANK(P2776),"",IF(C2776="Buy",Q2776-M2776+T2776, IF(C2776="Sell",M2776-Q2776-T2776, X)))</f>
        <v/>
      </c>
      <c r="V2776" s="81">
        <f>IF(ISBLANK(P2776),"",U2776/N2776)</f>
        <v/>
      </c>
      <c r="W2776" s="81">
        <f>IF(ISBLANK(P2776),"",IF(S2776=0,(365/0.5)*V2776,(365/S2776)*V2776))</f>
        <v/>
      </c>
      <c r="X2776" s="75" t="n"/>
      <c r="Y2776" s="77" t="n"/>
      <c r="Z2776" s="77" t="n"/>
      <c r="AA2776" s="75" t="n"/>
      <c r="AB2776" s="75" t="n"/>
      <c r="AC2776" s="6" t="n"/>
      <c r="AD2776" s="75" t="n"/>
      <c r="AE2776" s="75" t="n"/>
      <c r="AF2776" s="75" t="n"/>
    </row>
    <row r="2777" ht="15.75" customHeight="1" s="133">
      <c r="A2777" s="75" t="n"/>
      <c r="B2777" s="75" t="n"/>
      <c r="C2777" s="75" t="n"/>
      <c r="D2777" s="75" t="n"/>
      <c r="E2777" s="76" t="n"/>
      <c r="F2777" s="77" t="n"/>
      <c r="G2777" s="75" t="n"/>
      <c r="H2777" s="75">
        <f>IF(ISBLANK(E2777),"",IF(OR(D2777="Butterfly",D2777="Butterfly ",D2777="Iron Fly", D2777="Iron Fly "),LEN(E2777)-LEN(SUBSTITUTE(E2777,"/",""))+2,LEN(E2777)-LEN(SUBSTITUTE(E2777,"/",""))+1))</f>
        <v/>
      </c>
      <c r="I2777" s="78">
        <f>IF(ISBLANK(G2777),"",IF(D2777="Stock","0",Key!$A$3*H2777*G2777))</f>
        <v/>
      </c>
      <c r="J2777" s="78">
        <f>IF(ISBLANK(E2777),"",IF(ISNUMBER(SEARCH("/",E2777)), IF(LEN(E2777)-LEN(SUBSTITUTE(E2777,"/",""))=1,(RIGHT(E2777,LEN(E2777)-FIND("/",E2777)))-(LEFT(E2777,FIND("/",E2777)-1)),(MID(E2777, SEARCH("/",E2777) + 1, SEARCH("/",E2777, SEARCH("/",E2777)+1) - SEARCH("/",E2777) - 1))-(LEFT(E2777,FIND("/",E2777)-1))), "NA"))</f>
        <v/>
      </c>
      <c r="K2777" s="79">
        <f>IF(A2777&lt;&gt;"", IF(ISBLANK(L2777), TODAY(), K2777), "")</f>
        <v/>
      </c>
      <c r="L2777" s="78" t="n"/>
      <c r="M2777" s="78">
        <f>IF(ISBLANK(L2777),"",IF(D2777="Stock",IF(C2777="Buy",L2777*G2777,IF(C2777="Sell",(L2777*G2777)-I2777, X)),IF(C2777="Buy",(L2777*G2777*100)+I2777,IF(C2777="Sell",(L2777*G2777*100)-I2777, X))))</f>
        <v/>
      </c>
      <c r="N2777" s="78">
        <f>IF(ISBLANK(L2777),"",IF(AND(C2777="Sell",D2777="Stock"),M2777,IF(ISBLANK(L2777),"",IF(C2777="Buy",M2777, IF(AND(C2777="Sell",J2777="NA"),(E2777*G2777*100*0.1)+I2777, IF(C2777="Sell",(J2777-L2777)*(100*G2777)+I2777))))))</f>
        <v/>
      </c>
      <c r="O2777" s="75" t="n"/>
      <c r="P2777" s="75" t="n"/>
      <c r="Q2777" s="75">
        <f>IF(ISBLANK(P2777),"",IF(D2777="Stock",P2777*G2777,IF(P2777=0,"0",G2777*P2777*100-(G2777*$AF$14))))</f>
        <v/>
      </c>
      <c r="R2777" s="79">
        <f>IF(P2777&lt;&gt;"", TODAY(), "")</f>
        <v/>
      </c>
      <c r="S2777" s="78">
        <f>IF(AND(K2777&lt;&gt;"", R2777&lt;&gt;""), R2777-K2777, "")</f>
        <v/>
      </c>
      <c r="T2777" s="78" t="n"/>
      <c r="U2777" s="92">
        <f>IF(ISBLANK(P2777),"",IF(C2777="Buy",Q2777-M2777+T2777, IF(C2777="Sell",M2777-Q2777-T2777, X)))</f>
        <v/>
      </c>
      <c r="V2777" s="81">
        <f>IF(ISBLANK(P2777),"",U2777/N2777)</f>
        <v/>
      </c>
      <c r="W2777" s="81">
        <f>IF(ISBLANK(P2777),"",IF(S2777=0,(365/0.5)*V2777,(365/S2777)*V2777))</f>
        <v/>
      </c>
      <c r="X2777" s="75" t="n"/>
      <c r="Y2777" s="77" t="n"/>
      <c r="Z2777" s="77" t="n"/>
      <c r="AA2777" s="75" t="n"/>
      <c r="AB2777" s="75" t="n"/>
      <c r="AC2777" s="6" t="n"/>
      <c r="AD2777" s="75" t="n"/>
      <c r="AE2777" s="75" t="n"/>
      <c r="AF2777" s="75" t="n"/>
    </row>
    <row r="2778" ht="15.75" customHeight="1" s="133">
      <c r="A2778" s="75" t="n"/>
      <c r="B2778" s="75" t="n"/>
      <c r="C2778" s="75" t="n"/>
      <c r="D2778" s="75" t="n"/>
      <c r="E2778" s="76" t="n"/>
      <c r="F2778" s="77" t="n"/>
      <c r="G2778" s="75" t="n"/>
      <c r="H2778" s="75">
        <f>IF(ISBLANK(E2778),"",IF(OR(D2778="Butterfly",D2778="Butterfly ",D2778="Iron Fly", D2778="Iron Fly "),LEN(E2778)-LEN(SUBSTITUTE(E2778,"/",""))+2,LEN(E2778)-LEN(SUBSTITUTE(E2778,"/",""))+1))</f>
        <v/>
      </c>
      <c r="I2778" s="78">
        <f>IF(ISBLANK(G2778),"",IF(D2778="Stock","0",Key!$A$3*H2778*G2778))</f>
        <v/>
      </c>
      <c r="J2778" s="78">
        <f>IF(ISBLANK(E2778),"",IF(ISNUMBER(SEARCH("/",E2778)), IF(LEN(E2778)-LEN(SUBSTITUTE(E2778,"/",""))=1,(RIGHT(E2778,LEN(E2778)-FIND("/",E2778)))-(LEFT(E2778,FIND("/",E2778)-1)),(MID(E2778, SEARCH("/",E2778) + 1, SEARCH("/",E2778, SEARCH("/",E2778)+1) - SEARCH("/",E2778) - 1))-(LEFT(E2778,FIND("/",E2778)-1))), "NA"))</f>
        <v/>
      </c>
      <c r="K2778" s="79">
        <f>IF(A2778&lt;&gt;"", IF(ISBLANK(L2778), TODAY(), K2778), "")</f>
        <v/>
      </c>
      <c r="L2778" s="78" t="n"/>
      <c r="M2778" s="78">
        <f>IF(ISBLANK(L2778),"",IF(D2778="Stock",IF(C2778="Buy",L2778*G2778,IF(C2778="Sell",(L2778*G2778)-I2778, X)),IF(C2778="Buy",(L2778*G2778*100)+I2778,IF(C2778="Sell",(L2778*G2778*100)-I2778, X))))</f>
        <v/>
      </c>
      <c r="N2778" s="78">
        <f>IF(ISBLANK(L2778),"",IF(AND(C2778="Sell",D2778="Stock"),M2778,IF(ISBLANK(L2778),"",IF(C2778="Buy",M2778, IF(AND(C2778="Sell",J2778="NA"),(E2778*G2778*100*0.1)+I2778, IF(C2778="Sell",(J2778-L2778)*(100*G2778)+I2778))))))</f>
        <v/>
      </c>
      <c r="O2778" s="75" t="n"/>
      <c r="P2778" s="75" t="n"/>
      <c r="Q2778" s="75">
        <f>IF(ISBLANK(P2778),"",IF(D2778="Stock",P2778*G2778,IF(P2778=0,"0",G2778*P2778*100-(G2778*$AF$14))))</f>
        <v/>
      </c>
      <c r="R2778" s="79">
        <f>IF(P2778&lt;&gt;"", TODAY(), "")</f>
        <v/>
      </c>
      <c r="S2778" s="78">
        <f>IF(AND(K2778&lt;&gt;"", R2778&lt;&gt;""), R2778-K2778, "")</f>
        <v/>
      </c>
      <c r="T2778" s="78" t="n"/>
      <c r="U2778" s="92">
        <f>IF(ISBLANK(P2778),"",IF(C2778="Buy",Q2778-M2778+T2778, IF(C2778="Sell",M2778-Q2778-T2778, X)))</f>
        <v/>
      </c>
      <c r="V2778" s="81">
        <f>IF(ISBLANK(P2778),"",U2778/N2778)</f>
        <v/>
      </c>
      <c r="W2778" s="81">
        <f>IF(ISBLANK(P2778),"",IF(S2778=0,(365/0.5)*V2778,(365/S2778)*V2778))</f>
        <v/>
      </c>
      <c r="X2778" s="75" t="n"/>
      <c r="Y2778" s="77" t="n"/>
      <c r="Z2778" s="77" t="n"/>
      <c r="AA2778" s="75" t="n"/>
      <c r="AB2778" s="75" t="n"/>
      <c r="AC2778" s="6" t="n"/>
      <c r="AD2778" s="75" t="n"/>
      <c r="AE2778" s="75" t="n"/>
      <c r="AF2778" s="75" t="n"/>
    </row>
    <row r="2779" ht="15.75" customHeight="1" s="133">
      <c r="A2779" s="75" t="n"/>
      <c r="B2779" s="75" t="n"/>
      <c r="C2779" s="75" t="n"/>
      <c r="D2779" s="75" t="n"/>
      <c r="E2779" s="76" t="n"/>
      <c r="F2779" s="77" t="n"/>
      <c r="G2779" s="75" t="n"/>
      <c r="H2779" s="75">
        <f>IF(ISBLANK(E2779),"",IF(OR(D2779="Butterfly",D2779="Butterfly ",D2779="Iron Fly", D2779="Iron Fly "),LEN(E2779)-LEN(SUBSTITUTE(E2779,"/",""))+2,LEN(E2779)-LEN(SUBSTITUTE(E2779,"/",""))+1))</f>
        <v/>
      </c>
      <c r="I2779" s="78">
        <f>IF(ISBLANK(G2779),"",IF(D2779="Stock","0",Key!$A$3*H2779*G2779))</f>
        <v/>
      </c>
      <c r="J2779" s="78">
        <f>IF(ISBLANK(E2779),"",IF(ISNUMBER(SEARCH("/",E2779)), IF(LEN(E2779)-LEN(SUBSTITUTE(E2779,"/",""))=1,(RIGHT(E2779,LEN(E2779)-FIND("/",E2779)))-(LEFT(E2779,FIND("/",E2779)-1)),(MID(E2779, SEARCH("/",E2779) + 1, SEARCH("/",E2779, SEARCH("/",E2779)+1) - SEARCH("/",E2779) - 1))-(LEFT(E2779,FIND("/",E2779)-1))), "NA"))</f>
        <v/>
      </c>
      <c r="K2779" s="79">
        <f>IF(A2779&lt;&gt;"", IF(ISBLANK(L2779), TODAY(), K2779), "")</f>
        <v/>
      </c>
      <c r="L2779" s="78" t="n"/>
      <c r="M2779" s="78">
        <f>IF(ISBLANK(L2779),"",IF(D2779="Stock",IF(C2779="Buy",L2779*G2779,IF(C2779="Sell",(L2779*G2779)-I2779, X)),IF(C2779="Buy",(L2779*G2779*100)+I2779,IF(C2779="Sell",(L2779*G2779*100)-I2779, X))))</f>
        <v/>
      </c>
      <c r="N2779" s="78">
        <f>IF(ISBLANK(L2779),"",IF(AND(C2779="Sell",D2779="Stock"),M2779,IF(ISBLANK(L2779),"",IF(C2779="Buy",M2779, IF(AND(C2779="Sell",J2779="NA"),(E2779*G2779*100*0.1)+I2779, IF(C2779="Sell",(J2779-L2779)*(100*G2779)+I2779))))))</f>
        <v/>
      </c>
      <c r="O2779" s="75" t="n"/>
      <c r="P2779" s="75" t="n"/>
      <c r="Q2779" s="75">
        <f>IF(ISBLANK(P2779),"",IF(D2779="Stock",P2779*G2779,IF(P2779=0,"0",G2779*P2779*100-(G2779*$AF$14))))</f>
        <v/>
      </c>
      <c r="R2779" s="79">
        <f>IF(P2779&lt;&gt;"", TODAY(), "")</f>
        <v/>
      </c>
      <c r="S2779" s="78">
        <f>IF(AND(K2779&lt;&gt;"", R2779&lt;&gt;""), R2779-K2779, "")</f>
        <v/>
      </c>
      <c r="T2779" s="78" t="n"/>
      <c r="U2779" s="92">
        <f>IF(ISBLANK(P2779),"",IF(C2779="Buy",Q2779-M2779+T2779, IF(C2779="Sell",M2779-Q2779-T2779, X)))</f>
        <v/>
      </c>
      <c r="V2779" s="81">
        <f>IF(ISBLANK(P2779),"",U2779/N2779)</f>
        <v/>
      </c>
      <c r="W2779" s="81">
        <f>IF(ISBLANK(P2779),"",IF(S2779=0,(365/0.5)*V2779,(365/S2779)*V2779))</f>
        <v/>
      </c>
      <c r="X2779" s="75" t="n"/>
      <c r="Y2779" s="77" t="n"/>
      <c r="Z2779" s="77" t="n"/>
      <c r="AA2779" s="75" t="n"/>
      <c r="AB2779" s="75" t="n"/>
      <c r="AC2779" s="6" t="n"/>
      <c r="AD2779" s="75" t="n"/>
      <c r="AE2779" s="75" t="n"/>
      <c r="AF2779" s="75" t="n"/>
    </row>
    <row r="2780" ht="15.75" customHeight="1" s="133">
      <c r="A2780" s="75" t="n"/>
      <c r="B2780" s="75" t="n"/>
      <c r="C2780" s="75" t="n"/>
      <c r="D2780" s="75" t="n"/>
      <c r="E2780" s="76" t="n"/>
      <c r="F2780" s="77" t="n"/>
      <c r="G2780" s="75" t="n"/>
      <c r="H2780" s="75">
        <f>IF(ISBLANK(E2780),"",IF(OR(D2780="Butterfly",D2780="Butterfly ",D2780="Iron Fly", D2780="Iron Fly "),LEN(E2780)-LEN(SUBSTITUTE(E2780,"/",""))+2,LEN(E2780)-LEN(SUBSTITUTE(E2780,"/",""))+1))</f>
        <v/>
      </c>
      <c r="I2780" s="78">
        <f>IF(ISBLANK(G2780),"",IF(D2780="Stock","0",Key!$A$3*H2780*G2780))</f>
        <v/>
      </c>
      <c r="J2780" s="78">
        <f>IF(ISBLANK(E2780),"",IF(ISNUMBER(SEARCH("/",E2780)), IF(LEN(E2780)-LEN(SUBSTITUTE(E2780,"/",""))=1,(RIGHT(E2780,LEN(E2780)-FIND("/",E2780)))-(LEFT(E2780,FIND("/",E2780)-1)),(MID(E2780, SEARCH("/",E2780) + 1, SEARCH("/",E2780, SEARCH("/",E2780)+1) - SEARCH("/",E2780) - 1))-(LEFT(E2780,FIND("/",E2780)-1))), "NA"))</f>
        <v/>
      </c>
      <c r="K2780" s="79">
        <f>IF(A2780&lt;&gt;"", IF(ISBLANK(L2780), TODAY(), K2780), "")</f>
        <v/>
      </c>
      <c r="L2780" s="78" t="n"/>
      <c r="M2780" s="78">
        <f>IF(ISBLANK(L2780),"",IF(D2780="Stock",IF(C2780="Buy",L2780*G2780,IF(C2780="Sell",(L2780*G2780)-I2780, X)),IF(C2780="Buy",(L2780*G2780*100)+I2780,IF(C2780="Sell",(L2780*G2780*100)-I2780, X))))</f>
        <v/>
      </c>
      <c r="N2780" s="78">
        <f>IF(ISBLANK(L2780),"",IF(AND(C2780="Sell",D2780="Stock"),M2780,IF(ISBLANK(L2780),"",IF(C2780="Buy",M2780, IF(AND(C2780="Sell",J2780="NA"),(E2780*G2780*100*0.1)+I2780, IF(C2780="Sell",(J2780-L2780)*(100*G2780)+I2780))))))</f>
        <v/>
      </c>
      <c r="O2780" s="75" t="n"/>
      <c r="P2780" s="75" t="n"/>
      <c r="Q2780" s="75">
        <f>IF(ISBLANK(P2780),"",IF(D2780="Stock",P2780*G2780,IF(P2780=0,"0",G2780*P2780*100-(G2780*$AF$14))))</f>
        <v/>
      </c>
      <c r="R2780" s="79">
        <f>IF(P2780&lt;&gt;"", TODAY(), "")</f>
        <v/>
      </c>
      <c r="S2780" s="78">
        <f>IF(AND(K2780&lt;&gt;"", R2780&lt;&gt;""), R2780-K2780, "")</f>
        <v/>
      </c>
      <c r="T2780" s="78" t="n"/>
      <c r="U2780" s="92">
        <f>IF(ISBLANK(P2780),"",IF(C2780="Buy",Q2780-M2780+T2780, IF(C2780="Sell",M2780-Q2780-T2780, X)))</f>
        <v/>
      </c>
      <c r="V2780" s="81">
        <f>IF(ISBLANK(P2780),"",U2780/N2780)</f>
        <v/>
      </c>
      <c r="W2780" s="81">
        <f>IF(ISBLANK(P2780),"",IF(S2780=0,(365/0.5)*V2780,(365/S2780)*V2780))</f>
        <v/>
      </c>
      <c r="X2780" s="75" t="n"/>
      <c r="Y2780" s="77" t="n"/>
      <c r="Z2780" s="77" t="n"/>
      <c r="AA2780" s="75" t="n"/>
      <c r="AB2780" s="75" t="n"/>
      <c r="AC2780" s="6" t="n"/>
      <c r="AD2780" s="75" t="n"/>
      <c r="AE2780" s="75" t="n"/>
      <c r="AF2780" s="75" t="n"/>
    </row>
    <row r="2781" ht="15.75" customHeight="1" s="133">
      <c r="A2781" s="75" t="n"/>
      <c r="B2781" s="75" t="n"/>
      <c r="C2781" s="75" t="n"/>
      <c r="D2781" s="75" t="n"/>
      <c r="E2781" s="76" t="n"/>
      <c r="F2781" s="77" t="n"/>
      <c r="G2781" s="75" t="n"/>
      <c r="H2781" s="75">
        <f>IF(ISBLANK(E2781),"",IF(OR(D2781="Butterfly",D2781="Butterfly ",D2781="Iron Fly", D2781="Iron Fly "),LEN(E2781)-LEN(SUBSTITUTE(E2781,"/",""))+2,LEN(E2781)-LEN(SUBSTITUTE(E2781,"/",""))+1))</f>
        <v/>
      </c>
      <c r="I2781" s="78">
        <f>IF(ISBLANK(G2781),"",IF(D2781="Stock","0",Key!$A$3*H2781*G2781))</f>
        <v/>
      </c>
      <c r="J2781" s="78">
        <f>IF(ISBLANK(E2781),"",IF(ISNUMBER(SEARCH("/",E2781)), IF(LEN(E2781)-LEN(SUBSTITUTE(E2781,"/",""))=1,(RIGHT(E2781,LEN(E2781)-FIND("/",E2781)))-(LEFT(E2781,FIND("/",E2781)-1)),(MID(E2781, SEARCH("/",E2781) + 1, SEARCH("/",E2781, SEARCH("/",E2781)+1) - SEARCH("/",E2781) - 1))-(LEFT(E2781,FIND("/",E2781)-1))), "NA"))</f>
        <v/>
      </c>
      <c r="K2781" s="79">
        <f>IF(A2781&lt;&gt;"", IF(ISBLANK(L2781), TODAY(), K2781), "")</f>
        <v/>
      </c>
      <c r="L2781" s="78" t="n"/>
      <c r="M2781" s="78">
        <f>IF(ISBLANK(L2781),"",IF(D2781="Stock",IF(C2781="Buy",L2781*G2781,IF(C2781="Sell",(L2781*G2781)-I2781, X)),IF(C2781="Buy",(L2781*G2781*100)+I2781,IF(C2781="Sell",(L2781*G2781*100)-I2781, X))))</f>
        <v/>
      </c>
      <c r="N2781" s="78">
        <f>IF(ISBLANK(L2781),"",IF(AND(C2781="Sell",D2781="Stock"),M2781,IF(ISBLANK(L2781),"",IF(C2781="Buy",M2781, IF(AND(C2781="Sell",J2781="NA"),(E2781*G2781*100*0.1)+I2781, IF(C2781="Sell",(J2781-L2781)*(100*G2781)+I2781))))))</f>
        <v/>
      </c>
      <c r="O2781" s="75" t="n"/>
      <c r="P2781" s="75" t="n"/>
      <c r="Q2781" s="75">
        <f>IF(ISBLANK(P2781),"",IF(D2781="Stock",P2781*G2781,IF(P2781=0,"0",G2781*P2781*100-(G2781*$AF$14))))</f>
        <v/>
      </c>
      <c r="R2781" s="79">
        <f>IF(P2781&lt;&gt;"", TODAY(), "")</f>
        <v/>
      </c>
      <c r="S2781" s="78">
        <f>IF(AND(K2781&lt;&gt;"", R2781&lt;&gt;""), R2781-K2781, "")</f>
        <v/>
      </c>
      <c r="T2781" s="78" t="n"/>
      <c r="U2781" s="92">
        <f>IF(ISBLANK(P2781),"",IF(C2781="Buy",Q2781-M2781+T2781, IF(C2781="Sell",M2781-Q2781-T2781, X)))</f>
        <v/>
      </c>
      <c r="V2781" s="81">
        <f>IF(ISBLANK(P2781),"",U2781/N2781)</f>
        <v/>
      </c>
      <c r="W2781" s="81">
        <f>IF(ISBLANK(P2781),"",IF(S2781=0,(365/0.5)*V2781,(365/S2781)*V2781))</f>
        <v/>
      </c>
      <c r="X2781" s="75" t="n"/>
      <c r="Y2781" s="77" t="n"/>
      <c r="Z2781" s="77" t="n"/>
      <c r="AA2781" s="75" t="n"/>
      <c r="AB2781" s="75" t="n"/>
      <c r="AC2781" s="6" t="n"/>
      <c r="AD2781" s="75" t="n"/>
      <c r="AE2781" s="75" t="n"/>
      <c r="AF2781" s="75" t="n"/>
    </row>
    <row r="2782" ht="15.75" customHeight="1" s="133">
      <c r="A2782" s="75" t="n"/>
      <c r="B2782" s="75" t="n"/>
      <c r="C2782" s="75" t="n"/>
      <c r="D2782" s="75" t="n"/>
      <c r="E2782" s="76" t="n"/>
      <c r="F2782" s="77" t="n"/>
      <c r="G2782" s="75" t="n"/>
      <c r="H2782" s="75">
        <f>IF(ISBLANK(E2782),"",IF(OR(D2782="Butterfly",D2782="Butterfly ",D2782="Iron Fly", D2782="Iron Fly "),LEN(E2782)-LEN(SUBSTITUTE(E2782,"/",""))+2,LEN(E2782)-LEN(SUBSTITUTE(E2782,"/",""))+1))</f>
        <v/>
      </c>
      <c r="I2782" s="78">
        <f>IF(ISBLANK(G2782),"",IF(D2782="Stock","0",Key!$A$3*H2782*G2782))</f>
        <v/>
      </c>
      <c r="J2782" s="78">
        <f>IF(ISBLANK(E2782),"",IF(ISNUMBER(SEARCH("/",E2782)), IF(LEN(E2782)-LEN(SUBSTITUTE(E2782,"/",""))=1,(RIGHT(E2782,LEN(E2782)-FIND("/",E2782)))-(LEFT(E2782,FIND("/",E2782)-1)),(MID(E2782, SEARCH("/",E2782) + 1, SEARCH("/",E2782, SEARCH("/",E2782)+1) - SEARCH("/",E2782) - 1))-(LEFT(E2782,FIND("/",E2782)-1))), "NA"))</f>
        <v/>
      </c>
      <c r="K2782" s="79">
        <f>IF(A2782&lt;&gt;"", IF(ISBLANK(L2782), TODAY(), K2782), "")</f>
        <v/>
      </c>
      <c r="L2782" s="78" t="n"/>
      <c r="M2782" s="78">
        <f>IF(ISBLANK(L2782),"",IF(D2782="Stock",IF(C2782="Buy",L2782*G2782,IF(C2782="Sell",(L2782*G2782)-I2782, X)),IF(C2782="Buy",(L2782*G2782*100)+I2782,IF(C2782="Sell",(L2782*G2782*100)-I2782, X))))</f>
        <v/>
      </c>
      <c r="N2782" s="78">
        <f>IF(ISBLANK(L2782),"",IF(AND(C2782="Sell",D2782="Stock"),M2782,IF(ISBLANK(L2782),"",IF(C2782="Buy",M2782, IF(AND(C2782="Sell",J2782="NA"),(E2782*G2782*100*0.1)+I2782, IF(C2782="Sell",(J2782-L2782)*(100*G2782)+I2782))))))</f>
        <v/>
      </c>
      <c r="O2782" s="75" t="n"/>
      <c r="P2782" s="75" t="n"/>
      <c r="Q2782" s="75">
        <f>IF(ISBLANK(P2782),"",IF(D2782="Stock",P2782*G2782,IF(P2782=0,"0",G2782*P2782*100-(G2782*$AF$14))))</f>
        <v/>
      </c>
      <c r="R2782" s="79">
        <f>IF(P2782&lt;&gt;"", TODAY(), "")</f>
        <v/>
      </c>
      <c r="S2782" s="78">
        <f>IF(AND(K2782&lt;&gt;"", R2782&lt;&gt;""), R2782-K2782, "")</f>
        <v/>
      </c>
      <c r="T2782" s="78" t="n"/>
      <c r="U2782" s="92">
        <f>IF(ISBLANK(P2782),"",IF(C2782="Buy",Q2782-M2782+T2782, IF(C2782="Sell",M2782-Q2782-T2782, X)))</f>
        <v/>
      </c>
      <c r="V2782" s="81">
        <f>IF(ISBLANK(P2782),"",U2782/N2782)</f>
        <v/>
      </c>
      <c r="W2782" s="81">
        <f>IF(ISBLANK(P2782),"",IF(S2782=0,(365/0.5)*V2782,(365/S2782)*V2782))</f>
        <v/>
      </c>
      <c r="X2782" s="75" t="n"/>
      <c r="Y2782" s="77" t="n"/>
      <c r="Z2782" s="77" t="n"/>
      <c r="AA2782" s="75" t="n"/>
      <c r="AB2782" s="75" t="n"/>
      <c r="AC2782" s="6" t="n"/>
      <c r="AD2782" s="75" t="n"/>
      <c r="AE2782" s="75" t="n"/>
      <c r="AF2782" s="75" t="n"/>
    </row>
    <row r="2783" ht="15.75" customHeight="1" s="133">
      <c r="A2783" s="75" t="n"/>
      <c r="B2783" s="75" t="n"/>
      <c r="C2783" s="75" t="n"/>
      <c r="D2783" s="75" t="n"/>
      <c r="E2783" s="76" t="n"/>
      <c r="F2783" s="77" t="n"/>
      <c r="G2783" s="75" t="n"/>
      <c r="H2783" s="75">
        <f>IF(ISBLANK(E2783),"",IF(OR(D2783="Butterfly",D2783="Butterfly ",D2783="Iron Fly", D2783="Iron Fly "),LEN(E2783)-LEN(SUBSTITUTE(E2783,"/",""))+2,LEN(E2783)-LEN(SUBSTITUTE(E2783,"/",""))+1))</f>
        <v/>
      </c>
      <c r="I2783" s="78">
        <f>IF(ISBLANK(G2783),"",IF(D2783="Stock","0",Key!$A$3*H2783*G2783))</f>
        <v/>
      </c>
      <c r="J2783" s="78">
        <f>IF(ISBLANK(E2783),"",IF(ISNUMBER(SEARCH("/",E2783)), IF(LEN(E2783)-LEN(SUBSTITUTE(E2783,"/",""))=1,(RIGHT(E2783,LEN(E2783)-FIND("/",E2783)))-(LEFT(E2783,FIND("/",E2783)-1)),(MID(E2783, SEARCH("/",E2783) + 1, SEARCH("/",E2783, SEARCH("/",E2783)+1) - SEARCH("/",E2783) - 1))-(LEFT(E2783,FIND("/",E2783)-1))), "NA"))</f>
        <v/>
      </c>
      <c r="K2783" s="79">
        <f>IF(A2783&lt;&gt;"", IF(ISBLANK(L2783), TODAY(), K2783), "")</f>
        <v/>
      </c>
      <c r="L2783" s="78" t="n"/>
      <c r="M2783" s="78">
        <f>IF(ISBLANK(L2783),"",IF(D2783="Stock",IF(C2783="Buy",L2783*G2783,IF(C2783="Sell",(L2783*G2783)-I2783, X)),IF(C2783="Buy",(L2783*G2783*100)+I2783,IF(C2783="Sell",(L2783*G2783*100)-I2783, X))))</f>
        <v/>
      </c>
      <c r="N2783" s="78">
        <f>IF(ISBLANK(L2783),"",IF(AND(C2783="Sell",D2783="Stock"),M2783,IF(ISBLANK(L2783),"",IF(C2783="Buy",M2783, IF(AND(C2783="Sell",J2783="NA"),(E2783*G2783*100*0.1)+I2783, IF(C2783="Sell",(J2783-L2783)*(100*G2783)+I2783))))))</f>
        <v/>
      </c>
      <c r="O2783" s="75" t="n"/>
      <c r="P2783" s="75" t="n"/>
      <c r="Q2783" s="75">
        <f>IF(ISBLANK(P2783),"",IF(D2783="Stock",P2783*G2783,IF(P2783=0,"0",G2783*P2783*100-(G2783*$AF$14))))</f>
        <v/>
      </c>
      <c r="R2783" s="79">
        <f>IF(P2783&lt;&gt;"", TODAY(), "")</f>
        <v/>
      </c>
      <c r="S2783" s="78">
        <f>IF(AND(K2783&lt;&gt;"", R2783&lt;&gt;""), R2783-K2783, "")</f>
        <v/>
      </c>
      <c r="T2783" s="78" t="n"/>
      <c r="U2783" s="92">
        <f>IF(ISBLANK(P2783),"",IF(C2783="Buy",Q2783-M2783+T2783, IF(C2783="Sell",M2783-Q2783-T2783, X)))</f>
        <v/>
      </c>
      <c r="V2783" s="81">
        <f>IF(ISBLANK(P2783),"",U2783/N2783)</f>
        <v/>
      </c>
      <c r="W2783" s="81">
        <f>IF(ISBLANK(P2783),"",IF(S2783=0,(365/0.5)*V2783,(365/S2783)*V2783))</f>
        <v/>
      </c>
      <c r="X2783" s="75" t="n"/>
      <c r="Y2783" s="77" t="n"/>
      <c r="Z2783" s="77" t="n"/>
      <c r="AA2783" s="75" t="n"/>
      <c r="AB2783" s="75" t="n"/>
      <c r="AC2783" s="6" t="n"/>
      <c r="AD2783" s="75" t="n"/>
      <c r="AE2783" s="75" t="n"/>
      <c r="AF2783" s="75" t="n"/>
    </row>
    <row r="2784" ht="15.75" customHeight="1" s="133">
      <c r="A2784" s="75" t="n"/>
      <c r="B2784" s="75" t="n"/>
      <c r="C2784" s="75" t="n"/>
      <c r="D2784" s="75" t="n"/>
      <c r="E2784" s="76" t="n"/>
      <c r="F2784" s="77" t="n"/>
      <c r="G2784" s="75" t="n"/>
      <c r="H2784" s="75">
        <f>IF(ISBLANK(E2784),"",IF(OR(D2784="Butterfly",D2784="Butterfly ",D2784="Iron Fly", D2784="Iron Fly "),LEN(E2784)-LEN(SUBSTITUTE(E2784,"/",""))+2,LEN(E2784)-LEN(SUBSTITUTE(E2784,"/",""))+1))</f>
        <v/>
      </c>
      <c r="I2784" s="78">
        <f>IF(ISBLANK(G2784),"",IF(D2784="Stock","0",Key!$A$3*H2784*G2784))</f>
        <v/>
      </c>
      <c r="J2784" s="78">
        <f>IF(ISBLANK(E2784),"",IF(ISNUMBER(SEARCH("/",E2784)), IF(LEN(E2784)-LEN(SUBSTITUTE(E2784,"/",""))=1,(RIGHT(E2784,LEN(E2784)-FIND("/",E2784)))-(LEFT(E2784,FIND("/",E2784)-1)),(MID(E2784, SEARCH("/",E2784) + 1, SEARCH("/",E2784, SEARCH("/",E2784)+1) - SEARCH("/",E2784) - 1))-(LEFT(E2784,FIND("/",E2784)-1))), "NA"))</f>
        <v/>
      </c>
      <c r="K2784" s="79">
        <f>IF(A2784&lt;&gt;"", IF(ISBLANK(L2784), TODAY(), K2784), "")</f>
        <v/>
      </c>
      <c r="L2784" s="78" t="n"/>
      <c r="M2784" s="78">
        <f>IF(ISBLANK(L2784),"",IF(D2784="Stock",IF(C2784="Buy",L2784*G2784,IF(C2784="Sell",(L2784*G2784)-I2784, X)),IF(C2784="Buy",(L2784*G2784*100)+I2784,IF(C2784="Sell",(L2784*G2784*100)-I2784, X))))</f>
        <v/>
      </c>
      <c r="N2784" s="78">
        <f>IF(ISBLANK(L2784),"",IF(AND(C2784="Sell",D2784="Stock"),M2784,IF(ISBLANK(L2784),"",IF(C2784="Buy",M2784, IF(AND(C2784="Sell",J2784="NA"),(E2784*G2784*100*0.1)+I2784, IF(C2784="Sell",(J2784-L2784)*(100*G2784)+I2784))))))</f>
        <v/>
      </c>
      <c r="O2784" s="75" t="n"/>
      <c r="P2784" s="75" t="n"/>
      <c r="Q2784" s="75">
        <f>IF(ISBLANK(P2784),"",IF(D2784="Stock",P2784*G2784,IF(P2784=0,"0",G2784*P2784*100-(G2784*$AF$14))))</f>
        <v/>
      </c>
      <c r="R2784" s="79">
        <f>IF(P2784&lt;&gt;"", TODAY(), "")</f>
        <v/>
      </c>
      <c r="S2784" s="78">
        <f>IF(AND(K2784&lt;&gt;"", R2784&lt;&gt;""), R2784-K2784, "")</f>
        <v/>
      </c>
      <c r="T2784" s="78" t="n"/>
      <c r="U2784" s="92">
        <f>IF(ISBLANK(P2784),"",IF(C2784="Buy",Q2784-M2784+T2784, IF(C2784="Sell",M2784-Q2784-T2784, X)))</f>
        <v/>
      </c>
      <c r="V2784" s="81">
        <f>IF(ISBLANK(P2784),"",U2784/N2784)</f>
        <v/>
      </c>
      <c r="W2784" s="81">
        <f>IF(ISBLANK(P2784),"",IF(S2784=0,(365/0.5)*V2784,(365/S2784)*V2784))</f>
        <v/>
      </c>
      <c r="X2784" s="75" t="n"/>
      <c r="Y2784" s="77" t="n"/>
      <c r="Z2784" s="77" t="n"/>
      <c r="AA2784" s="75" t="n"/>
      <c r="AB2784" s="75" t="n"/>
      <c r="AC2784" s="6" t="n"/>
      <c r="AD2784" s="75" t="n"/>
      <c r="AE2784" s="75" t="n"/>
      <c r="AF2784" s="75" t="n"/>
    </row>
    <row r="2785" ht="15.75" customHeight="1" s="133">
      <c r="A2785" s="75" t="n"/>
      <c r="B2785" s="75" t="n"/>
      <c r="C2785" s="75" t="n"/>
      <c r="D2785" s="75" t="n"/>
      <c r="E2785" s="76" t="n"/>
      <c r="F2785" s="77" t="n"/>
      <c r="G2785" s="75" t="n"/>
      <c r="H2785" s="75">
        <f>IF(ISBLANK(E2785),"",IF(OR(D2785="Butterfly",D2785="Butterfly ",D2785="Iron Fly", D2785="Iron Fly "),LEN(E2785)-LEN(SUBSTITUTE(E2785,"/",""))+2,LEN(E2785)-LEN(SUBSTITUTE(E2785,"/",""))+1))</f>
        <v/>
      </c>
      <c r="I2785" s="78">
        <f>IF(ISBLANK(G2785),"",IF(D2785="Stock","0",Key!$A$3*H2785*G2785))</f>
        <v/>
      </c>
      <c r="J2785" s="78">
        <f>IF(ISBLANK(E2785),"",IF(ISNUMBER(SEARCH("/",E2785)), IF(LEN(E2785)-LEN(SUBSTITUTE(E2785,"/",""))=1,(RIGHT(E2785,LEN(E2785)-FIND("/",E2785)))-(LEFT(E2785,FIND("/",E2785)-1)),(MID(E2785, SEARCH("/",E2785) + 1, SEARCH("/",E2785, SEARCH("/",E2785)+1) - SEARCH("/",E2785) - 1))-(LEFT(E2785,FIND("/",E2785)-1))), "NA"))</f>
        <v/>
      </c>
      <c r="K2785" s="79">
        <f>IF(A2785&lt;&gt;"", IF(ISBLANK(L2785), TODAY(), K2785), "")</f>
        <v/>
      </c>
      <c r="L2785" s="78" t="n"/>
      <c r="M2785" s="78">
        <f>IF(ISBLANK(L2785),"",IF(D2785="Stock",IF(C2785="Buy",L2785*G2785,IF(C2785="Sell",(L2785*G2785)-I2785, X)),IF(C2785="Buy",(L2785*G2785*100)+I2785,IF(C2785="Sell",(L2785*G2785*100)-I2785, X))))</f>
        <v/>
      </c>
      <c r="N2785" s="78">
        <f>IF(ISBLANK(L2785),"",IF(AND(C2785="Sell",D2785="Stock"),M2785,IF(ISBLANK(L2785),"",IF(C2785="Buy",M2785, IF(AND(C2785="Sell",J2785="NA"),(E2785*G2785*100*0.1)+I2785, IF(C2785="Sell",(J2785-L2785)*(100*G2785)+I2785))))))</f>
        <v/>
      </c>
      <c r="O2785" s="75" t="n"/>
      <c r="P2785" s="75" t="n"/>
      <c r="Q2785" s="75">
        <f>IF(ISBLANK(P2785),"",IF(D2785="Stock",P2785*G2785,IF(P2785=0,"0",G2785*P2785*100-(G2785*$AF$14))))</f>
        <v/>
      </c>
      <c r="R2785" s="79">
        <f>IF(P2785&lt;&gt;"", TODAY(), "")</f>
        <v/>
      </c>
      <c r="S2785" s="78">
        <f>IF(AND(K2785&lt;&gt;"", R2785&lt;&gt;""), R2785-K2785, "")</f>
        <v/>
      </c>
      <c r="T2785" s="78" t="n"/>
      <c r="U2785" s="92">
        <f>IF(ISBLANK(P2785),"",IF(C2785="Buy",Q2785-M2785+T2785, IF(C2785="Sell",M2785-Q2785-T2785, X)))</f>
        <v/>
      </c>
      <c r="V2785" s="81">
        <f>IF(ISBLANK(P2785),"",U2785/N2785)</f>
        <v/>
      </c>
      <c r="W2785" s="81">
        <f>IF(ISBLANK(P2785),"",IF(S2785=0,(365/0.5)*V2785,(365/S2785)*V2785))</f>
        <v/>
      </c>
      <c r="X2785" s="75" t="n"/>
      <c r="Y2785" s="77" t="n"/>
      <c r="Z2785" s="77" t="n"/>
      <c r="AA2785" s="75" t="n"/>
      <c r="AB2785" s="75" t="n"/>
      <c r="AC2785" s="6" t="n"/>
      <c r="AD2785" s="75" t="n"/>
      <c r="AE2785" s="75" t="n"/>
      <c r="AF2785" s="75" t="n"/>
    </row>
    <row r="2786" ht="15.75" customHeight="1" s="133">
      <c r="A2786" s="75" t="n"/>
      <c r="B2786" s="75" t="n"/>
      <c r="C2786" s="75" t="n"/>
      <c r="D2786" s="75" t="n"/>
      <c r="E2786" s="76" t="n"/>
      <c r="F2786" s="77" t="n"/>
      <c r="G2786" s="75" t="n"/>
      <c r="H2786" s="75">
        <f>IF(ISBLANK(E2786),"",IF(OR(D2786="Butterfly",D2786="Butterfly ",D2786="Iron Fly", D2786="Iron Fly "),LEN(E2786)-LEN(SUBSTITUTE(E2786,"/",""))+2,LEN(E2786)-LEN(SUBSTITUTE(E2786,"/",""))+1))</f>
        <v/>
      </c>
      <c r="I2786" s="78">
        <f>IF(ISBLANK(G2786),"",IF(D2786="Stock","0",Key!$A$3*H2786*G2786))</f>
        <v/>
      </c>
      <c r="J2786" s="78">
        <f>IF(ISBLANK(E2786),"",IF(ISNUMBER(SEARCH("/",E2786)), IF(LEN(E2786)-LEN(SUBSTITUTE(E2786,"/",""))=1,(RIGHT(E2786,LEN(E2786)-FIND("/",E2786)))-(LEFT(E2786,FIND("/",E2786)-1)),(MID(E2786, SEARCH("/",E2786) + 1, SEARCH("/",E2786, SEARCH("/",E2786)+1) - SEARCH("/",E2786) - 1))-(LEFT(E2786,FIND("/",E2786)-1))), "NA"))</f>
        <v/>
      </c>
      <c r="K2786" s="79">
        <f>IF(A2786&lt;&gt;"", IF(ISBLANK(L2786), TODAY(), K2786), "")</f>
        <v/>
      </c>
      <c r="L2786" s="78" t="n"/>
      <c r="M2786" s="78">
        <f>IF(ISBLANK(L2786),"",IF(D2786="Stock",IF(C2786="Buy",L2786*G2786,IF(C2786="Sell",(L2786*G2786)-I2786, X)),IF(C2786="Buy",(L2786*G2786*100)+I2786,IF(C2786="Sell",(L2786*G2786*100)-I2786, X))))</f>
        <v/>
      </c>
      <c r="N2786" s="78">
        <f>IF(ISBLANK(L2786),"",IF(AND(C2786="Sell",D2786="Stock"),M2786,IF(ISBLANK(L2786),"",IF(C2786="Buy",M2786, IF(AND(C2786="Sell",J2786="NA"),(E2786*G2786*100*0.1)+I2786, IF(C2786="Sell",(J2786-L2786)*(100*G2786)+I2786))))))</f>
        <v/>
      </c>
      <c r="O2786" s="75" t="n"/>
      <c r="P2786" s="75" t="n"/>
      <c r="Q2786" s="75">
        <f>IF(ISBLANK(P2786),"",IF(D2786="Stock",P2786*G2786,IF(P2786=0,"0",G2786*P2786*100-(G2786*$AF$14))))</f>
        <v/>
      </c>
      <c r="R2786" s="79">
        <f>IF(P2786&lt;&gt;"", TODAY(), "")</f>
        <v/>
      </c>
      <c r="S2786" s="78">
        <f>IF(AND(K2786&lt;&gt;"", R2786&lt;&gt;""), R2786-K2786, "")</f>
        <v/>
      </c>
      <c r="T2786" s="78" t="n"/>
      <c r="U2786" s="92">
        <f>IF(ISBLANK(P2786),"",IF(C2786="Buy",Q2786-M2786+T2786, IF(C2786="Sell",M2786-Q2786-T2786, X)))</f>
        <v/>
      </c>
      <c r="V2786" s="81">
        <f>IF(ISBLANK(P2786),"",U2786/N2786)</f>
        <v/>
      </c>
      <c r="W2786" s="81">
        <f>IF(ISBLANK(P2786),"",IF(S2786=0,(365/0.5)*V2786,(365/S2786)*V2786))</f>
        <v/>
      </c>
      <c r="X2786" s="75" t="n"/>
      <c r="Y2786" s="77" t="n"/>
      <c r="Z2786" s="77" t="n"/>
      <c r="AA2786" s="75" t="n"/>
      <c r="AB2786" s="75" t="n"/>
      <c r="AC2786" s="6" t="n"/>
      <c r="AD2786" s="75" t="n"/>
      <c r="AE2786" s="75" t="n"/>
      <c r="AF2786" s="75" t="n"/>
    </row>
    <row r="2787" ht="15.75" customHeight="1" s="133">
      <c r="A2787" s="75" t="n"/>
      <c r="B2787" s="75" t="n"/>
      <c r="C2787" s="75" t="n"/>
      <c r="D2787" s="75" t="n"/>
      <c r="E2787" s="76" t="n"/>
      <c r="F2787" s="77" t="n"/>
      <c r="G2787" s="75" t="n"/>
      <c r="H2787" s="75">
        <f>IF(ISBLANK(E2787),"",IF(OR(D2787="Butterfly",D2787="Butterfly ",D2787="Iron Fly", D2787="Iron Fly "),LEN(E2787)-LEN(SUBSTITUTE(E2787,"/",""))+2,LEN(E2787)-LEN(SUBSTITUTE(E2787,"/",""))+1))</f>
        <v/>
      </c>
      <c r="I2787" s="78">
        <f>IF(ISBLANK(G2787),"",IF(D2787="Stock","0",Key!$A$3*H2787*G2787))</f>
        <v/>
      </c>
      <c r="J2787" s="78">
        <f>IF(ISBLANK(E2787),"",IF(ISNUMBER(SEARCH("/",E2787)), IF(LEN(E2787)-LEN(SUBSTITUTE(E2787,"/",""))=1,(RIGHT(E2787,LEN(E2787)-FIND("/",E2787)))-(LEFT(E2787,FIND("/",E2787)-1)),(MID(E2787, SEARCH("/",E2787) + 1, SEARCH("/",E2787, SEARCH("/",E2787)+1) - SEARCH("/",E2787) - 1))-(LEFT(E2787,FIND("/",E2787)-1))), "NA"))</f>
        <v/>
      </c>
      <c r="K2787" s="79">
        <f>IF(A2787&lt;&gt;"", IF(ISBLANK(L2787), TODAY(), K2787), "")</f>
        <v/>
      </c>
      <c r="L2787" s="78" t="n"/>
      <c r="M2787" s="78">
        <f>IF(ISBLANK(L2787),"",IF(D2787="Stock",IF(C2787="Buy",L2787*G2787,IF(C2787="Sell",(L2787*G2787)-I2787, X)),IF(C2787="Buy",(L2787*G2787*100)+I2787,IF(C2787="Sell",(L2787*G2787*100)-I2787, X))))</f>
        <v/>
      </c>
      <c r="N2787" s="78">
        <f>IF(ISBLANK(L2787),"",IF(AND(C2787="Sell",D2787="Stock"),M2787,IF(ISBLANK(L2787),"",IF(C2787="Buy",M2787, IF(AND(C2787="Sell",J2787="NA"),(E2787*G2787*100*0.1)+I2787, IF(C2787="Sell",(J2787-L2787)*(100*G2787)+I2787))))))</f>
        <v/>
      </c>
      <c r="O2787" s="75" t="n"/>
      <c r="P2787" s="75" t="n"/>
      <c r="Q2787" s="75">
        <f>IF(ISBLANK(P2787),"",IF(D2787="Stock",P2787*G2787,IF(P2787=0,"0",G2787*P2787*100-(G2787*$AF$14))))</f>
        <v/>
      </c>
      <c r="R2787" s="79">
        <f>IF(P2787&lt;&gt;"", TODAY(), "")</f>
        <v/>
      </c>
      <c r="S2787" s="78">
        <f>IF(AND(K2787&lt;&gt;"", R2787&lt;&gt;""), R2787-K2787, "")</f>
        <v/>
      </c>
      <c r="T2787" s="78" t="n"/>
      <c r="U2787" s="92">
        <f>IF(ISBLANK(P2787),"",IF(C2787="Buy",Q2787-M2787+T2787, IF(C2787="Sell",M2787-Q2787-T2787, X)))</f>
        <v/>
      </c>
      <c r="V2787" s="81">
        <f>IF(ISBLANK(P2787),"",U2787/N2787)</f>
        <v/>
      </c>
      <c r="W2787" s="81">
        <f>IF(ISBLANK(P2787),"",IF(S2787=0,(365/0.5)*V2787,(365/S2787)*V2787))</f>
        <v/>
      </c>
      <c r="X2787" s="75" t="n"/>
      <c r="Y2787" s="77" t="n"/>
      <c r="Z2787" s="77" t="n"/>
      <c r="AA2787" s="75" t="n"/>
      <c r="AB2787" s="75" t="n"/>
      <c r="AC2787" s="6" t="n"/>
      <c r="AD2787" s="75" t="n"/>
      <c r="AE2787" s="75" t="n"/>
      <c r="AF2787" s="75" t="n"/>
    </row>
    <row r="2788" ht="15.75" customHeight="1" s="133">
      <c r="A2788" s="75" t="n"/>
      <c r="B2788" s="75" t="n"/>
      <c r="C2788" s="75" t="n"/>
      <c r="D2788" s="75" t="n"/>
      <c r="E2788" s="76" t="n"/>
      <c r="F2788" s="77" t="n"/>
      <c r="G2788" s="75" t="n"/>
      <c r="H2788" s="75">
        <f>IF(ISBLANK(E2788),"",IF(OR(D2788="Butterfly",D2788="Butterfly ",D2788="Iron Fly", D2788="Iron Fly "),LEN(E2788)-LEN(SUBSTITUTE(E2788,"/",""))+2,LEN(E2788)-LEN(SUBSTITUTE(E2788,"/",""))+1))</f>
        <v/>
      </c>
      <c r="I2788" s="78">
        <f>IF(ISBLANK(G2788),"",IF(D2788="Stock","0",Key!$A$3*H2788*G2788))</f>
        <v/>
      </c>
      <c r="J2788" s="78">
        <f>IF(ISBLANK(E2788),"",IF(ISNUMBER(SEARCH("/",E2788)), IF(LEN(E2788)-LEN(SUBSTITUTE(E2788,"/",""))=1,(RIGHT(E2788,LEN(E2788)-FIND("/",E2788)))-(LEFT(E2788,FIND("/",E2788)-1)),(MID(E2788, SEARCH("/",E2788) + 1, SEARCH("/",E2788, SEARCH("/",E2788)+1) - SEARCH("/",E2788) - 1))-(LEFT(E2788,FIND("/",E2788)-1))), "NA"))</f>
        <v/>
      </c>
      <c r="K2788" s="79">
        <f>IF(A2788&lt;&gt;"", IF(ISBLANK(L2788), TODAY(), K2788), "")</f>
        <v/>
      </c>
      <c r="L2788" s="78" t="n"/>
      <c r="M2788" s="78">
        <f>IF(ISBLANK(L2788),"",IF(D2788="Stock",IF(C2788="Buy",L2788*G2788,IF(C2788="Sell",(L2788*G2788)-I2788, X)),IF(C2788="Buy",(L2788*G2788*100)+I2788,IF(C2788="Sell",(L2788*G2788*100)-I2788, X))))</f>
        <v/>
      </c>
      <c r="N2788" s="78">
        <f>IF(ISBLANK(L2788),"",IF(AND(C2788="Sell",D2788="Stock"),M2788,IF(ISBLANK(L2788),"",IF(C2788="Buy",M2788, IF(AND(C2788="Sell",J2788="NA"),(E2788*G2788*100*0.1)+I2788, IF(C2788="Sell",(J2788-L2788)*(100*G2788)+I2788))))))</f>
        <v/>
      </c>
      <c r="O2788" s="75" t="n"/>
      <c r="P2788" s="75" t="n"/>
      <c r="Q2788" s="75">
        <f>IF(ISBLANK(P2788),"",IF(D2788="Stock",P2788*G2788,IF(P2788=0,"0",G2788*P2788*100-(G2788*$AF$14))))</f>
        <v/>
      </c>
      <c r="R2788" s="79">
        <f>IF(P2788&lt;&gt;"", TODAY(), "")</f>
        <v/>
      </c>
      <c r="S2788" s="78">
        <f>IF(AND(K2788&lt;&gt;"", R2788&lt;&gt;""), R2788-K2788, "")</f>
        <v/>
      </c>
      <c r="T2788" s="78" t="n"/>
      <c r="U2788" s="92">
        <f>IF(ISBLANK(P2788),"",IF(C2788="Buy",Q2788-M2788+T2788, IF(C2788="Sell",M2788-Q2788-T2788, X)))</f>
        <v/>
      </c>
      <c r="V2788" s="81">
        <f>IF(ISBLANK(P2788),"",U2788/N2788)</f>
        <v/>
      </c>
      <c r="W2788" s="81">
        <f>IF(ISBLANK(P2788),"",IF(S2788=0,(365/0.5)*V2788,(365/S2788)*V2788))</f>
        <v/>
      </c>
      <c r="X2788" s="75" t="n"/>
      <c r="Y2788" s="77" t="n"/>
      <c r="Z2788" s="77" t="n"/>
      <c r="AA2788" s="75" t="n"/>
      <c r="AB2788" s="75" t="n"/>
      <c r="AC2788" s="6" t="n"/>
      <c r="AD2788" s="75" t="n"/>
      <c r="AE2788" s="75" t="n"/>
      <c r="AF2788" s="75" t="n"/>
    </row>
    <row r="2789" ht="15.75" customHeight="1" s="133">
      <c r="A2789" s="75" t="n"/>
      <c r="B2789" s="75" t="n"/>
      <c r="C2789" s="75" t="n"/>
      <c r="D2789" s="75" t="n"/>
      <c r="E2789" s="76" t="n"/>
      <c r="F2789" s="77" t="n"/>
      <c r="G2789" s="75" t="n"/>
      <c r="H2789" s="75">
        <f>IF(ISBLANK(E2789),"",IF(OR(D2789="Butterfly",D2789="Butterfly ",D2789="Iron Fly", D2789="Iron Fly "),LEN(E2789)-LEN(SUBSTITUTE(E2789,"/",""))+2,LEN(E2789)-LEN(SUBSTITUTE(E2789,"/",""))+1))</f>
        <v/>
      </c>
      <c r="I2789" s="78">
        <f>IF(ISBLANK(G2789),"",IF(D2789="Stock","0",Key!$A$3*H2789*G2789))</f>
        <v/>
      </c>
      <c r="J2789" s="78">
        <f>IF(ISBLANK(E2789),"",IF(ISNUMBER(SEARCH("/",E2789)), IF(LEN(E2789)-LEN(SUBSTITUTE(E2789,"/",""))=1,(RIGHT(E2789,LEN(E2789)-FIND("/",E2789)))-(LEFT(E2789,FIND("/",E2789)-1)),(MID(E2789, SEARCH("/",E2789) + 1, SEARCH("/",E2789, SEARCH("/",E2789)+1) - SEARCH("/",E2789) - 1))-(LEFT(E2789,FIND("/",E2789)-1))), "NA"))</f>
        <v/>
      </c>
      <c r="K2789" s="79">
        <f>IF(A2789&lt;&gt;"", IF(ISBLANK(L2789), TODAY(), K2789), "")</f>
        <v/>
      </c>
      <c r="L2789" s="78" t="n"/>
      <c r="M2789" s="78">
        <f>IF(ISBLANK(L2789),"",IF(D2789="Stock",IF(C2789="Buy",L2789*G2789,IF(C2789="Sell",(L2789*G2789)-I2789, X)),IF(C2789="Buy",(L2789*G2789*100)+I2789,IF(C2789="Sell",(L2789*G2789*100)-I2789, X))))</f>
        <v/>
      </c>
      <c r="N2789" s="78">
        <f>IF(ISBLANK(L2789),"",IF(AND(C2789="Sell",D2789="Stock"),M2789,IF(ISBLANK(L2789),"",IF(C2789="Buy",M2789, IF(AND(C2789="Sell",J2789="NA"),(E2789*G2789*100*0.1)+I2789, IF(C2789="Sell",(J2789-L2789)*(100*G2789)+I2789))))))</f>
        <v/>
      </c>
      <c r="O2789" s="75" t="n"/>
      <c r="P2789" s="75" t="n"/>
      <c r="Q2789" s="75">
        <f>IF(ISBLANK(P2789),"",IF(D2789="Stock",P2789*G2789,IF(P2789=0,"0",G2789*P2789*100-(G2789*$AF$14))))</f>
        <v/>
      </c>
      <c r="R2789" s="79">
        <f>IF(P2789&lt;&gt;"", TODAY(), "")</f>
        <v/>
      </c>
      <c r="S2789" s="78">
        <f>IF(AND(K2789&lt;&gt;"", R2789&lt;&gt;""), R2789-K2789, "")</f>
        <v/>
      </c>
      <c r="T2789" s="78" t="n"/>
      <c r="U2789" s="92">
        <f>IF(ISBLANK(P2789),"",IF(C2789="Buy",Q2789-M2789+T2789, IF(C2789="Sell",M2789-Q2789-T2789, X)))</f>
        <v/>
      </c>
      <c r="V2789" s="81">
        <f>IF(ISBLANK(P2789),"",U2789/N2789)</f>
        <v/>
      </c>
      <c r="W2789" s="81">
        <f>IF(ISBLANK(P2789),"",IF(S2789=0,(365/0.5)*V2789,(365/S2789)*V2789))</f>
        <v/>
      </c>
      <c r="X2789" s="75" t="n"/>
      <c r="Y2789" s="77" t="n"/>
      <c r="Z2789" s="77" t="n"/>
      <c r="AA2789" s="75" t="n"/>
      <c r="AB2789" s="75" t="n"/>
      <c r="AC2789" s="6" t="n"/>
      <c r="AD2789" s="75" t="n"/>
      <c r="AE2789" s="75" t="n"/>
      <c r="AF2789" s="75" t="n"/>
    </row>
    <row r="2790" ht="15.75" customHeight="1" s="133">
      <c r="A2790" s="75" t="n"/>
      <c r="B2790" s="75" t="n"/>
      <c r="C2790" s="75" t="n"/>
      <c r="D2790" s="75" t="n"/>
      <c r="E2790" s="76" t="n"/>
      <c r="F2790" s="77" t="n"/>
      <c r="G2790" s="75" t="n"/>
      <c r="H2790" s="75">
        <f>IF(ISBLANK(E2790),"",IF(OR(D2790="Butterfly",D2790="Butterfly ",D2790="Iron Fly", D2790="Iron Fly "),LEN(E2790)-LEN(SUBSTITUTE(E2790,"/",""))+2,LEN(E2790)-LEN(SUBSTITUTE(E2790,"/",""))+1))</f>
        <v/>
      </c>
      <c r="I2790" s="78">
        <f>IF(ISBLANK(G2790),"",IF(D2790="Stock","0",Key!$A$3*H2790*G2790))</f>
        <v/>
      </c>
      <c r="J2790" s="78">
        <f>IF(ISBLANK(E2790),"",IF(ISNUMBER(SEARCH("/",E2790)), IF(LEN(E2790)-LEN(SUBSTITUTE(E2790,"/",""))=1,(RIGHT(E2790,LEN(E2790)-FIND("/",E2790)))-(LEFT(E2790,FIND("/",E2790)-1)),(MID(E2790, SEARCH("/",E2790) + 1, SEARCH("/",E2790, SEARCH("/",E2790)+1) - SEARCH("/",E2790) - 1))-(LEFT(E2790,FIND("/",E2790)-1))), "NA"))</f>
        <v/>
      </c>
      <c r="K2790" s="79">
        <f>IF(A2790&lt;&gt;"", IF(ISBLANK(L2790), TODAY(), K2790), "")</f>
        <v/>
      </c>
      <c r="L2790" s="78" t="n"/>
      <c r="M2790" s="78">
        <f>IF(ISBLANK(L2790),"",IF(D2790="Stock",IF(C2790="Buy",L2790*G2790,IF(C2790="Sell",(L2790*G2790)-I2790, X)),IF(C2790="Buy",(L2790*G2790*100)+I2790,IF(C2790="Sell",(L2790*G2790*100)-I2790, X))))</f>
        <v/>
      </c>
      <c r="N2790" s="78">
        <f>IF(ISBLANK(L2790),"",IF(AND(C2790="Sell",D2790="Stock"),M2790,IF(ISBLANK(L2790),"",IF(C2790="Buy",M2790, IF(AND(C2790="Sell",J2790="NA"),(E2790*G2790*100*0.1)+I2790, IF(C2790="Sell",(J2790-L2790)*(100*G2790)+I2790))))))</f>
        <v/>
      </c>
      <c r="O2790" s="75" t="n"/>
      <c r="P2790" s="75" t="n"/>
      <c r="Q2790" s="75">
        <f>IF(ISBLANK(P2790),"",IF(D2790="Stock",P2790*G2790,IF(P2790=0,"0",G2790*P2790*100-(G2790*$AF$14))))</f>
        <v/>
      </c>
      <c r="R2790" s="79">
        <f>IF(P2790&lt;&gt;"", TODAY(), "")</f>
        <v/>
      </c>
      <c r="S2790" s="78">
        <f>IF(AND(K2790&lt;&gt;"", R2790&lt;&gt;""), R2790-K2790, "")</f>
        <v/>
      </c>
      <c r="T2790" s="78" t="n"/>
      <c r="U2790" s="92">
        <f>IF(ISBLANK(P2790),"",IF(C2790="Buy",Q2790-M2790+T2790, IF(C2790="Sell",M2790-Q2790-T2790, X)))</f>
        <v/>
      </c>
      <c r="V2790" s="81">
        <f>IF(ISBLANK(P2790),"",U2790/N2790)</f>
        <v/>
      </c>
      <c r="W2790" s="81">
        <f>IF(ISBLANK(P2790),"",IF(S2790=0,(365/0.5)*V2790,(365/S2790)*V2790))</f>
        <v/>
      </c>
      <c r="X2790" s="75" t="n"/>
      <c r="Y2790" s="77" t="n"/>
      <c r="Z2790" s="77" t="n"/>
      <c r="AA2790" s="75" t="n"/>
      <c r="AB2790" s="75" t="n"/>
      <c r="AC2790" s="6" t="n"/>
      <c r="AD2790" s="75" t="n"/>
      <c r="AE2790" s="75" t="n"/>
      <c r="AF2790" s="75" t="n"/>
    </row>
    <row r="2791" ht="15.75" customHeight="1" s="133">
      <c r="A2791" s="75" t="n"/>
      <c r="B2791" s="75" t="n"/>
      <c r="C2791" s="75" t="n"/>
      <c r="D2791" s="75" t="n"/>
      <c r="E2791" s="76" t="n"/>
      <c r="F2791" s="77" t="n"/>
      <c r="G2791" s="75" t="n"/>
      <c r="H2791" s="75">
        <f>IF(ISBLANK(E2791),"",IF(OR(D2791="Butterfly",D2791="Butterfly ",D2791="Iron Fly", D2791="Iron Fly "),LEN(E2791)-LEN(SUBSTITUTE(E2791,"/",""))+2,LEN(E2791)-LEN(SUBSTITUTE(E2791,"/",""))+1))</f>
        <v/>
      </c>
      <c r="I2791" s="78">
        <f>IF(ISBLANK(G2791),"",IF(D2791="Stock","0",Key!$A$3*H2791*G2791))</f>
        <v/>
      </c>
      <c r="J2791" s="78">
        <f>IF(ISBLANK(E2791),"",IF(ISNUMBER(SEARCH("/",E2791)), IF(LEN(E2791)-LEN(SUBSTITUTE(E2791,"/",""))=1,(RIGHT(E2791,LEN(E2791)-FIND("/",E2791)))-(LEFT(E2791,FIND("/",E2791)-1)),(MID(E2791, SEARCH("/",E2791) + 1, SEARCH("/",E2791, SEARCH("/",E2791)+1) - SEARCH("/",E2791) - 1))-(LEFT(E2791,FIND("/",E2791)-1))), "NA"))</f>
        <v/>
      </c>
      <c r="K2791" s="79">
        <f>IF(A2791&lt;&gt;"", IF(ISBLANK(L2791), TODAY(), K2791), "")</f>
        <v/>
      </c>
      <c r="L2791" s="78" t="n"/>
      <c r="M2791" s="78">
        <f>IF(ISBLANK(L2791),"",IF(D2791="Stock",IF(C2791="Buy",L2791*G2791,IF(C2791="Sell",(L2791*G2791)-I2791, X)),IF(C2791="Buy",(L2791*G2791*100)+I2791,IF(C2791="Sell",(L2791*G2791*100)-I2791, X))))</f>
        <v/>
      </c>
      <c r="N2791" s="78">
        <f>IF(ISBLANK(L2791),"",IF(AND(C2791="Sell",D2791="Stock"),M2791,IF(ISBLANK(L2791),"",IF(C2791="Buy",M2791, IF(AND(C2791="Sell",J2791="NA"),(E2791*G2791*100*0.1)+I2791, IF(C2791="Sell",(J2791-L2791)*(100*G2791)+I2791))))))</f>
        <v/>
      </c>
      <c r="O2791" s="75" t="n"/>
      <c r="P2791" s="75" t="n"/>
      <c r="Q2791" s="75">
        <f>IF(ISBLANK(P2791),"",IF(D2791="Stock",P2791*G2791,IF(P2791=0,"0",G2791*P2791*100-(G2791*$AF$14))))</f>
        <v/>
      </c>
      <c r="R2791" s="79">
        <f>IF(P2791&lt;&gt;"", TODAY(), "")</f>
        <v/>
      </c>
      <c r="S2791" s="78">
        <f>IF(AND(K2791&lt;&gt;"", R2791&lt;&gt;""), R2791-K2791, "")</f>
        <v/>
      </c>
      <c r="T2791" s="78" t="n"/>
      <c r="U2791" s="92">
        <f>IF(ISBLANK(P2791),"",IF(C2791="Buy",Q2791-M2791+T2791, IF(C2791="Sell",M2791-Q2791-T2791, X)))</f>
        <v/>
      </c>
      <c r="V2791" s="81">
        <f>IF(ISBLANK(P2791),"",U2791/N2791)</f>
        <v/>
      </c>
      <c r="W2791" s="81">
        <f>IF(ISBLANK(P2791),"",IF(S2791=0,(365/0.5)*V2791,(365/S2791)*V2791))</f>
        <v/>
      </c>
      <c r="X2791" s="75" t="n"/>
      <c r="Y2791" s="77" t="n"/>
      <c r="Z2791" s="77" t="n"/>
      <c r="AA2791" s="75" t="n"/>
      <c r="AB2791" s="75" t="n"/>
      <c r="AC2791" s="6" t="n"/>
      <c r="AD2791" s="75" t="n"/>
      <c r="AE2791" s="75" t="n"/>
      <c r="AF2791" s="75" t="n"/>
    </row>
    <row r="2792" ht="15.75" customHeight="1" s="133">
      <c r="A2792" s="75" t="n"/>
      <c r="B2792" s="75" t="n"/>
      <c r="C2792" s="75" t="n"/>
      <c r="D2792" s="75" t="n"/>
      <c r="E2792" s="76" t="n"/>
      <c r="F2792" s="77" t="n"/>
      <c r="G2792" s="75" t="n"/>
      <c r="H2792" s="75">
        <f>IF(ISBLANK(E2792),"",IF(OR(D2792="Butterfly",D2792="Butterfly ",D2792="Iron Fly", D2792="Iron Fly "),LEN(E2792)-LEN(SUBSTITUTE(E2792,"/",""))+2,LEN(E2792)-LEN(SUBSTITUTE(E2792,"/",""))+1))</f>
        <v/>
      </c>
      <c r="I2792" s="78">
        <f>IF(ISBLANK(G2792),"",IF(D2792="Stock","0",Key!$A$3*H2792*G2792))</f>
        <v/>
      </c>
      <c r="J2792" s="78">
        <f>IF(ISBLANK(E2792),"",IF(ISNUMBER(SEARCH("/",E2792)), IF(LEN(E2792)-LEN(SUBSTITUTE(E2792,"/",""))=1,(RIGHT(E2792,LEN(E2792)-FIND("/",E2792)))-(LEFT(E2792,FIND("/",E2792)-1)),(MID(E2792, SEARCH("/",E2792) + 1, SEARCH("/",E2792, SEARCH("/",E2792)+1) - SEARCH("/",E2792) - 1))-(LEFT(E2792,FIND("/",E2792)-1))), "NA"))</f>
        <v/>
      </c>
      <c r="K2792" s="79">
        <f>IF(A2792&lt;&gt;"", IF(ISBLANK(L2792), TODAY(), K2792), "")</f>
        <v/>
      </c>
      <c r="L2792" s="78" t="n"/>
      <c r="M2792" s="78">
        <f>IF(ISBLANK(L2792),"",IF(D2792="Stock",IF(C2792="Buy",L2792*G2792,IF(C2792="Sell",(L2792*G2792)-I2792, X)),IF(C2792="Buy",(L2792*G2792*100)+I2792,IF(C2792="Sell",(L2792*G2792*100)-I2792, X))))</f>
        <v/>
      </c>
      <c r="N2792" s="78">
        <f>IF(ISBLANK(L2792),"",IF(AND(C2792="Sell",D2792="Stock"),M2792,IF(ISBLANK(L2792),"",IF(C2792="Buy",M2792, IF(AND(C2792="Sell",J2792="NA"),(E2792*G2792*100*0.1)+I2792, IF(C2792="Sell",(J2792-L2792)*(100*G2792)+I2792))))))</f>
        <v/>
      </c>
      <c r="O2792" s="75" t="n"/>
      <c r="P2792" s="75" t="n"/>
      <c r="Q2792" s="75">
        <f>IF(ISBLANK(P2792),"",IF(D2792="Stock",P2792*G2792,IF(P2792=0,"0",G2792*P2792*100-(G2792*$AF$14))))</f>
        <v/>
      </c>
      <c r="R2792" s="79">
        <f>IF(P2792&lt;&gt;"", TODAY(), "")</f>
        <v/>
      </c>
      <c r="S2792" s="78">
        <f>IF(AND(K2792&lt;&gt;"", R2792&lt;&gt;""), R2792-K2792, "")</f>
        <v/>
      </c>
      <c r="T2792" s="78" t="n"/>
      <c r="U2792" s="92">
        <f>IF(ISBLANK(P2792),"",IF(C2792="Buy",Q2792-M2792+T2792, IF(C2792="Sell",M2792-Q2792-T2792, X)))</f>
        <v/>
      </c>
      <c r="V2792" s="81">
        <f>IF(ISBLANK(P2792),"",U2792/N2792)</f>
        <v/>
      </c>
      <c r="W2792" s="81">
        <f>IF(ISBLANK(P2792),"",IF(S2792=0,(365/0.5)*V2792,(365/S2792)*V2792))</f>
        <v/>
      </c>
      <c r="X2792" s="75" t="n"/>
      <c r="Y2792" s="77" t="n"/>
      <c r="Z2792" s="77" t="n"/>
      <c r="AA2792" s="75" t="n"/>
      <c r="AB2792" s="75" t="n"/>
      <c r="AC2792" s="6" t="n"/>
      <c r="AD2792" s="75" t="n"/>
      <c r="AE2792" s="75" t="n"/>
      <c r="AF2792" s="75" t="n"/>
    </row>
    <row r="2793" ht="15.75" customHeight="1" s="133">
      <c r="A2793" s="75" t="n"/>
      <c r="B2793" s="75" t="n"/>
      <c r="C2793" s="75" t="n"/>
      <c r="D2793" s="75" t="n"/>
      <c r="E2793" s="76" t="n"/>
      <c r="F2793" s="77" t="n"/>
      <c r="G2793" s="75" t="n"/>
      <c r="H2793" s="75">
        <f>IF(ISBLANK(E2793),"",IF(OR(D2793="Butterfly",D2793="Butterfly ",D2793="Iron Fly", D2793="Iron Fly "),LEN(E2793)-LEN(SUBSTITUTE(E2793,"/",""))+2,LEN(E2793)-LEN(SUBSTITUTE(E2793,"/",""))+1))</f>
        <v/>
      </c>
      <c r="I2793" s="78">
        <f>IF(ISBLANK(G2793),"",IF(D2793="Stock","0",Key!$A$3*H2793*G2793))</f>
        <v/>
      </c>
      <c r="J2793" s="78">
        <f>IF(ISBLANK(E2793),"",IF(ISNUMBER(SEARCH("/",E2793)), IF(LEN(E2793)-LEN(SUBSTITUTE(E2793,"/",""))=1,(RIGHT(E2793,LEN(E2793)-FIND("/",E2793)))-(LEFT(E2793,FIND("/",E2793)-1)),(MID(E2793, SEARCH("/",E2793) + 1, SEARCH("/",E2793, SEARCH("/",E2793)+1) - SEARCH("/",E2793) - 1))-(LEFT(E2793,FIND("/",E2793)-1))), "NA"))</f>
        <v/>
      </c>
      <c r="K2793" s="79">
        <f>IF(A2793&lt;&gt;"", IF(ISBLANK(L2793), TODAY(), K2793), "")</f>
        <v/>
      </c>
      <c r="L2793" s="78" t="n"/>
      <c r="M2793" s="78">
        <f>IF(ISBLANK(L2793),"",IF(D2793="Stock",IF(C2793="Buy",L2793*G2793,IF(C2793="Sell",(L2793*G2793)-I2793, X)),IF(C2793="Buy",(L2793*G2793*100)+I2793,IF(C2793="Sell",(L2793*G2793*100)-I2793, X))))</f>
        <v/>
      </c>
      <c r="N2793" s="78">
        <f>IF(ISBLANK(L2793),"",IF(AND(C2793="Sell",D2793="Stock"),M2793,IF(ISBLANK(L2793),"",IF(C2793="Buy",M2793, IF(AND(C2793="Sell",J2793="NA"),(E2793*G2793*100*0.1)+I2793, IF(C2793="Sell",(J2793-L2793)*(100*G2793)+I2793))))))</f>
        <v/>
      </c>
      <c r="O2793" s="75" t="n"/>
      <c r="P2793" s="75" t="n"/>
      <c r="Q2793" s="75">
        <f>IF(ISBLANK(P2793),"",IF(D2793="Stock",P2793*G2793,IF(P2793=0,"0",G2793*P2793*100-(G2793*$AF$14))))</f>
        <v/>
      </c>
      <c r="R2793" s="79">
        <f>IF(P2793&lt;&gt;"", TODAY(), "")</f>
        <v/>
      </c>
      <c r="S2793" s="78">
        <f>IF(AND(K2793&lt;&gt;"", R2793&lt;&gt;""), R2793-K2793, "")</f>
        <v/>
      </c>
      <c r="T2793" s="78" t="n"/>
      <c r="U2793" s="92">
        <f>IF(ISBLANK(P2793),"",IF(C2793="Buy",Q2793-M2793+T2793, IF(C2793="Sell",M2793-Q2793-T2793, X)))</f>
        <v/>
      </c>
      <c r="V2793" s="81">
        <f>IF(ISBLANK(P2793),"",U2793/N2793)</f>
        <v/>
      </c>
      <c r="W2793" s="81">
        <f>IF(ISBLANK(P2793),"",IF(S2793=0,(365/0.5)*V2793,(365/S2793)*V2793))</f>
        <v/>
      </c>
      <c r="X2793" s="75" t="n"/>
      <c r="Y2793" s="77" t="n"/>
      <c r="Z2793" s="77" t="n"/>
      <c r="AA2793" s="75" t="n"/>
      <c r="AB2793" s="75" t="n"/>
      <c r="AC2793" s="6" t="n"/>
      <c r="AD2793" s="75" t="n"/>
      <c r="AE2793" s="75" t="n"/>
      <c r="AF2793" s="75" t="n"/>
    </row>
    <row r="2794" ht="15.75" customHeight="1" s="133">
      <c r="A2794" s="75" t="n"/>
      <c r="B2794" s="75" t="n"/>
      <c r="C2794" s="75" t="n"/>
      <c r="D2794" s="75" t="n"/>
      <c r="E2794" s="76" t="n"/>
      <c r="F2794" s="77" t="n"/>
      <c r="G2794" s="75" t="n"/>
      <c r="H2794" s="75">
        <f>IF(ISBLANK(E2794),"",IF(OR(D2794="Butterfly",D2794="Butterfly ",D2794="Iron Fly", D2794="Iron Fly "),LEN(E2794)-LEN(SUBSTITUTE(E2794,"/",""))+2,LEN(E2794)-LEN(SUBSTITUTE(E2794,"/",""))+1))</f>
        <v/>
      </c>
      <c r="I2794" s="78">
        <f>IF(ISBLANK(G2794),"",IF(D2794="Stock","0",Key!$A$3*H2794*G2794))</f>
        <v/>
      </c>
      <c r="J2794" s="78">
        <f>IF(ISBLANK(E2794),"",IF(ISNUMBER(SEARCH("/",E2794)), IF(LEN(E2794)-LEN(SUBSTITUTE(E2794,"/",""))=1,(RIGHT(E2794,LEN(E2794)-FIND("/",E2794)))-(LEFT(E2794,FIND("/",E2794)-1)),(MID(E2794, SEARCH("/",E2794) + 1, SEARCH("/",E2794, SEARCH("/",E2794)+1) - SEARCH("/",E2794) - 1))-(LEFT(E2794,FIND("/",E2794)-1))), "NA"))</f>
        <v/>
      </c>
      <c r="K2794" s="79">
        <f>IF(A2794&lt;&gt;"", IF(ISBLANK(L2794), TODAY(), K2794), "")</f>
        <v/>
      </c>
      <c r="L2794" s="78" t="n"/>
      <c r="M2794" s="78">
        <f>IF(ISBLANK(L2794),"",IF(D2794="Stock",IF(C2794="Buy",L2794*G2794,IF(C2794="Sell",(L2794*G2794)-I2794, X)),IF(C2794="Buy",(L2794*G2794*100)+I2794,IF(C2794="Sell",(L2794*G2794*100)-I2794, X))))</f>
        <v/>
      </c>
      <c r="N2794" s="78">
        <f>IF(ISBLANK(L2794),"",IF(AND(C2794="Sell",D2794="Stock"),M2794,IF(ISBLANK(L2794),"",IF(C2794="Buy",M2794, IF(AND(C2794="Sell",J2794="NA"),(E2794*G2794*100*0.1)+I2794, IF(C2794="Sell",(J2794-L2794)*(100*G2794)+I2794))))))</f>
        <v/>
      </c>
      <c r="O2794" s="75" t="n"/>
      <c r="P2794" s="75" t="n"/>
      <c r="Q2794" s="75">
        <f>IF(ISBLANK(P2794),"",IF(D2794="Stock",P2794*G2794,IF(P2794=0,"0",G2794*P2794*100-(G2794*$AF$14))))</f>
        <v/>
      </c>
      <c r="R2794" s="79">
        <f>IF(P2794&lt;&gt;"", TODAY(), "")</f>
        <v/>
      </c>
      <c r="S2794" s="78">
        <f>IF(AND(K2794&lt;&gt;"", R2794&lt;&gt;""), R2794-K2794, "")</f>
        <v/>
      </c>
      <c r="T2794" s="78" t="n"/>
      <c r="U2794" s="92">
        <f>IF(ISBLANK(P2794),"",IF(C2794="Buy",Q2794-M2794+T2794, IF(C2794="Sell",M2794-Q2794-T2794, X)))</f>
        <v/>
      </c>
      <c r="V2794" s="81">
        <f>IF(ISBLANK(P2794),"",U2794/N2794)</f>
        <v/>
      </c>
      <c r="W2794" s="81">
        <f>IF(ISBLANK(P2794),"",IF(S2794=0,(365/0.5)*V2794,(365/S2794)*V2794))</f>
        <v/>
      </c>
      <c r="X2794" s="75" t="n"/>
      <c r="Y2794" s="77" t="n"/>
      <c r="Z2794" s="77" t="n"/>
      <c r="AA2794" s="75" t="n"/>
      <c r="AB2794" s="75" t="n"/>
      <c r="AC2794" s="6" t="n"/>
      <c r="AD2794" s="75" t="n"/>
      <c r="AE2794" s="75" t="n"/>
      <c r="AF2794" s="75" t="n"/>
    </row>
    <row r="2795" ht="15.75" customHeight="1" s="133">
      <c r="A2795" s="75" t="n"/>
      <c r="B2795" s="75" t="n"/>
      <c r="C2795" s="75" t="n"/>
      <c r="D2795" s="75" t="n"/>
      <c r="E2795" s="76" t="n"/>
      <c r="F2795" s="77" t="n"/>
      <c r="G2795" s="75" t="n"/>
      <c r="H2795" s="75">
        <f>IF(ISBLANK(E2795),"",IF(OR(D2795="Butterfly",D2795="Butterfly ",D2795="Iron Fly", D2795="Iron Fly "),LEN(E2795)-LEN(SUBSTITUTE(E2795,"/",""))+2,LEN(E2795)-LEN(SUBSTITUTE(E2795,"/",""))+1))</f>
        <v/>
      </c>
      <c r="I2795" s="78">
        <f>IF(ISBLANK(G2795),"",IF(D2795="Stock","0",Key!$A$3*H2795*G2795))</f>
        <v/>
      </c>
      <c r="J2795" s="78">
        <f>IF(ISBLANK(E2795),"",IF(ISNUMBER(SEARCH("/",E2795)), IF(LEN(E2795)-LEN(SUBSTITUTE(E2795,"/",""))=1,(RIGHT(E2795,LEN(E2795)-FIND("/",E2795)))-(LEFT(E2795,FIND("/",E2795)-1)),(MID(E2795, SEARCH("/",E2795) + 1, SEARCH("/",E2795, SEARCH("/",E2795)+1) - SEARCH("/",E2795) - 1))-(LEFT(E2795,FIND("/",E2795)-1))), "NA"))</f>
        <v/>
      </c>
      <c r="K2795" s="79">
        <f>IF(A2795&lt;&gt;"", IF(ISBLANK(L2795), TODAY(), K2795), "")</f>
        <v/>
      </c>
      <c r="L2795" s="78" t="n"/>
      <c r="M2795" s="78">
        <f>IF(ISBLANK(L2795),"",IF(D2795="Stock",IF(C2795="Buy",L2795*G2795,IF(C2795="Sell",(L2795*G2795)-I2795, X)),IF(C2795="Buy",(L2795*G2795*100)+I2795,IF(C2795="Sell",(L2795*G2795*100)-I2795, X))))</f>
        <v/>
      </c>
      <c r="N2795" s="78">
        <f>IF(ISBLANK(L2795),"",IF(AND(C2795="Sell",D2795="Stock"),M2795,IF(ISBLANK(L2795),"",IF(C2795="Buy",M2795, IF(AND(C2795="Sell",J2795="NA"),(E2795*G2795*100*0.1)+I2795, IF(C2795="Sell",(J2795-L2795)*(100*G2795)+I2795))))))</f>
        <v/>
      </c>
      <c r="O2795" s="75" t="n"/>
      <c r="P2795" s="75" t="n"/>
      <c r="Q2795" s="75">
        <f>IF(ISBLANK(P2795),"",IF(D2795="Stock",P2795*G2795,IF(P2795=0,"0",G2795*P2795*100-(G2795*$AF$14))))</f>
        <v/>
      </c>
      <c r="R2795" s="79">
        <f>IF(P2795&lt;&gt;"", TODAY(), "")</f>
        <v/>
      </c>
      <c r="S2795" s="78">
        <f>IF(AND(K2795&lt;&gt;"", R2795&lt;&gt;""), R2795-K2795, "")</f>
        <v/>
      </c>
      <c r="T2795" s="78" t="n"/>
      <c r="U2795" s="92">
        <f>IF(ISBLANK(P2795),"",IF(C2795="Buy",Q2795-M2795+T2795, IF(C2795="Sell",M2795-Q2795-T2795, X)))</f>
        <v/>
      </c>
      <c r="V2795" s="81">
        <f>IF(ISBLANK(P2795),"",U2795/N2795)</f>
        <v/>
      </c>
      <c r="W2795" s="81">
        <f>IF(ISBLANK(P2795),"",IF(S2795=0,(365/0.5)*V2795,(365/S2795)*V2795))</f>
        <v/>
      </c>
      <c r="X2795" s="75" t="n"/>
      <c r="Y2795" s="77" t="n"/>
      <c r="Z2795" s="77" t="n"/>
      <c r="AA2795" s="75" t="n"/>
      <c r="AB2795" s="75" t="n"/>
      <c r="AC2795" s="6" t="n"/>
      <c r="AD2795" s="75" t="n"/>
      <c r="AE2795" s="75" t="n"/>
      <c r="AF2795" s="75" t="n"/>
    </row>
    <row r="2796" ht="15.75" customHeight="1" s="133">
      <c r="A2796" s="75" t="n"/>
      <c r="B2796" s="75" t="n"/>
      <c r="C2796" s="75" t="n"/>
      <c r="D2796" s="75" t="n"/>
      <c r="E2796" s="76" t="n"/>
      <c r="F2796" s="77" t="n"/>
      <c r="G2796" s="75" t="n"/>
      <c r="H2796" s="75">
        <f>IF(ISBLANK(E2796),"",IF(OR(D2796="Butterfly",D2796="Butterfly ",D2796="Iron Fly", D2796="Iron Fly "),LEN(E2796)-LEN(SUBSTITUTE(E2796,"/",""))+2,LEN(E2796)-LEN(SUBSTITUTE(E2796,"/",""))+1))</f>
        <v/>
      </c>
      <c r="I2796" s="78">
        <f>IF(ISBLANK(G2796),"",IF(D2796="Stock","0",Key!$A$3*H2796*G2796))</f>
        <v/>
      </c>
      <c r="J2796" s="78">
        <f>IF(ISBLANK(E2796),"",IF(ISNUMBER(SEARCH("/",E2796)), IF(LEN(E2796)-LEN(SUBSTITUTE(E2796,"/",""))=1,(RIGHT(E2796,LEN(E2796)-FIND("/",E2796)))-(LEFT(E2796,FIND("/",E2796)-1)),(MID(E2796, SEARCH("/",E2796) + 1, SEARCH("/",E2796, SEARCH("/",E2796)+1) - SEARCH("/",E2796) - 1))-(LEFT(E2796,FIND("/",E2796)-1))), "NA"))</f>
        <v/>
      </c>
      <c r="K2796" s="79">
        <f>IF(A2796&lt;&gt;"", IF(ISBLANK(L2796), TODAY(), K2796), "")</f>
        <v/>
      </c>
      <c r="L2796" s="78" t="n"/>
      <c r="M2796" s="78">
        <f>IF(ISBLANK(L2796),"",IF(D2796="Stock",IF(C2796="Buy",L2796*G2796,IF(C2796="Sell",(L2796*G2796)-I2796, X)),IF(C2796="Buy",(L2796*G2796*100)+I2796,IF(C2796="Sell",(L2796*G2796*100)-I2796, X))))</f>
        <v/>
      </c>
      <c r="N2796" s="78">
        <f>IF(ISBLANK(L2796),"",IF(AND(C2796="Sell",D2796="Stock"),M2796,IF(ISBLANK(L2796),"",IF(C2796="Buy",M2796, IF(AND(C2796="Sell",J2796="NA"),(E2796*G2796*100*0.1)+I2796, IF(C2796="Sell",(J2796-L2796)*(100*G2796)+I2796))))))</f>
        <v/>
      </c>
      <c r="O2796" s="75" t="n"/>
      <c r="P2796" s="75" t="n"/>
      <c r="Q2796" s="75">
        <f>IF(ISBLANK(P2796),"",IF(D2796="Stock",P2796*G2796,IF(P2796=0,"0",G2796*P2796*100-(G2796*$AF$14))))</f>
        <v/>
      </c>
      <c r="R2796" s="79">
        <f>IF(P2796&lt;&gt;"", TODAY(), "")</f>
        <v/>
      </c>
      <c r="S2796" s="78">
        <f>IF(AND(K2796&lt;&gt;"", R2796&lt;&gt;""), R2796-K2796, "")</f>
        <v/>
      </c>
      <c r="T2796" s="78" t="n"/>
      <c r="U2796" s="92">
        <f>IF(ISBLANK(P2796),"",IF(C2796="Buy",Q2796-M2796+T2796, IF(C2796="Sell",M2796-Q2796-T2796, X)))</f>
        <v/>
      </c>
      <c r="V2796" s="81">
        <f>IF(ISBLANK(P2796),"",U2796/N2796)</f>
        <v/>
      </c>
      <c r="W2796" s="81">
        <f>IF(ISBLANK(P2796),"",IF(S2796=0,(365/0.5)*V2796,(365/S2796)*V2796))</f>
        <v/>
      </c>
      <c r="X2796" s="75" t="n"/>
      <c r="Y2796" s="77" t="n"/>
      <c r="Z2796" s="77" t="n"/>
      <c r="AA2796" s="75" t="n"/>
      <c r="AB2796" s="75" t="n"/>
      <c r="AC2796" s="6" t="n"/>
      <c r="AD2796" s="75" t="n"/>
      <c r="AE2796" s="75" t="n"/>
      <c r="AF2796" s="75" t="n"/>
    </row>
    <row r="2797" ht="15.75" customHeight="1" s="133">
      <c r="A2797" s="75" t="n"/>
      <c r="B2797" s="75" t="n"/>
      <c r="C2797" s="75" t="n"/>
      <c r="D2797" s="75" t="n"/>
      <c r="E2797" s="76" t="n"/>
      <c r="F2797" s="77" t="n"/>
      <c r="G2797" s="75" t="n"/>
      <c r="H2797" s="75">
        <f>IF(ISBLANK(E2797),"",IF(OR(D2797="Butterfly",D2797="Butterfly ",D2797="Iron Fly", D2797="Iron Fly "),LEN(E2797)-LEN(SUBSTITUTE(E2797,"/",""))+2,LEN(E2797)-LEN(SUBSTITUTE(E2797,"/",""))+1))</f>
        <v/>
      </c>
      <c r="I2797" s="78">
        <f>IF(ISBLANK(G2797),"",IF(D2797="Stock","0",Key!$A$3*H2797*G2797))</f>
        <v/>
      </c>
      <c r="J2797" s="78">
        <f>IF(ISBLANK(E2797),"",IF(ISNUMBER(SEARCH("/",E2797)), IF(LEN(E2797)-LEN(SUBSTITUTE(E2797,"/",""))=1,(RIGHT(E2797,LEN(E2797)-FIND("/",E2797)))-(LEFT(E2797,FIND("/",E2797)-1)),(MID(E2797, SEARCH("/",E2797) + 1, SEARCH("/",E2797, SEARCH("/",E2797)+1) - SEARCH("/",E2797) - 1))-(LEFT(E2797,FIND("/",E2797)-1))), "NA"))</f>
        <v/>
      </c>
      <c r="K2797" s="79">
        <f>IF(A2797&lt;&gt;"", IF(ISBLANK(L2797), TODAY(), K2797), "")</f>
        <v/>
      </c>
      <c r="L2797" s="78" t="n"/>
      <c r="M2797" s="78">
        <f>IF(ISBLANK(L2797),"",IF(D2797="Stock",IF(C2797="Buy",L2797*G2797,IF(C2797="Sell",(L2797*G2797)-I2797, X)),IF(C2797="Buy",(L2797*G2797*100)+I2797,IF(C2797="Sell",(L2797*G2797*100)-I2797, X))))</f>
        <v/>
      </c>
      <c r="N2797" s="78">
        <f>IF(ISBLANK(L2797),"",IF(AND(C2797="Sell",D2797="Stock"),M2797,IF(ISBLANK(L2797),"",IF(C2797="Buy",M2797, IF(AND(C2797="Sell",J2797="NA"),(E2797*G2797*100*0.1)+I2797, IF(C2797="Sell",(J2797-L2797)*(100*G2797)+I2797))))))</f>
        <v/>
      </c>
      <c r="O2797" s="75" t="n"/>
      <c r="P2797" s="75" t="n"/>
      <c r="Q2797" s="75">
        <f>IF(ISBLANK(P2797),"",IF(D2797="Stock",P2797*G2797,IF(P2797=0,"0",G2797*P2797*100-(G2797*$AF$14))))</f>
        <v/>
      </c>
      <c r="R2797" s="79">
        <f>IF(P2797&lt;&gt;"", TODAY(), "")</f>
        <v/>
      </c>
      <c r="S2797" s="78">
        <f>IF(AND(K2797&lt;&gt;"", R2797&lt;&gt;""), R2797-K2797, "")</f>
        <v/>
      </c>
      <c r="T2797" s="78" t="n"/>
      <c r="U2797" s="92">
        <f>IF(ISBLANK(P2797),"",IF(C2797="Buy",Q2797-M2797+T2797, IF(C2797="Sell",M2797-Q2797-T2797, X)))</f>
        <v/>
      </c>
      <c r="V2797" s="81">
        <f>IF(ISBLANK(P2797),"",U2797/N2797)</f>
        <v/>
      </c>
      <c r="W2797" s="81">
        <f>IF(ISBLANK(P2797),"",IF(S2797=0,(365/0.5)*V2797,(365/S2797)*V2797))</f>
        <v/>
      </c>
      <c r="X2797" s="75" t="n"/>
      <c r="Y2797" s="77" t="n"/>
      <c r="Z2797" s="77" t="n"/>
      <c r="AA2797" s="75" t="n"/>
      <c r="AB2797" s="75" t="n"/>
      <c r="AC2797" s="6" t="n"/>
      <c r="AD2797" s="75" t="n"/>
      <c r="AE2797" s="75" t="n"/>
      <c r="AF2797" s="75" t="n"/>
    </row>
    <row r="2798" ht="15.75" customHeight="1" s="133">
      <c r="A2798" s="75" t="n"/>
      <c r="B2798" s="75" t="n"/>
      <c r="C2798" s="75" t="n"/>
      <c r="D2798" s="75" t="n"/>
      <c r="E2798" s="76" t="n"/>
      <c r="F2798" s="77" t="n"/>
      <c r="G2798" s="75" t="n"/>
      <c r="H2798" s="75">
        <f>IF(ISBLANK(E2798),"",IF(OR(D2798="Butterfly",D2798="Butterfly ",D2798="Iron Fly", D2798="Iron Fly "),LEN(E2798)-LEN(SUBSTITUTE(E2798,"/",""))+2,LEN(E2798)-LEN(SUBSTITUTE(E2798,"/",""))+1))</f>
        <v/>
      </c>
      <c r="I2798" s="78">
        <f>IF(ISBLANK(G2798),"",IF(D2798="Stock","0",Key!$A$3*H2798*G2798))</f>
        <v/>
      </c>
      <c r="J2798" s="78">
        <f>IF(ISBLANK(E2798),"",IF(ISNUMBER(SEARCH("/",E2798)), IF(LEN(E2798)-LEN(SUBSTITUTE(E2798,"/",""))=1,(RIGHT(E2798,LEN(E2798)-FIND("/",E2798)))-(LEFT(E2798,FIND("/",E2798)-1)),(MID(E2798, SEARCH("/",E2798) + 1, SEARCH("/",E2798, SEARCH("/",E2798)+1) - SEARCH("/",E2798) - 1))-(LEFT(E2798,FIND("/",E2798)-1))), "NA"))</f>
        <v/>
      </c>
      <c r="K2798" s="79">
        <f>IF(A2798&lt;&gt;"", IF(ISBLANK(L2798), TODAY(), K2798), "")</f>
        <v/>
      </c>
      <c r="L2798" s="78" t="n"/>
      <c r="M2798" s="78">
        <f>IF(ISBLANK(L2798),"",IF(D2798="Stock",IF(C2798="Buy",L2798*G2798,IF(C2798="Sell",(L2798*G2798)-I2798, X)),IF(C2798="Buy",(L2798*G2798*100)+I2798,IF(C2798="Sell",(L2798*G2798*100)-I2798, X))))</f>
        <v/>
      </c>
      <c r="N2798" s="78">
        <f>IF(ISBLANK(L2798),"",IF(AND(C2798="Sell",D2798="Stock"),M2798,IF(ISBLANK(L2798),"",IF(C2798="Buy",M2798, IF(AND(C2798="Sell",J2798="NA"),(E2798*G2798*100*0.1)+I2798, IF(C2798="Sell",(J2798-L2798)*(100*G2798)+I2798))))))</f>
        <v/>
      </c>
      <c r="O2798" s="75" t="n"/>
      <c r="P2798" s="75" t="n"/>
      <c r="Q2798" s="75">
        <f>IF(ISBLANK(P2798),"",IF(D2798="Stock",P2798*G2798,IF(P2798=0,"0",G2798*P2798*100-(G2798*$AF$14))))</f>
        <v/>
      </c>
      <c r="R2798" s="79">
        <f>IF(P2798&lt;&gt;"", TODAY(), "")</f>
        <v/>
      </c>
      <c r="S2798" s="78">
        <f>IF(AND(K2798&lt;&gt;"", R2798&lt;&gt;""), R2798-K2798, "")</f>
        <v/>
      </c>
      <c r="T2798" s="78" t="n"/>
      <c r="U2798" s="92">
        <f>IF(ISBLANK(P2798),"",IF(C2798="Buy",Q2798-M2798+T2798, IF(C2798="Sell",M2798-Q2798-T2798, X)))</f>
        <v/>
      </c>
      <c r="V2798" s="81">
        <f>IF(ISBLANK(P2798),"",U2798/N2798)</f>
        <v/>
      </c>
      <c r="W2798" s="81">
        <f>IF(ISBLANK(P2798),"",IF(S2798=0,(365/0.5)*V2798,(365/S2798)*V2798))</f>
        <v/>
      </c>
      <c r="X2798" s="75" t="n"/>
      <c r="Y2798" s="77" t="n"/>
      <c r="Z2798" s="77" t="n"/>
      <c r="AA2798" s="75" t="n"/>
      <c r="AB2798" s="75" t="n"/>
      <c r="AC2798" s="6" t="n"/>
      <c r="AD2798" s="75" t="n"/>
      <c r="AE2798" s="75" t="n"/>
      <c r="AF2798" s="75" t="n"/>
    </row>
    <row r="2799" ht="15.75" customHeight="1" s="133">
      <c r="A2799" s="75" t="n"/>
      <c r="B2799" s="75" t="n"/>
      <c r="C2799" s="75" t="n"/>
      <c r="D2799" s="75" t="n"/>
      <c r="E2799" s="76" t="n"/>
      <c r="F2799" s="77" t="n"/>
      <c r="G2799" s="75" t="n"/>
      <c r="H2799" s="75">
        <f>IF(ISBLANK(E2799),"",IF(OR(D2799="Butterfly",D2799="Butterfly ",D2799="Iron Fly", D2799="Iron Fly "),LEN(E2799)-LEN(SUBSTITUTE(E2799,"/",""))+2,LEN(E2799)-LEN(SUBSTITUTE(E2799,"/",""))+1))</f>
        <v/>
      </c>
      <c r="I2799" s="78">
        <f>IF(ISBLANK(G2799),"",IF(D2799="Stock","0",Key!$A$3*H2799*G2799))</f>
        <v/>
      </c>
      <c r="J2799" s="78">
        <f>IF(ISBLANK(E2799),"",IF(ISNUMBER(SEARCH("/",E2799)), IF(LEN(E2799)-LEN(SUBSTITUTE(E2799,"/",""))=1,(RIGHT(E2799,LEN(E2799)-FIND("/",E2799)))-(LEFT(E2799,FIND("/",E2799)-1)),(MID(E2799, SEARCH("/",E2799) + 1, SEARCH("/",E2799, SEARCH("/",E2799)+1) - SEARCH("/",E2799) - 1))-(LEFT(E2799,FIND("/",E2799)-1))), "NA"))</f>
        <v/>
      </c>
      <c r="K2799" s="79">
        <f>IF(A2799&lt;&gt;"", IF(ISBLANK(L2799), TODAY(), K2799), "")</f>
        <v/>
      </c>
      <c r="L2799" s="78" t="n"/>
      <c r="M2799" s="78">
        <f>IF(ISBLANK(L2799),"",IF(D2799="Stock",IF(C2799="Buy",L2799*G2799,IF(C2799="Sell",(L2799*G2799)-I2799, X)),IF(C2799="Buy",(L2799*G2799*100)+I2799,IF(C2799="Sell",(L2799*G2799*100)-I2799, X))))</f>
        <v/>
      </c>
      <c r="N2799" s="78">
        <f>IF(ISBLANK(L2799),"",IF(AND(C2799="Sell",D2799="Stock"),M2799,IF(ISBLANK(L2799),"",IF(C2799="Buy",M2799, IF(AND(C2799="Sell",J2799="NA"),(E2799*G2799*100*0.1)+I2799, IF(C2799="Sell",(J2799-L2799)*(100*G2799)+I2799))))))</f>
        <v/>
      </c>
      <c r="O2799" s="75" t="n"/>
      <c r="P2799" s="75" t="n"/>
      <c r="Q2799" s="75">
        <f>IF(ISBLANK(P2799),"",IF(D2799="Stock",P2799*G2799,IF(P2799=0,"0",G2799*P2799*100-(G2799*$AF$14))))</f>
        <v/>
      </c>
      <c r="R2799" s="79">
        <f>IF(P2799&lt;&gt;"", TODAY(), "")</f>
        <v/>
      </c>
      <c r="S2799" s="78">
        <f>IF(AND(K2799&lt;&gt;"", R2799&lt;&gt;""), R2799-K2799, "")</f>
        <v/>
      </c>
      <c r="T2799" s="78" t="n"/>
      <c r="U2799" s="92">
        <f>IF(ISBLANK(P2799),"",IF(C2799="Buy",Q2799-M2799+T2799, IF(C2799="Sell",M2799-Q2799-T2799, X)))</f>
        <v/>
      </c>
      <c r="V2799" s="81">
        <f>IF(ISBLANK(P2799),"",U2799/N2799)</f>
        <v/>
      </c>
      <c r="W2799" s="81">
        <f>IF(ISBLANK(P2799),"",IF(S2799=0,(365/0.5)*V2799,(365/S2799)*V2799))</f>
        <v/>
      </c>
      <c r="X2799" s="75" t="n"/>
      <c r="Y2799" s="77" t="n"/>
      <c r="Z2799" s="77" t="n"/>
      <c r="AA2799" s="75" t="n"/>
      <c r="AB2799" s="75" t="n"/>
      <c r="AC2799" s="6" t="n"/>
      <c r="AD2799" s="75" t="n"/>
      <c r="AE2799" s="75" t="n"/>
      <c r="AF2799" s="75" t="n"/>
    </row>
    <row r="2800" ht="15.75" customHeight="1" s="133">
      <c r="A2800" s="75" t="n"/>
      <c r="B2800" s="75" t="n"/>
      <c r="C2800" s="75" t="n"/>
      <c r="D2800" s="75" t="n"/>
      <c r="E2800" s="76" t="n"/>
      <c r="F2800" s="77" t="n"/>
      <c r="G2800" s="75" t="n"/>
      <c r="H2800" s="75">
        <f>IF(ISBLANK(E2800),"",IF(OR(D2800="Butterfly",D2800="Butterfly ",D2800="Iron Fly", D2800="Iron Fly "),LEN(E2800)-LEN(SUBSTITUTE(E2800,"/",""))+2,LEN(E2800)-LEN(SUBSTITUTE(E2800,"/",""))+1))</f>
        <v/>
      </c>
      <c r="I2800" s="78">
        <f>IF(ISBLANK(G2800),"",IF(D2800="Stock","0",Key!$A$3*H2800*G2800))</f>
        <v/>
      </c>
      <c r="J2800" s="78">
        <f>IF(ISBLANK(E2800),"",IF(ISNUMBER(SEARCH("/",E2800)), IF(LEN(E2800)-LEN(SUBSTITUTE(E2800,"/",""))=1,(RIGHT(E2800,LEN(E2800)-FIND("/",E2800)))-(LEFT(E2800,FIND("/",E2800)-1)),(MID(E2800, SEARCH("/",E2800) + 1, SEARCH("/",E2800, SEARCH("/",E2800)+1) - SEARCH("/",E2800) - 1))-(LEFT(E2800,FIND("/",E2800)-1))), "NA"))</f>
        <v/>
      </c>
      <c r="K2800" s="79">
        <f>IF(A2800&lt;&gt;"", IF(ISBLANK(L2800), TODAY(), K2800), "")</f>
        <v/>
      </c>
      <c r="L2800" s="78" t="n"/>
      <c r="M2800" s="78">
        <f>IF(ISBLANK(L2800),"",IF(D2800="Stock",IF(C2800="Buy",L2800*G2800,IF(C2800="Sell",(L2800*G2800)-I2800, X)),IF(C2800="Buy",(L2800*G2800*100)+I2800,IF(C2800="Sell",(L2800*G2800*100)-I2800, X))))</f>
        <v/>
      </c>
      <c r="N2800" s="78">
        <f>IF(ISBLANK(L2800),"",IF(AND(C2800="Sell",D2800="Stock"),M2800,IF(ISBLANK(L2800),"",IF(C2800="Buy",M2800, IF(AND(C2800="Sell",J2800="NA"),(E2800*G2800*100*0.1)+I2800, IF(C2800="Sell",(J2800-L2800)*(100*G2800)+I2800))))))</f>
        <v/>
      </c>
      <c r="O2800" s="75" t="n"/>
      <c r="P2800" s="75" t="n"/>
      <c r="Q2800" s="75">
        <f>IF(ISBLANK(P2800),"",IF(D2800="Stock",P2800*G2800,IF(P2800=0,"0",G2800*P2800*100-(G2800*$AF$14))))</f>
        <v/>
      </c>
      <c r="R2800" s="79">
        <f>IF(P2800&lt;&gt;"", TODAY(), "")</f>
        <v/>
      </c>
      <c r="S2800" s="78">
        <f>IF(AND(K2800&lt;&gt;"", R2800&lt;&gt;""), R2800-K2800, "")</f>
        <v/>
      </c>
      <c r="T2800" s="78" t="n"/>
      <c r="U2800" s="92">
        <f>IF(ISBLANK(P2800),"",IF(C2800="Buy",Q2800-M2800+T2800, IF(C2800="Sell",M2800-Q2800-T2800, X)))</f>
        <v/>
      </c>
      <c r="V2800" s="81">
        <f>IF(ISBLANK(P2800),"",U2800/N2800)</f>
        <v/>
      </c>
      <c r="W2800" s="81">
        <f>IF(ISBLANK(P2800),"",IF(S2800=0,(365/0.5)*V2800,(365/S2800)*V2800))</f>
        <v/>
      </c>
      <c r="X2800" s="75" t="n"/>
      <c r="Y2800" s="77" t="n"/>
      <c r="Z2800" s="77" t="n"/>
      <c r="AA2800" s="75" t="n"/>
      <c r="AB2800" s="75" t="n"/>
      <c r="AC2800" s="6" t="n"/>
      <c r="AD2800" s="75" t="n"/>
      <c r="AE2800" s="75" t="n"/>
      <c r="AF2800" s="75" t="n"/>
    </row>
    <row r="2801" ht="15.75" customHeight="1" s="133">
      <c r="A2801" s="75" t="n"/>
      <c r="B2801" s="75" t="n"/>
      <c r="C2801" s="75" t="n"/>
      <c r="D2801" s="75" t="n"/>
      <c r="E2801" s="76" t="n"/>
      <c r="F2801" s="77" t="n"/>
      <c r="G2801" s="75" t="n"/>
      <c r="H2801" s="75">
        <f>IF(ISBLANK(E2801),"",IF(OR(D2801="Butterfly",D2801="Butterfly ",D2801="Iron Fly", D2801="Iron Fly "),LEN(E2801)-LEN(SUBSTITUTE(E2801,"/",""))+2,LEN(E2801)-LEN(SUBSTITUTE(E2801,"/",""))+1))</f>
        <v/>
      </c>
      <c r="I2801" s="78">
        <f>IF(ISBLANK(G2801),"",IF(D2801="Stock","0",Key!$A$3*H2801*G2801))</f>
        <v/>
      </c>
      <c r="J2801" s="78">
        <f>IF(ISBLANK(E2801),"",IF(ISNUMBER(SEARCH("/",E2801)), IF(LEN(E2801)-LEN(SUBSTITUTE(E2801,"/",""))=1,(RIGHT(E2801,LEN(E2801)-FIND("/",E2801)))-(LEFT(E2801,FIND("/",E2801)-1)),(MID(E2801, SEARCH("/",E2801) + 1, SEARCH("/",E2801, SEARCH("/",E2801)+1) - SEARCH("/",E2801) - 1))-(LEFT(E2801,FIND("/",E2801)-1))), "NA"))</f>
        <v/>
      </c>
      <c r="K2801" s="79">
        <f>IF(A2801&lt;&gt;"", IF(ISBLANK(L2801), TODAY(), K2801), "")</f>
        <v/>
      </c>
      <c r="L2801" s="78" t="n"/>
      <c r="M2801" s="78">
        <f>IF(ISBLANK(L2801),"",IF(D2801="Stock",IF(C2801="Buy",L2801*G2801,IF(C2801="Sell",(L2801*G2801)-I2801, X)),IF(C2801="Buy",(L2801*G2801*100)+I2801,IF(C2801="Sell",(L2801*G2801*100)-I2801, X))))</f>
        <v/>
      </c>
      <c r="N2801" s="78">
        <f>IF(ISBLANK(L2801),"",IF(AND(C2801="Sell",D2801="Stock"),M2801,IF(ISBLANK(L2801),"",IF(C2801="Buy",M2801, IF(AND(C2801="Sell",J2801="NA"),(E2801*G2801*100*0.1)+I2801, IF(C2801="Sell",(J2801-L2801)*(100*G2801)+I2801))))))</f>
        <v/>
      </c>
      <c r="O2801" s="75" t="n"/>
      <c r="P2801" s="75" t="n"/>
      <c r="Q2801" s="75">
        <f>IF(ISBLANK(P2801),"",IF(D2801="Stock",P2801*G2801,IF(P2801=0,"0",G2801*P2801*100-(G2801*$AF$14))))</f>
        <v/>
      </c>
      <c r="R2801" s="79">
        <f>IF(P2801&lt;&gt;"", TODAY(), "")</f>
        <v/>
      </c>
      <c r="S2801" s="78">
        <f>IF(AND(K2801&lt;&gt;"", R2801&lt;&gt;""), R2801-K2801, "")</f>
        <v/>
      </c>
      <c r="T2801" s="78" t="n"/>
      <c r="U2801" s="92">
        <f>IF(ISBLANK(P2801),"",IF(C2801="Buy",Q2801-M2801+T2801, IF(C2801="Sell",M2801-Q2801-T2801, X)))</f>
        <v/>
      </c>
      <c r="V2801" s="81">
        <f>IF(ISBLANK(P2801),"",U2801/N2801)</f>
        <v/>
      </c>
      <c r="W2801" s="81">
        <f>IF(ISBLANK(P2801),"",IF(S2801=0,(365/0.5)*V2801,(365/S2801)*V2801))</f>
        <v/>
      </c>
      <c r="X2801" s="75" t="n"/>
      <c r="Y2801" s="77" t="n"/>
      <c r="Z2801" s="77" t="n"/>
      <c r="AA2801" s="75" t="n"/>
      <c r="AB2801" s="75" t="n"/>
      <c r="AC2801" s="6" t="n"/>
      <c r="AD2801" s="75" t="n"/>
      <c r="AE2801" s="75" t="n"/>
      <c r="AF2801" s="75" t="n"/>
    </row>
    <row r="2802" ht="15.75" customHeight="1" s="133">
      <c r="A2802" s="75" t="n"/>
      <c r="B2802" s="75" t="n"/>
      <c r="C2802" s="75" t="n"/>
      <c r="D2802" s="75" t="n"/>
      <c r="E2802" s="76" t="n"/>
      <c r="F2802" s="77" t="n"/>
      <c r="G2802" s="75" t="n"/>
      <c r="H2802" s="75">
        <f>IF(ISBLANK(E2802),"",IF(OR(D2802="Butterfly",D2802="Butterfly ",D2802="Iron Fly", D2802="Iron Fly "),LEN(E2802)-LEN(SUBSTITUTE(E2802,"/",""))+2,LEN(E2802)-LEN(SUBSTITUTE(E2802,"/",""))+1))</f>
        <v/>
      </c>
      <c r="I2802" s="78">
        <f>IF(ISBLANK(G2802),"",IF(D2802="Stock","0",Key!$A$3*H2802*G2802))</f>
        <v/>
      </c>
      <c r="J2802" s="78">
        <f>IF(ISBLANK(E2802),"",IF(ISNUMBER(SEARCH("/",E2802)), IF(LEN(E2802)-LEN(SUBSTITUTE(E2802,"/",""))=1,(RIGHT(E2802,LEN(E2802)-FIND("/",E2802)))-(LEFT(E2802,FIND("/",E2802)-1)),(MID(E2802, SEARCH("/",E2802) + 1, SEARCH("/",E2802, SEARCH("/",E2802)+1) - SEARCH("/",E2802) - 1))-(LEFT(E2802,FIND("/",E2802)-1))), "NA"))</f>
        <v/>
      </c>
      <c r="K2802" s="79">
        <f>IF(A2802&lt;&gt;"", IF(ISBLANK(L2802), TODAY(), K2802), "")</f>
        <v/>
      </c>
      <c r="L2802" s="78" t="n"/>
      <c r="M2802" s="78">
        <f>IF(ISBLANK(L2802),"",IF(D2802="Stock",IF(C2802="Buy",L2802*G2802,IF(C2802="Sell",(L2802*G2802)-I2802, X)),IF(C2802="Buy",(L2802*G2802*100)+I2802,IF(C2802="Sell",(L2802*G2802*100)-I2802, X))))</f>
        <v/>
      </c>
      <c r="N2802" s="78">
        <f>IF(ISBLANK(L2802),"",IF(AND(C2802="Sell",D2802="Stock"),M2802,IF(ISBLANK(L2802),"",IF(C2802="Buy",M2802, IF(AND(C2802="Sell",J2802="NA"),(E2802*G2802*100*0.1)+I2802, IF(C2802="Sell",(J2802-L2802)*(100*G2802)+I2802))))))</f>
        <v/>
      </c>
      <c r="O2802" s="75" t="n"/>
      <c r="P2802" s="75" t="n"/>
      <c r="Q2802" s="75">
        <f>IF(ISBLANK(P2802),"",IF(D2802="Stock",P2802*G2802,IF(P2802=0,"0",G2802*P2802*100-(G2802*$AF$14))))</f>
        <v/>
      </c>
      <c r="R2802" s="79">
        <f>IF(P2802&lt;&gt;"", TODAY(), "")</f>
        <v/>
      </c>
      <c r="S2802" s="78">
        <f>IF(AND(K2802&lt;&gt;"", R2802&lt;&gt;""), R2802-K2802, "")</f>
        <v/>
      </c>
      <c r="T2802" s="78" t="n"/>
      <c r="U2802" s="92">
        <f>IF(ISBLANK(P2802),"",IF(C2802="Buy",Q2802-M2802+T2802, IF(C2802="Sell",M2802-Q2802-T2802, X)))</f>
        <v/>
      </c>
      <c r="V2802" s="81">
        <f>IF(ISBLANK(P2802),"",U2802/N2802)</f>
        <v/>
      </c>
      <c r="W2802" s="81">
        <f>IF(ISBLANK(P2802),"",IF(S2802=0,(365/0.5)*V2802,(365/S2802)*V2802))</f>
        <v/>
      </c>
      <c r="X2802" s="75" t="n"/>
      <c r="Y2802" s="77" t="n"/>
      <c r="Z2802" s="77" t="n"/>
      <c r="AA2802" s="75" t="n"/>
      <c r="AB2802" s="75" t="n"/>
      <c r="AC2802" s="6" t="n"/>
      <c r="AD2802" s="75" t="n"/>
      <c r="AE2802" s="75" t="n"/>
      <c r="AF2802" s="75" t="n"/>
    </row>
    <row r="2803" ht="15.75" customHeight="1" s="133">
      <c r="A2803" s="75" t="n"/>
      <c r="B2803" s="75" t="n"/>
      <c r="C2803" s="75" t="n"/>
      <c r="D2803" s="75" t="n"/>
      <c r="E2803" s="76" t="n"/>
      <c r="F2803" s="77" t="n"/>
      <c r="G2803" s="75" t="n"/>
      <c r="H2803" s="75">
        <f>IF(ISBLANK(E2803),"",IF(OR(D2803="Butterfly",D2803="Butterfly ",D2803="Iron Fly", D2803="Iron Fly "),LEN(E2803)-LEN(SUBSTITUTE(E2803,"/",""))+2,LEN(E2803)-LEN(SUBSTITUTE(E2803,"/",""))+1))</f>
        <v/>
      </c>
      <c r="I2803" s="78">
        <f>IF(ISBLANK(G2803),"",IF(D2803="Stock","0",Key!$A$3*H2803*G2803))</f>
        <v/>
      </c>
      <c r="J2803" s="78">
        <f>IF(ISBLANK(E2803),"",IF(ISNUMBER(SEARCH("/",E2803)), IF(LEN(E2803)-LEN(SUBSTITUTE(E2803,"/",""))=1,(RIGHT(E2803,LEN(E2803)-FIND("/",E2803)))-(LEFT(E2803,FIND("/",E2803)-1)),(MID(E2803, SEARCH("/",E2803) + 1, SEARCH("/",E2803, SEARCH("/",E2803)+1) - SEARCH("/",E2803) - 1))-(LEFT(E2803,FIND("/",E2803)-1))), "NA"))</f>
        <v/>
      </c>
      <c r="K2803" s="79">
        <f>IF(A2803&lt;&gt;"", IF(ISBLANK(L2803), TODAY(), K2803), "")</f>
        <v/>
      </c>
      <c r="L2803" s="78" t="n"/>
      <c r="M2803" s="78">
        <f>IF(ISBLANK(L2803),"",IF(D2803="Stock",IF(C2803="Buy",L2803*G2803,IF(C2803="Sell",(L2803*G2803)-I2803, X)),IF(C2803="Buy",(L2803*G2803*100)+I2803,IF(C2803="Sell",(L2803*G2803*100)-I2803, X))))</f>
        <v/>
      </c>
      <c r="N2803" s="78">
        <f>IF(ISBLANK(L2803),"",IF(AND(C2803="Sell",D2803="Stock"),M2803,IF(ISBLANK(L2803),"",IF(C2803="Buy",M2803, IF(AND(C2803="Sell",J2803="NA"),(E2803*G2803*100*0.1)+I2803, IF(C2803="Sell",(J2803-L2803)*(100*G2803)+I2803))))))</f>
        <v/>
      </c>
      <c r="O2803" s="75" t="n"/>
      <c r="P2803" s="75" t="n"/>
      <c r="Q2803" s="75">
        <f>IF(ISBLANK(P2803),"",IF(D2803="Stock",P2803*G2803,IF(P2803=0,"0",G2803*P2803*100-(G2803*$AF$14))))</f>
        <v/>
      </c>
      <c r="R2803" s="79">
        <f>IF(P2803&lt;&gt;"", TODAY(), "")</f>
        <v/>
      </c>
      <c r="S2803" s="78">
        <f>IF(AND(K2803&lt;&gt;"", R2803&lt;&gt;""), R2803-K2803, "")</f>
        <v/>
      </c>
      <c r="T2803" s="78" t="n"/>
      <c r="U2803" s="92">
        <f>IF(ISBLANK(P2803),"",IF(C2803="Buy",Q2803-M2803+T2803, IF(C2803="Sell",M2803-Q2803-T2803, X)))</f>
        <v/>
      </c>
      <c r="V2803" s="81">
        <f>IF(ISBLANK(P2803),"",U2803/N2803)</f>
        <v/>
      </c>
      <c r="W2803" s="81">
        <f>IF(ISBLANK(P2803),"",IF(S2803=0,(365/0.5)*V2803,(365/S2803)*V2803))</f>
        <v/>
      </c>
      <c r="X2803" s="75" t="n"/>
      <c r="Y2803" s="77" t="n"/>
      <c r="Z2803" s="77" t="n"/>
      <c r="AA2803" s="75" t="n"/>
      <c r="AB2803" s="75" t="n"/>
      <c r="AC2803" s="6" t="n"/>
      <c r="AD2803" s="75" t="n"/>
      <c r="AE2803" s="75" t="n"/>
      <c r="AF2803" s="75" t="n"/>
    </row>
    <row r="2804" ht="15.75" customHeight="1" s="133">
      <c r="A2804" s="75" t="n"/>
      <c r="B2804" s="75" t="n"/>
      <c r="C2804" s="75" t="n"/>
      <c r="D2804" s="75" t="n"/>
      <c r="E2804" s="76" t="n"/>
      <c r="F2804" s="77" t="n"/>
      <c r="G2804" s="75" t="n"/>
      <c r="H2804" s="75">
        <f>IF(ISBLANK(E2804),"",IF(OR(D2804="Butterfly",D2804="Butterfly ",D2804="Iron Fly", D2804="Iron Fly "),LEN(E2804)-LEN(SUBSTITUTE(E2804,"/",""))+2,LEN(E2804)-LEN(SUBSTITUTE(E2804,"/",""))+1))</f>
        <v/>
      </c>
      <c r="I2804" s="78">
        <f>IF(ISBLANK(G2804),"",IF(D2804="Stock","0",Key!$A$3*H2804*G2804))</f>
        <v/>
      </c>
      <c r="J2804" s="78">
        <f>IF(ISBLANK(E2804),"",IF(ISNUMBER(SEARCH("/",E2804)), IF(LEN(E2804)-LEN(SUBSTITUTE(E2804,"/",""))=1,(RIGHT(E2804,LEN(E2804)-FIND("/",E2804)))-(LEFT(E2804,FIND("/",E2804)-1)),(MID(E2804, SEARCH("/",E2804) + 1, SEARCH("/",E2804, SEARCH("/",E2804)+1) - SEARCH("/",E2804) - 1))-(LEFT(E2804,FIND("/",E2804)-1))), "NA"))</f>
        <v/>
      </c>
      <c r="K2804" s="79">
        <f>IF(A2804&lt;&gt;"", IF(ISBLANK(L2804), TODAY(), K2804), "")</f>
        <v/>
      </c>
      <c r="L2804" s="78" t="n"/>
      <c r="M2804" s="78">
        <f>IF(ISBLANK(L2804),"",IF(D2804="Stock",IF(C2804="Buy",L2804*G2804,IF(C2804="Sell",(L2804*G2804)-I2804, X)),IF(C2804="Buy",(L2804*G2804*100)+I2804,IF(C2804="Sell",(L2804*G2804*100)-I2804, X))))</f>
        <v/>
      </c>
      <c r="N2804" s="78">
        <f>IF(ISBLANK(L2804),"",IF(AND(C2804="Sell",D2804="Stock"),M2804,IF(ISBLANK(L2804),"",IF(C2804="Buy",M2804, IF(AND(C2804="Sell",J2804="NA"),(E2804*G2804*100*0.1)+I2804, IF(C2804="Sell",(J2804-L2804)*(100*G2804)+I2804))))))</f>
        <v/>
      </c>
      <c r="O2804" s="75" t="n"/>
      <c r="P2804" s="75" t="n"/>
      <c r="Q2804" s="75">
        <f>IF(ISBLANK(P2804),"",IF(D2804="Stock",P2804*G2804,IF(P2804=0,"0",G2804*P2804*100-(G2804*$AF$14))))</f>
        <v/>
      </c>
      <c r="R2804" s="79">
        <f>IF(P2804&lt;&gt;"", TODAY(), "")</f>
        <v/>
      </c>
      <c r="S2804" s="78">
        <f>IF(AND(K2804&lt;&gt;"", R2804&lt;&gt;""), R2804-K2804, "")</f>
        <v/>
      </c>
      <c r="T2804" s="78" t="n"/>
      <c r="U2804" s="92">
        <f>IF(ISBLANK(P2804),"",IF(C2804="Buy",Q2804-M2804+T2804, IF(C2804="Sell",M2804-Q2804-T2804, X)))</f>
        <v/>
      </c>
      <c r="V2804" s="81">
        <f>IF(ISBLANK(P2804),"",U2804/N2804)</f>
        <v/>
      </c>
      <c r="W2804" s="81">
        <f>IF(ISBLANK(P2804),"",IF(S2804=0,(365/0.5)*V2804,(365/S2804)*V2804))</f>
        <v/>
      </c>
      <c r="X2804" s="75" t="n"/>
      <c r="Y2804" s="77" t="n"/>
      <c r="Z2804" s="77" t="n"/>
      <c r="AA2804" s="75" t="n"/>
      <c r="AB2804" s="75" t="n"/>
      <c r="AC2804" s="6" t="n"/>
      <c r="AD2804" s="75" t="n"/>
      <c r="AE2804" s="75" t="n"/>
      <c r="AF2804" s="75" t="n"/>
    </row>
    <row r="2805" ht="15.75" customHeight="1" s="133">
      <c r="A2805" s="75" t="n"/>
      <c r="B2805" s="75" t="n"/>
      <c r="C2805" s="75" t="n"/>
      <c r="D2805" s="75" t="n"/>
      <c r="E2805" s="76" t="n"/>
      <c r="F2805" s="77" t="n"/>
      <c r="G2805" s="75" t="n"/>
      <c r="H2805" s="75">
        <f>IF(ISBLANK(E2805),"",IF(OR(D2805="Butterfly",D2805="Butterfly ",D2805="Iron Fly", D2805="Iron Fly "),LEN(E2805)-LEN(SUBSTITUTE(E2805,"/",""))+2,LEN(E2805)-LEN(SUBSTITUTE(E2805,"/",""))+1))</f>
        <v/>
      </c>
      <c r="I2805" s="78">
        <f>IF(ISBLANK(G2805),"",IF(D2805="Stock","0",Key!$A$3*H2805*G2805))</f>
        <v/>
      </c>
      <c r="J2805" s="78">
        <f>IF(ISBLANK(E2805),"",IF(ISNUMBER(SEARCH("/",E2805)), IF(LEN(E2805)-LEN(SUBSTITUTE(E2805,"/",""))=1,(RIGHT(E2805,LEN(E2805)-FIND("/",E2805)))-(LEFT(E2805,FIND("/",E2805)-1)),(MID(E2805, SEARCH("/",E2805) + 1, SEARCH("/",E2805, SEARCH("/",E2805)+1) - SEARCH("/",E2805) - 1))-(LEFT(E2805,FIND("/",E2805)-1))), "NA"))</f>
        <v/>
      </c>
      <c r="K2805" s="79">
        <f>IF(A2805&lt;&gt;"", IF(ISBLANK(L2805), TODAY(), K2805), "")</f>
        <v/>
      </c>
      <c r="L2805" s="78" t="n"/>
      <c r="M2805" s="78">
        <f>IF(ISBLANK(L2805),"",IF(D2805="Stock",IF(C2805="Buy",L2805*G2805,IF(C2805="Sell",(L2805*G2805)-I2805, X)),IF(C2805="Buy",(L2805*G2805*100)+I2805,IF(C2805="Sell",(L2805*G2805*100)-I2805, X))))</f>
        <v/>
      </c>
      <c r="N2805" s="78">
        <f>IF(ISBLANK(L2805),"",IF(AND(C2805="Sell",D2805="Stock"),M2805,IF(ISBLANK(L2805),"",IF(C2805="Buy",M2805, IF(AND(C2805="Sell",J2805="NA"),(E2805*G2805*100*0.1)+I2805, IF(C2805="Sell",(J2805-L2805)*(100*G2805)+I2805))))))</f>
        <v/>
      </c>
      <c r="O2805" s="75" t="n"/>
      <c r="P2805" s="75" t="n"/>
      <c r="Q2805" s="75">
        <f>IF(ISBLANK(P2805),"",IF(D2805="Stock",P2805*G2805,IF(P2805=0,"0",G2805*P2805*100-(G2805*$AF$14))))</f>
        <v/>
      </c>
      <c r="R2805" s="79">
        <f>IF(P2805&lt;&gt;"", TODAY(), "")</f>
        <v/>
      </c>
      <c r="S2805" s="78">
        <f>IF(AND(K2805&lt;&gt;"", R2805&lt;&gt;""), R2805-K2805, "")</f>
        <v/>
      </c>
      <c r="T2805" s="78" t="n"/>
      <c r="U2805" s="92">
        <f>IF(ISBLANK(P2805),"",IF(C2805="Buy",Q2805-M2805+T2805, IF(C2805="Sell",M2805-Q2805-T2805, X)))</f>
        <v/>
      </c>
      <c r="V2805" s="81">
        <f>IF(ISBLANK(P2805),"",U2805/N2805)</f>
        <v/>
      </c>
      <c r="W2805" s="81">
        <f>IF(ISBLANK(P2805),"",IF(S2805=0,(365/0.5)*V2805,(365/S2805)*V2805))</f>
        <v/>
      </c>
      <c r="X2805" s="75" t="n"/>
      <c r="Y2805" s="77" t="n"/>
      <c r="Z2805" s="77" t="n"/>
      <c r="AA2805" s="75" t="n"/>
      <c r="AB2805" s="75" t="n"/>
      <c r="AC2805" s="6" t="n"/>
      <c r="AD2805" s="75" t="n"/>
      <c r="AE2805" s="75" t="n"/>
      <c r="AF2805" s="75" t="n"/>
    </row>
    <row r="2806" ht="15.75" customHeight="1" s="133">
      <c r="A2806" s="75" t="n"/>
      <c r="B2806" s="75" t="n"/>
      <c r="C2806" s="75" t="n"/>
      <c r="D2806" s="75" t="n"/>
      <c r="E2806" s="76" t="n"/>
      <c r="F2806" s="77" t="n"/>
      <c r="G2806" s="75" t="n"/>
      <c r="H2806" s="75">
        <f>IF(ISBLANK(E2806),"",IF(OR(D2806="Butterfly",D2806="Butterfly ",D2806="Iron Fly", D2806="Iron Fly "),LEN(E2806)-LEN(SUBSTITUTE(E2806,"/",""))+2,LEN(E2806)-LEN(SUBSTITUTE(E2806,"/",""))+1))</f>
        <v/>
      </c>
      <c r="I2806" s="78">
        <f>IF(ISBLANK(G2806),"",IF(D2806="Stock","0",Key!$A$3*H2806*G2806))</f>
        <v/>
      </c>
      <c r="J2806" s="78">
        <f>IF(ISBLANK(E2806),"",IF(ISNUMBER(SEARCH("/",E2806)), IF(LEN(E2806)-LEN(SUBSTITUTE(E2806,"/",""))=1,(RIGHT(E2806,LEN(E2806)-FIND("/",E2806)))-(LEFT(E2806,FIND("/",E2806)-1)),(MID(E2806, SEARCH("/",E2806) + 1, SEARCH("/",E2806, SEARCH("/",E2806)+1) - SEARCH("/",E2806) - 1))-(LEFT(E2806,FIND("/",E2806)-1))), "NA"))</f>
        <v/>
      </c>
      <c r="K2806" s="79">
        <f>IF(A2806&lt;&gt;"", IF(ISBLANK(L2806), TODAY(), K2806), "")</f>
        <v/>
      </c>
      <c r="L2806" s="78" t="n"/>
      <c r="M2806" s="78">
        <f>IF(ISBLANK(L2806),"",IF(D2806="Stock",IF(C2806="Buy",L2806*G2806,IF(C2806="Sell",(L2806*G2806)-I2806, X)),IF(C2806="Buy",(L2806*G2806*100)+I2806,IF(C2806="Sell",(L2806*G2806*100)-I2806, X))))</f>
        <v/>
      </c>
      <c r="N2806" s="78">
        <f>IF(ISBLANK(L2806),"",IF(AND(C2806="Sell",D2806="Stock"),M2806,IF(ISBLANK(L2806),"",IF(C2806="Buy",M2806, IF(AND(C2806="Sell",J2806="NA"),(E2806*G2806*100*0.1)+I2806, IF(C2806="Sell",(J2806-L2806)*(100*G2806)+I2806))))))</f>
        <v/>
      </c>
      <c r="O2806" s="75" t="n"/>
      <c r="P2806" s="75" t="n"/>
      <c r="Q2806" s="75">
        <f>IF(ISBLANK(P2806),"",IF(D2806="Stock",P2806*G2806,IF(P2806=0,"0",G2806*P2806*100-(G2806*$AF$14))))</f>
        <v/>
      </c>
      <c r="R2806" s="79">
        <f>IF(P2806&lt;&gt;"", TODAY(), "")</f>
        <v/>
      </c>
      <c r="S2806" s="78">
        <f>IF(AND(K2806&lt;&gt;"", R2806&lt;&gt;""), R2806-K2806, "")</f>
        <v/>
      </c>
      <c r="T2806" s="78" t="n"/>
      <c r="U2806" s="92">
        <f>IF(ISBLANK(P2806),"",IF(C2806="Buy",Q2806-M2806+T2806, IF(C2806="Sell",M2806-Q2806-T2806, X)))</f>
        <v/>
      </c>
      <c r="V2806" s="81">
        <f>IF(ISBLANK(P2806),"",U2806/N2806)</f>
        <v/>
      </c>
      <c r="W2806" s="81">
        <f>IF(ISBLANK(P2806),"",IF(S2806=0,(365/0.5)*V2806,(365/S2806)*V2806))</f>
        <v/>
      </c>
      <c r="X2806" s="75" t="n"/>
      <c r="Y2806" s="77" t="n"/>
      <c r="Z2806" s="77" t="n"/>
      <c r="AA2806" s="75" t="n"/>
      <c r="AB2806" s="75" t="n"/>
      <c r="AC2806" s="6" t="n"/>
      <c r="AD2806" s="75" t="n"/>
      <c r="AE2806" s="75" t="n"/>
      <c r="AF2806" s="75" t="n"/>
    </row>
    <row r="2807" ht="15.75" customHeight="1" s="133">
      <c r="A2807" s="75" t="n"/>
      <c r="B2807" s="75" t="n"/>
      <c r="C2807" s="75" t="n"/>
      <c r="D2807" s="75" t="n"/>
      <c r="E2807" s="76" t="n"/>
      <c r="F2807" s="77" t="n"/>
      <c r="G2807" s="75" t="n"/>
      <c r="H2807" s="75">
        <f>IF(ISBLANK(E2807),"",IF(OR(D2807="Butterfly",D2807="Butterfly ",D2807="Iron Fly", D2807="Iron Fly "),LEN(E2807)-LEN(SUBSTITUTE(E2807,"/",""))+2,LEN(E2807)-LEN(SUBSTITUTE(E2807,"/",""))+1))</f>
        <v/>
      </c>
      <c r="I2807" s="78">
        <f>IF(ISBLANK(G2807),"",IF(D2807="Stock","0",Key!$A$3*H2807*G2807))</f>
        <v/>
      </c>
      <c r="J2807" s="78">
        <f>IF(ISBLANK(E2807),"",IF(ISNUMBER(SEARCH("/",E2807)), IF(LEN(E2807)-LEN(SUBSTITUTE(E2807,"/",""))=1,(RIGHT(E2807,LEN(E2807)-FIND("/",E2807)))-(LEFT(E2807,FIND("/",E2807)-1)),(MID(E2807, SEARCH("/",E2807) + 1, SEARCH("/",E2807, SEARCH("/",E2807)+1) - SEARCH("/",E2807) - 1))-(LEFT(E2807,FIND("/",E2807)-1))), "NA"))</f>
        <v/>
      </c>
      <c r="K2807" s="79">
        <f>IF(A2807&lt;&gt;"", IF(ISBLANK(L2807), TODAY(), K2807), "")</f>
        <v/>
      </c>
      <c r="L2807" s="78" t="n"/>
      <c r="M2807" s="78">
        <f>IF(ISBLANK(L2807),"",IF(D2807="Stock",IF(C2807="Buy",L2807*G2807,IF(C2807="Sell",(L2807*G2807)-I2807, X)),IF(C2807="Buy",(L2807*G2807*100)+I2807,IF(C2807="Sell",(L2807*G2807*100)-I2807, X))))</f>
        <v/>
      </c>
      <c r="N2807" s="78">
        <f>IF(ISBLANK(L2807),"",IF(AND(C2807="Sell",D2807="Stock"),M2807,IF(ISBLANK(L2807),"",IF(C2807="Buy",M2807, IF(AND(C2807="Sell",J2807="NA"),(E2807*G2807*100*0.1)+I2807, IF(C2807="Sell",(J2807-L2807)*(100*G2807)+I2807))))))</f>
        <v/>
      </c>
      <c r="O2807" s="75" t="n"/>
      <c r="P2807" s="75" t="n"/>
      <c r="Q2807" s="75">
        <f>IF(ISBLANK(P2807),"",IF(D2807="Stock",P2807*G2807,IF(P2807=0,"0",G2807*P2807*100-(G2807*$AF$14))))</f>
        <v/>
      </c>
      <c r="R2807" s="79">
        <f>IF(P2807&lt;&gt;"", TODAY(), "")</f>
        <v/>
      </c>
      <c r="S2807" s="78">
        <f>IF(AND(K2807&lt;&gt;"", R2807&lt;&gt;""), R2807-K2807, "")</f>
        <v/>
      </c>
      <c r="T2807" s="78" t="n"/>
      <c r="U2807" s="92">
        <f>IF(ISBLANK(P2807),"",IF(C2807="Buy",Q2807-M2807+T2807, IF(C2807="Sell",M2807-Q2807-T2807, X)))</f>
        <v/>
      </c>
      <c r="V2807" s="81">
        <f>IF(ISBLANK(P2807),"",U2807/N2807)</f>
        <v/>
      </c>
      <c r="W2807" s="81">
        <f>IF(ISBLANK(P2807),"",IF(S2807=0,(365/0.5)*V2807,(365/S2807)*V2807))</f>
        <v/>
      </c>
      <c r="X2807" s="75" t="n"/>
      <c r="Y2807" s="77" t="n"/>
      <c r="Z2807" s="77" t="n"/>
      <c r="AA2807" s="75" t="n"/>
      <c r="AB2807" s="75" t="n"/>
      <c r="AC2807" s="6" t="n"/>
      <c r="AD2807" s="75" t="n"/>
      <c r="AE2807" s="75" t="n"/>
      <c r="AF2807" s="75" t="n"/>
    </row>
    <row r="2808" ht="15.75" customHeight="1" s="133">
      <c r="A2808" s="75" t="n"/>
      <c r="B2808" s="75" t="n"/>
      <c r="C2808" s="75" t="n"/>
      <c r="D2808" s="75" t="n"/>
      <c r="E2808" s="76" t="n"/>
      <c r="F2808" s="77" t="n"/>
      <c r="G2808" s="75" t="n"/>
      <c r="H2808" s="75">
        <f>IF(ISBLANK(E2808),"",IF(OR(D2808="Butterfly",D2808="Butterfly ",D2808="Iron Fly", D2808="Iron Fly "),LEN(E2808)-LEN(SUBSTITUTE(E2808,"/",""))+2,LEN(E2808)-LEN(SUBSTITUTE(E2808,"/",""))+1))</f>
        <v/>
      </c>
      <c r="I2808" s="78">
        <f>IF(ISBLANK(G2808),"",IF(D2808="Stock","0",Key!$A$3*H2808*G2808))</f>
        <v/>
      </c>
      <c r="J2808" s="78">
        <f>IF(ISBLANK(E2808),"",IF(ISNUMBER(SEARCH("/",E2808)), IF(LEN(E2808)-LEN(SUBSTITUTE(E2808,"/",""))=1,(RIGHT(E2808,LEN(E2808)-FIND("/",E2808)))-(LEFT(E2808,FIND("/",E2808)-1)),(MID(E2808, SEARCH("/",E2808) + 1, SEARCH("/",E2808, SEARCH("/",E2808)+1) - SEARCH("/",E2808) - 1))-(LEFT(E2808,FIND("/",E2808)-1))), "NA"))</f>
        <v/>
      </c>
      <c r="K2808" s="79">
        <f>IF(A2808&lt;&gt;"", IF(ISBLANK(L2808), TODAY(), K2808), "")</f>
        <v/>
      </c>
      <c r="L2808" s="78" t="n"/>
      <c r="M2808" s="78">
        <f>IF(ISBLANK(L2808),"",IF(D2808="Stock",IF(C2808="Buy",L2808*G2808,IF(C2808="Sell",(L2808*G2808)-I2808, X)),IF(C2808="Buy",(L2808*G2808*100)+I2808,IF(C2808="Sell",(L2808*G2808*100)-I2808, X))))</f>
        <v/>
      </c>
      <c r="N2808" s="78">
        <f>IF(ISBLANK(L2808),"",IF(AND(C2808="Sell",D2808="Stock"),M2808,IF(ISBLANK(L2808),"",IF(C2808="Buy",M2808, IF(AND(C2808="Sell",J2808="NA"),(E2808*G2808*100*0.1)+I2808, IF(C2808="Sell",(J2808-L2808)*(100*G2808)+I2808))))))</f>
        <v/>
      </c>
      <c r="O2808" s="75" t="n"/>
      <c r="P2808" s="75" t="n"/>
      <c r="Q2808" s="75">
        <f>IF(ISBLANK(P2808),"",IF(D2808="Stock",P2808*G2808,IF(P2808=0,"0",G2808*P2808*100-(G2808*$AF$14))))</f>
        <v/>
      </c>
      <c r="R2808" s="79">
        <f>IF(P2808&lt;&gt;"", TODAY(), "")</f>
        <v/>
      </c>
      <c r="S2808" s="78">
        <f>IF(AND(K2808&lt;&gt;"", R2808&lt;&gt;""), R2808-K2808, "")</f>
        <v/>
      </c>
      <c r="T2808" s="78" t="n"/>
      <c r="U2808" s="92">
        <f>IF(ISBLANK(P2808),"",IF(C2808="Buy",Q2808-M2808+T2808, IF(C2808="Sell",M2808-Q2808-T2808, X)))</f>
        <v/>
      </c>
      <c r="V2808" s="81">
        <f>IF(ISBLANK(P2808),"",U2808/N2808)</f>
        <v/>
      </c>
      <c r="W2808" s="81">
        <f>IF(ISBLANK(P2808),"",IF(S2808=0,(365/0.5)*V2808,(365/S2808)*V2808))</f>
        <v/>
      </c>
      <c r="X2808" s="75" t="n"/>
      <c r="Y2808" s="77" t="n"/>
      <c r="Z2808" s="77" t="n"/>
      <c r="AA2808" s="75" t="n"/>
      <c r="AB2808" s="75" t="n"/>
      <c r="AC2808" s="6" t="n"/>
      <c r="AD2808" s="75" t="n"/>
      <c r="AE2808" s="75" t="n"/>
      <c r="AF2808" s="75" t="n"/>
    </row>
    <row r="2809" ht="15.75" customHeight="1" s="133">
      <c r="A2809" s="75" t="n"/>
      <c r="B2809" s="75" t="n"/>
      <c r="C2809" s="75" t="n"/>
      <c r="D2809" s="75" t="n"/>
      <c r="E2809" s="76" t="n"/>
      <c r="F2809" s="77" t="n"/>
      <c r="G2809" s="75" t="n"/>
      <c r="H2809" s="75">
        <f>IF(ISBLANK(E2809),"",IF(OR(D2809="Butterfly",D2809="Butterfly ",D2809="Iron Fly", D2809="Iron Fly "),LEN(E2809)-LEN(SUBSTITUTE(E2809,"/",""))+2,LEN(E2809)-LEN(SUBSTITUTE(E2809,"/",""))+1))</f>
        <v/>
      </c>
      <c r="I2809" s="78">
        <f>IF(ISBLANK(G2809),"",IF(D2809="Stock","0",Key!$A$3*H2809*G2809))</f>
        <v/>
      </c>
      <c r="J2809" s="78">
        <f>IF(ISBLANK(E2809),"",IF(ISNUMBER(SEARCH("/",E2809)), IF(LEN(E2809)-LEN(SUBSTITUTE(E2809,"/",""))=1,(RIGHT(E2809,LEN(E2809)-FIND("/",E2809)))-(LEFT(E2809,FIND("/",E2809)-1)),(MID(E2809, SEARCH("/",E2809) + 1, SEARCH("/",E2809, SEARCH("/",E2809)+1) - SEARCH("/",E2809) - 1))-(LEFT(E2809,FIND("/",E2809)-1))), "NA"))</f>
        <v/>
      </c>
      <c r="K2809" s="79">
        <f>IF(A2809&lt;&gt;"", IF(ISBLANK(L2809), TODAY(), K2809), "")</f>
        <v/>
      </c>
      <c r="L2809" s="78" t="n"/>
      <c r="M2809" s="78">
        <f>IF(ISBLANK(L2809),"",IF(D2809="Stock",IF(C2809="Buy",L2809*G2809,IF(C2809="Sell",(L2809*G2809)-I2809, X)),IF(C2809="Buy",(L2809*G2809*100)+I2809,IF(C2809="Sell",(L2809*G2809*100)-I2809, X))))</f>
        <v/>
      </c>
      <c r="N2809" s="78">
        <f>IF(ISBLANK(L2809),"",IF(AND(C2809="Sell",D2809="Stock"),M2809,IF(ISBLANK(L2809),"",IF(C2809="Buy",M2809, IF(AND(C2809="Sell",J2809="NA"),(E2809*G2809*100*0.1)+I2809, IF(C2809="Sell",(J2809-L2809)*(100*G2809)+I2809))))))</f>
        <v/>
      </c>
      <c r="O2809" s="75" t="n"/>
      <c r="P2809" s="75" t="n"/>
      <c r="Q2809" s="75">
        <f>IF(ISBLANK(P2809),"",IF(D2809="Stock",P2809*G2809,IF(P2809=0,"0",G2809*P2809*100-(G2809*$AF$14))))</f>
        <v/>
      </c>
      <c r="R2809" s="79">
        <f>IF(P2809&lt;&gt;"", TODAY(), "")</f>
        <v/>
      </c>
      <c r="S2809" s="78">
        <f>IF(AND(K2809&lt;&gt;"", R2809&lt;&gt;""), R2809-K2809, "")</f>
        <v/>
      </c>
      <c r="T2809" s="78" t="n"/>
      <c r="U2809" s="92">
        <f>IF(ISBLANK(P2809),"",IF(C2809="Buy",Q2809-M2809+T2809, IF(C2809="Sell",M2809-Q2809-T2809, X)))</f>
        <v/>
      </c>
      <c r="V2809" s="81">
        <f>IF(ISBLANK(P2809),"",U2809/N2809)</f>
        <v/>
      </c>
      <c r="W2809" s="81">
        <f>IF(ISBLANK(P2809),"",IF(S2809=0,(365/0.5)*V2809,(365/S2809)*V2809))</f>
        <v/>
      </c>
      <c r="X2809" s="75" t="n"/>
      <c r="Y2809" s="77" t="n"/>
      <c r="Z2809" s="77" t="n"/>
      <c r="AA2809" s="75" t="n"/>
      <c r="AB2809" s="75" t="n"/>
      <c r="AC2809" s="6" t="n"/>
      <c r="AD2809" s="75" t="n"/>
      <c r="AE2809" s="75" t="n"/>
      <c r="AF2809" s="75" t="n"/>
    </row>
    <row r="2810" ht="15.75" customHeight="1" s="133">
      <c r="A2810" s="75" t="n"/>
      <c r="B2810" s="75" t="n"/>
      <c r="C2810" s="75" t="n"/>
      <c r="D2810" s="75" t="n"/>
      <c r="E2810" s="76" t="n"/>
      <c r="F2810" s="77" t="n"/>
      <c r="G2810" s="75" t="n"/>
      <c r="H2810" s="75">
        <f>IF(ISBLANK(E2810),"",IF(OR(D2810="Butterfly",D2810="Butterfly ",D2810="Iron Fly", D2810="Iron Fly "),LEN(E2810)-LEN(SUBSTITUTE(E2810,"/",""))+2,LEN(E2810)-LEN(SUBSTITUTE(E2810,"/",""))+1))</f>
        <v/>
      </c>
      <c r="I2810" s="78">
        <f>IF(ISBLANK(G2810),"",IF(D2810="Stock","0",Key!$A$3*H2810*G2810))</f>
        <v/>
      </c>
      <c r="J2810" s="78">
        <f>IF(ISBLANK(E2810),"",IF(ISNUMBER(SEARCH("/",E2810)), IF(LEN(E2810)-LEN(SUBSTITUTE(E2810,"/",""))=1,(RIGHT(E2810,LEN(E2810)-FIND("/",E2810)))-(LEFT(E2810,FIND("/",E2810)-1)),(MID(E2810, SEARCH("/",E2810) + 1, SEARCH("/",E2810, SEARCH("/",E2810)+1) - SEARCH("/",E2810) - 1))-(LEFT(E2810,FIND("/",E2810)-1))), "NA"))</f>
        <v/>
      </c>
      <c r="K2810" s="79">
        <f>IF(A2810&lt;&gt;"", IF(ISBLANK(L2810), TODAY(), K2810), "")</f>
        <v/>
      </c>
      <c r="L2810" s="78" t="n"/>
      <c r="M2810" s="78">
        <f>IF(ISBLANK(L2810),"",IF(D2810="Stock",IF(C2810="Buy",L2810*G2810,IF(C2810="Sell",(L2810*G2810)-I2810, X)),IF(C2810="Buy",(L2810*G2810*100)+I2810,IF(C2810="Sell",(L2810*G2810*100)-I2810, X))))</f>
        <v/>
      </c>
      <c r="N2810" s="78">
        <f>IF(ISBLANK(L2810),"",IF(AND(C2810="Sell",D2810="Stock"),M2810,IF(ISBLANK(L2810),"",IF(C2810="Buy",M2810, IF(AND(C2810="Sell",J2810="NA"),(E2810*G2810*100*0.1)+I2810, IF(C2810="Sell",(J2810-L2810)*(100*G2810)+I2810))))))</f>
        <v/>
      </c>
      <c r="O2810" s="75" t="n"/>
      <c r="P2810" s="75" t="n"/>
      <c r="Q2810" s="75">
        <f>IF(ISBLANK(P2810),"",IF(D2810="Stock",P2810*G2810,IF(P2810=0,"0",G2810*P2810*100-(G2810*$AF$14))))</f>
        <v/>
      </c>
      <c r="R2810" s="79">
        <f>IF(P2810&lt;&gt;"", TODAY(), "")</f>
        <v/>
      </c>
      <c r="S2810" s="78">
        <f>IF(AND(K2810&lt;&gt;"", R2810&lt;&gt;""), R2810-K2810, "")</f>
        <v/>
      </c>
      <c r="T2810" s="78" t="n"/>
      <c r="U2810" s="92">
        <f>IF(ISBLANK(P2810),"",IF(C2810="Buy",Q2810-M2810+T2810, IF(C2810="Sell",M2810-Q2810-T2810, X)))</f>
        <v/>
      </c>
      <c r="V2810" s="81">
        <f>IF(ISBLANK(P2810),"",U2810/N2810)</f>
        <v/>
      </c>
      <c r="W2810" s="81">
        <f>IF(ISBLANK(P2810),"",IF(S2810=0,(365/0.5)*V2810,(365/S2810)*V2810))</f>
        <v/>
      </c>
      <c r="X2810" s="75" t="n"/>
      <c r="Y2810" s="77" t="n"/>
      <c r="Z2810" s="77" t="n"/>
      <c r="AA2810" s="75" t="n"/>
      <c r="AB2810" s="75" t="n"/>
      <c r="AC2810" s="6" t="n"/>
      <c r="AD2810" s="75" t="n"/>
      <c r="AE2810" s="75" t="n"/>
      <c r="AF2810" s="75" t="n"/>
    </row>
    <row r="2811" ht="15.75" customHeight="1" s="133">
      <c r="A2811" s="75" t="n"/>
      <c r="B2811" s="75" t="n"/>
      <c r="C2811" s="75" t="n"/>
      <c r="D2811" s="75" t="n"/>
      <c r="E2811" s="76" t="n"/>
      <c r="F2811" s="77" t="n"/>
      <c r="G2811" s="75" t="n"/>
      <c r="H2811" s="75">
        <f>IF(ISBLANK(E2811),"",IF(OR(D2811="Butterfly",D2811="Butterfly ",D2811="Iron Fly", D2811="Iron Fly "),LEN(E2811)-LEN(SUBSTITUTE(E2811,"/",""))+2,LEN(E2811)-LEN(SUBSTITUTE(E2811,"/",""))+1))</f>
        <v/>
      </c>
      <c r="I2811" s="78">
        <f>IF(ISBLANK(G2811),"",IF(D2811="Stock","0",Key!$A$3*H2811*G2811))</f>
        <v/>
      </c>
      <c r="J2811" s="78">
        <f>IF(ISBLANK(E2811),"",IF(ISNUMBER(SEARCH("/",E2811)), IF(LEN(E2811)-LEN(SUBSTITUTE(E2811,"/",""))=1,(RIGHT(E2811,LEN(E2811)-FIND("/",E2811)))-(LEFT(E2811,FIND("/",E2811)-1)),(MID(E2811, SEARCH("/",E2811) + 1, SEARCH("/",E2811, SEARCH("/",E2811)+1) - SEARCH("/",E2811) - 1))-(LEFT(E2811,FIND("/",E2811)-1))), "NA"))</f>
        <v/>
      </c>
      <c r="K2811" s="79">
        <f>IF(A2811&lt;&gt;"", IF(ISBLANK(L2811), TODAY(), K2811), "")</f>
        <v/>
      </c>
      <c r="L2811" s="78" t="n"/>
      <c r="M2811" s="78">
        <f>IF(ISBLANK(L2811),"",IF(D2811="Stock",IF(C2811="Buy",L2811*G2811,IF(C2811="Sell",(L2811*G2811)-I2811, X)),IF(C2811="Buy",(L2811*G2811*100)+I2811,IF(C2811="Sell",(L2811*G2811*100)-I2811, X))))</f>
        <v/>
      </c>
      <c r="N2811" s="78">
        <f>IF(ISBLANK(L2811),"",IF(AND(C2811="Sell",D2811="Stock"),M2811,IF(ISBLANK(L2811),"",IF(C2811="Buy",M2811, IF(AND(C2811="Sell",J2811="NA"),(E2811*G2811*100*0.1)+I2811, IF(C2811="Sell",(J2811-L2811)*(100*G2811)+I2811))))))</f>
        <v/>
      </c>
      <c r="O2811" s="75" t="n"/>
      <c r="P2811" s="75" t="n"/>
      <c r="Q2811" s="75">
        <f>IF(ISBLANK(P2811),"",IF(D2811="Stock",P2811*G2811,IF(P2811=0,"0",G2811*P2811*100-(G2811*$AF$14))))</f>
        <v/>
      </c>
      <c r="R2811" s="79">
        <f>IF(P2811&lt;&gt;"", TODAY(), "")</f>
        <v/>
      </c>
      <c r="S2811" s="78">
        <f>IF(AND(K2811&lt;&gt;"", R2811&lt;&gt;""), R2811-K2811, "")</f>
        <v/>
      </c>
      <c r="T2811" s="78" t="n"/>
      <c r="U2811" s="92">
        <f>IF(ISBLANK(P2811),"",IF(C2811="Buy",Q2811-M2811+T2811, IF(C2811="Sell",M2811-Q2811-T2811, X)))</f>
        <v/>
      </c>
      <c r="V2811" s="81">
        <f>IF(ISBLANK(P2811),"",U2811/N2811)</f>
        <v/>
      </c>
      <c r="W2811" s="81">
        <f>IF(ISBLANK(P2811),"",IF(S2811=0,(365/0.5)*V2811,(365/S2811)*V2811))</f>
        <v/>
      </c>
      <c r="X2811" s="75" t="n"/>
      <c r="Y2811" s="77" t="n"/>
      <c r="Z2811" s="77" t="n"/>
      <c r="AA2811" s="75" t="n"/>
      <c r="AB2811" s="75" t="n"/>
      <c r="AC2811" s="6" t="n"/>
      <c r="AD2811" s="75" t="n"/>
      <c r="AE2811" s="75" t="n"/>
      <c r="AF2811" s="75" t="n"/>
    </row>
    <row r="2812" ht="15.75" customHeight="1" s="133">
      <c r="A2812" s="75" t="n"/>
      <c r="B2812" s="75" t="n"/>
      <c r="C2812" s="75" t="n"/>
      <c r="D2812" s="75" t="n"/>
      <c r="E2812" s="76" t="n"/>
      <c r="F2812" s="77" t="n"/>
      <c r="G2812" s="75" t="n"/>
      <c r="H2812" s="75">
        <f>IF(ISBLANK(E2812),"",IF(OR(D2812="Butterfly",D2812="Butterfly ",D2812="Iron Fly", D2812="Iron Fly "),LEN(E2812)-LEN(SUBSTITUTE(E2812,"/",""))+2,LEN(E2812)-LEN(SUBSTITUTE(E2812,"/",""))+1))</f>
        <v/>
      </c>
      <c r="I2812" s="78">
        <f>IF(ISBLANK(G2812),"",IF(D2812="Stock","0",Key!$A$3*H2812*G2812))</f>
        <v/>
      </c>
      <c r="J2812" s="78">
        <f>IF(ISBLANK(E2812),"",IF(ISNUMBER(SEARCH("/",E2812)), IF(LEN(E2812)-LEN(SUBSTITUTE(E2812,"/",""))=1,(RIGHT(E2812,LEN(E2812)-FIND("/",E2812)))-(LEFT(E2812,FIND("/",E2812)-1)),(MID(E2812, SEARCH("/",E2812) + 1, SEARCH("/",E2812, SEARCH("/",E2812)+1) - SEARCH("/",E2812) - 1))-(LEFT(E2812,FIND("/",E2812)-1))), "NA"))</f>
        <v/>
      </c>
      <c r="K2812" s="79">
        <f>IF(A2812&lt;&gt;"", IF(ISBLANK(L2812), TODAY(), K2812), "")</f>
        <v/>
      </c>
      <c r="L2812" s="78" t="n"/>
      <c r="M2812" s="78">
        <f>IF(ISBLANK(L2812),"",IF(D2812="Stock",IF(C2812="Buy",L2812*G2812,IF(C2812="Sell",(L2812*G2812)-I2812, X)),IF(C2812="Buy",(L2812*G2812*100)+I2812,IF(C2812="Sell",(L2812*G2812*100)-I2812, X))))</f>
        <v/>
      </c>
      <c r="N2812" s="78">
        <f>IF(ISBLANK(L2812),"",IF(AND(C2812="Sell",D2812="Stock"),M2812,IF(ISBLANK(L2812),"",IF(C2812="Buy",M2812, IF(AND(C2812="Sell",J2812="NA"),(E2812*G2812*100*0.1)+I2812, IF(C2812="Sell",(J2812-L2812)*(100*G2812)+I2812))))))</f>
        <v/>
      </c>
      <c r="O2812" s="75" t="n"/>
      <c r="P2812" s="75" t="n"/>
      <c r="Q2812" s="75">
        <f>IF(ISBLANK(P2812),"",IF(D2812="Stock",P2812*G2812,IF(P2812=0,"0",G2812*P2812*100-(G2812*$AF$14))))</f>
        <v/>
      </c>
      <c r="R2812" s="79">
        <f>IF(P2812&lt;&gt;"", TODAY(), "")</f>
        <v/>
      </c>
      <c r="S2812" s="78">
        <f>IF(AND(K2812&lt;&gt;"", R2812&lt;&gt;""), R2812-K2812, "")</f>
        <v/>
      </c>
      <c r="T2812" s="78" t="n"/>
      <c r="U2812" s="92">
        <f>IF(ISBLANK(P2812),"",IF(C2812="Buy",Q2812-M2812+T2812, IF(C2812="Sell",M2812-Q2812-T2812, X)))</f>
        <v/>
      </c>
      <c r="V2812" s="81">
        <f>IF(ISBLANK(P2812),"",U2812/N2812)</f>
        <v/>
      </c>
      <c r="W2812" s="81">
        <f>IF(ISBLANK(P2812),"",IF(S2812=0,(365/0.5)*V2812,(365/S2812)*V2812))</f>
        <v/>
      </c>
      <c r="X2812" s="75" t="n"/>
      <c r="Y2812" s="77" t="n"/>
      <c r="Z2812" s="77" t="n"/>
      <c r="AA2812" s="75" t="n"/>
      <c r="AB2812" s="75" t="n"/>
      <c r="AC2812" s="6" t="n"/>
      <c r="AD2812" s="75" t="n"/>
      <c r="AE2812" s="75" t="n"/>
      <c r="AF2812" s="75" t="n"/>
    </row>
    <row r="2813" ht="15.75" customHeight="1" s="133">
      <c r="A2813" s="75" t="n"/>
      <c r="B2813" s="75" t="n"/>
      <c r="C2813" s="75" t="n"/>
      <c r="D2813" s="75" t="n"/>
      <c r="E2813" s="76" t="n"/>
      <c r="F2813" s="77" t="n"/>
      <c r="G2813" s="75" t="n"/>
      <c r="H2813" s="75">
        <f>IF(ISBLANK(E2813),"",IF(OR(D2813="Butterfly",D2813="Butterfly ",D2813="Iron Fly", D2813="Iron Fly "),LEN(E2813)-LEN(SUBSTITUTE(E2813,"/",""))+2,LEN(E2813)-LEN(SUBSTITUTE(E2813,"/",""))+1))</f>
        <v/>
      </c>
      <c r="I2813" s="78">
        <f>IF(ISBLANK(G2813),"",IF(D2813="Stock","0",Key!$A$3*H2813*G2813))</f>
        <v/>
      </c>
      <c r="J2813" s="78">
        <f>IF(ISBLANK(E2813),"",IF(ISNUMBER(SEARCH("/",E2813)), IF(LEN(E2813)-LEN(SUBSTITUTE(E2813,"/",""))=1,(RIGHT(E2813,LEN(E2813)-FIND("/",E2813)))-(LEFT(E2813,FIND("/",E2813)-1)),(MID(E2813, SEARCH("/",E2813) + 1, SEARCH("/",E2813, SEARCH("/",E2813)+1) - SEARCH("/",E2813) - 1))-(LEFT(E2813,FIND("/",E2813)-1))), "NA"))</f>
        <v/>
      </c>
      <c r="K2813" s="79">
        <f>IF(A2813&lt;&gt;"", IF(ISBLANK(L2813), TODAY(), K2813), "")</f>
        <v/>
      </c>
      <c r="L2813" s="78" t="n"/>
      <c r="M2813" s="78">
        <f>IF(ISBLANK(L2813),"",IF(D2813="Stock",IF(C2813="Buy",L2813*G2813,IF(C2813="Sell",(L2813*G2813)-I2813, X)),IF(C2813="Buy",(L2813*G2813*100)+I2813,IF(C2813="Sell",(L2813*G2813*100)-I2813, X))))</f>
        <v/>
      </c>
      <c r="N2813" s="78">
        <f>IF(ISBLANK(L2813),"",IF(AND(C2813="Sell",D2813="Stock"),M2813,IF(ISBLANK(L2813),"",IF(C2813="Buy",M2813, IF(AND(C2813="Sell",J2813="NA"),(E2813*G2813*100*0.1)+I2813, IF(C2813="Sell",(J2813-L2813)*(100*G2813)+I2813))))))</f>
        <v/>
      </c>
      <c r="O2813" s="75" t="n"/>
      <c r="P2813" s="75" t="n"/>
      <c r="Q2813" s="75">
        <f>IF(ISBLANK(P2813),"",IF(D2813="Stock",P2813*G2813,IF(P2813=0,"0",G2813*P2813*100-(G2813*$AF$14))))</f>
        <v/>
      </c>
      <c r="R2813" s="79">
        <f>IF(P2813&lt;&gt;"", TODAY(), "")</f>
        <v/>
      </c>
      <c r="S2813" s="78">
        <f>IF(AND(K2813&lt;&gt;"", R2813&lt;&gt;""), R2813-K2813, "")</f>
        <v/>
      </c>
      <c r="T2813" s="78" t="n"/>
      <c r="U2813" s="92">
        <f>IF(ISBLANK(P2813),"",IF(C2813="Buy",Q2813-M2813+T2813, IF(C2813="Sell",M2813-Q2813-T2813, X)))</f>
        <v/>
      </c>
      <c r="V2813" s="81">
        <f>IF(ISBLANK(P2813),"",U2813/N2813)</f>
        <v/>
      </c>
      <c r="W2813" s="81">
        <f>IF(ISBLANK(P2813),"",IF(S2813=0,(365/0.5)*V2813,(365/S2813)*V2813))</f>
        <v/>
      </c>
      <c r="X2813" s="75" t="n"/>
      <c r="Y2813" s="77" t="n"/>
      <c r="Z2813" s="77" t="n"/>
      <c r="AA2813" s="75" t="n"/>
      <c r="AB2813" s="75" t="n"/>
      <c r="AC2813" s="6" t="n"/>
      <c r="AD2813" s="75" t="n"/>
      <c r="AE2813" s="75" t="n"/>
      <c r="AF2813" s="75" t="n"/>
    </row>
    <row r="2814" ht="15.75" customHeight="1" s="133">
      <c r="A2814" s="75" t="n"/>
      <c r="B2814" s="75" t="n"/>
      <c r="C2814" s="75" t="n"/>
      <c r="D2814" s="75" t="n"/>
      <c r="E2814" s="76" t="n"/>
      <c r="F2814" s="77" t="n"/>
      <c r="G2814" s="75" t="n"/>
      <c r="H2814" s="75">
        <f>IF(ISBLANK(E2814),"",IF(OR(D2814="Butterfly",D2814="Butterfly ",D2814="Iron Fly", D2814="Iron Fly "),LEN(E2814)-LEN(SUBSTITUTE(E2814,"/",""))+2,LEN(E2814)-LEN(SUBSTITUTE(E2814,"/",""))+1))</f>
        <v/>
      </c>
      <c r="I2814" s="78">
        <f>IF(ISBLANK(G2814),"",IF(D2814="Stock","0",Key!$A$3*H2814*G2814))</f>
        <v/>
      </c>
      <c r="J2814" s="78">
        <f>IF(ISBLANK(E2814),"",IF(ISNUMBER(SEARCH("/",E2814)), IF(LEN(E2814)-LEN(SUBSTITUTE(E2814,"/",""))=1,(RIGHT(E2814,LEN(E2814)-FIND("/",E2814)))-(LEFT(E2814,FIND("/",E2814)-1)),(MID(E2814, SEARCH("/",E2814) + 1, SEARCH("/",E2814, SEARCH("/",E2814)+1) - SEARCH("/",E2814) - 1))-(LEFT(E2814,FIND("/",E2814)-1))), "NA"))</f>
        <v/>
      </c>
      <c r="K2814" s="79">
        <f>IF(A2814&lt;&gt;"", IF(ISBLANK(L2814), TODAY(), K2814), "")</f>
        <v/>
      </c>
      <c r="L2814" s="78" t="n"/>
      <c r="M2814" s="78">
        <f>IF(ISBLANK(L2814),"",IF(D2814="Stock",IF(C2814="Buy",L2814*G2814,IF(C2814="Sell",(L2814*G2814)-I2814, X)),IF(C2814="Buy",(L2814*G2814*100)+I2814,IF(C2814="Sell",(L2814*G2814*100)-I2814, X))))</f>
        <v/>
      </c>
      <c r="N2814" s="78">
        <f>IF(ISBLANK(L2814),"",IF(AND(C2814="Sell",D2814="Stock"),M2814,IF(ISBLANK(L2814),"",IF(C2814="Buy",M2814, IF(AND(C2814="Sell",J2814="NA"),(E2814*G2814*100*0.1)+I2814, IF(C2814="Sell",(J2814-L2814)*(100*G2814)+I2814))))))</f>
        <v/>
      </c>
      <c r="O2814" s="75" t="n"/>
      <c r="P2814" s="75" t="n"/>
      <c r="Q2814" s="75">
        <f>IF(ISBLANK(P2814),"",IF(D2814="Stock",P2814*G2814,IF(P2814=0,"0",G2814*P2814*100-(G2814*$AF$14))))</f>
        <v/>
      </c>
      <c r="R2814" s="79">
        <f>IF(P2814&lt;&gt;"", TODAY(), "")</f>
        <v/>
      </c>
      <c r="S2814" s="78">
        <f>IF(AND(K2814&lt;&gt;"", R2814&lt;&gt;""), R2814-K2814, "")</f>
        <v/>
      </c>
      <c r="T2814" s="78" t="n"/>
      <c r="U2814" s="92">
        <f>IF(ISBLANK(P2814),"",IF(C2814="Buy",Q2814-M2814+T2814, IF(C2814="Sell",M2814-Q2814-T2814, X)))</f>
        <v/>
      </c>
      <c r="V2814" s="81">
        <f>IF(ISBLANK(P2814),"",U2814/N2814)</f>
        <v/>
      </c>
      <c r="W2814" s="81">
        <f>IF(ISBLANK(P2814),"",IF(S2814=0,(365/0.5)*V2814,(365/S2814)*V2814))</f>
        <v/>
      </c>
      <c r="X2814" s="75" t="n"/>
      <c r="Y2814" s="77" t="n"/>
      <c r="Z2814" s="77" t="n"/>
      <c r="AA2814" s="75" t="n"/>
      <c r="AB2814" s="75" t="n"/>
      <c r="AC2814" s="6" t="n"/>
      <c r="AD2814" s="75" t="n"/>
      <c r="AE2814" s="75" t="n"/>
      <c r="AF2814" s="75" t="n"/>
    </row>
    <row r="2815" ht="15.75" customHeight="1" s="133">
      <c r="A2815" s="75" t="n"/>
      <c r="B2815" s="75" t="n"/>
      <c r="C2815" s="75" t="n"/>
      <c r="D2815" s="75" t="n"/>
      <c r="E2815" s="76" t="n"/>
      <c r="F2815" s="77" t="n"/>
      <c r="G2815" s="75" t="n"/>
      <c r="H2815" s="75">
        <f>IF(ISBLANK(E2815),"",IF(OR(D2815="Butterfly",D2815="Butterfly ",D2815="Iron Fly", D2815="Iron Fly "),LEN(E2815)-LEN(SUBSTITUTE(E2815,"/",""))+2,LEN(E2815)-LEN(SUBSTITUTE(E2815,"/",""))+1))</f>
        <v/>
      </c>
      <c r="I2815" s="78">
        <f>IF(ISBLANK(G2815),"",IF(D2815="Stock","0",Key!$A$3*H2815*G2815))</f>
        <v/>
      </c>
      <c r="J2815" s="78">
        <f>IF(ISBLANK(E2815),"",IF(ISNUMBER(SEARCH("/",E2815)), IF(LEN(E2815)-LEN(SUBSTITUTE(E2815,"/",""))=1,(RIGHT(E2815,LEN(E2815)-FIND("/",E2815)))-(LEFT(E2815,FIND("/",E2815)-1)),(MID(E2815, SEARCH("/",E2815) + 1, SEARCH("/",E2815, SEARCH("/",E2815)+1) - SEARCH("/",E2815) - 1))-(LEFT(E2815,FIND("/",E2815)-1))), "NA"))</f>
        <v/>
      </c>
      <c r="K2815" s="79">
        <f>IF(A2815&lt;&gt;"", IF(ISBLANK(L2815), TODAY(), K2815), "")</f>
        <v/>
      </c>
      <c r="L2815" s="78" t="n"/>
      <c r="M2815" s="78">
        <f>IF(ISBLANK(L2815),"",IF(D2815="Stock",IF(C2815="Buy",L2815*G2815,IF(C2815="Sell",(L2815*G2815)-I2815, X)),IF(C2815="Buy",(L2815*G2815*100)+I2815,IF(C2815="Sell",(L2815*G2815*100)-I2815, X))))</f>
        <v/>
      </c>
      <c r="N2815" s="78">
        <f>IF(ISBLANK(L2815),"",IF(AND(C2815="Sell",D2815="Stock"),M2815,IF(ISBLANK(L2815),"",IF(C2815="Buy",M2815, IF(AND(C2815="Sell",J2815="NA"),(E2815*G2815*100*0.1)+I2815, IF(C2815="Sell",(J2815-L2815)*(100*G2815)+I2815))))))</f>
        <v/>
      </c>
      <c r="O2815" s="75" t="n"/>
      <c r="P2815" s="75" t="n"/>
      <c r="Q2815" s="75">
        <f>IF(ISBLANK(P2815),"",IF(D2815="Stock",P2815*G2815,IF(P2815=0,"0",G2815*P2815*100-(G2815*$AF$14))))</f>
        <v/>
      </c>
      <c r="R2815" s="79">
        <f>IF(P2815&lt;&gt;"", TODAY(), "")</f>
        <v/>
      </c>
      <c r="S2815" s="78">
        <f>IF(AND(K2815&lt;&gt;"", R2815&lt;&gt;""), R2815-K2815, "")</f>
        <v/>
      </c>
      <c r="T2815" s="78" t="n"/>
      <c r="U2815" s="92">
        <f>IF(ISBLANK(P2815),"",IF(C2815="Buy",Q2815-M2815+T2815, IF(C2815="Sell",M2815-Q2815-T2815, X)))</f>
        <v/>
      </c>
      <c r="V2815" s="81">
        <f>IF(ISBLANK(P2815),"",U2815/N2815)</f>
        <v/>
      </c>
      <c r="W2815" s="81">
        <f>IF(ISBLANK(P2815),"",IF(S2815=0,(365/0.5)*V2815,(365/S2815)*V2815))</f>
        <v/>
      </c>
      <c r="X2815" s="75" t="n"/>
      <c r="Y2815" s="77" t="n"/>
      <c r="Z2815" s="77" t="n"/>
      <c r="AA2815" s="75" t="n"/>
      <c r="AB2815" s="75" t="n"/>
      <c r="AC2815" s="6" t="n"/>
      <c r="AD2815" s="75" t="n"/>
      <c r="AE2815" s="75" t="n"/>
      <c r="AF2815" s="75" t="n"/>
    </row>
    <row r="2816" ht="15.75" customHeight="1" s="133">
      <c r="A2816" s="75" t="n"/>
      <c r="B2816" s="75" t="n"/>
      <c r="C2816" s="75" t="n"/>
      <c r="D2816" s="75" t="n"/>
      <c r="E2816" s="76" t="n"/>
      <c r="F2816" s="77" t="n"/>
      <c r="G2816" s="75" t="n"/>
      <c r="H2816" s="75">
        <f>IF(ISBLANK(E2816),"",IF(OR(D2816="Butterfly",D2816="Butterfly ",D2816="Iron Fly", D2816="Iron Fly "),LEN(E2816)-LEN(SUBSTITUTE(E2816,"/",""))+2,LEN(E2816)-LEN(SUBSTITUTE(E2816,"/",""))+1))</f>
        <v/>
      </c>
      <c r="I2816" s="78">
        <f>IF(ISBLANK(G2816),"",IF(D2816="Stock","0",Key!$A$3*H2816*G2816))</f>
        <v/>
      </c>
      <c r="J2816" s="78">
        <f>IF(ISBLANK(E2816),"",IF(ISNUMBER(SEARCH("/",E2816)), IF(LEN(E2816)-LEN(SUBSTITUTE(E2816,"/",""))=1,(RIGHT(E2816,LEN(E2816)-FIND("/",E2816)))-(LEFT(E2816,FIND("/",E2816)-1)),(MID(E2816, SEARCH("/",E2816) + 1, SEARCH("/",E2816, SEARCH("/",E2816)+1) - SEARCH("/",E2816) - 1))-(LEFT(E2816,FIND("/",E2816)-1))), "NA"))</f>
        <v/>
      </c>
      <c r="K2816" s="79">
        <f>IF(A2816&lt;&gt;"", IF(ISBLANK(L2816), TODAY(), K2816), "")</f>
        <v/>
      </c>
      <c r="L2816" s="78" t="n"/>
      <c r="M2816" s="78">
        <f>IF(ISBLANK(L2816),"",IF(D2816="Stock",IF(C2816="Buy",L2816*G2816,IF(C2816="Sell",(L2816*G2816)-I2816, X)),IF(C2816="Buy",(L2816*G2816*100)+I2816,IF(C2816="Sell",(L2816*G2816*100)-I2816, X))))</f>
        <v/>
      </c>
      <c r="N2816" s="78">
        <f>IF(ISBLANK(L2816),"",IF(AND(C2816="Sell",D2816="Stock"),M2816,IF(ISBLANK(L2816),"",IF(C2816="Buy",M2816, IF(AND(C2816="Sell",J2816="NA"),(E2816*G2816*100*0.1)+I2816, IF(C2816="Sell",(J2816-L2816)*(100*G2816)+I2816))))))</f>
        <v/>
      </c>
      <c r="O2816" s="75" t="n"/>
      <c r="P2816" s="75" t="n"/>
      <c r="Q2816" s="75">
        <f>IF(ISBLANK(P2816),"",IF(D2816="Stock",P2816*G2816,IF(P2816=0,"0",G2816*P2816*100-(G2816*$AF$14))))</f>
        <v/>
      </c>
      <c r="R2816" s="79">
        <f>IF(P2816&lt;&gt;"", TODAY(), "")</f>
        <v/>
      </c>
      <c r="S2816" s="78">
        <f>IF(AND(K2816&lt;&gt;"", R2816&lt;&gt;""), R2816-K2816, "")</f>
        <v/>
      </c>
      <c r="T2816" s="78" t="n"/>
      <c r="U2816" s="92">
        <f>IF(ISBLANK(P2816),"",IF(C2816="Buy",Q2816-M2816+T2816, IF(C2816="Sell",M2816-Q2816-T2816, X)))</f>
        <v/>
      </c>
      <c r="V2816" s="81">
        <f>IF(ISBLANK(P2816),"",U2816/N2816)</f>
        <v/>
      </c>
      <c r="W2816" s="81">
        <f>IF(ISBLANK(P2816),"",IF(S2816=0,(365/0.5)*V2816,(365/S2816)*V2816))</f>
        <v/>
      </c>
      <c r="X2816" s="75" t="n"/>
      <c r="Y2816" s="77" t="n"/>
      <c r="Z2816" s="77" t="n"/>
      <c r="AA2816" s="75" t="n"/>
      <c r="AB2816" s="75" t="n"/>
      <c r="AC2816" s="6" t="n"/>
      <c r="AD2816" s="75" t="n"/>
      <c r="AE2816" s="75" t="n"/>
      <c r="AF2816" s="75" t="n"/>
    </row>
    <row r="2817" ht="15.75" customHeight="1" s="133">
      <c r="A2817" s="75" t="n"/>
      <c r="B2817" s="75" t="n"/>
      <c r="C2817" s="75" t="n"/>
      <c r="D2817" s="75" t="n"/>
      <c r="E2817" s="76" t="n"/>
      <c r="F2817" s="77" t="n"/>
      <c r="G2817" s="75" t="n"/>
      <c r="H2817" s="75">
        <f>IF(ISBLANK(E2817),"",IF(OR(D2817="Butterfly",D2817="Butterfly ",D2817="Iron Fly", D2817="Iron Fly "),LEN(E2817)-LEN(SUBSTITUTE(E2817,"/",""))+2,LEN(E2817)-LEN(SUBSTITUTE(E2817,"/",""))+1))</f>
        <v/>
      </c>
      <c r="I2817" s="78">
        <f>IF(ISBLANK(G2817),"",IF(D2817="Stock","0",Key!$A$3*H2817*G2817))</f>
        <v/>
      </c>
      <c r="J2817" s="78">
        <f>IF(ISBLANK(E2817),"",IF(ISNUMBER(SEARCH("/",E2817)), IF(LEN(E2817)-LEN(SUBSTITUTE(E2817,"/",""))=1,(RIGHT(E2817,LEN(E2817)-FIND("/",E2817)))-(LEFT(E2817,FIND("/",E2817)-1)),(MID(E2817, SEARCH("/",E2817) + 1, SEARCH("/",E2817, SEARCH("/",E2817)+1) - SEARCH("/",E2817) - 1))-(LEFT(E2817,FIND("/",E2817)-1))), "NA"))</f>
        <v/>
      </c>
      <c r="K2817" s="79">
        <f>IF(A2817&lt;&gt;"", IF(ISBLANK(L2817), TODAY(), K2817), "")</f>
        <v/>
      </c>
      <c r="L2817" s="78" t="n"/>
      <c r="M2817" s="78">
        <f>IF(ISBLANK(L2817),"",IF(D2817="Stock",IF(C2817="Buy",L2817*G2817,IF(C2817="Sell",(L2817*G2817)-I2817, X)),IF(C2817="Buy",(L2817*G2817*100)+I2817,IF(C2817="Sell",(L2817*G2817*100)-I2817, X))))</f>
        <v/>
      </c>
      <c r="N2817" s="78">
        <f>IF(ISBLANK(L2817),"",IF(AND(C2817="Sell",D2817="Stock"),M2817,IF(ISBLANK(L2817),"",IF(C2817="Buy",M2817, IF(AND(C2817="Sell",J2817="NA"),(E2817*G2817*100*0.1)+I2817, IF(C2817="Sell",(J2817-L2817)*(100*G2817)+I2817))))))</f>
        <v/>
      </c>
      <c r="O2817" s="75" t="n"/>
      <c r="P2817" s="75" t="n"/>
      <c r="Q2817" s="75">
        <f>IF(ISBLANK(P2817),"",IF(D2817="Stock",P2817*G2817,IF(P2817=0,"0",G2817*P2817*100-(G2817*$AF$14))))</f>
        <v/>
      </c>
      <c r="R2817" s="79">
        <f>IF(P2817&lt;&gt;"", TODAY(), "")</f>
        <v/>
      </c>
      <c r="S2817" s="78">
        <f>IF(AND(K2817&lt;&gt;"", R2817&lt;&gt;""), R2817-K2817, "")</f>
        <v/>
      </c>
      <c r="T2817" s="78" t="n"/>
      <c r="U2817" s="92">
        <f>IF(ISBLANK(P2817),"",IF(C2817="Buy",Q2817-M2817+T2817, IF(C2817="Sell",M2817-Q2817-T2817, X)))</f>
        <v/>
      </c>
      <c r="V2817" s="81">
        <f>IF(ISBLANK(P2817),"",U2817/N2817)</f>
        <v/>
      </c>
      <c r="W2817" s="81">
        <f>IF(ISBLANK(P2817),"",IF(S2817=0,(365/0.5)*V2817,(365/S2817)*V2817))</f>
        <v/>
      </c>
      <c r="X2817" s="75" t="n"/>
      <c r="Y2817" s="77" t="n"/>
      <c r="Z2817" s="77" t="n"/>
      <c r="AA2817" s="75" t="n"/>
      <c r="AB2817" s="75" t="n"/>
      <c r="AC2817" s="6" t="n"/>
      <c r="AD2817" s="75" t="n"/>
      <c r="AE2817" s="75" t="n"/>
      <c r="AF2817" s="75" t="n"/>
    </row>
    <row r="2818" ht="15.75" customHeight="1" s="133">
      <c r="A2818" s="75" t="n"/>
      <c r="B2818" s="75" t="n"/>
      <c r="C2818" s="75" t="n"/>
      <c r="D2818" s="75" t="n"/>
      <c r="E2818" s="76" t="n"/>
      <c r="F2818" s="77" t="n"/>
      <c r="G2818" s="75" t="n"/>
      <c r="H2818" s="75">
        <f>IF(ISBLANK(E2818),"",IF(OR(D2818="Butterfly",D2818="Butterfly ",D2818="Iron Fly", D2818="Iron Fly "),LEN(E2818)-LEN(SUBSTITUTE(E2818,"/",""))+2,LEN(E2818)-LEN(SUBSTITUTE(E2818,"/",""))+1))</f>
        <v/>
      </c>
      <c r="I2818" s="78">
        <f>IF(ISBLANK(G2818),"",IF(D2818="Stock","0",Key!$A$3*H2818*G2818))</f>
        <v/>
      </c>
      <c r="J2818" s="78">
        <f>IF(ISBLANK(E2818),"",IF(ISNUMBER(SEARCH("/",E2818)), IF(LEN(E2818)-LEN(SUBSTITUTE(E2818,"/",""))=1,(RIGHT(E2818,LEN(E2818)-FIND("/",E2818)))-(LEFT(E2818,FIND("/",E2818)-1)),(MID(E2818, SEARCH("/",E2818) + 1, SEARCH("/",E2818, SEARCH("/",E2818)+1) - SEARCH("/",E2818) - 1))-(LEFT(E2818,FIND("/",E2818)-1))), "NA"))</f>
        <v/>
      </c>
      <c r="K2818" s="79">
        <f>IF(A2818&lt;&gt;"", IF(ISBLANK(L2818), TODAY(), K2818), "")</f>
        <v/>
      </c>
      <c r="L2818" s="78" t="n"/>
      <c r="M2818" s="78">
        <f>IF(ISBLANK(L2818),"",IF(D2818="Stock",IF(C2818="Buy",L2818*G2818,IF(C2818="Sell",(L2818*G2818)-I2818, X)),IF(C2818="Buy",(L2818*G2818*100)+I2818,IF(C2818="Sell",(L2818*G2818*100)-I2818, X))))</f>
        <v/>
      </c>
      <c r="N2818" s="78">
        <f>IF(ISBLANK(L2818),"",IF(AND(C2818="Sell",D2818="Stock"),M2818,IF(ISBLANK(L2818),"",IF(C2818="Buy",M2818, IF(AND(C2818="Sell",J2818="NA"),(E2818*G2818*100*0.1)+I2818, IF(C2818="Sell",(J2818-L2818)*(100*G2818)+I2818))))))</f>
        <v/>
      </c>
      <c r="O2818" s="75" t="n"/>
      <c r="P2818" s="75" t="n"/>
      <c r="Q2818" s="75">
        <f>IF(ISBLANK(P2818),"",IF(D2818="Stock",P2818*G2818,IF(P2818=0,"0",G2818*P2818*100-(G2818*$AF$14))))</f>
        <v/>
      </c>
      <c r="R2818" s="79">
        <f>IF(P2818&lt;&gt;"", TODAY(), "")</f>
        <v/>
      </c>
      <c r="S2818" s="78">
        <f>IF(AND(K2818&lt;&gt;"", R2818&lt;&gt;""), R2818-K2818, "")</f>
        <v/>
      </c>
      <c r="T2818" s="78" t="n"/>
      <c r="U2818" s="92">
        <f>IF(ISBLANK(P2818),"",IF(C2818="Buy",Q2818-M2818+T2818, IF(C2818="Sell",M2818-Q2818-T2818, X)))</f>
        <v/>
      </c>
      <c r="V2818" s="81">
        <f>IF(ISBLANK(P2818),"",U2818/N2818)</f>
        <v/>
      </c>
      <c r="W2818" s="81">
        <f>IF(ISBLANK(P2818),"",IF(S2818=0,(365/0.5)*V2818,(365/S2818)*V2818))</f>
        <v/>
      </c>
      <c r="X2818" s="75" t="n"/>
      <c r="Y2818" s="77" t="n"/>
      <c r="Z2818" s="77" t="n"/>
      <c r="AA2818" s="75" t="n"/>
      <c r="AB2818" s="75" t="n"/>
      <c r="AC2818" s="6" t="n"/>
      <c r="AD2818" s="75" t="n"/>
      <c r="AE2818" s="75" t="n"/>
      <c r="AF2818" s="75" t="n"/>
    </row>
    <row r="2819" ht="15.75" customHeight="1" s="133">
      <c r="A2819" s="75" t="n"/>
      <c r="B2819" s="75" t="n"/>
      <c r="C2819" s="75" t="n"/>
      <c r="D2819" s="75" t="n"/>
      <c r="E2819" s="76" t="n"/>
      <c r="F2819" s="77" t="n"/>
      <c r="G2819" s="75" t="n"/>
      <c r="H2819" s="75">
        <f>IF(ISBLANK(E2819),"",IF(OR(D2819="Butterfly",D2819="Butterfly ",D2819="Iron Fly", D2819="Iron Fly "),LEN(E2819)-LEN(SUBSTITUTE(E2819,"/",""))+2,LEN(E2819)-LEN(SUBSTITUTE(E2819,"/",""))+1))</f>
        <v/>
      </c>
      <c r="I2819" s="78">
        <f>IF(ISBLANK(G2819),"",IF(D2819="Stock","0",Key!$A$3*H2819*G2819))</f>
        <v/>
      </c>
      <c r="J2819" s="78">
        <f>IF(ISBLANK(E2819),"",IF(ISNUMBER(SEARCH("/",E2819)), IF(LEN(E2819)-LEN(SUBSTITUTE(E2819,"/",""))=1,(RIGHT(E2819,LEN(E2819)-FIND("/",E2819)))-(LEFT(E2819,FIND("/",E2819)-1)),(MID(E2819, SEARCH("/",E2819) + 1, SEARCH("/",E2819, SEARCH("/",E2819)+1) - SEARCH("/",E2819) - 1))-(LEFT(E2819,FIND("/",E2819)-1))), "NA"))</f>
        <v/>
      </c>
      <c r="K2819" s="79">
        <f>IF(A2819&lt;&gt;"", IF(ISBLANK(L2819), TODAY(), K2819), "")</f>
        <v/>
      </c>
      <c r="L2819" s="78" t="n"/>
      <c r="M2819" s="78">
        <f>IF(ISBLANK(L2819),"",IF(D2819="Stock",IF(C2819="Buy",L2819*G2819,IF(C2819="Sell",(L2819*G2819)-I2819, X)),IF(C2819="Buy",(L2819*G2819*100)+I2819,IF(C2819="Sell",(L2819*G2819*100)-I2819, X))))</f>
        <v/>
      </c>
      <c r="N2819" s="78">
        <f>IF(ISBLANK(L2819),"",IF(AND(C2819="Sell",D2819="Stock"),M2819,IF(ISBLANK(L2819),"",IF(C2819="Buy",M2819, IF(AND(C2819="Sell",J2819="NA"),(E2819*G2819*100*0.1)+I2819, IF(C2819="Sell",(J2819-L2819)*(100*G2819)+I2819))))))</f>
        <v/>
      </c>
      <c r="O2819" s="75" t="n"/>
      <c r="P2819" s="75" t="n"/>
      <c r="Q2819" s="75">
        <f>IF(ISBLANK(P2819),"",IF(D2819="Stock",P2819*G2819,IF(P2819=0,"0",G2819*P2819*100-(G2819*$AF$14))))</f>
        <v/>
      </c>
      <c r="R2819" s="79">
        <f>IF(P2819&lt;&gt;"", TODAY(), "")</f>
        <v/>
      </c>
      <c r="S2819" s="78">
        <f>IF(AND(K2819&lt;&gt;"", R2819&lt;&gt;""), R2819-K2819, "")</f>
        <v/>
      </c>
      <c r="T2819" s="78" t="n"/>
      <c r="U2819" s="92">
        <f>IF(ISBLANK(P2819),"",IF(C2819="Buy",Q2819-M2819+T2819, IF(C2819="Sell",M2819-Q2819-T2819, X)))</f>
        <v/>
      </c>
      <c r="V2819" s="81">
        <f>IF(ISBLANK(P2819),"",U2819/N2819)</f>
        <v/>
      </c>
      <c r="W2819" s="81">
        <f>IF(ISBLANK(P2819),"",IF(S2819=0,(365/0.5)*V2819,(365/S2819)*V2819))</f>
        <v/>
      </c>
      <c r="X2819" s="75" t="n"/>
      <c r="Y2819" s="77" t="n"/>
      <c r="Z2819" s="77" t="n"/>
      <c r="AA2819" s="75" t="n"/>
      <c r="AB2819" s="75" t="n"/>
      <c r="AC2819" s="6" t="n"/>
      <c r="AD2819" s="75" t="n"/>
      <c r="AE2819" s="75" t="n"/>
      <c r="AF2819" s="75" t="n"/>
    </row>
    <row r="2820" ht="15.75" customHeight="1" s="133">
      <c r="A2820" s="75" t="n"/>
      <c r="B2820" s="75" t="n"/>
      <c r="C2820" s="75" t="n"/>
      <c r="D2820" s="75" t="n"/>
      <c r="E2820" s="76" t="n"/>
      <c r="F2820" s="77" t="n"/>
      <c r="G2820" s="75" t="n"/>
      <c r="H2820" s="75">
        <f>IF(ISBLANK(E2820),"",IF(OR(D2820="Butterfly",D2820="Butterfly ",D2820="Iron Fly", D2820="Iron Fly "),LEN(E2820)-LEN(SUBSTITUTE(E2820,"/",""))+2,LEN(E2820)-LEN(SUBSTITUTE(E2820,"/",""))+1))</f>
        <v/>
      </c>
      <c r="I2820" s="78">
        <f>IF(ISBLANK(G2820),"",IF(D2820="Stock","0",Key!$A$3*H2820*G2820))</f>
        <v/>
      </c>
      <c r="J2820" s="78">
        <f>IF(ISBLANK(E2820),"",IF(ISNUMBER(SEARCH("/",E2820)), IF(LEN(E2820)-LEN(SUBSTITUTE(E2820,"/",""))=1,(RIGHT(E2820,LEN(E2820)-FIND("/",E2820)))-(LEFT(E2820,FIND("/",E2820)-1)),(MID(E2820, SEARCH("/",E2820) + 1, SEARCH("/",E2820, SEARCH("/",E2820)+1) - SEARCH("/",E2820) - 1))-(LEFT(E2820,FIND("/",E2820)-1))), "NA"))</f>
        <v/>
      </c>
      <c r="K2820" s="79">
        <f>IF(A2820&lt;&gt;"", IF(ISBLANK(L2820), TODAY(), K2820), "")</f>
        <v/>
      </c>
      <c r="L2820" s="78" t="n"/>
      <c r="M2820" s="78">
        <f>IF(ISBLANK(L2820),"",IF(D2820="Stock",IF(C2820="Buy",L2820*G2820,IF(C2820="Sell",(L2820*G2820)-I2820, X)),IF(C2820="Buy",(L2820*G2820*100)+I2820,IF(C2820="Sell",(L2820*G2820*100)-I2820, X))))</f>
        <v/>
      </c>
      <c r="N2820" s="78">
        <f>IF(ISBLANK(L2820),"",IF(AND(C2820="Sell",D2820="Stock"),M2820,IF(ISBLANK(L2820),"",IF(C2820="Buy",M2820, IF(AND(C2820="Sell",J2820="NA"),(E2820*G2820*100*0.1)+I2820, IF(C2820="Sell",(J2820-L2820)*(100*G2820)+I2820))))))</f>
        <v/>
      </c>
      <c r="O2820" s="75" t="n"/>
      <c r="P2820" s="75" t="n"/>
      <c r="Q2820" s="75">
        <f>IF(ISBLANK(P2820),"",IF(D2820="Stock",P2820*G2820,IF(P2820=0,"0",G2820*P2820*100-(G2820*$AF$14))))</f>
        <v/>
      </c>
      <c r="R2820" s="79">
        <f>IF(P2820&lt;&gt;"", TODAY(), "")</f>
        <v/>
      </c>
      <c r="S2820" s="78">
        <f>IF(AND(K2820&lt;&gt;"", R2820&lt;&gt;""), R2820-K2820, "")</f>
        <v/>
      </c>
      <c r="T2820" s="78" t="n"/>
      <c r="U2820" s="92">
        <f>IF(ISBLANK(P2820),"",IF(C2820="Buy",Q2820-M2820+T2820, IF(C2820="Sell",M2820-Q2820-T2820, X)))</f>
        <v/>
      </c>
      <c r="V2820" s="81">
        <f>IF(ISBLANK(P2820),"",U2820/N2820)</f>
        <v/>
      </c>
      <c r="W2820" s="81">
        <f>IF(ISBLANK(P2820),"",IF(S2820=0,(365/0.5)*V2820,(365/S2820)*V2820))</f>
        <v/>
      </c>
      <c r="X2820" s="75" t="n"/>
      <c r="Y2820" s="77" t="n"/>
      <c r="Z2820" s="77" t="n"/>
      <c r="AA2820" s="75" t="n"/>
      <c r="AB2820" s="75" t="n"/>
      <c r="AC2820" s="6" t="n"/>
      <c r="AD2820" s="75" t="n"/>
      <c r="AE2820" s="75" t="n"/>
      <c r="AF2820" s="75" t="n"/>
    </row>
    <row r="2821" ht="15.75" customHeight="1" s="133">
      <c r="A2821" s="75" t="n"/>
      <c r="B2821" s="75" t="n"/>
      <c r="C2821" s="75" t="n"/>
      <c r="D2821" s="75" t="n"/>
      <c r="E2821" s="76" t="n"/>
      <c r="F2821" s="77" t="n"/>
      <c r="G2821" s="75" t="n"/>
      <c r="H2821" s="75">
        <f>IF(ISBLANK(E2821),"",IF(OR(D2821="Butterfly",D2821="Butterfly ",D2821="Iron Fly", D2821="Iron Fly "),LEN(E2821)-LEN(SUBSTITUTE(E2821,"/",""))+2,LEN(E2821)-LEN(SUBSTITUTE(E2821,"/",""))+1))</f>
        <v/>
      </c>
      <c r="I2821" s="78">
        <f>IF(ISBLANK(G2821),"",IF(D2821="Stock","0",Key!$A$3*H2821*G2821))</f>
        <v/>
      </c>
      <c r="J2821" s="78">
        <f>IF(ISBLANK(E2821),"",IF(ISNUMBER(SEARCH("/",E2821)), IF(LEN(E2821)-LEN(SUBSTITUTE(E2821,"/",""))=1,(RIGHT(E2821,LEN(E2821)-FIND("/",E2821)))-(LEFT(E2821,FIND("/",E2821)-1)),(MID(E2821, SEARCH("/",E2821) + 1, SEARCH("/",E2821, SEARCH("/",E2821)+1) - SEARCH("/",E2821) - 1))-(LEFT(E2821,FIND("/",E2821)-1))), "NA"))</f>
        <v/>
      </c>
      <c r="K2821" s="79">
        <f>IF(A2821&lt;&gt;"", IF(ISBLANK(L2821), TODAY(), K2821), "")</f>
        <v/>
      </c>
      <c r="L2821" s="78" t="n"/>
      <c r="M2821" s="78">
        <f>IF(ISBLANK(L2821),"",IF(D2821="Stock",IF(C2821="Buy",L2821*G2821,IF(C2821="Sell",(L2821*G2821)-I2821, X)),IF(C2821="Buy",(L2821*G2821*100)+I2821,IF(C2821="Sell",(L2821*G2821*100)-I2821, X))))</f>
        <v/>
      </c>
      <c r="N2821" s="78">
        <f>IF(ISBLANK(L2821),"",IF(AND(C2821="Sell",D2821="Stock"),M2821,IF(ISBLANK(L2821),"",IF(C2821="Buy",M2821, IF(AND(C2821="Sell",J2821="NA"),(E2821*G2821*100*0.1)+I2821, IF(C2821="Sell",(J2821-L2821)*(100*G2821)+I2821))))))</f>
        <v/>
      </c>
      <c r="O2821" s="75" t="n"/>
      <c r="P2821" s="75" t="n"/>
      <c r="Q2821" s="75">
        <f>IF(ISBLANK(P2821),"",IF(D2821="Stock",P2821*G2821,IF(P2821=0,"0",G2821*P2821*100-(G2821*$AF$14))))</f>
        <v/>
      </c>
      <c r="R2821" s="79">
        <f>IF(P2821&lt;&gt;"", TODAY(), "")</f>
        <v/>
      </c>
      <c r="S2821" s="78">
        <f>IF(AND(K2821&lt;&gt;"", R2821&lt;&gt;""), R2821-K2821, "")</f>
        <v/>
      </c>
      <c r="T2821" s="78" t="n"/>
      <c r="U2821" s="92">
        <f>IF(ISBLANK(P2821),"",IF(C2821="Buy",Q2821-M2821+T2821, IF(C2821="Sell",M2821-Q2821-T2821, X)))</f>
        <v/>
      </c>
      <c r="V2821" s="81">
        <f>IF(ISBLANK(P2821),"",U2821/N2821)</f>
        <v/>
      </c>
      <c r="W2821" s="81">
        <f>IF(ISBLANK(P2821),"",IF(S2821=0,(365/0.5)*V2821,(365/S2821)*V2821))</f>
        <v/>
      </c>
      <c r="X2821" s="75" t="n"/>
      <c r="Y2821" s="77" t="n"/>
      <c r="Z2821" s="77" t="n"/>
      <c r="AA2821" s="75" t="n"/>
      <c r="AB2821" s="75" t="n"/>
      <c r="AC2821" s="6" t="n"/>
      <c r="AD2821" s="75" t="n"/>
      <c r="AE2821" s="75" t="n"/>
      <c r="AF2821" s="75" t="n"/>
    </row>
    <row r="2822" ht="15.75" customHeight="1" s="133">
      <c r="A2822" s="75" t="n"/>
      <c r="B2822" s="75" t="n"/>
      <c r="C2822" s="75" t="n"/>
      <c r="D2822" s="75" t="n"/>
      <c r="E2822" s="76" t="n"/>
      <c r="F2822" s="77" t="n"/>
      <c r="G2822" s="75" t="n"/>
      <c r="H2822" s="75">
        <f>IF(ISBLANK(E2822),"",IF(OR(D2822="Butterfly",D2822="Butterfly ",D2822="Iron Fly", D2822="Iron Fly "),LEN(E2822)-LEN(SUBSTITUTE(E2822,"/",""))+2,LEN(E2822)-LEN(SUBSTITUTE(E2822,"/",""))+1))</f>
        <v/>
      </c>
      <c r="I2822" s="78">
        <f>IF(ISBLANK(G2822),"",IF(D2822="Stock","0",Key!$A$3*H2822*G2822))</f>
        <v/>
      </c>
      <c r="J2822" s="78">
        <f>IF(ISBLANK(E2822),"",IF(ISNUMBER(SEARCH("/",E2822)), IF(LEN(E2822)-LEN(SUBSTITUTE(E2822,"/",""))=1,(RIGHT(E2822,LEN(E2822)-FIND("/",E2822)))-(LEFT(E2822,FIND("/",E2822)-1)),(MID(E2822, SEARCH("/",E2822) + 1, SEARCH("/",E2822, SEARCH("/",E2822)+1) - SEARCH("/",E2822) - 1))-(LEFT(E2822,FIND("/",E2822)-1))), "NA"))</f>
        <v/>
      </c>
      <c r="K2822" s="79">
        <f>IF(A2822&lt;&gt;"", IF(ISBLANK(L2822), TODAY(), K2822), "")</f>
        <v/>
      </c>
      <c r="L2822" s="78" t="n"/>
      <c r="M2822" s="78">
        <f>IF(ISBLANK(L2822),"",IF(D2822="Stock",IF(C2822="Buy",L2822*G2822,IF(C2822="Sell",(L2822*G2822)-I2822, X)),IF(C2822="Buy",(L2822*G2822*100)+I2822,IF(C2822="Sell",(L2822*G2822*100)-I2822, X))))</f>
        <v/>
      </c>
      <c r="N2822" s="78">
        <f>IF(ISBLANK(L2822),"",IF(AND(C2822="Sell",D2822="Stock"),M2822,IF(ISBLANK(L2822),"",IF(C2822="Buy",M2822, IF(AND(C2822="Sell",J2822="NA"),(E2822*G2822*100*0.1)+I2822, IF(C2822="Sell",(J2822-L2822)*(100*G2822)+I2822))))))</f>
        <v/>
      </c>
      <c r="O2822" s="75" t="n"/>
      <c r="P2822" s="75" t="n"/>
      <c r="Q2822" s="75">
        <f>IF(ISBLANK(P2822),"",IF(D2822="Stock",P2822*G2822,IF(P2822=0,"0",G2822*P2822*100-(G2822*$AF$14))))</f>
        <v/>
      </c>
      <c r="R2822" s="79">
        <f>IF(P2822&lt;&gt;"", TODAY(), "")</f>
        <v/>
      </c>
      <c r="S2822" s="78">
        <f>IF(AND(K2822&lt;&gt;"", R2822&lt;&gt;""), R2822-K2822, "")</f>
        <v/>
      </c>
      <c r="T2822" s="78" t="n"/>
      <c r="U2822" s="92">
        <f>IF(ISBLANK(P2822),"",IF(C2822="Buy",Q2822-M2822+T2822, IF(C2822="Sell",M2822-Q2822-T2822, X)))</f>
        <v/>
      </c>
      <c r="V2822" s="81">
        <f>IF(ISBLANK(P2822),"",U2822/N2822)</f>
        <v/>
      </c>
      <c r="W2822" s="81">
        <f>IF(ISBLANK(P2822),"",IF(S2822=0,(365/0.5)*V2822,(365/S2822)*V2822))</f>
        <v/>
      </c>
      <c r="X2822" s="75" t="n"/>
      <c r="Y2822" s="77" t="n"/>
      <c r="Z2822" s="77" t="n"/>
      <c r="AA2822" s="75" t="n"/>
      <c r="AB2822" s="75" t="n"/>
      <c r="AC2822" s="6" t="n"/>
      <c r="AD2822" s="75" t="n"/>
      <c r="AE2822" s="75" t="n"/>
      <c r="AF2822" s="75" t="n"/>
    </row>
    <row r="2823" ht="15.75" customHeight="1" s="133">
      <c r="A2823" s="75" t="n"/>
      <c r="B2823" s="75" t="n"/>
      <c r="C2823" s="75" t="n"/>
      <c r="D2823" s="75" t="n"/>
      <c r="E2823" s="76" t="n"/>
      <c r="F2823" s="77" t="n"/>
      <c r="G2823" s="75" t="n"/>
      <c r="H2823" s="75">
        <f>IF(ISBLANK(E2823),"",IF(OR(D2823="Butterfly",D2823="Butterfly ",D2823="Iron Fly", D2823="Iron Fly "),LEN(E2823)-LEN(SUBSTITUTE(E2823,"/",""))+2,LEN(E2823)-LEN(SUBSTITUTE(E2823,"/",""))+1))</f>
        <v/>
      </c>
      <c r="I2823" s="78">
        <f>IF(ISBLANK(G2823),"",IF(D2823="Stock","0",Key!$A$3*H2823*G2823))</f>
        <v/>
      </c>
      <c r="J2823" s="78">
        <f>IF(ISBLANK(E2823),"",IF(ISNUMBER(SEARCH("/",E2823)), IF(LEN(E2823)-LEN(SUBSTITUTE(E2823,"/",""))=1,(RIGHT(E2823,LEN(E2823)-FIND("/",E2823)))-(LEFT(E2823,FIND("/",E2823)-1)),(MID(E2823, SEARCH("/",E2823) + 1, SEARCH("/",E2823, SEARCH("/",E2823)+1) - SEARCH("/",E2823) - 1))-(LEFT(E2823,FIND("/",E2823)-1))), "NA"))</f>
        <v/>
      </c>
      <c r="K2823" s="79">
        <f>IF(A2823&lt;&gt;"", IF(ISBLANK(L2823), TODAY(), K2823), "")</f>
        <v/>
      </c>
      <c r="L2823" s="78" t="n"/>
      <c r="M2823" s="78">
        <f>IF(ISBLANK(L2823),"",IF(D2823="Stock",IF(C2823="Buy",L2823*G2823,IF(C2823="Sell",(L2823*G2823)-I2823, X)),IF(C2823="Buy",(L2823*G2823*100)+I2823,IF(C2823="Sell",(L2823*G2823*100)-I2823, X))))</f>
        <v/>
      </c>
      <c r="N2823" s="78">
        <f>IF(ISBLANK(L2823),"",IF(AND(C2823="Sell",D2823="Stock"),M2823,IF(ISBLANK(L2823),"",IF(C2823="Buy",M2823, IF(AND(C2823="Sell",J2823="NA"),(E2823*G2823*100*0.1)+I2823, IF(C2823="Sell",(J2823-L2823)*(100*G2823)+I2823))))))</f>
        <v/>
      </c>
      <c r="O2823" s="75" t="n"/>
      <c r="P2823" s="75" t="n"/>
      <c r="Q2823" s="75">
        <f>IF(ISBLANK(P2823),"",IF(D2823="Stock",P2823*G2823,IF(P2823=0,"0",G2823*P2823*100-(G2823*$AF$14))))</f>
        <v/>
      </c>
      <c r="R2823" s="79">
        <f>IF(P2823&lt;&gt;"", TODAY(), "")</f>
        <v/>
      </c>
      <c r="S2823" s="78">
        <f>IF(AND(K2823&lt;&gt;"", R2823&lt;&gt;""), R2823-K2823, "")</f>
        <v/>
      </c>
      <c r="T2823" s="78" t="n"/>
      <c r="U2823" s="92">
        <f>IF(ISBLANK(P2823),"",IF(C2823="Buy",Q2823-M2823+T2823, IF(C2823="Sell",M2823-Q2823-T2823, X)))</f>
        <v/>
      </c>
      <c r="V2823" s="81">
        <f>IF(ISBLANK(P2823),"",U2823/N2823)</f>
        <v/>
      </c>
      <c r="W2823" s="81">
        <f>IF(ISBLANK(P2823),"",IF(S2823=0,(365/0.5)*V2823,(365/S2823)*V2823))</f>
        <v/>
      </c>
      <c r="X2823" s="75" t="n"/>
      <c r="Y2823" s="77" t="n"/>
      <c r="Z2823" s="77" t="n"/>
      <c r="AA2823" s="75" t="n"/>
      <c r="AB2823" s="75" t="n"/>
      <c r="AC2823" s="6" t="n"/>
      <c r="AD2823" s="75" t="n"/>
      <c r="AE2823" s="75" t="n"/>
      <c r="AF2823" s="75" t="n"/>
    </row>
    <row r="2824" ht="15.75" customHeight="1" s="133">
      <c r="A2824" s="75" t="n"/>
      <c r="B2824" s="75" t="n"/>
      <c r="C2824" s="75" t="n"/>
      <c r="D2824" s="75" t="n"/>
      <c r="E2824" s="76" t="n"/>
      <c r="F2824" s="77" t="n"/>
      <c r="G2824" s="75" t="n"/>
      <c r="H2824" s="75">
        <f>IF(ISBLANK(E2824),"",IF(OR(D2824="Butterfly",D2824="Butterfly ",D2824="Iron Fly", D2824="Iron Fly "),LEN(E2824)-LEN(SUBSTITUTE(E2824,"/",""))+2,LEN(E2824)-LEN(SUBSTITUTE(E2824,"/",""))+1))</f>
        <v/>
      </c>
      <c r="I2824" s="78">
        <f>IF(ISBLANK(G2824),"",IF(D2824="Stock","0",Key!$A$3*H2824*G2824))</f>
        <v/>
      </c>
      <c r="J2824" s="78">
        <f>IF(ISBLANK(E2824),"",IF(ISNUMBER(SEARCH("/",E2824)), IF(LEN(E2824)-LEN(SUBSTITUTE(E2824,"/",""))=1,(RIGHT(E2824,LEN(E2824)-FIND("/",E2824)))-(LEFT(E2824,FIND("/",E2824)-1)),(MID(E2824, SEARCH("/",E2824) + 1, SEARCH("/",E2824, SEARCH("/",E2824)+1) - SEARCH("/",E2824) - 1))-(LEFT(E2824,FIND("/",E2824)-1))), "NA"))</f>
        <v/>
      </c>
      <c r="K2824" s="79">
        <f>IF(A2824&lt;&gt;"", IF(ISBLANK(L2824), TODAY(), K2824), "")</f>
        <v/>
      </c>
      <c r="L2824" s="78" t="n"/>
      <c r="M2824" s="78">
        <f>IF(ISBLANK(L2824),"",IF(D2824="Stock",IF(C2824="Buy",L2824*G2824,IF(C2824="Sell",(L2824*G2824)-I2824, X)),IF(C2824="Buy",(L2824*G2824*100)+I2824,IF(C2824="Sell",(L2824*G2824*100)-I2824, X))))</f>
        <v/>
      </c>
      <c r="N2824" s="78">
        <f>IF(ISBLANK(L2824),"",IF(AND(C2824="Sell",D2824="Stock"),M2824,IF(ISBLANK(L2824),"",IF(C2824="Buy",M2824, IF(AND(C2824="Sell",J2824="NA"),(E2824*G2824*100*0.1)+I2824, IF(C2824="Sell",(J2824-L2824)*(100*G2824)+I2824))))))</f>
        <v/>
      </c>
      <c r="O2824" s="75" t="n"/>
      <c r="P2824" s="75" t="n"/>
      <c r="Q2824" s="75">
        <f>IF(ISBLANK(P2824),"",IF(D2824="Stock",P2824*G2824,IF(P2824=0,"0",G2824*P2824*100-(G2824*$AF$14))))</f>
        <v/>
      </c>
      <c r="R2824" s="79">
        <f>IF(P2824&lt;&gt;"", TODAY(), "")</f>
        <v/>
      </c>
      <c r="S2824" s="78">
        <f>IF(AND(K2824&lt;&gt;"", R2824&lt;&gt;""), R2824-K2824, "")</f>
        <v/>
      </c>
      <c r="T2824" s="78" t="n"/>
      <c r="U2824" s="92">
        <f>IF(ISBLANK(P2824),"",IF(C2824="Buy",Q2824-M2824+T2824, IF(C2824="Sell",M2824-Q2824-T2824, X)))</f>
        <v/>
      </c>
      <c r="V2824" s="81">
        <f>IF(ISBLANK(P2824),"",U2824/N2824)</f>
        <v/>
      </c>
      <c r="W2824" s="81">
        <f>IF(ISBLANK(P2824),"",IF(S2824=0,(365/0.5)*V2824,(365/S2824)*V2824))</f>
        <v/>
      </c>
      <c r="X2824" s="75" t="n"/>
      <c r="Y2824" s="77" t="n"/>
      <c r="Z2824" s="77" t="n"/>
      <c r="AA2824" s="75" t="n"/>
      <c r="AB2824" s="75" t="n"/>
      <c r="AC2824" s="6" t="n"/>
      <c r="AD2824" s="75" t="n"/>
      <c r="AE2824" s="75" t="n"/>
      <c r="AF2824" s="75" t="n"/>
    </row>
    <row r="2825" ht="15.75" customHeight="1" s="133">
      <c r="A2825" s="75" t="n"/>
      <c r="B2825" s="75" t="n"/>
      <c r="C2825" s="75" t="n"/>
      <c r="D2825" s="75" t="n"/>
      <c r="E2825" s="76" t="n"/>
      <c r="F2825" s="77" t="n"/>
      <c r="G2825" s="75" t="n"/>
      <c r="H2825" s="75">
        <f>IF(ISBLANK(E2825),"",IF(OR(D2825="Butterfly",D2825="Butterfly ",D2825="Iron Fly", D2825="Iron Fly "),LEN(E2825)-LEN(SUBSTITUTE(E2825,"/",""))+2,LEN(E2825)-LEN(SUBSTITUTE(E2825,"/",""))+1))</f>
        <v/>
      </c>
      <c r="I2825" s="78">
        <f>IF(ISBLANK(G2825),"",IF(D2825="Stock","0",Key!$A$3*H2825*G2825))</f>
        <v/>
      </c>
      <c r="J2825" s="78">
        <f>IF(ISBLANK(E2825),"",IF(ISNUMBER(SEARCH("/",E2825)), IF(LEN(E2825)-LEN(SUBSTITUTE(E2825,"/",""))=1,(RIGHT(E2825,LEN(E2825)-FIND("/",E2825)))-(LEFT(E2825,FIND("/",E2825)-1)),(MID(E2825, SEARCH("/",E2825) + 1, SEARCH("/",E2825, SEARCH("/",E2825)+1) - SEARCH("/",E2825) - 1))-(LEFT(E2825,FIND("/",E2825)-1))), "NA"))</f>
        <v/>
      </c>
      <c r="K2825" s="79">
        <f>IF(A2825&lt;&gt;"", IF(ISBLANK(L2825), TODAY(), K2825), "")</f>
        <v/>
      </c>
      <c r="L2825" s="78" t="n"/>
      <c r="M2825" s="78">
        <f>IF(ISBLANK(L2825),"",IF(D2825="Stock",IF(C2825="Buy",L2825*G2825,IF(C2825="Sell",(L2825*G2825)-I2825, X)),IF(C2825="Buy",(L2825*G2825*100)+I2825,IF(C2825="Sell",(L2825*G2825*100)-I2825, X))))</f>
        <v/>
      </c>
      <c r="N2825" s="78">
        <f>IF(ISBLANK(L2825),"",IF(AND(C2825="Sell",D2825="Stock"),M2825,IF(ISBLANK(L2825),"",IF(C2825="Buy",M2825, IF(AND(C2825="Sell",J2825="NA"),(E2825*G2825*100*0.1)+I2825, IF(C2825="Sell",(J2825-L2825)*(100*G2825)+I2825))))))</f>
        <v/>
      </c>
      <c r="O2825" s="75" t="n"/>
      <c r="P2825" s="75" t="n"/>
      <c r="Q2825" s="75">
        <f>IF(ISBLANK(P2825),"",IF(D2825="Stock",P2825*G2825,IF(P2825=0,"0",G2825*P2825*100-(G2825*$AF$14))))</f>
        <v/>
      </c>
      <c r="R2825" s="79">
        <f>IF(P2825&lt;&gt;"", TODAY(), "")</f>
        <v/>
      </c>
      <c r="S2825" s="78">
        <f>IF(AND(K2825&lt;&gt;"", R2825&lt;&gt;""), R2825-K2825, "")</f>
        <v/>
      </c>
      <c r="T2825" s="78" t="n"/>
      <c r="U2825" s="92">
        <f>IF(ISBLANK(P2825),"",IF(C2825="Buy",Q2825-M2825+T2825, IF(C2825="Sell",M2825-Q2825-T2825, X)))</f>
        <v/>
      </c>
      <c r="V2825" s="81">
        <f>IF(ISBLANK(P2825),"",U2825/N2825)</f>
        <v/>
      </c>
      <c r="W2825" s="81">
        <f>IF(ISBLANK(P2825),"",IF(S2825=0,(365/0.5)*V2825,(365/S2825)*V2825))</f>
        <v/>
      </c>
      <c r="X2825" s="75" t="n"/>
      <c r="Y2825" s="77" t="n"/>
      <c r="Z2825" s="77" t="n"/>
      <c r="AA2825" s="75" t="n"/>
      <c r="AB2825" s="75" t="n"/>
      <c r="AC2825" s="6" t="n"/>
      <c r="AD2825" s="75" t="n"/>
      <c r="AE2825" s="75" t="n"/>
      <c r="AF2825" s="75" t="n"/>
    </row>
    <row r="2826" ht="15.75" customHeight="1" s="133">
      <c r="A2826" s="75" t="n"/>
      <c r="B2826" s="75" t="n"/>
      <c r="C2826" s="75" t="n"/>
      <c r="D2826" s="75" t="n"/>
      <c r="E2826" s="76" t="n"/>
      <c r="F2826" s="77" t="n"/>
      <c r="G2826" s="75" t="n"/>
      <c r="H2826" s="75">
        <f>IF(ISBLANK(E2826),"",IF(OR(D2826="Butterfly",D2826="Butterfly ",D2826="Iron Fly", D2826="Iron Fly "),LEN(E2826)-LEN(SUBSTITUTE(E2826,"/",""))+2,LEN(E2826)-LEN(SUBSTITUTE(E2826,"/",""))+1))</f>
        <v/>
      </c>
      <c r="I2826" s="78">
        <f>IF(ISBLANK(G2826),"",IF(D2826="Stock","0",Key!$A$3*H2826*G2826))</f>
        <v/>
      </c>
      <c r="J2826" s="78">
        <f>IF(ISBLANK(E2826),"",IF(ISNUMBER(SEARCH("/",E2826)), IF(LEN(E2826)-LEN(SUBSTITUTE(E2826,"/",""))=1,(RIGHT(E2826,LEN(E2826)-FIND("/",E2826)))-(LEFT(E2826,FIND("/",E2826)-1)),(MID(E2826, SEARCH("/",E2826) + 1, SEARCH("/",E2826, SEARCH("/",E2826)+1) - SEARCH("/",E2826) - 1))-(LEFT(E2826,FIND("/",E2826)-1))), "NA"))</f>
        <v/>
      </c>
      <c r="K2826" s="79">
        <f>IF(A2826&lt;&gt;"", IF(ISBLANK(L2826), TODAY(), K2826), "")</f>
        <v/>
      </c>
      <c r="L2826" s="78" t="n"/>
      <c r="M2826" s="78">
        <f>IF(ISBLANK(L2826),"",IF(D2826="Stock",IF(C2826="Buy",L2826*G2826,IF(C2826="Sell",(L2826*G2826)-I2826, X)),IF(C2826="Buy",(L2826*G2826*100)+I2826,IF(C2826="Sell",(L2826*G2826*100)-I2826, X))))</f>
        <v/>
      </c>
      <c r="N2826" s="78">
        <f>IF(ISBLANK(L2826),"",IF(AND(C2826="Sell",D2826="Stock"),M2826,IF(ISBLANK(L2826),"",IF(C2826="Buy",M2826, IF(AND(C2826="Sell",J2826="NA"),(E2826*G2826*100*0.1)+I2826, IF(C2826="Sell",(J2826-L2826)*(100*G2826)+I2826))))))</f>
        <v/>
      </c>
      <c r="O2826" s="75" t="n"/>
      <c r="P2826" s="75" t="n"/>
      <c r="Q2826" s="75">
        <f>IF(ISBLANK(P2826),"",IF(D2826="Stock",P2826*G2826,IF(P2826=0,"0",G2826*P2826*100-(G2826*$AF$14))))</f>
        <v/>
      </c>
      <c r="R2826" s="79">
        <f>IF(P2826&lt;&gt;"", TODAY(), "")</f>
        <v/>
      </c>
      <c r="S2826" s="78">
        <f>IF(AND(K2826&lt;&gt;"", R2826&lt;&gt;""), R2826-K2826, "")</f>
        <v/>
      </c>
      <c r="T2826" s="78" t="n"/>
      <c r="U2826" s="92">
        <f>IF(ISBLANK(P2826),"",IF(C2826="Buy",Q2826-M2826+T2826, IF(C2826="Sell",M2826-Q2826-T2826, X)))</f>
        <v/>
      </c>
      <c r="V2826" s="81">
        <f>IF(ISBLANK(P2826),"",U2826/N2826)</f>
        <v/>
      </c>
      <c r="W2826" s="81">
        <f>IF(ISBLANK(P2826),"",IF(S2826=0,(365/0.5)*V2826,(365/S2826)*V2826))</f>
        <v/>
      </c>
      <c r="X2826" s="75" t="n"/>
      <c r="Y2826" s="77" t="n"/>
      <c r="Z2826" s="77" t="n"/>
      <c r="AA2826" s="75" t="n"/>
      <c r="AB2826" s="75" t="n"/>
      <c r="AC2826" s="6" t="n"/>
      <c r="AD2826" s="75" t="n"/>
      <c r="AE2826" s="75" t="n"/>
      <c r="AF2826" s="75" t="n"/>
    </row>
    <row r="2827" ht="15.75" customHeight="1" s="133">
      <c r="A2827" s="75" t="n"/>
      <c r="B2827" s="75" t="n"/>
      <c r="C2827" s="75" t="n"/>
      <c r="D2827" s="75" t="n"/>
      <c r="E2827" s="76" t="n"/>
      <c r="F2827" s="77" t="n"/>
      <c r="G2827" s="75" t="n"/>
      <c r="H2827" s="75">
        <f>IF(ISBLANK(E2827),"",IF(OR(D2827="Butterfly",D2827="Butterfly ",D2827="Iron Fly", D2827="Iron Fly "),LEN(E2827)-LEN(SUBSTITUTE(E2827,"/",""))+2,LEN(E2827)-LEN(SUBSTITUTE(E2827,"/",""))+1))</f>
        <v/>
      </c>
      <c r="I2827" s="78">
        <f>IF(ISBLANK(G2827),"",IF(D2827="Stock","0",Key!$A$3*H2827*G2827))</f>
        <v/>
      </c>
      <c r="J2827" s="78">
        <f>IF(ISBLANK(E2827),"",IF(ISNUMBER(SEARCH("/",E2827)), IF(LEN(E2827)-LEN(SUBSTITUTE(E2827,"/",""))=1,(RIGHT(E2827,LEN(E2827)-FIND("/",E2827)))-(LEFT(E2827,FIND("/",E2827)-1)),(MID(E2827, SEARCH("/",E2827) + 1, SEARCH("/",E2827, SEARCH("/",E2827)+1) - SEARCH("/",E2827) - 1))-(LEFT(E2827,FIND("/",E2827)-1))), "NA"))</f>
        <v/>
      </c>
      <c r="K2827" s="79">
        <f>IF(A2827&lt;&gt;"", IF(ISBLANK(L2827), TODAY(), K2827), "")</f>
        <v/>
      </c>
      <c r="L2827" s="78" t="n"/>
      <c r="M2827" s="78">
        <f>IF(ISBLANK(L2827),"",IF(D2827="Stock",IF(C2827="Buy",L2827*G2827,IF(C2827="Sell",(L2827*G2827)-I2827, X)),IF(C2827="Buy",(L2827*G2827*100)+I2827,IF(C2827="Sell",(L2827*G2827*100)-I2827, X))))</f>
        <v/>
      </c>
      <c r="N2827" s="78">
        <f>IF(ISBLANK(L2827),"",IF(AND(C2827="Sell",D2827="Stock"),M2827,IF(ISBLANK(L2827),"",IF(C2827="Buy",M2827, IF(AND(C2827="Sell",J2827="NA"),(E2827*G2827*100*0.1)+I2827, IF(C2827="Sell",(J2827-L2827)*(100*G2827)+I2827))))))</f>
        <v/>
      </c>
      <c r="O2827" s="75" t="n"/>
      <c r="P2827" s="75" t="n"/>
      <c r="Q2827" s="75">
        <f>IF(ISBLANK(P2827),"",IF(D2827="Stock",P2827*G2827,IF(P2827=0,"0",G2827*P2827*100-(G2827*$AF$14))))</f>
        <v/>
      </c>
      <c r="R2827" s="79">
        <f>IF(P2827&lt;&gt;"", TODAY(), "")</f>
        <v/>
      </c>
      <c r="S2827" s="78">
        <f>IF(AND(K2827&lt;&gt;"", R2827&lt;&gt;""), R2827-K2827, "")</f>
        <v/>
      </c>
      <c r="T2827" s="78" t="n"/>
      <c r="U2827" s="92">
        <f>IF(ISBLANK(P2827),"",IF(C2827="Buy",Q2827-M2827+T2827, IF(C2827="Sell",M2827-Q2827-T2827, X)))</f>
        <v/>
      </c>
      <c r="V2827" s="81">
        <f>IF(ISBLANK(P2827),"",U2827/N2827)</f>
        <v/>
      </c>
      <c r="W2827" s="81">
        <f>IF(ISBLANK(P2827),"",IF(S2827=0,(365/0.5)*V2827,(365/S2827)*V2827))</f>
        <v/>
      </c>
      <c r="X2827" s="75" t="n"/>
      <c r="Y2827" s="77" t="n"/>
      <c r="Z2827" s="77" t="n"/>
      <c r="AA2827" s="75" t="n"/>
      <c r="AB2827" s="75" t="n"/>
      <c r="AC2827" s="6" t="n"/>
      <c r="AD2827" s="75" t="n"/>
      <c r="AE2827" s="75" t="n"/>
      <c r="AF2827" s="75" t="n"/>
    </row>
    <row r="2828" ht="15.75" customHeight="1" s="133">
      <c r="A2828" s="75" t="n"/>
      <c r="B2828" s="75" t="n"/>
      <c r="C2828" s="75" t="n"/>
      <c r="D2828" s="75" t="n"/>
      <c r="E2828" s="76" t="n"/>
      <c r="F2828" s="77" t="n"/>
      <c r="G2828" s="75" t="n"/>
      <c r="H2828" s="75">
        <f>IF(ISBLANK(E2828),"",IF(OR(D2828="Butterfly",D2828="Butterfly ",D2828="Iron Fly", D2828="Iron Fly "),LEN(E2828)-LEN(SUBSTITUTE(E2828,"/",""))+2,LEN(E2828)-LEN(SUBSTITUTE(E2828,"/",""))+1))</f>
        <v/>
      </c>
      <c r="I2828" s="78">
        <f>IF(ISBLANK(G2828),"",IF(D2828="Stock","0",Key!$A$3*H2828*G2828))</f>
        <v/>
      </c>
      <c r="J2828" s="78">
        <f>IF(ISBLANK(E2828),"",IF(ISNUMBER(SEARCH("/",E2828)), IF(LEN(E2828)-LEN(SUBSTITUTE(E2828,"/",""))=1,(RIGHT(E2828,LEN(E2828)-FIND("/",E2828)))-(LEFT(E2828,FIND("/",E2828)-1)),(MID(E2828, SEARCH("/",E2828) + 1, SEARCH("/",E2828, SEARCH("/",E2828)+1) - SEARCH("/",E2828) - 1))-(LEFT(E2828,FIND("/",E2828)-1))), "NA"))</f>
        <v/>
      </c>
      <c r="K2828" s="79">
        <f>IF(A2828&lt;&gt;"", IF(ISBLANK(L2828), TODAY(), K2828), "")</f>
        <v/>
      </c>
      <c r="L2828" s="78" t="n"/>
      <c r="M2828" s="78">
        <f>IF(ISBLANK(L2828),"",IF(D2828="Stock",IF(C2828="Buy",L2828*G2828,IF(C2828="Sell",(L2828*G2828)-I2828, X)),IF(C2828="Buy",(L2828*G2828*100)+I2828,IF(C2828="Sell",(L2828*G2828*100)-I2828, X))))</f>
        <v/>
      </c>
      <c r="N2828" s="78">
        <f>IF(ISBLANK(L2828),"",IF(AND(C2828="Sell",D2828="Stock"),M2828,IF(ISBLANK(L2828),"",IF(C2828="Buy",M2828, IF(AND(C2828="Sell",J2828="NA"),(E2828*G2828*100*0.1)+I2828, IF(C2828="Sell",(J2828-L2828)*(100*G2828)+I2828))))))</f>
        <v/>
      </c>
      <c r="O2828" s="75" t="n"/>
      <c r="P2828" s="75" t="n"/>
      <c r="Q2828" s="75">
        <f>IF(ISBLANK(P2828),"",IF(D2828="Stock",P2828*G2828,IF(P2828=0,"0",G2828*P2828*100-(G2828*$AF$14))))</f>
        <v/>
      </c>
      <c r="R2828" s="79">
        <f>IF(P2828&lt;&gt;"", TODAY(), "")</f>
        <v/>
      </c>
      <c r="S2828" s="78">
        <f>IF(AND(K2828&lt;&gt;"", R2828&lt;&gt;""), R2828-K2828, "")</f>
        <v/>
      </c>
      <c r="T2828" s="78" t="n"/>
      <c r="U2828" s="92">
        <f>IF(ISBLANK(P2828),"",IF(C2828="Buy",Q2828-M2828+T2828, IF(C2828="Sell",M2828-Q2828-T2828, X)))</f>
        <v/>
      </c>
      <c r="V2828" s="81">
        <f>IF(ISBLANK(P2828),"",U2828/N2828)</f>
        <v/>
      </c>
      <c r="W2828" s="81">
        <f>IF(ISBLANK(P2828),"",IF(S2828=0,(365/0.5)*V2828,(365/S2828)*V2828))</f>
        <v/>
      </c>
      <c r="X2828" s="75" t="n"/>
      <c r="Y2828" s="77" t="n"/>
      <c r="Z2828" s="77" t="n"/>
      <c r="AA2828" s="75" t="n"/>
      <c r="AB2828" s="75" t="n"/>
      <c r="AC2828" s="6" t="n"/>
      <c r="AD2828" s="75" t="n"/>
      <c r="AE2828" s="75" t="n"/>
      <c r="AF2828" s="75" t="n"/>
    </row>
    <row r="2829" ht="15.75" customHeight="1" s="133">
      <c r="A2829" s="75" t="n"/>
      <c r="B2829" s="75" t="n"/>
      <c r="C2829" s="75" t="n"/>
      <c r="D2829" s="75" t="n"/>
      <c r="E2829" s="76" t="n"/>
      <c r="F2829" s="77" t="n"/>
      <c r="G2829" s="75" t="n"/>
      <c r="H2829" s="75">
        <f>IF(ISBLANK(E2829),"",IF(OR(D2829="Butterfly",D2829="Butterfly ",D2829="Iron Fly", D2829="Iron Fly "),LEN(E2829)-LEN(SUBSTITUTE(E2829,"/",""))+2,LEN(E2829)-LEN(SUBSTITUTE(E2829,"/",""))+1))</f>
        <v/>
      </c>
      <c r="I2829" s="78">
        <f>IF(ISBLANK(G2829),"",IF(D2829="Stock","0",Key!$A$3*H2829*G2829))</f>
        <v/>
      </c>
      <c r="J2829" s="78">
        <f>IF(ISBLANK(E2829),"",IF(ISNUMBER(SEARCH("/",E2829)), IF(LEN(E2829)-LEN(SUBSTITUTE(E2829,"/",""))=1,(RIGHT(E2829,LEN(E2829)-FIND("/",E2829)))-(LEFT(E2829,FIND("/",E2829)-1)),(MID(E2829, SEARCH("/",E2829) + 1, SEARCH("/",E2829, SEARCH("/",E2829)+1) - SEARCH("/",E2829) - 1))-(LEFT(E2829,FIND("/",E2829)-1))), "NA"))</f>
        <v/>
      </c>
      <c r="K2829" s="79">
        <f>IF(A2829&lt;&gt;"", IF(ISBLANK(L2829), TODAY(), K2829), "")</f>
        <v/>
      </c>
      <c r="L2829" s="78" t="n"/>
      <c r="M2829" s="78">
        <f>IF(ISBLANK(L2829),"",IF(D2829="Stock",IF(C2829="Buy",L2829*G2829,IF(C2829="Sell",(L2829*G2829)-I2829, X)),IF(C2829="Buy",(L2829*G2829*100)+I2829,IF(C2829="Sell",(L2829*G2829*100)-I2829, X))))</f>
        <v/>
      </c>
      <c r="N2829" s="78">
        <f>IF(ISBLANK(L2829),"",IF(AND(C2829="Sell",D2829="Stock"),M2829,IF(ISBLANK(L2829),"",IF(C2829="Buy",M2829, IF(AND(C2829="Sell",J2829="NA"),(E2829*G2829*100*0.1)+I2829, IF(C2829="Sell",(J2829-L2829)*(100*G2829)+I2829))))))</f>
        <v/>
      </c>
      <c r="O2829" s="75" t="n"/>
      <c r="P2829" s="75" t="n"/>
      <c r="Q2829" s="75">
        <f>IF(ISBLANK(P2829),"",IF(D2829="Stock",P2829*G2829,IF(P2829=0,"0",G2829*P2829*100-(G2829*$AF$14))))</f>
        <v/>
      </c>
      <c r="R2829" s="79">
        <f>IF(P2829&lt;&gt;"", TODAY(), "")</f>
        <v/>
      </c>
      <c r="S2829" s="78">
        <f>IF(AND(K2829&lt;&gt;"", R2829&lt;&gt;""), R2829-K2829, "")</f>
        <v/>
      </c>
      <c r="T2829" s="78" t="n"/>
      <c r="U2829" s="92">
        <f>IF(ISBLANK(P2829),"",IF(C2829="Buy",Q2829-M2829+T2829, IF(C2829="Sell",M2829-Q2829-T2829, X)))</f>
        <v/>
      </c>
      <c r="V2829" s="81">
        <f>IF(ISBLANK(P2829),"",U2829/N2829)</f>
        <v/>
      </c>
      <c r="W2829" s="81">
        <f>IF(ISBLANK(P2829),"",IF(S2829=0,(365/0.5)*V2829,(365/S2829)*V2829))</f>
        <v/>
      </c>
      <c r="X2829" s="75" t="n"/>
      <c r="Y2829" s="77" t="n"/>
      <c r="Z2829" s="77" t="n"/>
      <c r="AA2829" s="75" t="n"/>
      <c r="AB2829" s="75" t="n"/>
      <c r="AC2829" s="6" t="n"/>
      <c r="AD2829" s="75" t="n"/>
      <c r="AE2829" s="75" t="n"/>
      <c r="AF2829" s="75" t="n"/>
    </row>
    <row r="2830" ht="15.75" customHeight="1" s="133">
      <c r="A2830" s="75" t="n"/>
      <c r="B2830" s="75" t="n"/>
      <c r="C2830" s="75" t="n"/>
      <c r="D2830" s="75" t="n"/>
      <c r="E2830" s="76" t="n"/>
      <c r="F2830" s="77" t="n"/>
      <c r="G2830" s="75" t="n"/>
      <c r="H2830" s="75">
        <f>IF(ISBLANK(E2830),"",IF(OR(D2830="Butterfly",D2830="Butterfly ",D2830="Iron Fly", D2830="Iron Fly "),LEN(E2830)-LEN(SUBSTITUTE(E2830,"/",""))+2,LEN(E2830)-LEN(SUBSTITUTE(E2830,"/",""))+1))</f>
        <v/>
      </c>
      <c r="I2830" s="78">
        <f>IF(ISBLANK(G2830),"",IF(D2830="Stock","0",Key!$A$3*H2830*G2830))</f>
        <v/>
      </c>
      <c r="J2830" s="78">
        <f>IF(ISBLANK(E2830),"",IF(ISNUMBER(SEARCH("/",E2830)), IF(LEN(E2830)-LEN(SUBSTITUTE(E2830,"/",""))=1,(RIGHT(E2830,LEN(E2830)-FIND("/",E2830)))-(LEFT(E2830,FIND("/",E2830)-1)),(MID(E2830, SEARCH("/",E2830) + 1, SEARCH("/",E2830, SEARCH("/",E2830)+1) - SEARCH("/",E2830) - 1))-(LEFT(E2830,FIND("/",E2830)-1))), "NA"))</f>
        <v/>
      </c>
      <c r="K2830" s="79">
        <f>IF(A2830&lt;&gt;"", IF(ISBLANK(L2830), TODAY(), K2830), "")</f>
        <v/>
      </c>
      <c r="L2830" s="78" t="n"/>
      <c r="M2830" s="78">
        <f>IF(ISBLANK(L2830),"",IF(D2830="Stock",IF(C2830="Buy",L2830*G2830,IF(C2830="Sell",(L2830*G2830)-I2830, X)),IF(C2830="Buy",(L2830*G2830*100)+I2830,IF(C2830="Sell",(L2830*G2830*100)-I2830, X))))</f>
        <v/>
      </c>
      <c r="N2830" s="78">
        <f>IF(ISBLANK(L2830),"",IF(AND(C2830="Sell",D2830="Stock"),M2830,IF(ISBLANK(L2830),"",IF(C2830="Buy",M2830, IF(AND(C2830="Sell",J2830="NA"),(E2830*G2830*100*0.1)+I2830, IF(C2830="Sell",(J2830-L2830)*(100*G2830)+I2830))))))</f>
        <v/>
      </c>
      <c r="O2830" s="75" t="n"/>
      <c r="P2830" s="75" t="n"/>
      <c r="Q2830" s="75">
        <f>IF(ISBLANK(P2830),"",IF(D2830="Stock",P2830*G2830,IF(P2830=0,"0",G2830*P2830*100-(G2830*$AF$14))))</f>
        <v/>
      </c>
      <c r="R2830" s="79">
        <f>IF(P2830&lt;&gt;"", TODAY(), "")</f>
        <v/>
      </c>
      <c r="S2830" s="78">
        <f>IF(AND(K2830&lt;&gt;"", R2830&lt;&gt;""), R2830-K2830, "")</f>
        <v/>
      </c>
      <c r="T2830" s="78" t="n"/>
      <c r="U2830" s="92">
        <f>IF(ISBLANK(P2830),"",IF(C2830="Buy",Q2830-M2830+T2830, IF(C2830="Sell",M2830-Q2830-T2830, X)))</f>
        <v/>
      </c>
      <c r="V2830" s="81">
        <f>IF(ISBLANK(P2830),"",U2830/N2830)</f>
        <v/>
      </c>
      <c r="W2830" s="81">
        <f>IF(ISBLANK(P2830),"",IF(S2830=0,(365/0.5)*V2830,(365/S2830)*V2830))</f>
        <v/>
      </c>
      <c r="X2830" s="75" t="n"/>
      <c r="Y2830" s="77" t="n"/>
      <c r="Z2830" s="77" t="n"/>
      <c r="AA2830" s="75" t="n"/>
      <c r="AB2830" s="75" t="n"/>
      <c r="AC2830" s="6" t="n"/>
      <c r="AD2830" s="75" t="n"/>
      <c r="AE2830" s="75" t="n"/>
      <c r="AF2830" s="75" t="n"/>
    </row>
    <row r="2831" ht="15.75" customHeight="1" s="133">
      <c r="A2831" s="75" t="n"/>
      <c r="B2831" s="75" t="n"/>
      <c r="C2831" s="75" t="n"/>
      <c r="D2831" s="75" t="n"/>
      <c r="E2831" s="76" t="n"/>
      <c r="F2831" s="77" t="n"/>
      <c r="G2831" s="75" t="n"/>
      <c r="H2831" s="75">
        <f>IF(ISBLANK(E2831),"",IF(OR(D2831="Butterfly",D2831="Butterfly ",D2831="Iron Fly", D2831="Iron Fly "),LEN(E2831)-LEN(SUBSTITUTE(E2831,"/",""))+2,LEN(E2831)-LEN(SUBSTITUTE(E2831,"/",""))+1))</f>
        <v/>
      </c>
      <c r="I2831" s="78">
        <f>IF(ISBLANK(G2831),"",IF(D2831="Stock","0",Key!$A$3*H2831*G2831))</f>
        <v/>
      </c>
      <c r="J2831" s="78">
        <f>IF(ISBLANK(E2831),"",IF(ISNUMBER(SEARCH("/",E2831)), IF(LEN(E2831)-LEN(SUBSTITUTE(E2831,"/",""))=1,(RIGHT(E2831,LEN(E2831)-FIND("/",E2831)))-(LEFT(E2831,FIND("/",E2831)-1)),(MID(E2831, SEARCH("/",E2831) + 1, SEARCH("/",E2831, SEARCH("/",E2831)+1) - SEARCH("/",E2831) - 1))-(LEFT(E2831,FIND("/",E2831)-1))), "NA"))</f>
        <v/>
      </c>
      <c r="K2831" s="79">
        <f>IF(A2831&lt;&gt;"", IF(ISBLANK(L2831), TODAY(), K2831), "")</f>
        <v/>
      </c>
      <c r="L2831" s="78" t="n"/>
      <c r="M2831" s="78">
        <f>IF(ISBLANK(L2831),"",IF(D2831="Stock",IF(C2831="Buy",L2831*G2831,IF(C2831="Sell",(L2831*G2831)-I2831, X)),IF(C2831="Buy",(L2831*G2831*100)+I2831,IF(C2831="Sell",(L2831*G2831*100)-I2831, X))))</f>
        <v/>
      </c>
      <c r="N2831" s="78">
        <f>IF(ISBLANK(L2831),"",IF(AND(C2831="Sell",D2831="Stock"),M2831,IF(ISBLANK(L2831),"",IF(C2831="Buy",M2831, IF(AND(C2831="Sell",J2831="NA"),(E2831*G2831*100*0.1)+I2831, IF(C2831="Sell",(J2831-L2831)*(100*G2831)+I2831))))))</f>
        <v/>
      </c>
      <c r="O2831" s="75" t="n"/>
      <c r="P2831" s="75" t="n"/>
      <c r="Q2831" s="75">
        <f>IF(ISBLANK(P2831),"",IF(D2831="Stock",P2831*G2831,IF(P2831=0,"0",G2831*P2831*100-(G2831*$AF$14))))</f>
        <v/>
      </c>
      <c r="R2831" s="79">
        <f>IF(P2831&lt;&gt;"", TODAY(), "")</f>
        <v/>
      </c>
      <c r="S2831" s="78">
        <f>IF(AND(K2831&lt;&gt;"", R2831&lt;&gt;""), R2831-K2831, "")</f>
        <v/>
      </c>
      <c r="T2831" s="78" t="n"/>
      <c r="U2831" s="92">
        <f>IF(ISBLANK(P2831),"",IF(C2831="Buy",Q2831-M2831+T2831, IF(C2831="Sell",M2831-Q2831-T2831, X)))</f>
        <v/>
      </c>
      <c r="V2831" s="81">
        <f>IF(ISBLANK(P2831),"",U2831/N2831)</f>
        <v/>
      </c>
      <c r="W2831" s="81">
        <f>IF(ISBLANK(P2831),"",IF(S2831=0,(365/0.5)*V2831,(365/S2831)*V2831))</f>
        <v/>
      </c>
      <c r="X2831" s="75" t="n"/>
      <c r="Y2831" s="77" t="n"/>
      <c r="Z2831" s="77" t="n"/>
      <c r="AA2831" s="75" t="n"/>
      <c r="AB2831" s="75" t="n"/>
      <c r="AC2831" s="6" t="n"/>
      <c r="AD2831" s="75" t="n"/>
      <c r="AE2831" s="75" t="n"/>
      <c r="AF2831" s="75" t="n"/>
    </row>
    <row r="2832" ht="15.75" customHeight="1" s="133">
      <c r="A2832" s="75" t="n"/>
      <c r="B2832" s="75" t="n"/>
      <c r="C2832" s="75" t="n"/>
      <c r="D2832" s="75" t="n"/>
      <c r="E2832" s="76" t="n"/>
      <c r="F2832" s="77" t="n"/>
      <c r="G2832" s="75" t="n"/>
      <c r="H2832" s="75">
        <f>IF(ISBLANK(E2832),"",IF(OR(D2832="Butterfly",D2832="Butterfly ",D2832="Iron Fly", D2832="Iron Fly "),LEN(E2832)-LEN(SUBSTITUTE(E2832,"/",""))+2,LEN(E2832)-LEN(SUBSTITUTE(E2832,"/",""))+1))</f>
        <v/>
      </c>
      <c r="I2832" s="78">
        <f>IF(ISBLANK(G2832),"",IF(D2832="Stock","0",Key!$A$3*H2832*G2832))</f>
        <v/>
      </c>
      <c r="J2832" s="78">
        <f>IF(ISBLANK(E2832),"",IF(ISNUMBER(SEARCH("/",E2832)), IF(LEN(E2832)-LEN(SUBSTITUTE(E2832,"/",""))=1,(RIGHT(E2832,LEN(E2832)-FIND("/",E2832)))-(LEFT(E2832,FIND("/",E2832)-1)),(MID(E2832, SEARCH("/",E2832) + 1, SEARCH("/",E2832, SEARCH("/",E2832)+1) - SEARCH("/",E2832) - 1))-(LEFT(E2832,FIND("/",E2832)-1))), "NA"))</f>
        <v/>
      </c>
      <c r="K2832" s="79">
        <f>IF(A2832&lt;&gt;"", IF(ISBLANK(L2832), TODAY(), K2832), "")</f>
        <v/>
      </c>
      <c r="L2832" s="78" t="n"/>
      <c r="M2832" s="78">
        <f>IF(ISBLANK(L2832),"",IF(D2832="Stock",IF(C2832="Buy",L2832*G2832,IF(C2832="Sell",(L2832*G2832)-I2832, X)),IF(C2832="Buy",(L2832*G2832*100)+I2832,IF(C2832="Sell",(L2832*G2832*100)-I2832, X))))</f>
        <v/>
      </c>
      <c r="N2832" s="78">
        <f>IF(ISBLANK(L2832),"",IF(AND(C2832="Sell",D2832="Stock"),M2832,IF(ISBLANK(L2832),"",IF(C2832="Buy",M2832, IF(AND(C2832="Sell",J2832="NA"),(E2832*G2832*100*0.1)+I2832, IF(C2832="Sell",(J2832-L2832)*(100*G2832)+I2832))))))</f>
        <v/>
      </c>
      <c r="O2832" s="75" t="n"/>
      <c r="P2832" s="75" t="n"/>
      <c r="Q2832" s="75">
        <f>IF(ISBLANK(P2832),"",IF(D2832="Stock",P2832*G2832,IF(P2832=0,"0",G2832*P2832*100-(G2832*$AF$14))))</f>
        <v/>
      </c>
      <c r="R2832" s="79">
        <f>IF(P2832&lt;&gt;"", TODAY(), "")</f>
        <v/>
      </c>
      <c r="S2832" s="78">
        <f>IF(AND(K2832&lt;&gt;"", R2832&lt;&gt;""), R2832-K2832, "")</f>
        <v/>
      </c>
      <c r="T2832" s="78" t="n"/>
      <c r="U2832" s="92">
        <f>IF(ISBLANK(P2832),"",IF(C2832="Buy",Q2832-M2832+T2832, IF(C2832="Sell",M2832-Q2832-T2832, X)))</f>
        <v/>
      </c>
      <c r="V2832" s="81">
        <f>IF(ISBLANK(P2832),"",U2832/N2832)</f>
        <v/>
      </c>
      <c r="W2832" s="81">
        <f>IF(ISBLANK(P2832),"",IF(S2832=0,(365/0.5)*V2832,(365/S2832)*V2832))</f>
        <v/>
      </c>
      <c r="X2832" s="75" t="n"/>
      <c r="Y2832" s="77" t="n"/>
      <c r="Z2832" s="77" t="n"/>
      <c r="AA2832" s="75" t="n"/>
      <c r="AB2832" s="75" t="n"/>
      <c r="AC2832" s="6" t="n"/>
      <c r="AD2832" s="75" t="n"/>
      <c r="AE2832" s="75" t="n"/>
      <c r="AF2832" s="75" t="n"/>
    </row>
    <row r="2833" ht="15.75" customHeight="1" s="133">
      <c r="A2833" s="75" t="n"/>
      <c r="B2833" s="75" t="n"/>
      <c r="C2833" s="75" t="n"/>
      <c r="D2833" s="75" t="n"/>
      <c r="E2833" s="76" t="n"/>
      <c r="F2833" s="77" t="n"/>
      <c r="G2833" s="75" t="n"/>
      <c r="H2833" s="75">
        <f>IF(ISBLANK(E2833),"",IF(OR(D2833="Butterfly",D2833="Butterfly ",D2833="Iron Fly", D2833="Iron Fly "),LEN(E2833)-LEN(SUBSTITUTE(E2833,"/",""))+2,LEN(E2833)-LEN(SUBSTITUTE(E2833,"/",""))+1))</f>
        <v/>
      </c>
      <c r="I2833" s="78">
        <f>IF(ISBLANK(G2833),"",IF(D2833="Stock","0",Key!$A$3*H2833*G2833))</f>
        <v/>
      </c>
      <c r="J2833" s="78">
        <f>IF(ISBLANK(E2833),"",IF(ISNUMBER(SEARCH("/",E2833)), IF(LEN(E2833)-LEN(SUBSTITUTE(E2833,"/",""))=1,(RIGHT(E2833,LEN(E2833)-FIND("/",E2833)))-(LEFT(E2833,FIND("/",E2833)-1)),(MID(E2833, SEARCH("/",E2833) + 1, SEARCH("/",E2833, SEARCH("/",E2833)+1) - SEARCH("/",E2833) - 1))-(LEFT(E2833,FIND("/",E2833)-1))), "NA"))</f>
        <v/>
      </c>
      <c r="K2833" s="79">
        <f>IF(A2833&lt;&gt;"", IF(ISBLANK(L2833), TODAY(), K2833), "")</f>
        <v/>
      </c>
      <c r="L2833" s="78" t="n"/>
      <c r="M2833" s="78">
        <f>IF(ISBLANK(L2833),"",IF(D2833="Stock",IF(C2833="Buy",L2833*G2833,IF(C2833="Sell",(L2833*G2833)-I2833, X)),IF(C2833="Buy",(L2833*G2833*100)+I2833,IF(C2833="Sell",(L2833*G2833*100)-I2833, X))))</f>
        <v/>
      </c>
      <c r="N2833" s="78">
        <f>IF(ISBLANK(L2833),"",IF(AND(C2833="Sell",D2833="Stock"),M2833,IF(ISBLANK(L2833),"",IF(C2833="Buy",M2833, IF(AND(C2833="Sell",J2833="NA"),(E2833*G2833*100*0.1)+I2833, IF(C2833="Sell",(J2833-L2833)*(100*G2833)+I2833))))))</f>
        <v/>
      </c>
      <c r="O2833" s="75" t="n"/>
      <c r="P2833" s="75" t="n"/>
      <c r="Q2833" s="75">
        <f>IF(ISBLANK(P2833),"",IF(D2833="Stock",P2833*G2833,IF(P2833=0,"0",G2833*P2833*100-(G2833*$AF$14))))</f>
        <v/>
      </c>
      <c r="R2833" s="79">
        <f>IF(P2833&lt;&gt;"", TODAY(), "")</f>
        <v/>
      </c>
      <c r="S2833" s="78">
        <f>IF(AND(K2833&lt;&gt;"", R2833&lt;&gt;""), R2833-K2833, "")</f>
        <v/>
      </c>
      <c r="T2833" s="78" t="n"/>
      <c r="U2833" s="92">
        <f>IF(ISBLANK(P2833),"",IF(C2833="Buy",Q2833-M2833+T2833, IF(C2833="Sell",M2833-Q2833-T2833, X)))</f>
        <v/>
      </c>
      <c r="V2833" s="81">
        <f>IF(ISBLANK(P2833),"",U2833/N2833)</f>
        <v/>
      </c>
      <c r="W2833" s="81">
        <f>IF(ISBLANK(P2833),"",IF(S2833=0,(365/0.5)*V2833,(365/S2833)*V2833))</f>
        <v/>
      </c>
      <c r="X2833" s="75" t="n"/>
      <c r="Y2833" s="77" t="n"/>
      <c r="Z2833" s="77" t="n"/>
      <c r="AA2833" s="75" t="n"/>
      <c r="AB2833" s="75" t="n"/>
      <c r="AC2833" s="6" t="n"/>
      <c r="AD2833" s="75" t="n"/>
      <c r="AE2833" s="75" t="n"/>
      <c r="AF2833" s="75" t="n"/>
    </row>
    <row r="2834" ht="15.75" customHeight="1" s="133">
      <c r="A2834" s="75" t="n"/>
      <c r="B2834" s="75" t="n"/>
      <c r="C2834" s="75" t="n"/>
      <c r="D2834" s="75" t="n"/>
      <c r="E2834" s="76" t="n"/>
      <c r="F2834" s="77" t="n"/>
      <c r="G2834" s="75" t="n"/>
      <c r="H2834" s="75">
        <f>IF(ISBLANK(E2834),"",IF(OR(D2834="Butterfly",D2834="Butterfly ",D2834="Iron Fly", D2834="Iron Fly "),LEN(E2834)-LEN(SUBSTITUTE(E2834,"/",""))+2,LEN(E2834)-LEN(SUBSTITUTE(E2834,"/",""))+1))</f>
        <v/>
      </c>
      <c r="I2834" s="78">
        <f>IF(ISBLANK(G2834),"",IF(D2834="Stock","0",Key!$A$3*H2834*G2834))</f>
        <v/>
      </c>
      <c r="J2834" s="78">
        <f>IF(ISBLANK(E2834),"",IF(ISNUMBER(SEARCH("/",E2834)), IF(LEN(E2834)-LEN(SUBSTITUTE(E2834,"/",""))=1,(RIGHT(E2834,LEN(E2834)-FIND("/",E2834)))-(LEFT(E2834,FIND("/",E2834)-1)),(MID(E2834, SEARCH("/",E2834) + 1, SEARCH("/",E2834, SEARCH("/",E2834)+1) - SEARCH("/",E2834) - 1))-(LEFT(E2834,FIND("/",E2834)-1))), "NA"))</f>
        <v/>
      </c>
      <c r="K2834" s="79">
        <f>IF(A2834&lt;&gt;"", IF(ISBLANK(L2834), TODAY(), K2834), "")</f>
        <v/>
      </c>
      <c r="L2834" s="78" t="n"/>
      <c r="M2834" s="78">
        <f>IF(ISBLANK(L2834),"",IF(D2834="Stock",IF(C2834="Buy",L2834*G2834,IF(C2834="Sell",(L2834*G2834)-I2834, X)),IF(C2834="Buy",(L2834*G2834*100)+I2834,IF(C2834="Sell",(L2834*G2834*100)-I2834, X))))</f>
        <v/>
      </c>
      <c r="N2834" s="78">
        <f>IF(ISBLANK(L2834),"",IF(AND(C2834="Sell",D2834="Stock"),M2834,IF(ISBLANK(L2834),"",IF(C2834="Buy",M2834, IF(AND(C2834="Sell",J2834="NA"),(E2834*G2834*100*0.1)+I2834, IF(C2834="Sell",(J2834-L2834)*(100*G2834)+I2834))))))</f>
        <v/>
      </c>
      <c r="O2834" s="75" t="n"/>
      <c r="P2834" s="75" t="n"/>
      <c r="Q2834" s="75">
        <f>IF(ISBLANK(P2834),"",IF(D2834="Stock",P2834*G2834,IF(P2834=0,"0",G2834*P2834*100-(G2834*$AF$14))))</f>
        <v/>
      </c>
      <c r="R2834" s="79">
        <f>IF(P2834&lt;&gt;"", TODAY(), "")</f>
        <v/>
      </c>
      <c r="S2834" s="78">
        <f>IF(AND(K2834&lt;&gt;"", R2834&lt;&gt;""), R2834-K2834, "")</f>
        <v/>
      </c>
      <c r="T2834" s="78" t="n"/>
      <c r="U2834" s="92">
        <f>IF(ISBLANK(P2834),"",IF(C2834="Buy",Q2834-M2834+T2834, IF(C2834="Sell",M2834-Q2834-T2834, X)))</f>
        <v/>
      </c>
      <c r="V2834" s="81">
        <f>IF(ISBLANK(P2834),"",U2834/N2834)</f>
        <v/>
      </c>
      <c r="W2834" s="81">
        <f>IF(ISBLANK(P2834),"",IF(S2834=0,(365/0.5)*V2834,(365/S2834)*V2834))</f>
        <v/>
      </c>
      <c r="X2834" s="75" t="n"/>
      <c r="Y2834" s="77" t="n"/>
      <c r="Z2834" s="77" t="n"/>
      <c r="AA2834" s="75" t="n"/>
      <c r="AB2834" s="75" t="n"/>
      <c r="AC2834" s="6" t="n"/>
      <c r="AD2834" s="75" t="n"/>
      <c r="AE2834" s="75" t="n"/>
      <c r="AF2834" s="75" t="n"/>
    </row>
    <row r="2835" ht="15.75" customHeight="1" s="133">
      <c r="A2835" s="75" t="n"/>
      <c r="B2835" s="75" t="n"/>
      <c r="C2835" s="75" t="n"/>
      <c r="D2835" s="75" t="n"/>
      <c r="E2835" s="76" t="n"/>
      <c r="F2835" s="77" t="n"/>
      <c r="G2835" s="75" t="n"/>
      <c r="H2835" s="75">
        <f>IF(ISBLANK(E2835),"",IF(OR(D2835="Butterfly",D2835="Butterfly ",D2835="Iron Fly", D2835="Iron Fly "),LEN(E2835)-LEN(SUBSTITUTE(E2835,"/",""))+2,LEN(E2835)-LEN(SUBSTITUTE(E2835,"/",""))+1))</f>
        <v/>
      </c>
      <c r="I2835" s="78">
        <f>IF(ISBLANK(G2835),"",IF(D2835="Stock","0",Key!$A$3*H2835*G2835))</f>
        <v/>
      </c>
      <c r="J2835" s="78">
        <f>IF(ISBLANK(E2835),"",IF(ISNUMBER(SEARCH("/",E2835)), IF(LEN(E2835)-LEN(SUBSTITUTE(E2835,"/",""))=1,(RIGHT(E2835,LEN(E2835)-FIND("/",E2835)))-(LEFT(E2835,FIND("/",E2835)-1)),(MID(E2835, SEARCH("/",E2835) + 1, SEARCH("/",E2835, SEARCH("/",E2835)+1) - SEARCH("/",E2835) - 1))-(LEFT(E2835,FIND("/",E2835)-1))), "NA"))</f>
        <v/>
      </c>
      <c r="K2835" s="79">
        <f>IF(A2835&lt;&gt;"", IF(ISBLANK(L2835), TODAY(), K2835), "")</f>
        <v/>
      </c>
      <c r="L2835" s="78" t="n"/>
      <c r="M2835" s="78">
        <f>IF(ISBLANK(L2835),"",IF(D2835="Stock",IF(C2835="Buy",L2835*G2835,IF(C2835="Sell",(L2835*G2835)-I2835, X)),IF(C2835="Buy",(L2835*G2835*100)+I2835,IF(C2835="Sell",(L2835*G2835*100)-I2835, X))))</f>
        <v/>
      </c>
      <c r="N2835" s="78">
        <f>IF(ISBLANK(L2835),"",IF(AND(C2835="Sell",D2835="Stock"),M2835,IF(ISBLANK(L2835),"",IF(C2835="Buy",M2835, IF(AND(C2835="Sell",J2835="NA"),(E2835*G2835*100*0.1)+I2835, IF(C2835="Sell",(J2835-L2835)*(100*G2835)+I2835))))))</f>
        <v/>
      </c>
      <c r="O2835" s="75" t="n"/>
      <c r="P2835" s="75" t="n"/>
      <c r="Q2835" s="75">
        <f>IF(ISBLANK(P2835),"",IF(D2835="Stock",P2835*G2835,IF(P2835=0,"0",G2835*P2835*100-(G2835*$AF$14))))</f>
        <v/>
      </c>
      <c r="R2835" s="79">
        <f>IF(P2835&lt;&gt;"", TODAY(), "")</f>
        <v/>
      </c>
      <c r="S2835" s="78">
        <f>IF(AND(K2835&lt;&gt;"", R2835&lt;&gt;""), R2835-K2835, "")</f>
        <v/>
      </c>
      <c r="T2835" s="78" t="n"/>
      <c r="U2835" s="92">
        <f>IF(ISBLANK(P2835),"",IF(C2835="Buy",Q2835-M2835+T2835, IF(C2835="Sell",M2835-Q2835-T2835, X)))</f>
        <v/>
      </c>
      <c r="V2835" s="81">
        <f>IF(ISBLANK(P2835),"",U2835/N2835)</f>
        <v/>
      </c>
      <c r="W2835" s="81">
        <f>IF(ISBLANK(P2835),"",IF(S2835=0,(365/0.5)*V2835,(365/S2835)*V2835))</f>
        <v/>
      </c>
      <c r="X2835" s="75" t="n"/>
      <c r="Y2835" s="77" t="n"/>
      <c r="Z2835" s="77" t="n"/>
      <c r="AA2835" s="75" t="n"/>
      <c r="AB2835" s="75" t="n"/>
      <c r="AC2835" s="6" t="n"/>
      <c r="AD2835" s="75" t="n"/>
      <c r="AE2835" s="75" t="n"/>
      <c r="AF2835" s="75" t="n"/>
    </row>
    <row r="2836" ht="15.75" customHeight="1" s="133">
      <c r="A2836" s="75" t="n"/>
      <c r="B2836" s="75" t="n"/>
      <c r="C2836" s="75" t="n"/>
      <c r="D2836" s="75" t="n"/>
      <c r="E2836" s="76" t="n"/>
      <c r="F2836" s="77" t="n"/>
      <c r="G2836" s="75" t="n"/>
      <c r="H2836" s="75">
        <f>IF(ISBLANK(E2836),"",IF(OR(D2836="Butterfly",D2836="Butterfly ",D2836="Iron Fly", D2836="Iron Fly "),LEN(E2836)-LEN(SUBSTITUTE(E2836,"/",""))+2,LEN(E2836)-LEN(SUBSTITUTE(E2836,"/",""))+1))</f>
        <v/>
      </c>
      <c r="I2836" s="78">
        <f>IF(ISBLANK(G2836),"",IF(D2836="Stock","0",Key!$A$3*H2836*G2836))</f>
        <v/>
      </c>
      <c r="J2836" s="78">
        <f>IF(ISBLANK(E2836),"",IF(ISNUMBER(SEARCH("/",E2836)), IF(LEN(E2836)-LEN(SUBSTITUTE(E2836,"/",""))=1,(RIGHT(E2836,LEN(E2836)-FIND("/",E2836)))-(LEFT(E2836,FIND("/",E2836)-1)),(MID(E2836, SEARCH("/",E2836) + 1, SEARCH("/",E2836, SEARCH("/",E2836)+1) - SEARCH("/",E2836) - 1))-(LEFT(E2836,FIND("/",E2836)-1))), "NA"))</f>
        <v/>
      </c>
      <c r="K2836" s="79">
        <f>IF(A2836&lt;&gt;"", IF(ISBLANK(L2836), TODAY(), K2836), "")</f>
        <v/>
      </c>
      <c r="L2836" s="78" t="n"/>
      <c r="M2836" s="78">
        <f>IF(ISBLANK(L2836),"",IF(D2836="Stock",IF(C2836="Buy",L2836*G2836,IF(C2836="Sell",(L2836*G2836)-I2836, X)),IF(C2836="Buy",(L2836*G2836*100)+I2836,IF(C2836="Sell",(L2836*G2836*100)-I2836, X))))</f>
        <v/>
      </c>
      <c r="N2836" s="78">
        <f>IF(ISBLANK(L2836),"",IF(AND(C2836="Sell",D2836="Stock"),M2836,IF(ISBLANK(L2836),"",IF(C2836="Buy",M2836, IF(AND(C2836="Sell",J2836="NA"),(E2836*G2836*100*0.1)+I2836, IF(C2836="Sell",(J2836-L2836)*(100*G2836)+I2836))))))</f>
        <v/>
      </c>
      <c r="O2836" s="75" t="n"/>
      <c r="P2836" s="75" t="n"/>
      <c r="Q2836" s="75">
        <f>IF(ISBLANK(P2836),"",IF(D2836="Stock",P2836*G2836,IF(P2836=0,"0",G2836*P2836*100-(G2836*$AF$14))))</f>
        <v/>
      </c>
      <c r="R2836" s="79">
        <f>IF(P2836&lt;&gt;"", TODAY(), "")</f>
        <v/>
      </c>
      <c r="S2836" s="78">
        <f>IF(AND(K2836&lt;&gt;"", R2836&lt;&gt;""), R2836-K2836, "")</f>
        <v/>
      </c>
      <c r="T2836" s="78" t="n"/>
      <c r="U2836" s="92">
        <f>IF(ISBLANK(P2836),"",IF(C2836="Buy",Q2836-M2836+T2836, IF(C2836="Sell",M2836-Q2836-T2836, X)))</f>
        <v/>
      </c>
      <c r="V2836" s="81">
        <f>IF(ISBLANK(P2836),"",U2836/N2836)</f>
        <v/>
      </c>
      <c r="W2836" s="81">
        <f>IF(ISBLANK(P2836),"",IF(S2836=0,(365/0.5)*V2836,(365/S2836)*V2836))</f>
        <v/>
      </c>
      <c r="X2836" s="75" t="n"/>
      <c r="Y2836" s="77" t="n"/>
      <c r="Z2836" s="77" t="n"/>
      <c r="AA2836" s="75" t="n"/>
      <c r="AB2836" s="75" t="n"/>
      <c r="AC2836" s="6" t="n"/>
      <c r="AD2836" s="75" t="n"/>
      <c r="AE2836" s="75" t="n"/>
      <c r="AF2836" s="75" t="n"/>
    </row>
    <row r="2837" ht="15.75" customHeight="1" s="133">
      <c r="A2837" s="75" t="n"/>
      <c r="B2837" s="75" t="n"/>
      <c r="C2837" s="75" t="n"/>
      <c r="D2837" s="75" t="n"/>
      <c r="E2837" s="76" t="n"/>
      <c r="F2837" s="77" t="n"/>
      <c r="G2837" s="75" t="n"/>
      <c r="H2837" s="75">
        <f>IF(ISBLANK(E2837),"",IF(OR(D2837="Butterfly",D2837="Butterfly ",D2837="Iron Fly", D2837="Iron Fly "),LEN(E2837)-LEN(SUBSTITUTE(E2837,"/",""))+2,LEN(E2837)-LEN(SUBSTITUTE(E2837,"/",""))+1))</f>
        <v/>
      </c>
      <c r="I2837" s="78">
        <f>IF(ISBLANK(G2837),"",IF(D2837="Stock","0",Key!$A$3*H2837*G2837))</f>
        <v/>
      </c>
      <c r="J2837" s="78">
        <f>IF(ISBLANK(E2837),"",IF(ISNUMBER(SEARCH("/",E2837)), IF(LEN(E2837)-LEN(SUBSTITUTE(E2837,"/",""))=1,(RIGHT(E2837,LEN(E2837)-FIND("/",E2837)))-(LEFT(E2837,FIND("/",E2837)-1)),(MID(E2837, SEARCH("/",E2837) + 1, SEARCH("/",E2837, SEARCH("/",E2837)+1) - SEARCH("/",E2837) - 1))-(LEFT(E2837,FIND("/",E2837)-1))), "NA"))</f>
        <v/>
      </c>
      <c r="K2837" s="79">
        <f>IF(A2837&lt;&gt;"", IF(ISBLANK(L2837), TODAY(), K2837), "")</f>
        <v/>
      </c>
      <c r="L2837" s="78" t="n"/>
      <c r="M2837" s="78">
        <f>IF(ISBLANK(L2837),"",IF(D2837="Stock",IF(C2837="Buy",L2837*G2837,IF(C2837="Sell",(L2837*G2837)-I2837, X)),IF(C2837="Buy",(L2837*G2837*100)+I2837,IF(C2837="Sell",(L2837*G2837*100)-I2837, X))))</f>
        <v/>
      </c>
      <c r="N2837" s="78">
        <f>IF(ISBLANK(L2837),"",IF(AND(C2837="Sell",D2837="Stock"),M2837,IF(ISBLANK(L2837),"",IF(C2837="Buy",M2837, IF(AND(C2837="Sell",J2837="NA"),(E2837*G2837*100*0.1)+I2837, IF(C2837="Sell",(J2837-L2837)*(100*G2837)+I2837))))))</f>
        <v/>
      </c>
      <c r="O2837" s="75" t="n"/>
      <c r="P2837" s="75" t="n"/>
      <c r="Q2837" s="75">
        <f>IF(ISBLANK(P2837),"",IF(D2837="Stock",P2837*G2837,IF(P2837=0,"0",G2837*P2837*100-(G2837*$AF$14))))</f>
        <v/>
      </c>
      <c r="R2837" s="79">
        <f>IF(P2837&lt;&gt;"", TODAY(), "")</f>
        <v/>
      </c>
      <c r="S2837" s="78">
        <f>IF(AND(K2837&lt;&gt;"", R2837&lt;&gt;""), R2837-K2837, "")</f>
        <v/>
      </c>
      <c r="T2837" s="78" t="n"/>
      <c r="U2837" s="92">
        <f>IF(ISBLANK(P2837),"",IF(C2837="Buy",Q2837-M2837+T2837, IF(C2837="Sell",M2837-Q2837-T2837, X)))</f>
        <v/>
      </c>
      <c r="V2837" s="81">
        <f>IF(ISBLANK(P2837),"",U2837/N2837)</f>
        <v/>
      </c>
      <c r="W2837" s="81">
        <f>IF(ISBLANK(P2837),"",IF(S2837=0,(365/0.5)*V2837,(365/S2837)*V2837))</f>
        <v/>
      </c>
      <c r="X2837" s="75" t="n"/>
      <c r="Y2837" s="77" t="n"/>
      <c r="Z2837" s="77" t="n"/>
      <c r="AA2837" s="75" t="n"/>
      <c r="AB2837" s="75" t="n"/>
      <c r="AC2837" s="6" t="n"/>
      <c r="AD2837" s="75" t="n"/>
      <c r="AE2837" s="75" t="n"/>
      <c r="AF2837" s="75" t="n"/>
    </row>
    <row r="2838" ht="15.75" customHeight="1" s="133">
      <c r="A2838" s="75" t="n"/>
      <c r="B2838" s="75" t="n"/>
      <c r="C2838" s="75" t="n"/>
      <c r="D2838" s="75" t="n"/>
      <c r="E2838" s="76" t="n"/>
      <c r="F2838" s="77" t="n"/>
      <c r="G2838" s="75" t="n"/>
      <c r="H2838" s="75">
        <f>IF(ISBLANK(E2838),"",IF(OR(D2838="Butterfly",D2838="Butterfly ",D2838="Iron Fly", D2838="Iron Fly "),LEN(E2838)-LEN(SUBSTITUTE(E2838,"/",""))+2,LEN(E2838)-LEN(SUBSTITUTE(E2838,"/",""))+1))</f>
        <v/>
      </c>
      <c r="I2838" s="78">
        <f>IF(ISBLANK(G2838),"",IF(D2838="Stock","0",Key!$A$3*H2838*G2838))</f>
        <v/>
      </c>
      <c r="J2838" s="78">
        <f>IF(ISBLANK(E2838),"",IF(ISNUMBER(SEARCH("/",E2838)), IF(LEN(E2838)-LEN(SUBSTITUTE(E2838,"/",""))=1,(RIGHT(E2838,LEN(E2838)-FIND("/",E2838)))-(LEFT(E2838,FIND("/",E2838)-1)),(MID(E2838, SEARCH("/",E2838) + 1, SEARCH("/",E2838, SEARCH("/",E2838)+1) - SEARCH("/",E2838) - 1))-(LEFT(E2838,FIND("/",E2838)-1))), "NA"))</f>
        <v/>
      </c>
      <c r="K2838" s="79">
        <f>IF(A2838&lt;&gt;"", IF(ISBLANK(L2838), TODAY(), K2838), "")</f>
        <v/>
      </c>
      <c r="L2838" s="78" t="n"/>
      <c r="M2838" s="78">
        <f>IF(ISBLANK(L2838),"",IF(D2838="Stock",IF(C2838="Buy",L2838*G2838,IF(C2838="Sell",(L2838*G2838)-I2838, X)),IF(C2838="Buy",(L2838*G2838*100)+I2838,IF(C2838="Sell",(L2838*G2838*100)-I2838, X))))</f>
        <v/>
      </c>
      <c r="N2838" s="78">
        <f>IF(ISBLANK(L2838),"",IF(AND(C2838="Sell",D2838="Stock"),M2838,IF(ISBLANK(L2838),"",IF(C2838="Buy",M2838, IF(AND(C2838="Sell",J2838="NA"),(E2838*G2838*100*0.1)+I2838, IF(C2838="Sell",(J2838-L2838)*(100*G2838)+I2838))))))</f>
        <v/>
      </c>
      <c r="O2838" s="75" t="n"/>
      <c r="P2838" s="75" t="n"/>
      <c r="Q2838" s="75">
        <f>IF(ISBLANK(P2838),"",IF(D2838="Stock",P2838*G2838,IF(P2838=0,"0",G2838*P2838*100-(G2838*$AF$14))))</f>
        <v/>
      </c>
      <c r="R2838" s="79">
        <f>IF(P2838&lt;&gt;"", TODAY(), "")</f>
        <v/>
      </c>
      <c r="S2838" s="78">
        <f>IF(AND(K2838&lt;&gt;"", R2838&lt;&gt;""), R2838-K2838, "")</f>
        <v/>
      </c>
      <c r="T2838" s="78" t="n"/>
      <c r="U2838" s="92">
        <f>IF(ISBLANK(P2838),"",IF(C2838="Buy",Q2838-M2838+T2838, IF(C2838="Sell",M2838-Q2838-T2838, X)))</f>
        <v/>
      </c>
      <c r="V2838" s="81">
        <f>IF(ISBLANK(P2838),"",U2838/N2838)</f>
        <v/>
      </c>
      <c r="W2838" s="81">
        <f>IF(ISBLANK(P2838),"",IF(S2838=0,(365/0.5)*V2838,(365/S2838)*V2838))</f>
        <v/>
      </c>
      <c r="X2838" s="75" t="n"/>
      <c r="Y2838" s="77" t="n"/>
      <c r="Z2838" s="77" t="n"/>
      <c r="AA2838" s="75" t="n"/>
      <c r="AB2838" s="75" t="n"/>
      <c r="AC2838" s="6" t="n"/>
      <c r="AD2838" s="75" t="n"/>
      <c r="AE2838" s="75" t="n"/>
      <c r="AF2838" s="75" t="n"/>
    </row>
    <row r="2839" ht="15.75" customHeight="1" s="133">
      <c r="A2839" s="75" t="n"/>
      <c r="B2839" s="75" t="n"/>
      <c r="C2839" s="75" t="n"/>
      <c r="D2839" s="75" t="n"/>
      <c r="E2839" s="76" t="n"/>
      <c r="F2839" s="77" t="n"/>
      <c r="G2839" s="75" t="n"/>
      <c r="H2839" s="75">
        <f>IF(ISBLANK(E2839),"",IF(OR(D2839="Butterfly",D2839="Butterfly ",D2839="Iron Fly", D2839="Iron Fly "),LEN(E2839)-LEN(SUBSTITUTE(E2839,"/",""))+2,LEN(E2839)-LEN(SUBSTITUTE(E2839,"/",""))+1))</f>
        <v/>
      </c>
      <c r="I2839" s="78">
        <f>IF(ISBLANK(G2839),"",IF(D2839="Stock","0",Key!$A$3*H2839*G2839))</f>
        <v/>
      </c>
      <c r="J2839" s="78">
        <f>IF(ISBLANK(E2839),"",IF(ISNUMBER(SEARCH("/",E2839)), IF(LEN(E2839)-LEN(SUBSTITUTE(E2839,"/",""))=1,(RIGHT(E2839,LEN(E2839)-FIND("/",E2839)))-(LEFT(E2839,FIND("/",E2839)-1)),(MID(E2839, SEARCH("/",E2839) + 1, SEARCH("/",E2839, SEARCH("/",E2839)+1) - SEARCH("/",E2839) - 1))-(LEFT(E2839,FIND("/",E2839)-1))), "NA"))</f>
        <v/>
      </c>
      <c r="K2839" s="79">
        <f>IF(A2839&lt;&gt;"", IF(ISBLANK(L2839), TODAY(), K2839), "")</f>
        <v/>
      </c>
      <c r="L2839" s="78" t="n"/>
      <c r="M2839" s="78">
        <f>IF(ISBLANK(L2839),"",IF(D2839="Stock",IF(C2839="Buy",L2839*G2839,IF(C2839="Sell",(L2839*G2839)-I2839, X)),IF(C2839="Buy",(L2839*G2839*100)+I2839,IF(C2839="Sell",(L2839*G2839*100)-I2839, X))))</f>
        <v/>
      </c>
      <c r="N2839" s="78">
        <f>IF(ISBLANK(L2839),"",IF(AND(C2839="Sell",D2839="Stock"),M2839,IF(ISBLANK(L2839),"",IF(C2839="Buy",M2839, IF(AND(C2839="Sell",J2839="NA"),(E2839*G2839*100*0.1)+I2839, IF(C2839="Sell",(J2839-L2839)*(100*G2839)+I2839))))))</f>
        <v/>
      </c>
      <c r="O2839" s="75" t="n"/>
      <c r="P2839" s="75" t="n"/>
      <c r="Q2839" s="75">
        <f>IF(ISBLANK(P2839),"",IF(D2839="Stock",P2839*G2839,IF(P2839=0,"0",G2839*P2839*100-(G2839*$AF$14))))</f>
        <v/>
      </c>
      <c r="R2839" s="79">
        <f>IF(P2839&lt;&gt;"", TODAY(), "")</f>
        <v/>
      </c>
      <c r="S2839" s="78">
        <f>IF(AND(K2839&lt;&gt;"", R2839&lt;&gt;""), R2839-K2839, "")</f>
        <v/>
      </c>
      <c r="T2839" s="78" t="n"/>
      <c r="U2839" s="92">
        <f>IF(ISBLANK(P2839),"",IF(C2839="Buy",Q2839-M2839+T2839, IF(C2839="Sell",M2839-Q2839-T2839, X)))</f>
        <v/>
      </c>
      <c r="V2839" s="81">
        <f>IF(ISBLANK(P2839),"",U2839/N2839)</f>
        <v/>
      </c>
      <c r="W2839" s="81">
        <f>IF(ISBLANK(P2839),"",IF(S2839=0,(365/0.5)*V2839,(365/S2839)*V2839))</f>
        <v/>
      </c>
      <c r="X2839" s="75" t="n"/>
      <c r="Y2839" s="77" t="n"/>
      <c r="Z2839" s="77" t="n"/>
      <c r="AA2839" s="75" t="n"/>
      <c r="AB2839" s="75" t="n"/>
      <c r="AC2839" s="6" t="n"/>
      <c r="AD2839" s="75" t="n"/>
      <c r="AE2839" s="75" t="n"/>
      <c r="AF2839" s="75" t="n"/>
    </row>
    <row r="2840" ht="15.75" customHeight="1" s="133">
      <c r="A2840" s="75" t="n"/>
      <c r="B2840" s="75" t="n"/>
      <c r="C2840" s="75" t="n"/>
      <c r="D2840" s="75" t="n"/>
      <c r="E2840" s="76" t="n"/>
      <c r="F2840" s="77" t="n"/>
      <c r="G2840" s="75" t="n"/>
      <c r="H2840" s="75">
        <f>IF(ISBLANK(E2840),"",IF(OR(D2840="Butterfly",D2840="Butterfly ",D2840="Iron Fly", D2840="Iron Fly "),LEN(E2840)-LEN(SUBSTITUTE(E2840,"/",""))+2,LEN(E2840)-LEN(SUBSTITUTE(E2840,"/",""))+1))</f>
        <v/>
      </c>
      <c r="I2840" s="78">
        <f>IF(ISBLANK(G2840),"",IF(D2840="Stock","0",Key!$A$3*H2840*G2840))</f>
        <v/>
      </c>
      <c r="J2840" s="78">
        <f>IF(ISBLANK(E2840),"",IF(ISNUMBER(SEARCH("/",E2840)), IF(LEN(E2840)-LEN(SUBSTITUTE(E2840,"/",""))=1,(RIGHT(E2840,LEN(E2840)-FIND("/",E2840)))-(LEFT(E2840,FIND("/",E2840)-1)),(MID(E2840, SEARCH("/",E2840) + 1, SEARCH("/",E2840, SEARCH("/",E2840)+1) - SEARCH("/",E2840) - 1))-(LEFT(E2840,FIND("/",E2840)-1))), "NA"))</f>
        <v/>
      </c>
      <c r="K2840" s="79">
        <f>IF(A2840&lt;&gt;"", IF(ISBLANK(L2840), TODAY(), K2840), "")</f>
        <v/>
      </c>
      <c r="L2840" s="78" t="n"/>
      <c r="M2840" s="78">
        <f>IF(ISBLANK(L2840),"",IF(D2840="Stock",IF(C2840="Buy",L2840*G2840,IF(C2840="Sell",(L2840*G2840)-I2840, X)),IF(C2840="Buy",(L2840*G2840*100)+I2840,IF(C2840="Sell",(L2840*G2840*100)-I2840, X))))</f>
        <v/>
      </c>
      <c r="N2840" s="78">
        <f>IF(ISBLANK(L2840),"",IF(AND(C2840="Sell",D2840="Stock"),M2840,IF(ISBLANK(L2840),"",IF(C2840="Buy",M2840, IF(AND(C2840="Sell",J2840="NA"),(E2840*G2840*100*0.1)+I2840, IF(C2840="Sell",(J2840-L2840)*(100*G2840)+I2840))))))</f>
        <v/>
      </c>
      <c r="O2840" s="75" t="n"/>
      <c r="P2840" s="75" t="n"/>
      <c r="Q2840" s="75">
        <f>IF(ISBLANK(P2840),"",IF(D2840="Stock",P2840*G2840,IF(P2840=0,"0",G2840*P2840*100-(G2840*$AF$14))))</f>
        <v/>
      </c>
      <c r="R2840" s="79">
        <f>IF(P2840&lt;&gt;"", TODAY(), "")</f>
        <v/>
      </c>
      <c r="S2840" s="78">
        <f>IF(AND(K2840&lt;&gt;"", R2840&lt;&gt;""), R2840-K2840, "")</f>
        <v/>
      </c>
      <c r="T2840" s="78" t="n"/>
      <c r="U2840" s="92">
        <f>IF(ISBLANK(P2840),"",IF(C2840="Buy",Q2840-M2840+T2840, IF(C2840="Sell",M2840-Q2840-T2840, X)))</f>
        <v/>
      </c>
      <c r="V2840" s="81">
        <f>IF(ISBLANK(P2840),"",U2840/N2840)</f>
        <v/>
      </c>
      <c r="W2840" s="81">
        <f>IF(ISBLANK(P2840),"",IF(S2840=0,(365/0.5)*V2840,(365/S2840)*V2840))</f>
        <v/>
      </c>
      <c r="X2840" s="75" t="n"/>
      <c r="Y2840" s="77" t="n"/>
      <c r="Z2840" s="77" t="n"/>
      <c r="AA2840" s="75" t="n"/>
      <c r="AB2840" s="75" t="n"/>
      <c r="AC2840" s="6" t="n"/>
      <c r="AD2840" s="75" t="n"/>
      <c r="AE2840" s="75" t="n"/>
      <c r="AF2840" s="75" t="n"/>
    </row>
    <row r="2841" ht="15.75" customHeight="1" s="133">
      <c r="A2841" s="75" t="n"/>
      <c r="B2841" s="75" t="n"/>
      <c r="C2841" s="75" t="n"/>
      <c r="D2841" s="75" t="n"/>
      <c r="E2841" s="76" t="n"/>
      <c r="F2841" s="77" t="n"/>
      <c r="G2841" s="75" t="n"/>
      <c r="H2841" s="75">
        <f>IF(ISBLANK(E2841),"",IF(OR(D2841="Butterfly",D2841="Butterfly ",D2841="Iron Fly", D2841="Iron Fly "),LEN(E2841)-LEN(SUBSTITUTE(E2841,"/",""))+2,LEN(E2841)-LEN(SUBSTITUTE(E2841,"/",""))+1))</f>
        <v/>
      </c>
      <c r="I2841" s="78">
        <f>IF(ISBLANK(G2841),"",IF(D2841="Stock","0",Key!$A$3*H2841*G2841))</f>
        <v/>
      </c>
      <c r="J2841" s="78">
        <f>IF(ISBLANK(E2841),"",IF(ISNUMBER(SEARCH("/",E2841)), IF(LEN(E2841)-LEN(SUBSTITUTE(E2841,"/",""))=1,(RIGHT(E2841,LEN(E2841)-FIND("/",E2841)))-(LEFT(E2841,FIND("/",E2841)-1)),(MID(E2841, SEARCH("/",E2841) + 1, SEARCH("/",E2841, SEARCH("/",E2841)+1) - SEARCH("/",E2841) - 1))-(LEFT(E2841,FIND("/",E2841)-1))), "NA"))</f>
        <v/>
      </c>
      <c r="K2841" s="79">
        <f>IF(A2841&lt;&gt;"", IF(ISBLANK(L2841), TODAY(), K2841), "")</f>
        <v/>
      </c>
      <c r="L2841" s="78" t="n"/>
      <c r="M2841" s="78">
        <f>IF(ISBLANK(L2841),"",IF(D2841="Stock",IF(C2841="Buy",L2841*G2841,IF(C2841="Sell",(L2841*G2841)-I2841, X)),IF(C2841="Buy",(L2841*G2841*100)+I2841,IF(C2841="Sell",(L2841*G2841*100)-I2841, X))))</f>
        <v/>
      </c>
      <c r="N2841" s="78">
        <f>IF(ISBLANK(L2841),"",IF(AND(C2841="Sell",D2841="Stock"),M2841,IF(ISBLANK(L2841),"",IF(C2841="Buy",M2841, IF(AND(C2841="Sell",J2841="NA"),(E2841*G2841*100*0.1)+I2841, IF(C2841="Sell",(J2841-L2841)*(100*G2841)+I2841))))))</f>
        <v/>
      </c>
      <c r="O2841" s="75" t="n"/>
      <c r="P2841" s="75" t="n"/>
      <c r="Q2841" s="75">
        <f>IF(ISBLANK(P2841),"",IF(D2841="Stock",P2841*G2841,IF(P2841=0,"0",G2841*P2841*100-(G2841*$AF$14))))</f>
        <v/>
      </c>
      <c r="R2841" s="79">
        <f>IF(P2841&lt;&gt;"", TODAY(), "")</f>
        <v/>
      </c>
      <c r="S2841" s="78">
        <f>IF(AND(K2841&lt;&gt;"", R2841&lt;&gt;""), R2841-K2841, "")</f>
        <v/>
      </c>
      <c r="T2841" s="78" t="n"/>
      <c r="U2841" s="92">
        <f>IF(ISBLANK(P2841),"",IF(C2841="Buy",Q2841-M2841+T2841, IF(C2841="Sell",M2841-Q2841-T2841, X)))</f>
        <v/>
      </c>
      <c r="V2841" s="81">
        <f>IF(ISBLANK(P2841),"",U2841/N2841)</f>
        <v/>
      </c>
      <c r="W2841" s="81">
        <f>IF(ISBLANK(P2841),"",IF(S2841=0,(365/0.5)*V2841,(365/S2841)*V2841))</f>
        <v/>
      </c>
      <c r="X2841" s="75" t="n"/>
      <c r="Y2841" s="77" t="n"/>
      <c r="Z2841" s="77" t="n"/>
      <c r="AA2841" s="75" t="n"/>
      <c r="AB2841" s="75" t="n"/>
      <c r="AC2841" s="6" t="n"/>
      <c r="AD2841" s="75" t="n"/>
      <c r="AE2841" s="75" t="n"/>
      <c r="AF2841" s="75" t="n"/>
    </row>
    <row r="2842" ht="15.75" customHeight="1" s="133">
      <c r="A2842" s="75" t="n"/>
      <c r="B2842" s="75" t="n"/>
      <c r="C2842" s="75" t="n"/>
      <c r="D2842" s="75" t="n"/>
      <c r="E2842" s="76" t="n"/>
      <c r="F2842" s="77" t="n"/>
      <c r="G2842" s="75" t="n"/>
      <c r="H2842" s="75">
        <f>IF(ISBLANK(E2842),"",IF(OR(D2842="Butterfly",D2842="Butterfly ",D2842="Iron Fly", D2842="Iron Fly "),LEN(E2842)-LEN(SUBSTITUTE(E2842,"/",""))+2,LEN(E2842)-LEN(SUBSTITUTE(E2842,"/",""))+1))</f>
        <v/>
      </c>
      <c r="I2842" s="78">
        <f>IF(ISBLANK(G2842),"",IF(D2842="Stock","0",Key!$A$3*H2842*G2842))</f>
        <v/>
      </c>
      <c r="J2842" s="78">
        <f>IF(ISBLANK(E2842),"",IF(ISNUMBER(SEARCH("/",E2842)), IF(LEN(E2842)-LEN(SUBSTITUTE(E2842,"/",""))=1,(RIGHT(E2842,LEN(E2842)-FIND("/",E2842)))-(LEFT(E2842,FIND("/",E2842)-1)),(MID(E2842, SEARCH("/",E2842) + 1, SEARCH("/",E2842, SEARCH("/",E2842)+1) - SEARCH("/",E2842) - 1))-(LEFT(E2842,FIND("/",E2842)-1))), "NA"))</f>
        <v/>
      </c>
      <c r="K2842" s="79">
        <f>IF(A2842&lt;&gt;"", IF(ISBLANK(L2842), TODAY(), K2842), "")</f>
        <v/>
      </c>
      <c r="L2842" s="78" t="n"/>
      <c r="M2842" s="78">
        <f>IF(ISBLANK(L2842),"",IF(D2842="Stock",IF(C2842="Buy",L2842*G2842,IF(C2842="Sell",(L2842*G2842)-I2842, X)),IF(C2842="Buy",(L2842*G2842*100)+I2842,IF(C2842="Sell",(L2842*G2842*100)-I2842, X))))</f>
        <v/>
      </c>
      <c r="N2842" s="78">
        <f>IF(ISBLANK(L2842),"",IF(AND(C2842="Sell",D2842="Stock"),M2842,IF(ISBLANK(L2842),"",IF(C2842="Buy",M2842, IF(AND(C2842="Sell",J2842="NA"),(E2842*G2842*100*0.1)+I2842, IF(C2842="Sell",(J2842-L2842)*(100*G2842)+I2842))))))</f>
        <v/>
      </c>
      <c r="O2842" s="75" t="n"/>
      <c r="P2842" s="75" t="n"/>
      <c r="Q2842" s="75">
        <f>IF(ISBLANK(P2842),"",IF(D2842="Stock",P2842*G2842,IF(P2842=0,"0",G2842*P2842*100-(G2842*$AF$14))))</f>
        <v/>
      </c>
      <c r="R2842" s="79">
        <f>IF(P2842&lt;&gt;"", TODAY(), "")</f>
        <v/>
      </c>
      <c r="S2842" s="78">
        <f>IF(AND(K2842&lt;&gt;"", R2842&lt;&gt;""), R2842-K2842, "")</f>
        <v/>
      </c>
      <c r="T2842" s="78" t="n"/>
      <c r="U2842" s="92">
        <f>IF(ISBLANK(P2842),"",IF(C2842="Buy",Q2842-M2842+T2842, IF(C2842="Sell",M2842-Q2842-T2842, X)))</f>
        <v/>
      </c>
      <c r="V2842" s="81">
        <f>IF(ISBLANK(P2842),"",U2842/N2842)</f>
        <v/>
      </c>
      <c r="W2842" s="81">
        <f>IF(ISBLANK(P2842),"",IF(S2842=0,(365/0.5)*V2842,(365/S2842)*V2842))</f>
        <v/>
      </c>
      <c r="X2842" s="75" t="n"/>
      <c r="Y2842" s="77" t="n"/>
      <c r="Z2842" s="77" t="n"/>
      <c r="AA2842" s="75" t="n"/>
      <c r="AB2842" s="75" t="n"/>
      <c r="AC2842" s="6" t="n"/>
      <c r="AD2842" s="75" t="n"/>
      <c r="AE2842" s="75" t="n"/>
      <c r="AF2842" s="75" t="n"/>
    </row>
    <row r="2843" ht="15.75" customHeight="1" s="133">
      <c r="A2843" s="75" t="n"/>
      <c r="B2843" s="75" t="n"/>
      <c r="C2843" s="75" t="n"/>
      <c r="D2843" s="75" t="n"/>
      <c r="E2843" s="76" t="n"/>
      <c r="F2843" s="77" t="n"/>
      <c r="G2843" s="75" t="n"/>
      <c r="H2843" s="75">
        <f>IF(ISBLANK(E2843),"",IF(OR(D2843="Butterfly",D2843="Butterfly ",D2843="Iron Fly", D2843="Iron Fly "),LEN(E2843)-LEN(SUBSTITUTE(E2843,"/",""))+2,LEN(E2843)-LEN(SUBSTITUTE(E2843,"/",""))+1))</f>
        <v/>
      </c>
      <c r="I2843" s="78">
        <f>IF(ISBLANK(G2843),"",IF(D2843="Stock","0",Key!$A$3*H2843*G2843))</f>
        <v/>
      </c>
      <c r="J2843" s="78">
        <f>IF(ISBLANK(E2843),"",IF(ISNUMBER(SEARCH("/",E2843)), IF(LEN(E2843)-LEN(SUBSTITUTE(E2843,"/",""))=1,(RIGHT(E2843,LEN(E2843)-FIND("/",E2843)))-(LEFT(E2843,FIND("/",E2843)-1)),(MID(E2843, SEARCH("/",E2843) + 1, SEARCH("/",E2843, SEARCH("/",E2843)+1) - SEARCH("/",E2843) - 1))-(LEFT(E2843,FIND("/",E2843)-1))), "NA"))</f>
        <v/>
      </c>
      <c r="K2843" s="79">
        <f>IF(A2843&lt;&gt;"", IF(ISBLANK(L2843), TODAY(), K2843), "")</f>
        <v/>
      </c>
      <c r="L2843" s="78" t="n"/>
      <c r="M2843" s="78">
        <f>IF(ISBLANK(L2843),"",IF(D2843="Stock",IF(C2843="Buy",L2843*G2843,IF(C2843="Sell",(L2843*G2843)-I2843, X)),IF(C2843="Buy",(L2843*G2843*100)+I2843,IF(C2843="Sell",(L2843*G2843*100)-I2843, X))))</f>
        <v/>
      </c>
      <c r="N2843" s="78">
        <f>IF(ISBLANK(L2843),"",IF(AND(C2843="Sell",D2843="Stock"),M2843,IF(ISBLANK(L2843),"",IF(C2843="Buy",M2843, IF(AND(C2843="Sell",J2843="NA"),(E2843*G2843*100*0.1)+I2843, IF(C2843="Sell",(J2843-L2843)*(100*G2843)+I2843))))))</f>
        <v/>
      </c>
      <c r="O2843" s="75" t="n"/>
      <c r="P2843" s="75" t="n"/>
      <c r="Q2843" s="75">
        <f>IF(ISBLANK(P2843),"",IF(D2843="Stock",P2843*G2843,IF(P2843=0,"0",G2843*P2843*100-(G2843*$AF$14))))</f>
        <v/>
      </c>
      <c r="R2843" s="79">
        <f>IF(P2843&lt;&gt;"", TODAY(), "")</f>
        <v/>
      </c>
      <c r="S2843" s="78">
        <f>IF(AND(K2843&lt;&gt;"", R2843&lt;&gt;""), R2843-K2843, "")</f>
        <v/>
      </c>
      <c r="T2843" s="78" t="n"/>
      <c r="U2843" s="92">
        <f>IF(ISBLANK(P2843),"",IF(C2843="Buy",Q2843-M2843+T2843, IF(C2843="Sell",M2843-Q2843-T2843, X)))</f>
        <v/>
      </c>
      <c r="V2843" s="81">
        <f>IF(ISBLANK(P2843),"",U2843/N2843)</f>
        <v/>
      </c>
      <c r="W2843" s="81">
        <f>IF(ISBLANK(P2843),"",IF(S2843=0,(365/0.5)*V2843,(365/S2843)*V2843))</f>
        <v/>
      </c>
      <c r="X2843" s="75" t="n"/>
      <c r="Y2843" s="77" t="n"/>
      <c r="Z2843" s="77" t="n"/>
      <c r="AA2843" s="75" t="n"/>
      <c r="AB2843" s="75" t="n"/>
      <c r="AC2843" s="6" t="n"/>
      <c r="AD2843" s="75" t="n"/>
      <c r="AE2843" s="75" t="n"/>
      <c r="AF2843" s="75" t="n"/>
    </row>
    <row r="2844" ht="15.75" customHeight="1" s="133">
      <c r="A2844" s="75" t="n"/>
      <c r="B2844" s="75" t="n"/>
      <c r="C2844" s="75" t="n"/>
      <c r="D2844" s="75" t="n"/>
      <c r="E2844" s="76" t="n"/>
      <c r="F2844" s="77" t="n"/>
      <c r="G2844" s="75" t="n"/>
      <c r="H2844" s="75">
        <f>IF(ISBLANK(E2844),"",IF(OR(D2844="Butterfly",D2844="Butterfly ",D2844="Iron Fly", D2844="Iron Fly "),LEN(E2844)-LEN(SUBSTITUTE(E2844,"/",""))+2,LEN(E2844)-LEN(SUBSTITUTE(E2844,"/",""))+1))</f>
        <v/>
      </c>
      <c r="I2844" s="78">
        <f>IF(ISBLANK(G2844),"",IF(D2844="Stock","0",Key!$A$3*H2844*G2844))</f>
        <v/>
      </c>
      <c r="J2844" s="78">
        <f>IF(ISBLANK(E2844),"",IF(ISNUMBER(SEARCH("/",E2844)), IF(LEN(E2844)-LEN(SUBSTITUTE(E2844,"/",""))=1,(RIGHT(E2844,LEN(E2844)-FIND("/",E2844)))-(LEFT(E2844,FIND("/",E2844)-1)),(MID(E2844, SEARCH("/",E2844) + 1, SEARCH("/",E2844, SEARCH("/",E2844)+1) - SEARCH("/",E2844) - 1))-(LEFT(E2844,FIND("/",E2844)-1))), "NA"))</f>
        <v/>
      </c>
      <c r="K2844" s="79">
        <f>IF(A2844&lt;&gt;"", IF(ISBLANK(L2844), TODAY(), K2844), "")</f>
        <v/>
      </c>
      <c r="L2844" s="78" t="n"/>
      <c r="M2844" s="78">
        <f>IF(ISBLANK(L2844),"",IF(D2844="Stock",IF(C2844="Buy",L2844*G2844,IF(C2844="Sell",(L2844*G2844)-I2844, X)),IF(C2844="Buy",(L2844*G2844*100)+I2844,IF(C2844="Sell",(L2844*G2844*100)-I2844, X))))</f>
        <v/>
      </c>
      <c r="N2844" s="78">
        <f>IF(ISBLANK(L2844),"",IF(AND(C2844="Sell",D2844="Stock"),M2844,IF(ISBLANK(L2844),"",IF(C2844="Buy",M2844, IF(AND(C2844="Sell",J2844="NA"),(E2844*G2844*100*0.1)+I2844, IF(C2844="Sell",(J2844-L2844)*(100*G2844)+I2844))))))</f>
        <v/>
      </c>
      <c r="O2844" s="75" t="n"/>
      <c r="P2844" s="75" t="n"/>
      <c r="Q2844" s="75">
        <f>IF(ISBLANK(P2844),"",IF(D2844="Stock",P2844*G2844,IF(P2844=0,"0",G2844*P2844*100-(G2844*$AF$14))))</f>
        <v/>
      </c>
      <c r="R2844" s="79">
        <f>IF(P2844&lt;&gt;"", TODAY(), "")</f>
        <v/>
      </c>
      <c r="S2844" s="78">
        <f>IF(AND(K2844&lt;&gt;"", R2844&lt;&gt;""), R2844-K2844, "")</f>
        <v/>
      </c>
      <c r="T2844" s="78" t="n"/>
      <c r="U2844" s="92">
        <f>IF(ISBLANK(P2844),"",IF(C2844="Buy",Q2844-M2844+T2844, IF(C2844="Sell",M2844-Q2844-T2844, X)))</f>
        <v/>
      </c>
      <c r="V2844" s="81">
        <f>IF(ISBLANK(P2844),"",U2844/N2844)</f>
        <v/>
      </c>
      <c r="W2844" s="81">
        <f>IF(ISBLANK(P2844),"",IF(S2844=0,(365/0.5)*V2844,(365/S2844)*V2844))</f>
        <v/>
      </c>
      <c r="X2844" s="75" t="n"/>
      <c r="Y2844" s="77" t="n"/>
      <c r="Z2844" s="77" t="n"/>
      <c r="AA2844" s="75" t="n"/>
      <c r="AB2844" s="75" t="n"/>
      <c r="AC2844" s="6" t="n"/>
      <c r="AD2844" s="75" t="n"/>
      <c r="AE2844" s="75" t="n"/>
      <c r="AF2844" s="75" t="n"/>
    </row>
    <row r="2845" ht="15.75" customHeight="1" s="133">
      <c r="A2845" s="75" t="n"/>
      <c r="B2845" s="75" t="n"/>
      <c r="C2845" s="75" t="n"/>
      <c r="D2845" s="75" t="n"/>
      <c r="E2845" s="76" t="n"/>
      <c r="F2845" s="77" t="n"/>
      <c r="G2845" s="75" t="n"/>
      <c r="H2845" s="75">
        <f>IF(ISBLANK(E2845),"",IF(OR(D2845="Butterfly",D2845="Butterfly ",D2845="Iron Fly", D2845="Iron Fly "),LEN(E2845)-LEN(SUBSTITUTE(E2845,"/",""))+2,LEN(E2845)-LEN(SUBSTITUTE(E2845,"/",""))+1))</f>
        <v/>
      </c>
      <c r="I2845" s="78">
        <f>IF(ISBLANK(G2845),"",IF(D2845="Stock","0",Key!$A$3*H2845*G2845))</f>
        <v/>
      </c>
      <c r="J2845" s="78">
        <f>IF(ISBLANK(E2845),"",IF(ISNUMBER(SEARCH("/",E2845)), IF(LEN(E2845)-LEN(SUBSTITUTE(E2845,"/",""))=1,(RIGHT(E2845,LEN(E2845)-FIND("/",E2845)))-(LEFT(E2845,FIND("/",E2845)-1)),(MID(E2845, SEARCH("/",E2845) + 1, SEARCH("/",E2845, SEARCH("/",E2845)+1) - SEARCH("/",E2845) - 1))-(LEFT(E2845,FIND("/",E2845)-1))), "NA"))</f>
        <v/>
      </c>
      <c r="K2845" s="79">
        <f>IF(A2845&lt;&gt;"", IF(ISBLANK(L2845), TODAY(), K2845), "")</f>
        <v/>
      </c>
      <c r="L2845" s="78" t="n"/>
      <c r="M2845" s="78">
        <f>IF(ISBLANK(L2845),"",IF(D2845="Stock",IF(C2845="Buy",L2845*G2845,IF(C2845="Sell",(L2845*G2845)-I2845, X)),IF(C2845="Buy",(L2845*G2845*100)+I2845,IF(C2845="Sell",(L2845*G2845*100)-I2845, X))))</f>
        <v/>
      </c>
      <c r="N2845" s="78">
        <f>IF(ISBLANK(L2845),"",IF(AND(C2845="Sell",D2845="Stock"),M2845,IF(ISBLANK(L2845),"",IF(C2845="Buy",M2845, IF(AND(C2845="Sell",J2845="NA"),(E2845*G2845*100*0.1)+I2845, IF(C2845="Sell",(J2845-L2845)*(100*G2845)+I2845))))))</f>
        <v/>
      </c>
      <c r="O2845" s="75" t="n"/>
      <c r="P2845" s="75" t="n"/>
      <c r="Q2845" s="75">
        <f>IF(ISBLANK(P2845),"",IF(D2845="Stock",P2845*G2845,IF(P2845=0,"0",G2845*P2845*100-(G2845*$AF$14))))</f>
        <v/>
      </c>
      <c r="R2845" s="79">
        <f>IF(P2845&lt;&gt;"", TODAY(), "")</f>
        <v/>
      </c>
      <c r="S2845" s="78">
        <f>IF(AND(K2845&lt;&gt;"", R2845&lt;&gt;""), R2845-K2845, "")</f>
        <v/>
      </c>
      <c r="T2845" s="78" t="n"/>
      <c r="U2845" s="92">
        <f>IF(ISBLANK(P2845),"",IF(C2845="Buy",Q2845-M2845+T2845, IF(C2845="Sell",M2845-Q2845-T2845, X)))</f>
        <v/>
      </c>
      <c r="V2845" s="81">
        <f>IF(ISBLANK(P2845),"",U2845/N2845)</f>
        <v/>
      </c>
      <c r="W2845" s="81">
        <f>IF(ISBLANK(P2845),"",IF(S2845=0,(365/0.5)*V2845,(365/S2845)*V2845))</f>
        <v/>
      </c>
      <c r="X2845" s="75" t="n"/>
      <c r="Y2845" s="77" t="n"/>
      <c r="Z2845" s="77" t="n"/>
      <c r="AA2845" s="75" t="n"/>
      <c r="AB2845" s="75" t="n"/>
      <c r="AC2845" s="6" t="n"/>
      <c r="AD2845" s="75" t="n"/>
      <c r="AE2845" s="75" t="n"/>
      <c r="AF2845" s="75" t="n"/>
    </row>
    <row r="2846" ht="15.75" customHeight="1" s="133">
      <c r="A2846" s="75" t="n"/>
      <c r="B2846" s="75" t="n"/>
      <c r="C2846" s="75" t="n"/>
      <c r="D2846" s="75" t="n"/>
      <c r="E2846" s="76" t="n"/>
      <c r="F2846" s="77" t="n"/>
      <c r="G2846" s="75" t="n"/>
      <c r="H2846" s="75">
        <f>IF(ISBLANK(E2846),"",IF(OR(D2846="Butterfly",D2846="Butterfly ",D2846="Iron Fly", D2846="Iron Fly "),LEN(E2846)-LEN(SUBSTITUTE(E2846,"/",""))+2,LEN(E2846)-LEN(SUBSTITUTE(E2846,"/",""))+1))</f>
        <v/>
      </c>
      <c r="I2846" s="78">
        <f>IF(ISBLANK(G2846),"",IF(D2846="Stock","0",Key!$A$3*H2846*G2846))</f>
        <v/>
      </c>
      <c r="J2846" s="78">
        <f>IF(ISBLANK(E2846),"",IF(ISNUMBER(SEARCH("/",E2846)), IF(LEN(E2846)-LEN(SUBSTITUTE(E2846,"/",""))=1,(RIGHT(E2846,LEN(E2846)-FIND("/",E2846)))-(LEFT(E2846,FIND("/",E2846)-1)),(MID(E2846, SEARCH("/",E2846) + 1, SEARCH("/",E2846, SEARCH("/",E2846)+1) - SEARCH("/",E2846) - 1))-(LEFT(E2846,FIND("/",E2846)-1))), "NA"))</f>
        <v/>
      </c>
      <c r="K2846" s="79">
        <f>IF(A2846&lt;&gt;"", IF(ISBLANK(L2846), TODAY(), K2846), "")</f>
        <v/>
      </c>
      <c r="L2846" s="78" t="n"/>
      <c r="M2846" s="78">
        <f>IF(ISBLANK(L2846),"",IF(D2846="Stock",IF(C2846="Buy",L2846*G2846,IF(C2846="Sell",(L2846*G2846)-I2846, X)),IF(C2846="Buy",(L2846*G2846*100)+I2846,IF(C2846="Sell",(L2846*G2846*100)-I2846, X))))</f>
        <v/>
      </c>
      <c r="N2846" s="78">
        <f>IF(ISBLANK(L2846),"",IF(AND(C2846="Sell",D2846="Stock"),M2846,IF(ISBLANK(L2846),"",IF(C2846="Buy",M2846, IF(AND(C2846="Sell",J2846="NA"),(E2846*G2846*100*0.1)+I2846, IF(C2846="Sell",(J2846-L2846)*(100*G2846)+I2846))))))</f>
        <v/>
      </c>
      <c r="O2846" s="75" t="n"/>
      <c r="P2846" s="75" t="n"/>
      <c r="Q2846" s="75">
        <f>IF(ISBLANK(P2846),"",IF(D2846="Stock",P2846*G2846,IF(P2846=0,"0",G2846*P2846*100-(G2846*$AF$14))))</f>
        <v/>
      </c>
      <c r="R2846" s="79">
        <f>IF(P2846&lt;&gt;"", TODAY(), "")</f>
        <v/>
      </c>
      <c r="S2846" s="78">
        <f>IF(AND(K2846&lt;&gt;"", R2846&lt;&gt;""), R2846-K2846, "")</f>
        <v/>
      </c>
      <c r="T2846" s="78" t="n"/>
      <c r="U2846" s="92">
        <f>IF(ISBLANK(P2846),"",IF(C2846="Buy",Q2846-M2846+T2846, IF(C2846="Sell",M2846-Q2846-T2846, X)))</f>
        <v/>
      </c>
      <c r="V2846" s="81">
        <f>IF(ISBLANK(P2846),"",U2846/N2846)</f>
        <v/>
      </c>
      <c r="W2846" s="81">
        <f>IF(ISBLANK(P2846),"",IF(S2846=0,(365/0.5)*V2846,(365/S2846)*V2846))</f>
        <v/>
      </c>
      <c r="X2846" s="75" t="n"/>
      <c r="Y2846" s="77" t="n"/>
      <c r="Z2846" s="77" t="n"/>
      <c r="AA2846" s="75" t="n"/>
      <c r="AB2846" s="75" t="n"/>
      <c r="AC2846" s="6" t="n"/>
      <c r="AD2846" s="75" t="n"/>
      <c r="AE2846" s="75" t="n"/>
      <c r="AF2846" s="75" t="n"/>
    </row>
    <row r="2847" ht="15.75" customHeight="1" s="133">
      <c r="A2847" s="75" t="n"/>
      <c r="B2847" s="75" t="n"/>
      <c r="C2847" s="75" t="n"/>
      <c r="D2847" s="75" t="n"/>
      <c r="E2847" s="76" t="n"/>
      <c r="F2847" s="77" t="n"/>
      <c r="G2847" s="75" t="n"/>
      <c r="H2847" s="75">
        <f>IF(ISBLANK(E2847),"",IF(OR(D2847="Butterfly",D2847="Butterfly ",D2847="Iron Fly", D2847="Iron Fly "),LEN(E2847)-LEN(SUBSTITUTE(E2847,"/",""))+2,LEN(E2847)-LEN(SUBSTITUTE(E2847,"/",""))+1))</f>
        <v/>
      </c>
      <c r="I2847" s="78">
        <f>IF(ISBLANK(G2847),"",IF(D2847="Stock","0",Key!$A$3*H2847*G2847))</f>
        <v/>
      </c>
      <c r="J2847" s="78">
        <f>IF(ISBLANK(E2847),"",IF(ISNUMBER(SEARCH("/",E2847)), IF(LEN(E2847)-LEN(SUBSTITUTE(E2847,"/",""))=1,(RIGHT(E2847,LEN(E2847)-FIND("/",E2847)))-(LEFT(E2847,FIND("/",E2847)-1)),(MID(E2847, SEARCH("/",E2847) + 1, SEARCH("/",E2847, SEARCH("/",E2847)+1) - SEARCH("/",E2847) - 1))-(LEFT(E2847,FIND("/",E2847)-1))), "NA"))</f>
        <v/>
      </c>
      <c r="K2847" s="79">
        <f>IF(A2847&lt;&gt;"", IF(ISBLANK(L2847), TODAY(), K2847), "")</f>
        <v/>
      </c>
      <c r="L2847" s="78" t="n"/>
      <c r="M2847" s="78">
        <f>IF(ISBLANK(L2847),"",IF(D2847="Stock",IF(C2847="Buy",L2847*G2847,IF(C2847="Sell",(L2847*G2847)-I2847, X)),IF(C2847="Buy",(L2847*G2847*100)+I2847,IF(C2847="Sell",(L2847*G2847*100)-I2847, X))))</f>
        <v/>
      </c>
      <c r="N2847" s="78">
        <f>IF(ISBLANK(L2847),"",IF(AND(C2847="Sell",D2847="Stock"),M2847,IF(ISBLANK(L2847),"",IF(C2847="Buy",M2847, IF(AND(C2847="Sell",J2847="NA"),(E2847*G2847*100*0.1)+I2847, IF(C2847="Sell",(J2847-L2847)*(100*G2847)+I2847))))))</f>
        <v/>
      </c>
      <c r="O2847" s="75" t="n"/>
      <c r="P2847" s="75" t="n"/>
      <c r="Q2847" s="75">
        <f>IF(ISBLANK(P2847),"",IF(D2847="Stock",P2847*G2847,IF(P2847=0,"0",G2847*P2847*100-(G2847*$AF$14))))</f>
        <v/>
      </c>
      <c r="R2847" s="79">
        <f>IF(P2847&lt;&gt;"", TODAY(), "")</f>
        <v/>
      </c>
      <c r="S2847" s="78">
        <f>IF(AND(K2847&lt;&gt;"", R2847&lt;&gt;""), R2847-K2847, "")</f>
        <v/>
      </c>
      <c r="T2847" s="78" t="n"/>
      <c r="U2847" s="92">
        <f>IF(ISBLANK(P2847),"",IF(C2847="Buy",Q2847-M2847+T2847, IF(C2847="Sell",M2847-Q2847-T2847, X)))</f>
        <v/>
      </c>
      <c r="V2847" s="81">
        <f>IF(ISBLANK(P2847),"",U2847/N2847)</f>
        <v/>
      </c>
      <c r="W2847" s="81">
        <f>IF(ISBLANK(P2847),"",IF(S2847=0,(365/0.5)*V2847,(365/S2847)*V2847))</f>
        <v/>
      </c>
      <c r="X2847" s="75" t="n"/>
      <c r="Y2847" s="77" t="n"/>
      <c r="Z2847" s="77" t="n"/>
      <c r="AA2847" s="75" t="n"/>
      <c r="AB2847" s="75" t="n"/>
      <c r="AC2847" s="6" t="n"/>
      <c r="AD2847" s="75" t="n"/>
      <c r="AE2847" s="75" t="n"/>
      <c r="AF2847" s="75" t="n"/>
    </row>
    <row r="2848" ht="15.75" customHeight="1" s="133">
      <c r="A2848" s="75" t="n"/>
      <c r="B2848" s="75" t="n"/>
      <c r="C2848" s="75" t="n"/>
      <c r="D2848" s="75" t="n"/>
      <c r="E2848" s="76" t="n"/>
      <c r="F2848" s="77" t="n"/>
      <c r="G2848" s="75" t="n"/>
      <c r="H2848" s="75">
        <f>IF(ISBLANK(E2848),"",IF(OR(D2848="Butterfly",D2848="Butterfly ",D2848="Iron Fly", D2848="Iron Fly "),LEN(E2848)-LEN(SUBSTITUTE(E2848,"/",""))+2,LEN(E2848)-LEN(SUBSTITUTE(E2848,"/",""))+1))</f>
        <v/>
      </c>
      <c r="I2848" s="78">
        <f>IF(ISBLANK(G2848),"",IF(D2848="Stock","0",Key!$A$3*H2848*G2848))</f>
        <v/>
      </c>
      <c r="J2848" s="78">
        <f>IF(ISBLANK(E2848),"",IF(ISNUMBER(SEARCH("/",E2848)), IF(LEN(E2848)-LEN(SUBSTITUTE(E2848,"/",""))=1,(RIGHT(E2848,LEN(E2848)-FIND("/",E2848)))-(LEFT(E2848,FIND("/",E2848)-1)),(MID(E2848, SEARCH("/",E2848) + 1, SEARCH("/",E2848, SEARCH("/",E2848)+1) - SEARCH("/",E2848) - 1))-(LEFT(E2848,FIND("/",E2848)-1))), "NA"))</f>
        <v/>
      </c>
      <c r="K2848" s="79">
        <f>IF(A2848&lt;&gt;"", IF(ISBLANK(L2848), TODAY(), K2848), "")</f>
        <v/>
      </c>
      <c r="L2848" s="78" t="n"/>
      <c r="M2848" s="78">
        <f>IF(ISBLANK(L2848),"",IF(D2848="Stock",IF(C2848="Buy",L2848*G2848,IF(C2848="Sell",(L2848*G2848)-I2848, X)),IF(C2848="Buy",(L2848*G2848*100)+I2848,IF(C2848="Sell",(L2848*G2848*100)-I2848, X))))</f>
        <v/>
      </c>
      <c r="N2848" s="78">
        <f>IF(ISBLANK(L2848),"",IF(AND(C2848="Sell",D2848="Stock"),M2848,IF(ISBLANK(L2848),"",IF(C2848="Buy",M2848, IF(AND(C2848="Sell",J2848="NA"),(E2848*G2848*100*0.1)+I2848, IF(C2848="Sell",(J2848-L2848)*(100*G2848)+I2848))))))</f>
        <v/>
      </c>
      <c r="O2848" s="75" t="n"/>
      <c r="P2848" s="75" t="n"/>
      <c r="Q2848" s="75">
        <f>IF(ISBLANK(P2848),"",IF(D2848="Stock",P2848*G2848,IF(P2848=0,"0",G2848*P2848*100-(G2848*$AF$14))))</f>
        <v/>
      </c>
      <c r="R2848" s="79">
        <f>IF(P2848&lt;&gt;"", TODAY(), "")</f>
        <v/>
      </c>
      <c r="S2848" s="78">
        <f>IF(AND(K2848&lt;&gt;"", R2848&lt;&gt;""), R2848-K2848, "")</f>
        <v/>
      </c>
      <c r="T2848" s="78" t="n"/>
      <c r="U2848" s="92">
        <f>IF(ISBLANK(P2848),"",IF(C2848="Buy",Q2848-M2848+T2848, IF(C2848="Sell",M2848-Q2848-T2848, X)))</f>
        <v/>
      </c>
      <c r="V2848" s="81">
        <f>IF(ISBLANK(P2848),"",U2848/N2848)</f>
        <v/>
      </c>
      <c r="W2848" s="81">
        <f>IF(ISBLANK(P2848),"",IF(S2848=0,(365/0.5)*V2848,(365/S2848)*V2848))</f>
        <v/>
      </c>
      <c r="X2848" s="75" t="n"/>
      <c r="Y2848" s="77" t="n"/>
      <c r="Z2848" s="77" t="n"/>
      <c r="AA2848" s="75" t="n"/>
      <c r="AB2848" s="75" t="n"/>
      <c r="AC2848" s="6" t="n"/>
      <c r="AD2848" s="75" t="n"/>
      <c r="AE2848" s="75" t="n"/>
      <c r="AF2848" s="75" t="n"/>
    </row>
    <row r="2849" ht="15.75" customHeight="1" s="133">
      <c r="A2849" s="75" t="n"/>
      <c r="B2849" s="75" t="n"/>
      <c r="C2849" s="75" t="n"/>
      <c r="D2849" s="75" t="n"/>
      <c r="E2849" s="76" t="n"/>
      <c r="F2849" s="77" t="n"/>
      <c r="G2849" s="75" t="n"/>
      <c r="H2849" s="75">
        <f>IF(ISBLANK(E2849),"",IF(OR(D2849="Butterfly",D2849="Butterfly ",D2849="Iron Fly", D2849="Iron Fly "),LEN(E2849)-LEN(SUBSTITUTE(E2849,"/",""))+2,LEN(E2849)-LEN(SUBSTITUTE(E2849,"/",""))+1))</f>
        <v/>
      </c>
      <c r="I2849" s="78">
        <f>IF(ISBLANK(G2849),"",IF(D2849="Stock","0",Key!$A$3*H2849*G2849))</f>
        <v/>
      </c>
      <c r="J2849" s="78">
        <f>IF(ISBLANK(E2849),"",IF(ISNUMBER(SEARCH("/",E2849)), IF(LEN(E2849)-LEN(SUBSTITUTE(E2849,"/",""))=1,(RIGHT(E2849,LEN(E2849)-FIND("/",E2849)))-(LEFT(E2849,FIND("/",E2849)-1)),(MID(E2849, SEARCH("/",E2849) + 1, SEARCH("/",E2849, SEARCH("/",E2849)+1) - SEARCH("/",E2849) - 1))-(LEFT(E2849,FIND("/",E2849)-1))), "NA"))</f>
        <v/>
      </c>
      <c r="K2849" s="79">
        <f>IF(A2849&lt;&gt;"", IF(ISBLANK(L2849), TODAY(), K2849), "")</f>
        <v/>
      </c>
      <c r="L2849" s="78" t="n"/>
      <c r="M2849" s="78">
        <f>IF(ISBLANK(L2849),"",IF(D2849="Stock",IF(C2849="Buy",L2849*G2849,IF(C2849="Sell",(L2849*G2849)-I2849, X)),IF(C2849="Buy",(L2849*G2849*100)+I2849,IF(C2849="Sell",(L2849*G2849*100)-I2849, X))))</f>
        <v/>
      </c>
      <c r="N2849" s="78">
        <f>IF(ISBLANK(L2849),"",IF(AND(C2849="Sell",D2849="Stock"),M2849,IF(ISBLANK(L2849),"",IF(C2849="Buy",M2849, IF(AND(C2849="Sell",J2849="NA"),(E2849*G2849*100*0.1)+I2849, IF(C2849="Sell",(J2849-L2849)*(100*G2849)+I2849))))))</f>
        <v/>
      </c>
      <c r="O2849" s="75" t="n"/>
      <c r="P2849" s="75" t="n"/>
      <c r="Q2849" s="75">
        <f>IF(ISBLANK(P2849),"",IF(D2849="Stock",P2849*G2849,IF(P2849=0,"0",G2849*P2849*100-(G2849*$AF$14))))</f>
        <v/>
      </c>
      <c r="R2849" s="79">
        <f>IF(P2849&lt;&gt;"", TODAY(), "")</f>
        <v/>
      </c>
      <c r="S2849" s="78">
        <f>IF(AND(K2849&lt;&gt;"", R2849&lt;&gt;""), R2849-K2849, "")</f>
        <v/>
      </c>
      <c r="T2849" s="78" t="n"/>
      <c r="U2849" s="92">
        <f>IF(ISBLANK(P2849),"",IF(C2849="Buy",Q2849-M2849+T2849, IF(C2849="Sell",M2849-Q2849-T2849, X)))</f>
        <v/>
      </c>
      <c r="V2849" s="81">
        <f>IF(ISBLANK(P2849),"",U2849/N2849)</f>
        <v/>
      </c>
      <c r="W2849" s="81">
        <f>IF(ISBLANK(P2849),"",IF(S2849=0,(365/0.5)*V2849,(365/S2849)*V2849))</f>
        <v/>
      </c>
      <c r="X2849" s="75" t="n"/>
      <c r="Y2849" s="77" t="n"/>
      <c r="Z2849" s="77" t="n"/>
      <c r="AA2849" s="75" t="n"/>
      <c r="AB2849" s="75" t="n"/>
      <c r="AC2849" s="6" t="n"/>
      <c r="AD2849" s="75" t="n"/>
      <c r="AE2849" s="75" t="n"/>
      <c r="AF2849" s="75" t="n"/>
    </row>
    <row r="2850" ht="15.75" customHeight="1" s="133">
      <c r="A2850" s="75" t="n"/>
      <c r="B2850" s="75" t="n"/>
      <c r="C2850" s="75" t="n"/>
      <c r="D2850" s="75" t="n"/>
      <c r="E2850" s="76" t="n"/>
      <c r="F2850" s="77" t="n"/>
      <c r="G2850" s="75" t="n"/>
      <c r="H2850" s="75">
        <f>IF(ISBLANK(E2850),"",IF(OR(D2850="Butterfly",D2850="Butterfly ",D2850="Iron Fly", D2850="Iron Fly "),LEN(E2850)-LEN(SUBSTITUTE(E2850,"/",""))+2,LEN(E2850)-LEN(SUBSTITUTE(E2850,"/",""))+1))</f>
        <v/>
      </c>
      <c r="I2850" s="78">
        <f>IF(ISBLANK(G2850),"",IF(D2850="Stock","0",Key!$A$3*H2850*G2850))</f>
        <v/>
      </c>
      <c r="J2850" s="78">
        <f>IF(ISBLANK(E2850),"",IF(ISNUMBER(SEARCH("/",E2850)), IF(LEN(E2850)-LEN(SUBSTITUTE(E2850,"/",""))=1,(RIGHT(E2850,LEN(E2850)-FIND("/",E2850)))-(LEFT(E2850,FIND("/",E2850)-1)),(MID(E2850, SEARCH("/",E2850) + 1, SEARCH("/",E2850, SEARCH("/",E2850)+1) - SEARCH("/",E2850) - 1))-(LEFT(E2850,FIND("/",E2850)-1))), "NA"))</f>
        <v/>
      </c>
      <c r="K2850" s="79">
        <f>IF(A2850&lt;&gt;"", IF(ISBLANK(L2850), TODAY(), K2850), "")</f>
        <v/>
      </c>
      <c r="L2850" s="78" t="n"/>
      <c r="M2850" s="78">
        <f>IF(ISBLANK(L2850),"",IF(D2850="Stock",IF(C2850="Buy",L2850*G2850,IF(C2850="Sell",(L2850*G2850)-I2850, X)),IF(C2850="Buy",(L2850*G2850*100)+I2850,IF(C2850="Sell",(L2850*G2850*100)-I2850, X))))</f>
        <v/>
      </c>
      <c r="N2850" s="78">
        <f>IF(ISBLANK(L2850),"",IF(AND(C2850="Sell",D2850="Stock"),M2850,IF(ISBLANK(L2850),"",IF(C2850="Buy",M2850, IF(AND(C2850="Sell",J2850="NA"),(E2850*G2850*100*0.1)+I2850, IF(C2850="Sell",(J2850-L2850)*(100*G2850)+I2850))))))</f>
        <v/>
      </c>
      <c r="O2850" s="75" t="n"/>
      <c r="P2850" s="75" t="n"/>
      <c r="Q2850" s="75">
        <f>IF(ISBLANK(P2850),"",IF(D2850="Stock",P2850*G2850,IF(P2850=0,"0",G2850*P2850*100-(G2850*$AF$14))))</f>
        <v/>
      </c>
      <c r="R2850" s="79">
        <f>IF(P2850&lt;&gt;"", TODAY(), "")</f>
        <v/>
      </c>
      <c r="S2850" s="78">
        <f>IF(AND(K2850&lt;&gt;"", R2850&lt;&gt;""), R2850-K2850, "")</f>
        <v/>
      </c>
      <c r="T2850" s="78" t="n"/>
      <c r="U2850" s="92">
        <f>IF(ISBLANK(P2850),"",IF(C2850="Buy",Q2850-M2850+T2850, IF(C2850="Sell",M2850-Q2850-T2850, X)))</f>
        <v/>
      </c>
      <c r="V2850" s="81">
        <f>IF(ISBLANK(P2850),"",U2850/N2850)</f>
        <v/>
      </c>
      <c r="W2850" s="81">
        <f>IF(ISBLANK(P2850),"",IF(S2850=0,(365/0.5)*V2850,(365/S2850)*V2850))</f>
        <v/>
      </c>
      <c r="X2850" s="75" t="n"/>
      <c r="Y2850" s="77" t="n"/>
      <c r="Z2850" s="77" t="n"/>
      <c r="AA2850" s="75" t="n"/>
      <c r="AB2850" s="75" t="n"/>
      <c r="AC2850" s="6" t="n"/>
      <c r="AD2850" s="75" t="n"/>
      <c r="AE2850" s="75" t="n"/>
      <c r="AF2850" s="75" t="n"/>
    </row>
    <row r="2851" ht="15.75" customHeight="1" s="133">
      <c r="A2851" s="75" t="n"/>
      <c r="B2851" s="75" t="n"/>
      <c r="C2851" s="75" t="n"/>
      <c r="D2851" s="75" t="n"/>
      <c r="E2851" s="76" t="n"/>
      <c r="F2851" s="77" t="n"/>
      <c r="G2851" s="75" t="n"/>
      <c r="H2851" s="75">
        <f>IF(ISBLANK(E2851),"",IF(OR(D2851="Butterfly",D2851="Butterfly ",D2851="Iron Fly", D2851="Iron Fly "),LEN(E2851)-LEN(SUBSTITUTE(E2851,"/",""))+2,LEN(E2851)-LEN(SUBSTITUTE(E2851,"/",""))+1))</f>
        <v/>
      </c>
      <c r="I2851" s="78">
        <f>IF(ISBLANK(G2851),"",IF(D2851="Stock","0",Key!$A$3*H2851*G2851))</f>
        <v/>
      </c>
      <c r="J2851" s="78">
        <f>IF(ISBLANK(E2851),"",IF(ISNUMBER(SEARCH("/",E2851)), IF(LEN(E2851)-LEN(SUBSTITUTE(E2851,"/",""))=1,(RIGHT(E2851,LEN(E2851)-FIND("/",E2851)))-(LEFT(E2851,FIND("/",E2851)-1)),(MID(E2851, SEARCH("/",E2851) + 1, SEARCH("/",E2851, SEARCH("/",E2851)+1) - SEARCH("/",E2851) - 1))-(LEFT(E2851,FIND("/",E2851)-1))), "NA"))</f>
        <v/>
      </c>
      <c r="K2851" s="79">
        <f>IF(A2851&lt;&gt;"", IF(ISBLANK(L2851), TODAY(), K2851), "")</f>
        <v/>
      </c>
      <c r="L2851" s="78" t="n"/>
      <c r="M2851" s="78">
        <f>IF(ISBLANK(L2851),"",IF(D2851="Stock",IF(C2851="Buy",L2851*G2851,IF(C2851="Sell",(L2851*G2851)-I2851, X)),IF(C2851="Buy",(L2851*G2851*100)+I2851,IF(C2851="Sell",(L2851*G2851*100)-I2851, X))))</f>
        <v/>
      </c>
      <c r="N2851" s="78">
        <f>IF(ISBLANK(L2851),"",IF(AND(C2851="Sell",D2851="Stock"),M2851,IF(ISBLANK(L2851),"",IF(C2851="Buy",M2851, IF(AND(C2851="Sell",J2851="NA"),(E2851*G2851*100*0.1)+I2851, IF(C2851="Sell",(J2851-L2851)*(100*G2851)+I2851))))))</f>
        <v/>
      </c>
      <c r="O2851" s="75" t="n"/>
      <c r="P2851" s="75" t="n"/>
      <c r="Q2851" s="75">
        <f>IF(ISBLANK(P2851),"",IF(D2851="Stock",P2851*G2851,IF(P2851=0,"0",G2851*P2851*100-(G2851*$AF$14))))</f>
        <v/>
      </c>
      <c r="R2851" s="79">
        <f>IF(P2851&lt;&gt;"", TODAY(), "")</f>
        <v/>
      </c>
      <c r="S2851" s="78">
        <f>IF(AND(K2851&lt;&gt;"", R2851&lt;&gt;""), R2851-K2851, "")</f>
        <v/>
      </c>
      <c r="T2851" s="78" t="n"/>
      <c r="U2851" s="92">
        <f>IF(ISBLANK(P2851),"",IF(C2851="Buy",Q2851-M2851+T2851, IF(C2851="Sell",M2851-Q2851-T2851, X)))</f>
        <v/>
      </c>
      <c r="V2851" s="81">
        <f>IF(ISBLANK(P2851),"",U2851/N2851)</f>
        <v/>
      </c>
      <c r="W2851" s="81">
        <f>IF(ISBLANK(P2851),"",IF(S2851=0,(365/0.5)*V2851,(365/S2851)*V2851))</f>
        <v/>
      </c>
      <c r="X2851" s="75" t="n"/>
      <c r="Y2851" s="77" t="n"/>
      <c r="Z2851" s="77" t="n"/>
      <c r="AA2851" s="75" t="n"/>
      <c r="AB2851" s="75" t="n"/>
      <c r="AC2851" s="6" t="n"/>
      <c r="AD2851" s="75" t="n"/>
      <c r="AE2851" s="75" t="n"/>
      <c r="AF2851" s="75" t="n"/>
    </row>
    <row r="2852" ht="15.75" customHeight="1" s="133">
      <c r="A2852" s="75" t="n"/>
      <c r="B2852" s="75" t="n"/>
      <c r="C2852" s="75" t="n"/>
      <c r="D2852" s="75" t="n"/>
      <c r="E2852" s="76" t="n"/>
      <c r="F2852" s="77" t="n"/>
      <c r="G2852" s="75" t="n"/>
      <c r="H2852" s="75">
        <f>IF(ISBLANK(E2852),"",IF(OR(D2852="Butterfly",D2852="Butterfly ",D2852="Iron Fly", D2852="Iron Fly "),LEN(E2852)-LEN(SUBSTITUTE(E2852,"/",""))+2,LEN(E2852)-LEN(SUBSTITUTE(E2852,"/",""))+1))</f>
        <v/>
      </c>
      <c r="I2852" s="78">
        <f>IF(ISBLANK(G2852),"",IF(D2852="Stock","0",Key!$A$3*H2852*G2852))</f>
        <v/>
      </c>
      <c r="J2852" s="78">
        <f>IF(ISBLANK(E2852),"",IF(ISNUMBER(SEARCH("/",E2852)), IF(LEN(E2852)-LEN(SUBSTITUTE(E2852,"/",""))=1,(RIGHT(E2852,LEN(E2852)-FIND("/",E2852)))-(LEFT(E2852,FIND("/",E2852)-1)),(MID(E2852, SEARCH("/",E2852) + 1, SEARCH("/",E2852, SEARCH("/",E2852)+1) - SEARCH("/",E2852) - 1))-(LEFT(E2852,FIND("/",E2852)-1))), "NA"))</f>
        <v/>
      </c>
      <c r="K2852" s="79">
        <f>IF(A2852&lt;&gt;"", IF(ISBLANK(L2852), TODAY(), K2852), "")</f>
        <v/>
      </c>
      <c r="L2852" s="78" t="n"/>
      <c r="M2852" s="78">
        <f>IF(ISBLANK(L2852),"",IF(D2852="Stock",IF(C2852="Buy",L2852*G2852,IF(C2852="Sell",(L2852*G2852)-I2852, X)),IF(C2852="Buy",(L2852*G2852*100)+I2852,IF(C2852="Sell",(L2852*G2852*100)-I2852, X))))</f>
        <v/>
      </c>
      <c r="N2852" s="78">
        <f>IF(ISBLANK(L2852),"",IF(AND(C2852="Sell",D2852="Stock"),M2852,IF(ISBLANK(L2852),"",IF(C2852="Buy",M2852, IF(AND(C2852="Sell",J2852="NA"),(E2852*G2852*100*0.1)+I2852, IF(C2852="Sell",(J2852-L2852)*(100*G2852)+I2852))))))</f>
        <v/>
      </c>
      <c r="O2852" s="75" t="n"/>
      <c r="P2852" s="75" t="n"/>
      <c r="Q2852" s="75">
        <f>IF(ISBLANK(P2852),"",IF(D2852="Stock",P2852*G2852,IF(P2852=0,"0",G2852*P2852*100-(G2852*$AF$14))))</f>
        <v/>
      </c>
      <c r="R2852" s="79">
        <f>IF(P2852&lt;&gt;"", TODAY(), "")</f>
        <v/>
      </c>
      <c r="S2852" s="78">
        <f>IF(AND(K2852&lt;&gt;"", R2852&lt;&gt;""), R2852-K2852, "")</f>
        <v/>
      </c>
      <c r="T2852" s="78" t="n"/>
      <c r="U2852" s="92">
        <f>IF(ISBLANK(P2852),"",IF(C2852="Buy",Q2852-M2852+T2852, IF(C2852="Sell",M2852-Q2852-T2852, X)))</f>
        <v/>
      </c>
      <c r="V2852" s="81">
        <f>IF(ISBLANK(P2852),"",U2852/N2852)</f>
        <v/>
      </c>
      <c r="W2852" s="81">
        <f>IF(ISBLANK(P2852),"",IF(S2852=0,(365/0.5)*V2852,(365/S2852)*V2852))</f>
        <v/>
      </c>
      <c r="X2852" s="75" t="n"/>
      <c r="Y2852" s="77" t="n"/>
      <c r="Z2852" s="77" t="n"/>
      <c r="AA2852" s="75" t="n"/>
      <c r="AB2852" s="75" t="n"/>
      <c r="AC2852" s="6" t="n"/>
      <c r="AD2852" s="75" t="n"/>
      <c r="AE2852" s="75" t="n"/>
      <c r="AF2852" s="75" t="n"/>
    </row>
    <row r="2853" ht="15.75" customHeight="1" s="133">
      <c r="A2853" s="75" t="n"/>
      <c r="B2853" s="75" t="n"/>
      <c r="C2853" s="75" t="n"/>
      <c r="D2853" s="75" t="n"/>
      <c r="E2853" s="76" t="n"/>
      <c r="F2853" s="77" t="n"/>
      <c r="G2853" s="75" t="n"/>
      <c r="H2853" s="75">
        <f>IF(ISBLANK(E2853),"",IF(OR(D2853="Butterfly",D2853="Butterfly ",D2853="Iron Fly", D2853="Iron Fly "),LEN(E2853)-LEN(SUBSTITUTE(E2853,"/",""))+2,LEN(E2853)-LEN(SUBSTITUTE(E2853,"/",""))+1))</f>
        <v/>
      </c>
      <c r="I2853" s="78">
        <f>IF(ISBLANK(G2853),"",IF(D2853="Stock","0",Key!$A$3*H2853*G2853))</f>
        <v/>
      </c>
      <c r="J2853" s="78">
        <f>IF(ISBLANK(E2853),"",IF(ISNUMBER(SEARCH("/",E2853)), IF(LEN(E2853)-LEN(SUBSTITUTE(E2853,"/",""))=1,(RIGHT(E2853,LEN(E2853)-FIND("/",E2853)))-(LEFT(E2853,FIND("/",E2853)-1)),(MID(E2853, SEARCH("/",E2853) + 1, SEARCH("/",E2853, SEARCH("/",E2853)+1) - SEARCH("/",E2853) - 1))-(LEFT(E2853,FIND("/",E2853)-1))), "NA"))</f>
        <v/>
      </c>
      <c r="K2853" s="79">
        <f>IF(A2853&lt;&gt;"", IF(ISBLANK(L2853), TODAY(), K2853), "")</f>
        <v/>
      </c>
      <c r="L2853" s="78" t="n"/>
      <c r="M2853" s="78">
        <f>IF(ISBLANK(L2853),"",IF(D2853="Stock",IF(C2853="Buy",L2853*G2853,IF(C2853="Sell",(L2853*G2853)-I2853, X)),IF(C2853="Buy",(L2853*G2853*100)+I2853,IF(C2853="Sell",(L2853*G2853*100)-I2853, X))))</f>
        <v/>
      </c>
      <c r="N2853" s="78">
        <f>IF(ISBLANK(L2853),"",IF(AND(C2853="Sell",D2853="Stock"),M2853,IF(ISBLANK(L2853),"",IF(C2853="Buy",M2853, IF(AND(C2853="Sell",J2853="NA"),(E2853*G2853*100*0.1)+I2853, IF(C2853="Sell",(J2853-L2853)*(100*G2853)+I2853))))))</f>
        <v/>
      </c>
      <c r="O2853" s="75" t="n"/>
      <c r="P2853" s="75" t="n"/>
      <c r="Q2853" s="75">
        <f>IF(ISBLANK(P2853),"",IF(D2853="Stock",P2853*G2853,IF(P2853=0,"0",G2853*P2853*100-(G2853*$AF$14))))</f>
        <v/>
      </c>
      <c r="R2853" s="79">
        <f>IF(P2853&lt;&gt;"", TODAY(), "")</f>
        <v/>
      </c>
      <c r="S2853" s="78">
        <f>IF(AND(K2853&lt;&gt;"", R2853&lt;&gt;""), R2853-K2853, "")</f>
        <v/>
      </c>
      <c r="T2853" s="78" t="n"/>
      <c r="U2853" s="92">
        <f>IF(ISBLANK(P2853),"",IF(C2853="Buy",Q2853-M2853+T2853, IF(C2853="Sell",M2853-Q2853-T2853, X)))</f>
        <v/>
      </c>
      <c r="V2853" s="81">
        <f>IF(ISBLANK(P2853),"",U2853/N2853)</f>
        <v/>
      </c>
      <c r="W2853" s="81">
        <f>IF(ISBLANK(P2853),"",IF(S2853=0,(365/0.5)*V2853,(365/S2853)*V2853))</f>
        <v/>
      </c>
      <c r="X2853" s="75" t="n"/>
      <c r="Y2853" s="77" t="n"/>
      <c r="Z2853" s="77" t="n"/>
      <c r="AA2853" s="75" t="n"/>
      <c r="AB2853" s="75" t="n"/>
      <c r="AC2853" s="6" t="n"/>
      <c r="AD2853" s="75" t="n"/>
      <c r="AE2853" s="75" t="n"/>
      <c r="AF2853" s="75" t="n"/>
    </row>
    <row r="2854" ht="15.75" customHeight="1" s="133">
      <c r="A2854" s="75" t="n"/>
      <c r="B2854" s="75" t="n"/>
      <c r="C2854" s="75" t="n"/>
      <c r="D2854" s="75" t="n"/>
      <c r="E2854" s="76" t="n"/>
      <c r="F2854" s="77" t="n"/>
      <c r="G2854" s="75" t="n"/>
      <c r="H2854" s="75">
        <f>IF(ISBLANK(E2854),"",IF(OR(D2854="Butterfly",D2854="Butterfly ",D2854="Iron Fly", D2854="Iron Fly "),LEN(E2854)-LEN(SUBSTITUTE(E2854,"/",""))+2,LEN(E2854)-LEN(SUBSTITUTE(E2854,"/",""))+1))</f>
        <v/>
      </c>
      <c r="I2854" s="78">
        <f>IF(ISBLANK(G2854),"",IF(D2854="Stock","0",Key!$A$3*H2854*G2854))</f>
        <v/>
      </c>
      <c r="J2854" s="78">
        <f>IF(ISBLANK(E2854),"",IF(ISNUMBER(SEARCH("/",E2854)), IF(LEN(E2854)-LEN(SUBSTITUTE(E2854,"/",""))=1,(RIGHT(E2854,LEN(E2854)-FIND("/",E2854)))-(LEFT(E2854,FIND("/",E2854)-1)),(MID(E2854, SEARCH("/",E2854) + 1, SEARCH("/",E2854, SEARCH("/",E2854)+1) - SEARCH("/",E2854) - 1))-(LEFT(E2854,FIND("/",E2854)-1))), "NA"))</f>
        <v/>
      </c>
      <c r="K2854" s="79">
        <f>IF(A2854&lt;&gt;"", IF(ISBLANK(L2854), TODAY(), K2854), "")</f>
        <v/>
      </c>
      <c r="L2854" s="78" t="n"/>
      <c r="M2854" s="78">
        <f>IF(ISBLANK(L2854),"",IF(D2854="Stock",IF(C2854="Buy",L2854*G2854,IF(C2854="Sell",(L2854*G2854)-I2854, X)),IF(C2854="Buy",(L2854*G2854*100)+I2854,IF(C2854="Sell",(L2854*G2854*100)-I2854, X))))</f>
        <v/>
      </c>
      <c r="N2854" s="78">
        <f>IF(ISBLANK(L2854),"",IF(AND(C2854="Sell",D2854="Stock"),M2854,IF(ISBLANK(L2854),"",IF(C2854="Buy",M2854, IF(AND(C2854="Sell",J2854="NA"),(E2854*G2854*100*0.1)+I2854, IF(C2854="Sell",(J2854-L2854)*(100*G2854)+I2854))))))</f>
        <v/>
      </c>
      <c r="O2854" s="75" t="n"/>
      <c r="P2854" s="75" t="n"/>
      <c r="Q2854" s="75">
        <f>IF(ISBLANK(P2854),"",IF(D2854="Stock",P2854*G2854,IF(P2854=0,"0",G2854*P2854*100-(G2854*$AF$14))))</f>
        <v/>
      </c>
      <c r="R2854" s="79">
        <f>IF(P2854&lt;&gt;"", TODAY(), "")</f>
        <v/>
      </c>
      <c r="S2854" s="78">
        <f>IF(AND(K2854&lt;&gt;"", R2854&lt;&gt;""), R2854-K2854, "")</f>
        <v/>
      </c>
      <c r="T2854" s="78" t="n"/>
      <c r="U2854" s="92">
        <f>IF(ISBLANK(P2854),"",IF(C2854="Buy",Q2854-M2854+T2854, IF(C2854="Sell",M2854-Q2854-T2854, X)))</f>
        <v/>
      </c>
      <c r="V2854" s="81">
        <f>IF(ISBLANK(P2854),"",U2854/N2854)</f>
        <v/>
      </c>
      <c r="W2854" s="81">
        <f>IF(ISBLANK(P2854),"",IF(S2854=0,(365/0.5)*V2854,(365/S2854)*V2854))</f>
        <v/>
      </c>
      <c r="X2854" s="75" t="n"/>
      <c r="Y2854" s="77" t="n"/>
      <c r="Z2854" s="77" t="n"/>
      <c r="AA2854" s="75" t="n"/>
      <c r="AB2854" s="75" t="n"/>
      <c r="AC2854" s="6" t="n"/>
      <c r="AD2854" s="75" t="n"/>
      <c r="AE2854" s="75" t="n"/>
      <c r="AF2854" s="75" t="n"/>
    </row>
    <row r="2855" ht="15.75" customHeight="1" s="133">
      <c r="A2855" s="75" t="n"/>
      <c r="B2855" s="75" t="n"/>
      <c r="C2855" s="75" t="n"/>
      <c r="D2855" s="75" t="n"/>
      <c r="E2855" s="76" t="n"/>
      <c r="F2855" s="77" t="n"/>
      <c r="G2855" s="75" t="n"/>
      <c r="H2855" s="75">
        <f>IF(ISBLANK(E2855),"",IF(OR(D2855="Butterfly",D2855="Butterfly ",D2855="Iron Fly", D2855="Iron Fly "),LEN(E2855)-LEN(SUBSTITUTE(E2855,"/",""))+2,LEN(E2855)-LEN(SUBSTITUTE(E2855,"/",""))+1))</f>
        <v/>
      </c>
      <c r="I2855" s="78">
        <f>IF(ISBLANK(G2855),"",IF(D2855="Stock","0",Key!$A$3*H2855*G2855))</f>
        <v/>
      </c>
      <c r="J2855" s="78">
        <f>IF(ISBLANK(E2855),"",IF(ISNUMBER(SEARCH("/",E2855)), IF(LEN(E2855)-LEN(SUBSTITUTE(E2855,"/",""))=1,(RIGHT(E2855,LEN(E2855)-FIND("/",E2855)))-(LEFT(E2855,FIND("/",E2855)-1)),(MID(E2855, SEARCH("/",E2855) + 1, SEARCH("/",E2855, SEARCH("/",E2855)+1) - SEARCH("/",E2855) - 1))-(LEFT(E2855,FIND("/",E2855)-1))), "NA"))</f>
        <v/>
      </c>
      <c r="K2855" s="79">
        <f>IF(A2855&lt;&gt;"", IF(ISBLANK(L2855), TODAY(), K2855), "")</f>
        <v/>
      </c>
      <c r="L2855" s="78" t="n"/>
      <c r="M2855" s="78">
        <f>IF(ISBLANK(L2855),"",IF(D2855="Stock",IF(C2855="Buy",L2855*G2855,IF(C2855="Sell",(L2855*G2855)-I2855, X)),IF(C2855="Buy",(L2855*G2855*100)+I2855,IF(C2855="Sell",(L2855*G2855*100)-I2855, X))))</f>
        <v/>
      </c>
      <c r="N2855" s="78">
        <f>IF(ISBLANK(L2855),"",IF(AND(C2855="Sell",D2855="Stock"),M2855,IF(ISBLANK(L2855),"",IF(C2855="Buy",M2855, IF(AND(C2855="Sell",J2855="NA"),(E2855*G2855*100*0.1)+I2855, IF(C2855="Sell",(J2855-L2855)*(100*G2855)+I2855))))))</f>
        <v/>
      </c>
      <c r="O2855" s="75" t="n"/>
      <c r="P2855" s="75" t="n"/>
      <c r="Q2855" s="75">
        <f>IF(ISBLANK(P2855),"",IF(D2855="Stock",P2855*G2855,IF(P2855=0,"0",G2855*P2855*100-(G2855*$AF$14))))</f>
        <v/>
      </c>
      <c r="R2855" s="79">
        <f>IF(P2855&lt;&gt;"", TODAY(), "")</f>
        <v/>
      </c>
      <c r="S2855" s="78">
        <f>IF(AND(K2855&lt;&gt;"", R2855&lt;&gt;""), R2855-K2855, "")</f>
        <v/>
      </c>
      <c r="T2855" s="78" t="n"/>
      <c r="U2855" s="92">
        <f>IF(ISBLANK(P2855),"",IF(C2855="Buy",Q2855-M2855+T2855, IF(C2855="Sell",M2855-Q2855-T2855, X)))</f>
        <v/>
      </c>
      <c r="V2855" s="81">
        <f>IF(ISBLANK(P2855),"",U2855/N2855)</f>
        <v/>
      </c>
      <c r="W2855" s="81">
        <f>IF(ISBLANK(P2855),"",IF(S2855=0,(365/0.5)*V2855,(365/S2855)*V2855))</f>
        <v/>
      </c>
      <c r="X2855" s="75" t="n"/>
      <c r="Y2855" s="77" t="n"/>
      <c r="Z2855" s="77" t="n"/>
      <c r="AA2855" s="75" t="n"/>
      <c r="AB2855" s="75" t="n"/>
      <c r="AC2855" s="6" t="n"/>
      <c r="AD2855" s="75" t="n"/>
      <c r="AE2855" s="75" t="n"/>
      <c r="AF2855" s="75" t="n"/>
    </row>
    <row r="2856" ht="15.75" customHeight="1" s="133">
      <c r="A2856" s="75" t="n"/>
      <c r="B2856" s="75" t="n"/>
      <c r="C2856" s="75" t="n"/>
      <c r="D2856" s="75" t="n"/>
      <c r="E2856" s="76" t="n"/>
      <c r="F2856" s="77" t="n"/>
      <c r="G2856" s="75" t="n"/>
      <c r="H2856" s="75">
        <f>IF(ISBLANK(E2856),"",IF(OR(D2856="Butterfly",D2856="Butterfly ",D2856="Iron Fly", D2856="Iron Fly "),LEN(E2856)-LEN(SUBSTITUTE(E2856,"/",""))+2,LEN(E2856)-LEN(SUBSTITUTE(E2856,"/",""))+1))</f>
        <v/>
      </c>
      <c r="I2856" s="78">
        <f>IF(ISBLANK(G2856),"",IF(D2856="Stock","0",Key!$A$3*H2856*G2856))</f>
        <v/>
      </c>
      <c r="J2856" s="78">
        <f>IF(ISBLANK(E2856),"",IF(ISNUMBER(SEARCH("/",E2856)), IF(LEN(E2856)-LEN(SUBSTITUTE(E2856,"/",""))=1,(RIGHT(E2856,LEN(E2856)-FIND("/",E2856)))-(LEFT(E2856,FIND("/",E2856)-1)),(MID(E2856, SEARCH("/",E2856) + 1, SEARCH("/",E2856, SEARCH("/",E2856)+1) - SEARCH("/",E2856) - 1))-(LEFT(E2856,FIND("/",E2856)-1))), "NA"))</f>
        <v/>
      </c>
      <c r="K2856" s="79">
        <f>IF(A2856&lt;&gt;"", IF(ISBLANK(L2856), TODAY(), K2856), "")</f>
        <v/>
      </c>
      <c r="L2856" s="78" t="n"/>
      <c r="M2856" s="78">
        <f>IF(ISBLANK(L2856),"",IF(D2856="Stock",IF(C2856="Buy",L2856*G2856,IF(C2856="Sell",(L2856*G2856)-I2856, X)),IF(C2856="Buy",(L2856*G2856*100)+I2856,IF(C2856="Sell",(L2856*G2856*100)-I2856, X))))</f>
        <v/>
      </c>
      <c r="N2856" s="78">
        <f>IF(ISBLANK(L2856),"",IF(AND(C2856="Sell",D2856="Stock"),M2856,IF(ISBLANK(L2856),"",IF(C2856="Buy",M2856, IF(AND(C2856="Sell",J2856="NA"),(E2856*G2856*100*0.1)+I2856, IF(C2856="Sell",(J2856-L2856)*(100*G2856)+I2856))))))</f>
        <v/>
      </c>
      <c r="O2856" s="75" t="n"/>
      <c r="P2856" s="75" t="n"/>
      <c r="Q2856" s="75">
        <f>IF(ISBLANK(P2856),"",IF(D2856="Stock",P2856*G2856,IF(P2856=0,"0",G2856*P2856*100-(G2856*$AF$14))))</f>
        <v/>
      </c>
      <c r="R2856" s="79">
        <f>IF(P2856&lt;&gt;"", TODAY(), "")</f>
        <v/>
      </c>
      <c r="S2856" s="78">
        <f>IF(AND(K2856&lt;&gt;"", R2856&lt;&gt;""), R2856-K2856, "")</f>
        <v/>
      </c>
      <c r="T2856" s="78" t="n"/>
      <c r="U2856" s="92">
        <f>IF(ISBLANK(P2856),"",IF(C2856="Buy",Q2856-M2856+T2856, IF(C2856="Sell",M2856-Q2856-T2856, X)))</f>
        <v/>
      </c>
      <c r="V2856" s="81">
        <f>IF(ISBLANK(P2856),"",U2856/N2856)</f>
        <v/>
      </c>
      <c r="W2856" s="81">
        <f>IF(ISBLANK(P2856),"",IF(S2856=0,(365/0.5)*V2856,(365/S2856)*V2856))</f>
        <v/>
      </c>
      <c r="X2856" s="75" t="n"/>
      <c r="Y2856" s="77" t="n"/>
      <c r="Z2856" s="77" t="n"/>
      <c r="AA2856" s="75" t="n"/>
      <c r="AB2856" s="75" t="n"/>
      <c r="AC2856" s="6" t="n"/>
      <c r="AD2856" s="75" t="n"/>
      <c r="AE2856" s="75" t="n"/>
      <c r="AF2856" s="75" t="n"/>
    </row>
    <row r="2857" ht="15.75" customHeight="1" s="133">
      <c r="A2857" s="75" t="n"/>
      <c r="B2857" s="75" t="n"/>
      <c r="C2857" s="75" t="n"/>
      <c r="D2857" s="75" t="n"/>
      <c r="E2857" s="76" t="n"/>
      <c r="F2857" s="77" t="n"/>
      <c r="G2857" s="75" t="n"/>
      <c r="H2857" s="75">
        <f>IF(ISBLANK(E2857),"",IF(OR(D2857="Butterfly",D2857="Butterfly ",D2857="Iron Fly", D2857="Iron Fly "),LEN(E2857)-LEN(SUBSTITUTE(E2857,"/",""))+2,LEN(E2857)-LEN(SUBSTITUTE(E2857,"/",""))+1))</f>
        <v/>
      </c>
      <c r="I2857" s="78">
        <f>IF(ISBLANK(G2857),"",IF(D2857="Stock","0",Key!$A$3*H2857*G2857))</f>
        <v/>
      </c>
      <c r="J2857" s="78">
        <f>IF(ISBLANK(E2857),"",IF(ISNUMBER(SEARCH("/",E2857)), IF(LEN(E2857)-LEN(SUBSTITUTE(E2857,"/",""))=1,(RIGHT(E2857,LEN(E2857)-FIND("/",E2857)))-(LEFT(E2857,FIND("/",E2857)-1)),(MID(E2857, SEARCH("/",E2857) + 1, SEARCH("/",E2857, SEARCH("/",E2857)+1) - SEARCH("/",E2857) - 1))-(LEFT(E2857,FIND("/",E2857)-1))), "NA"))</f>
        <v/>
      </c>
      <c r="K2857" s="79">
        <f>IF(A2857&lt;&gt;"", IF(ISBLANK(L2857), TODAY(), K2857), "")</f>
        <v/>
      </c>
      <c r="L2857" s="78" t="n"/>
      <c r="M2857" s="78">
        <f>IF(ISBLANK(L2857),"",IF(D2857="Stock",IF(C2857="Buy",L2857*G2857,IF(C2857="Sell",(L2857*G2857)-I2857, X)),IF(C2857="Buy",(L2857*G2857*100)+I2857,IF(C2857="Sell",(L2857*G2857*100)-I2857, X))))</f>
        <v/>
      </c>
      <c r="N2857" s="78">
        <f>IF(ISBLANK(L2857),"",IF(AND(C2857="Sell",D2857="Stock"),M2857,IF(ISBLANK(L2857),"",IF(C2857="Buy",M2857, IF(AND(C2857="Sell",J2857="NA"),(E2857*G2857*100*0.1)+I2857, IF(C2857="Sell",(J2857-L2857)*(100*G2857)+I2857))))))</f>
        <v/>
      </c>
      <c r="O2857" s="75" t="n"/>
      <c r="P2857" s="75" t="n"/>
      <c r="Q2857" s="75">
        <f>IF(ISBLANK(P2857),"",IF(D2857="Stock",P2857*G2857,IF(P2857=0,"0",G2857*P2857*100-(G2857*$AF$14))))</f>
        <v/>
      </c>
      <c r="R2857" s="79">
        <f>IF(P2857&lt;&gt;"", TODAY(), "")</f>
        <v/>
      </c>
      <c r="S2857" s="78">
        <f>IF(AND(K2857&lt;&gt;"", R2857&lt;&gt;""), R2857-K2857, "")</f>
        <v/>
      </c>
      <c r="T2857" s="78" t="n"/>
      <c r="U2857" s="92">
        <f>IF(ISBLANK(P2857),"",IF(C2857="Buy",Q2857-M2857+T2857, IF(C2857="Sell",M2857-Q2857-T2857, X)))</f>
        <v/>
      </c>
      <c r="V2857" s="81">
        <f>IF(ISBLANK(P2857),"",U2857/N2857)</f>
        <v/>
      </c>
      <c r="W2857" s="81">
        <f>IF(ISBLANK(P2857),"",IF(S2857=0,(365/0.5)*V2857,(365/S2857)*V2857))</f>
        <v/>
      </c>
      <c r="X2857" s="75" t="n"/>
      <c r="Y2857" s="77" t="n"/>
      <c r="Z2857" s="77" t="n"/>
      <c r="AA2857" s="75" t="n"/>
      <c r="AB2857" s="75" t="n"/>
      <c r="AC2857" s="6" t="n"/>
      <c r="AD2857" s="75" t="n"/>
      <c r="AE2857" s="75" t="n"/>
      <c r="AF2857" s="75" t="n"/>
    </row>
    <row r="2858" ht="15.75" customHeight="1" s="133">
      <c r="A2858" s="75" t="n"/>
      <c r="B2858" s="75" t="n"/>
      <c r="C2858" s="75" t="n"/>
      <c r="D2858" s="75" t="n"/>
      <c r="E2858" s="76" t="n"/>
      <c r="F2858" s="77" t="n"/>
      <c r="G2858" s="75" t="n"/>
      <c r="H2858" s="75">
        <f>IF(ISBLANK(E2858),"",IF(OR(D2858="Butterfly",D2858="Butterfly ",D2858="Iron Fly", D2858="Iron Fly "),LEN(E2858)-LEN(SUBSTITUTE(E2858,"/",""))+2,LEN(E2858)-LEN(SUBSTITUTE(E2858,"/",""))+1))</f>
        <v/>
      </c>
      <c r="I2858" s="78">
        <f>IF(ISBLANK(G2858),"",IF(D2858="Stock","0",Key!$A$3*H2858*G2858))</f>
        <v/>
      </c>
      <c r="J2858" s="78">
        <f>IF(ISBLANK(E2858),"",IF(ISNUMBER(SEARCH("/",E2858)), IF(LEN(E2858)-LEN(SUBSTITUTE(E2858,"/",""))=1,(RIGHT(E2858,LEN(E2858)-FIND("/",E2858)))-(LEFT(E2858,FIND("/",E2858)-1)),(MID(E2858, SEARCH("/",E2858) + 1, SEARCH("/",E2858, SEARCH("/",E2858)+1) - SEARCH("/",E2858) - 1))-(LEFT(E2858,FIND("/",E2858)-1))), "NA"))</f>
        <v/>
      </c>
      <c r="K2858" s="79">
        <f>IF(A2858&lt;&gt;"", IF(ISBLANK(L2858), TODAY(), K2858), "")</f>
        <v/>
      </c>
      <c r="L2858" s="78" t="n"/>
      <c r="M2858" s="78">
        <f>IF(ISBLANK(L2858),"",IF(D2858="Stock",IF(C2858="Buy",L2858*G2858,IF(C2858="Sell",(L2858*G2858)-I2858, X)),IF(C2858="Buy",(L2858*G2858*100)+I2858,IF(C2858="Sell",(L2858*G2858*100)-I2858, X))))</f>
        <v/>
      </c>
      <c r="N2858" s="78">
        <f>IF(ISBLANK(L2858),"",IF(AND(C2858="Sell",D2858="Stock"),M2858,IF(ISBLANK(L2858),"",IF(C2858="Buy",M2858, IF(AND(C2858="Sell",J2858="NA"),(E2858*G2858*100*0.1)+I2858, IF(C2858="Sell",(J2858-L2858)*(100*G2858)+I2858))))))</f>
        <v/>
      </c>
      <c r="O2858" s="75" t="n"/>
      <c r="P2858" s="75" t="n"/>
      <c r="Q2858" s="75">
        <f>IF(ISBLANK(P2858),"",IF(D2858="Stock",P2858*G2858,IF(P2858=0,"0",G2858*P2858*100-(G2858*$AF$14))))</f>
        <v/>
      </c>
      <c r="R2858" s="79">
        <f>IF(P2858&lt;&gt;"", TODAY(), "")</f>
        <v/>
      </c>
      <c r="S2858" s="78">
        <f>IF(AND(K2858&lt;&gt;"", R2858&lt;&gt;""), R2858-K2858, "")</f>
        <v/>
      </c>
      <c r="T2858" s="78" t="n"/>
      <c r="U2858" s="92">
        <f>IF(ISBLANK(P2858),"",IF(C2858="Buy",Q2858-M2858+T2858, IF(C2858="Sell",M2858-Q2858-T2858, X)))</f>
        <v/>
      </c>
      <c r="V2858" s="81">
        <f>IF(ISBLANK(P2858),"",U2858/N2858)</f>
        <v/>
      </c>
      <c r="W2858" s="81">
        <f>IF(ISBLANK(P2858),"",IF(S2858=0,(365/0.5)*V2858,(365/S2858)*V2858))</f>
        <v/>
      </c>
      <c r="X2858" s="75" t="n"/>
      <c r="Y2858" s="77" t="n"/>
      <c r="Z2858" s="77" t="n"/>
      <c r="AA2858" s="75" t="n"/>
      <c r="AB2858" s="75" t="n"/>
      <c r="AC2858" s="6" t="n"/>
      <c r="AD2858" s="75" t="n"/>
      <c r="AE2858" s="75" t="n"/>
      <c r="AF2858" s="75" t="n"/>
    </row>
    <row r="2859" ht="15.75" customHeight="1" s="133">
      <c r="A2859" s="75" t="n"/>
      <c r="B2859" s="75" t="n"/>
      <c r="C2859" s="75" t="n"/>
      <c r="D2859" s="75" t="n"/>
      <c r="E2859" s="76" t="n"/>
      <c r="F2859" s="77" t="n"/>
      <c r="G2859" s="75" t="n"/>
      <c r="H2859" s="75">
        <f>IF(ISBLANK(E2859),"",IF(OR(D2859="Butterfly",D2859="Butterfly ",D2859="Iron Fly", D2859="Iron Fly "),LEN(E2859)-LEN(SUBSTITUTE(E2859,"/",""))+2,LEN(E2859)-LEN(SUBSTITUTE(E2859,"/",""))+1))</f>
        <v/>
      </c>
      <c r="I2859" s="78">
        <f>IF(ISBLANK(G2859),"",IF(D2859="Stock","0",Key!$A$3*H2859*G2859))</f>
        <v/>
      </c>
      <c r="J2859" s="78">
        <f>IF(ISBLANK(E2859),"",IF(ISNUMBER(SEARCH("/",E2859)), IF(LEN(E2859)-LEN(SUBSTITUTE(E2859,"/",""))=1,(RIGHT(E2859,LEN(E2859)-FIND("/",E2859)))-(LEFT(E2859,FIND("/",E2859)-1)),(MID(E2859, SEARCH("/",E2859) + 1, SEARCH("/",E2859, SEARCH("/",E2859)+1) - SEARCH("/",E2859) - 1))-(LEFT(E2859,FIND("/",E2859)-1))), "NA"))</f>
        <v/>
      </c>
      <c r="K2859" s="79">
        <f>IF(A2859&lt;&gt;"", IF(ISBLANK(L2859), TODAY(), K2859), "")</f>
        <v/>
      </c>
      <c r="L2859" s="78" t="n"/>
      <c r="M2859" s="78">
        <f>IF(ISBLANK(L2859),"",IF(D2859="Stock",IF(C2859="Buy",L2859*G2859,IF(C2859="Sell",(L2859*G2859)-I2859, X)),IF(C2859="Buy",(L2859*G2859*100)+I2859,IF(C2859="Sell",(L2859*G2859*100)-I2859, X))))</f>
        <v/>
      </c>
      <c r="N2859" s="78">
        <f>IF(ISBLANK(L2859),"",IF(AND(C2859="Sell",D2859="Stock"),M2859,IF(ISBLANK(L2859),"",IF(C2859="Buy",M2859, IF(AND(C2859="Sell",J2859="NA"),(E2859*G2859*100*0.1)+I2859, IF(C2859="Sell",(J2859-L2859)*(100*G2859)+I2859))))))</f>
        <v/>
      </c>
      <c r="O2859" s="75" t="n"/>
      <c r="P2859" s="75" t="n"/>
      <c r="Q2859" s="75">
        <f>IF(ISBLANK(P2859),"",IF(D2859="Stock",P2859*G2859,IF(P2859=0,"0",G2859*P2859*100-(G2859*$AF$14))))</f>
        <v/>
      </c>
      <c r="R2859" s="79">
        <f>IF(P2859&lt;&gt;"", TODAY(), "")</f>
        <v/>
      </c>
      <c r="S2859" s="78">
        <f>IF(AND(K2859&lt;&gt;"", R2859&lt;&gt;""), R2859-K2859, "")</f>
        <v/>
      </c>
      <c r="T2859" s="78" t="n"/>
      <c r="U2859" s="92">
        <f>IF(ISBLANK(P2859),"",IF(C2859="Buy",Q2859-M2859+T2859, IF(C2859="Sell",M2859-Q2859-T2859, X)))</f>
        <v/>
      </c>
      <c r="V2859" s="81">
        <f>IF(ISBLANK(P2859),"",U2859/N2859)</f>
        <v/>
      </c>
      <c r="W2859" s="81">
        <f>IF(ISBLANK(P2859),"",IF(S2859=0,(365/0.5)*V2859,(365/S2859)*V2859))</f>
        <v/>
      </c>
      <c r="X2859" s="75" t="n"/>
      <c r="Y2859" s="77" t="n"/>
      <c r="Z2859" s="77" t="n"/>
      <c r="AA2859" s="75" t="n"/>
      <c r="AB2859" s="75" t="n"/>
      <c r="AC2859" s="6" t="n"/>
      <c r="AD2859" s="75" t="n"/>
      <c r="AE2859" s="75" t="n"/>
      <c r="AF2859" s="75" t="n"/>
    </row>
    <row r="2860" ht="15.75" customHeight="1" s="133">
      <c r="A2860" s="75" t="n"/>
      <c r="B2860" s="75" t="n"/>
      <c r="C2860" s="75" t="n"/>
      <c r="D2860" s="75" t="n"/>
      <c r="E2860" s="76" t="n"/>
      <c r="F2860" s="77" t="n"/>
      <c r="G2860" s="75" t="n"/>
      <c r="H2860" s="75">
        <f>IF(ISBLANK(E2860),"",IF(OR(D2860="Butterfly",D2860="Butterfly ",D2860="Iron Fly", D2860="Iron Fly "),LEN(E2860)-LEN(SUBSTITUTE(E2860,"/",""))+2,LEN(E2860)-LEN(SUBSTITUTE(E2860,"/",""))+1))</f>
        <v/>
      </c>
      <c r="I2860" s="78">
        <f>IF(ISBLANK(G2860),"",IF(D2860="Stock","0",Key!$A$3*H2860*G2860))</f>
        <v/>
      </c>
      <c r="J2860" s="78">
        <f>IF(ISBLANK(E2860),"",IF(ISNUMBER(SEARCH("/",E2860)), IF(LEN(E2860)-LEN(SUBSTITUTE(E2860,"/",""))=1,(RIGHT(E2860,LEN(E2860)-FIND("/",E2860)))-(LEFT(E2860,FIND("/",E2860)-1)),(MID(E2860, SEARCH("/",E2860) + 1, SEARCH("/",E2860, SEARCH("/",E2860)+1) - SEARCH("/",E2860) - 1))-(LEFT(E2860,FIND("/",E2860)-1))), "NA"))</f>
        <v/>
      </c>
      <c r="K2860" s="79">
        <f>IF(A2860&lt;&gt;"", IF(ISBLANK(L2860), TODAY(), K2860), "")</f>
        <v/>
      </c>
      <c r="L2860" s="78" t="n"/>
      <c r="M2860" s="78">
        <f>IF(ISBLANK(L2860),"",IF(D2860="Stock",IF(C2860="Buy",L2860*G2860,IF(C2860="Sell",(L2860*G2860)-I2860, X)),IF(C2860="Buy",(L2860*G2860*100)+I2860,IF(C2860="Sell",(L2860*G2860*100)-I2860, X))))</f>
        <v/>
      </c>
      <c r="N2860" s="78">
        <f>IF(ISBLANK(L2860),"",IF(AND(C2860="Sell",D2860="Stock"),M2860,IF(ISBLANK(L2860),"",IF(C2860="Buy",M2860, IF(AND(C2860="Sell",J2860="NA"),(E2860*G2860*100*0.1)+I2860, IF(C2860="Sell",(J2860-L2860)*(100*G2860)+I2860))))))</f>
        <v/>
      </c>
      <c r="O2860" s="75" t="n"/>
      <c r="P2860" s="75" t="n"/>
      <c r="Q2860" s="75">
        <f>IF(ISBLANK(P2860),"",IF(D2860="Stock",P2860*G2860,IF(P2860=0,"0",G2860*P2860*100-(G2860*$AF$14))))</f>
        <v/>
      </c>
      <c r="R2860" s="79">
        <f>IF(P2860&lt;&gt;"", TODAY(), "")</f>
        <v/>
      </c>
      <c r="S2860" s="78">
        <f>IF(AND(K2860&lt;&gt;"", R2860&lt;&gt;""), R2860-K2860, "")</f>
        <v/>
      </c>
      <c r="T2860" s="78" t="n"/>
      <c r="U2860" s="92">
        <f>IF(ISBLANK(P2860),"",IF(C2860="Buy",Q2860-M2860+T2860, IF(C2860="Sell",M2860-Q2860-T2860, X)))</f>
        <v/>
      </c>
      <c r="V2860" s="81">
        <f>IF(ISBLANK(P2860),"",U2860/N2860)</f>
        <v/>
      </c>
      <c r="W2860" s="81">
        <f>IF(ISBLANK(P2860),"",IF(S2860=0,(365/0.5)*V2860,(365/S2860)*V2860))</f>
        <v/>
      </c>
      <c r="X2860" s="75" t="n"/>
      <c r="Y2860" s="77" t="n"/>
      <c r="Z2860" s="77" t="n"/>
      <c r="AA2860" s="75" t="n"/>
      <c r="AB2860" s="75" t="n"/>
      <c r="AC2860" s="6" t="n"/>
      <c r="AD2860" s="75" t="n"/>
      <c r="AE2860" s="75" t="n"/>
      <c r="AF2860" s="75" t="n"/>
    </row>
    <row r="2861" ht="15.75" customHeight="1" s="133">
      <c r="A2861" s="75" t="n"/>
      <c r="B2861" s="75" t="n"/>
      <c r="C2861" s="75" t="n"/>
      <c r="D2861" s="75" t="n"/>
      <c r="E2861" s="76" t="n"/>
      <c r="F2861" s="77" t="n"/>
      <c r="G2861" s="75" t="n"/>
      <c r="H2861" s="75">
        <f>IF(ISBLANK(E2861),"",IF(OR(D2861="Butterfly",D2861="Butterfly ",D2861="Iron Fly", D2861="Iron Fly "),LEN(E2861)-LEN(SUBSTITUTE(E2861,"/",""))+2,LEN(E2861)-LEN(SUBSTITUTE(E2861,"/",""))+1))</f>
        <v/>
      </c>
      <c r="I2861" s="78">
        <f>IF(ISBLANK(G2861),"",IF(D2861="Stock","0",Key!$A$3*H2861*G2861))</f>
        <v/>
      </c>
      <c r="J2861" s="78">
        <f>IF(ISBLANK(E2861),"",IF(ISNUMBER(SEARCH("/",E2861)), IF(LEN(E2861)-LEN(SUBSTITUTE(E2861,"/",""))=1,(RIGHT(E2861,LEN(E2861)-FIND("/",E2861)))-(LEFT(E2861,FIND("/",E2861)-1)),(MID(E2861, SEARCH("/",E2861) + 1, SEARCH("/",E2861, SEARCH("/",E2861)+1) - SEARCH("/",E2861) - 1))-(LEFT(E2861,FIND("/",E2861)-1))), "NA"))</f>
        <v/>
      </c>
      <c r="K2861" s="79">
        <f>IF(A2861&lt;&gt;"", IF(ISBLANK(L2861), TODAY(), K2861), "")</f>
        <v/>
      </c>
      <c r="L2861" s="78" t="n"/>
      <c r="M2861" s="78">
        <f>IF(ISBLANK(L2861),"",IF(D2861="Stock",IF(C2861="Buy",L2861*G2861,IF(C2861="Sell",(L2861*G2861)-I2861, X)),IF(C2861="Buy",(L2861*G2861*100)+I2861,IF(C2861="Sell",(L2861*G2861*100)-I2861, X))))</f>
        <v/>
      </c>
      <c r="N2861" s="78">
        <f>IF(ISBLANK(L2861),"",IF(AND(C2861="Sell",D2861="Stock"),M2861,IF(ISBLANK(L2861),"",IF(C2861="Buy",M2861, IF(AND(C2861="Sell",J2861="NA"),(E2861*G2861*100*0.1)+I2861, IF(C2861="Sell",(J2861-L2861)*(100*G2861)+I2861))))))</f>
        <v/>
      </c>
      <c r="O2861" s="75" t="n"/>
      <c r="P2861" s="75" t="n"/>
      <c r="Q2861" s="75">
        <f>IF(ISBLANK(P2861),"",IF(D2861="Stock",P2861*G2861,IF(P2861=0,"0",G2861*P2861*100-(G2861*$AF$14))))</f>
        <v/>
      </c>
      <c r="R2861" s="79">
        <f>IF(P2861&lt;&gt;"", TODAY(), "")</f>
        <v/>
      </c>
      <c r="S2861" s="78">
        <f>IF(AND(K2861&lt;&gt;"", R2861&lt;&gt;""), R2861-K2861, "")</f>
        <v/>
      </c>
      <c r="T2861" s="78" t="n"/>
      <c r="U2861" s="92">
        <f>IF(ISBLANK(P2861),"",IF(C2861="Buy",Q2861-M2861+T2861, IF(C2861="Sell",M2861-Q2861-T2861, X)))</f>
        <v/>
      </c>
      <c r="V2861" s="81">
        <f>IF(ISBLANK(P2861),"",U2861/N2861)</f>
        <v/>
      </c>
      <c r="W2861" s="81">
        <f>IF(ISBLANK(P2861),"",IF(S2861=0,(365/0.5)*V2861,(365/S2861)*V2861))</f>
        <v/>
      </c>
      <c r="X2861" s="75" t="n"/>
      <c r="Y2861" s="77" t="n"/>
      <c r="Z2861" s="77" t="n"/>
      <c r="AA2861" s="75" t="n"/>
      <c r="AB2861" s="75" t="n"/>
      <c r="AC2861" s="6" t="n"/>
      <c r="AD2861" s="75" t="n"/>
      <c r="AE2861" s="75" t="n"/>
      <c r="AF2861" s="75" t="n"/>
    </row>
    <row r="2862" ht="15.75" customHeight="1" s="133">
      <c r="A2862" s="75" t="n"/>
      <c r="B2862" s="75" t="n"/>
      <c r="C2862" s="75" t="n"/>
      <c r="D2862" s="75" t="n"/>
      <c r="E2862" s="76" t="n"/>
      <c r="F2862" s="77" t="n"/>
      <c r="G2862" s="75" t="n"/>
      <c r="H2862" s="75">
        <f>IF(ISBLANK(E2862),"",IF(OR(D2862="Butterfly",D2862="Butterfly ",D2862="Iron Fly", D2862="Iron Fly "),LEN(E2862)-LEN(SUBSTITUTE(E2862,"/",""))+2,LEN(E2862)-LEN(SUBSTITUTE(E2862,"/",""))+1))</f>
        <v/>
      </c>
      <c r="I2862" s="78">
        <f>IF(ISBLANK(G2862),"",IF(D2862="Stock","0",Key!$A$3*H2862*G2862))</f>
        <v/>
      </c>
      <c r="J2862" s="78">
        <f>IF(ISBLANK(E2862),"",IF(ISNUMBER(SEARCH("/",E2862)), IF(LEN(E2862)-LEN(SUBSTITUTE(E2862,"/",""))=1,(RIGHT(E2862,LEN(E2862)-FIND("/",E2862)))-(LEFT(E2862,FIND("/",E2862)-1)),(MID(E2862, SEARCH("/",E2862) + 1, SEARCH("/",E2862, SEARCH("/",E2862)+1) - SEARCH("/",E2862) - 1))-(LEFT(E2862,FIND("/",E2862)-1))), "NA"))</f>
        <v/>
      </c>
      <c r="K2862" s="79">
        <f>IF(A2862&lt;&gt;"", IF(ISBLANK(L2862), TODAY(), K2862), "")</f>
        <v/>
      </c>
      <c r="L2862" s="78" t="n"/>
      <c r="M2862" s="78">
        <f>IF(ISBLANK(L2862),"",IF(D2862="Stock",IF(C2862="Buy",L2862*G2862,IF(C2862="Sell",(L2862*G2862)-I2862, X)),IF(C2862="Buy",(L2862*G2862*100)+I2862,IF(C2862="Sell",(L2862*G2862*100)-I2862, X))))</f>
        <v/>
      </c>
      <c r="N2862" s="78">
        <f>IF(ISBLANK(L2862),"",IF(AND(C2862="Sell",D2862="Stock"),M2862,IF(ISBLANK(L2862),"",IF(C2862="Buy",M2862, IF(AND(C2862="Sell",J2862="NA"),(E2862*G2862*100*0.1)+I2862, IF(C2862="Sell",(J2862-L2862)*(100*G2862)+I2862))))))</f>
        <v/>
      </c>
      <c r="O2862" s="75" t="n"/>
      <c r="P2862" s="75" t="n"/>
      <c r="Q2862" s="75">
        <f>IF(ISBLANK(P2862),"",IF(D2862="Stock",P2862*G2862,IF(P2862=0,"0",G2862*P2862*100-(G2862*$AF$14))))</f>
        <v/>
      </c>
      <c r="R2862" s="79">
        <f>IF(P2862&lt;&gt;"", TODAY(), "")</f>
        <v/>
      </c>
      <c r="S2862" s="78">
        <f>IF(AND(K2862&lt;&gt;"", R2862&lt;&gt;""), R2862-K2862, "")</f>
        <v/>
      </c>
      <c r="T2862" s="78" t="n"/>
      <c r="U2862" s="92">
        <f>IF(ISBLANK(P2862),"",IF(C2862="Buy",Q2862-M2862+T2862, IF(C2862="Sell",M2862-Q2862-T2862, X)))</f>
        <v/>
      </c>
      <c r="V2862" s="81">
        <f>IF(ISBLANK(P2862),"",U2862/N2862)</f>
        <v/>
      </c>
      <c r="W2862" s="81">
        <f>IF(ISBLANK(P2862),"",IF(S2862=0,(365/0.5)*V2862,(365/S2862)*V2862))</f>
        <v/>
      </c>
      <c r="X2862" s="75" t="n"/>
      <c r="Y2862" s="77" t="n"/>
      <c r="Z2862" s="77" t="n"/>
      <c r="AA2862" s="75" t="n"/>
      <c r="AB2862" s="75" t="n"/>
      <c r="AC2862" s="6" t="n"/>
      <c r="AD2862" s="75" t="n"/>
      <c r="AE2862" s="75" t="n"/>
      <c r="AF2862" s="75" t="n"/>
    </row>
    <row r="2863" ht="15.75" customHeight="1" s="133">
      <c r="A2863" s="75" t="n"/>
      <c r="B2863" s="75" t="n"/>
      <c r="C2863" s="75" t="n"/>
      <c r="D2863" s="75" t="n"/>
      <c r="E2863" s="76" t="n"/>
      <c r="F2863" s="77" t="n"/>
      <c r="G2863" s="75" t="n"/>
      <c r="H2863" s="75">
        <f>IF(ISBLANK(E2863),"",IF(OR(D2863="Butterfly",D2863="Butterfly ",D2863="Iron Fly", D2863="Iron Fly "),LEN(E2863)-LEN(SUBSTITUTE(E2863,"/",""))+2,LEN(E2863)-LEN(SUBSTITUTE(E2863,"/",""))+1))</f>
        <v/>
      </c>
      <c r="I2863" s="78">
        <f>IF(ISBLANK(G2863),"",IF(D2863="Stock","0",Key!$A$3*H2863*G2863))</f>
        <v/>
      </c>
      <c r="J2863" s="78">
        <f>IF(ISBLANK(E2863),"",IF(ISNUMBER(SEARCH("/",E2863)), IF(LEN(E2863)-LEN(SUBSTITUTE(E2863,"/",""))=1,(RIGHT(E2863,LEN(E2863)-FIND("/",E2863)))-(LEFT(E2863,FIND("/",E2863)-1)),(MID(E2863, SEARCH("/",E2863) + 1, SEARCH("/",E2863, SEARCH("/",E2863)+1) - SEARCH("/",E2863) - 1))-(LEFT(E2863,FIND("/",E2863)-1))), "NA"))</f>
        <v/>
      </c>
      <c r="K2863" s="79">
        <f>IF(A2863&lt;&gt;"", IF(ISBLANK(L2863), TODAY(), K2863), "")</f>
        <v/>
      </c>
      <c r="L2863" s="78" t="n"/>
      <c r="M2863" s="78">
        <f>IF(ISBLANK(L2863),"",IF(D2863="Stock",IF(C2863="Buy",L2863*G2863,IF(C2863="Sell",(L2863*G2863)-I2863, X)),IF(C2863="Buy",(L2863*G2863*100)+I2863,IF(C2863="Sell",(L2863*G2863*100)-I2863, X))))</f>
        <v/>
      </c>
      <c r="N2863" s="78">
        <f>IF(ISBLANK(L2863),"",IF(AND(C2863="Sell",D2863="Stock"),M2863,IF(ISBLANK(L2863),"",IF(C2863="Buy",M2863, IF(AND(C2863="Sell",J2863="NA"),(E2863*G2863*100*0.1)+I2863, IF(C2863="Sell",(J2863-L2863)*(100*G2863)+I2863))))))</f>
        <v/>
      </c>
      <c r="O2863" s="75" t="n"/>
      <c r="P2863" s="75" t="n"/>
      <c r="Q2863" s="75">
        <f>IF(ISBLANK(P2863),"",IF(D2863="Stock",P2863*G2863,IF(P2863=0,"0",G2863*P2863*100-(G2863*$AF$14))))</f>
        <v/>
      </c>
      <c r="R2863" s="79">
        <f>IF(P2863&lt;&gt;"", TODAY(), "")</f>
        <v/>
      </c>
      <c r="S2863" s="78">
        <f>IF(AND(K2863&lt;&gt;"", R2863&lt;&gt;""), R2863-K2863, "")</f>
        <v/>
      </c>
      <c r="T2863" s="78" t="n"/>
      <c r="U2863" s="92">
        <f>IF(ISBLANK(P2863),"",IF(C2863="Buy",Q2863-M2863+T2863, IF(C2863="Sell",M2863-Q2863-T2863, X)))</f>
        <v/>
      </c>
      <c r="V2863" s="81">
        <f>IF(ISBLANK(P2863),"",U2863/N2863)</f>
        <v/>
      </c>
      <c r="W2863" s="81">
        <f>IF(ISBLANK(P2863),"",IF(S2863=0,(365/0.5)*V2863,(365/S2863)*V2863))</f>
        <v/>
      </c>
      <c r="X2863" s="75" t="n"/>
      <c r="Y2863" s="77" t="n"/>
      <c r="Z2863" s="77" t="n"/>
      <c r="AA2863" s="75" t="n"/>
      <c r="AB2863" s="75" t="n"/>
      <c r="AC2863" s="6" t="n"/>
      <c r="AD2863" s="75" t="n"/>
      <c r="AE2863" s="75" t="n"/>
      <c r="AF2863" s="75" t="n"/>
    </row>
    <row r="2864" ht="15.75" customHeight="1" s="133">
      <c r="A2864" s="75" t="n"/>
      <c r="B2864" s="75" t="n"/>
      <c r="C2864" s="75" t="n"/>
      <c r="D2864" s="75" t="n"/>
      <c r="E2864" s="76" t="n"/>
      <c r="F2864" s="77" t="n"/>
      <c r="G2864" s="75" t="n"/>
      <c r="H2864" s="75">
        <f>IF(ISBLANK(E2864),"",IF(OR(D2864="Butterfly",D2864="Butterfly ",D2864="Iron Fly", D2864="Iron Fly "),LEN(E2864)-LEN(SUBSTITUTE(E2864,"/",""))+2,LEN(E2864)-LEN(SUBSTITUTE(E2864,"/",""))+1))</f>
        <v/>
      </c>
      <c r="I2864" s="78">
        <f>IF(ISBLANK(G2864),"",IF(D2864="Stock","0",Key!$A$3*H2864*G2864))</f>
        <v/>
      </c>
      <c r="J2864" s="78">
        <f>IF(ISBLANK(E2864),"",IF(ISNUMBER(SEARCH("/",E2864)), IF(LEN(E2864)-LEN(SUBSTITUTE(E2864,"/",""))=1,(RIGHT(E2864,LEN(E2864)-FIND("/",E2864)))-(LEFT(E2864,FIND("/",E2864)-1)),(MID(E2864, SEARCH("/",E2864) + 1, SEARCH("/",E2864, SEARCH("/",E2864)+1) - SEARCH("/",E2864) - 1))-(LEFT(E2864,FIND("/",E2864)-1))), "NA"))</f>
        <v/>
      </c>
      <c r="K2864" s="79">
        <f>IF(A2864&lt;&gt;"", IF(ISBLANK(L2864), TODAY(), K2864), "")</f>
        <v/>
      </c>
      <c r="L2864" s="78" t="n"/>
      <c r="M2864" s="78">
        <f>IF(ISBLANK(L2864),"",IF(D2864="Stock",IF(C2864="Buy",L2864*G2864,IF(C2864="Sell",(L2864*G2864)-I2864, X)),IF(C2864="Buy",(L2864*G2864*100)+I2864,IF(C2864="Sell",(L2864*G2864*100)-I2864, X))))</f>
        <v/>
      </c>
      <c r="N2864" s="78">
        <f>IF(ISBLANK(L2864),"",IF(AND(C2864="Sell",D2864="Stock"),M2864,IF(ISBLANK(L2864),"",IF(C2864="Buy",M2864, IF(AND(C2864="Sell",J2864="NA"),(E2864*G2864*100*0.1)+I2864, IF(C2864="Sell",(J2864-L2864)*(100*G2864)+I2864))))))</f>
        <v/>
      </c>
      <c r="O2864" s="75" t="n"/>
      <c r="P2864" s="75" t="n"/>
      <c r="Q2864" s="75">
        <f>IF(ISBLANK(P2864),"",IF(D2864="Stock",P2864*G2864,IF(P2864=0,"0",G2864*P2864*100-(G2864*$AF$14))))</f>
        <v/>
      </c>
      <c r="R2864" s="79">
        <f>IF(P2864&lt;&gt;"", TODAY(), "")</f>
        <v/>
      </c>
      <c r="S2864" s="78">
        <f>IF(AND(K2864&lt;&gt;"", R2864&lt;&gt;""), R2864-K2864, "")</f>
        <v/>
      </c>
      <c r="T2864" s="78" t="n"/>
      <c r="U2864" s="92">
        <f>IF(ISBLANK(P2864),"",IF(C2864="Buy",Q2864-M2864+T2864, IF(C2864="Sell",M2864-Q2864-T2864, X)))</f>
        <v/>
      </c>
      <c r="V2864" s="81">
        <f>IF(ISBLANK(P2864),"",U2864/N2864)</f>
        <v/>
      </c>
      <c r="W2864" s="81">
        <f>IF(ISBLANK(P2864),"",IF(S2864=0,(365/0.5)*V2864,(365/S2864)*V2864))</f>
        <v/>
      </c>
      <c r="X2864" s="75" t="n"/>
      <c r="Y2864" s="77" t="n"/>
      <c r="Z2864" s="77" t="n"/>
      <c r="AA2864" s="75" t="n"/>
      <c r="AB2864" s="75" t="n"/>
      <c r="AC2864" s="6" t="n"/>
      <c r="AD2864" s="75" t="n"/>
      <c r="AE2864" s="75" t="n"/>
      <c r="AF2864" s="75" t="n"/>
    </row>
    <row r="2865" ht="15.75" customHeight="1" s="133">
      <c r="A2865" s="75" t="n"/>
      <c r="B2865" s="75" t="n"/>
      <c r="C2865" s="75" t="n"/>
      <c r="D2865" s="75" t="n"/>
      <c r="E2865" s="76" t="n"/>
      <c r="F2865" s="77" t="n"/>
      <c r="G2865" s="75" t="n"/>
      <c r="H2865" s="75">
        <f>IF(ISBLANK(E2865),"",IF(OR(D2865="Butterfly",D2865="Butterfly ",D2865="Iron Fly", D2865="Iron Fly "),LEN(E2865)-LEN(SUBSTITUTE(E2865,"/",""))+2,LEN(E2865)-LEN(SUBSTITUTE(E2865,"/",""))+1))</f>
        <v/>
      </c>
      <c r="I2865" s="78">
        <f>IF(ISBLANK(G2865),"",IF(D2865="Stock","0",Key!$A$3*H2865*G2865))</f>
        <v/>
      </c>
      <c r="J2865" s="78">
        <f>IF(ISBLANK(E2865),"",IF(ISNUMBER(SEARCH("/",E2865)), IF(LEN(E2865)-LEN(SUBSTITUTE(E2865,"/",""))=1,(RIGHT(E2865,LEN(E2865)-FIND("/",E2865)))-(LEFT(E2865,FIND("/",E2865)-1)),(MID(E2865, SEARCH("/",E2865) + 1, SEARCH("/",E2865, SEARCH("/",E2865)+1) - SEARCH("/",E2865) - 1))-(LEFT(E2865,FIND("/",E2865)-1))), "NA"))</f>
        <v/>
      </c>
      <c r="K2865" s="79">
        <f>IF(A2865&lt;&gt;"", IF(ISBLANK(L2865), TODAY(), K2865), "")</f>
        <v/>
      </c>
      <c r="L2865" s="78" t="n"/>
      <c r="M2865" s="78">
        <f>IF(ISBLANK(L2865),"",IF(D2865="Stock",IF(C2865="Buy",L2865*G2865,IF(C2865="Sell",(L2865*G2865)-I2865, X)),IF(C2865="Buy",(L2865*G2865*100)+I2865,IF(C2865="Sell",(L2865*G2865*100)-I2865, X))))</f>
        <v/>
      </c>
      <c r="N2865" s="78">
        <f>IF(ISBLANK(L2865),"",IF(AND(C2865="Sell",D2865="Stock"),M2865,IF(ISBLANK(L2865),"",IF(C2865="Buy",M2865, IF(AND(C2865="Sell",J2865="NA"),(E2865*G2865*100*0.1)+I2865, IF(C2865="Sell",(J2865-L2865)*(100*G2865)+I2865))))))</f>
        <v/>
      </c>
      <c r="O2865" s="75" t="n"/>
      <c r="P2865" s="75" t="n"/>
      <c r="Q2865" s="75">
        <f>IF(ISBLANK(P2865),"",IF(D2865="Stock",P2865*G2865,IF(P2865=0,"0",G2865*P2865*100-(G2865*$AF$14))))</f>
        <v/>
      </c>
      <c r="R2865" s="79">
        <f>IF(P2865&lt;&gt;"", TODAY(), "")</f>
        <v/>
      </c>
      <c r="S2865" s="78">
        <f>IF(AND(K2865&lt;&gt;"", R2865&lt;&gt;""), R2865-K2865, "")</f>
        <v/>
      </c>
      <c r="T2865" s="78" t="n"/>
      <c r="U2865" s="92">
        <f>IF(ISBLANK(P2865),"",IF(C2865="Buy",Q2865-M2865+T2865, IF(C2865="Sell",M2865-Q2865-T2865, X)))</f>
        <v/>
      </c>
      <c r="V2865" s="81">
        <f>IF(ISBLANK(P2865),"",U2865/N2865)</f>
        <v/>
      </c>
      <c r="W2865" s="81">
        <f>IF(ISBLANK(P2865),"",IF(S2865=0,(365/0.5)*V2865,(365/S2865)*V2865))</f>
        <v/>
      </c>
      <c r="X2865" s="75" t="n"/>
      <c r="Y2865" s="77" t="n"/>
      <c r="Z2865" s="77" t="n"/>
      <c r="AA2865" s="75" t="n"/>
      <c r="AB2865" s="75" t="n"/>
      <c r="AC2865" s="6" t="n"/>
      <c r="AD2865" s="75" t="n"/>
      <c r="AE2865" s="75" t="n"/>
      <c r="AF2865" s="75" t="n"/>
    </row>
    <row r="2866" ht="15.75" customHeight="1" s="133">
      <c r="A2866" s="75" t="n"/>
      <c r="B2866" s="75" t="n"/>
      <c r="C2866" s="75" t="n"/>
      <c r="D2866" s="75" t="n"/>
      <c r="E2866" s="76" t="n"/>
      <c r="F2866" s="77" t="n"/>
      <c r="G2866" s="75" t="n"/>
      <c r="H2866" s="75">
        <f>IF(ISBLANK(E2866),"",IF(OR(D2866="Butterfly",D2866="Butterfly ",D2866="Iron Fly", D2866="Iron Fly "),LEN(E2866)-LEN(SUBSTITUTE(E2866,"/",""))+2,LEN(E2866)-LEN(SUBSTITUTE(E2866,"/",""))+1))</f>
        <v/>
      </c>
      <c r="I2866" s="78">
        <f>IF(ISBLANK(G2866),"",IF(D2866="Stock","0",Key!$A$3*H2866*G2866))</f>
        <v/>
      </c>
      <c r="J2866" s="78">
        <f>IF(ISBLANK(E2866),"",IF(ISNUMBER(SEARCH("/",E2866)), IF(LEN(E2866)-LEN(SUBSTITUTE(E2866,"/",""))=1,(RIGHT(E2866,LEN(E2866)-FIND("/",E2866)))-(LEFT(E2866,FIND("/",E2866)-1)),(MID(E2866, SEARCH("/",E2866) + 1, SEARCH("/",E2866, SEARCH("/",E2866)+1) - SEARCH("/",E2866) - 1))-(LEFT(E2866,FIND("/",E2866)-1))), "NA"))</f>
        <v/>
      </c>
      <c r="K2866" s="79">
        <f>IF(A2866&lt;&gt;"", IF(ISBLANK(L2866), TODAY(), K2866), "")</f>
        <v/>
      </c>
      <c r="L2866" s="78" t="n"/>
      <c r="M2866" s="78">
        <f>IF(ISBLANK(L2866),"",IF(D2866="Stock",IF(C2866="Buy",L2866*G2866,IF(C2866="Sell",(L2866*G2866)-I2866, X)),IF(C2866="Buy",(L2866*G2866*100)+I2866,IF(C2866="Sell",(L2866*G2866*100)-I2866, X))))</f>
        <v/>
      </c>
      <c r="N2866" s="78">
        <f>IF(ISBLANK(L2866),"",IF(AND(C2866="Sell",D2866="Stock"),M2866,IF(ISBLANK(L2866),"",IF(C2866="Buy",M2866, IF(AND(C2866="Sell",J2866="NA"),(E2866*G2866*100*0.1)+I2866, IF(C2866="Sell",(J2866-L2866)*(100*G2866)+I2866))))))</f>
        <v/>
      </c>
      <c r="O2866" s="75" t="n"/>
      <c r="P2866" s="75" t="n"/>
      <c r="Q2866" s="75">
        <f>IF(ISBLANK(P2866),"",IF(D2866="Stock",P2866*G2866,IF(P2866=0,"0",G2866*P2866*100-(G2866*$AF$14))))</f>
        <v/>
      </c>
      <c r="R2866" s="79">
        <f>IF(P2866&lt;&gt;"", TODAY(), "")</f>
        <v/>
      </c>
      <c r="S2866" s="78">
        <f>IF(AND(K2866&lt;&gt;"", R2866&lt;&gt;""), R2866-K2866, "")</f>
        <v/>
      </c>
      <c r="T2866" s="78" t="n"/>
      <c r="U2866" s="92">
        <f>IF(ISBLANK(P2866),"",IF(C2866="Buy",Q2866-M2866+T2866, IF(C2866="Sell",M2866-Q2866-T2866, X)))</f>
        <v/>
      </c>
      <c r="V2866" s="81">
        <f>IF(ISBLANK(P2866),"",U2866/N2866)</f>
        <v/>
      </c>
      <c r="W2866" s="81">
        <f>IF(ISBLANK(P2866),"",IF(S2866=0,(365/0.5)*V2866,(365/S2866)*V2866))</f>
        <v/>
      </c>
      <c r="X2866" s="75" t="n"/>
      <c r="Y2866" s="77" t="n"/>
      <c r="Z2866" s="77" t="n"/>
      <c r="AA2866" s="75" t="n"/>
      <c r="AB2866" s="75" t="n"/>
      <c r="AC2866" s="6" t="n"/>
      <c r="AD2866" s="75" t="n"/>
      <c r="AE2866" s="75" t="n"/>
      <c r="AF2866" s="75" t="n"/>
    </row>
    <row r="2867" ht="15.75" customHeight="1" s="133">
      <c r="A2867" s="75" t="n"/>
      <c r="B2867" s="75" t="n"/>
      <c r="C2867" s="75" t="n"/>
      <c r="D2867" s="75" t="n"/>
      <c r="E2867" s="76" t="n"/>
      <c r="F2867" s="77" t="n"/>
      <c r="G2867" s="75" t="n"/>
      <c r="H2867" s="75">
        <f>IF(ISBLANK(E2867),"",IF(OR(D2867="Butterfly",D2867="Butterfly ",D2867="Iron Fly", D2867="Iron Fly "),LEN(E2867)-LEN(SUBSTITUTE(E2867,"/",""))+2,LEN(E2867)-LEN(SUBSTITUTE(E2867,"/",""))+1))</f>
        <v/>
      </c>
      <c r="I2867" s="78">
        <f>IF(ISBLANK(G2867),"",IF(D2867="Stock","0",Key!$A$3*H2867*G2867))</f>
        <v/>
      </c>
      <c r="J2867" s="78">
        <f>IF(ISBLANK(E2867),"",IF(ISNUMBER(SEARCH("/",E2867)), IF(LEN(E2867)-LEN(SUBSTITUTE(E2867,"/",""))=1,(RIGHT(E2867,LEN(E2867)-FIND("/",E2867)))-(LEFT(E2867,FIND("/",E2867)-1)),(MID(E2867, SEARCH("/",E2867) + 1, SEARCH("/",E2867, SEARCH("/",E2867)+1) - SEARCH("/",E2867) - 1))-(LEFT(E2867,FIND("/",E2867)-1))), "NA"))</f>
        <v/>
      </c>
      <c r="K2867" s="79">
        <f>IF(A2867&lt;&gt;"", IF(ISBLANK(L2867), TODAY(), K2867), "")</f>
        <v/>
      </c>
      <c r="L2867" s="78" t="n"/>
      <c r="M2867" s="78">
        <f>IF(ISBLANK(L2867),"",IF(D2867="Stock",IF(C2867="Buy",L2867*G2867,IF(C2867="Sell",(L2867*G2867)-I2867, X)),IF(C2867="Buy",(L2867*G2867*100)+I2867,IF(C2867="Sell",(L2867*G2867*100)-I2867, X))))</f>
        <v/>
      </c>
      <c r="N2867" s="78">
        <f>IF(ISBLANK(L2867),"",IF(AND(C2867="Sell",D2867="Stock"),M2867,IF(ISBLANK(L2867),"",IF(C2867="Buy",M2867, IF(AND(C2867="Sell",J2867="NA"),(E2867*G2867*100*0.1)+I2867, IF(C2867="Sell",(J2867-L2867)*(100*G2867)+I2867))))))</f>
        <v/>
      </c>
      <c r="O2867" s="75" t="n"/>
      <c r="P2867" s="75" t="n"/>
      <c r="Q2867" s="75">
        <f>IF(ISBLANK(P2867),"",IF(D2867="Stock",P2867*G2867,IF(P2867=0,"0",G2867*P2867*100-(G2867*$AF$14))))</f>
        <v/>
      </c>
      <c r="R2867" s="79">
        <f>IF(P2867&lt;&gt;"", TODAY(), "")</f>
        <v/>
      </c>
      <c r="S2867" s="78">
        <f>IF(AND(K2867&lt;&gt;"", R2867&lt;&gt;""), R2867-K2867, "")</f>
        <v/>
      </c>
      <c r="T2867" s="78" t="n"/>
      <c r="U2867" s="92">
        <f>IF(ISBLANK(P2867),"",IF(C2867="Buy",Q2867-M2867+T2867, IF(C2867="Sell",M2867-Q2867-T2867, X)))</f>
        <v/>
      </c>
      <c r="V2867" s="81">
        <f>IF(ISBLANK(P2867),"",U2867/N2867)</f>
        <v/>
      </c>
      <c r="W2867" s="81">
        <f>IF(ISBLANK(P2867),"",IF(S2867=0,(365/0.5)*V2867,(365/S2867)*V2867))</f>
        <v/>
      </c>
      <c r="X2867" s="75" t="n"/>
      <c r="Y2867" s="77" t="n"/>
      <c r="Z2867" s="77" t="n"/>
      <c r="AA2867" s="75" t="n"/>
      <c r="AB2867" s="75" t="n"/>
      <c r="AC2867" s="6" t="n"/>
      <c r="AD2867" s="75" t="n"/>
      <c r="AE2867" s="75" t="n"/>
      <c r="AF2867" s="75" t="n"/>
    </row>
    <row r="2868" ht="15.75" customHeight="1" s="133">
      <c r="A2868" s="75" t="n"/>
      <c r="B2868" s="75" t="n"/>
      <c r="C2868" s="75" t="n"/>
      <c r="D2868" s="75" t="n"/>
      <c r="E2868" s="76" t="n"/>
      <c r="F2868" s="77" t="n"/>
      <c r="G2868" s="75" t="n"/>
      <c r="H2868" s="75">
        <f>IF(ISBLANK(E2868),"",IF(OR(D2868="Butterfly",D2868="Butterfly ",D2868="Iron Fly", D2868="Iron Fly "),LEN(E2868)-LEN(SUBSTITUTE(E2868,"/",""))+2,LEN(E2868)-LEN(SUBSTITUTE(E2868,"/",""))+1))</f>
        <v/>
      </c>
      <c r="I2868" s="78">
        <f>IF(ISBLANK(G2868),"",IF(D2868="Stock","0",Key!$A$3*H2868*G2868))</f>
        <v/>
      </c>
      <c r="J2868" s="78">
        <f>IF(ISBLANK(E2868),"",IF(ISNUMBER(SEARCH("/",E2868)), IF(LEN(E2868)-LEN(SUBSTITUTE(E2868,"/",""))=1,(RIGHT(E2868,LEN(E2868)-FIND("/",E2868)))-(LEFT(E2868,FIND("/",E2868)-1)),(MID(E2868, SEARCH("/",E2868) + 1, SEARCH("/",E2868, SEARCH("/",E2868)+1) - SEARCH("/",E2868) - 1))-(LEFT(E2868,FIND("/",E2868)-1))), "NA"))</f>
        <v/>
      </c>
      <c r="K2868" s="79">
        <f>IF(A2868&lt;&gt;"", IF(ISBLANK(L2868), TODAY(), K2868), "")</f>
        <v/>
      </c>
      <c r="L2868" s="78" t="n"/>
      <c r="M2868" s="78">
        <f>IF(ISBLANK(L2868),"",IF(D2868="Stock",IF(C2868="Buy",L2868*G2868,IF(C2868="Sell",(L2868*G2868)-I2868, X)),IF(C2868="Buy",(L2868*G2868*100)+I2868,IF(C2868="Sell",(L2868*G2868*100)-I2868, X))))</f>
        <v/>
      </c>
      <c r="N2868" s="78">
        <f>IF(ISBLANK(L2868),"",IF(AND(C2868="Sell",D2868="Stock"),M2868,IF(ISBLANK(L2868),"",IF(C2868="Buy",M2868, IF(AND(C2868="Sell",J2868="NA"),(E2868*G2868*100*0.1)+I2868, IF(C2868="Sell",(J2868-L2868)*(100*G2868)+I2868))))))</f>
        <v/>
      </c>
      <c r="O2868" s="75" t="n"/>
      <c r="P2868" s="75" t="n"/>
      <c r="Q2868" s="75">
        <f>IF(ISBLANK(P2868),"",IF(D2868="Stock",P2868*G2868,IF(P2868=0,"0",G2868*P2868*100-(G2868*$AF$14))))</f>
        <v/>
      </c>
      <c r="R2868" s="79">
        <f>IF(P2868&lt;&gt;"", TODAY(), "")</f>
        <v/>
      </c>
      <c r="S2868" s="78">
        <f>IF(AND(K2868&lt;&gt;"", R2868&lt;&gt;""), R2868-K2868, "")</f>
        <v/>
      </c>
      <c r="T2868" s="78" t="n"/>
      <c r="U2868" s="92">
        <f>IF(ISBLANK(P2868),"",IF(C2868="Buy",Q2868-M2868+T2868, IF(C2868="Sell",M2868-Q2868-T2868, X)))</f>
        <v/>
      </c>
      <c r="V2868" s="81">
        <f>IF(ISBLANK(P2868),"",U2868/N2868)</f>
        <v/>
      </c>
      <c r="W2868" s="81">
        <f>IF(ISBLANK(P2868),"",IF(S2868=0,(365/0.5)*V2868,(365/S2868)*V2868))</f>
        <v/>
      </c>
      <c r="X2868" s="75" t="n"/>
      <c r="Y2868" s="77" t="n"/>
      <c r="Z2868" s="77" t="n"/>
      <c r="AA2868" s="75" t="n"/>
      <c r="AB2868" s="75" t="n"/>
      <c r="AC2868" s="6" t="n"/>
      <c r="AD2868" s="75" t="n"/>
      <c r="AE2868" s="75" t="n"/>
      <c r="AF2868" s="75" t="n"/>
    </row>
    <row r="2869" ht="15.75" customHeight="1" s="133">
      <c r="A2869" s="75" t="n"/>
      <c r="B2869" s="75" t="n"/>
      <c r="C2869" s="75" t="n"/>
      <c r="D2869" s="75" t="n"/>
      <c r="E2869" s="76" t="n"/>
      <c r="F2869" s="77" t="n"/>
      <c r="G2869" s="75" t="n"/>
      <c r="H2869" s="75">
        <f>IF(ISBLANK(E2869),"",IF(OR(D2869="Butterfly",D2869="Butterfly ",D2869="Iron Fly", D2869="Iron Fly "),LEN(E2869)-LEN(SUBSTITUTE(E2869,"/",""))+2,LEN(E2869)-LEN(SUBSTITUTE(E2869,"/",""))+1))</f>
        <v/>
      </c>
      <c r="I2869" s="78">
        <f>IF(ISBLANK(G2869),"",IF(D2869="Stock","0",Key!$A$3*H2869*G2869))</f>
        <v/>
      </c>
      <c r="J2869" s="78">
        <f>IF(ISBLANK(E2869),"",IF(ISNUMBER(SEARCH("/",E2869)), IF(LEN(E2869)-LEN(SUBSTITUTE(E2869,"/",""))=1,(RIGHT(E2869,LEN(E2869)-FIND("/",E2869)))-(LEFT(E2869,FIND("/",E2869)-1)),(MID(E2869, SEARCH("/",E2869) + 1, SEARCH("/",E2869, SEARCH("/",E2869)+1) - SEARCH("/",E2869) - 1))-(LEFT(E2869,FIND("/",E2869)-1))), "NA"))</f>
        <v/>
      </c>
      <c r="K2869" s="79">
        <f>IF(A2869&lt;&gt;"", IF(ISBLANK(L2869), TODAY(), K2869), "")</f>
        <v/>
      </c>
      <c r="L2869" s="78" t="n"/>
      <c r="M2869" s="78">
        <f>IF(ISBLANK(L2869),"",IF(D2869="Stock",IF(C2869="Buy",L2869*G2869,IF(C2869="Sell",(L2869*G2869)-I2869, X)),IF(C2869="Buy",(L2869*G2869*100)+I2869,IF(C2869="Sell",(L2869*G2869*100)-I2869, X))))</f>
        <v/>
      </c>
      <c r="N2869" s="78">
        <f>IF(ISBLANK(L2869),"",IF(AND(C2869="Sell",D2869="Stock"),M2869,IF(ISBLANK(L2869),"",IF(C2869="Buy",M2869, IF(AND(C2869="Sell",J2869="NA"),(E2869*G2869*100*0.1)+I2869, IF(C2869="Sell",(J2869-L2869)*(100*G2869)+I2869))))))</f>
        <v/>
      </c>
      <c r="O2869" s="75" t="n"/>
      <c r="P2869" s="75" t="n"/>
      <c r="Q2869" s="75">
        <f>IF(ISBLANK(P2869),"",IF(D2869="Stock",P2869*G2869,IF(P2869=0,"0",G2869*P2869*100-(G2869*$AF$14))))</f>
        <v/>
      </c>
      <c r="R2869" s="79">
        <f>IF(P2869&lt;&gt;"", TODAY(), "")</f>
        <v/>
      </c>
      <c r="S2869" s="78">
        <f>IF(AND(K2869&lt;&gt;"", R2869&lt;&gt;""), R2869-K2869, "")</f>
        <v/>
      </c>
      <c r="T2869" s="78" t="n"/>
      <c r="U2869" s="92">
        <f>IF(ISBLANK(P2869),"",IF(C2869="Buy",Q2869-M2869+T2869, IF(C2869="Sell",M2869-Q2869-T2869, X)))</f>
        <v/>
      </c>
      <c r="V2869" s="81">
        <f>IF(ISBLANK(P2869),"",U2869/N2869)</f>
        <v/>
      </c>
      <c r="W2869" s="81">
        <f>IF(ISBLANK(P2869),"",IF(S2869=0,(365/0.5)*V2869,(365/S2869)*V2869))</f>
        <v/>
      </c>
      <c r="X2869" s="75" t="n"/>
      <c r="Y2869" s="77" t="n"/>
      <c r="Z2869" s="77" t="n"/>
      <c r="AA2869" s="75" t="n"/>
      <c r="AB2869" s="75" t="n"/>
      <c r="AC2869" s="6" t="n"/>
      <c r="AD2869" s="75" t="n"/>
      <c r="AE2869" s="75" t="n"/>
      <c r="AF2869" s="75" t="n"/>
    </row>
    <row r="2870" ht="15.75" customHeight="1" s="133">
      <c r="A2870" s="75" t="n"/>
      <c r="B2870" s="75" t="n"/>
      <c r="C2870" s="75" t="n"/>
      <c r="D2870" s="75" t="n"/>
      <c r="E2870" s="76" t="n"/>
      <c r="F2870" s="77" t="n"/>
      <c r="G2870" s="75" t="n"/>
      <c r="H2870" s="75">
        <f>IF(ISBLANK(E2870),"",IF(OR(D2870="Butterfly",D2870="Butterfly ",D2870="Iron Fly", D2870="Iron Fly "),LEN(E2870)-LEN(SUBSTITUTE(E2870,"/",""))+2,LEN(E2870)-LEN(SUBSTITUTE(E2870,"/",""))+1))</f>
        <v/>
      </c>
      <c r="I2870" s="78">
        <f>IF(ISBLANK(G2870),"",IF(D2870="Stock","0",Key!$A$3*H2870*G2870))</f>
        <v/>
      </c>
      <c r="J2870" s="78">
        <f>IF(ISBLANK(E2870),"",IF(ISNUMBER(SEARCH("/",E2870)), IF(LEN(E2870)-LEN(SUBSTITUTE(E2870,"/",""))=1,(RIGHT(E2870,LEN(E2870)-FIND("/",E2870)))-(LEFT(E2870,FIND("/",E2870)-1)),(MID(E2870, SEARCH("/",E2870) + 1, SEARCH("/",E2870, SEARCH("/",E2870)+1) - SEARCH("/",E2870) - 1))-(LEFT(E2870,FIND("/",E2870)-1))), "NA"))</f>
        <v/>
      </c>
      <c r="K2870" s="79">
        <f>IF(A2870&lt;&gt;"", IF(ISBLANK(L2870), TODAY(), K2870), "")</f>
        <v/>
      </c>
      <c r="L2870" s="78" t="n"/>
      <c r="M2870" s="78">
        <f>IF(ISBLANK(L2870),"",IF(D2870="Stock",IF(C2870="Buy",L2870*G2870,IF(C2870="Sell",(L2870*G2870)-I2870, X)),IF(C2870="Buy",(L2870*G2870*100)+I2870,IF(C2870="Sell",(L2870*G2870*100)-I2870, X))))</f>
        <v/>
      </c>
      <c r="N2870" s="78">
        <f>IF(ISBLANK(L2870),"",IF(AND(C2870="Sell",D2870="Stock"),M2870,IF(ISBLANK(L2870),"",IF(C2870="Buy",M2870, IF(AND(C2870="Sell",J2870="NA"),(E2870*G2870*100*0.1)+I2870, IF(C2870="Sell",(J2870-L2870)*(100*G2870)+I2870))))))</f>
        <v/>
      </c>
      <c r="O2870" s="75" t="n"/>
      <c r="P2870" s="75" t="n"/>
      <c r="Q2870" s="75">
        <f>IF(ISBLANK(P2870),"",IF(D2870="Stock",P2870*G2870,IF(P2870=0,"0",G2870*P2870*100-(G2870*$AF$14))))</f>
        <v/>
      </c>
      <c r="R2870" s="79">
        <f>IF(P2870&lt;&gt;"", TODAY(), "")</f>
        <v/>
      </c>
      <c r="S2870" s="78">
        <f>IF(AND(K2870&lt;&gt;"", R2870&lt;&gt;""), R2870-K2870, "")</f>
        <v/>
      </c>
      <c r="T2870" s="78" t="n"/>
      <c r="U2870" s="92">
        <f>IF(ISBLANK(P2870),"",IF(C2870="Buy",Q2870-M2870+T2870, IF(C2870="Sell",M2870-Q2870-T2870, X)))</f>
        <v/>
      </c>
      <c r="V2870" s="81">
        <f>IF(ISBLANK(P2870),"",U2870/N2870)</f>
        <v/>
      </c>
      <c r="W2870" s="81">
        <f>IF(ISBLANK(P2870),"",IF(S2870=0,(365/0.5)*V2870,(365/S2870)*V2870))</f>
        <v/>
      </c>
      <c r="X2870" s="75" t="n"/>
      <c r="Y2870" s="77" t="n"/>
      <c r="Z2870" s="77" t="n"/>
      <c r="AA2870" s="75" t="n"/>
      <c r="AB2870" s="75" t="n"/>
      <c r="AC2870" s="6" t="n"/>
      <c r="AD2870" s="75" t="n"/>
      <c r="AE2870" s="75" t="n"/>
      <c r="AF2870" s="75" t="n"/>
    </row>
    <row r="2871" ht="15.75" customHeight="1" s="133">
      <c r="A2871" s="75" t="n"/>
      <c r="B2871" s="75" t="n"/>
      <c r="C2871" s="75" t="n"/>
      <c r="D2871" s="75" t="n"/>
      <c r="E2871" s="76" t="n"/>
      <c r="F2871" s="77" t="n"/>
      <c r="G2871" s="75" t="n"/>
      <c r="H2871" s="75">
        <f>IF(ISBLANK(E2871),"",IF(OR(D2871="Butterfly",D2871="Butterfly ",D2871="Iron Fly", D2871="Iron Fly "),LEN(E2871)-LEN(SUBSTITUTE(E2871,"/",""))+2,LEN(E2871)-LEN(SUBSTITUTE(E2871,"/",""))+1))</f>
        <v/>
      </c>
      <c r="I2871" s="78">
        <f>IF(ISBLANK(G2871),"",IF(D2871="Stock","0",Key!$A$3*H2871*G2871))</f>
        <v/>
      </c>
      <c r="J2871" s="78">
        <f>IF(ISBLANK(E2871),"",IF(ISNUMBER(SEARCH("/",E2871)), IF(LEN(E2871)-LEN(SUBSTITUTE(E2871,"/",""))=1,(RIGHT(E2871,LEN(E2871)-FIND("/",E2871)))-(LEFT(E2871,FIND("/",E2871)-1)),(MID(E2871, SEARCH("/",E2871) + 1, SEARCH("/",E2871, SEARCH("/",E2871)+1) - SEARCH("/",E2871) - 1))-(LEFT(E2871,FIND("/",E2871)-1))), "NA"))</f>
        <v/>
      </c>
      <c r="K2871" s="79">
        <f>IF(A2871&lt;&gt;"", IF(ISBLANK(L2871), TODAY(), K2871), "")</f>
        <v/>
      </c>
      <c r="L2871" s="78" t="n"/>
      <c r="M2871" s="78">
        <f>IF(ISBLANK(L2871),"",IF(D2871="Stock",IF(C2871="Buy",L2871*G2871,IF(C2871="Sell",(L2871*G2871)-I2871, X)),IF(C2871="Buy",(L2871*G2871*100)+I2871,IF(C2871="Sell",(L2871*G2871*100)-I2871, X))))</f>
        <v/>
      </c>
      <c r="N2871" s="78">
        <f>IF(ISBLANK(L2871),"",IF(AND(C2871="Sell",D2871="Stock"),M2871,IF(ISBLANK(L2871),"",IF(C2871="Buy",M2871, IF(AND(C2871="Sell",J2871="NA"),(E2871*G2871*100*0.1)+I2871, IF(C2871="Sell",(J2871-L2871)*(100*G2871)+I2871))))))</f>
        <v/>
      </c>
      <c r="O2871" s="75" t="n"/>
      <c r="P2871" s="75" t="n"/>
      <c r="Q2871" s="75">
        <f>IF(ISBLANK(P2871),"",IF(D2871="Stock",P2871*G2871,IF(P2871=0,"0",G2871*P2871*100-(G2871*$AF$14))))</f>
        <v/>
      </c>
      <c r="R2871" s="79">
        <f>IF(P2871&lt;&gt;"", TODAY(), "")</f>
        <v/>
      </c>
      <c r="S2871" s="78">
        <f>IF(AND(K2871&lt;&gt;"", R2871&lt;&gt;""), R2871-K2871, "")</f>
        <v/>
      </c>
      <c r="T2871" s="78" t="n"/>
      <c r="U2871" s="92">
        <f>IF(ISBLANK(P2871),"",IF(C2871="Buy",Q2871-M2871+T2871, IF(C2871="Sell",M2871-Q2871-T2871, X)))</f>
        <v/>
      </c>
      <c r="V2871" s="81">
        <f>IF(ISBLANK(P2871),"",U2871/N2871)</f>
        <v/>
      </c>
      <c r="W2871" s="81">
        <f>IF(ISBLANK(P2871),"",IF(S2871=0,(365/0.5)*V2871,(365/S2871)*V2871))</f>
        <v/>
      </c>
      <c r="X2871" s="75" t="n"/>
      <c r="Y2871" s="77" t="n"/>
      <c r="Z2871" s="77" t="n"/>
      <c r="AA2871" s="75" t="n"/>
      <c r="AB2871" s="75" t="n"/>
      <c r="AC2871" s="6" t="n"/>
      <c r="AD2871" s="75" t="n"/>
      <c r="AE2871" s="75" t="n"/>
      <c r="AF2871" s="75" t="n"/>
    </row>
    <row r="2872" ht="15.75" customHeight="1" s="133">
      <c r="A2872" s="75" t="n"/>
      <c r="B2872" s="75" t="n"/>
      <c r="C2872" s="75" t="n"/>
      <c r="D2872" s="75" t="n"/>
      <c r="E2872" s="76" t="n"/>
      <c r="F2872" s="77" t="n"/>
      <c r="G2872" s="75" t="n"/>
      <c r="H2872" s="75">
        <f>IF(ISBLANK(E2872),"",IF(OR(D2872="Butterfly",D2872="Butterfly ",D2872="Iron Fly", D2872="Iron Fly "),LEN(E2872)-LEN(SUBSTITUTE(E2872,"/",""))+2,LEN(E2872)-LEN(SUBSTITUTE(E2872,"/",""))+1))</f>
        <v/>
      </c>
      <c r="I2872" s="78">
        <f>IF(ISBLANK(G2872),"",IF(D2872="Stock","0",Key!$A$3*H2872*G2872))</f>
        <v/>
      </c>
      <c r="J2872" s="78">
        <f>IF(ISBLANK(E2872),"",IF(ISNUMBER(SEARCH("/",E2872)), IF(LEN(E2872)-LEN(SUBSTITUTE(E2872,"/",""))=1,(RIGHT(E2872,LEN(E2872)-FIND("/",E2872)))-(LEFT(E2872,FIND("/",E2872)-1)),(MID(E2872, SEARCH("/",E2872) + 1, SEARCH("/",E2872, SEARCH("/",E2872)+1) - SEARCH("/",E2872) - 1))-(LEFT(E2872,FIND("/",E2872)-1))), "NA"))</f>
        <v/>
      </c>
      <c r="K2872" s="79">
        <f>IF(A2872&lt;&gt;"", IF(ISBLANK(L2872), TODAY(), K2872), "")</f>
        <v/>
      </c>
      <c r="L2872" s="78" t="n"/>
      <c r="M2872" s="78">
        <f>IF(ISBLANK(L2872),"",IF(D2872="Stock",IF(C2872="Buy",L2872*G2872,IF(C2872="Sell",(L2872*G2872)-I2872, X)),IF(C2872="Buy",(L2872*G2872*100)+I2872,IF(C2872="Sell",(L2872*G2872*100)-I2872, X))))</f>
        <v/>
      </c>
      <c r="N2872" s="78">
        <f>IF(ISBLANK(L2872),"",IF(AND(C2872="Sell",D2872="Stock"),M2872,IF(ISBLANK(L2872),"",IF(C2872="Buy",M2872, IF(AND(C2872="Sell",J2872="NA"),(E2872*G2872*100*0.1)+I2872, IF(C2872="Sell",(J2872-L2872)*(100*G2872)+I2872))))))</f>
        <v/>
      </c>
      <c r="O2872" s="75" t="n"/>
      <c r="P2872" s="75" t="n"/>
      <c r="Q2872" s="75">
        <f>IF(ISBLANK(P2872),"",IF(D2872="Stock",P2872*G2872,IF(P2872=0,"0",G2872*P2872*100-(G2872*$AF$14))))</f>
        <v/>
      </c>
      <c r="R2872" s="79">
        <f>IF(P2872&lt;&gt;"", TODAY(), "")</f>
        <v/>
      </c>
      <c r="S2872" s="78">
        <f>IF(AND(K2872&lt;&gt;"", R2872&lt;&gt;""), R2872-K2872, "")</f>
        <v/>
      </c>
      <c r="T2872" s="78" t="n"/>
      <c r="U2872" s="92">
        <f>IF(ISBLANK(P2872),"",IF(C2872="Buy",Q2872-M2872+T2872, IF(C2872="Sell",M2872-Q2872-T2872, X)))</f>
        <v/>
      </c>
      <c r="V2872" s="81">
        <f>IF(ISBLANK(P2872),"",U2872/N2872)</f>
        <v/>
      </c>
      <c r="W2872" s="81">
        <f>IF(ISBLANK(P2872),"",IF(S2872=0,(365/0.5)*V2872,(365/S2872)*V2872))</f>
        <v/>
      </c>
      <c r="X2872" s="75" t="n"/>
      <c r="Y2872" s="77" t="n"/>
      <c r="Z2872" s="77" t="n"/>
      <c r="AA2872" s="75" t="n"/>
      <c r="AB2872" s="75" t="n"/>
      <c r="AC2872" s="6" t="n"/>
      <c r="AD2872" s="75" t="n"/>
      <c r="AE2872" s="75" t="n"/>
      <c r="AF2872" s="75" t="n"/>
    </row>
    <row r="2873" ht="15.75" customHeight="1" s="133">
      <c r="A2873" s="75" t="n"/>
      <c r="B2873" s="75" t="n"/>
      <c r="C2873" s="75" t="n"/>
      <c r="D2873" s="75" t="n"/>
      <c r="E2873" s="76" t="n"/>
      <c r="F2873" s="77" t="n"/>
      <c r="G2873" s="75" t="n"/>
      <c r="H2873" s="75">
        <f>IF(ISBLANK(E2873),"",IF(OR(D2873="Butterfly",D2873="Butterfly ",D2873="Iron Fly", D2873="Iron Fly "),LEN(E2873)-LEN(SUBSTITUTE(E2873,"/",""))+2,LEN(E2873)-LEN(SUBSTITUTE(E2873,"/",""))+1))</f>
        <v/>
      </c>
      <c r="I2873" s="78">
        <f>IF(ISBLANK(G2873),"",IF(D2873="Stock","0",Key!$A$3*H2873*G2873))</f>
        <v/>
      </c>
      <c r="J2873" s="78">
        <f>IF(ISBLANK(E2873),"",IF(ISNUMBER(SEARCH("/",E2873)), IF(LEN(E2873)-LEN(SUBSTITUTE(E2873,"/",""))=1,(RIGHT(E2873,LEN(E2873)-FIND("/",E2873)))-(LEFT(E2873,FIND("/",E2873)-1)),(MID(E2873, SEARCH("/",E2873) + 1, SEARCH("/",E2873, SEARCH("/",E2873)+1) - SEARCH("/",E2873) - 1))-(LEFT(E2873,FIND("/",E2873)-1))), "NA"))</f>
        <v/>
      </c>
      <c r="K2873" s="79">
        <f>IF(A2873&lt;&gt;"", IF(ISBLANK(L2873), TODAY(), K2873), "")</f>
        <v/>
      </c>
      <c r="L2873" s="78" t="n"/>
      <c r="M2873" s="78">
        <f>IF(ISBLANK(L2873),"",IF(D2873="Stock",IF(C2873="Buy",L2873*G2873,IF(C2873="Sell",(L2873*G2873)-I2873, X)),IF(C2873="Buy",(L2873*G2873*100)+I2873,IF(C2873="Sell",(L2873*G2873*100)-I2873, X))))</f>
        <v/>
      </c>
      <c r="N2873" s="78">
        <f>IF(ISBLANK(L2873),"",IF(AND(C2873="Sell",D2873="Stock"),M2873,IF(ISBLANK(L2873),"",IF(C2873="Buy",M2873, IF(AND(C2873="Sell",J2873="NA"),(E2873*G2873*100*0.1)+I2873, IF(C2873="Sell",(J2873-L2873)*(100*G2873)+I2873))))))</f>
        <v/>
      </c>
      <c r="O2873" s="75" t="n"/>
      <c r="P2873" s="75" t="n"/>
      <c r="Q2873" s="75">
        <f>IF(ISBLANK(P2873),"",IF(D2873="Stock",P2873*G2873,IF(P2873=0,"0",G2873*P2873*100-(G2873*$AF$14))))</f>
        <v/>
      </c>
      <c r="R2873" s="79">
        <f>IF(P2873&lt;&gt;"", TODAY(), "")</f>
        <v/>
      </c>
      <c r="S2873" s="78">
        <f>IF(AND(K2873&lt;&gt;"", R2873&lt;&gt;""), R2873-K2873, "")</f>
        <v/>
      </c>
      <c r="T2873" s="78" t="n"/>
      <c r="U2873" s="92">
        <f>IF(ISBLANK(P2873),"",IF(C2873="Buy",Q2873-M2873+T2873, IF(C2873="Sell",M2873-Q2873-T2873, X)))</f>
        <v/>
      </c>
      <c r="V2873" s="81">
        <f>IF(ISBLANK(P2873),"",U2873/N2873)</f>
        <v/>
      </c>
      <c r="W2873" s="81">
        <f>IF(ISBLANK(P2873),"",IF(S2873=0,(365/0.5)*V2873,(365/S2873)*V2873))</f>
        <v/>
      </c>
      <c r="X2873" s="75" t="n"/>
      <c r="Y2873" s="77" t="n"/>
      <c r="Z2873" s="77" t="n"/>
      <c r="AA2873" s="75" t="n"/>
      <c r="AB2873" s="75" t="n"/>
      <c r="AC2873" s="6" t="n"/>
      <c r="AD2873" s="75" t="n"/>
      <c r="AE2873" s="75" t="n"/>
      <c r="AF2873" s="75" t="n"/>
    </row>
    <row r="2874" ht="15.75" customHeight="1" s="133">
      <c r="A2874" s="75" t="n"/>
      <c r="B2874" s="75" t="n"/>
      <c r="C2874" s="75" t="n"/>
      <c r="D2874" s="75" t="n"/>
      <c r="E2874" s="76" t="n"/>
      <c r="F2874" s="77" t="n"/>
      <c r="G2874" s="75" t="n"/>
      <c r="H2874" s="75">
        <f>IF(ISBLANK(E2874),"",IF(OR(D2874="Butterfly",D2874="Butterfly ",D2874="Iron Fly", D2874="Iron Fly "),LEN(E2874)-LEN(SUBSTITUTE(E2874,"/",""))+2,LEN(E2874)-LEN(SUBSTITUTE(E2874,"/",""))+1))</f>
        <v/>
      </c>
      <c r="I2874" s="78">
        <f>IF(ISBLANK(G2874),"",IF(D2874="Stock","0",Key!$A$3*H2874*G2874))</f>
        <v/>
      </c>
      <c r="J2874" s="78">
        <f>IF(ISBLANK(E2874),"",IF(ISNUMBER(SEARCH("/",E2874)), IF(LEN(E2874)-LEN(SUBSTITUTE(E2874,"/",""))=1,(RIGHT(E2874,LEN(E2874)-FIND("/",E2874)))-(LEFT(E2874,FIND("/",E2874)-1)),(MID(E2874, SEARCH("/",E2874) + 1, SEARCH("/",E2874, SEARCH("/",E2874)+1) - SEARCH("/",E2874) - 1))-(LEFT(E2874,FIND("/",E2874)-1))), "NA"))</f>
        <v/>
      </c>
      <c r="K2874" s="79">
        <f>IF(A2874&lt;&gt;"", IF(ISBLANK(L2874), TODAY(), K2874), "")</f>
        <v/>
      </c>
      <c r="L2874" s="78" t="n"/>
      <c r="M2874" s="78">
        <f>IF(ISBLANK(L2874),"",IF(D2874="Stock",IF(C2874="Buy",L2874*G2874,IF(C2874="Sell",(L2874*G2874)-I2874, X)),IF(C2874="Buy",(L2874*G2874*100)+I2874,IF(C2874="Sell",(L2874*G2874*100)-I2874, X))))</f>
        <v/>
      </c>
      <c r="N2874" s="78">
        <f>IF(ISBLANK(L2874),"",IF(AND(C2874="Sell",D2874="Stock"),M2874,IF(ISBLANK(L2874),"",IF(C2874="Buy",M2874, IF(AND(C2874="Sell",J2874="NA"),(E2874*G2874*100*0.1)+I2874, IF(C2874="Sell",(J2874-L2874)*(100*G2874)+I2874))))))</f>
        <v/>
      </c>
      <c r="O2874" s="75" t="n"/>
      <c r="P2874" s="75" t="n"/>
      <c r="Q2874" s="75">
        <f>IF(ISBLANK(P2874),"",IF(D2874="Stock",P2874*G2874,IF(P2874=0,"0",G2874*P2874*100-(G2874*$AF$14))))</f>
        <v/>
      </c>
      <c r="R2874" s="79">
        <f>IF(P2874&lt;&gt;"", TODAY(), "")</f>
        <v/>
      </c>
      <c r="S2874" s="78">
        <f>IF(AND(K2874&lt;&gt;"", R2874&lt;&gt;""), R2874-K2874, "")</f>
        <v/>
      </c>
      <c r="T2874" s="78" t="n"/>
      <c r="U2874" s="92">
        <f>IF(ISBLANK(P2874),"",IF(C2874="Buy",Q2874-M2874+T2874, IF(C2874="Sell",M2874-Q2874-T2874, X)))</f>
        <v/>
      </c>
      <c r="V2874" s="81">
        <f>IF(ISBLANK(P2874),"",U2874/N2874)</f>
        <v/>
      </c>
      <c r="W2874" s="81">
        <f>IF(ISBLANK(P2874),"",IF(S2874=0,(365/0.5)*V2874,(365/S2874)*V2874))</f>
        <v/>
      </c>
      <c r="X2874" s="75" t="n"/>
      <c r="Y2874" s="77" t="n"/>
      <c r="Z2874" s="77" t="n"/>
      <c r="AA2874" s="75" t="n"/>
      <c r="AB2874" s="75" t="n"/>
      <c r="AC2874" s="6" t="n"/>
      <c r="AD2874" s="75" t="n"/>
      <c r="AE2874" s="75" t="n"/>
      <c r="AF2874" s="75" t="n"/>
    </row>
    <row r="2875" ht="15.75" customHeight="1" s="133">
      <c r="A2875" s="75" t="n"/>
      <c r="B2875" s="75" t="n"/>
      <c r="C2875" s="75" t="n"/>
      <c r="D2875" s="75" t="n"/>
      <c r="E2875" s="76" t="n"/>
      <c r="F2875" s="77" t="n"/>
      <c r="G2875" s="75" t="n"/>
      <c r="H2875" s="75">
        <f>IF(ISBLANK(E2875),"",IF(OR(D2875="Butterfly",D2875="Butterfly ",D2875="Iron Fly", D2875="Iron Fly "),LEN(E2875)-LEN(SUBSTITUTE(E2875,"/",""))+2,LEN(E2875)-LEN(SUBSTITUTE(E2875,"/",""))+1))</f>
        <v/>
      </c>
      <c r="I2875" s="78">
        <f>IF(ISBLANK(G2875),"",IF(D2875="Stock","0",Key!$A$3*H2875*G2875))</f>
        <v/>
      </c>
      <c r="J2875" s="78">
        <f>IF(ISBLANK(E2875),"",IF(ISNUMBER(SEARCH("/",E2875)), IF(LEN(E2875)-LEN(SUBSTITUTE(E2875,"/",""))=1,(RIGHT(E2875,LEN(E2875)-FIND("/",E2875)))-(LEFT(E2875,FIND("/",E2875)-1)),(MID(E2875, SEARCH("/",E2875) + 1, SEARCH("/",E2875, SEARCH("/",E2875)+1) - SEARCH("/",E2875) - 1))-(LEFT(E2875,FIND("/",E2875)-1))), "NA"))</f>
        <v/>
      </c>
      <c r="K2875" s="79">
        <f>IF(A2875&lt;&gt;"", IF(ISBLANK(L2875), TODAY(), K2875), "")</f>
        <v/>
      </c>
      <c r="L2875" s="78" t="n"/>
      <c r="M2875" s="78">
        <f>IF(ISBLANK(L2875),"",IF(D2875="Stock",IF(C2875="Buy",L2875*G2875,IF(C2875="Sell",(L2875*G2875)-I2875, X)),IF(C2875="Buy",(L2875*G2875*100)+I2875,IF(C2875="Sell",(L2875*G2875*100)-I2875, X))))</f>
        <v/>
      </c>
      <c r="N2875" s="78">
        <f>IF(ISBLANK(L2875),"",IF(AND(C2875="Sell",D2875="Stock"),M2875,IF(ISBLANK(L2875),"",IF(C2875="Buy",M2875, IF(AND(C2875="Sell",J2875="NA"),(E2875*G2875*100*0.1)+I2875, IF(C2875="Sell",(J2875-L2875)*(100*G2875)+I2875))))))</f>
        <v/>
      </c>
      <c r="O2875" s="75" t="n"/>
      <c r="P2875" s="75" t="n"/>
      <c r="Q2875" s="75">
        <f>IF(ISBLANK(P2875),"",IF(D2875="Stock",P2875*G2875,IF(P2875=0,"0",G2875*P2875*100-(G2875*$AF$14))))</f>
        <v/>
      </c>
      <c r="R2875" s="79">
        <f>IF(P2875&lt;&gt;"", TODAY(), "")</f>
        <v/>
      </c>
      <c r="S2875" s="78">
        <f>IF(AND(K2875&lt;&gt;"", R2875&lt;&gt;""), R2875-K2875, "")</f>
        <v/>
      </c>
      <c r="T2875" s="78" t="n"/>
      <c r="U2875" s="92">
        <f>IF(ISBLANK(P2875),"",IF(C2875="Buy",Q2875-M2875+T2875, IF(C2875="Sell",M2875-Q2875-T2875, X)))</f>
        <v/>
      </c>
      <c r="V2875" s="81">
        <f>IF(ISBLANK(P2875),"",U2875/N2875)</f>
        <v/>
      </c>
      <c r="W2875" s="81">
        <f>IF(ISBLANK(P2875),"",IF(S2875=0,(365/0.5)*V2875,(365/S2875)*V2875))</f>
        <v/>
      </c>
      <c r="X2875" s="75" t="n"/>
      <c r="Y2875" s="77" t="n"/>
      <c r="Z2875" s="77" t="n"/>
      <c r="AA2875" s="75" t="n"/>
      <c r="AB2875" s="75" t="n"/>
      <c r="AC2875" s="6" t="n"/>
      <c r="AD2875" s="75" t="n"/>
      <c r="AE2875" s="75" t="n"/>
      <c r="AF2875" s="75" t="n"/>
    </row>
    <row r="2876" ht="15.75" customHeight="1" s="133">
      <c r="A2876" s="75" t="n"/>
      <c r="B2876" s="75" t="n"/>
      <c r="C2876" s="75" t="n"/>
      <c r="D2876" s="75" t="n"/>
      <c r="E2876" s="76" t="n"/>
      <c r="F2876" s="77" t="n"/>
      <c r="G2876" s="75" t="n"/>
      <c r="H2876" s="75">
        <f>IF(ISBLANK(E2876),"",IF(OR(D2876="Butterfly",D2876="Butterfly ",D2876="Iron Fly", D2876="Iron Fly "),LEN(E2876)-LEN(SUBSTITUTE(E2876,"/",""))+2,LEN(E2876)-LEN(SUBSTITUTE(E2876,"/",""))+1))</f>
        <v/>
      </c>
      <c r="I2876" s="78">
        <f>IF(ISBLANK(G2876),"",IF(D2876="Stock","0",Key!$A$3*H2876*G2876))</f>
        <v/>
      </c>
      <c r="J2876" s="78">
        <f>IF(ISBLANK(E2876),"",IF(ISNUMBER(SEARCH("/",E2876)), IF(LEN(E2876)-LEN(SUBSTITUTE(E2876,"/",""))=1,(RIGHT(E2876,LEN(E2876)-FIND("/",E2876)))-(LEFT(E2876,FIND("/",E2876)-1)),(MID(E2876, SEARCH("/",E2876) + 1, SEARCH("/",E2876, SEARCH("/",E2876)+1) - SEARCH("/",E2876) - 1))-(LEFT(E2876,FIND("/",E2876)-1))), "NA"))</f>
        <v/>
      </c>
      <c r="K2876" s="79">
        <f>IF(A2876&lt;&gt;"", IF(ISBLANK(L2876), TODAY(), K2876), "")</f>
        <v/>
      </c>
      <c r="L2876" s="78" t="n"/>
      <c r="M2876" s="78">
        <f>IF(ISBLANK(L2876),"",IF(D2876="Stock",IF(C2876="Buy",L2876*G2876,IF(C2876="Sell",(L2876*G2876)-I2876, X)),IF(C2876="Buy",(L2876*G2876*100)+I2876,IF(C2876="Sell",(L2876*G2876*100)-I2876, X))))</f>
        <v/>
      </c>
      <c r="N2876" s="78">
        <f>IF(ISBLANK(L2876),"",IF(AND(C2876="Sell",D2876="Stock"),M2876,IF(ISBLANK(L2876),"",IF(C2876="Buy",M2876, IF(AND(C2876="Sell",J2876="NA"),(E2876*G2876*100*0.1)+I2876, IF(C2876="Sell",(J2876-L2876)*(100*G2876)+I2876))))))</f>
        <v/>
      </c>
      <c r="O2876" s="75" t="n"/>
      <c r="P2876" s="75" t="n"/>
      <c r="Q2876" s="75">
        <f>IF(ISBLANK(P2876),"",IF(D2876="Stock",P2876*G2876,IF(P2876=0,"0",G2876*P2876*100-(G2876*$AF$14))))</f>
        <v/>
      </c>
      <c r="R2876" s="79">
        <f>IF(P2876&lt;&gt;"", TODAY(), "")</f>
        <v/>
      </c>
      <c r="S2876" s="78">
        <f>IF(AND(K2876&lt;&gt;"", R2876&lt;&gt;""), R2876-K2876, "")</f>
        <v/>
      </c>
      <c r="T2876" s="78" t="n"/>
      <c r="U2876" s="92">
        <f>IF(ISBLANK(P2876),"",IF(C2876="Buy",Q2876-M2876+T2876, IF(C2876="Sell",M2876-Q2876-T2876, X)))</f>
        <v/>
      </c>
      <c r="V2876" s="81">
        <f>IF(ISBLANK(P2876),"",U2876/N2876)</f>
        <v/>
      </c>
      <c r="W2876" s="81">
        <f>IF(ISBLANK(P2876),"",IF(S2876=0,(365/0.5)*V2876,(365/S2876)*V2876))</f>
        <v/>
      </c>
      <c r="X2876" s="75" t="n"/>
      <c r="Y2876" s="77" t="n"/>
      <c r="Z2876" s="77" t="n"/>
      <c r="AA2876" s="75" t="n"/>
      <c r="AB2876" s="75" t="n"/>
      <c r="AC2876" s="6" t="n"/>
      <c r="AD2876" s="75" t="n"/>
      <c r="AE2876" s="75" t="n"/>
      <c r="AF2876" s="75" t="n"/>
    </row>
    <row r="2877" ht="15.75" customHeight="1" s="133">
      <c r="A2877" s="75" t="n"/>
      <c r="B2877" s="75" t="n"/>
      <c r="C2877" s="75" t="n"/>
      <c r="D2877" s="75" t="n"/>
      <c r="E2877" s="76" t="n"/>
      <c r="F2877" s="77" t="n"/>
      <c r="G2877" s="75" t="n"/>
      <c r="H2877" s="75">
        <f>IF(ISBLANK(E2877),"",IF(OR(D2877="Butterfly",D2877="Butterfly ",D2877="Iron Fly", D2877="Iron Fly "),LEN(E2877)-LEN(SUBSTITUTE(E2877,"/",""))+2,LEN(E2877)-LEN(SUBSTITUTE(E2877,"/",""))+1))</f>
        <v/>
      </c>
      <c r="I2877" s="78">
        <f>IF(ISBLANK(G2877),"",IF(D2877="Stock","0",Key!$A$3*H2877*G2877))</f>
        <v/>
      </c>
      <c r="J2877" s="78">
        <f>IF(ISBLANK(E2877),"",IF(ISNUMBER(SEARCH("/",E2877)), IF(LEN(E2877)-LEN(SUBSTITUTE(E2877,"/",""))=1,(RIGHT(E2877,LEN(E2877)-FIND("/",E2877)))-(LEFT(E2877,FIND("/",E2877)-1)),(MID(E2877, SEARCH("/",E2877) + 1, SEARCH("/",E2877, SEARCH("/",E2877)+1) - SEARCH("/",E2877) - 1))-(LEFT(E2877,FIND("/",E2877)-1))), "NA"))</f>
        <v/>
      </c>
      <c r="K2877" s="79">
        <f>IF(A2877&lt;&gt;"", IF(ISBLANK(L2877), TODAY(), K2877), "")</f>
        <v/>
      </c>
      <c r="L2877" s="78" t="n"/>
      <c r="M2877" s="78">
        <f>IF(ISBLANK(L2877),"",IF(D2877="Stock",IF(C2877="Buy",L2877*G2877,IF(C2877="Sell",(L2877*G2877)-I2877, X)),IF(C2877="Buy",(L2877*G2877*100)+I2877,IF(C2877="Sell",(L2877*G2877*100)-I2877, X))))</f>
        <v/>
      </c>
      <c r="N2877" s="78">
        <f>IF(ISBLANK(L2877),"",IF(AND(C2877="Sell",D2877="Stock"),M2877,IF(ISBLANK(L2877),"",IF(C2877="Buy",M2877, IF(AND(C2877="Sell",J2877="NA"),(E2877*G2877*100*0.1)+I2877, IF(C2877="Sell",(J2877-L2877)*(100*G2877)+I2877))))))</f>
        <v/>
      </c>
      <c r="O2877" s="75" t="n"/>
      <c r="P2877" s="75" t="n"/>
      <c r="Q2877" s="75">
        <f>IF(ISBLANK(P2877),"",IF(D2877="Stock",P2877*G2877,IF(P2877=0,"0",G2877*P2877*100-(G2877*$AF$14))))</f>
        <v/>
      </c>
      <c r="R2877" s="79">
        <f>IF(P2877&lt;&gt;"", TODAY(), "")</f>
        <v/>
      </c>
      <c r="S2877" s="78">
        <f>IF(AND(K2877&lt;&gt;"", R2877&lt;&gt;""), R2877-K2877, "")</f>
        <v/>
      </c>
      <c r="T2877" s="78" t="n"/>
      <c r="U2877" s="92">
        <f>IF(ISBLANK(P2877),"",IF(C2877="Buy",Q2877-M2877+T2877, IF(C2877="Sell",M2877-Q2877-T2877, X)))</f>
        <v/>
      </c>
      <c r="V2877" s="81">
        <f>IF(ISBLANK(P2877),"",U2877/N2877)</f>
        <v/>
      </c>
      <c r="W2877" s="81">
        <f>IF(ISBLANK(P2877),"",IF(S2877=0,(365/0.5)*V2877,(365/S2877)*V2877))</f>
        <v/>
      </c>
      <c r="X2877" s="75" t="n"/>
      <c r="Y2877" s="77" t="n"/>
      <c r="Z2877" s="77" t="n"/>
      <c r="AA2877" s="75" t="n"/>
      <c r="AB2877" s="75" t="n"/>
      <c r="AC2877" s="6" t="n"/>
      <c r="AD2877" s="75" t="n"/>
      <c r="AE2877" s="75" t="n"/>
      <c r="AF2877" s="75" t="n"/>
    </row>
    <row r="2878" ht="15.75" customHeight="1" s="133">
      <c r="A2878" s="75" t="n"/>
      <c r="B2878" s="75" t="n"/>
      <c r="C2878" s="75" t="n"/>
      <c r="D2878" s="75" t="n"/>
      <c r="E2878" s="76" t="n"/>
      <c r="F2878" s="77" t="n"/>
      <c r="G2878" s="75" t="n"/>
      <c r="H2878" s="75">
        <f>IF(ISBLANK(E2878),"",IF(OR(D2878="Butterfly",D2878="Butterfly ",D2878="Iron Fly", D2878="Iron Fly "),LEN(E2878)-LEN(SUBSTITUTE(E2878,"/",""))+2,LEN(E2878)-LEN(SUBSTITUTE(E2878,"/",""))+1))</f>
        <v/>
      </c>
      <c r="I2878" s="78">
        <f>IF(ISBLANK(G2878),"",IF(D2878="Stock","0",Key!$A$3*H2878*G2878))</f>
        <v/>
      </c>
      <c r="J2878" s="78">
        <f>IF(ISBLANK(E2878),"",IF(ISNUMBER(SEARCH("/",E2878)), IF(LEN(E2878)-LEN(SUBSTITUTE(E2878,"/",""))=1,(RIGHT(E2878,LEN(E2878)-FIND("/",E2878)))-(LEFT(E2878,FIND("/",E2878)-1)),(MID(E2878, SEARCH("/",E2878) + 1, SEARCH("/",E2878, SEARCH("/",E2878)+1) - SEARCH("/",E2878) - 1))-(LEFT(E2878,FIND("/",E2878)-1))), "NA"))</f>
        <v/>
      </c>
      <c r="K2878" s="79">
        <f>IF(A2878&lt;&gt;"", IF(ISBLANK(L2878), TODAY(), K2878), "")</f>
        <v/>
      </c>
      <c r="L2878" s="78" t="n"/>
      <c r="M2878" s="78">
        <f>IF(ISBLANK(L2878),"",IF(D2878="Stock",IF(C2878="Buy",L2878*G2878,IF(C2878="Sell",(L2878*G2878)-I2878, X)),IF(C2878="Buy",(L2878*G2878*100)+I2878,IF(C2878="Sell",(L2878*G2878*100)-I2878, X))))</f>
        <v/>
      </c>
      <c r="N2878" s="78">
        <f>IF(ISBLANK(L2878),"",IF(AND(C2878="Sell",D2878="Stock"),M2878,IF(ISBLANK(L2878),"",IF(C2878="Buy",M2878, IF(AND(C2878="Sell",J2878="NA"),(E2878*G2878*100*0.1)+I2878, IF(C2878="Sell",(J2878-L2878)*(100*G2878)+I2878))))))</f>
        <v/>
      </c>
      <c r="O2878" s="75" t="n"/>
      <c r="P2878" s="75" t="n"/>
      <c r="Q2878" s="75">
        <f>IF(ISBLANK(P2878),"",IF(D2878="Stock",P2878*G2878,IF(P2878=0,"0",G2878*P2878*100-(G2878*$AF$14))))</f>
        <v/>
      </c>
      <c r="R2878" s="79">
        <f>IF(P2878&lt;&gt;"", TODAY(), "")</f>
        <v/>
      </c>
      <c r="S2878" s="78">
        <f>IF(AND(K2878&lt;&gt;"", R2878&lt;&gt;""), R2878-K2878, "")</f>
        <v/>
      </c>
      <c r="T2878" s="78" t="n"/>
      <c r="U2878" s="92">
        <f>IF(ISBLANK(P2878),"",IF(C2878="Buy",Q2878-M2878+T2878, IF(C2878="Sell",M2878-Q2878-T2878, X)))</f>
        <v/>
      </c>
      <c r="V2878" s="81">
        <f>IF(ISBLANK(P2878),"",U2878/N2878)</f>
        <v/>
      </c>
      <c r="W2878" s="81">
        <f>IF(ISBLANK(P2878),"",IF(S2878=0,(365/0.5)*V2878,(365/S2878)*V2878))</f>
        <v/>
      </c>
      <c r="X2878" s="75" t="n"/>
      <c r="Y2878" s="77" t="n"/>
      <c r="Z2878" s="77" t="n"/>
      <c r="AA2878" s="75" t="n"/>
      <c r="AB2878" s="75" t="n"/>
      <c r="AC2878" s="6" t="n"/>
      <c r="AD2878" s="75" t="n"/>
      <c r="AE2878" s="75" t="n"/>
      <c r="AF2878" s="75" t="n"/>
    </row>
    <row r="2879" ht="15.75" customHeight="1" s="133">
      <c r="A2879" s="75" t="n"/>
      <c r="B2879" s="75" t="n"/>
      <c r="C2879" s="75" t="n"/>
      <c r="D2879" s="75" t="n"/>
      <c r="E2879" s="76" t="n"/>
      <c r="F2879" s="77" t="n"/>
      <c r="G2879" s="75" t="n"/>
      <c r="H2879" s="75">
        <f>IF(ISBLANK(E2879),"",IF(OR(D2879="Butterfly",D2879="Butterfly ",D2879="Iron Fly", D2879="Iron Fly "),LEN(E2879)-LEN(SUBSTITUTE(E2879,"/",""))+2,LEN(E2879)-LEN(SUBSTITUTE(E2879,"/",""))+1))</f>
        <v/>
      </c>
      <c r="I2879" s="78">
        <f>IF(ISBLANK(G2879),"",IF(D2879="Stock","0",Key!$A$3*H2879*G2879))</f>
        <v/>
      </c>
      <c r="J2879" s="78">
        <f>IF(ISBLANK(E2879),"",IF(ISNUMBER(SEARCH("/",E2879)), IF(LEN(E2879)-LEN(SUBSTITUTE(E2879,"/",""))=1,(RIGHT(E2879,LEN(E2879)-FIND("/",E2879)))-(LEFT(E2879,FIND("/",E2879)-1)),(MID(E2879, SEARCH("/",E2879) + 1, SEARCH("/",E2879, SEARCH("/",E2879)+1) - SEARCH("/",E2879) - 1))-(LEFT(E2879,FIND("/",E2879)-1))), "NA"))</f>
        <v/>
      </c>
      <c r="K2879" s="79">
        <f>IF(A2879&lt;&gt;"", IF(ISBLANK(L2879), TODAY(), K2879), "")</f>
        <v/>
      </c>
      <c r="L2879" s="78" t="n"/>
      <c r="M2879" s="78">
        <f>IF(ISBLANK(L2879),"",IF(D2879="Stock",IF(C2879="Buy",L2879*G2879,IF(C2879="Sell",(L2879*G2879)-I2879, X)),IF(C2879="Buy",(L2879*G2879*100)+I2879,IF(C2879="Sell",(L2879*G2879*100)-I2879, X))))</f>
        <v/>
      </c>
      <c r="N2879" s="78">
        <f>IF(ISBLANK(L2879),"",IF(AND(C2879="Sell",D2879="Stock"),M2879,IF(ISBLANK(L2879),"",IF(C2879="Buy",M2879, IF(AND(C2879="Sell",J2879="NA"),(E2879*G2879*100*0.1)+I2879, IF(C2879="Sell",(J2879-L2879)*(100*G2879)+I2879))))))</f>
        <v/>
      </c>
      <c r="O2879" s="75" t="n"/>
      <c r="P2879" s="75" t="n"/>
      <c r="Q2879" s="75">
        <f>IF(ISBLANK(P2879),"",IF(D2879="Stock",P2879*G2879,IF(P2879=0,"0",G2879*P2879*100-(G2879*$AF$14))))</f>
        <v/>
      </c>
      <c r="R2879" s="79">
        <f>IF(P2879&lt;&gt;"", TODAY(), "")</f>
        <v/>
      </c>
      <c r="S2879" s="78">
        <f>IF(AND(K2879&lt;&gt;"", R2879&lt;&gt;""), R2879-K2879, "")</f>
        <v/>
      </c>
      <c r="T2879" s="78" t="n"/>
      <c r="U2879" s="92">
        <f>IF(ISBLANK(P2879),"",IF(C2879="Buy",Q2879-M2879+T2879, IF(C2879="Sell",M2879-Q2879-T2879, X)))</f>
        <v/>
      </c>
      <c r="V2879" s="81">
        <f>IF(ISBLANK(P2879),"",U2879/N2879)</f>
        <v/>
      </c>
      <c r="W2879" s="81">
        <f>IF(ISBLANK(P2879),"",IF(S2879=0,(365/0.5)*V2879,(365/S2879)*V2879))</f>
        <v/>
      </c>
      <c r="X2879" s="75" t="n"/>
      <c r="Y2879" s="77" t="n"/>
      <c r="Z2879" s="77" t="n"/>
      <c r="AA2879" s="75" t="n"/>
      <c r="AB2879" s="75" t="n"/>
      <c r="AC2879" s="6" t="n"/>
      <c r="AD2879" s="75" t="n"/>
      <c r="AE2879" s="75" t="n"/>
      <c r="AF2879" s="75" t="n"/>
    </row>
    <row r="2880" ht="15.75" customHeight="1" s="133">
      <c r="A2880" s="75" t="n"/>
      <c r="B2880" s="75" t="n"/>
      <c r="C2880" s="75" t="n"/>
      <c r="D2880" s="75" t="n"/>
      <c r="E2880" s="76" t="n"/>
      <c r="F2880" s="77" t="n"/>
      <c r="G2880" s="75" t="n"/>
      <c r="H2880" s="75">
        <f>IF(ISBLANK(E2880),"",IF(OR(D2880="Butterfly",D2880="Butterfly ",D2880="Iron Fly", D2880="Iron Fly "),LEN(E2880)-LEN(SUBSTITUTE(E2880,"/",""))+2,LEN(E2880)-LEN(SUBSTITUTE(E2880,"/",""))+1))</f>
        <v/>
      </c>
      <c r="I2880" s="78">
        <f>IF(ISBLANK(G2880),"",IF(D2880="Stock","0",Key!$A$3*H2880*G2880))</f>
        <v/>
      </c>
      <c r="J2880" s="78">
        <f>IF(ISBLANK(E2880),"",IF(ISNUMBER(SEARCH("/",E2880)), IF(LEN(E2880)-LEN(SUBSTITUTE(E2880,"/",""))=1,(RIGHT(E2880,LEN(E2880)-FIND("/",E2880)))-(LEFT(E2880,FIND("/",E2880)-1)),(MID(E2880, SEARCH("/",E2880) + 1, SEARCH("/",E2880, SEARCH("/",E2880)+1) - SEARCH("/",E2880) - 1))-(LEFT(E2880,FIND("/",E2880)-1))), "NA"))</f>
        <v/>
      </c>
      <c r="K2880" s="79">
        <f>IF(A2880&lt;&gt;"", IF(ISBLANK(L2880), TODAY(), K2880), "")</f>
        <v/>
      </c>
      <c r="L2880" s="78" t="n"/>
      <c r="M2880" s="78">
        <f>IF(ISBLANK(L2880),"",IF(D2880="Stock",IF(C2880="Buy",L2880*G2880,IF(C2880="Sell",(L2880*G2880)-I2880, X)),IF(C2880="Buy",(L2880*G2880*100)+I2880,IF(C2880="Sell",(L2880*G2880*100)-I2880, X))))</f>
        <v/>
      </c>
      <c r="N2880" s="78">
        <f>IF(ISBLANK(L2880),"",IF(AND(C2880="Sell",D2880="Stock"),M2880,IF(ISBLANK(L2880),"",IF(C2880="Buy",M2880, IF(AND(C2880="Sell",J2880="NA"),(E2880*G2880*100*0.1)+I2880, IF(C2880="Sell",(J2880-L2880)*(100*G2880)+I2880))))))</f>
        <v/>
      </c>
      <c r="O2880" s="75" t="n"/>
      <c r="P2880" s="75" t="n"/>
      <c r="Q2880" s="75">
        <f>IF(ISBLANK(P2880),"",IF(D2880="Stock",P2880*G2880,IF(P2880=0,"0",G2880*P2880*100-(G2880*$AF$14))))</f>
        <v/>
      </c>
      <c r="R2880" s="79">
        <f>IF(P2880&lt;&gt;"", TODAY(), "")</f>
        <v/>
      </c>
      <c r="S2880" s="78">
        <f>IF(AND(K2880&lt;&gt;"", R2880&lt;&gt;""), R2880-K2880, "")</f>
        <v/>
      </c>
      <c r="T2880" s="78" t="n"/>
      <c r="U2880" s="92">
        <f>IF(ISBLANK(P2880),"",IF(C2880="Buy",Q2880-M2880+T2880, IF(C2880="Sell",M2880-Q2880-T2880, X)))</f>
        <v/>
      </c>
      <c r="V2880" s="81">
        <f>IF(ISBLANK(P2880),"",U2880/N2880)</f>
        <v/>
      </c>
      <c r="W2880" s="81">
        <f>IF(ISBLANK(P2880),"",IF(S2880=0,(365/0.5)*V2880,(365/S2880)*V2880))</f>
        <v/>
      </c>
      <c r="X2880" s="75" t="n"/>
      <c r="Y2880" s="77" t="n"/>
      <c r="Z2880" s="77" t="n"/>
      <c r="AA2880" s="75" t="n"/>
      <c r="AB2880" s="75" t="n"/>
      <c r="AC2880" s="6" t="n"/>
      <c r="AD2880" s="75" t="n"/>
      <c r="AE2880" s="75" t="n"/>
      <c r="AF2880" s="75" t="n"/>
    </row>
    <row r="2881" ht="15.75" customHeight="1" s="133">
      <c r="A2881" s="75" t="n"/>
      <c r="B2881" s="75" t="n"/>
      <c r="C2881" s="75" t="n"/>
      <c r="D2881" s="75" t="n"/>
      <c r="E2881" s="76" t="n"/>
      <c r="F2881" s="77" t="n"/>
      <c r="G2881" s="75" t="n"/>
      <c r="H2881" s="75">
        <f>IF(ISBLANK(E2881),"",IF(OR(D2881="Butterfly",D2881="Butterfly ",D2881="Iron Fly", D2881="Iron Fly "),LEN(E2881)-LEN(SUBSTITUTE(E2881,"/",""))+2,LEN(E2881)-LEN(SUBSTITUTE(E2881,"/",""))+1))</f>
        <v/>
      </c>
      <c r="I2881" s="78">
        <f>IF(ISBLANK(G2881),"",IF(D2881="Stock","0",Key!$A$3*H2881*G2881))</f>
        <v/>
      </c>
      <c r="J2881" s="78">
        <f>IF(ISBLANK(E2881),"",IF(ISNUMBER(SEARCH("/",E2881)), IF(LEN(E2881)-LEN(SUBSTITUTE(E2881,"/",""))=1,(RIGHT(E2881,LEN(E2881)-FIND("/",E2881)))-(LEFT(E2881,FIND("/",E2881)-1)),(MID(E2881, SEARCH("/",E2881) + 1, SEARCH("/",E2881, SEARCH("/",E2881)+1) - SEARCH("/",E2881) - 1))-(LEFT(E2881,FIND("/",E2881)-1))), "NA"))</f>
        <v/>
      </c>
      <c r="K2881" s="79">
        <f>IF(A2881&lt;&gt;"", IF(ISBLANK(L2881), TODAY(), K2881), "")</f>
        <v/>
      </c>
      <c r="L2881" s="78" t="n"/>
      <c r="M2881" s="78">
        <f>IF(ISBLANK(L2881),"",IF(D2881="Stock",IF(C2881="Buy",L2881*G2881,IF(C2881="Sell",(L2881*G2881)-I2881, X)),IF(C2881="Buy",(L2881*G2881*100)+I2881,IF(C2881="Sell",(L2881*G2881*100)-I2881, X))))</f>
        <v/>
      </c>
      <c r="N2881" s="78">
        <f>IF(ISBLANK(L2881),"",IF(AND(C2881="Sell",D2881="Stock"),M2881,IF(ISBLANK(L2881),"",IF(C2881="Buy",M2881, IF(AND(C2881="Sell",J2881="NA"),(E2881*G2881*100*0.1)+I2881, IF(C2881="Sell",(J2881-L2881)*(100*G2881)+I2881))))))</f>
        <v/>
      </c>
      <c r="O2881" s="75" t="n"/>
      <c r="P2881" s="75" t="n"/>
      <c r="Q2881" s="75">
        <f>IF(ISBLANK(P2881),"",IF(D2881="Stock",P2881*G2881,IF(P2881=0,"0",G2881*P2881*100-(G2881*$AF$14))))</f>
        <v/>
      </c>
      <c r="R2881" s="79">
        <f>IF(P2881&lt;&gt;"", TODAY(), "")</f>
        <v/>
      </c>
      <c r="S2881" s="78">
        <f>IF(AND(K2881&lt;&gt;"", R2881&lt;&gt;""), R2881-K2881, "")</f>
        <v/>
      </c>
      <c r="T2881" s="78" t="n"/>
      <c r="U2881" s="92">
        <f>IF(ISBLANK(P2881),"",IF(C2881="Buy",Q2881-M2881+T2881, IF(C2881="Sell",M2881-Q2881-T2881, X)))</f>
        <v/>
      </c>
      <c r="V2881" s="81">
        <f>IF(ISBLANK(P2881),"",U2881/N2881)</f>
        <v/>
      </c>
      <c r="W2881" s="81">
        <f>IF(ISBLANK(P2881),"",IF(S2881=0,(365/0.5)*V2881,(365/S2881)*V2881))</f>
        <v/>
      </c>
      <c r="X2881" s="75" t="n"/>
      <c r="Y2881" s="77" t="n"/>
      <c r="Z2881" s="77" t="n"/>
      <c r="AA2881" s="75" t="n"/>
      <c r="AB2881" s="75" t="n"/>
      <c r="AC2881" s="6" t="n"/>
      <c r="AD2881" s="75" t="n"/>
      <c r="AE2881" s="75" t="n"/>
      <c r="AF2881" s="75" t="n"/>
    </row>
    <row r="2882" ht="15.75" customHeight="1" s="133">
      <c r="A2882" s="75" t="n"/>
      <c r="B2882" s="75" t="n"/>
      <c r="C2882" s="75" t="n"/>
      <c r="D2882" s="75" t="n"/>
      <c r="E2882" s="76" t="n"/>
      <c r="F2882" s="77" t="n"/>
      <c r="G2882" s="75" t="n"/>
      <c r="H2882" s="75">
        <f>IF(ISBLANK(E2882),"",IF(OR(D2882="Butterfly",D2882="Butterfly ",D2882="Iron Fly", D2882="Iron Fly "),LEN(E2882)-LEN(SUBSTITUTE(E2882,"/",""))+2,LEN(E2882)-LEN(SUBSTITUTE(E2882,"/",""))+1))</f>
        <v/>
      </c>
      <c r="I2882" s="78">
        <f>IF(ISBLANK(G2882),"",IF(D2882="Stock","0",Key!$A$3*H2882*G2882))</f>
        <v/>
      </c>
      <c r="J2882" s="78">
        <f>IF(ISBLANK(E2882),"",IF(ISNUMBER(SEARCH("/",E2882)), IF(LEN(E2882)-LEN(SUBSTITUTE(E2882,"/",""))=1,(RIGHT(E2882,LEN(E2882)-FIND("/",E2882)))-(LEFT(E2882,FIND("/",E2882)-1)),(MID(E2882, SEARCH("/",E2882) + 1, SEARCH("/",E2882, SEARCH("/",E2882)+1) - SEARCH("/",E2882) - 1))-(LEFT(E2882,FIND("/",E2882)-1))), "NA"))</f>
        <v/>
      </c>
      <c r="K2882" s="79">
        <f>IF(A2882&lt;&gt;"", IF(ISBLANK(L2882), TODAY(), K2882), "")</f>
        <v/>
      </c>
      <c r="L2882" s="78" t="n"/>
      <c r="M2882" s="78">
        <f>IF(ISBLANK(L2882),"",IF(D2882="Stock",IF(C2882="Buy",L2882*G2882,IF(C2882="Sell",(L2882*G2882)-I2882, X)),IF(C2882="Buy",(L2882*G2882*100)+I2882,IF(C2882="Sell",(L2882*G2882*100)-I2882, X))))</f>
        <v/>
      </c>
      <c r="N2882" s="78">
        <f>IF(ISBLANK(L2882),"",IF(AND(C2882="Sell",D2882="Stock"),M2882,IF(ISBLANK(L2882),"",IF(C2882="Buy",M2882, IF(AND(C2882="Sell",J2882="NA"),(E2882*G2882*100*0.1)+I2882, IF(C2882="Sell",(J2882-L2882)*(100*G2882)+I2882))))))</f>
        <v/>
      </c>
      <c r="O2882" s="75" t="n"/>
      <c r="P2882" s="75" t="n"/>
      <c r="Q2882" s="75">
        <f>IF(ISBLANK(P2882),"",IF(D2882="Stock",P2882*G2882,IF(P2882=0,"0",G2882*P2882*100-(G2882*$AF$14))))</f>
        <v/>
      </c>
      <c r="R2882" s="79">
        <f>IF(P2882&lt;&gt;"", TODAY(), "")</f>
        <v/>
      </c>
      <c r="S2882" s="78">
        <f>IF(AND(K2882&lt;&gt;"", R2882&lt;&gt;""), R2882-K2882, "")</f>
        <v/>
      </c>
      <c r="T2882" s="78" t="n"/>
      <c r="U2882" s="92">
        <f>IF(ISBLANK(P2882),"",IF(C2882="Buy",Q2882-M2882+T2882, IF(C2882="Sell",M2882-Q2882-T2882, X)))</f>
        <v/>
      </c>
      <c r="V2882" s="81">
        <f>IF(ISBLANK(P2882),"",U2882/N2882)</f>
        <v/>
      </c>
      <c r="W2882" s="81">
        <f>IF(ISBLANK(P2882),"",IF(S2882=0,(365/0.5)*V2882,(365/S2882)*V2882))</f>
        <v/>
      </c>
      <c r="X2882" s="75" t="n"/>
      <c r="Y2882" s="77" t="n"/>
      <c r="Z2882" s="77" t="n"/>
      <c r="AA2882" s="75" t="n"/>
      <c r="AB2882" s="75" t="n"/>
      <c r="AC2882" s="6" t="n"/>
      <c r="AD2882" s="75" t="n"/>
      <c r="AE2882" s="75" t="n"/>
      <c r="AF2882" s="75" t="n"/>
    </row>
    <row r="2883" ht="15.75" customHeight="1" s="133">
      <c r="A2883" s="75" t="n"/>
      <c r="B2883" s="75" t="n"/>
      <c r="C2883" s="75" t="n"/>
      <c r="D2883" s="75" t="n"/>
      <c r="E2883" s="76" t="n"/>
      <c r="F2883" s="77" t="n"/>
      <c r="G2883" s="75" t="n"/>
      <c r="H2883" s="75">
        <f>IF(ISBLANK(E2883),"",IF(OR(D2883="Butterfly",D2883="Butterfly ",D2883="Iron Fly", D2883="Iron Fly "),LEN(E2883)-LEN(SUBSTITUTE(E2883,"/",""))+2,LEN(E2883)-LEN(SUBSTITUTE(E2883,"/",""))+1))</f>
        <v/>
      </c>
      <c r="I2883" s="78">
        <f>IF(ISBLANK(G2883),"",IF(D2883="Stock","0",Key!$A$3*H2883*G2883))</f>
        <v/>
      </c>
      <c r="J2883" s="78">
        <f>IF(ISBLANK(E2883),"",IF(ISNUMBER(SEARCH("/",E2883)), IF(LEN(E2883)-LEN(SUBSTITUTE(E2883,"/",""))=1,(RIGHT(E2883,LEN(E2883)-FIND("/",E2883)))-(LEFT(E2883,FIND("/",E2883)-1)),(MID(E2883, SEARCH("/",E2883) + 1, SEARCH("/",E2883, SEARCH("/",E2883)+1) - SEARCH("/",E2883) - 1))-(LEFT(E2883,FIND("/",E2883)-1))), "NA"))</f>
        <v/>
      </c>
      <c r="K2883" s="79">
        <f>IF(A2883&lt;&gt;"", IF(ISBLANK(L2883), TODAY(), K2883), "")</f>
        <v/>
      </c>
      <c r="L2883" s="78" t="n"/>
      <c r="M2883" s="78">
        <f>IF(ISBLANK(L2883),"",IF(D2883="Stock",IF(C2883="Buy",L2883*G2883,IF(C2883="Sell",(L2883*G2883)-I2883, X)),IF(C2883="Buy",(L2883*G2883*100)+I2883,IF(C2883="Sell",(L2883*G2883*100)-I2883, X))))</f>
        <v/>
      </c>
      <c r="N2883" s="78">
        <f>IF(ISBLANK(L2883),"",IF(AND(C2883="Sell",D2883="Stock"),M2883,IF(ISBLANK(L2883),"",IF(C2883="Buy",M2883, IF(AND(C2883="Sell",J2883="NA"),(E2883*G2883*100*0.1)+I2883, IF(C2883="Sell",(J2883-L2883)*(100*G2883)+I2883))))))</f>
        <v/>
      </c>
      <c r="O2883" s="75" t="n"/>
      <c r="P2883" s="75" t="n"/>
      <c r="Q2883" s="75">
        <f>IF(ISBLANK(P2883),"",IF(D2883="Stock",P2883*G2883,IF(P2883=0,"0",G2883*P2883*100-(G2883*$AF$14))))</f>
        <v/>
      </c>
      <c r="R2883" s="79">
        <f>IF(P2883&lt;&gt;"", TODAY(), "")</f>
        <v/>
      </c>
      <c r="S2883" s="78">
        <f>IF(AND(K2883&lt;&gt;"", R2883&lt;&gt;""), R2883-K2883, "")</f>
        <v/>
      </c>
      <c r="T2883" s="78" t="n"/>
      <c r="U2883" s="92">
        <f>IF(ISBLANK(P2883),"",IF(C2883="Buy",Q2883-M2883+T2883, IF(C2883="Sell",M2883-Q2883-T2883, X)))</f>
        <v/>
      </c>
      <c r="V2883" s="81">
        <f>IF(ISBLANK(P2883),"",U2883/N2883)</f>
        <v/>
      </c>
      <c r="W2883" s="81">
        <f>IF(ISBLANK(P2883),"",IF(S2883=0,(365/0.5)*V2883,(365/S2883)*V2883))</f>
        <v/>
      </c>
      <c r="X2883" s="75" t="n"/>
      <c r="Y2883" s="77" t="n"/>
      <c r="Z2883" s="77" t="n"/>
      <c r="AA2883" s="75" t="n"/>
      <c r="AB2883" s="75" t="n"/>
      <c r="AC2883" s="6" t="n"/>
      <c r="AD2883" s="75" t="n"/>
      <c r="AE2883" s="75" t="n"/>
      <c r="AF2883" s="75" t="n"/>
    </row>
    <row r="2884" ht="15.75" customHeight="1" s="133">
      <c r="A2884" s="75" t="n"/>
      <c r="B2884" s="75" t="n"/>
      <c r="C2884" s="75" t="n"/>
      <c r="D2884" s="75" t="n"/>
      <c r="E2884" s="76" t="n"/>
      <c r="F2884" s="77" t="n"/>
      <c r="G2884" s="75" t="n"/>
      <c r="H2884" s="75">
        <f>IF(ISBLANK(E2884),"",IF(OR(D2884="Butterfly",D2884="Butterfly ",D2884="Iron Fly", D2884="Iron Fly "),LEN(E2884)-LEN(SUBSTITUTE(E2884,"/",""))+2,LEN(E2884)-LEN(SUBSTITUTE(E2884,"/",""))+1))</f>
        <v/>
      </c>
      <c r="I2884" s="78">
        <f>IF(ISBLANK(G2884),"",IF(D2884="Stock","0",Key!$A$3*H2884*G2884))</f>
        <v/>
      </c>
      <c r="J2884" s="78">
        <f>IF(ISBLANK(E2884),"",IF(ISNUMBER(SEARCH("/",E2884)), IF(LEN(E2884)-LEN(SUBSTITUTE(E2884,"/",""))=1,(RIGHT(E2884,LEN(E2884)-FIND("/",E2884)))-(LEFT(E2884,FIND("/",E2884)-1)),(MID(E2884, SEARCH("/",E2884) + 1, SEARCH("/",E2884, SEARCH("/",E2884)+1) - SEARCH("/",E2884) - 1))-(LEFT(E2884,FIND("/",E2884)-1))), "NA"))</f>
        <v/>
      </c>
      <c r="K2884" s="79">
        <f>IF(A2884&lt;&gt;"", IF(ISBLANK(L2884), TODAY(), K2884), "")</f>
        <v/>
      </c>
      <c r="L2884" s="78" t="n"/>
      <c r="M2884" s="78">
        <f>IF(ISBLANK(L2884),"",IF(D2884="Stock",IF(C2884="Buy",L2884*G2884,IF(C2884="Sell",(L2884*G2884)-I2884, X)),IF(C2884="Buy",(L2884*G2884*100)+I2884,IF(C2884="Sell",(L2884*G2884*100)-I2884, X))))</f>
        <v/>
      </c>
      <c r="N2884" s="78">
        <f>IF(ISBLANK(L2884),"",IF(AND(C2884="Sell",D2884="Stock"),M2884,IF(ISBLANK(L2884),"",IF(C2884="Buy",M2884, IF(AND(C2884="Sell",J2884="NA"),(E2884*G2884*100*0.1)+I2884, IF(C2884="Sell",(J2884-L2884)*(100*G2884)+I2884))))))</f>
        <v/>
      </c>
      <c r="O2884" s="75" t="n"/>
      <c r="P2884" s="75" t="n"/>
      <c r="Q2884" s="75">
        <f>IF(ISBLANK(P2884),"",IF(D2884="Stock",P2884*G2884,IF(P2884=0,"0",G2884*P2884*100-(G2884*$AF$14))))</f>
        <v/>
      </c>
      <c r="R2884" s="79">
        <f>IF(P2884&lt;&gt;"", TODAY(), "")</f>
        <v/>
      </c>
      <c r="S2884" s="78">
        <f>IF(AND(K2884&lt;&gt;"", R2884&lt;&gt;""), R2884-K2884, "")</f>
        <v/>
      </c>
      <c r="T2884" s="78" t="n"/>
      <c r="U2884" s="92">
        <f>IF(ISBLANK(P2884),"",IF(C2884="Buy",Q2884-M2884+T2884, IF(C2884="Sell",M2884-Q2884-T2884, X)))</f>
        <v/>
      </c>
      <c r="V2884" s="81">
        <f>IF(ISBLANK(P2884),"",U2884/N2884)</f>
        <v/>
      </c>
      <c r="W2884" s="81">
        <f>IF(ISBLANK(P2884),"",IF(S2884=0,(365/0.5)*V2884,(365/S2884)*V2884))</f>
        <v/>
      </c>
      <c r="X2884" s="75" t="n"/>
      <c r="Y2884" s="77" t="n"/>
      <c r="Z2884" s="77" t="n"/>
      <c r="AA2884" s="75" t="n"/>
      <c r="AB2884" s="75" t="n"/>
      <c r="AC2884" s="6" t="n"/>
      <c r="AD2884" s="75" t="n"/>
      <c r="AE2884" s="75" t="n"/>
      <c r="AF2884" s="75" t="n"/>
    </row>
    <row r="2885" ht="15.75" customHeight="1" s="133">
      <c r="A2885" s="75" t="n"/>
      <c r="B2885" s="75" t="n"/>
      <c r="C2885" s="75" t="n"/>
      <c r="D2885" s="75" t="n"/>
      <c r="E2885" s="76" t="n"/>
      <c r="F2885" s="77" t="n"/>
      <c r="G2885" s="75" t="n"/>
      <c r="H2885" s="75">
        <f>IF(ISBLANK(E2885),"",IF(OR(D2885="Butterfly",D2885="Butterfly ",D2885="Iron Fly", D2885="Iron Fly "),LEN(E2885)-LEN(SUBSTITUTE(E2885,"/",""))+2,LEN(E2885)-LEN(SUBSTITUTE(E2885,"/",""))+1))</f>
        <v/>
      </c>
      <c r="I2885" s="78">
        <f>IF(ISBLANK(G2885),"",IF(D2885="Stock","0",Key!$A$3*H2885*G2885))</f>
        <v/>
      </c>
      <c r="J2885" s="78">
        <f>IF(ISBLANK(E2885),"",IF(ISNUMBER(SEARCH("/",E2885)), IF(LEN(E2885)-LEN(SUBSTITUTE(E2885,"/",""))=1,(RIGHT(E2885,LEN(E2885)-FIND("/",E2885)))-(LEFT(E2885,FIND("/",E2885)-1)),(MID(E2885, SEARCH("/",E2885) + 1, SEARCH("/",E2885, SEARCH("/",E2885)+1) - SEARCH("/",E2885) - 1))-(LEFT(E2885,FIND("/",E2885)-1))), "NA"))</f>
        <v/>
      </c>
      <c r="K2885" s="79">
        <f>IF(A2885&lt;&gt;"", IF(ISBLANK(L2885), TODAY(), K2885), "")</f>
        <v/>
      </c>
      <c r="L2885" s="78" t="n"/>
      <c r="M2885" s="78">
        <f>IF(ISBLANK(L2885),"",IF(D2885="Stock",IF(C2885="Buy",L2885*G2885,IF(C2885="Sell",(L2885*G2885)-I2885, X)),IF(C2885="Buy",(L2885*G2885*100)+I2885,IF(C2885="Sell",(L2885*G2885*100)-I2885, X))))</f>
        <v/>
      </c>
      <c r="N2885" s="78">
        <f>IF(ISBLANK(L2885),"",IF(AND(C2885="Sell",D2885="Stock"),M2885,IF(ISBLANK(L2885),"",IF(C2885="Buy",M2885, IF(AND(C2885="Sell",J2885="NA"),(E2885*G2885*100*0.1)+I2885, IF(C2885="Sell",(J2885-L2885)*(100*G2885)+I2885))))))</f>
        <v/>
      </c>
      <c r="O2885" s="75" t="n"/>
      <c r="P2885" s="75" t="n"/>
      <c r="Q2885" s="75">
        <f>IF(ISBLANK(P2885),"",IF(D2885="Stock",P2885*G2885,IF(P2885=0,"0",G2885*P2885*100-(G2885*$AF$14))))</f>
        <v/>
      </c>
      <c r="R2885" s="79">
        <f>IF(P2885&lt;&gt;"", TODAY(), "")</f>
        <v/>
      </c>
      <c r="S2885" s="78">
        <f>IF(AND(K2885&lt;&gt;"", R2885&lt;&gt;""), R2885-K2885, "")</f>
        <v/>
      </c>
      <c r="T2885" s="78" t="n"/>
      <c r="U2885" s="92">
        <f>IF(ISBLANK(P2885),"",IF(C2885="Buy",Q2885-M2885+T2885, IF(C2885="Sell",M2885-Q2885-T2885, X)))</f>
        <v/>
      </c>
      <c r="V2885" s="81">
        <f>IF(ISBLANK(P2885),"",U2885/N2885)</f>
        <v/>
      </c>
      <c r="W2885" s="81">
        <f>IF(ISBLANK(P2885),"",IF(S2885=0,(365/0.5)*V2885,(365/S2885)*V2885))</f>
        <v/>
      </c>
      <c r="X2885" s="75" t="n"/>
      <c r="Y2885" s="77" t="n"/>
      <c r="Z2885" s="77" t="n"/>
      <c r="AA2885" s="75" t="n"/>
      <c r="AB2885" s="75" t="n"/>
      <c r="AC2885" s="6" t="n"/>
      <c r="AD2885" s="75" t="n"/>
      <c r="AE2885" s="75" t="n"/>
      <c r="AF2885" s="75" t="n"/>
    </row>
    <row r="2886" ht="15.75" customHeight="1" s="133">
      <c r="A2886" s="75" t="n"/>
      <c r="B2886" s="75" t="n"/>
      <c r="C2886" s="75" t="n"/>
      <c r="D2886" s="75" t="n"/>
      <c r="E2886" s="76" t="n"/>
      <c r="F2886" s="77" t="n"/>
      <c r="G2886" s="75" t="n"/>
      <c r="H2886" s="75">
        <f>IF(ISBLANK(E2886),"",IF(OR(D2886="Butterfly",D2886="Butterfly ",D2886="Iron Fly", D2886="Iron Fly "),LEN(E2886)-LEN(SUBSTITUTE(E2886,"/",""))+2,LEN(E2886)-LEN(SUBSTITUTE(E2886,"/",""))+1))</f>
        <v/>
      </c>
      <c r="I2886" s="78">
        <f>IF(ISBLANK(G2886),"",IF(D2886="Stock","0",Key!$A$3*H2886*G2886))</f>
        <v/>
      </c>
      <c r="J2886" s="78">
        <f>IF(ISBLANK(E2886),"",IF(ISNUMBER(SEARCH("/",E2886)), IF(LEN(E2886)-LEN(SUBSTITUTE(E2886,"/",""))=1,(RIGHT(E2886,LEN(E2886)-FIND("/",E2886)))-(LEFT(E2886,FIND("/",E2886)-1)),(MID(E2886, SEARCH("/",E2886) + 1, SEARCH("/",E2886, SEARCH("/",E2886)+1) - SEARCH("/",E2886) - 1))-(LEFT(E2886,FIND("/",E2886)-1))), "NA"))</f>
        <v/>
      </c>
      <c r="K2886" s="79">
        <f>IF(A2886&lt;&gt;"", IF(ISBLANK(L2886), TODAY(), K2886), "")</f>
        <v/>
      </c>
      <c r="L2886" s="78" t="n"/>
      <c r="M2886" s="78">
        <f>IF(ISBLANK(L2886),"",IF(D2886="Stock",IF(C2886="Buy",L2886*G2886,IF(C2886="Sell",(L2886*G2886)-I2886, X)),IF(C2886="Buy",(L2886*G2886*100)+I2886,IF(C2886="Sell",(L2886*G2886*100)-I2886, X))))</f>
        <v/>
      </c>
      <c r="N2886" s="78">
        <f>IF(ISBLANK(L2886),"",IF(AND(C2886="Sell",D2886="Stock"),M2886,IF(ISBLANK(L2886),"",IF(C2886="Buy",M2886, IF(AND(C2886="Sell",J2886="NA"),(E2886*G2886*100*0.1)+I2886, IF(C2886="Sell",(J2886-L2886)*(100*G2886)+I2886))))))</f>
        <v/>
      </c>
      <c r="O2886" s="75" t="n"/>
      <c r="P2886" s="75" t="n"/>
      <c r="Q2886" s="75">
        <f>IF(ISBLANK(P2886),"",IF(D2886="Stock",P2886*G2886,IF(P2886=0,"0",G2886*P2886*100-(G2886*$AF$14))))</f>
        <v/>
      </c>
      <c r="R2886" s="79">
        <f>IF(P2886&lt;&gt;"", TODAY(), "")</f>
        <v/>
      </c>
      <c r="S2886" s="78">
        <f>IF(AND(K2886&lt;&gt;"", R2886&lt;&gt;""), R2886-K2886, "")</f>
        <v/>
      </c>
      <c r="T2886" s="78" t="n"/>
      <c r="U2886" s="92">
        <f>IF(ISBLANK(P2886),"",IF(C2886="Buy",Q2886-M2886+T2886, IF(C2886="Sell",M2886-Q2886-T2886, X)))</f>
        <v/>
      </c>
      <c r="V2886" s="81">
        <f>IF(ISBLANK(P2886),"",U2886/N2886)</f>
        <v/>
      </c>
      <c r="W2886" s="81">
        <f>IF(ISBLANK(P2886),"",IF(S2886=0,(365/0.5)*V2886,(365/S2886)*V2886))</f>
        <v/>
      </c>
      <c r="X2886" s="75" t="n"/>
      <c r="Y2886" s="77" t="n"/>
      <c r="Z2886" s="77" t="n"/>
      <c r="AA2886" s="75" t="n"/>
      <c r="AB2886" s="75" t="n"/>
      <c r="AC2886" s="6" t="n"/>
      <c r="AD2886" s="75" t="n"/>
      <c r="AE2886" s="75" t="n"/>
      <c r="AF2886" s="75" t="n"/>
    </row>
    <row r="2887" ht="15.75" customHeight="1" s="133">
      <c r="A2887" s="75" t="n"/>
      <c r="B2887" s="75" t="n"/>
      <c r="C2887" s="75" t="n"/>
      <c r="D2887" s="75" t="n"/>
      <c r="E2887" s="76" t="n"/>
      <c r="F2887" s="77" t="n"/>
      <c r="G2887" s="75" t="n"/>
      <c r="H2887" s="75">
        <f>IF(ISBLANK(E2887),"",IF(OR(D2887="Butterfly",D2887="Butterfly ",D2887="Iron Fly", D2887="Iron Fly "),LEN(E2887)-LEN(SUBSTITUTE(E2887,"/",""))+2,LEN(E2887)-LEN(SUBSTITUTE(E2887,"/",""))+1))</f>
        <v/>
      </c>
      <c r="I2887" s="78">
        <f>IF(ISBLANK(G2887),"",IF(D2887="Stock","0",Key!$A$3*H2887*G2887))</f>
        <v/>
      </c>
      <c r="J2887" s="78">
        <f>IF(ISBLANK(E2887),"",IF(ISNUMBER(SEARCH("/",E2887)), IF(LEN(E2887)-LEN(SUBSTITUTE(E2887,"/",""))=1,(RIGHT(E2887,LEN(E2887)-FIND("/",E2887)))-(LEFT(E2887,FIND("/",E2887)-1)),(MID(E2887, SEARCH("/",E2887) + 1, SEARCH("/",E2887, SEARCH("/",E2887)+1) - SEARCH("/",E2887) - 1))-(LEFT(E2887,FIND("/",E2887)-1))), "NA"))</f>
        <v/>
      </c>
      <c r="K2887" s="79">
        <f>IF(A2887&lt;&gt;"", IF(ISBLANK(L2887), TODAY(), K2887), "")</f>
        <v/>
      </c>
      <c r="L2887" s="78" t="n"/>
      <c r="M2887" s="78">
        <f>IF(ISBLANK(L2887),"",IF(D2887="Stock",IF(C2887="Buy",L2887*G2887,IF(C2887="Sell",(L2887*G2887)-I2887, X)),IF(C2887="Buy",(L2887*G2887*100)+I2887,IF(C2887="Sell",(L2887*G2887*100)-I2887, X))))</f>
        <v/>
      </c>
      <c r="N2887" s="78">
        <f>IF(ISBLANK(L2887),"",IF(AND(C2887="Sell",D2887="Stock"),M2887,IF(ISBLANK(L2887),"",IF(C2887="Buy",M2887, IF(AND(C2887="Sell",J2887="NA"),(E2887*G2887*100*0.1)+I2887, IF(C2887="Sell",(J2887-L2887)*(100*G2887)+I2887))))))</f>
        <v/>
      </c>
      <c r="O2887" s="75" t="n"/>
      <c r="P2887" s="75" t="n"/>
      <c r="Q2887" s="75">
        <f>IF(ISBLANK(P2887),"",IF(D2887="Stock",P2887*G2887,IF(P2887=0,"0",G2887*P2887*100-(G2887*$AF$14))))</f>
        <v/>
      </c>
      <c r="R2887" s="79">
        <f>IF(P2887&lt;&gt;"", TODAY(), "")</f>
        <v/>
      </c>
      <c r="S2887" s="78">
        <f>IF(AND(K2887&lt;&gt;"", R2887&lt;&gt;""), R2887-K2887, "")</f>
        <v/>
      </c>
      <c r="T2887" s="78" t="n"/>
      <c r="U2887" s="92">
        <f>IF(ISBLANK(P2887),"",IF(C2887="Buy",Q2887-M2887+T2887, IF(C2887="Sell",M2887-Q2887-T2887, X)))</f>
        <v/>
      </c>
      <c r="V2887" s="81">
        <f>IF(ISBLANK(P2887),"",U2887/N2887)</f>
        <v/>
      </c>
      <c r="W2887" s="81">
        <f>IF(ISBLANK(P2887),"",IF(S2887=0,(365/0.5)*V2887,(365/S2887)*V2887))</f>
        <v/>
      </c>
      <c r="X2887" s="75" t="n"/>
      <c r="Y2887" s="77" t="n"/>
      <c r="Z2887" s="77" t="n"/>
      <c r="AA2887" s="75" t="n"/>
      <c r="AB2887" s="75" t="n"/>
      <c r="AC2887" s="6" t="n"/>
      <c r="AD2887" s="75" t="n"/>
      <c r="AE2887" s="75" t="n"/>
      <c r="AF2887" s="75" t="n"/>
    </row>
    <row r="2888" ht="15.75" customHeight="1" s="133">
      <c r="A2888" s="75" t="n"/>
      <c r="B2888" s="75" t="n"/>
      <c r="C2888" s="75" t="n"/>
      <c r="D2888" s="75" t="n"/>
      <c r="E2888" s="76" t="n"/>
      <c r="F2888" s="77" t="n"/>
      <c r="G2888" s="75" t="n"/>
      <c r="H2888" s="75">
        <f>IF(ISBLANK(E2888),"",IF(OR(D2888="Butterfly",D2888="Butterfly ",D2888="Iron Fly", D2888="Iron Fly "),LEN(E2888)-LEN(SUBSTITUTE(E2888,"/",""))+2,LEN(E2888)-LEN(SUBSTITUTE(E2888,"/",""))+1))</f>
        <v/>
      </c>
      <c r="I2888" s="78">
        <f>IF(ISBLANK(G2888),"",IF(D2888="Stock","0",Key!$A$3*H2888*G2888))</f>
        <v/>
      </c>
      <c r="J2888" s="78">
        <f>IF(ISBLANK(E2888),"",IF(ISNUMBER(SEARCH("/",E2888)), IF(LEN(E2888)-LEN(SUBSTITUTE(E2888,"/",""))=1,(RIGHT(E2888,LEN(E2888)-FIND("/",E2888)))-(LEFT(E2888,FIND("/",E2888)-1)),(MID(E2888, SEARCH("/",E2888) + 1, SEARCH("/",E2888, SEARCH("/",E2888)+1) - SEARCH("/",E2888) - 1))-(LEFT(E2888,FIND("/",E2888)-1))), "NA"))</f>
        <v/>
      </c>
      <c r="K2888" s="79">
        <f>IF(A2888&lt;&gt;"", IF(ISBLANK(L2888), TODAY(), K2888), "")</f>
        <v/>
      </c>
      <c r="L2888" s="78" t="n"/>
      <c r="M2888" s="78">
        <f>IF(ISBLANK(L2888),"",IF(D2888="Stock",IF(C2888="Buy",L2888*G2888,IF(C2888="Sell",(L2888*G2888)-I2888, X)),IF(C2888="Buy",(L2888*G2888*100)+I2888,IF(C2888="Sell",(L2888*G2888*100)-I2888, X))))</f>
        <v/>
      </c>
      <c r="N2888" s="78">
        <f>IF(ISBLANK(L2888),"",IF(AND(C2888="Sell",D2888="Stock"),M2888,IF(ISBLANK(L2888),"",IF(C2888="Buy",M2888, IF(AND(C2888="Sell",J2888="NA"),(E2888*G2888*100*0.1)+I2888, IF(C2888="Sell",(J2888-L2888)*(100*G2888)+I2888))))))</f>
        <v/>
      </c>
      <c r="O2888" s="75" t="n"/>
      <c r="P2888" s="75" t="n"/>
      <c r="Q2888" s="75">
        <f>IF(ISBLANK(P2888),"",IF(D2888="Stock",P2888*G2888,IF(P2888=0,"0",G2888*P2888*100-(G2888*$AF$14))))</f>
        <v/>
      </c>
      <c r="R2888" s="79">
        <f>IF(P2888&lt;&gt;"", TODAY(), "")</f>
        <v/>
      </c>
      <c r="S2888" s="78">
        <f>IF(AND(K2888&lt;&gt;"", R2888&lt;&gt;""), R2888-K2888, "")</f>
        <v/>
      </c>
      <c r="T2888" s="78" t="n"/>
      <c r="U2888" s="92">
        <f>IF(ISBLANK(P2888),"",IF(C2888="Buy",Q2888-M2888+T2888, IF(C2888="Sell",M2888-Q2888-T2888, X)))</f>
        <v/>
      </c>
      <c r="V2888" s="81">
        <f>IF(ISBLANK(P2888),"",U2888/N2888)</f>
        <v/>
      </c>
      <c r="W2888" s="81">
        <f>IF(ISBLANK(P2888),"",IF(S2888=0,(365/0.5)*V2888,(365/S2888)*V2888))</f>
        <v/>
      </c>
      <c r="X2888" s="75" t="n"/>
      <c r="Y2888" s="77" t="n"/>
      <c r="Z2888" s="77" t="n"/>
      <c r="AA2888" s="75" t="n"/>
      <c r="AB2888" s="75" t="n"/>
      <c r="AC2888" s="6" t="n"/>
      <c r="AD2888" s="75" t="n"/>
      <c r="AE2888" s="75" t="n"/>
      <c r="AF2888" s="75" t="n"/>
    </row>
    <row r="2889" ht="15.75" customHeight="1" s="133">
      <c r="A2889" s="75" t="n"/>
      <c r="B2889" s="75" t="n"/>
      <c r="C2889" s="75" t="n"/>
      <c r="D2889" s="75" t="n"/>
      <c r="E2889" s="76" t="n"/>
      <c r="F2889" s="77" t="n"/>
      <c r="G2889" s="75" t="n"/>
      <c r="H2889" s="75">
        <f>IF(ISBLANK(E2889),"",IF(OR(D2889="Butterfly",D2889="Butterfly ",D2889="Iron Fly", D2889="Iron Fly "),LEN(E2889)-LEN(SUBSTITUTE(E2889,"/",""))+2,LEN(E2889)-LEN(SUBSTITUTE(E2889,"/",""))+1))</f>
        <v/>
      </c>
      <c r="I2889" s="78">
        <f>IF(ISBLANK(G2889),"",IF(D2889="Stock","0",Key!$A$3*H2889*G2889))</f>
        <v/>
      </c>
      <c r="J2889" s="78">
        <f>IF(ISBLANK(E2889),"",IF(ISNUMBER(SEARCH("/",E2889)), IF(LEN(E2889)-LEN(SUBSTITUTE(E2889,"/",""))=1,(RIGHT(E2889,LEN(E2889)-FIND("/",E2889)))-(LEFT(E2889,FIND("/",E2889)-1)),(MID(E2889, SEARCH("/",E2889) + 1, SEARCH("/",E2889, SEARCH("/",E2889)+1) - SEARCH("/",E2889) - 1))-(LEFT(E2889,FIND("/",E2889)-1))), "NA"))</f>
        <v/>
      </c>
      <c r="K2889" s="79">
        <f>IF(A2889&lt;&gt;"", IF(ISBLANK(L2889), TODAY(), K2889), "")</f>
        <v/>
      </c>
      <c r="L2889" s="78" t="n"/>
      <c r="M2889" s="78">
        <f>IF(ISBLANK(L2889),"",IF(D2889="Stock",IF(C2889="Buy",L2889*G2889,IF(C2889="Sell",(L2889*G2889)-I2889, X)),IF(C2889="Buy",(L2889*G2889*100)+I2889,IF(C2889="Sell",(L2889*G2889*100)-I2889, X))))</f>
        <v/>
      </c>
      <c r="N2889" s="78">
        <f>IF(ISBLANK(L2889),"",IF(AND(C2889="Sell",D2889="Stock"),M2889,IF(ISBLANK(L2889),"",IF(C2889="Buy",M2889, IF(AND(C2889="Sell",J2889="NA"),(E2889*G2889*100*0.1)+I2889, IF(C2889="Sell",(J2889-L2889)*(100*G2889)+I2889))))))</f>
        <v/>
      </c>
      <c r="O2889" s="75" t="n"/>
      <c r="P2889" s="75" t="n"/>
      <c r="Q2889" s="75">
        <f>IF(ISBLANK(P2889),"",IF(D2889="Stock",P2889*G2889,IF(P2889=0,"0",G2889*P2889*100-(G2889*$AF$14))))</f>
        <v/>
      </c>
      <c r="R2889" s="79">
        <f>IF(P2889&lt;&gt;"", TODAY(), "")</f>
        <v/>
      </c>
      <c r="S2889" s="78">
        <f>IF(AND(K2889&lt;&gt;"", R2889&lt;&gt;""), R2889-K2889, "")</f>
        <v/>
      </c>
      <c r="T2889" s="78" t="n"/>
      <c r="U2889" s="92">
        <f>IF(ISBLANK(P2889),"",IF(C2889="Buy",Q2889-M2889+T2889, IF(C2889="Sell",M2889-Q2889-T2889, X)))</f>
        <v/>
      </c>
      <c r="V2889" s="81">
        <f>IF(ISBLANK(P2889),"",U2889/N2889)</f>
        <v/>
      </c>
      <c r="W2889" s="81">
        <f>IF(ISBLANK(P2889),"",IF(S2889=0,(365/0.5)*V2889,(365/S2889)*V2889))</f>
        <v/>
      </c>
      <c r="X2889" s="75" t="n"/>
      <c r="Y2889" s="77" t="n"/>
      <c r="Z2889" s="77" t="n"/>
      <c r="AA2889" s="75" t="n"/>
      <c r="AB2889" s="75" t="n"/>
      <c r="AC2889" s="6" t="n"/>
      <c r="AD2889" s="75" t="n"/>
      <c r="AE2889" s="75" t="n"/>
      <c r="AF2889" s="75" t="n"/>
    </row>
    <row r="2890" ht="15.75" customHeight="1" s="133">
      <c r="A2890" s="75" t="n"/>
      <c r="B2890" s="75" t="n"/>
      <c r="C2890" s="75" t="n"/>
      <c r="D2890" s="75" t="n"/>
      <c r="E2890" s="76" t="n"/>
      <c r="F2890" s="77" t="n"/>
      <c r="G2890" s="75" t="n"/>
      <c r="H2890" s="75">
        <f>IF(ISBLANK(E2890),"",IF(OR(D2890="Butterfly",D2890="Butterfly ",D2890="Iron Fly", D2890="Iron Fly "),LEN(E2890)-LEN(SUBSTITUTE(E2890,"/",""))+2,LEN(E2890)-LEN(SUBSTITUTE(E2890,"/",""))+1))</f>
        <v/>
      </c>
      <c r="I2890" s="78">
        <f>IF(ISBLANK(G2890),"",IF(D2890="Stock","0",Key!$A$3*H2890*G2890))</f>
        <v/>
      </c>
      <c r="J2890" s="78">
        <f>IF(ISBLANK(E2890),"",IF(ISNUMBER(SEARCH("/",E2890)), IF(LEN(E2890)-LEN(SUBSTITUTE(E2890,"/",""))=1,(RIGHT(E2890,LEN(E2890)-FIND("/",E2890)))-(LEFT(E2890,FIND("/",E2890)-1)),(MID(E2890, SEARCH("/",E2890) + 1, SEARCH("/",E2890, SEARCH("/",E2890)+1) - SEARCH("/",E2890) - 1))-(LEFT(E2890,FIND("/",E2890)-1))), "NA"))</f>
        <v/>
      </c>
      <c r="K2890" s="79">
        <f>IF(A2890&lt;&gt;"", IF(ISBLANK(L2890), TODAY(), K2890), "")</f>
        <v/>
      </c>
      <c r="L2890" s="78" t="n"/>
      <c r="M2890" s="78">
        <f>IF(ISBLANK(L2890),"",IF(D2890="Stock",IF(C2890="Buy",L2890*G2890,IF(C2890="Sell",(L2890*G2890)-I2890, X)),IF(C2890="Buy",(L2890*G2890*100)+I2890,IF(C2890="Sell",(L2890*G2890*100)-I2890, X))))</f>
        <v/>
      </c>
      <c r="N2890" s="78">
        <f>IF(ISBLANK(L2890),"",IF(AND(C2890="Sell",D2890="Stock"),M2890,IF(ISBLANK(L2890),"",IF(C2890="Buy",M2890, IF(AND(C2890="Sell",J2890="NA"),(E2890*G2890*100*0.1)+I2890, IF(C2890="Sell",(J2890-L2890)*(100*G2890)+I2890))))))</f>
        <v/>
      </c>
      <c r="O2890" s="75" t="n"/>
      <c r="P2890" s="75" t="n"/>
      <c r="Q2890" s="75">
        <f>IF(ISBLANK(P2890),"",IF(D2890="Stock",P2890*G2890,IF(P2890=0,"0",G2890*P2890*100-(G2890*$AF$14))))</f>
        <v/>
      </c>
      <c r="R2890" s="79">
        <f>IF(P2890&lt;&gt;"", TODAY(), "")</f>
        <v/>
      </c>
      <c r="S2890" s="78">
        <f>IF(AND(K2890&lt;&gt;"", R2890&lt;&gt;""), R2890-K2890, "")</f>
        <v/>
      </c>
      <c r="T2890" s="78" t="n"/>
      <c r="U2890" s="92">
        <f>IF(ISBLANK(P2890),"",IF(C2890="Buy",Q2890-M2890+T2890, IF(C2890="Sell",M2890-Q2890-T2890, X)))</f>
        <v/>
      </c>
      <c r="V2890" s="81">
        <f>IF(ISBLANK(P2890),"",U2890/N2890)</f>
        <v/>
      </c>
      <c r="W2890" s="81">
        <f>IF(ISBLANK(P2890),"",IF(S2890=0,(365/0.5)*V2890,(365/S2890)*V2890))</f>
        <v/>
      </c>
      <c r="X2890" s="75" t="n"/>
      <c r="Y2890" s="77" t="n"/>
      <c r="Z2890" s="77" t="n"/>
      <c r="AA2890" s="75" t="n"/>
      <c r="AB2890" s="75" t="n"/>
      <c r="AC2890" s="6" t="n"/>
      <c r="AD2890" s="75" t="n"/>
      <c r="AE2890" s="75" t="n"/>
      <c r="AF2890" s="75" t="n"/>
    </row>
    <row r="2891" ht="15.75" customHeight="1" s="133">
      <c r="A2891" s="75" t="n"/>
      <c r="B2891" s="75" t="n"/>
      <c r="C2891" s="75" t="n"/>
      <c r="D2891" s="75" t="n"/>
      <c r="E2891" s="76" t="n"/>
      <c r="F2891" s="77" t="n"/>
      <c r="G2891" s="75" t="n"/>
      <c r="H2891" s="75">
        <f>IF(ISBLANK(E2891),"",IF(OR(D2891="Butterfly",D2891="Butterfly ",D2891="Iron Fly", D2891="Iron Fly "),LEN(E2891)-LEN(SUBSTITUTE(E2891,"/",""))+2,LEN(E2891)-LEN(SUBSTITUTE(E2891,"/",""))+1))</f>
        <v/>
      </c>
      <c r="I2891" s="78">
        <f>IF(ISBLANK(G2891),"",IF(D2891="Stock","0",Key!$A$3*H2891*G2891))</f>
        <v/>
      </c>
      <c r="J2891" s="78">
        <f>IF(ISBLANK(E2891),"",IF(ISNUMBER(SEARCH("/",E2891)), IF(LEN(E2891)-LEN(SUBSTITUTE(E2891,"/",""))=1,(RIGHT(E2891,LEN(E2891)-FIND("/",E2891)))-(LEFT(E2891,FIND("/",E2891)-1)),(MID(E2891, SEARCH("/",E2891) + 1, SEARCH("/",E2891, SEARCH("/",E2891)+1) - SEARCH("/",E2891) - 1))-(LEFT(E2891,FIND("/",E2891)-1))), "NA"))</f>
        <v/>
      </c>
      <c r="K2891" s="79">
        <f>IF(A2891&lt;&gt;"", IF(ISBLANK(L2891), TODAY(), K2891), "")</f>
        <v/>
      </c>
      <c r="L2891" s="78" t="n"/>
      <c r="M2891" s="78">
        <f>IF(ISBLANK(L2891),"",IF(D2891="Stock",IF(C2891="Buy",L2891*G2891,IF(C2891="Sell",(L2891*G2891)-I2891, X)),IF(C2891="Buy",(L2891*G2891*100)+I2891,IF(C2891="Sell",(L2891*G2891*100)-I2891, X))))</f>
        <v/>
      </c>
      <c r="N2891" s="78">
        <f>IF(ISBLANK(L2891),"",IF(AND(C2891="Sell",D2891="Stock"),M2891,IF(ISBLANK(L2891),"",IF(C2891="Buy",M2891, IF(AND(C2891="Sell",J2891="NA"),(E2891*G2891*100*0.1)+I2891, IF(C2891="Sell",(J2891-L2891)*(100*G2891)+I2891))))))</f>
        <v/>
      </c>
      <c r="O2891" s="75" t="n"/>
      <c r="P2891" s="75" t="n"/>
      <c r="Q2891" s="75">
        <f>IF(ISBLANK(P2891),"",IF(D2891="Stock",P2891*G2891,IF(P2891=0,"0",G2891*P2891*100-(G2891*$AF$14))))</f>
        <v/>
      </c>
      <c r="R2891" s="79">
        <f>IF(P2891&lt;&gt;"", TODAY(), "")</f>
        <v/>
      </c>
      <c r="S2891" s="78">
        <f>IF(AND(K2891&lt;&gt;"", R2891&lt;&gt;""), R2891-K2891, "")</f>
        <v/>
      </c>
      <c r="T2891" s="78" t="n"/>
      <c r="U2891" s="92">
        <f>IF(ISBLANK(P2891),"",IF(C2891="Buy",Q2891-M2891+T2891, IF(C2891="Sell",M2891-Q2891-T2891, X)))</f>
        <v/>
      </c>
      <c r="V2891" s="81">
        <f>IF(ISBLANK(P2891),"",U2891/N2891)</f>
        <v/>
      </c>
      <c r="W2891" s="81">
        <f>IF(ISBLANK(P2891),"",IF(S2891=0,(365/0.5)*V2891,(365/S2891)*V2891))</f>
        <v/>
      </c>
      <c r="X2891" s="75" t="n"/>
      <c r="Y2891" s="77" t="n"/>
      <c r="Z2891" s="77" t="n"/>
      <c r="AA2891" s="75" t="n"/>
      <c r="AB2891" s="75" t="n"/>
      <c r="AC2891" s="6" t="n"/>
      <c r="AD2891" s="75" t="n"/>
      <c r="AE2891" s="75" t="n"/>
      <c r="AF2891" s="75" t="n"/>
    </row>
    <row r="2892" ht="15.75" customHeight="1" s="133">
      <c r="A2892" s="75" t="n"/>
      <c r="B2892" s="75" t="n"/>
      <c r="C2892" s="75" t="n"/>
      <c r="D2892" s="75" t="n"/>
      <c r="E2892" s="76" t="n"/>
      <c r="F2892" s="77" t="n"/>
      <c r="G2892" s="75" t="n"/>
      <c r="H2892" s="75">
        <f>IF(ISBLANK(E2892),"",IF(OR(D2892="Butterfly",D2892="Butterfly ",D2892="Iron Fly", D2892="Iron Fly "),LEN(E2892)-LEN(SUBSTITUTE(E2892,"/",""))+2,LEN(E2892)-LEN(SUBSTITUTE(E2892,"/",""))+1))</f>
        <v/>
      </c>
      <c r="I2892" s="78">
        <f>IF(ISBLANK(G2892),"",IF(D2892="Stock","0",Key!$A$3*H2892*G2892))</f>
        <v/>
      </c>
      <c r="J2892" s="78">
        <f>IF(ISBLANK(E2892),"",IF(ISNUMBER(SEARCH("/",E2892)), IF(LEN(E2892)-LEN(SUBSTITUTE(E2892,"/",""))=1,(RIGHT(E2892,LEN(E2892)-FIND("/",E2892)))-(LEFT(E2892,FIND("/",E2892)-1)),(MID(E2892, SEARCH("/",E2892) + 1, SEARCH("/",E2892, SEARCH("/",E2892)+1) - SEARCH("/",E2892) - 1))-(LEFT(E2892,FIND("/",E2892)-1))), "NA"))</f>
        <v/>
      </c>
      <c r="K2892" s="79">
        <f>IF(A2892&lt;&gt;"", IF(ISBLANK(L2892), TODAY(), K2892), "")</f>
        <v/>
      </c>
      <c r="L2892" s="78" t="n"/>
      <c r="M2892" s="78">
        <f>IF(ISBLANK(L2892),"",IF(D2892="Stock",IF(C2892="Buy",L2892*G2892,IF(C2892="Sell",(L2892*G2892)-I2892, X)),IF(C2892="Buy",(L2892*G2892*100)+I2892,IF(C2892="Sell",(L2892*G2892*100)-I2892, X))))</f>
        <v/>
      </c>
      <c r="N2892" s="78">
        <f>IF(ISBLANK(L2892),"",IF(AND(C2892="Sell",D2892="Stock"),M2892,IF(ISBLANK(L2892),"",IF(C2892="Buy",M2892, IF(AND(C2892="Sell",J2892="NA"),(E2892*G2892*100*0.1)+I2892, IF(C2892="Sell",(J2892-L2892)*(100*G2892)+I2892))))))</f>
        <v/>
      </c>
      <c r="O2892" s="75" t="n"/>
      <c r="P2892" s="75" t="n"/>
      <c r="Q2892" s="75">
        <f>IF(ISBLANK(P2892),"",IF(D2892="Stock",P2892*G2892,IF(P2892=0,"0",G2892*P2892*100-(G2892*$AF$14))))</f>
        <v/>
      </c>
      <c r="R2892" s="79">
        <f>IF(P2892&lt;&gt;"", TODAY(), "")</f>
        <v/>
      </c>
      <c r="S2892" s="78">
        <f>IF(AND(K2892&lt;&gt;"", R2892&lt;&gt;""), R2892-K2892, "")</f>
        <v/>
      </c>
      <c r="T2892" s="78" t="n"/>
      <c r="U2892" s="92">
        <f>IF(ISBLANK(P2892),"",IF(C2892="Buy",Q2892-M2892+T2892, IF(C2892="Sell",M2892-Q2892-T2892, X)))</f>
        <v/>
      </c>
      <c r="V2892" s="81">
        <f>IF(ISBLANK(P2892),"",U2892/N2892)</f>
        <v/>
      </c>
      <c r="W2892" s="81">
        <f>IF(ISBLANK(P2892),"",IF(S2892=0,(365/0.5)*V2892,(365/S2892)*V2892))</f>
        <v/>
      </c>
      <c r="X2892" s="75" t="n"/>
      <c r="Y2892" s="77" t="n"/>
      <c r="Z2892" s="77" t="n"/>
      <c r="AA2892" s="75" t="n"/>
      <c r="AB2892" s="75" t="n"/>
      <c r="AC2892" s="6" t="n"/>
      <c r="AD2892" s="75" t="n"/>
      <c r="AE2892" s="75" t="n"/>
      <c r="AF2892" s="75" t="n"/>
    </row>
    <row r="2893" ht="15.75" customHeight="1" s="133">
      <c r="A2893" s="75" t="n"/>
      <c r="B2893" s="75" t="n"/>
      <c r="C2893" s="75" t="n"/>
      <c r="D2893" s="75" t="n"/>
      <c r="E2893" s="76" t="n"/>
      <c r="F2893" s="77" t="n"/>
      <c r="G2893" s="75" t="n"/>
      <c r="H2893" s="75">
        <f>IF(ISBLANK(E2893),"",IF(OR(D2893="Butterfly",D2893="Butterfly ",D2893="Iron Fly", D2893="Iron Fly "),LEN(E2893)-LEN(SUBSTITUTE(E2893,"/",""))+2,LEN(E2893)-LEN(SUBSTITUTE(E2893,"/",""))+1))</f>
        <v/>
      </c>
      <c r="I2893" s="78">
        <f>IF(ISBLANK(G2893),"",IF(D2893="Stock","0",Key!$A$3*H2893*G2893))</f>
        <v/>
      </c>
      <c r="J2893" s="78">
        <f>IF(ISBLANK(E2893),"",IF(ISNUMBER(SEARCH("/",E2893)), IF(LEN(E2893)-LEN(SUBSTITUTE(E2893,"/",""))=1,(RIGHT(E2893,LEN(E2893)-FIND("/",E2893)))-(LEFT(E2893,FIND("/",E2893)-1)),(MID(E2893, SEARCH("/",E2893) + 1, SEARCH("/",E2893, SEARCH("/",E2893)+1) - SEARCH("/",E2893) - 1))-(LEFT(E2893,FIND("/",E2893)-1))), "NA"))</f>
        <v/>
      </c>
      <c r="K2893" s="79">
        <f>IF(A2893&lt;&gt;"", IF(ISBLANK(L2893), TODAY(), K2893), "")</f>
        <v/>
      </c>
      <c r="L2893" s="78" t="n"/>
      <c r="M2893" s="78">
        <f>IF(ISBLANK(L2893),"",IF(D2893="Stock",IF(C2893="Buy",L2893*G2893,IF(C2893="Sell",(L2893*G2893)-I2893, X)),IF(C2893="Buy",(L2893*G2893*100)+I2893,IF(C2893="Sell",(L2893*G2893*100)-I2893, X))))</f>
        <v/>
      </c>
      <c r="N2893" s="78">
        <f>IF(ISBLANK(L2893),"",IF(AND(C2893="Sell",D2893="Stock"),M2893,IF(ISBLANK(L2893),"",IF(C2893="Buy",M2893, IF(AND(C2893="Sell",J2893="NA"),(E2893*G2893*100*0.1)+I2893, IF(C2893="Sell",(J2893-L2893)*(100*G2893)+I2893))))))</f>
        <v/>
      </c>
      <c r="O2893" s="75" t="n"/>
      <c r="P2893" s="75" t="n"/>
      <c r="Q2893" s="75">
        <f>IF(ISBLANK(P2893),"",IF(D2893="Stock",P2893*G2893,IF(P2893=0,"0",G2893*P2893*100-(G2893*$AF$14))))</f>
        <v/>
      </c>
      <c r="R2893" s="79">
        <f>IF(P2893&lt;&gt;"", TODAY(), "")</f>
        <v/>
      </c>
      <c r="S2893" s="78">
        <f>IF(AND(K2893&lt;&gt;"", R2893&lt;&gt;""), R2893-K2893, "")</f>
        <v/>
      </c>
      <c r="T2893" s="78" t="n"/>
      <c r="U2893" s="92">
        <f>IF(ISBLANK(P2893),"",IF(C2893="Buy",Q2893-M2893+T2893, IF(C2893="Sell",M2893-Q2893-T2893, X)))</f>
        <v/>
      </c>
      <c r="V2893" s="81">
        <f>IF(ISBLANK(P2893),"",U2893/N2893)</f>
        <v/>
      </c>
      <c r="W2893" s="81">
        <f>IF(ISBLANK(P2893),"",IF(S2893=0,(365/0.5)*V2893,(365/S2893)*V2893))</f>
        <v/>
      </c>
      <c r="X2893" s="75" t="n"/>
      <c r="Y2893" s="77" t="n"/>
      <c r="Z2893" s="77" t="n"/>
      <c r="AA2893" s="75" t="n"/>
      <c r="AB2893" s="75" t="n"/>
      <c r="AC2893" s="6" t="n"/>
      <c r="AD2893" s="75" t="n"/>
      <c r="AE2893" s="75" t="n"/>
      <c r="AF2893" s="75" t="n"/>
    </row>
    <row r="2894" ht="15.75" customHeight="1" s="133">
      <c r="A2894" s="75" t="n"/>
      <c r="B2894" s="75" t="n"/>
      <c r="C2894" s="75" t="n"/>
      <c r="D2894" s="75" t="n"/>
      <c r="E2894" s="76" t="n"/>
      <c r="F2894" s="77" t="n"/>
      <c r="G2894" s="75" t="n"/>
      <c r="H2894" s="75">
        <f>IF(ISBLANK(E2894),"",IF(OR(D2894="Butterfly",D2894="Butterfly ",D2894="Iron Fly", D2894="Iron Fly "),LEN(E2894)-LEN(SUBSTITUTE(E2894,"/",""))+2,LEN(E2894)-LEN(SUBSTITUTE(E2894,"/",""))+1))</f>
        <v/>
      </c>
      <c r="I2894" s="78">
        <f>IF(ISBLANK(G2894),"",IF(D2894="Stock","0",Key!$A$3*H2894*G2894))</f>
        <v/>
      </c>
      <c r="J2894" s="78">
        <f>IF(ISBLANK(E2894),"",IF(ISNUMBER(SEARCH("/",E2894)), IF(LEN(E2894)-LEN(SUBSTITUTE(E2894,"/",""))=1,(RIGHT(E2894,LEN(E2894)-FIND("/",E2894)))-(LEFT(E2894,FIND("/",E2894)-1)),(MID(E2894, SEARCH("/",E2894) + 1, SEARCH("/",E2894, SEARCH("/",E2894)+1) - SEARCH("/",E2894) - 1))-(LEFT(E2894,FIND("/",E2894)-1))), "NA"))</f>
        <v/>
      </c>
      <c r="K2894" s="79">
        <f>IF(A2894&lt;&gt;"", IF(ISBLANK(L2894), TODAY(), K2894), "")</f>
        <v/>
      </c>
      <c r="L2894" s="78" t="n"/>
      <c r="M2894" s="78">
        <f>IF(ISBLANK(L2894),"",IF(D2894="Stock",IF(C2894="Buy",L2894*G2894,IF(C2894="Sell",(L2894*G2894)-I2894, X)),IF(C2894="Buy",(L2894*G2894*100)+I2894,IF(C2894="Sell",(L2894*G2894*100)-I2894, X))))</f>
        <v/>
      </c>
      <c r="N2894" s="78">
        <f>IF(ISBLANK(L2894),"",IF(AND(C2894="Sell",D2894="Stock"),M2894,IF(ISBLANK(L2894),"",IF(C2894="Buy",M2894, IF(AND(C2894="Sell",J2894="NA"),(E2894*G2894*100*0.1)+I2894, IF(C2894="Sell",(J2894-L2894)*(100*G2894)+I2894))))))</f>
        <v/>
      </c>
      <c r="O2894" s="75" t="n"/>
      <c r="P2894" s="75" t="n"/>
      <c r="Q2894" s="75">
        <f>IF(ISBLANK(P2894),"",IF(D2894="Stock",P2894*G2894,IF(P2894=0,"0",G2894*P2894*100-(G2894*$AF$14))))</f>
        <v/>
      </c>
      <c r="R2894" s="79">
        <f>IF(P2894&lt;&gt;"", TODAY(), "")</f>
        <v/>
      </c>
      <c r="S2894" s="78">
        <f>IF(AND(K2894&lt;&gt;"", R2894&lt;&gt;""), R2894-K2894, "")</f>
        <v/>
      </c>
      <c r="T2894" s="78" t="n"/>
      <c r="U2894" s="92">
        <f>IF(ISBLANK(P2894),"",IF(C2894="Buy",Q2894-M2894+T2894, IF(C2894="Sell",M2894-Q2894-T2894, X)))</f>
        <v/>
      </c>
      <c r="V2894" s="81">
        <f>IF(ISBLANK(P2894),"",U2894/N2894)</f>
        <v/>
      </c>
      <c r="W2894" s="81">
        <f>IF(ISBLANK(P2894),"",IF(S2894=0,(365/0.5)*V2894,(365/S2894)*V2894))</f>
        <v/>
      </c>
      <c r="X2894" s="75" t="n"/>
      <c r="Y2894" s="77" t="n"/>
      <c r="Z2894" s="77" t="n"/>
      <c r="AA2894" s="75" t="n"/>
      <c r="AB2894" s="75" t="n"/>
      <c r="AC2894" s="6" t="n"/>
      <c r="AD2894" s="75" t="n"/>
      <c r="AE2894" s="75" t="n"/>
      <c r="AF2894" s="75" t="n"/>
    </row>
    <row r="2895" ht="15.75" customHeight="1" s="133">
      <c r="A2895" s="75" t="n"/>
      <c r="B2895" s="75" t="n"/>
      <c r="C2895" s="75" t="n"/>
      <c r="D2895" s="75" t="n"/>
      <c r="E2895" s="76" t="n"/>
      <c r="F2895" s="77" t="n"/>
      <c r="G2895" s="75" t="n"/>
      <c r="H2895" s="75">
        <f>IF(ISBLANK(E2895),"",IF(OR(D2895="Butterfly",D2895="Butterfly ",D2895="Iron Fly", D2895="Iron Fly "),LEN(E2895)-LEN(SUBSTITUTE(E2895,"/",""))+2,LEN(E2895)-LEN(SUBSTITUTE(E2895,"/",""))+1))</f>
        <v/>
      </c>
      <c r="I2895" s="78">
        <f>IF(ISBLANK(G2895),"",IF(D2895="Stock","0",Key!$A$3*H2895*G2895))</f>
        <v/>
      </c>
      <c r="J2895" s="78">
        <f>IF(ISBLANK(E2895),"",IF(ISNUMBER(SEARCH("/",E2895)), IF(LEN(E2895)-LEN(SUBSTITUTE(E2895,"/",""))=1,(RIGHT(E2895,LEN(E2895)-FIND("/",E2895)))-(LEFT(E2895,FIND("/",E2895)-1)),(MID(E2895, SEARCH("/",E2895) + 1, SEARCH("/",E2895, SEARCH("/",E2895)+1) - SEARCH("/",E2895) - 1))-(LEFT(E2895,FIND("/",E2895)-1))), "NA"))</f>
        <v/>
      </c>
      <c r="K2895" s="79">
        <f>IF(A2895&lt;&gt;"", IF(ISBLANK(L2895), TODAY(), K2895), "")</f>
        <v/>
      </c>
      <c r="L2895" s="78" t="n"/>
      <c r="M2895" s="78">
        <f>IF(ISBLANK(L2895),"",IF(D2895="Stock",IF(C2895="Buy",L2895*G2895,IF(C2895="Sell",(L2895*G2895)-I2895, X)),IF(C2895="Buy",(L2895*G2895*100)+I2895,IF(C2895="Sell",(L2895*G2895*100)-I2895, X))))</f>
        <v/>
      </c>
      <c r="N2895" s="78">
        <f>IF(ISBLANK(L2895),"",IF(AND(C2895="Sell",D2895="Stock"),M2895,IF(ISBLANK(L2895),"",IF(C2895="Buy",M2895, IF(AND(C2895="Sell",J2895="NA"),(E2895*G2895*100*0.1)+I2895, IF(C2895="Sell",(J2895-L2895)*(100*G2895)+I2895))))))</f>
        <v/>
      </c>
      <c r="O2895" s="75" t="n"/>
      <c r="P2895" s="75" t="n"/>
      <c r="Q2895" s="75">
        <f>IF(ISBLANK(P2895),"",IF(D2895="Stock",P2895*G2895,IF(P2895=0,"0",G2895*P2895*100-(G2895*$AF$14))))</f>
        <v/>
      </c>
      <c r="R2895" s="79">
        <f>IF(P2895&lt;&gt;"", TODAY(), "")</f>
        <v/>
      </c>
      <c r="S2895" s="78">
        <f>IF(AND(K2895&lt;&gt;"", R2895&lt;&gt;""), R2895-K2895, "")</f>
        <v/>
      </c>
      <c r="T2895" s="78" t="n"/>
      <c r="U2895" s="92">
        <f>IF(ISBLANK(P2895),"",IF(C2895="Buy",Q2895-M2895+T2895, IF(C2895="Sell",M2895-Q2895-T2895, X)))</f>
        <v/>
      </c>
      <c r="V2895" s="81">
        <f>IF(ISBLANK(P2895),"",U2895/N2895)</f>
        <v/>
      </c>
      <c r="W2895" s="81">
        <f>IF(ISBLANK(P2895),"",IF(S2895=0,(365/0.5)*V2895,(365/S2895)*V2895))</f>
        <v/>
      </c>
      <c r="X2895" s="75" t="n"/>
      <c r="Y2895" s="77" t="n"/>
      <c r="Z2895" s="77" t="n"/>
      <c r="AA2895" s="75" t="n"/>
      <c r="AB2895" s="75" t="n"/>
      <c r="AC2895" s="6" t="n"/>
      <c r="AD2895" s="75" t="n"/>
      <c r="AE2895" s="75" t="n"/>
      <c r="AF2895" s="75" t="n"/>
    </row>
    <row r="2896" ht="15.75" customHeight="1" s="133">
      <c r="A2896" s="75" t="n"/>
      <c r="B2896" s="75" t="n"/>
      <c r="C2896" s="75" t="n"/>
      <c r="D2896" s="75" t="n"/>
      <c r="E2896" s="76" t="n"/>
      <c r="F2896" s="77" t="n"/>
      <c r="G2896" s="75" t="n"/>
      <c r="H2896" s="75">
        <f>IF(ISBLANK(E2896),"",IF(OR(D2896="Butterfly",D2896="Butterfly ",D2896="Iron Fly", D2896="Iron Fly "),LEN(E2896)-LEN(SUBSTITUTE(E2896,"/",""))+2,LEN(E2896)-LEN(SUBSTITUTE(E2896,"/",""))+1))</f>
        <v/>
      </c>
      <c r="I2896" s="78">
        <f>IF(ISBLANK(G2896),"",IF(D2896="Stock","0",Key!$A$3*H2896*G2896))</f>
        <v/>
      </c>
      <c r="J2896" s="78">
        <f>IF(ISBLANK(E2896),"",IF(ISNUMBER(SEARCH("/",E2896)), IF(LEN(E2896)-LEN(SUBSTITUTE(E2896,"/",""))=1,(RIGHT(E2896,LEN(E2896)-FIND("/",E2896)))-(LEFT(E2896,FIND("/",E2896)-1)),(MID(E2896, SEARCH("/",E2896) + 1, SEARCH("/",E2896, SEARCH("/",E2896)+1) - SEARCH("/",E2896) - 1))-(LEFT(E2896,FIND("/",E2896)-1))), "NA"))</f>
        <v/>
      </c>
      <c r="K2896" s="79">
        <f>IF(A2896&lt;&gt;"", IF(ISBLANK(L2896), TODAY(), K2896), "")</f>
        <v/>
      </c>
      <c r="L2896" s="78" t="n"/>
      <c r="M2896" s="78">
        <f>IF(ISBLANK(L2896),"",IF(D2896="Stock",IF(C2896="Buy",L2896*G2896,IF(C2896="Sell",(L2896*G2896)-I2896, X)),IF(C2896="Buy",(L2896*G2896*100)+I2896,IF(C2896="Sell",(L2896*G2896*100)-I2896, X))))</f>
        <v/>
      </c>
      <c r="N2896" s="78">
        <f>IF(ISBLANK(L2896),"",IF(AND(C2896="Sell",D2896="Stock"),M2896,IF(ISBLANK(L2896),"",IF(C2896="Buy",M2896, IF(AND(C2896="Sell",J2896="NA"),(E2896*G2896*100*0.1)+I2896, IF(C2896="Sell",(J2896-L2896)*(100*G2896)+I2896))))))</f>
        <v/>
      </c>
      <c r="O2896" s="75" t="n"/>
      <c r="P2896" s="75" t="n"/>
      <c r="Q2896" s="75">
        <f>IF(ISBLANK(P2896),"",IF(D2896="Stock",P2896*G2896,IF(P2896=0,"0",G2896*P2896*100-(G2896*$AF$14))))</f>
        <v/>
      </c>
      <c r="R2896" s="79">
        <f>IF(P2896&lt;&gt;"", TODAY(), "")</f>
        <v/>
      </c>
      <c r="S2896" s="78">
        <f>IF(AND(K2896&lt;&gt;"", R2896&lt;&gt;""), R2896-K2896, "")</f>
        <v/>
      </c>
      <c r="T2896" s="78" t="n"/>
      <c r="U2896" s="92">
        <f>IF(ISBLANK(P2896),"",IF(C2896="Buy",Q2896-M2896+T2896, IF(C2896="Sell",M2896-Q2896-T2896, X)))</f>
        <v/>
      </c>
      <c r="V2896" s="81">
        <f>IF(ISBLANK(P2896),"",U2896/N2896)</f>
        <v/>
      </c>
      <c r="W2896" s="81">
        <f>IF(ISBLANK(P2896),"",IF(S2896=0,(365/0.5)*V2896,(365/S2896)*V2896))</f>
        <v/>
      </c>
      <c r="X2896" s="75" t="n"/>
      <c r="Y2896" s="77" t="n"/>
      <c r="Z2896" s="77" t="n"/>
      <c r="AA2896" s="75" t="n"/>
      <c r="AB2896" s="75" t="n"/>
      <c r="AC2896" s="6" t="n"/>
      <c r="AD2896" s="75" t="n"/>
      <c r="AE2896" s="75" t="n"/>
      <c r="AF2896" s="75" t="n"/>
    </row>
    <row r="2897" ht="15.75" customHeight="1" s="133">
      <c r="A2897" s="75" t="n"/>
      <c r="B2897" s="75" t="n"/>
      <c r="C2897" s="75" t="n"/>
      <c r="D2897" s="75" t="n"/>
      <c r="E2897" s="76" t="n"/>
      <c r="F2897" s="77" t="n"/>
      <c r="G2897" s="75" t="n"/>
      <c r="H2897" s="75">
        <f>IF(ISBLANK(E2897),"",IF(OR(D2897="Butterfly",D2897="Butterfly ",D2897="Iron Fly", D2897="Iron Fly "),LEN(E2897)-LEN(SUBSTITUTE(E2897,"/",""))+2,LEN(E2897)-LEN(SUBSTITUTE(E2897,"/",""))+1))</f>
        <v/>
      </c>
      <c r="I2897" s="78">
        <f>IF(ISBLANK(G2897),"",IF(D2897="Stock","0",Key!$A$3*H2897*G2897))</f>
        <v/>
      </c>
      <c r="J2897" s="78">
        <f>IF(ISBLANK(E2897),"",IF(ISNUMBER(SEARCH("/",E2897)), IF(LEN(E2897)-LEN(SUBSTITUTE(E2897,"/",""))=1,(RIGHT(E2897,LEN(E2897)-FIND("/",E2897)))-(LEFT(E2897,FIND("/",E2897)-1)),(MID(E2897, SEARCH("/",E2897) + 1, SEARCH("/",E2897, SEARCH("/",E2897)+1) - SEARCH("/",E2897) - 1))-(LEFT(E2897,FIND("/",E2897)-1))), "NA"))</f>
        <v/>
      </c>
      <c r="K2897" s="79">
        <f>IF(A2897&lt;&gt;"", IF(ISBLANK(L2897), TODAY(), K2897), "")</f>
        <v/>
      </c>
      <c r="L2897" s="78" t="n"/>
      <c r="M2897" s="78">
        <f>IF(ISBLANK(L2897),"",IF(D2897="Stock",IF(C2897="Buy",L2897*G2897,IF(C2897="Sell",(L2897*G2897)-I2897, X)),IF(C2897="Buy",(L2897*G2897*100)+I2897,IF(C2897="Sell",(L2897*G2897*100)-I2897, X))))</f>
        <v/>
      </c>
      <c r="N2897" s="78">
        <f>IF(ISBLANK(L2897),"",IF(AND(C2897="Sell",D2897="Stock"),M2897,IF(ISBLANK(L2897),"",IF(C2897="Buy",M2897, IF(AND(C2897="Sell",J2897="NA"),(E2897*G2897*100*0.1)+I2897, IF(C2897="Sell",(J2897-L2897)*(100*G2897)+I2897))))))</f>
        <v/>
      </c>
      <c r="O2897" s="75" t="n"/>
      <c r="P2897" s="75" t="n"/>
      <c r="Q2897" s="75">
        <f>IF(ISBLANK(P2897),"",IF(D2897="Stock",P2897*G2897,IF(P2897=0,"0",G2897*P2897*100-(G2897*$AF$14))))</f>
        <v/>
      </c>
      <c r="R2897" s="79">
        <f>IF(P2897&lt;&gt;"", TODAY(), "")</f>
        <v/>
      </c>
      <c r="S2897" s="78">
        <f>IF(AND(K2897&lt;&gt;"", R2897&lt;&gt;""), R2897-K2897, "")</f>
        <v/>
      </c>
      <c r="T2897" s="78" t="n"/>
      <c r="U2897" s="92">
        <f>IF(ISBLANK(P2897),"",IF(C2897="Buy",Q2897-M2897+T2897, IF(C2897="Sell",M2897-Q2897-T2897, X)))</f>
        <v/>
      </c>
      <c r="V2897" s="81">
        <f>IF(ISBLANK(P2897),"",U2897/N2897)</f>
        <v/>
      </c>
      <c r="W2897" s="81">
        <f>IF(ISBLANK(P2897),"",IF(S2897=0,(365/0.5)*V2897,(365/S2897)*V2897))</f>
        <v/>
      </c>
      <c r="X2897" s="75" t="n"/>
      <c r="Y2897" s="77" t="n"/>
      <c r="Z2897" s="77" t="n"/>
      <c r="AA2897" s="75" t="n"/>
      <c r="AB2897" s="75" t="n"/>
      <c r="AC2897" s="6" t="n"/>
      <c r="AD2897" s="75" t="n"/>
      <c r="AE2897" s="75" t="n"/>
      <c r="AF2897" s="75" t="n"/>
    </row>
    <row r="2898" ht="15.75" customHeight="1" s="133">
      <c r="A2898" s="75" t="n"/>
      <c r="B2898" s="75" t="n"/>
      <c r="C2898" s="75" t="n"/>
      <c r="D2898" s="75" t="n"/>
      <c r="E2898" s="76" t="n"/>
      <c r="F2898" s="77" t="n"/>
      <c r="G2898" s="75" t="n"/>
      <c r="H2898" s="75">
        <f>IF(ISBLANK(E2898),"",IF(OR(D2898="Butterfly",D2898="Butterfly ",D2898="Iron Fly", D2898="Iron Fly "),LEN(E2898)-LEN(SUBSTITUTE(E2898,"/",""))+2,LEN(E2898)-LEN(SUBSTITUTE(E2898,"/",""))+1))</f>
        <v/>
      </c>
      <c r="I2898" s="78">
        <f>IF(ISBLANK(G2898),"",IF(D2898="Stock","0",Key!$A$3*H2898*G2898))</f>
        <v/>
      </c>
      <c r="J2898" s="78">
        <f>IF(ISBLANK(E2898),"",IF(ISNUMBER(SEARCH("/",E2898)), IF(LEN(E2898)-LEN(SUBSTITUTE(E2898,"/",""))=1,(RIGHT(E2898,LEN(E2898)-FIND("/",E2898)))-(LEFT(E2898,FIND("/",E2898)-1)),(MID(E2898, SEARCH("/",E2898) + 1, SEARCH("/",E2898, SEARCH("/",E2898)+1) - SEARCH("/",E2898) - 1))-(LEFT(E2898,FIND("/",E2898)-1))), "NA"))</f>
        <v/>
      </c>
      <c r="K2898" s="79">
        <f>IF(A2898&lt;&gt;"", IF(ISBLANK(L2898), TODAY(), K2898), "")</f>
        <v/>
      </c>
      <c r="L2898" s="78" t="n"/>
      <c r="M2898" s="78">
        <f>IF(ISBLANK(L2898),"",IF(D2898="Stock",IF(C2898="Buy",L2898*G2898,IF(C2898="Sell",(L2898*G2898)-I2898, X)),IF(C2898="Buy",(L2898*G2898*100)+I2898,IF(C2898="Sell",(L2898*G2898*100)-I2898, X))))</f>
        <v/>
      </c>
      <c r="N2898" s="78">
        <f>IF(ISBLANK(L2898),"",IF(AND(C2898="Sell",D2898="Stock"),M2898,IF(ISBLANK(L2898),"",IF(C2898="Buy",M2898, IF(AND(C2898="Sell",J2898="NA"),(E2898*G2898*100*0.1)+I2898, IF(C2898="Sell",(J2898-L2898)*(100*G2898)+I2898))))))</f>
        <v/>
      </c>
      <c r="O2898" s="75" t="n"/>
      <c r="P2898" s="75" t="n"/>
      <c r="Q2898" s="75">
        <f>IF(ISBLANK(P2898),"",IF(D2898="Stock",P2898*G2898,IF(P2898=0,"0",G2898*P2898*100-(G2898*$AF$14))))</f>
        <v/>
      </c>
      <c r="R2898" s="79">
        <f>IF(P2898&lt;&gt;"", TODAY(), "")</f>
        <v/>
      </c>
      <c r="S2898" s="78">
        <f>IF(AND(K2898&lt;&gt;"", R2898&lt;&gt;""), R2898-K2898, "")</f>
        <v/>
      </c>
      <c r="T2898" s="78" t="n"/>
      <c r="U2898" s="92">
        <f>IF(ISBLANK(P2898),"",IF(C2898="Buy",Q2898-M2898+T2898, IF(C2898="Sell",M2898-Q2898-T2898, X)))</f>
        <v/>
      </c>
      <c r="V2898" s="81">
        <f>IF(ISBLANK(P2898),"",U2898/N2898)</f>
        <v/>
      </c>
      <c r="W2898" s="81">
        <f>IF(ISBLANK(P2898),"",IF(S2898=0,(365/0.5)*V2898,(365/S2898)*V2898))</f>
        <v/>
      </c>
      <c r="X2898" s="75" t="n"/>
      <c r="Y2898" s="77" t="n"/>
      <c r="Z2898" s="77" t="n"/>
      <c r="AA2898" s="75" t="n"/>
      <c r="AB2898" s="75" t="n"/>
      <c r="AC2898" s="6" t="n"/>
      <c r="AD2898" s="75" t="n"/>
      <c r="AE2898" s="75" t="n"/>
      <c r="AF2898" s="75" t="n"/>
    </row>
    <row r="2899" ht="15.75" customHeight="1" s="133">
      <c r="A2899" s="75" t="n"/>
      <c r="B2899" s="75" t="n"/>
      <c r="C2899" s="75" t="n"/>
      <c r="D2899" s="75" t="n"/>
      <c r="E2899" s="76" t="n"/>
      <c r="F2899" s="77" t="n"/>
      <c r="G2899" s="75" t="n"/>
      <c r="H2899" s="75">
        <f>IF(ISBLANK(E2899),"",IF(OR(D2899="Butterfly",D2899="Butterfly ",D2899="Iron Fly", D2899="Iron Fly "),LEN(E2899)-LEN(SUBSTITUTE(E2899,"/",""))+2,LEN(E2899)-LEN(SUBSTITUTE(E2899,"/",""))+1))</f>
        <v/>
      </c>
      <c r="I2899" s="78">
        <f>IF(ISBLANK(G2899),"",IF(D2899="Stock","0",Key!$A$3*H2899*G2899))</f>
        <v/>
      </c>
      <c r="J2899" s="78">
        <f>IF(ISBLANK(E2899),"",IF(ISNUMBER(SEARCH("/",E2899)), IF(LEN(E2899)-LEN(SUBSTITUTE(E2899,"/",""))=1,(RIGHT(E2899,LEN(E2899)-FIND("/",E2899)))-(LEFT(E2899,FIND("/",E2899)-1)),(MID(E2899, SEARCH("/",E2899) + 1, SEARCH("/",E2899, SEARCH("/",E2899)+1) - SEARCH("/",E2899) - 1))-(LEFT(E2899,FIND("/",E2899)-1))), "NA"))</f>
        <v/>
      </c>
      <c r="K2899" s="79">
        <f>IF(A2899&lt;&gt;"", IF(ISBLANK(L2899), TODAY(), K2899), "")</f>
        <v/>
      </c>
      <c r="L2899" s="78" t="n"/>
      <c r="M2899" s="78">
        <f>IF(ISBLANK(L2899),"",IF(D2899="Stock",IF(C2899="Buy",L2899*G2899,IF(C2899="Sell",(L2899*G2899)-I2899, X)),IF(C2899="Buy",(L2899*G2899*100)+I2899,IF(C2899="Sell",(L2899*G2899*100)-I2899, X))))</f>
        <v/>
      </c>
      <c r="N2899" s="78">
        <f>IF(ISBLANK(L2899),"",IF(AND(C2899="Sell",D2899="Stock"),M2899,IF(ISBLANK(L2899),"",IF(C2899="Buy",M2899, IF(AND(C2899="Sell",J2899="NA"),(E2899*G2899*100*0.1)+I2899, IF(C2899="Sell",(J2899-L2899)*(100*G2899)+I2899))))))</f>
        <v/>
      </c>
      <c r="O2899" s="75" t="n"/>
      <c r="P2899" s="75" t="n"/>
      <c r="Q2899" s="75">
        <f>IF(ISBLANK(P2899),"",IF(D2899="Stock",P2899*G2899,IF(P2899=0,"0",G2899*P2899*100-(G2899*$AF$14))))</f>
        <v/>
      </c>
      <c r="R2899" s="79">
        <f>IF(P2899&lt;&gt;"", TODAY(), "")</f>
        <v/>
      </c>
      <c r="S2899" s="78">
        <f>IF(AND(K2899&lt;&gt;"", R2899&lt;&gt;""), R2899-K2899, "")</f>
        <v/>
      </c>
      <c r="T2899" s="78" t="n"/>
      <c r="U2899" s="92">
        <f>IF(ISBLANK(P2899),"",IF(C2899="Buy",Q2899-M2899+T2899, IF(C2899="Sell",M2899-Q2899-T2899, X)))</f>
        <v/>
      </c>
      <c r="V2899" s="81">
        <f>IF(ISBLANK(P2899),"",U2899/N2899)</f>
        <v/>
      </c>
      <c r="W2899" s="81">
        <f>IF(ISBLANK(P2899),"",IF(S2899=0,(365/0.5)*V2899,(365/S2899)*V2899))</f>
        <v/>
      </c>
      <c r="X2899" s="75" t="n"/>
      <c r="Y2899" s="77" t="n"/>
      <c r="Z2899" s="77" t="n"/>
      <c r="AA2899" s="75" t="n"/>
      <c r="AB2899" s="75" t="n"/>
      <c r="AC2899" s="6" t="n"/>
      <c r="AD2899" s="75" t="n"/>
      <c r="AE2899" s="75" t="n"/>
      <c r="AF2899" s="75" t="n"/>
    </row>
    <row r="2900" ht="15.75" customHeight="1" s="133">
      <c r="A2900" s="75" t="n"/>
      <c r="B2900" s="75" t="n"/>
      <c r="C2900" s="75" t="n"/>
      <c r="D2900" s="75" t="n"/>
      <c r="E2900" s="76" t="n"/>
      <c r="F2900" s="77" t="n"/>
      <c r="G2900" s="75" t="n"/>
      <c r="H2900" s="75">
        <f>IF(ISBLANK(E2900),"",IF(OR(D2900="Butterfly",D2900="Butterfly ",D2900="Iron Fly", D2900="Iron Fly "),LEN(E2900)-LEN(SUBSTITUTE(E2900,"/",""))+2,LEN(E2900)-LEN(SUBSTITUTE(E2900,"/",""))+1))</f>
        <v/>
      </c>
      <c r="I2900" s="78">
        <f>IF(ISBLANK(G2900),"",IF(D2900="Stock","0",Key!$A$3*H2900*G2900))</f>
        <v/>
      </c>
      <c r="J2900" s="78">
        <f>IF(ISBLANK(E2900),"",IF(ISNUMBER(SEARCH("/",E2900)), IF(LEN(E2900)-LEN(SUBSTITUTE(E2900,"/",""))=1,(RIGHT(E2900,LEN(E2900)-FIND("/",E2900)))-(LEFT(E2900,FIND("/",E2900)-1)),(MID(E2900, SEARCH("/",E2900) + 1, SEARCH("/",E2900, SEARCH("/",E2900)+1) - SEARCH("/",E2900) - 1))-(LEFT(E2900,FIND("/",E2900)-1))), "NA"))</f>
        <v/>
      </c>
      <c r="K2900" s="79">
        <f>IF(A2900&lt;&gt;"", IF(ISBLANK(L2900), TODAY(), K2900), "")</f>
        <v/>
      </c>
      <c r="L2900" s="78" t="n"/>
      <c r="M2900" s="78">
        <f>IF(ISBLANK(L2900),"",IF(D2900="Stock",IF(C2900="Buy",L2900*G2900,IF(C2900="Sell",(L2900*G2900)-I2900, X)),IF(C2900="Buy",(L2900*G2900*100)+I2900,IF(C2900="Sell",(L2900*G2900*100)-I2900, X))))</f>
        <v/>
      </c>
      <c r="N2900" s="78">
        <f>IF(ISBLANK(L2900),"",IF(AND(C2900="Sell",D2900="Stock"),M2900,IF(ISBLANK(L2900),"",IF(C2900="Buy",M2900, IF(AND(C2900="Sell",J2900="NA"),(E2900*G2900*100*0.1)+I2900, IF(C2900="Sell",(J2900-L2900)*(100*G2900)+I2900))))))</f>
        <v/>
      </c>
      <c r="O2900" s="75" t="n"/>
      <c r="P2900" s="75" t="n"/>
      <c r="Q2900" s="75">
        <f>IF(ISBLANK(P2900),"",IF(D2900="Stock",P2900*G2900,IF(P2900=0,"0",G2900*P2900*100-(G2900*$AF$14))))</f>
        <v/>
      </c>
      <c r="R2900" s="79">
        <f>IF(P2900&lt;&gt;"", TODAY(), "")</f>
        <v/>
      </c>
      <c r="S2900" s="78">
        <f>IF(AND(K2900&lt;&gt;"", R2900&lt;&gt;""), R2900-K2900, "")</f>
        <v/>
      </c>
      <c r="T2900" s="78" t="n"/>
      <c r="U2900" s="92">
        <f>IF(ISBLANK(P2900),"",IF(C2900="Buy",Q2900-M2900+T2900, IF(C2900="Sell",M2900-Q2900-T2900, X)))</f>
        <v/>
      </c>
      <c r="V2900" s="81">
        <f>IF(ISBLANK(P2900),"",U2900/N2900)</f>
        <v/>
      </c>
      <c r="W2900" s="81">
        <f>IF(ISBLANK(P2900),"",IF(S2900=0,(365/0.5)*V2900,(365/S2900)*V2900))</f>
        <v/>
      </c>
      <c r="X2900" s="75" t="n"/>
      <c r="Y2900" s="77" t="n"/>
      <c r="Z2900" s="77" t="n"/>
      <c r="AA2900" s="75" t="n"/>
      <c r="AB2900" s="75" t="n"/>
      <c r="AC2900" s="6" t="n"/>
      <c r="AD2900" s="75" t="n"/>
      <c r="AE2900" s="75" t="n"/>
      <c r="AF2900" s="75" t="n"/>
    </row>
    <row r="2901" ht="15.75" customHeight="1" s="133">
      <c r="A2901" s="75" t="n"/>
      <c r="B2901" s="75" t="n"/>
      <c r="C2901" s="75" t="n"/>
      <c r="D2901" s="75" t="n"/>
      <c r="E2901" s="76" t="n"/>
      <c r="F2901" s="77" t="n"/>
      <c r="G2901" s="75" t="n"/>
      <c r="H2901" s="75">
        <f>IF(ISBLANK(E2901),"",IF(OR(D2901="Butterfly",D2901="Butterfly ",D2901="Iron Fly", D2901="Iron Fly "),LEN(E2901)-LEN(SUBSTITUTE(E2901,"/",""))+2,LEN(E2901)-LEN(SUBSTITUTE(E2901,"/",""))+1))</f>
        <v/>
      </c>
      <c r="I2901" s="78">
        <f>IF(ISBLANK(G2901),"",IF(D2901="Stock","0",Key!$A$3*H2901*G2901))</f>
        <v/>
      </c>
      <c r="J2901" s="78">
        <f>IF(ISBLANK(E2901),"",IF(ISNUMBER(SEARCH("/",E2901)), IF(LEN(E2901)-LEN(SUBSTITUTE(E2901,"/",""))=1,(RIGHT(E2901,LEN(E2901)-FIND("/",E2901)))-(LEFT(E2901,FIND("/",E2901)-1)),(MID(E2901, SEARCH("/",E2901) + 1, SEARCH("/",E2901, SEARCH("/",E2901)+1) - SEARCH("/",E2901) - 1))-(LEFT(E2901,FIND("/",E2901)-1))), "NA"))</f>
        <v/>
      </c>
      <c r="K2901" s="79">
        <f>IF(A2901&lt;&gt;"", IF(ISBLANK(L2901), TODAY(), K2901), "")</f>
        <v/>
      </c>
      <c r="L2901" s="78" t="n"/>
      <c r="M2901" s="78">
        <f>IF(ISBLANK(L2901),"",IF(D2901="Stock",IF(C2901="Buy",L2901*G2901,IF(C2901="Sell",(L2901*G2901)-I2901, X)),IF(C2901="Buy",(L2901*G2901*100)+I2901,IF(C2901="Sell",(L2901*G2901*100)-I2901, X))))</f>
        <v/>
      </c>
      <c r="N2901" s="78">
        <f>IF(ISBLANK(L2901),"",IF(AND(C2901="Sell",D2901="Stock"),M2901,IF(ISBLANK(L2901),"",IF(C2901="Buy",M2901, IF(AND(C2901="Sell",J2901="NA"),(E2901*G2901*100*0.1)+I2901, IF(C2901="Sell",(J2901-L2901)*(100*G2901)+I2901))))))</f>
        <v/>
      </c>
      <c r="O2901" s="75" t="n"/>
      <c r="P2901" s="75" t="n"/>
      <c r="Q2901" s="75">
        <f>IF(ISBLANK(P2901),"",IF(D2901="Stock",P2901*G2901,IF(P2901=0,"0",G2901*P2901*100-(G2901*$AF$14))))</f>
        <v/>
      </c>
      <c r="R2901" s="79">
        <f>IF(P2901&lt;&gt;"", TODAY(), "")</f>
        <v/>
      </c>
      <c r="S2901" s="78">
        <f>IF(AND(K2901&lt;&gt;"", R2901&lt;&gt;""), R2901-K2901, "")</f>
        <v/>
      </c>
      <c r="T2901" s="78" t="n"/>
      <c r="U2901" s="92">
        <f>IF(ISBLANK(P2901),"",IF(C2901="Buy",Q2901-M2901+T2901, IF(C2901="Sell",M2901-Q2901-T2901, X)))</f>
        <v/>
      </c>
      <c r="V2901" s="81">
        <f>IF(ISBLANK(P2901),"",U2901/N2901)</f>
        <v/>
      </c>
      <c r="W2901" s="81">
        <f>IF(ISBLANK(P2901),"",IF(S2901=0,(365/0.5)*V2901,(365/S2901)*V2901))</f>
        <v/>
      </c>
      <c r="X2901" s="75" t="n"/>
      <c r="Y2901" s="77" t="n"/>
      <c r="Z2901" s="77" t="n"/>
      <c r="AA2901" s="75" t="n"/>
      <c r="AB2901" s="75" t="n"/>
      <c r="AC2901" s="6" t="n"/>
      <c r="AD2901" s="75" t="n"/>
      <c r="AE2901" s="75" t="n"/>
      <c r="AF2901" s="75" t="n"/>
    </row>
    <row r="2902" ht="15.75" customHeight="1" s="133">
      <c r="A2902" s="75" t="n"/>
      <c r="B2902" s="75" t="n"/>
      <c r="C2902" s="75" t="n"/>
      <c r="D2902" s="75" t="n"/>
      <c r="E2902" s="76" t="n"/>
      <c r="F2902" s="77" t="n"/>
      <c r="G2902" s="75" t="n"/>
      <c r="H2902" s="75">
        <f>IF(ISBLANK(E2902),"",IF(OR(D2902="Butterfly",D2902="Butterfly ",D2902="Iron Fly", D2902="Iron Fly "),LEN(E2902)-LEN(SUBSTITUTE(E2902,"/",""))+2,LEN(E2902)-LEN(SUBSTITUTE(E2902,"/",""))+1))</f>
        <v/>
      </c>
      <c r="I2902" s="78">
        <f>IF(ISBLANK(G2902),"",IF(D2902="Stock","0",Key!$A$3*H2902*G2902))</f>
        <v/>
      </c>
      <c r="J2902" s="78">
        <f>IF(ISBLANK(E2902),"",IF(ISNUMBER(SEARCH("/",E2902)), IF(LEN(E2902)-LEN(SUBSTITUTE(E2902,"/",""))=1,(RIGHT(E2902,LEN(E2902)-FIND("/",E2902)))-(LEFT(E2902,FIND("/",E2902)-1)),(MID(E2902, SEARCH("/",E2902) + 1, SEARCH("/",E2902, SEARCH("/",E2902)+1) - SEARCH("/",E2902) - 1))-(LEFT(E2902,FIND("/",E2902)-1))), "NA"))</f>
        <v/>
      </c>
      <c r="K2902" s="79">
        <f>IF(A2902&lt;&gt;"", IF(ISBLANK(L2902), TODAY(), K2902), "")</f>
        <v/>
      </c>
      <c r="L2902" s="78" t="n"/>
      <c r="M2902" s="78">
        <f>IF(ISBLANK(L2902),"",IF(D2902="Stock",IF(C2902="Buy",L2902*G2902,IF(C2902="Sell",(L2902*G2902)-I2902, X)),IF(C2902="Buy",(L2902*G2902*100)+I2902,IF(C2902="Sell",(L2902*G2902*100)-I2902, X))))</f>
        <v/>
      </c>
      <c r="N2902" s="78">
        <f>IF(ISBLANK(L2902),"",IF(AND(C2902="Sell",D2902="Stock"),M2902,IF(ISBLANK(L2902),"",IF(C2902="Buy",M2902, IF(AND(C2902="Sell",J2902="NA"),(E2902*G2902*100*0.1)+I2902, IF(C2902="Sell",(J2902-L2902)*(100*G2902)+I2902))))))</f>
        <v/>
      </c>
      <c r="O2902" s="75" t="n"/>
      <c r="P2902" s="75" t="n"/>
      <c r="Q2902" s="75">
        <f>IF(ISBLANK(P2902),"",IF(D2902="Stock",P2902*G2902,IF(P2902=0,"0",G2902*P2902*100-(G2902*$AF$14))))</f>
        <v/>
      </c>
      <c r="R2902" s="79">
        <f>IF(P2902&lt;&gt;"", TODAY(), "")</f>
        <v/>
      </c>
      <c r="S2902" s="78">
        <f>IF(AND(K2902&lt;&gt;"", R2902&lt;&gt;""), R2902-K2902, "")</f>
        <v/>
      </c>
      <c r="T2902" s="78" t="n"/>
      <c r="U2902" s="92">
        <f>IF(ISBLANK(P2902),"",IF(C2902="Buy",Q2902-M2902+T2902, IF(C2902="Sell",M2902-Q2902-T2902, X)))</f>
        <v/>
      </c>
      <c r="V2902" s="81">
        <f>IF(ISBLANK(P2902),"",U2902/N2902)</f>
        <v/>
      </c>
      <c r="W2902" s="81">
        <f>IF(ISBLANK(P2902),"",IF(S2902=0,(365/0.5)*V2902,(365/S2902)*V2902))</f>
        <v/>
      </c>
      <c r="X2902" s="75" t="n"/>
      <c r="Y2902" s="77" t="n"/>
      <c r="Z2902" s="77" t="n"/>
      <c r="AA2902" s="75" t="n"/>
      <c r="AB2902" s="75" t="n"/>
      <c r="AC2902" s="6" t="n"/>
      <c r="AD2902" s="75" t="n"/>
      <c r="AE2902" s="75" t="n"/>
      <c r="AF2902" s="75" t="n"/>
    </row>
    <row r="2903" ht="15.75" customHeight="1" s="133">
      <c r="A2903" s="75" t="n"/>
      <c r="B2903" s="75" t="n"/>
      <c r="C2903" s="75" t="n"/>
      <c r="D2903" s="75" t="n"/>
      <c r="E2903" s="76" t="n"/>
      <c r="F2903" s="77" t="n"/>
      <c r="G2903" s="75" t="n"/>
      <c r="H2903" s="75">
        <f>IF(ISBLANK(E2903),"",IF(OR(D2903="Butterfly",D2903="Butterfly ",D2903="Iron Fly", D2903="Iron Fly "),LEN(E2903)-LEN(SUBSTITUTE(E2903,"/",""))+2,LEN(E2903)-LEN(SUBSTITUTE(E2903,"/",""))+1))</f>
        <v/>
      </c>
      <c r="I2903" s="78">
        <f>IF(ISBLANK(G2903),"",IF(D2903="Stock","0",Key!$A$3*H2903*G2903))</f>
        <v/>
      </c>
      <c r="J2903" s="78">
        <f>IF(ISBLANK(E2903),"",IF(ISNUMBER(SEARCH("/",E2903)), IF(LEN(E2903)-LEN(SUBSTITUTE(E2903,"/",""))=1,(RIGHT(E2903,LEN(E2903)-FIND("/",E2903)))-(LEFT(E2903,FIND("/",E2903)-1)),(MID(E2903, SEARCH("/",E2903) + 1, SEARCH("/",E2903, SEARCH("/",E2903)+1) - SEARCH("/",E2903) - 1))-(LEFT(E2903,FIND("/",E2903)-1))), "NA"))</f>
        <v/>
      </c>
      <c r="K2903" s="79">
        <f>IF(A2903&lt;&gt;"", IF(ISBLANK(L2903), TODAY(), K2903), "")</f>
        <v/>
      </c>
      <c r="L2903" s="78" t="n"/>
      <c r="M2903" s="78">
        <f>IF(ISBLANK(L2903),"",IF(D2903="Stock",IF(C2903="Buy",L2903*G2903,IF(C2903="Sell",(L2903*G2903)-I2903, X)),IF(C2903="Buy",(L2903*G2903*100)+I2903,IF(C2903="Sell",(L2903*G2903*100)-I2903, X))))</f>
        <v/>
      </c>
      <c r="N2903" s="78">
        <f>IF(ISBLANK(L2903),"",IF(AND(C2903="Sell",D2903="Stock"),M2903,IF(ISBLANK(L2903),"",IF(C2903="Buy",M2903, IF(AND(C2903="Sell",J2903="NA"),(E2903*G2903*100*0.1)+I2903, IF(C2903="Sell",(J2903-L2903)*(100*G2903)+I2903))))))</f>
        <v/>
      </c>
      <c r="O2903" s="75" t="n"/>
      <c r="P2903" s="75" t="n"/>
      <c r="Q2903" s="75">
        <f>IF(ISBLANK(P2903),"",IF(D2903="Stock",P2903*G2903,IF(P2903=0,"0",G2903*P2903*100-(G2903*$AF$14))))</f>
        <v/>
      </c>
      <c r="R2903" s="79">
        <f>IF(P2903&lt;&gt;"", TODAY(), "")</f>
        <v/>
      </c>
      <c r="S2903" s="78">
        <f>IF(AND(K2903&lt;&gt;"", R2903&lt;&gt;""), R2903-K2903, "")</f>
        <v/>
      </c>
      <c r="T2903" s="78" t="n"/>
      <c r="U2903" s="92">
        <f>IF(ISBLANK(P2903),"",IF(C2903="Buy",Q2903-M2903+T2903, IF(C2903="Sell",M2903-Q2903-T2903, X)))</f>
        <v/>
      </c>
      <c r="V2903" s="81">
        <f>IF(ISBLANK(P2903),"",U2903/N2903)</f>
        <v/>
      </c>
      <c r="W2903" s="81">
        <f>IF(ISBLANK(P2903),"",IF(S2903=0,(365/0.5)*V2903,(365/S2903)*V2903))</f>
        <v/>
      </c>
      <c r="X2903" s="75" t="n"/>
      <c r="Y2903" s="77" t="n"/>
      <c r="Z2903" s="77" t="n"/>
      <c r="AA2903" s="75" t="n"/>
      <c r="AB2903" s="75" t="n"/>
      <c r="AC2903" s="6" t="n"/>
      <c r="AD2903" s="75" t="n"/>
      <c r="AE2903" s="75" t="n"/>
      <c r="AF2903" s="75" t="n"/>
    </row>
    <row r="2904" ht="15.75" customHeight="1" s="133">
      <c r="A2904" s="75" t="n"/>
      <c r="B2904" s="75" t="n"/>
      <c r="C2904" s="75" t="n"/>
      <c r="D2904" s="75" t="n"/>
      <c r="E2904" s="76" t="n"/>
      <c r="F2904" s="77" t="n"/>
      <c r="G2904" s="75" t="n"/>
      <c r="H2904" s="75">
        <f>IF(ISBLANK(E2904),"",IF(OR(D2904="Butterfly",D2904="Butterfly ",D2904="Iron Fly", D2904="Iron Fly "),LEN(E2904)-LEN(SUBSTITUTE(E2904,"/",""))+2,LEN(E2904)-LEN(SUBSTITUTE(E2904,"/",""))+1))</f>
        <v/>
      </c>
      <c r="I2904" s="78">
        <f>IF(ISBLANK(G2904),"",IF(D2904="Stock","0",Key!$A$3*H2904*G2904))</f>
        <v/>
      </c>
      <c r="J2904" s="78">
        <f>IF(ISBLANK(E2904),"",IF(ISNUMBER(SEARCH("/",E2904)), IF(LEN(E2904)-LEN(SUBSTITUTE(E2904,"/",""))=1,(RIGHT(E2904,LEN(E2904)-FIND("/",E2904)))-(LEFT(E2904,FIND("/",E2904)-1)),(MID(E2904, SEARCH("/",E2904) + 1, SEARCH("/",E2904, SEARCH("/",E2904)+1) - SEARCH("/",E2904) - 1))-(LEFT(E2904,FIND("/",E2904)-1))), "NA"))</f>
        <v/>
      </c>
      <c r="K2904" s="79">
        <f>IF(A2904&lt;&gt;"", IF(ISBLANK(L2904), TODAY(), K2904), "")</f>
        <v/>
      </c>
      <c r="L2904" s="78" t="n"/>
      <c r="M2904" s="78">
        <f>IF(ISBLANK(L2904),"",IF(D2904="Stock",IF(C2904="Buy",L2904*G2904,IF(C2904="Sell",(L2904*G2904)-I2904, X)),IF(C2904="Buy",(L2904*G2904*100)+I2904,IF(C2904="Sell",(L2904*G2904*100)-I2904, X))))</f>
        <v/>
      </c>
      <c r="N2904" s="78">
        <f>IF(ISBLANK(L2904),"",IF(AND(C2904="Sell",D2904="Stock"),M2904,IF(ISBLANK(L2904),"",IF(C2904="Buy",M2904, IF(AND(C2904="Sell",J2904="NA"),(E2904*G2904*100*0.1)+I2904, IF(C2904="Sell",(J2904-L2904)*(100*G2904)+I2904))))))</f>
        <v/>
      </c>
      <c r="O2904" s="75" t="n"/>
      <c r="P2904" s="75" t="n"/>
      <c r="Q2904" s="75">
        <f>IF(ISBLANK(P2904),"",IF(D2904="Stock",P2904*G2904,IF(P2904=0,"0",G2904*P2904*100-(G2904*$AF$14))))</f>
        <v/>
      </c>
      <c r="R2904" s="79">
        <f>IF(P2904&lt;&gt;"", TODAY(), "")</f>
        <v/>
      </c>
      <c r="S2904" s="78">
        <f>IF(AND(K2904&lt;&gt;"", R2904&lt;&gt;""), R2904-K2904, "")</f>
        <v/>
      </c>
      <c r="T2904" s="78" t="n"/>
      <c r="U2904" s="92">
        <f>IF(ISBLANK(P2904),"",IF(C2904="Buy",Q2904-M2904+T2904, IF(C2904="Sell",M2904-Q2904-T2904, X)))</f>
        <v/>
      </c>
      <c r="V2904" s="81">
        <f>IF(ISBLANK(P2904),"",U2904/N2904)</f>
        <v/>
      </c>
      <c r="W2904" s="81">
        <f>IF(ISBLANK(P2904),"",IF(S2904=0,(365/0.5)*V2904,(365/S2904)*V2904))</f>
        <v/>
      </c>
      <c r="X2904" s="75" t="n"/>
      <c r="Y2904" s="77" t="n"/>
      <c r="Z2904" s="77" t="n"/>
      <c r="AA2904" s="75" t="n"/>
      <c r="AB2904" s="75" t="n"/>
      <c r="AC2904" s="6" t="n"/>
      <c r="AD2904" s="75" t="n"/>
      <c r="AE2904" s="75" t="n"/>
      <c r="AF2904" s="75" t="n"/>
    </row>
    <row r="2905" ht="15.75" customHeight="1" s="133">
      <c r="A2905" s="75" t="n"/>
      <c r="B2905" s="75" t="n"/>
      <c r="C2905" s="75" t="n"/>
      <c r="D2905" s="75" t="n"/>
      <c r="E2905" s="76" t="n"/>
      <c r="F2905" s="77" t="n"/>
      <c r="G2905" s="75" t="n"/>
      <c r="H2905" s="75">
        <f>IF(ISBLANK(E2905),"",IF(OR(D2905="Butterfly",D2905="Butterfly ",D2905="Iron Fly", D2905="Iron Fly "),LEN(E2905)-LEN(SUBSTITUTE(E2905,"/",""))+2,LEN(E2905)-LEN(SUBSTITUTE(E2905,"/",""))+1))</f>
        <v/>
      </c>
      <c r="I2905" s="78">
        <f>IF(ISBLANK(G2905),"",IF(D2905="Stock","0",Key!$A$3*H2905*G2905))</f>
        <v/>
      </c>
      <c r="J2905" s="78">
        <f>IF(ISBLANK(E2905),"",IF(ISNUMBER(SEARCH("/",E2905)), IF(LEN(E2905)-LEN(SUBSTITUTE(E2905,"/",""))=1,(RIGHT(E2905,LEN(E2905)-FIND("/",E2905)))-(LEFT(E2905,FIND("/",E2905)-1)),(MID(E2905, SEARCH("/",E2905) + 1, SEARCH("/",E2905, SEARCH("/",E2905)+1) - SEARCH("/",E2905) - 1))-(LEFT(E2905,FIND("/",E2905)-1))), "NA"))</f>
        <v/>
      </c>
      <c r="K2905" s="79">
        <f>IF(A2905&lt;&gt;"", IF(ISBLANK(L2905), TODAY(), K2905), "")</f>
        <v/>
      </c>
      <c r="L2905" s="78" t="n"/>
      <c r="M2905" s="78">
        <f>IF(ISBLANK(L2905),"",IF(D2905="Stock",IF(C2905="Buy",L2905*G2905,IF(C2905="Sell",(L2905*G2905)-I2905, X)),IF(C2905="Buy",(L2905*G2905*100)+I2905,IF(C2905="Sell",(L2905*G2905*100)-I2905, X))))</f>
        <v/>
      </c>
      <c r="N2905" s="78">
        <f>IF(ISBLANK(L2905),"",IF(AND(C2905="Sell",D2905="Stock"),M2905,IF(ISBLANK(L2905),"",IF(C2905="Buy",M2905, IF(AND(C2905="Sell",J2905="NA"),(E2905*G2905*100*0.1)+I2905, IF(C2905="Sell",(J2905-L2905)*(100*G2905)+I2905))))))</f>
        <v/>
      </c>
      <c r="O2905" s="75" t="n"/>
      <c r="P2905" s="75" t="n"/>
      <c r="Q2905" s="75">
        <f>IF(ISBLANK(P2905),"",IF(D2905="Stock",P2905*G2905,IF(P2905=0,"0",G2905*P2905*100-(G2905*$AF$14))))</f>
        <v/>
      </c>
      <c r="R2905" s="79">
        <f>IF(P2905&lt;&gt;"", TODAY(), "")</f>
        <v/>
      </c>
      <c r="S2905" s="78">
        <f>IF(AND(K2905&lt;&gt;"", R2905&lt;&gt;""), R2905-K2905, "")</f>
        <v/>
      </c>
      <c r="T2905" s="78" t="n"/>
      <c r="U2905" s="92">
        <f>IF(ISBLANK(P2905),"",IF(C2905="Buy",Q2905-M2905+T2905, IF(C2905="Sell",M2905-Q2905-T2905, X)))</f>
        <v/>
      </c>
      <c r="V2905" s="81">
        <f>IF(ISBLANK(P2905),"",U2905/N2905)</f>
        <v/>
      </c>
      <c r="W2905" s="81">
        <f>IF(ISBLANK(P2905),"",IF(S2905=0,(365/0.5)*V2905,(365/S2905)*V2905))</f>
        <v/>
      </c>
      <c r="X2905" s="75" t="n"/>
      <c r="Y2905" s="77" t="n"/>
      <c r="Z2905" s="77" t="n"/>
      <c r="AA2905" s="75" t="n"/>
      <c r="AB2905" s="75" t="n"/>
      <c r="AC2905" s="6" t="n"/>
      <c r="AD2905" s="75" t="n"/>
      <c r="AE2905" s="75" t="n"/>
      <c r="AF2905" s="75" t="n"/>
    </row>
    <row r="2906" ht="15.75" customHeight="1" s="133">
      <c r="A2906" s="75" t="n"/>
      <c r="B2906" s="75" t="n"/>
      <c r="C2906" s="75" t="n"/>
      <c r="D2906" s="75" t="n"/>
      <c r="E2906" s="76" t="n"/>
      <c r="F2906" s="77" t="n"/>
      <c r="G2906" s="75" t="n"/>
      <c r="H2906" s="75">
        <f>IF(ISBLANK(E2906),"",IF(OR(D2906="Butterfly",D2906="Butterfly ",D2906="Iron Fly", D2906="Iron Fly "),LEN(E2906)-LEN(SUBSTITUTE(E2906,"/",""))+2,LEN(E2906)-LEN(SUBSTITUTE(E2906,"/",""))+1))</f>
        <v/>
      </c>
      <c r="I2906" s="78">
        <f>IF(ISBLANK(G2906),"",IF(D2906="Stock","0",Key!$A$3*H2906*G2906))</f>
        <v/>
      </c>
      <c r="J2906" s="78">
        <f>IF(ISBLANK(E2906),"",IF(ISNUMBER(SEARCH("/",E2906)), IF(LEN(E2906)-LEN(SUBSTITUTE(E2906,"/",""))=1,(RIGHT(E2906,LEN(E2906)-FIND("/",E2906)))-(LEFT(E2906,FIND("/",E2906)-1)),(MID(E2906, SEARCH("/",E2906) + 1, SEARCH("/",E2906, SEARCH("/",E2906)+1) - SEARCH("/",E2906) - 1))-(LEFT(E2906,FIND("/",E2906)-1))), "NA"))</f>
        <v/>
      </c>
      <c r="K2906" s="79">
        <f>IF(A2906&lt;&gt;"", IF(ISBLANK(L2906), TODAY(), K2906), "")</f>
        <v/>
      </c>
      <c r="L2906" s="78" t="n"/>
      <c r="M2906" s="78">
        <f>IF(ISBLANK(L2906),"",IF(D2906="Stock",IF(C2906="Buy",L2906*G2906,IF(C2906="Sell",(L2906*G2906)-I2906, X)),IF(C2906="Buy",(L2906*G2906*100)+I2906,IF(C2906="Sell",(L2906*G2906*100)-I2906, X))))</f>
        <v/>
      </c>
      <c r="N2906" s="78">
        <f>IF(ISBLANK(L2906),"",IF(AND(C2906="Sell",D2906="Stock"),M2906,IF(ISBLANK(L2906),"",IF(C2906="Buy",M2906, IF(AND(C2906="Sell",J2906="NA"),(E2906*G2906*100*0.1)+I2906, IF(C2906="Sell",(J2906-L2906)*(100*G2906)+I2906))))))</f>
        <v/>
      </c>
      <c r="O2906" s="75" t="n"/>
      <c r="P2906" s="75" t="n"/>
      <c r="Q2906" s="75">
        <f>IF(ISBLANK(P2906),"",IF(D2906="Stock",P2906*G2906,IF(P2906=0,"0",G2906*P2906*100-(G2906*$AF$14))))</f>
        <v/>
      </c>
      <c r="R2906" s="79">
        <f>IF(P2906&lt;&gt;"", TODAY(), "")</f>
        <v/>
      </c>
      <c r="S2906" s="78">
        <f>IF(AND(K2906&lt;&gt;"", R2906&lt;&gt;""), R2906-K2906, "")</f>
        <v/>
      </c>
      <c r="T2906" s="78" t="n"/>
      <c r="U2906" s="92">
        <f>IF(ISBLANK(P2906),"",IF(C2906="Buy",Q2906-M2906+T2906, IF(C2906="Sell",M2906-Q2906-T2906, X)))</f>
        <v/>
      </c>
      <c r="V2906" s="81">
        <f>IF(ISBLANK(P2906),"",U2906/N2906)</f>
        <v/>
      </c>
      <c r="W2906" s="81">
        <f>IF(ISBLANK(P2906),"",IF(S2906=0,(365/0.5)*V2906,(365/S2906)*V2906))</f>
        <v/>
      </c>
      <c r="X2906" s="75" t="n"/>
      <c r="Y2906" s="77" t="n"/>
      <c r="Z2906" s="77" t="n"/>
      <c r="AA2906" s="75" t="n"/>
      <c r="AB2906" s="75" t="n"/>
      <c r="AC2906" s="6" t="n"/>
      <c r="AD2906" s="75" t="n"/>
      <c r="AE2906" s="75" t="n"/>
      <c r="AF2906" s="75" t="n"/>
    </row>
    <row r="2907" ht="15.75" customHeight="1" s="133">
      <c r="A2907" s="75" t="n"/>
      <c r="B2907" s="75" t="n"/>
      <c r="C2907" s="75" t="n"/>
      <c r="D2907" s="75" t="n"/>
      <c r="E2907" s="76" t="n"/>
      <c r="F2907" s="77" t="n"/>
      <c r="G2907" s="75" t="n"/>
      <c r="H2907" s="75">
        <f>IF(ISBLANK(E2907),"",IF(OR(D2907="Butterfly",D2907="Butterfly ",D2907="Iron Fly", D2907="Iron Fly "),LEN(E2907)-LEN(SUBSTITUTE(E2907,"/",""))+2,LEN(E2907)-LEN(SUBSTITUTE(E2907,"/",""))+1))</f>
        <v/>
      </c>
      <c r="I2907" s="78">
        <f>IF(ISBLANK(G2907),"",IF(D2907="Stock","0",Key!$A$3*H2907*G2907))</f>
        <v/>
      </c>
      <c r="J2907" s="78">
        <f>IF(ISBLANK(E2907),"",IF(ISNUMBER(SEARCH("/",E2907)), IF(LEN(E2907)-LEN(SUBSTITUTE(E2907,"/",""))=1,(RIGHT(E2907,LEN(E2907)-FIND("/",E2907)))-(LEFT(E2907,FIND("/",E2907)-1)),(MID(E2907, SEARCH("/",E2907) + 1, SEARCH("/",E2907, SEARCH("/",E2907)+1) - SEARCH("/",E2907) - 1))-(LEFT(E2907,FIND("/",E2907)-1))), "NA"))</f>
        <v/>
      </c>
      <c r="K2907" s="79">
        <f>IF(A2907&lt;&gt;"", IF(ISBLANK(L2907), TODAY(), K2907), "")</f>
        <v/>
      </c>
      <c r="L2907" s="78" t="n"/>
      <c r="M2907" s="78">
        <f>IF(ISBLANK(L2907),"",IF(D2907="Stock",IF(C2907="Buy",L2907*G2907,IF(C2907="Sell",(L2907*G2907)-I2907, X)),IF(C2907="Buy",(L2907*G2907*100)+I2907,IF(C2907="Sell",(L2907*G2907*100)-I2907, X))))</f>
        <v/>
      </c>
      <c r="N2907" s="78">
        <f>IF(ISBLANK(L2907),"",IF(AND(C2907="Sell",D2907="Stock"),M2907,IF(ISBLANK(L2907),"",IF(C2907="Buy",M2907, IF(AND(C2907="Sell",J2907="NA"),(E2907*G2907*100*0.1)+I2907, IF(C2907="Sell",(J2907-L2907)*(100*G2907)+I2907))))))</f>
        <v/>
      </c>
      <c r="O2907" s="75" t="n"/>
      <c r="P2907" s="75" t="n"/>
      <c r="Q2907" s="75">
        <f>IF(ISBLANK(P2907),"",IF(D2907="Stock",P2907*G2907,IF(P2907=0,"0",G2907*P2907*100-(G2907*$AF$14))))</f>
        <v/>
      </c>
      <c r="R2907" s="79">
        <f>IF(P2907&lt;&gt;"", TODAY(), "")</f>
        <v/>
      </c>
      <c r="S2907" s="78">
        <f>IF(AND(K2907&lt;&gt;"", R2907&lt;&gt;""), R2907-K2907, "")</f>
        <v/>
      </c>
      <c r="T2907" s="78" t="n"/>
      <c r="U2907" s="92">
        <f>IF(ISBLANK(P2907),"",IF(C2907="Buy",Q2907-M2907+T2907, IF(C2907="Sell",M2907-Q2907-T2907, X)))</f>
        <v/>
      </c>
      <c r="V2907" s="81">
        <f>IF(ISBLANK(P2907),"",U2907/N2907)</f>
        <v/>
      </c>
      <c r="W2907" s="81">
        <f>IF(ISBLANK(P2907),"",IF(S2907=0,(365/0.5)*V2907,(365/S2907)*V2907))</f>
        <v/>
      </c>
      <c r="X2907" s="75" t="n"/>
      <c r="Y2907" s="77" t="n"/>
      <c r="Z2907" s="77" t="n"/>
      <c r="AA2907" s="75" t="n"/>
      <c r="AB2907" s="75" t="n"/>
      <c r="AC2907" s="6" t="n"/>
      <c r="AD2907" s="75" t="n"/>
      <c r="AE2907" s="75" t="n"/>
      <c r="AF2907" s="75" t="n"/>
    </row>
    <row r="2908" ht="15.75" customHeight="1" s="133">
      <c r="A2908" s="75" t="n"/>
      <c r="B2908" s="75" t="n"/>
      <c r="C2908" s="75" t="n"/>
      <c r="D2908" s="75" t="n"/>
      <c r="E2908" s="76" t="n"/>
      <c r="F2908" s="77" t="n"/>
      <c r="G2908" s="75" t="n"/>
      <c r="H2908" s="75">
        <f>IF(ISBLANK(E2908),"",IF(OR(D2908="Butterfly",D2908="Butterfly ",D2908="Iron Fly", D2908="Iron Fly "),LEN(E2908)-LEN(SUBSTITUTE(E2908,"/",""))+2,LEN(E2908)-LEN(SUBSTITUTE(E2908,"/",""))+1))</f>
        <v/>
      </c>
      <c r="I2908" s="78">
        <f>IF(ISBLANK(G2908),"",IF(D2908="Stock","0",Key!$A$3*H2908*G2908))</f>
        <v/>
      </c>
      <c r="J2908" s="78">
        <f>IF(ISBLANK(E2908),"",IF(ISNUMBER(SEARCH("/",E2908)), IF(LEN(E2908)-LEN(SUBSTITUTE(E2908,"/",""))=1,(RIGHT(E2908,LEN(E2908)-FIND("/",E2908)))-(LEFT(E2908,FIND("/",E2908)-1)),(MID(E2908, SEARCH("/",E2908) + 1, SEARCH("/",E2908, SEARCH("/",E2908)+1) - SEARCH("/",E2908) - 1))-(LEFT(E2908,FIND("/",E2908)-1))), "NA"))</f>
        <v/>
      </c>
      <c r="K2908" s="79">
        <f>IF(A2908&lt;&gt;"", IF(ISBLANK(L2908), TODAY(), K2908), "")</f>
        <v/>
      </c>
      <c r="L2908" s="78" t="n"/>
      <c r="M2908" s="78">
        <f>IF(ISBLANK(L2908),"",IF(D2908="Stock",IF(C2908="Buy",L2908*G2908,IF(C2908="Sell",(L2908*G2908)-I2908, X)),IF(C2908="Buy",(L2908*G2908*100)+I2908,IF(C2908="Sell",(L2908*G2908*100)-I2908, X))))</f>
        <v/>
      </c>
      <c r="N2908" s="78">
        <f>IF(ISBLANK(L2908),"",IF(AND(C2908="Sell",D2908="Stock"),M2908,IF(ISBLANK(L2908),"",IF(C2908="Buy",M2908, IF(AND(C2908="Sell",J2908="NA"),(E2908*G2908*100*0.1)+I2908, IF(C2908="Sell",(J2908-L2908)*(100*G2908)+I2908))))))</f>
        <v/>
      </c>
      <c r="O2908" s="75" t="n"/>
      <c r="P2908" s="75" t="n"/>
      <c r="Q2908" s="75">
        <f>IF(ISBLANK(P2908),"",IF(D2908="Stock",P2908*G2908,IF(P2908=0,"0",G2908*P2908*100-(G2908*$AF$14))))</f>
        <v/>
      </c>
      <c r="R2908" s="79">
        <f>IF(P2908&lt;&gt;"", TODAY(), "")</f>
        <v/>
      </c>
      <c r="S2908" s="78">
        <f>IF(AND(K2908&lt;&gt;"", R2908&lt;&gt;""), R2908-K2908, "")</f>
        <v/>
      </c>
      <c r="T2908" s="78" t="n"/>
      <c r="U2908" s="92">
        <f>IF(ISBLANK(P2908),"",IF(C2908="Buy",Q2908-M2908+T2908, IF(C2908="Sell",M2908-Q2908-T2908, X)))</f>
        <v/>
      </c>
      <c r="V2908" s="81">
        <f>IF(ISBLANK(P2908),"",U2908/N2908)</f>
        <v/>
      </c>
      <c r="W2908" s="81">
        <f>IF(ISBLANK(P2908),"",IF(S2908=0,(365/0.5)*V2908,(365/S2908)*V2908))</f>
        <v/>
      </c>
      <c r="X2908" s="75" t="n"/>
      <c r="Y2908" s="77" t="n"/>
      <c r="Z2908" s="77" t="n"/>
      <c r="AA2908" s="75" t="n"/>
      <c r="AB2908" s="75" t="n"/>
      <c r="AC2908" s="6" t="n"/>
      <c r="AD2908" s="75" t="n"/>
      <c r="AE2908" s="75" t="n"/>
      <c r="AF2908" s="75" t="n"/>
    </row>
    <row r="2909" ht="15.75" customHeight="1" s="133">
      <c r="A2909" s="75" t="n"/>
      <c r="B2909" s="75" t="n"/>
      <c r="C2909" s="75" t="n"/>
      <c r="D2909" s="75" t="n"/>
      <c r="E2909" s="76" t="n"/>
      <c r="F2909" s="77" t="n"/>
      <c r="G2909" s="75" t="n"/>
      <c r="H2909" s="75">
        <f>IF(ISBLANK(E2909),"",IF(OR(D2909="Butterfly",D2909="Butterfly ",D2909="Iron Fly", D2909="Iron Fly "),LEN(E2909)-LEN(SUBSTITUTE(E2909,"/",""))+2,LEN(E2909)-LEN(SUBSTITUTE(E2909,"/",""))+1))</f>
        <v/>
      </c>
      <c r="I2909" s="78">
        <f>IF(ISBLANK(G2909),"",IF(D2909="Stock","0",Key!$A$3*H2909*G2909))</f>
        <v/>
      </c>
      <c r="J2909" s="78">
        <f>IF(ISBLANK(E2909),"",IF(ISNUMBER(SEARCH("/",E2909)), IF(LEN(E2909)-LEN(SUBSTITUTE(E2909,"/",""))=1,(RIGHT(E2909,LEN(E2909)-FIND("/",E2909)))-(LEFT(E2909,FIND("/",E2909)-1)),(MID(E2909, SEARCH("/",E2909) + 1, SEARCH("/",E2909, SEARCH("/",E2909)+1) - SEARCH("/",E2909) - 1))-(LEFT(E2909,FIND("/",E2909)-1))), "NA"))</f>
        <v/>
      </c>
      <c r="K2909" s="79">
        <f>IF(A2909&lt;&gt;"", IF(ISBLANK(L2909), TODAY(), K2909), "")</f>
        <v/>
      </c>
      <c r="L2909" s="78" t="n"/>
      <c r="M2909" s="78">
        <f>IF(ISBLANK(L2909),"",IF(D2909="Stock",IF(C2909="Buy",L2909*G2909,IF(C2909="Sell",(L2909*G2909)-I2909, X)),IF(C2909="Buy",(L2909*G2909*100)+I2909,IF(C2909="Sell",(L2909*G2909*100)-I2909, X))))</f>
        <v/>
      </c>
      <c r="N2909" s="78">
        <f>IF(ISBLANK(L2909),"",IF(AND(C2909="Sell",D2909="Stock"),M2909,IF(ISBLANK(L2909),"",IF(C2909="Buy",M2909, IF(AND(C2909="Sell",J2909="NA"),(E2909*G2909*100*0.1)+I2909, IF(C2909="Sell",(J2909-L2909)*(100*G2909)+I2909))))))</f>
        <v/>
      </c>
      <c r="O2909" s="75" t="n"/>
      <c r="P2909" s="75" t="n"/>
      <c r="Q2909" s="75">
        <f>IF(ISBLANK(P2909),"",IF(D2909="Stock",P2909*G2909,IF(P2909=0,"0",G2909*P2909*100-(G2909*$AF$14))))</f>
        <v/>
      </c>
      <c r="R2909" s="79">
        <f>IF(P2909&lt;&gt;"", TODAY(), "")</f>
        <v/>
      </c>
      <c r="S2909" s="78">
        <f>IF(AND(K2909&lt;&gt;"", R2909&lt;&gt;""), R2909-K2909, "")</f>
        <v/>
      </c>
      <c r="T2909" s="78" t="n"/>
      <c r="U2909" s="92">
        <f>IF(ISBLANK(P2909),"",IF(C2909="Buy",Q2909-M2909+T2909, IF(C2909="Sell",M2909-Q2909-T2909, X)))</f>
        <v/>
      </c>
      <c r="V2909" s="81">
        <f>IF(ISBLANK(P2909),"",U2909/N2909)</f>
        <v/>
      </c>
      <c r="W2909" s="81">
        <f>IF(ISBLANK(P2909),"",IF(S2909=0,(365/0.5)*V2909,(365/S2909)*V2909))</f>
        <v/>
      </c>
      <c r="X2909" s="75" t="n"/>
      <c r="Y2909" s="77" t="n"/>
      <c r="Z2909" s="77" t="n"/>
      <c r="AA2909" s="75" t="n"/>
      <c r="AB2909" s="75" t="n"/>
      <c r="AC2909" s="6" t="n"/>
      <c r="AD2909" s="75" t="n"/>
      <c r="AE2909" s="75" t="n"/>
      <c r="AF2909" s="75" t="n"/>
    </row>
    <row r="2910" ht="15.75" customHeight="1" s="133">
      <c r="A2910" s="75" t="n"/>
      <c r="B2910" s="75" t="n"/>
      <c r="C2910" s="75" t="n"/>
      <c r="D2910" s="75" t="n"/>
      <c r="E2910" s="76" t="n"/>
      <c r="F2910" s="77" t="n"/>
      <c r="G2910" s="75" t="n"/>
      <c r="H2910" s="75">
        <f>IF(ISBLANK(E2910),"",IF(OR(D2910="Butterfly",D2910="Butterfly ",D2910="Iron Fly", D2910="Iron Fly "),LEN(E2910)-LEN(SUBSTITUTE(E2910,"/",""))+2,LEN(E2910)-LEN(SUBSTITUTE(E2910,"/",""))+1))</f>
        <v/>
      </c>
      <c r="I2910" s="78">
        <f>IF(ISBLANK(G2910),"",IF(D2910="Stock","0",Key!$A$3*H2910*G2910))</f>
        <v/>
      </c>
      <c r="J2910" s="78">
        <f>IF(ISBLANK(E2910),"",IF(ISNUMBER(SEARCH("/",E2910)), IF(LEN(E2910)-LEN(SUBSTITUTE(E2910,"/",""))=1,(RIGHT(E2910,LEN(E2910)-FIND("/",E2910)))-(LEFT(E2910,FIND("/",E2910)-1)),(MID(E2910, SEARCH("/",E2910) + 1, SEARCH("/",E2910, SEARCH("/",E2910)+1) - SEARCH("/",E2910) - 1))-(LEFT(E2910,FIND("/",E2910)-1))), "NA"))</f>
        <v/>
      </c>
      <c r="K2910" s="79">
        <f>IF(A2910&lt;&gt;"", IF(ISBLANK(L2910), TODAY(), K2910), "")</f>
        <v/>
      </c>
      <c r="L2910" s="78" t="n"/>
      <c r="M2910" s="78">
        <f>IF(ISBLANK(L2910),"",IF(D2910="Stock",IF(C2910="Buy",L2910*G2910,IF(C2910="Sell",(L2910*G2910)-I2910, X)),IF(C2910="Buy",(L2910*G2910*100)+I2910,IF(C2910="Sell",(L2910*G2910*100)-I2910, X))))</f>
        <v/>
      </c>
      <c r="N2910" s="78">
        <f>IF(ISBLANK(L2910),"",IF(AND(C2910="Sell",D2910="Stock"),M2910,IF(ISBLANK(L2910),"",IF(C2910="Buy",M2910, IF(AND(C2910="Sell",J2910="NA"),(E2910*G2910*100*0.1)+I2910, IF(C2910="Sell",(J2910-L2910)*(100*G2910)+I2910))))))</f>
        <v/>
      </c>
      <c r="O2910" s="75" t="n"/>
      <c r="P2910" s="75" t="n"/>
      <c r="Q2910" s="75">
        <f>IF(ISBLANK(P2910),"",IF(D2910="Stock",P2910*G2910,IF(P2910=0,"0",G2910*P2910*100-(G2910*$AF$14))))</f>
        <v/>
      </c>
      <c r="R2910" s="79">
        <f>IF(P2910&lt;&gt;"", TODAY(), "")</f>
        <v/>
      </c>
      <c r="S2910" s="78">
        <f>IF(AND(K2910&lt;&gt;"", R2910&lt;&gt;""), R2910-K2910, "")</f>
        <v/>
      </c>
      <c r="T2910" s="78" t="n"/>
      <c r="U2910" s="92">
        <f>IF(ISBLANK(P2910),"",IF(C2910="Buy",Q2910-M2910+T2910, IF(C2910="Sell",M2910-Q2910-T2910, X)))</f>
        <v/>
      </c>
      <c r="V2910" s="81">
        <f>IF(ISBLANK(P2910),"",U2910/N2910)</f>
        <v/>
      </c>
      <c r="W2910" s="81">
        <f>IF(ISBLANK(P2910),"",IF(S2910=0,(365/0.5)*V2910,(365/S2910)*V2910))</f>
        <v/>
      </c>
      <c r="X2910" s="75" t="n"/>
      <c r="Y2910" s="77" t="n"/>
      <c r="Z2910" s="77" t="n"/>
      <c r="AA2910" s="75" t="n"/>
      <c r="AB2910" s="75" t="n"/>
      <c r="AC2910" s="6" t="n"/>
      <c r="AD2910" s="75" t="n"/>
      <c r="AE2910" s="75" t="n"/>
      <c r="AF2910" s="75" t="n"/>
    </row>
    <row r="2911" ht="15.75" customHeight="1" s="133">
      <c r="A2911" s="75" t="n"/>
      <c r="B2911" s="75" t="n"/>
      <c r="C2911" s="75" t="n"/>
      <c r="D2911" s="75" t="n"/>
      <c r="E2911" s="76" t="n"/>
      <c r="F2911" s="77" t="n"/>
      <c r="G2911" s="75" t="n"/>
      <c r="H2911" s="75">
        <f>IF(ISBLANK(E2911),"",IF(OR(D2911="Butterfly",D2911="Butterfly ",D2911="Iron Fly", D2911="Iron Fly "),LEN(E2911)-LEN(SUBSTITUTE(E2911,"/",""))+2,LEN(E2911)-LEN(SUBSTITUTE(E2911,"/",""))+1))</f>
        <v/>
      </c>
      <c r="I2911" s="78">
        <f>IF(ISBLANK(G2911),"",IF(D2911="Stock","0",Key!$A$3*H2911*G2911))</f>
        <v/>
      </c>
      <c r="J2911" s="78">
        <f>IF(ISBLANK(E2911),"",IF(ISNUMBER(SEARCH("/",E2911)), IF(LEN(E2911)-LEN(SUBSTITUTE(E2911,"/",""))=1,(RIGHT(E2911,LEN(E2911)-FIND("/",E2911)))-(LEFT(E2911,FIND("/",E2911)-1)),(MID(E2911, SEARCH("/",E2911) + 1, SEARCH("/",E2911, SEARCH("/",E2911)+1) - SEARCH("/",E2911) - 1))-(LEFT(E2911,FIND("/",E2911)-1))), "NA"))</f>
        <v/>
      </c>
      <c r="K2911" s="79">
        <f>IF(A2911&lt;&gt;"", IF(ISBLANK(L2911), TODAY(), K2911), "")</f>
        <v/>
      </c>
      <c r="L2911" s="78" t="n"/>
      <c r="M2911" s="78">
        <f>IF(ISBLANK(L2911),"",IF(D2911="Stock",IF(C2911="Buy",L2911*G2911,IF(C2911="Sell",(L2911*G2911)-I2911, X)),IF(C2911="Buy",(L2911*G2911*100)+I2911,IF(C2911="Sell",(L2911*G2911*100)-I2911, X))))</f>
        <v/>
      </c>
      <c r="N2911" s="78">
        <f>IF(ISBLANK(L2911),"",IF(AND(C2911="Sell",D2911="Stock"),M2911,IF(ISBLANK(L2911),"",IF(C2911="Buy",M2911, IF(AND(C2911="Sell",J2911="NA"),(E2911*G2911*100*0.1)+I2911, IF(C2911="Sell",(J2911-L2911)*(100*G2911)+I2911))))))</f>
        <v/>
      </c>
      <c r="O2911" s="75" t="n"/>
      <c r="P2911" s="75" t="n"/>
      <c r="Q2911" s="75">
        <f>IF(ISBLANK(P2911),"",IF(D2911="Stock",P2911*G2911,IF(P2911=0,"0",G2911*P2911*100-(G2911*$AF$14))))</f>
        <v/>
      </c>
      <c r="R2911" s="79">
        <f>IF(P2911&lt;&gt;"", TODAY(), "")</f>
        <v/>
      </c>
      <c r="S2911" s="78">
        <f>IF(AND(K2911&lt;&gt;"", R2911&lt;&gt;""), R2911-K2911, "")</f>
        <v/>
      </c>
      <c r="T2911" s="78" t="n"/>
      <c r="U2911" s="92">
        <f>IF(ISBLANK(P2911),"",IF(C2911="Buy",Q2911-M2911+T2911, IF(C2911="Sell",M2911-Q2911-T2911, X)))</f>
        <v/>
      </c>
      <c r="V2911" s="81">
        <f>IF(ISBLANK(P2911),"",U2911/N2911)</f>
        <v/>
      </c>
      <c r="W2911" s="81">
        <f>IF(ISBLANK(P2911),"",IF(S2911=0,(365/0.5)*V2911,(365/S2911)*V2911))</f>
        <v/>
      </c>
      <c r="X2911" s="75" t="n"/>
      <c r="Y2911" s="77" t="n"/>
      <c r="Z2911" s="77" t="n"/>
      <c r="AA2911" s="75" t="n"/>
      <c r="AB2911" s="75" t="n"/>
      <c r="AC2911" s="6" t="n"/>
      <c r="AD2911" s="75" t="n"/>
      <c r="AE2911" s="75" t="n"/>
      <c r="AF2911" s="75" t="n"/>
    </row>
    <row r="2912" ht="15.75" customHeight="1" s="133">
      <c r="A2912" s="75" t="n"/>
      <c r="B2912" s="75" t="n"/>
      <c r="C2912" s="75" t="n"/>
      <c r="D2912" s="75" t="n"/>
      <c r="E2912" s="76" t="n"/>
      <c r="F2912" s="77" t="n"/>
      <c r="G2912" s="75" t="n"/>
      <c r="H2912" s="75">
        <f>IF(ISBLANK(E2912),"",IF(OR(D2912="Butterfly",D2912="Butterfly ",D2912="Iron Fly", D2912="Iron Fly "),LEN(E2912)-LEN(SUBSTITUTE(E2912,"/",""))+2,LEN(E2912)-LEN(SUBSTITUTE(E2912,"/",""))+1))</f>
        <v/>
      </c>
      <c r="I2912" s="78">
        <f>IF(ISBLANK(G2912),"",IF(D2912="Stock","0",Key!$A$3*H2912*G2912))</f>
        <v/>
      </c>
      <c r="J2912" s="78">
        <f>IF(ISBLANK(E2912),"",IF(ISNUMBER(SEARCH("/",E2912)), IF(LEN(E2912)-LEN(SUBSTITUTE(E2912,"/",""))=1,(RIGHT(E2912,LEN(E2912)-FIND("/",E2912)))-(LEFT(E2912,FIND("/",E2912)-1)),(MID(E2912, SEARCH("/",E2912) + 1, SEARCH("/",E2912, SEARCH("/",E2912)+1) - SEARCH("/",E2912) - 1))-(LEFT(E2912,FIND("/",E2912)-1))), "NA"))</f>
        <v/>
      </c>
      <c r="K2912" s="79">
        <f>IF(A2912&lt;&gt;"", IF(ISBLANK(L2912), TODAY(), K2912), "")</f>
        <v/>
      </c>
      <c r="L2912" s="78" t="n"/>
      <c r="M2912" s="78">
        <f>IF(ISBLANK(L2912),"",IF(D2912="Stock",IF(C2912="Buy",L2912*G2912,IF(C2912="Sell",(L2912*G2912)-I2912, X)),IF(C2912="Buy",(L2912*G2912*100)+I2912,IF(C2912="Sell",(L2912*G2912*100)-I2912, X))))</f>
        <v/>
      </c>
      <c r="N2912" s="78">
        <f>IF(ISBLANK(L2912),"",IF(AND(C2912="Sell",D2912="Stock"),M2912,IF(ISBLANK(L2912),"",IF(C2912="Buy",M2912, IF(AND(C2912="Sell",J2912="NA"),(E2912*G2912*100*0.1)+I2912, IF(C2912="Sell",(J2912-L2912)*(100*G2912)+I2912))))))</f>
        <v/>
      </c>
      <c r="O2912" s="75" t="n"/>
      <c r="P2912" s="75" t="n"/>
      <c r="Q2912" s="75">
        <f>IF(ISBLANK(P2912),"",IF(D2912="Stock",P2912*G2912,IF(P2912=0,"0",G2912*P2912*100-(G2912*$AF$14))))</f>
        <v/>
      </c>
      <c r="R2912" s="79">
        <f>IF(P2912&lt;&gt;"", TODAY(), "")</f>
        <v/>
      </c>
      <c r="S2912" s="78">
        <f>IF(AND(K2912&lt;&gt;"", R2912&lt;&gt;""), R2912-K2912, "")</f>
        <v/>
      </c>
      <c r="T2912" s="78" t="n"/>
      <c r="U2912" s="92">
        <f>IF(ISBLANK(P2912),"",IF(C2912="Buy",Q2912-M2912+T2912, IF(C2912="Sell",M2912-Q2912-T2912, X)))</f>
        <v/>
      </c>
      <c r="V2912" s="81">
        <f>IF(ISBLANK(P2912),"",U2912/N2912)</f>
        <v/>
      </c>
      <c r="W2912" s="81">
        <f>IF(ISBLANK(P2912),"",IF(S2912=0,(365/0.5)*V2912,(365/S2912)*V2912))</f>
        <v/>
      </c>
      <c r="X2912" s="75" t="n"/>
      <c r="Y2912" s="77" t="n"/>
      <c r="Z2912" s="77" t="n"/>
      <c r="AA2912" s="75" t="n"/>
      <c r="AB2912" s="75" t="n"/>
      <c r="AC2912" s="6" t="n"/>
      <c r="AD2912" s="75" t="n"/>
      <c r="AE2912" s="75" t="n"/>
      <c r="AF2912" s="75" t="n"/>
    </row>
    <row r="2913" ht="15.75" customHeight="1" s="133">
      <c r="A2913" s="75" t="n"/>
      <c r="B2913" s="75" t="n"/>
      <c r="C2913" s="75" t="n"/>
      <c r="D2913" s="75" t="n"/>
      <c r="E2913" s="76" t="n"/>
      <c r="F2913" s="77" t="n"/>
      <c r="G2913" s="75" t="n"/>
      <c r="H2913" s="75">
        <f>IF(ISBLANK(E2913),"",IF(OR(D2913="Butterfly",D2913="Butterfly ",D2913="Iron Fly", D2913="Iron Fly "),LEN(E2913)-LEN(SUBSTITUTE(E2913,"/",""))+2,LEN(E2913)-LEN(SUBSTITUTE(E2913,"/",""))+1))</f>
        <v/>
      </c>
      <c r="I2913" s="78">
        <f>IF(ISBLANK(G2913),"",IF(D2913="Stock","0",Key!$A$3*H2913*G2913))</f>
        <v/>
      </c>
      <c r="J2913" s="78">
        <f>IF(ISBLANK(E2913),"",IF(ISNUMBER(SEARCH("/",E2913)), IF(LEN(E2913)-LEN(SUBSTITUTE(E2913,"/",""))=1,(RIGHT(E2913,LEN(E2913)-FIND("/",E2913)))-(LEFT(E2913,FIND("/",E2913)-1)),(MID(E2913, SEARCH("/",E2913) + 1, SEARCH("/",E2913, SEARCH("/",E2913)+1) - SEARCH("/",E2913) - 1))-(LEFT(E2913,FIND("/",E2913)-1))), "NA"))</f>
        <v/>
      </c>
      <c r="K2913" s="79">
        <f>IF(A2913&lt;&gt;"", IF(ISBLANK(L2913), TODAY(), K2913), "")</f>
        <v/>
      </c>
      <c r="L2913" s="78" t="n"/>
      <c r="M2913" s="78">
        <f>IF(ISBLANK(L2913),"",IF(D2913="Stock",IF(C2913="Buy",L2913*G2913,IF(C2913="Sell",(L2913*G2913)-I2913, X)),IF(C2913="Buy",(L2913*G2913*100)+I2913,IF(C2913="Sell",(L2913*G2913*100)-I2913, X))))</f>
        <v/>
      </c>
      <c r="N2913" s="78">
        <f>IF(ISBLANK(L2913),"",IF(AND(C2913="Sell",D2913="Stock"),M2913,IF(ISBLANK(L2913),"",IF(C2913="Buy",M2913, IF(AND(C2913="Sell",J2913="NA"),(E2913*G2913*100*0.1)+I2913, IF(C2913="Sell",(J2913-L2913)*(100*G2913)+I2913))))))</f>
        <v/>
      </c>
      <c r="O2913" s="75" t="n"/>
      <c r="P2913" s="75" t="n"/>
      <c r="Q2913" s="75">
        <f>IF(ISBLANK(P2913),"",IF(D2913="Stock",P2913*G2913,IF(P2913=0,"0",G2913*P2913*100-(G2913*$AF$14))))</f>
        <v/>
      </c>
      <c r="R2913" s="79">
        <f>IF(P2913&lt;&gt;"", TODAY(), "")</f>
        <v/>
      </c>
      <c r="S2913" s="78">
        <f>IF(AND(K2913&lt;&gt;"", R2913&lt;&gt;""), R2913-K2913, "")</f>
        <v/>
      </c>
      <c r="T2913" s="78" t="n"/>
      <c r="U2913" s="92">
        <f>IF(ISBLANK(P2913),"",IF(C2913="Buy",Q2913-M2913+T2913, IF(C2913="Sell",M2913-Q2913-T2913, X)))</f>
        <v/>
      </c>
      <c r="V2913" s="81">
        <f>IF(ISBLANK(P2913),"",U2913/N2913)</f>
        <v/>
      </c>
      <c r="W2913" s="81">
        <f>IF(ISBLANK(P2913),"",IF(S2913=0,(365/0.5)*V2913,(365/S2913)*V2913))</f>
        <v/>
      </c>
      <c r="X2913" s="75" t="n"/>
      <c r="Y2913" s="77" t="n"/>
      <c r="Z2913" s="77" t="n"/>
      <c r="AA2913" s="75" t="n"/>
      <c r="AB2913" s="75" t="n"/>
      <c r="AC2913" s="6" t="n"/>
      <c r="AD2913" s="75" t="n"/>
      <c r="AE2913" s="75" t="n"/>
      <c r="AF2913" s="75" t="n"/>
    </row>
    <row r="2914" ht="15.75" customHeight="1" s="133">
      <c r="A2914" s="75" t="n"/>
      <c r="B2914" s="75" t="n"/>
      <c r="C2914" s="75" t="n"/>
      <c r="D2914" s="75" t="n"/>
      <c r="E2914" s="76" t="n"/>
      <c r="F2914" s="77" t="n"/>
      <c r="G2914" s="75" t="n"/>
      <c r="H2914" s="75">
        <f>IF(ISBLANK(E2914),"",IF(OR(D2914="Butterfly",D2914="Butterfly ",D2914="Iron Fly", D2914="Iron Fly "),LEN(E2914)-LEN(SUBSTITUTE(E2914,"/",""))+2,LEN(E2914)-LEN(SUBSTITUTE(E2914,"/",""))+1))</f>
        <v/>
      </c>
      <c r="I2914" s="78">
        <f>IF(ISBLANK(G2914),"",IF(D2914="Stock","0",Key!$A$3*H2914*G2914))</f>
        <v/>
      </c>
      <c r="J2914" s="78">
        <f>IF(ISBLANK(E2914),"",IF(ISNUMBER(SEARCH("/",E2914)), IF(LEN(E2914)-LEN(SUBSTITUTE(E2914,"/",""))=1,(RIGHT(E2914,LEN(E2914)-FIND("/",E2914)))-(LEFT(E2914,FIND("/",E2914)-1)),(MID(E2914, SEARCH("/",E2914) + 1, SEARCH("/",E2914, SEARCH("/",E2914)+1) - SEARCH("/",E2914) - 1))-(LEFT(E2914,FIND("/",E2914)-1))), "NA"))</f>
        <v/>
      </c>
      <c r="K2914" s="79">
        <f>IF(A2914&lt;&gt;"", IF(ISBLANK(L2914), TODAY(), K2914), "")</f>
        <v/>
      </c>
      <c r="L2914" s="78" t="n"/>
      <c r="M2914" s="78">
        <f>IF(ISBLANK(L2914),"",IF(D2914="Stock",IF(C2914="Buy",L2914*G2914,IF(C2914="Sell",(L2914*G2914)-I2914, X)),IF(C2914="Buy",(L2914*G2914*100)+I2914,IF(C2914="Sell",(L2914*G2914*100)-I2914, X))))</f>
        <v/>
      </c>
      <c r="N2914" s="78">
        <f>IF(ISBLANK(L2914),"",IF(AND(C2914="Sell",D2914="Stock"),M2914,IF(ISBLANK(L2914),"",IF(C2914="Buy",M2914, IF(AND(C2914="Sell",J2914="NA"),(E2914*G2914*100*0.1)+I2914, IF(C2914="Sell",(J2914-L2914)*(100*G2914)+I2914))))))</f>
        <v/>
      </c>
      <c r="O2914" s="75" t="n"/>
      <c r="P2914" s="75" t="n"/>
      <c r="Q2914" s="75">
        <f>IF(ISBLANK(P2914),"",IF(D2914="Stock",P2914*G2914,IF(P2914=0,"0",G2914*P2914*100-(G2914*$AF$14))))</f>
        <v/>
      </c>
      <c r="R2914" s="79">
        <f>IF(P2914&lt;&gt;"", TODAY(), "")</f>
        <v/>
      </c>
      <c r="S2914" s="78">
        <f>IF(AND(K2914&lt;&gt;"", R2914&lt;&gt;""), R2914-K2914, "")</f>
        <v/>
      </c>
      <c r="T2914" s="78" t="n"/>
      <c r="U2914" s="92">
        <f>IF(ISBLANK(P2914),"",IF(C2914="Buy",Q2914-M2914+T2914, IF(C2914="Sell",M2914-Q2914-T2914, X)))</f>
        <v/>
      </c>
      <c r="V2914" s="81">
        <f>IF(ISBLANK(P2914),"",U2914/N2914)</f>
        <v/>
      </c>
      <c r="W2914" s="81">
        <f>IF(ISBLANK(P2914),"",IF(S2914=0,(365/0.5)*V2914,(365/S2914)*V2914))</f>
        <v/>
      </c>
      <c r="X2914" s="75" t="n"/>
      <c r="Y2914" s="77" t="n"/>
      <c r="Z2914" s="77" t="n"/>
      <c r="AA2914" s="75" t="n"/>
      <c r="AB2914" s="75" t="n"/>
      <c r="AC2914" s="6" t="n"/>
      <c r="AD2914" s="75" t="n"/>
      <c r="AE2914" s="75" t="n"/>
      <c r="AF2914" s="75" t="n"/>
    </row>
    <row r="2915" ht="15.75" customHeight="1" s="133">
      <c r="A2915" s="75" t="n"/>
      <c r="B2915" s="75" t="n"/>
      <c r="C2915" s="75" t="n"/>
      <c r="D2915" s="75" t="n"/>
      <c r="E2915" s="76" t="n"/>
      <c r="F2915" s="77" t="n"/>
      <c r="G2915" s="75" t="n"/>
      <c r="H2915" s="75">
        <f>IF(ISBLANK(E2915),"",IF(OR(D2915="Butterfly",D2915="Butterfly ",D2915="Iron Fly", D2915="Iron Fly "),LEN(E2915)-LEN(SUBSTITUTE(E2915,"/",""))+2,LEN(E2915)-LEN(SUBSTITUTE(E2915,"/",""))+1))</f>
        <v/>
      </c>
      <c r="I2915" s="78">
        <f>IF(ISBLANK(G2915),"",IF(D2915="Stock","0",Key!$A$3*H2915*G2915))</f>
        <v/>
      </c>
      <c r="J2915" s="78">
        <f>IF(ISBLANK(E2915),"",IF(ISNUMBER(SEARCH("/",E2915)), IF(LEN(E2915)-LEN(SUBSTITUTE(E2915,"/",""))=1,(RIGHT(E2915,LEN(E2915)-FIND("/",E2915)))-(LEFT(E2915,FIND("/",E2915)-1)),(MID(E2915, SEARCH("/",E2915) + 1, SEARCH("/",E2915, SEARCH("/",E2915)+1) - SEARCH("/",E2915) - 1))-(LEFT(E2915,FIND("/",E2915)-1))), "NA"))</f>
        <v/>
      </c>
      <c r="K2915" s="79">
        <f>IF(A2915&lt;&gt;"", IF(ISBLANK(L2915), TODAY(), K2915), "")</f>
        <v/>
      </c>
      <c r="L2915" s="78" t="n"/>
      <c r="M2915" s="78">
        <f>IF(ISBLANK(L2915),"",IF(D2915="Stock",IF(C2915="Buy",L2915*G2915,IF(C2915="Sell",(L2915*G2915)-I2915, X)),IF(C2915="Buy",(L2915*G2915*100)+I2915,IF(C2915="Sell",(L2915*G2915*100)-I2915, X))))</f>
        <v/>
      </c>
      <c r="N2915" s="78">
        <f>IF(ISBLANK(L2915),"",IF(AND(C2915="Sell",D2915="Stock"),M2915,IF(ISBLANK(L2915),"",IF(C2915="Buy",M2915, IF(AND(C2915="Sell",J2915="NA"),(E2915*G2915*100*0.1)+I2915, IF(C2915="Sell",(J2915-L2915)*(100*G2915)+I2915))))))</f>
        <v/>
      </c>
      <c r="O2915" s="75" t="n"/>
      <c r="P2915" s="75" t="n"/>
      <c r="Q2915" s="75">
        <f>IF(ISBLANK(P2915),"",IF(D2915="Stock",P2915*G2915,IF(P2915=0,"0",G2915*P2915*100-(G2915*$AF$14))))</f>
        <v/>
      </c>
      <c r="R2915" s="79">
        <f>IF(P2915&lt;&gt;"", TODAY(), "")</f>
        <v/>
      </c>
      <c r="S2915" s="78">
        <f>IF(AND(K2915&lt;&gt;"", R2915&lt;&gt;""), R2915-K2915, "")</f>
        <v/>
      </c>
      <c r="T2915" s="78" t="n"/>
      <c r="U2915" s="92">
        <f>IF(ISBLANK(P2915),"",IF(C2915="Buy",Q2915-M2915+T2915, IF(C2915="Sell",M2915-Q2915-T2915, X)))</f>
        <v/>
      </c>
      <c r="V2915" s="81">
        <f>IF(ISBLANK(P2915),"",U2915/N2915)</f>
        <v/>
      </c>
      <c r="W2915" s="81">
        <f>IF(ISBLANK(P2915),"",IF(S2915=0,(365/0.5)*V2915,(365/S2915)*V2915))</f>
        <v/>
      </c>
      <c r="X2915" s="75" t="n"/>
      <c r="Y2915" s="77" t="n"/>
      <c r="Z2915" s="77" t="n"/>
      <c r="AA2915" s="75" t="n"/>
      <c r="AB2915" s="75" t="n"/>
      <c r="AC2915" s="6" t="n"/>
      <c r="AD2915" s="75" t="n"/>
      <c r="AE2915" s="75" t="n"/>
      <c r="AF2915" s="75" t="n"/>
    </row>
    <row r="2916" ht="15.75" customHeight="1" s="133">
      <c r="A2916" s="75" t="n"/>
      <c r="B2916" s="75" t="n"/>
      <c r="C2916" s="75" t="n"/>
      <c r="D2916" s="75" t="n"/>
      <c r="E2916" s="76" t="n"/>
      <c r="F2916" s="77" t="n"/>
      <c r="G2916" s="75" t="n"/>
      <c r="H2916" s="75">
        <f>IF(ISBLANK(E2916),"",IF(OR(D2916="Butterfly",D2916="Butterfly ",D2916="Iron Fly", D2916="Iron Fly "),LEN(E2916)-LEN(SUBSTITUTE(E2916,"/",""))+2,LEN(E2916)-LEN(SUBSTITUTE(E2916,"/",""))+1))</f>
        <v/>
      </c>
      <c r="I2916" s="78">
        <f>IF(ISBLANK(G2916),"",IF(D2916="Stock","0",Key!$A$3*H2916*G2916))</f>
        <v/>
      </c>
      <c r="J2916" s="78">
        <f>IF(ISBLANK(E2916),"",IF(ISNUMBER(SEARCH("/",E2916)), IF(LEN(E2916)-LEN(SUBSTITUTE(E2916,"/",""))=1,(RIGHT(E2916,LEN(E2916)-FIND("/",E2916)))-(LEFT(E2916,FIND("/",E2916)-1)),(MID(E2916, SEARCH("/",E2916) + 1, SEARCH("/",E2916, SEARCH("/",E2916)+1) - SEARCH("/",E2916) - 1))-(LEFT(E2916,FIND("/",E2916)-1))), "NA"))</f>
        <v/>
      </c>
      <c r="K2916" s="79">
        <f>IF(A2916&lt;&gt;"", IF(ISBLANK(L2916), TODAY(), K2916), "")</f>
        <v/>
      </c>
      <c r="L2916" s="78" t="n"/>
      <c r="M2916" s="78">
        <f>IF(ISBLANK(L2916),"",IF(D2916="Stock",IF(C2916="Buy",L2916*G2916,IF(C2916="Sell",(L2916*G2916)-I2916, X)),IF(C2916="Buy",(L2916*G2916*100)+I2916,IF(C2916="Sell",(L2916*G2916*100)-I2916, X))))</f>
        <v/>
      </c>
      <c r="N2916" s="78">
        <f>IF(ISBLANK(L2916),"",IF(AND(C2916="Sell",D2916="Stock"),M2916,IF(ISBLANK(L2916),"",IF(C2916="Buy",M2916, IF(AND(C2916="Sell",J2916="NA"),(E2916*G2916*100*0.1)+I2916, IF(C2916="Sell",(J2916-L2916)*(100*G2916)+I2916))))))</f>
        <v/>
      </c>
      <c r="O2916" s="75" t="n"/>
      <c r="P2916" s="75" t="n"/>
      <c r="Q2916" s="75">
        <f>IF(ISBLANK(P2916),"",IF(D2916="Stock",P2916*G2916,IF(P2916=0,"0",G2916*P2916*100-(G2916*$AF$14))))</f>
        <v/>
      </c>
      <c r="R2916" s="79">
        <f>IF(P2916&lt;&gt;"", TODAY(), "")</f>
        <v/>
      </c>
      <c r="S2916" s="78">
        <f>IF(AND(K2916&lt;&gt;"", R2916&lt;&gt;""), R2916-K2916, "")</f>
        <v/>
      </c>
      <c r="T2916" s="78" t="n"/>
      <c r="U2916" s="92">
        <f>IF(ISBLANK(P2916),"",IF(C2916="Buy",Q2916-M2916+T2916, IF(C2916="Sell",M2916-Q2916-T2916, X)))</f>
        <v/>
      </c>
      <c r="V2916" s="81">
        <f>IF(ISBLANK(P2916),"",U2916/N2916)</f>
        <v/>
      </c>
      <c r="W2916" s="81">
        <f>IF(ISBLANK(P2916),"",IF(S2916=0,(365/0.5)*V2916,(365/S2916)*V2916))</f>
        <v/>
      </c>
      <c r="X2916" s="75" t="n"/>
      <c r="Y2916" s="77" t="n"/>
      <c r="Z2916" s="77" t="n"/>
      <c r="AA2916" s="75" t="n"/>
      <c r="AB2916" s="75" t="n"/>
      <c r="AC2916" s="6" t="n"/>
      <c r="AD2916" s="75" t="n"/>
      <c r="AE2916" s="75" t="n"/>
      <c r="AF2916" s="75" t="n"/>
    </row>
    <row r="2917" ht="15.75" customHeight="1" s="133">
      <c r="A2917" s="75" t="n"/>
      <c r="B2917" s="75" t="n"/>
      <c r="C2917" s="75" t="n"/>
      <c r="D2917" s="75" t="n"/>
      <c r="E2917" s="76" t="n"/>
      <c r="F2917" s="77" t="n"/>
      <c r="G2917" s="75" t="n"/>
      <c r="H2917" s="75">
        <f>IF(ISBLANK(E2917),"",IF(OR(D2917="Butterfly",D2917="Butterfly ",D2917="Iron Fly", D2917="Iron Fly "),LEN(E2917)-LEN(SUBSTITUTE(E2917,"/",""))+2,LEN(E2917)-LEN(SUBSTITUTE(E2917,"/",""))+1))</f>
        <v/>
      </c>
      <c r="I2917" s="78">
        <f>IF(ISBLANK(G2917),"",IF(D2917="Stock","0",Key!$A$3*H2917*G2917))</f>
        <v/>
      </c>
      <c r="J2917" s="78">
        <f>IF(ISBLANK(E2917),"",IF(ISNUMBER(SEARCH("/",E2917)), IF(LEN(E2917)-LEN(SUBSTITUTE(E2917,"/",""))=1,(RIGHT(E2917,LEN(E2917)-FIND("/",E2917)))-(LEFT(E2917,FIND("/",E2917)-1)),(MID(E2917, SEARCH("/",E2917) + 1, SEARCH("/",E2917, SEARCH("/",E2917)+1) - SEARCH("/",E2917) - 1))-(LEFT(E2917,FIND("/",E2917)-1))), "NA"))</f>
        <v/>
      </c>
      <c r="K2917" s="79">
        <f>IF(A2917&lt;&gt;"", IF(ISBLANK(L2917), TODAY(), K2917), "")</f>
        <v/>
      </c>
      <c r="L2917" s="78" t="n"/>
      <c r="M2917" s="78">
        <f>IF(ISBLANK(L2917),"",IF(D2917="Stock",IF(C2917="Buy",L2917*G2917,IF(C2917="Sell",(L2917*G2917)-I2917, X)),IF(C2917="Buy",(L2917*G2917*100)+I2917,IF(C2917="Sell",(L2917*G2917*100)-I2917, X))))</f>
        <v/>
      </c>
      <c r="N2917" s="78">
        <f>IF(ISBLANK(L2917),"",IF(AND(C2917="Sell",D2917="Stock"),M2917,IF(ISBLANK(L2917),"",IF(C2917="Buy",M2917, IF(AND(C2917="Sell",J2917="NA"),(E2917*G2917*100*0.1)+I2917, IF(C2917="Sell",(J2917-L2917)*(100*G2917)+I2917))))))</f>
        <v/>
      </c>
      <c r="O2917" s="75" t="n"/>
      <c r="P2917" s="75" t="n"/>
      <c r="Q2917" s="75">
        <f>IF(ISBLANK(P2917),"",IF(D2917="Stock",P2917*G2917,IF(P2917=0,"0",G2917*P2917*100-(G2917*$AF$14))))</f>
        <v/>
      </c>
      <c r="R2917" s="79">
        <f>IF(P2917&lt;&gt;"", TODAY(), "")</f>
        <v/>
      </c>
      <c r="S2917" s="78">
        <f>IF(AND(K2917&lt;&gt;"", R2917&lt;&gt;""), R2917-K2917, "")</f>
        <v/>
      </c>
      <c r="T2917" s="78" t="n"/>
      <c r="U2917" s="92">
        <f>IF(ISBLANK(P2917),"",IF(C2917="Buy",Q2917-M2917+T2917, IF(C2917="Sell",M2917-Q2917-T2917, X)))</f>
        <v/>
      </c>
      <c r="V2917" s="81">
        <f>IF(ISBLANK(P2917),"",U2917/N2917)</f>
        <v/>
      </c>
      <c r="W2917" s="81">
        <f>IF(ISBLANK(P2917),"",IF(S2917=0,(365/0.5)*V2917,(365/S2917)*V2917))</f>
        <v/>
      </c>
      <c r="X2917" s="75" t="n"/>
      <c r="Y2917" s="77" t="n"/>
      <c r="Z2917" s="77" t="n"/>
      <c r="AA2917" s="75" t="n"/>
      <c r="AB2917" s="75" t="n"/>
      <c r="AC2917" s="6" t="n"/>
      <c r="AD2917" s="75" t="n"/>
      <c r="AE2917" s="75" t="n"/>
      <c r="AF2917" s="75" t="n"/>
    </row>
    <row r="2918" ht="15.75" customHeight="1" s="133">
      <c r="A2918" s="75" t="n"/>
      <c r="B2918" s="75" t="n"/>
      <c r="C2918" s="75" t="n"/>
      <c r="D2918" s="75" t="n"/>
      <c r="E2918" s="76" t="n"/>
      <c r="F2918" s="77" t="n"/>
      <c r="G2918" s="75" t="n"/>
      <c r="H2918" s="75">
        <f>IF(ISBLANK(E2918),"",IF(OR(D2918="Butterfly",D2918="Butterfly ",D2918="Iron Fly", D2918="Iron Fly "),LEN(E2918)-LEN(SUBSTITUTE(E2918,"/",""))+2,LEN(E2918)-LEN(SUBSTITUTE(E2918,"/",""))+1))</f>
        <v/>
      </c>
      <c r="I2918" s="78">
        <f>IF(ISBLANK(G2918),"",IF(D2918="Stock","0",Key!$A$3*H2918*G2918))</f>
        <v/>
      </c>
      <c r="J2918" s="78">
        <f>IF(ISBLANK(E2918),"",IF(ISNUMBER(SEARCH("/",E2918)), IF(LEN(E2918)-LEN(SUBSTITUTE(E2918,"/",""))=1,(RIGHT(E2918,LEN(E2918)-FIND("/",E2918)))-(LEFT(E2918,FIND("/",E2918)-1)),(MID(E2918, SEARCH("/",E2918) + 1, SEARCH("/",E2918, SEARCH("/",E2918)+1) - SEARCH("/",E2918) - 1))-(LEFT(E2918,FIND("/",E2918)-1))), "NA"))</f>
        <v/>
      </c>
      <c r="K2918" s="79">
        <f>IF(A2918&lt;&gt;"", IF(ISBLANK(L2918), TODAY(), K2918), "")</f>
        <v/>
      </c>
      <c r="L2918" s="78" t="n"/>
      <c r="M2918" s="78">
        <f>IF(ISBLANK(L2918),"",IF(D2918="Stock",IF(C2918="Buy",L2918*G2918,IF(C2918="Sell",(L2918*G2918)-I2918, X)),IF(C2918="Buy",(L2918*G2918*100)+I2918,IF(C2918="Sell",(L2918*G2918*100)-I2918, X))))</f>
        <v/>
      </c>
      <c r="N2918" s="78">
        <f>IF(ISBLANK(L2918),"",IF(AND(C2918="Sell",D2918="Stock"),M2918,IF(ISBLANK(L2918),"",IF(C2918="Buy",M2918, IF(AND(C2918="Sell",J2918="NA"),(E2918*G2918*100*0.1)+I2918, IF(C2918="Sell",(J2918-L2918)*(100*G2918)+I2918))))))</f>
        <v/>
      </c>
      <c r="O2918" s="75" t="n"/>
      <c r="P2918" s="75" t="n"/>
      <c r="Q2918" s="75">
        <f>IF(ISBLANK(P2918),"",IF(D2918="Stock",P2918*G2918,IF(P2918=0,"0",G2918*P2918*100-(G2918*$AF$14))))</f>
        <v/>
      </c>
      <c r="R2918" s="79">
        <f>IF(P2918&lt;&gt;"", TODAY(), "")</f>
        <v/>
      </c>
      <c r="S2918" s="78">
        <f>IF(AND(K2918&lt;&gt;"", R2918&lt;&gt;""), R2918-K2918, "")</f>
        <v/>
      </c>
      <c r="T2918" s="78" t="n"/>
      <c r="U2918" s="92">
        <f>IF(ISBLANK(P2918),"",IF(C2918="Buy",Q2918-M2918+T2918, IF(C2918="Sell",M2918-Q2918-T2918, X)))</f>
        <v/>
      </c>
      <c r="V2918" s="81">
        <f>IF(ISBLANK(P2918),"",U2918/N2918)</f>
        <v/>
      </c>
      <c r="W2918" s="81">
        <f>IF(ISBLANK(P2918),"",IF(S2918=0,(365/0.5)*V2918,(365/S2918)*V2918))</f>
        <v/>
      </c>
      <c r="X2918" s="75" t="n"/>
      <c r="Y2918" s="77" t="n"/>
      <c r="Z2918" s="77" t="n"/>
      <c r="AA2918" s="75" t="n"/>
      <c r="AB2918" s="75" t="n"/>
      <c r="AC2918" s="6" t="n"/>
      <c r="AD2918" s="75" t="n"/>
      <c r="AE2918" s="75" t="n"/>
      <c r="AF2918" s="75" t="n"/>
    </row>
    <row r="2919" ht="15.75" customHeight="1" s="133">
      <c r="A2919" s="75" t="n"/>
      <c r="B2919" s="75" t="n"/>
      <c r="C2919" s="75" t="n"/>
      <c r="D2919" s="75" t="n"/>
      <c r="E2919" s="76" t="n"/>
      <c r="F2919" s="77" t="n"/>
      <c r="G2919" s="75" t="n"/>
      <c r="H2919" s="75">
        <f>IF(ISBLANK(E2919),"",IF(OR(D2919="Butterfly",D2919="Butterfly ",D2919="Iron Fly", D2919="Iron Fly "),LEN(E2919)-LEN(SUBSTITUTE(E2919,"/",""))+2,LEN(E2919)-LEN(SUBSTITUTE(E2919,"/",""))+1))</f>
        <v/>
      </c>
      <c r="I2919" s="78">
        <f>IF(ISBLANK(G2919),"",IF(D2919="Stock","0",Key!$A$3*H2919*G2919))</f>
        <v/>
      </c>
      <c r="J2919" s="78">
        <f>IF(ISBLANK(E2919),"",IF(ISNUMBER(SEARCH("/",E2919)), IF(LEN(E2919)-LEN(SUBSTITUTE(E2919,"/",""))=1,(RIGHT(E2919,LEN(E2919)-FIND("/",E2919)))-(LEFT(E2919,FIND("/",E2919)-1)),(MID(E2919, SEARCH("/",E2919) + 1, SEARCH("/",E2919, SEARCH("/",E2919)+1) - SEARCH("/",E2919) - 1))-(LEFT(E2919,FIND("/",E2919)-1))), "NA"))</f>
        <v/>
      </c>
      <c r="K2919" s="79">
        <f>IF(A2919&lt;&gt;"", IF(ISBLANK(L2919), TODAY(), K2919), "")</f>
        <v/>
      </c>
      <c r="L2919" s="78" t="n"/>
      <c r="M2919" s="78">
        <f>IF(ISBLANK(L2919),"",IF(D2919="Stock",IF(C2919="Buy",L2919*G2919,IF(C2919="Sell",(L2919*G2919)-I2919, X)),IF(C2919="Buy",(L2919*G2919*100)+I2919,IF(C2919="Sell",(L2919*G2919*100)-I2919, X))))</f>
        <v/>
      </c>
      <c r="N2919" s="78">
        <f>IF(ISBLANK(L2919),"",IF(AND(C2919="Sell",D2919="Stock"),M2919,IF(ISBLANK(L2919),"",IF(C2919="Buy",M2919, IF(AND(C2919="Sell",J2919="NA"),(E2919*G2919*100*0.1)+I2919, IF(C2919="Sell",(J2919-L2919)*(100*G2919)+I2919))))))</f>
        <v/>
      </c>
      <c r="O2919" s="75" t="n"/>
      <c r="P2919" s="75" t="n"/>
      <c r="Q2919" s="75">
        <f>IF(ISBLANK(P2919),"",IF(D2919="Stock",P2919*G2919,IF(P2919=0,"0",G2919*P2919*100-(G2919*$AF$14))))</f>
        <v/>
      </c>
      <c r="R2919" s="79">
        <f>IF(P2919&lt;&gt;"", TODAY(), "")</f>
        <v/>
      </c>
      <c r="S2919" s="78">
        <f>IF(AND(K2919&lt;&gt;"", R2919&lt;&gt;""), R2919-K2919, "")</f>
        <v/>
      </c>
      <c r="T2919" s="78" t="n"/>
      <c r="U2919" s="92">
        <f>IF(ISBLANK(P2919),"",IF(C2919="Buy",Q2919-M2919+T2919, IF(C2919="Sell",M2919-Q2919-T2919, X)))</f>
        <v/>
      </c>
      <c r="V2919" s="81">
        <f>IF(ISBLANK(P2919),"",U2919/N2919)</f>
        <v/>
      </c>
      <c r="W2919" s="81">
        <f>IF(ISBLANK(P2919),"",IF(S2919=0,(365/0.5)*V2919,(365/S2919)*V2919))</f>
        <v/>
      </c>
      <c r="X2919" s="75" t="n"/>
      <c r="Y2919" s="77" t="n"/>
      <c r="Z2919" s="77" t="n"/>
      <c r="AA2919" s="75" t="n"/>
      <c r="AB2919" s="75" t="n"/>
      <c r="AC2919" s="6" t="n"/>
      <c r="AD2919" s="75" t="n"/>
      <c r="AE2919" s="75" t="n"/>
      <c r="AF2919" s="75" t="n"/>
    </row>
    <row r="2920" ht="15.75" customHeight="1" s="133">
      <c r="A2920" s="75" t="n"/>
      <c r="B2920" s="75" t="n"/>
      <c r="C2920" s="75" t="n"/>
      <c r="D2920" s="75" t="n"/>
      <c r="E2920" s="76" t="n"/>
      <c r="F2920" s="77" t="n"/>
      <c r="G2920" s="75" t="n"/>
      <c r="H2920" s="75">
        <f>IF(ISBLANK(E2920),"",IF(OR(D2920="Butterfly",D2920="Butterfly ",D2920="Iron Fly", D2920="Iron Fly "),LEN(E2920)-LEN(SUBSTITUTE(E2920,"/",""))+2,LEN(E2920)-LEN(SUBSTITUTE(E2920,"/",""))+1))</f>
        <v/>
      </c>
      <c r="I2920" s="78">
        <f>IF(ISBLANK(G2920),"",IF(D2920="Stock","0",Key!$A$3*H2920*G2920))</f>
        <v/>
      </c>
      <c r="J2920" s="78">
        <f>IF(ISBLANK(E2920),"",IF(ISNUMBER(SEARCH("/",E2920)), IF(LEN(E2920)-LEN(SUBSTITUTE(E2920,"/",""))=1,(RIGHT(E2920,LEN(E2920)-FIND("/",E2920)))-(LEFT(E2920,FIND("/",E2920)-1)),(MID(E2920, SEARCH("/",E2920) + 1, SEARCH("/",E2920, SEARCH("/",E2920)+1) - SEARCH("/",E2920) - 1))-(LEFT(E2920,FIND("/",E2920)-1))), "NA"))</f>
        <v/>
      </c>
      <c r="K2920" s="79">
        <f>IF(A2920&lt;&gt;"", IF(ISBLANK(L2920), TODAY(), K2920), "")</f>
        <v/>
      </c>
      <c r="L2920" s="78" t="n"/>
      <c r="M2920" s="78">
        <f>IF(ISBLANK(L2920),"",IF(D2920="Stock",IF(C2920="Buy",L2920*G2920,IF(C2920="Sell",(L2920*G2920)-I2920, X)),IF(C2920="Buy",(L2920*G2920*100)+I2920,IF(C2920="Sell",(L2920*G2920*100)-I2920, X))))</f>
        <v/>
      </c>
      <c r="N2920" s="78">
        <f>IF(ISBLANK(L2920),"",IF(AND(C2920="Sell",D2920="Stock"),M2920,IF(ISBLANK(L2920),"",IF(C2920="Buy",M2920, IF(AND(C2920="Sell",J2920="NA"),(E2920*G2920*100*0.1)+I2920, IF(C2920="Sell",(J2920-L2920)*(100*G2920)+I2920))))))</f>
        <v/>
      </c>
      <c r="O2920" s="75" t="n"/>
      <c r="P2920" s="75" t="n"/>
      <c r="Q2920" s="75">
        <f>IF(ISBLANK(P2920),"",IF(D2920="Stock",P2920*G2920,IF(P2920=0,"0",G2920*P2920*100-(G2920*$AF$14))))</f>
        <v/>
      </c>
      <c r="R2920" s="79">
        <f>IF(P2920&lt;&gt;"", TODAY(), "")</f>
        <v/>
      </c>
      <c r="S2920" s="78">
        <f>IF(AND(K2920&lt;&gt;"", R2920&lt;&gt;""), R2920-K2920, "")</f>
        <v/>
      </c>
      <c r="T2920" s="78" t="n"/>
      <c r="U2920" s="92">
        <f>IF(ISBLANK(P2920),"",IF(C2920="Buy",Q2920-M2920+T2920, IF(C2920="Sell",M2920-Q2920-T2920, X)))</f>
        <v/>
      </c>
      <c r="V2920" s="81">
        <f>IF(ISBLANK(P2920),"",U2920/N2920)</f>
        <v/>
      </c>
      <c r="W2920" s="81">
        <f>IF(ISBLANK(P2920),"",IF(S2920=0,(365/0.5)*V2920,(365/S2920)*V2920))</f>
        <v/>
      </c>
      <c r="X2920" s="75" t="n"/>
      <c r="Y2920" s="77" t="n"/>
      <c r="Z2920" s="77" t="n"/>
      <c r="AA2920" s="75" t="n"/>
      <c r="AB2920" s="75" t="n"/>
      <c r="AC2920" s="6" t="n"/>
      <c r="AD2920" s="75" t="n"/>
      <c r="AE2920" s="75" t="n"/>
      <c r="AF2920" s="75" t="n"/>
    </row>
    <row r="2921" ht="15.75" customHeight="1" s="133">
      <c r="A2921" s="75" t="n"/>
      <c r="B2921" s="75" t="n"/>
      <c r="C2921" s="75" t="n"/>
      <c r="D2921" s="75" t="n"/>
      <c r="E2921" s="76" t="n"/>
      <c r="F2921" s="77" t="n"/>
      <c r="G2921" s="75" t="n"/>
      <c r="H2921" s="75">
        <f>IF(ISBLANK(E2921),"",IF(OR(D2921="Butterfly",D2921="Butterfly ",D2921="Iron Fly", D2921="Iron Fly "),LEN(E2921)-LEN(SUBSTITUTE(E2921,"/",""))+2,LEN(E2921)-LEN(SUBSTITUTE(E2921,"/",""))+1))</f>
        <v/>
      </c>
      <c r="I2921" s="78">
        <f>IF(ISBLANK(G2921),"",IF(D2921="Stock","0",Key!$A$3*H2921*G2921))</f>
        <v/>
      </c>
      <c r="J2921" s="78">
        <f>IF(ISBLANK(E2921),"",IF(ISNUMBER(SEARCH("/",E2921)), IF(LEN(E2921)-LEN(SUBSTITUTE(E2921,"/",""))=1,(RIGHT(E2921,LEN(E2921)-FIND("/",E2921)))-(LEFT(E2921,FIND("/",E2921)-1)),(MID(E2921, SEARCH("/",E2921) + 1, SEARCH("/",E2921, SEARCH("/",E2921)+1) - SEARCH("/",E2921) - 1))-(LEFT(E2921,FIND("/",E2921)-1))), "NA"))</f>
        <v/>
      </c>
      <c r="K2921" s="79">
        <f>IF(A2921&lt;&gt;"", IF(ISBLANK(L2921), TODAY(), K2921), "")</f>
        <v/>
      </c>
      <c r="L2921" s="78" t="n"/>
      <c r="M2921" s="78">
        <f>IF(ISBLANK(L2921),"",IF(D2921="Stock",IF(C2921="Buy",L2921*G2921,IF(C2921="Sell",(L2921*G2921)-I2921, X)),IF(C2921="Buy",(L2921*G2921*100)+I2921,IF(C2921="Sell",(L2921*G2921*100)-I2921, X))))</f>
        <v/>
      </c>
      <c r="N2921" s="78">
        <f>IF(ISBLANK(L2921),"",IF(AND(C2921="Sell",D2921="Stock"),M2921,IF(ISBLANK(L2921),"",IF(C2921="Buy",M2921, IF(AND(C2921="Sell",J2921="NA"),(E2921*G2921*100*0.1)+I2921, IF(C2921="Sell",(J2921-L2921)*(100*G2921)+I2921))))))</f>
        <v/>
      </c>
      <c r="O2921" s="75" t="n"/>
      <c r="P2921" s="75" t="n"/>
      <c r="Q2921" s="75">
        <f>IF(ISBLANK(P2921),"",IF(D2921="Stock",P2921*G2921,IF(P2921=0,"0",G2921*P2921*100-(G2921*$AF$14))))</f>
        <v/>
      </c>
      <c r="R2921" s="79">
        <f>IF(P2921&lt;&gt;"", TODAY(), "")</f>
        <v/>
      </c>
      <c r="S2921" s="78">
        <f>IF(AND(K2921&lt;&gt;"", R2921&lt;&gt;""), R2921-K2921, "")</f>
        <v/>
      </c>
      <c r="T2921" s="78" t="n"/>
      <c r="U2921" s="92">
        <f>IF(ISBLANK(P2921),"",IF(C2921="Buy",Q2921-M2921+T2921, IF(C2921="Sell",M2921-Q2921-T2921, X)))</f>
        <v/>
      </c>
      <c r="V2921" s="81">
        <f>IF(ISBLANK(P2921),"",U2921/N2921)</f>
        <v/>
      </c>
      <c r="W2921" s="81">
        <f>IF(ISBLANK(P2921),"",IF(S2921=0,(365/0.5)*V2921,(365/S2921)*V2921))</f>
        <v/>
      </c>
      <c r="X2921" s="75" t="n"/>
      <c r="Y2921" s="77" t="n"/>
      <c r="Z2921" s="77" t="n"/>
      <c r="AA2921" s="75" t="n"/>
      <c r="AB2921" s="75" t="n"/>
      <c r="AC2921" s="6" t="n"/>
      <c r="AD2921" s="75" t="n"/>
      <c r="AE2921" s="75" t="n"/>
      <c r="AF2921" s="75" t="n"/>
    </row>
    <row r="2922" ht="15.75" customHeight="1" s="133">
      <c r="A2922" s="75" t="n"/>
      <c r="B2922" s="75" t="n"/>
      <c r="C2922" s="75" t="n"/>
      <c r="D2922" s="75" t="n"/>
      <c r="E2922" s="76" t="n"/>
      <c r="F2922" s="77" t="n"/>
      <c r="G2922" s="75" t="n"/>
      <c r="H2922" s="75">
        <f>IF(ISBLANK(E2922),"",IF(OR(D2922="Butterfly",D2922="Butterfly ",D2922="Iron Fly", D2922="Iron Fly "),LEN(E2922)-LEN(SUBSTITUTE(E2922,"/",""))+2,LEN(E2922)-LEN(SUBSTITUTE(E2922,"/",""))+1))</f>
        <v/>
      </c>
      <c r="I2922" s="78">
        <f>IF(ISBLANK(G2922),"",IF(D2922="Stock","0",Key!$A$3*H2922*G2922))</f>
        <v/>
      </c>
      <c r="J2922" s="78">
        <f>IF(ISBLANK(E2922),"",IF(ISNUMBER(SEARCH("/",E2922)), IF(LEN(E2922)-LEN(SUBSTITUTE(E2922,"/",""))=1,(RIGHT(E2922,LEN(E2922)-FIND("/",E2922)))-(LEFT(E2922,FIND("/",E2922)-1)),(MID(E2922, SEARCH("/",E2922) + 1, SEARCH("/",E2922, SEARCH("/",E2922)+1) - SEARCH("/",E2922) - 1))-(LEFT(E2922,FIND("/",E2922)-1))), "NA"))</f>
        <v/>
      </c>
      <c r="K2922" s="79">
        <f>IF(A2922&lt;&gt;"", IF(ISBLANK(L2922), TODAY(), K2922), "")</f>
        <v/>
      </c>
      <c r="L2922" s="78" t="n"/>
      <c r="M2922" s="78">
        <f>IF(ISBLANK(L2922),"",IF(D2922="Stock",IF(C2922="Buy",L2922*G2922,IF(C2922="Sell",(L2922*G2922)-I2922, X)),IF(C2922="Buy",(L2922*G2922*100)+I2922,IF(C2922="Sell",(L2922*G2922*100)-I2922, X))))</f>
        <v/>
      </c>
      <c r="N2922" s="78">
        <f>IF(ISBLANK(L2922),"",IF(AND(C2922="Sell",D2922="Stock"),M2922,IF(ISBLANK(L2922),"",IF(C2922="Buy",M2922, IF(AND(C2922="Sell",J2922="NA"),(E2922*G2922*100*0.1)+I2922, IF(C2922="Sell",(J2922-L2922)*(100*G2922)+I2922))))))</f>
        <v/>
      </c>
      <c r="O2922" s="75" t="n"/>
      <c r="P2922" s="75" t="n"/>
      <c r="Q2922" s="75">
        <f>IF(ISBLANK(P2922),"",IF(D2922="Stock",P2922*G2922,IF(P2922=0,"0",G2922*P2922*100-(G2922*$AF$14))))</f>
        <v/>
      </c>
      <c r="R2922" s="79">
        <f>IF(P2922&lt;&gt;"", TODAY(), "")</f>
        <v/>
      </c>
      <c r="S2922" s="78">
        <f>IF(AND(K2922&lt;&gt;"", R2922&lt;&gt;""), R2922-K2922, "")</f>
        <v/>
      </c>
      <c r="T2922" s="78" t="n"/>
      <c r="U2922" s="92">
        <f>IF(ISBLANK(P2922),"",IF(C2922="Buy",Q2922-M2922+T2922, IF(C2922="Sell",M2922-Q2922-T2922, X)))</f>
        <v/>
      </c>
      <c r="V2922" s="81">
        <f>IF(ISBLANK(P2922),"",U2922/N2922)</f>
        <v/>
      </c>
      <c r="W2922" s="81">
        <f>IF(ISBLANK(P2922),"",IF(S2922=0,(365/0.5)*V2922,(365/S2922)*V2922))</f>
        <v/>
      </c>
      <c r="X2922" s="75" t="n"/>
      <c r="Y2922" s="77" t="n"/>
      <c r="Z2922" s="77" t="n"/>
      <c r="AA2922" s="75" t="n"/>
      <c r="AB2922" s="75" t="n"/>
      <c r="AC2922" s="6" t="n"/>
      <c r="AD2922" s="75" t="n"/>
      <c r="AE2922" s="75" t="n"/>
      <c r="AF2922" s="75" t="n"/>
    </row>
    <row r="2923" ht="15.75" customHeight="1" s="133">
      <c r="A2923" s="75" t="n"/>
      <c r="B2923" s="75" t="n"/>
      <c r="C2923" s="75" t="n"/>
      <c r="D2923" s="75" t="n"/>
      <c r="E2923" s="76" t="n"/>
      <c r="F2923" s="77" t="n"/>
      <c r="G2923" s="75" t="n"/>
      <c r="H2923" s="75">
        <f>IF(ISBLANK(E2923),"",IF(OR(D2923="Butterfly",D2923="Butterfly ",D2923="Iron Fly", D2923="Iron Fly "),LEN(E2923)-LEN(SUBSTITUTE(E2923,"/",""))+2,LEN(E2923)-LEN(SUBSTITUTE(E2923,"/",""))+1))</f>
        <v/>
      </c>
      <c r="I2923" s="78">
        <f>IF(ISBLANK(G2923),"",IF(D2923="Stock","0",Key!$A$3*H2923*G2923))</f>
        <v/>
      </c>
      <c r="J2923" s="78">
        <f>IF(ISBLANK(E2923),"",IF(ISNUMBER(SEARCH("/",E2923)), IF(LEN(E2923)-LEN(SUBSTITUTE(E2923,"/",""))=1,(RIGHT(E2923,LEN(E2923)-FIND("/",E2923)))-(LEFT(E2923,FIND("/",E2923)-1)),(MID(E2923, SEARCH("/",E2923) + 1, SEARCH("/",E2923, SEARCH("/",E2923)+1) - SEARCH("/",E2923) - 1))-(LEFT(E2923,FIND("/",E2923)-1))), "NA"))</f>
        <v/>
      </c>
      <c r="K2923" s="79">
        <f>IF(A2923&lt;&gt;"", IF(ISBLANK(L2923), TODAY(), K2923), "")</f>
        <v/>
      </c>
      <c r="L2923" s="78" t="n"/>
      <c r="M2923" s="78">
        <f>IF(ISBLANK(L2923),"",IF(D2923="Stock",IF(C2923="Buy",L2923*G2923,IF(C2923="Sell",(L2923*G2923)-I2923, X)),IF(C2923="Buy",(L2923*G2923*100)+I2923,IF(C2923="Sell",(L2923*G2923*100)-I2923, X))))</f>
        <v/>
      </c>
      <c r="N2923" s="78">
        <f>IF(ISBLANK(L2923),"",IF(AND(C2923="Sell",D2923="Stock"),M2923,IF(ISBLANK(L2923),"",IF(C2923="Buy",M2923, IF(AND(C2923="Sell",J2923="NA"),(E2923*G2923*100*0.1)+I2923, IF(C2923="Sell",(J2923-L2923)*(100*G2923)+I2923))))))</f>
        <v/>
      </c>
      <c r="O2923" s="75" t="n"/>
      <c r="P2923" s="75" t="n"/>
      <c r="Q2923" s="75">
        <f>IF(ISBLANK(P2923),"",IF(D2923="Stock",P2923*G2923,IF(P2923=0,"0",G2923*P2923*100-(G2923*$AF$14))))</f>
        <v/>
      </c>
      <c r="R2923" s="79">
        <f>IF(P2923&lt;&gt;"", TODAY(), "")</f>
        <v/>
      </c>
      <c r="S2923" s="78">
        <f>IF(AND(K2923&lt;&gt;"", R2923&lt;&gt;""), R2923-K2923, "")</f>
        <v/>
      </c>
      <c r="T2923" s="78" t="n"/>
      <c r="U2923" s="92">
        <f>IF(ISBLANK(P2923),"",IF(C2923="Buy",Q2923-M2923+T2923, IF(C2923="Sell",M2923-Q2923-T2923, X)))</f>
        <v/>
      </c>
      <c r="V2923" s="81">
        <f>IF(ISBLANK(P2923),"",U2923/N2923)</f>
        <v/>
      </c>
      <c r="W2923" s="81">
        <f>IF(ISBLANK(P2923),"",IF(S2923=0,(365/0.5)*V2923,(365/S2923)*V2923))</f>
        <v/>
      </c>
      <c r="X2923" s="75" t="n"/>
      <c r="Y2923" s="77" t="n"/>
      <c r="Z2923" s="77" t="n"/>
      <c r="AA2923" s="75" t="n"/>
      <c r="AB2923" s="75" t="n"/>
      <c r="AC2923" s="6" t="n"/>
      <c r="AD2923" s="75" t="n"/>
      <c r="AE2923" s="75" t="n"/>
      <c r="AF2923" s="75" t="n"/>
    </row>
    <row r="2924" ht="15.75" customHeight="1" s="133">
      <c r="A2924" s="75" t="n"/>
      <c r="B2924" s="75" t="n"/>
      <c r="C2924" s="75" t="n"/>
      <c r="D2924" s="75" t="n"/>
      <c r="E2924" s="76" t="n"/>
      <c r="F2924" s="77" t="n"/>
      <c r="G2924" s="75" t="n"/>
      <c r="H2924" s="75">
        <f>IF(ISBLANK(E2924),"",IF(OR(D2924="Butterfly",D2924="Butterfly ",D2924="Iron Fly", D2924="Iron Fly "),LEN(E2924)-LEN(SUBSTITUTE(E2924,"/",""))+2,LEN(E2924)-LEN(SUBSTITUTE(E2924,"/",""))+1))</f>
        <v/>
      </c>
      <c r="I2924" s="78">
        <f>IF(ISBLANK(G2924),"",IF(D2924="Stock","0",Key!$A$3*H2924*G2924))</f>
        <v/>
      </c>
      <c r="J2924" s="78">
        <f>IF(ISBLANK(E2924),"",IF(ISNUMBER(SEARCH("/",E2924)), IF(LEN(E2924)-LEN(SUBSTITUTE(E2924,"/",""))=1,(RIGHT(E2924,LEN(E2924)-FIND("/",E2924)))-(LEFT(E2924,FIND("/",E2924)-1)),(MID(E2924, SEARCH("/",E2924) + 1, SEARCH("/",E2924, SEARCH("/",E2924)+1) - SEARCH("/",E2924) - 1))-(LEFT(E2924,FIND("/",E2924)-1))), "NA"))</f>
        <v/>
      </c>
      <c r="K2924" s="79">
        <f>IF(A2924&lt;&gt;"", IF(ISBLANK(L2924), TODAY(), K2924), "")</f>
        <v/>
      </c>
      <c r="L2924" s="78" t="n"/>
      <c r="M2924" s="78">
        <f>IF(ISBLANK(L2924),"",IF(D2924="Stock",IF(C2924="Buy",L2924*G2924,IF(C2924="Sell",(L2924*G2924)-I2924, X)),IF(C2924="Buy",(L2924*G2924*100)+I2924,IF(C2924="Sell",(L2924*G2924*100)-I2924, X))))</f>
        <v/>
      </c>
      <c r="N2924" s="78">
        <f>IF(ISBLANK(L2924),"",IF(AND(C2924="Sell",D2924="Stock"),M2924,IF(ISBLANK(L2924),"",IF(C2924="Buy",M2924, IF(AND(C2924="Sell",J2924="NA"),(E2924*G2924*100*0.1)+I2924, IF(C2924="Sell",(J2924-L2924)*(100*G2924)+I2924))))))</f>
        <v/>
      </c>
      <c r="O2924" s="75" t="n"/>
      <c r="P2924" s="75" t="n"/>
      <c r="Q2924" s="75">
        <f>IF(ISBLANK(P2924),"",IF(D2924="Stock",P2924*G2924,IF(P2924=0,"0",G2924*P2924*100-(G2924*$AF$14))))</f>
        <v/>
      </c>
      <c r="R2924" s="79">
        <f>IF(P2924&lt;&gt;"", TODAY(), "")</f>
        <v/>
      </c>
      <c r="S2924" s="78">
        <f>IF(AND(K2924&lt;&gt;"", R2924&lt;&gt;""), R2924-K2924, "")</f>
        <v/>
      </c>
      <c r="T2924" s="78" t="n"/>
      <c r="U2924" s="92">
        <f>IF(ISBLANK(P2924),"",IF(C2924="Buy",Q2924-M2924+T2924, IF(C2924="Sell",M2924-Q2924-T2924, X)))</f>
        <v/>
      </c>
      <c r="V2924" s="81">
        <f>IF(ISBLANK(P2924),"",U2924/N2924)</f>
        <v/>
      </c>
      <c r="W2924" s="81">
        <f>IF(ISBLANK(P2924),"",IF(S2924=0,(365/0.5)*V2924,(365/S2924)*V2924))</f>
        <v/>
      </c>
      <c r="X2924" s="75" t="n"/>
      <c r="Y2924" s="77" t="n"/>
      <c r="Z2924" s="77" t="n"/>
      <c r="AA2924" s="75" t="n"/>
      <c r="AB2924" s="75" t="n"/>
      <c r="AC2924" s="6" t="n"/>
      <c r="AD2924" s="75" t="n"/>
      <c r="AE2924" s="75" t="n"/>
      <c r="AF2924" s="75" t="n"/>
    </row>
    <row r="2925" ht="15.75" customHeight="1" s="133">
      <c r="A2925" s="75" t="n"/>
      <c r="B2925" s="75" t="n"/>
      <c r="C2925" s="75" t="n"/>
      <c r="D2925" s="75" t="n"/>
      <c r="E2925" s="76" t="n"/>
      <c r="F2925" s="77" t="n"/>
      <c r="G2925" s="75" t="n"/>
      <c r="H2925" s="75">
        <f>IF(ISBLANK(E2925),"",IF(OR(D2925="Butterfly",D2925="Butterfly ",D2925="Iron Fly", D2925="Iron Fly "),LEN(E2925)-LEN(SUBSTITUTE(E2925,"/",""))+2,LEN(E2925)-LEN(SUBSTITUTE(E2925,"/",""))+1))</f>
        <v/>
      </c>
      <c r="I2925" s="78">
        <f>IF(ISBLANK(G2925),"",IF(D2925="Stock","0",Key!$A$3*H2925*G2925))</f>
        <v/>
      </c>
      <c r="J2925" s="78">
        <f>IF(ISBLANK(E2925),"",IF(ISNUMBER(SEARCH("/",E2925)), IF(LEN(E2925)-LEN(SUBSTITUTE(E2925,"/",""))=1,(RIGHT(E2925,LEN(E2925)-FIND("/",E2925)))-(LEFT(E2925,FIND("/",E2925)-1)),(MID(E2925, SEARCH("/",E2925) + 1, SEARCH("/",E2925, SEARCH("/",E2925)+1) - SEARCH("/",E2925) - 1))-(LEFT(E2925,FIND("/",E2925)-1))), "NA"))</f>
        <v/>
      </c>
      <c r="K2925" s="79">
        <f>IF(A2925&lt;&gt;"", IF(ISBLANK(L2925), TODAY(), K2925), "")</f>
        <v/>
      </c>
      <c r="L2925" s="78" t="n"/>
      <c r="M2925" s="78">
        <f>IF(ISBLANK(L2925),"",IF(D2925="Stock",IF(C2925="Buy",L2925*G2925,IF(C2925="Sell",(L2925*G2925)-I2925, X)),IF(C2925="Buy",(L2925*G2925*100)+I2925,IF(C2925="Sell",(L2925*G2925*100)-I2925, X))))</f>
        <v/>
      </c>
      <c r="N2925" s="78">
        <f>IF(ISBLANK(L2925),"",IF(AND(C2925="Sell",D2925="Stock"),M2925,IF(ISBLANK(L2925),"",IF(C2925="Buy",M2925, IF(AND(C2925="Sell",J2925="NA"),(E2925*G2925*100*0.1)+I2925, IF(C2925="Sell",(J2925-L2925)*(100*G2925)+I2925))))))</f>
        <v/>
      </c>
      <c r="O2925" s="75" t="n"/>
      <c r="P2925" s="75" t="n"/>
      <c r="Q2925" s="75">
        <f>IF(ISBLANK(P2925),"",IF(D2925="Stock",P2925*G2925,IF(P2925=0,"0",G2925*P2925*100-(G2925*$AF$14))))</f>
        <v/>
      </c>
      <c r="R2925" s="79">
        <f>IF(P2925&lt;&gt;"", TODAY(), "")</f>
        <v/>
      </c>
      <c r="S2925" s="78">
        <f>IF(AND(K2925&lt;&gt;"", R2925&lt;&gt;""), R2925-K2925, "")</f>
        <v/>
      </c>
      <c r="T2925" s="78" t="n"/>
      <c r="U2925" s="92">
        <f>IF(ISBLANK(P2925),"",IF(C2925="Buy",Q2925-M2925+T2925, IF(C2925="Sell",M2925-Q2925-T2925, X)))</f>
        <v/>
      </c>
      <c r="V2925" s="81">
        <f>IF(ISBLANK(P2925),"",U2925/N2925)</f>
        <v/>
      </c>
      <c r="W2925" s="81">
        <f>IF(ISBLANK(P2925),"",IF(S2925=0,(365/0.5)*V2925,(365/S2925)*V2925))</f>
        <v/>
      </c>
      <c r="X2925" s="75" t="n"/>
      <c r="Y2925" s="77" t="n"/>
      <c r="Z2925" s="77" t="n"/>
      <c r="AA2925" s="75" t="n"/>
      <c r="AB2925" s="75" t="n"/>
      <c r="AC2925" s="6" t="n"/>
      <c r="AD2925" s="75" t="n"/>
      <c r="AE2925" s="75" t="n"/>
      <c r="AF2925" s="75" t="n"/>
    </row>
    <row r="2926" ht="15.75" customHeight="1" s="133">
      <c r="A2926" s="75" t="n"/>
      <c r="B2926" s="75" t="n"/>
      <c r="C2926" s="75" t="n"/>
      <c r="D2926" s="75" t="n"/>
      <c r="E2926" s="76" t="n"/>
      <c r="F2926" s="77" t="n"/>
      <c r="G2926" s="75" t="n"/>
      <c r="H2926" s="75">
        <f>IF(ISBLANK(E2926),"",IF(OR(D2926="Butterfly",D2926="Butterfly ",D2926="Iron Fly", D2926="Iron Fly "),LEN(E2926)-LEN(SUBSTITUTE(E2926,"/",""))+2,LEN(E2926)-LEN(SUBSTITUTE(E2926,"/",""))+1))</f>
        <v/>
      </c>
      <c r="I2926" s="78">
        <f>IF(ISBLANK(G2926),"",IF(D2926="Stock","0",Key!$A$3*H2926*G2926))</f>
        <v/>
      </c>
      <c r="J2926" s="78">
        <f>IF(ISBLANK(E2926),"",IF(ISNUMBER(SEARCH("/",E2926)), IF(LEN(E2926)-LEN(SUBSTITUTE(E2926,"/",""))=1,(RIGHT(E2926,LEN(E2926)-FIND("/",E2926)))-(LEFT(E2926,FIND("/",E2926)-1)),(MID(E2926, SEARCH("/",E2926) + 1, SEARCH("/",E2926, SEARCH("/",E2926)+1) - SEARCH("/",E2926) - 1))-(LEFT(E2926,FIND("/",E2926)-1))), "NA"))</f>
        <v/>
      </c>
      <c r="K2926" s="79">
        <f>IF(A2926&lt;&gt;"", IF(ISBLANK(L2926), TODAY(), K2926), "")</f>
        <v/>
      </c>
      <c r="L2926" s="78" t="n"/>
      <c r="M2926" s="78">
        <f>IF(ISBLANK(L2926),"",IF(D2926="Stock",IF(C2926="Buy",L2926*G2926,IF(C2926="Sell",(L2926*G2926)-I2926, X)),IF(C2926="Buy",(L2926*G2926*100)+I2926,IF(C2926="Sell",(L2926*G2926*100)-I2926, X))))</f>
        <v/>
      </c>
      <c r="N2926" s="78">
        <f>IF(ISBLANK(L2926),"",IF(AND(C2926="Sell",D2926="Stock"),M2926,IF(ISBLANK(L2926),"",IF(C2926="Buy",M2926, IF(AND(C2926="Sell",J2926="NA"),(E2926*G2926*100*0.1)+I2926, IF(C2926="Sell",(J2926-L2926)*(100*G2926)+I2926))))))</f>
        <v/>
      </c>
      <c r="O2926" s="75" t="n"/>
      <c r="P2926" s="75" t="n"/>
      <c r="Q2926" s="75">
        <f>IF(ISBLANK(P2926),"",IF(D2926="Stock",P2926*G2926,IF(P2926=0,"0",G2926*P2926*100-(G2926*$AF$14))))</f>
        <v/>
      </c>
      <c r="R2926" s="79">
        <f>IF(P2926&lt;&gt;"", TODAY(), "")</f>
        <v/>
      </c>
      <c r="S2926" s="78">
        <f>IF(AND(K2926&lt;&gt;"", R2926&lt;&gt;""), R2926-K2926, "")</f>
        <v/>
      </c>
      <c r="T2926" s="78" t="n"/>
      <c r="U2926" s="92">
        <f>IF(ISBLANK(P2926),"",IF(C2926="Buy",Q2926-M2926+T2926, IF(C2926="Sell",M2926-Q2926-T2926, X)))</f>
        <v/>
      </c>
      <c r="V2926" s="81">
        <f>IF(ISBLANK(P2926),"",U2926/N2926)</f>
        <v/>
      </c>
      <c r="W2926" s="81">
        <f>IF(ISBLANK(P2926),"",IF(S2926=0,(365/0.5)*V2926,(365/S2926)*V2926))</f>
        <v/>
      </c>
      <c r="X2926" s="75" t="n"/>
      <c r="Y2926" s="77" t="n"/>
      <c r="Z2926" s="77" t="n"/>
      <c r="AA2926" s="75" t="n"/>
      <c r="AB2926" s="75" t="n"/>
      <c r="AC2926" s="6" t="n"/>
      <c r="AD2926" s="75" t="n"/>
      <c r="AE2926" s="75" t="n"/>
      <c r="AF2926" s="75" t="n"/>
    </row>
    <row r="2927" ht="15.75" customHeight="1" s="133">
      <c r="A2927" s="75" t="n"/>
      <c r="B2927" s="75" t="n"/>
      <c r="C2927" s="75" t="n"/>
      <c r="D2927" s="75" t="n"/>
      <c r="E2927" s="76" t="n"/>
      <c r="F2927" s="77" t="n"/>
      <c r="G2927" s="75" t="n"/>
      <c r="H2927" s="75">
        <f>IF(ISBLANK(E2927),"",IF(OR(D2927="Butterfly",D2927="Butterfly ",D2927="Iron Fly", D2927="Iron Fly "),LEN(E2927)-LEN(SUBSTITUTE(E2927,"/",""))+2,LEN(E2927)-LEN(SUBSTITUTE(E2927,"/",""))+1))</f>
        <v/>
      </c>
      <c r="I2927" s="78">
        <f>IF(ISBLANK(G2927),"",IF(D2927="Stock","0",Key!$A$3*H2927*G2927))</f>
        <v/>
      </c>
      <c r="J2927" s="78">
        <f>IF(ISBLANK(E2927),"",IF(ISNUMBER(SEARCH("/",E2927)), IF(LEN(E2927)-LEN(SUBSTITUTE(E2927,"/",""))=1,(RIGHT(E2927,LEN(E2927)-FIND("/",E2927)))-(LEFT(E2927,FIND("/",E2927)-1)),(MID(E2927, SEARCH("/",E2927) + 1, SEARCH("/",E2927, SEARCH("/",E2927)+1) - SEARCH("/",E2927) - 1))-(LEFT(E2927,FIND("/",E2927)-1))), "NA"))</f>
        <v/>
      </c>
      <c r="K2927" s="79">
        <f>IF(A2927&lt;&gt;"", IF(ISBLANK(L2927), TODAY(), K2927), "")</f>
        <v/>
      </c>
      <c r="L2927" s="78" t="n"/>
      <c r="M2927" s="78">
        <f>IF(ISBLANK(L2927),"",IF(D2927="Stock",IF(C2927="Buy",L2927*G2927,IF(C2927="Sell",(L2927*G2927)-I2927, X)),IF(C2927="Buy",(L2927*G2927*100)+I2927,IF(C2927="Sell",(L2927*G2927*100)-I2927, X))))</f>
        <v/>
      </c>
      <c r="N2927" s="78">
        <f>IF(ISBLANK(L2927),"",IF(AND(C2927="Sell",D2927="Stock"),M2927,IF(ISBLANK(L2927),"",IF(C2927="Buy",M2927, IF(AND(C2927="Sell",J2927="NA"),(E2927*G2927*100*0.1)+I2927, IF(C2927="Sell",(J2927-L2927)*(100*G2927)+I2927))))))</f>
        <v/>
      </c>
      <c r="O2927" s="75" t="n"/>
      <c r="P2927" s="75" t="n"/>
      <c r="Q2927" s="75">
        <f>IF(ISBLANK(P2927),"",IF(D2927="Stock",P2927*G2927,IF(P2927=0,"0",G2927*P2927*100-(G2927*$AF$14))))</f>
        <v/>
      </c>
      <c r="R2927" s="79">
        <f>IF(P2927&lt;&gt;"", TODAY(), "")</f>
        <v/>
      </c>
      <c r="S2927" s="78">
        <f>IF(AND(K2927&lt;&gt;"", R2927&lt;&gt;""), R2927-K2927, "")</f>
        <v/>
      </c>
      <c r="T2927" s="78" t="n"/>
      <c r="U2927" s="92">
        <f>IF(ISBLANK(P2927),"",IF(C2927="Buy",Q2927-M2927+T2927, IF(C2927="Sell",M2927-Q2927-T2927, X)))</f>
        <v/>
      </c>
      <c r="V2927" s="81">
        <f>IF(ISBLANK(P2927),"",U2927/N2927)</f>
        <v/>
      </c>
      <c r="W2927" s="81">
        <f>IF(ISBLANK(P2927),"",IF(S2927=0,(365/0.5)*V2927,(365/S2927)*V2927))</f>
        <v/>
      </c>
      <c r="X2927" s="75" t="n"/>
      <c r="Y2927" s="77" t="n"/>
      <c r="Z2927" s="77" t="n"/>
      <c r="AA2927" s="75" t="n"/>
      <c r="AB2927" s="75" t="n"/>
      <c r="AC2927" s="6" t="n"/>
      <c r="AD2927" s="75" t="n"/>
      <c r="AE2927" s="75" t="n"/>
      <c r="AF2927" s="75" t="n"/>
    </row>
    <row r="2928" ht="15.75" customHeight="1" s="133">
      <c r="A2928" s="75" t="n"/>
      <c r="B2928" s="75" t="n"/>
      <c r="C2928" s="75" t="n"/>
      <c r="D2928" s="75" t="n"/>
      <c r="E2928" s="76" t="n"/>
      <c r="F2928" s="77" t="n"/>
      <c r="G2928" s="75" t="n"/>
      <c r="H2928" s="75">
        <f>IF(ISBLANK(E2928),"",IF(OR(D2928="Butterfly",D2928="Butterfly ",D2928="Iron Fly", D2928="Iron Fly "),LEN(E2928)-LEN(SUBSTITUTE(E2928,"/",""))+2,LEN(E2928)-LEN(SUBSTITUTE(E2928,"/",""))+1))</f>
        <v/>
      </c>
      <c r="I2928" s="78">
        <f>IF(ISBLANK(G2928),"",IF(D2928="Stock","0",Key!$A$3*H2928*G2928))</f>
        <v/>
      </c>
      <c r="J2928" s="78">
        <f>IF(ISBLANK(E2928),"",IF(ISNUMBER(SEARCH("/",E2928)), IF(LEN(E2928)-LEN(SUBSTITUTE(E2928,"/",""))=1,(RIGHT(E2928,LEN(E2928)-FIND("/",E2928)))-(LEFT(E2928,FIND("/",E2928)-1)),(MID(E2928, SEARCH("/",E2928) + 1, SEARCH("/",E2928, SEARCH("/",E2928)+1) - SEARCH("/",E2928) - 1))-(LEFT(E2928,FIND("/",E2928)-1))), "NA"))</f>
        <v/>
      </c>
      <c r="K2928" s="79">
        <f>IF(A2928&lt;&gt;"", IF(ISBLANK(L2928), TODAY(), K2928), "")</f>
        <v/>
      </c>
      <c r="L2928" s="78" t="n"/>
      <c r="M2928" s="78">
        <f>IF(ISBLANK(L2928),"",IF(D2928="Stock",IF(C2928="Buy",L2928*G2928,IF(C2928="Sell",(L2928*G2928)-I2928, X)),IF(C2928="Buy",(L2928*G2928*100)+I2928,IF(C2928="Sell",(L2928*G2928*100)-I2928, X))))</f>
        <v/>
      </c>
      <c r="N2928" s="78">
        <f>IF(ISBLANK(L2928),"",IF(AND(C2928="Sell",D2928="Stock"),M2928,IF(ISBLANK(L2928),"",IF(C2928="Buy",M2928, IF(AND(C2928="Sell",J2928="NA"),(E2928*G2928*100*0.1)+I2928, IF(C2928="Sell",(J2928-L2928)*(100*G2928)+I2928))))))</f>
        <v/>
      </c>
      <c r="O2928" s="75" t="n"/>
      <c r="P2928" s="75" t="n"/>
      <c r="Q2928" s="75">
        <f>IF(ISBLANK(P2928),"",IF(D2928="Stock",P2928*G2928,IF(P2928=0,"0",G2928*P2928*100-(G2928*$AF$14))))</f>
        <v/>
      </c>
      <c r="R2928" s="79">
        <f>IF(P2928&lt;&gt;"", TODAY(), "")</f>
        <v/>
      </c>
      <c r="S2928" s="78">
        <f>IF(AND(K2928&lt;&gt;"", R2928&lt;&gt;""), R2928-K2928, "")</f>
        <v/>
      </c>
      <c r="T2928" s="78" t="n"/>
      <c r="U2928" s="92">
        <f>IF(ISBLANK(P2928),"",IF(C2928="Buy",Q2928-M2928+T2928, IF(C2928="Sell",M2928-Q2928-T2928, X)))</f>
        <v/>
      </c>
      <c r="V2928" s="81">
        <f>IF(ISBLANK(P2928),"",U2928/N2928)</f>
        <v/>
      </c>
      <c r="W2928" s="81">
        <f>IF(ISBLANK(P2928),"",IF(S2928=0,(365/0.5)*V2928,(365/S2928)*V2928))</f>
        <v/>
      </c>
      <c r="X2928" s="75" t="n"/>
      <c r="Y2928" s="77" t="n"/>
      <c r="Z2928" s="77" t="n"/>
      <c r="AA2928" s="75" t="n"/>
      <c r="AB2928" s="75" t="n"/>
      <c r="AC2928" s="6" t="n"/>
      <c r="AD2928" s="75" t="n"/>
      <c r="AE2928" s="75" t="n"/>
      <c r="AF2928" s="75" t="n"/>
    </row>
    <row r="2929" ht="15.75" customHeight="1" s="133">
      <c r="A2929" s="75" t="n"/>
      <c r="B2929" s="75" t="n"/>
      <c r="C2929" s="75" t="n"/>
      <c r="D2929" s="75" t="n"/>
      <c r="E2929" s="76" t="n"/>
      <c r="F2929" s="77" t="n"/>
      <c r="G2929" s="75" t="n"/>
      <c r="H2929" s="75">
        <f>IF(ISBLANK(E2929),"",IF(OR(D2929="Butterfly",D2929="Butterfly ",D2929="Iron Fly", D2929="Iron Fly "),LEN(E2929)-LEN(SUBSTITUTE(E2929,"/",""))+2,LEN(E2929)-LEN(SUBSTITUTE(E2929,"/",""))+1))</f>
        <v/>
      </c>
      <c r="I2929" s="78">
        <f>IF(ISBLANK(G2929),"",IF(D2929="Stock","0",Key!$A$3*H2929*G2929))</f>
        <v/>
      </c>
      <c r="J2929" s="78">
        <f>IF(ISBLANK(E2929),"",IF(ISNUMBER(SEARCH("/",E2929)), IF(LEN(E2929)-LEN(SUBSTITUTE(E2929,"/",""))=1,(RIGHT(E2929,LEN(E2929)-FIND("/",E2929)))-(LEFT(E2929,FIND("/",E2929)-1)),(MID(E2929, SEARCH("/",E2929) + 1, SEARCH("/",E2929, SEARCH("/",E2929)+1) - SEARCH("/",E2929) - 1))-(LEFT(E2929,FIND("/",E2929)-1))), "NA"))</f>
        <v/>
      </c>
      <c r="K2929" s="79">
        <f>IF(A2929&lt;&gt;"", IF(ISBLANK(L2929), TODAY(), K2929), "")</f>
        <v/>
      </c>
      <c r="L2929" s="78" t="n"/>
      <c r="M2929" s="78">
        <f>IF(ISBLANK(L2929),"",IF(D2929="Stock",IF(C2929="Buy",L2929*G2929,IF(C2929="Sell",(L2929*G2929)-I2929, X)),IF(C2929="Buy",(L2929*G2929*100)+I2929,IF(C2929="Sell",(L2929*G2929*100)-I2929, X))))</f>
        <v/>
      </c>
      <c r="N2929" s="78">
        <f>IF(ISBLANK(L2929),"",IF(AND(C2929="Sell",D2929="Stock"),M2929,IF(ISBLANK(L2929),"",IF(C2929="Buy",M2929, IF(AND(C2929="Sell",J2929="NA"),(E2929*G2929*100*0.1)+I2929, IF(C2929="Sell",(J2929-L2929)*(100*G2929)+I2929))))))</f>
        <v/>
      </c>
      <c r="O2929" s="75" t="n"/>
      <c r="P2929" s="75" t="n"/>
      <c r="Q2929" s="75">
        <f>IF(ISBLANK(P2929),"",IF(D2929="Stock",P2929*G2929,IF(P2929=0,"0",G2929*P2929*100-(G2929*$AF$14))))</f>
        <v/>
      </c>
      <c r="R2929" s="79">
        <f>IF(P2929&lt;&gt;"", TODAY(), "")</f>
        <v/>
      </c>
      <c r="S2929" s="78">
        <f>IF(AND(K2929&lt;&gt;"", R2929&lt;&gt;""), R2929-K2929, "")</f>
        <v/>
      </c>
      <c r="T2929" s="78" t="n"/>
      <c r="U2929" s="92">
        <f>IF(ISBLANK(P2929),"",IF(C2929="Buy",Q2929-M2929+T2929, IF(C2929="Sell",M2929-Q2929-T2929, X)))</f>
        <v/>
      </c>
      <c r="V2929" s="81">
        <f>IF(ISBLANK(P2929),"",U2929/N2929)</f>
        <v/>
      </c>
      <c r="W2929" s="81">
        <f>IF(ISBLANK(P2929),"",IF(S2929=0,(365/0.5)*V2929,(365/S2929)*V2929))</f>
        <v/>
      </c>
      <c r="X2929" s="75" t="n"/>
      <c r="Y2929" s="77" t="n"/>
      <c r="Z2929" s="77" t="n"/>
      <c r="AA2929" s="75" t="n"/>
      <c r="AB2929" s="75" t="n"/>
      <c r="AC2929" s="6" t="n"/>
      <c r="AD2929" s="75" t="n"/>
      <c r="AE2929" s="75" t="n"/>
      <c r="AF2929" s="75" t="n"/>
    </row>
    <row r="2930" ht="15.75" customHeight="1" s="133">
      <c r="A2930" s="75" t="n"/>
      <c r="B2930" s="75" t="n"/>
      <c r="C2930" s="75" t="n"/>
      <c r="D2930" s="75" t="n"/>
      <c r="E2930" s="76" t="n"/>
      <c r="F2930" s="77" t="n"/>
      <c r="G2930" s="75" t="n"/>
      <c r="H2930" s="75">
        <f>IF(ISBLANK(E2930),"",IF(OR(D2930="Butterfly",D2930="Butterfly ",D2930="Iron Fly", D2930="Iron Fly "),LEN(E2930)-LEN(SUBSTITUTE(E2930,"/",""))+2,LEN(E2930)-LEN(SUBSTITUTE(E2930,"/",""))+1))</f>
        <v/>
      </c>
      <c r="I2930" s="78">
        <f>IF(ISBLANK(G2930),"",IF(D2930="Stock","0",Key!$A$3*H2930*G2930))</f>
        <v/>
      </c>
      <c r="J2930" s="78">
        <f>IF(ISBLANK(E2930),"",IF(ISNUMBER(SEARCH("/",E2930)), IF(LEN(E2930)-LEN(SUBSTITUTE(E2930,"/",""))=1,(RIGHT(E2930,LEN(E2930)-FIND("/",E2930)))-(LEFT(E2930,FIND("/",E2930)-1)),(MID(E2930, SEARCH("/",E2930) + 1, SEARCH("/",E2930, SEARCH("/",E2930)+1) - SEARCH("/",E2930) - 1))-(LEFT(E2930,FIND("/",E2930)-1))), "NA"))</f>
        <v/>
      </c>
      <c r="K2930" s="79">
        <f>IF(A2930&lt;&gt;"", IF(ISBLANK(L2930), TODAY(), K2930), "")</f>
        <v/>
      </c>
      <c r="L2930" s="78" t="n"/>
      <c r="M2930" s="78">
        <f>IF(ISBLANK(L2930),"",IF(D2930="Stock",IF(C2930="Buy",L2930*G2930,IF(C2930="Sell",(L2930*G2930)-I2930, X)),IF(C2930="Buy",(L2930*G2930*100)+I2930,IF(C2930="Sell",(L2930*G2930*100)-I2930, X))))</f>
        <v/>
      </c>
      <c r="N2930" s="78">
        <f>IF(ISBLANK(L2930),"",IF(AND(C2930="Sell",D2930="Stock"),M2930,IF(ISBLANK(L2930),"",IF(C2930="Buy",M2930, IF(AND(C2930="Sell",J2930="NA"),(E2930*G2930*100*0.1)+I2930, IF(C2930="Sell",(J2930-L2930)*(100*G2930)+I2930))))))</f>
        <v/>
      </c>
      <c r="O2930" s="75" t="n"/>
      <c r="P2930" s="75" t="n"/>
      <c r="Q2930" s="75">
        <f>IF(ISBLANK(P2930),"",IF(D2930="Stock",P2930*G2930,IF(P2930=0,"0",G2930*P2930*100-(G2930*$AF$14))))</f>
        <v/>
      </c>
      <c r="R2930" s="79">
        <f>IF(P2930&lt;&gt;"", TODAY(), "")</f>
        <v/>
      </c>
      <c r="S2930" s="78">
        <f>IF(AND(K2930&lt;&gt;"", R2930&lt;&gt;""), R2930-K2930, "")</f>
        <v/>
      </c>
      <c r="T2930" s="78" t="n"/>
      <c r="U2930" s="92">
        <f>IF(ISBLANK(P2930),"",IF(C2930="Buy",Q2930-M2930+T2930, IF(C2930="Sell",M2930-Q2930-T2930, X)))</f>
        <v/>
      </c>
      <c r="V2930" s="81">
        <f>IF(ISBLANK(P2930),"",U2930/N2930)</f>
        <v/>
      </c>
      <c r="W2930" s="81">
        <f>IF(ISBLANK(P2930),"",IF(S2930=0,(365/0.5)*V2930,(365/S2930)*V2930))</f>
        <v/>
      </c>
      <c r="X2930" s="75" t="n"/>
      <c r="Y2930" s="77" t="n"/>
      <c r="Z2930" s="77" t="n"/>
      <c r="AA2930" s="75" t="n"/>
      <c r="AB2930" s="75" t="n"/>
      <c r="AC2930" s="6" t="n"/>
      <c r="AD2930" s="75" t="n"/>
      <c r="AE2930" s="75" t="n"/>
      <c r="AF2930" s="75" t="n"/>
    </row>
    <row r="2931" ht="15.75" customHeight="1" s="133">
      <c r="A2931" s="75" t="n"/>
      <c r="B2931" s="75" t="n"/>
      <c r="C2931" s="75" t="n"/>
      <c r="D2931" s="75" t="n"/>
      <c r="E2931" s="76" t="n"/>
      <c r="F2931" s="77" t="n"/>
      <c r="G2931" s="75" t="n"/>
      <c r="H2931" s="75">
        <f>IF(ISBLANK(E2931),"",IF(OR(D2931="Butterfly",D2931="Butterfly ",D2931="Iron Fly", D2931="Iron Fly "),LEN(E2931)-LEN(SUBSTITUTE(E2931,"/",""))+2,LEN(E2931)-LEN(SUBSTITUTE(E2931,"/",""))+1))</f>
        <v/>
      </c>
      <c r="I2931" s="78">
        <f>IF(ISBLANK(G2931),"",IF(D2931="Stock","0",Key!$A$3*H2931*G2931))</f>
        <v/>
      </c>
      <c r="J2931" s="78">
        <f>IF(ISBLANK(E2931),"",IF(ISNUMBER(SEARCH("/",E2931)), IF(LEN(E2931)-LEN(SUBSTITUTE(E2931,"/",""))=1,(RIGHT(E2931,LEN(E2931)-FIND("/",E2931)))-(LEFT(E2931,FIND("/",E2931)-1)),(MID(E2931, SEARCH("/",E2931) + 1, SEARCH("/",E2931, SEARCH("/",E2931)+1) - SEARCH("/",E2931) - 1))-(LEFT(E2931,FIND("/",E2931)-1))), "NA"))</f>
        <v/>
      </c>
      <c r="K2931" s="79">
        <f>IF(A2931&lt;&gt;"", IF(ISBLANK(L2931), TODAY(), K2931), "")</f>
        <v/>
      </c>
      <c r="L2931" s="78" t="n"/>
      <c r="M2931" s="78">
        <f>IF(ISBLANK(L2931),"",IF(D2931="Stock",IF(C2931="Buy",L2931*G2931,IF(C2931="Sell",(L2931*G2931)-I2931, X)),IF(C2931="Buy",(L2931*G2931*100)+I2931,IF(C2931="Sell",(L2931*G2931*100)-I2931, X))))</f>
        <v/>
      </c>
      <c r="N2931" s="78">
        <f>IF(ISBLANK(L2931),"",IF(AND(C2931="Sell",D2931="Stock"),M2931,IF(ISBLANK(L2931),"",IF(C2931="Buy",M2931, IF(AND(C2931="Sell",J2931="NA"),(E2931*G2931*100*0.1)+I2931, IF(C2931="Sell",(J2931-L2931)*(100*G2931)+I2931))))))</f>
        <v/>
      </c>
      <c r="O2931" s="75" t="n"/>
      <c r="P2931" s="75" t="n"/>
      <c r="Q2931" s="75">
        <f>IF(ISBLANK(P2931),"",IF(D2931="Stock",P2931*G2931,IF(P2931=0,"0",G2931*P2931*100-(G2931*$AF$14))))</f>
        <v/>
      </c>
      <c r="R2931" s="79">
        <f>IF(P2931&lt;&gt;"", TODAY(), "")</f>
        <v/>
      </c>
      <c r="S2931" s="78">
        <f>IF(AND(K2931&lt;&gt;"", R2931&lt;&gt;""), R2931-K2931, "")</f>
        <v/>
      </c>
      <c r="T2931" s="78" t="n"/>
      <c r="U2931" s="92">
        <f>IF(ISBLANK(P2931),"",IF(C2931="Buy",Q2931-M2931+T2931, IF(C2931="Sell",M2931-Q2931-T2931, X)))</f>
        <v/>
      </c>
      <c r="V2931" s="81">
        <f>IF(ISBLANK(P2931),"",U2931/N2931)</f>
        <v/>
      </c>
      <c r="W2931" s="81">
        <f>IF(ISBLANK(P2931),"",IF(S2931=0,(365/0.5)*V2931,(365/S2931)*V2931))</f>
        <v/>
      </c>
      <c r="X2931" s="75" t="n"/>
      <c r="Y2931" s="77" t="n"/>
      <c r="Z2931" s="77" t="n"/>
      <c r="AA2931" s="75" t="n"/>
      <c r="AB2931" s="75" t="n"/>
      <c r="AC2931" s="6" t="n"/>
      <c r="AD2931" s="75" t="n"/>
      <c r="AE2931" s="75" t="n"/>
      <c r="AF2931" s="75" t="n"/>
    </row>
    <row r="2932" ht="15.75" customHeight="1" s="133">
      <c r="A2932" s="75" t="n"/>
      <c r="B2932" s="75" t="n"/>
      <c r="C2932" s="75" t="n"/>
      <c r="D2932" s="75" t="n"/>
      <c r="E2932" s="76" t="n"/>
      <c r="F2932" s="77" t="n"/>
      <c r="G2932" s="75" t="n"/>
      <c r="H2932" s="75">
        <f>IF(ISBLANK(E2932),"",IF(OR(D2932="Butterfly",D2932="Butterfly ",D2932="Iron Fly", D2932="Iron Fly "),LEN(E2932)-LEN(SUBSTITUTE(E2932,"/",""))+2,LEN(E2932)-LEN(SUBSTITUTE(E2932,"/",""))+1))</f>
        <v/>
      </c>
      <c r="I2932" s="78">
        <f>IF(ISBLANK(G2932),"",IF(D2932="Stock","0",Key!$A$3*H2932*G2932))</f>
        <v/>
      </c>
      <c r="J2932" s="78">
        <f>IF(ISBLANK(E2932),"",IF(ISNUMBER(SEARCH("/",E2932)), IF(LEN(E2932)-LEN(SUBSTITUTE(E2932,"/",""))=1,(RIGHT(E2932,LEN(E2932)-FIND("/",E2932)))-(LEFT(E2932,FIND("/",E2932)-1)),(MID(E2932, SEARCH("/",E2932) + 1, SEARCH("/",E2932, SEARCH("/",E2932)+1) - SEARCH("/",E2932) - 1))-(LEFT(E2932,FIND("/",E2932)-1))), "NA"))</f>
        <v/>
      </c>
      <c r="K2932" s="79">
        <f>IF(A2932&lt;&gt;"", IF(ISBLANK(L2932), TODAY(), K2932), "")</f>
        <v/>
      </c>
      <c r="L2932" s="78" t="n"/>
      <c r="M2932" s="78">
        <f>IF(ISBLANK(L2932),"",IF(D2932="Stock",IF(C2932="Buy",L2932*G2932,IF(C2932="Sell",(L2932*G2932)-I2932, X)),IF(C2932="Buy",(L2932*G2932*100)+I2932,IF(C2932="Sell",(L2932*G2932*100)-I2932, X))))</f>
        <v/>
      </c>
      <c r="N2932" s="78">
        <f>IF(ISBLANK(L2932),"",IF(AND(C2932="Sell",D2932="Stock"),M2932,IF(ISBLANK(L2932),"",IF(C2932="Buy",M2932, IF(AND(C2932="Sell",J2932="NA"),(E2932*G2932*100*0.1)+I2932, IF(C2932="Sell",(J2932-L2932)*(100*G2932)+I2932))))))</f>
        <v/>
      </c>
      <c r="O2932" s="75" t="n"/>
      <c r="P2932" s="75" t="n"/>
      <c r="Q2932" s="75">
        <f>IF(ISBLANK(P2932),"",IF(D2932="Stock",P2932*G2932,IF(P2932=0,"0",G2932*P2932*100-(G2932*$AF$14))))</f>
        <v/>
      </c>
      <c r="R2932" s="79">
        <f>IF(P2932&lt;&gt;"", TODAY(), "")</f>
        <v/>
      </c>
      <c r="S2932" s="78">
        <f>IF(AND(K2932&lt;&gt;"", R2932&lt;&gt;""), R2932-K2932, "")</f>
        <v/>
      </c>
      <c r="T2932" s="78" t="n"/>
      <c r="U2932" s="92">
        <f>IF(ISBLANK(P2932),"",IF(C2932="Buy",Q2932-M2932+T2932, IF(C2932="Sell",M2932-Q2932-T2932, X)))</f>
        <v/>
      </c>
      <c r="V2932" s="81">
        <f>IF(ISBLANK(P2932),"",U2932/N2932)</f>
        <v/>
      </c>
      <c r="W2932" s="81">
        <f>IF(ISBLANK(P2932),"",IF(S2932=0,(365/0.5)*V2932,(365/S2932)*V2932))</f>
        <v/>
      </c>
      <c r="X2932" s="75" t="n"/>
      <c r="Y2932" s="77" t="n"/>
      <c r="Z2932" s="77" t="n"/>
      <c r="AA2932" s="75" t="n"/>
      <c r="AB2932" s="75" t="n"/>
      <c r="AC2932" s="6" t="n"/>
      <c r="AD2932" s="75" t="n"/>
      <c r="AE2932" s="75" t="n"/>
      <c r="AF2932" s="75" t="n"/>
    </row>
    <row r="2933" ht="15.75" customHeight="1" s="133">
      <c r="A2933" s="75" t="n"/>
      <c r="B2933" s="75" t="n"/>
      <c r="C2933" s="75" t="n"/>
      <c r="D2933" s="75" t="n"/>
      <c r="E2933" s="76" t="n"/>
      <c r="F2933" s="77" t="n"/>
      <c r="G2933" s="75" t="n"/>
      <c r="H2933" s="75">
        <f>IF(ISBLANK(E2933),"",IF(OR(D2933="Butterfly",D2933="Butterfly ",D2933="Iron Fly", D2933="Iron Fly "),LEN(E2933)-LEN(SUBSTITUTE(E2933,"/",""))+2,LEN(E2933)-LEN(SUBSTITUTE(E2933,"/",""))+1))</f>
        <v/>
      </c>
      <c r="I2933" s="78">
        <f>IF(ISBLANK(G2933),"",IF(D2933="Stock","0",Key!$A$3*H2933*G2933))</f>
        <v/>
      </c>
      <c r="J2933" s="78">
        <f>IF(ISBLANK(E2933),"",IF(ISNUMBER(SEARCH("/",E2933)), IF(LEN(E2933)-LEN(SUBSTITUTE(E2933,"/",""))=1,(RIGHT(E2933,LEN(E2933)-FIND("/",E2933)))-(LEFT(E2933,FIND("/",E2933)-1)),(MID(E2933, SEARCH("/",E2933) + 1, SEARCH("/",E2933, SEARCH("/",E2933)+1) - SEARCH("/",E2933) - 1))-(LEFT(E2933,FIND("/",E2933)-1))), "NA"))</f>
        <v/>
      </c>
      <c r="K2933" s="79">
        <f>IF(A2933&lt;&gt;"", IF(ISBLANK(L2933), TODAY(), K2933), "")</f>
        <v/>
      </c>
      <c r="L2933" s="78" t="n"/>
      <c r="M2933" s="78">
        <f>IF(ISBLANK(L2933),"",IF(D2933="Stock",IF(C2933="Buy",L2933*G2933,IF(C2933="Sell",(L2933*G2933)-I2933, X)),IF(C2933="Buy",(L2933*G2933*100)+I2933,IF(C2933="Sell",(L2933*G2933*100)-I2933, X))))</f>
        <v/>
      </c>
      <c r="N2933" s="78">
        <f>IF(ISBLANK(L2933),"",IF(AND(C2933="Sell",D2933="Stock"),M2933,IF(ISBLANK(L2933),"",IF(C2933="Buy",M2933, IF(AND(C2933="Sell",J2933="NA"),(E2933*G2933*100*0.1)+I2933, IF(C2933="Sell",(J2933-L2933)*(100*G2933)+I2933))))))</f>
        <v/>
      </c>
      <c r="O2933" s="75" t="n"/>
      <c r="P2933" s="75" t="n"/>
      <c r="Q2933" s="75">
        <f>IF(ISBLANK(P2933),"",IF(D2933="Stock",P2933*G2933,IF(P2933=0,"0",G2933*P2933*100-(G2933*$AF$14))))</f>
        <v/>
      </c>
      <c r="R2933" s="79">
        <f>IF(P2933&lt;&gt;"", TODAY(), "")</f>
        <v/>
      </c>
      <c r="S2933" s="78">
        <f>IF(AND(K2933&lt;&gt;"", R2933&lt;&gt;""), R2933-K2933, "")</f>
        <v/>
      </c>
      <c r="T2933" s="78" t="n"/>
      <c r="U2933" s="92">
        <f>IF(ISBLANK(P2933),"",IF(C2933="Buy",Q2933-M2933+T2933, IF(C2933="Sell",M2933-Q2933-T2933, X)))</f>
        <v/>
      </c>
      <c r="V2933" s="81">
        <f>IF(ISBLANK(P2933),"",U2933/N2933)</f>
        <v/>
      </c>
      <c r="W2933" s="81">
        <f>IF(ISBLANK(P2933),"",IF(S2933=0,(365/0.5)*V2933,(365/S2933)*V2933))</f>
        <v/>
      </c>
      <c r="X2933" s="75" t="n"/>
      <c r="Y2933" s="77" t="n"/>
      <c r="Z2933" s="77" t="n"/>
      <c r="AA2933" s="75" t="n"/>
      <c r="AB2933" s="75" t="n"/>
      <c r="AC2933" s="6" t="n"/>
      <c r="AD2933" s="75" t="n"/>
      <c r="AE2933" s="75" t="n"/>
      <c r="AF2933" s="75" t="n"/>
    </row>
    <row r="2934" ht="15.75" customHeight="1" s="133">
      <c r="A2934" s="75" t="n"/>
      <c r="B2934" s="75" t="n"/>
      <c r="C2934" s="75" t="n"/>
      <c r="D2934" s="75" t="n"/>
      <c r="E2934" s="76" t="n"/>
      <c r="F2934" s="77" t="n"/>
      <c r="G2934" s="75" t="n"/>
      <c r="H2934" s="75">
        <f>IF(ISBLANK(E2934),"",IF(OR(D2934="Butterfly",D2934="Butterfly ",D2934="Iron Fly", D2934="Iron Fly "),LEN(E2934)-LEN(SUBSTITUTE(E2934,"/",""))+2,LEN(E2934)-LEN(SUBSTITUTE(E2934,"/",""))+1))</f>
        <v/>
      </c>
      <c r="I2934" s="78">
        <f>IF(ISBLANK(G2934),"",IF(D2934="Stock","0",Key!$A$3*H2934*G2934))</f>
        <v/>
      </c>
      <c r="J2934" s="78">
        <f>IF(ISBLANK(E2934),"",IF(ISNUMBER(SEARCH("/",E2934)), IF(LEN(E2934)-LEN(SUBSTITUTE(E2934,"/",""))=1,(RIGHT(E2934,LEN(E2934)-FIND("/",E2934)))-(LEFT(E2934,FIND("/",E2934)-1)),(MID(E2934, SEARCH("/",E2934) + 1, SEARCH("/",E2934, SEARCH("/",E2934)+1) - SEARCH("/",E2934) - 1))-(LEFT(E2934,FIND("/",E2934)-1))), "NA"))</f>
        <v/>
      </c>
      <c r="K2934" s="79">
        <f>IF(A2934&lt;&gt;"", IF(ISBLANK(L2934), TODAY(), K2934), "")</f>
        <v/>
      </c>
      <c r="L2934" s="78" t="n"/>
      <c r="M2934" s="78">
        <f>IF(ISBLANK(L2934),"",IF(D2934="Stock",IF(C2934="Buy",L2934*G2934,IF(C2934="Sell",(L2934*G2934)-I2934, X)),IF(C2934="Buy",(L2934*G2934*100)+I2934,IF(C2934="Sell",(L2934*G2934*100)-I2934, X))))</f>
        <v/>
      </c>
      <c r="N2934" s="78">
        <f>IF(ISBLANK(L2934),"",IF(AND(C2934="Sell",D2934="Stock"),M2934,IF(ISBLANK(L2934),"",IF(C2934="Buy",M2934, IF(AND(C2934="Sell",J2934="NA"),(E2934*G2934*100*0.1)+I2934, IF(C2934="Sell",(J2934-L2934)*(100*G2934)+I2934))))))</f>
        <v/>
      </c>
      <c r="O2934" s="75" t="n"/>
      <c r="P2934" s="75" t="n"/>
      <c r="Q2934" s="75">
        <f>IF(ISBLANK(P2934),"",IF(D2934="Stock",P2934*G2934,IF(P2934=0,"0",G2934*P2934*100-(G2934*$AF$14))))</f>
        <v/>
      </c>
      <c r="R2934" s="79">
        <f>IF(P2934&lt;&gt;"", TODAY(), "")</f>
        <v/>
      </c>
      <c r="S2934" s="78">
        <f>IF(AND(K2934&lt;&gt;"", R2934&lt;&gt;""), R2934-K2934, "")</f>
        <v/>
      </c>
      <c r="T2934" s="78" t="n"/>
      <c r="U2934" s="92">
        <f>IF(ISBLANK(P2934),"",IF(C2934="Buy",Q2934-M2934+T2934, IF(C2934="Sell",M2934-Q2934-T2934, X)))</f>
        <v/>
      </c>
      <c r="V2934" s="81">
        <f>IF(ISBLANK(P2934),"",U2934/N2934)</f>
        <v/>
      </c>
      <c r="W2934" s="81">
        <f>IF(ISBLANK(P2934),"",IF(S2934=0,(365/0.5)*V2934,(365/S2934)*V2934))</f>
        <v/>
      </c>
      <c r="X2934" s="75" t="n"/>
      <c r="Y2934" s="77" t="n"/>
      <c r="Z2934" s="77" t="n"/>
      <c r="AA2934" s="75" t="n"/>
      <c r="AB2934" s="75" t="n"/>
      <c r="AC2934" s="6" t="n"/>
      <c r="AD2934" s="75" t="n"/>
      <c r="AE2934" s="75" t="n"/>
      <c r="AF2934" s="75" t="n"/>
    </row>
    <row r="2935" ht="15.75" customHeight="1" s="133">
      <c r="A2935" s="75" t="n"/>
      <c r="B2935" s="75" t="n"/>
      <c r="C2935" s="75" t="n"/>
      <c r="D2935" s="75" t="n"/>
      <c r="E2935" s="76" t="n"/>
      <c r="F2935" s="77" t="n"/>
      <c r="G2935" s="75" t="n"/>
      <c r="H2935" s="75">
        <f>IF(ISBLANK(E2935),"",IF(OR(D2935="Butterfly",D2935="Butterfly ",D2935="Iron Fly", D2935="Iron Fly "),LEN(E2935)-LEN(SUBSTITUTE(E2935,"/",""))+2,LEN(E2935)-LEN(SUBSTITUTE(E2935,"/",""))+1))</f>
        <v/>
      </c>
      <c r="I2935" s="78">
        <f>IF(ISBLANK(G2935),"",IF(D2935="Stock","0",Key!$A$3*H2935*G2935))</f>
        <v/>
      </c>
      <c r="J2935" s="78">
        <f>IF(ISBLANK(E2935),"",IF(ISNUMBER(SEARCH("/",E2935)), IF(LEN(E2935)-LEN(SUBSTITUTE(E2935,"/",""))=1,(RIGHT(E2935,LEN(E2935)-FIND("/",E2935)))-(LEFT(E2935,FIND("/",E2935)-1)),(MID(E2935, SEARCH("/",E2935) + 1, SEARCH("/",E2935, SEARCH("/",E2935)+1) - SEARCH("/",E2935) - 1))-(LEFT(E2935,FIND("/",E2935)-1))), "NA"))</f>
        <v/>
      </c>
      <c r="K2935" s="79">
        <f>IF(A2935&lt;&gt;"", IF(ISBLANK(L2935), TODAY(), K2935), "")</f>
        <v/>
      </c>
      <c r="L2935" s="78" t="n"/>
      <c r="M2935" s="78">
        <f>IF(ISBLANK(L2935),"",IF(D2935="Stock",IF(C2935="Buy",L2935*G2935,IF(C2935="Sell",(L2935*G2935)-I2935, X)),IF(C2935="Buy",(L2935*G2935*100)+I2935,IF(C2935="Sell",(L2935*G2935*100)-I2935, X))))</f>
        <v/>
      </c>
      <c r="N2935" s="78">
        <f>IF(ISBLANK(L2935),"",IF(AND(C2935="Sell",D2935="Stock"),M2935,IF(ISBLANK(L2935),"",IF(C2935="Buy",M2935, IF(AND(C2935="Sell",J2935="NA"),(E2935*G2935*100*0.1)+I2935, IF(C2935="Sell",(J2935-L2935)*(100*G2935)+I2935))))))</f>
        <v/>
      </c>
      <c r="O2935" s="75" t="n"/>
      <c r="P2935" s="75" t="n"/>
      <c r="Q2935" s="75">
        <f>IF(ISBLANK(P2935),"",IF(D2935="Stock",P2935*G2935,IF(P2935=0,"0",G2935*P2935*100-(G2935*$AF$14))))</f>
        <v/>
      </c>
      <c r="R2935" s="79">
        <f>IF(P2935&lt;&gt;"", TODAY(), "")</f>
        <v/>
      </c>
      <c r="S2935" s="78">
        <f>IF(AND(K2935&lt;&gt;"", R2935&lt;&gt;""), R2935-K2935, "")</f>
        <v/>
      </c>
      <c r="T2935" s="78" t="n"/>
      <c r="U2935" s="92">
        <f>IF(ISBLANK(P2935),"",IF(C2935="Buy",Q2935-M2935+T2935, IF(C2935="Sell",M2935-Q2935-T2935, X)))</f>
        <v/>
      </c>
      <c r="V2935" s="81">
        <f>IF(ISBLANK(P2935),"",U2935/N2935)</f>
        <v/>
      </c>
      <c r="W2935" s="81">
        <f>IF(ISBLANK(P2935),"",IF(S2935=0,(365/0.5)*V2935,(365/S2935)*V2935))</f>
        <v/>
      </c>
      <c r="X2935" s="75" t="n"/>
      <c r="Y2935" s="77" t="n"/>
      <c r="Z2935" s="77" t="n"/>
      <c r="AA2935" s="75" t="n"/>
      <c r="AB2935" s="75" t="n"/>
      <c r="AC2935" s="6" t="n"/>
      <c r="AD2935" s="75" t="n"/>
      <c r="AE2935" s="75" t="n"/>
      <c r="AF2935" s="75" t="n"/>
    </row>
    <row r="2936" ht="15.75" customHeight="1" s="133">
      <c r="A2936" s="75" t="n"/>
      <c r="B2936" s="75" t="n"/>
      <c r="C2936" s="75" t="n"/>
      <c r="D2936" s="75" t="n"/>
      <c r="E2936" s="76" t="n"/>
      <c r="F2936" s="77" t="n"/>
      <c r="G2936" s="75" t="n"/>
      <c r="H2936" s="75">
        <f>IF(ISBLANK(E2936),"",IF(OR(D2936="Butterfly",D2936="Butterfly ",D2936="Iron Fly", D2936="Iron Fly "),LEN(E2936)-LEN(SUBSTITUTE(E2936,"/",""))+2,LEN(E2936)-LEN(SUBSTITUTE(E2936,"/",""))+1))</f>
        <v/>
      </c>
      <c r="I2936" s="78">
        <f>IF(ISBLANK(G2936),"",IF(D2936="Stock","0",Key!$A$3*H2936*G2936))</f>
        <v/>
      </c>
      <c r="J2936" s="78">
        <f>IF(ISBLANK(E2936),"",IF(ISNUMBER(SEARCH("/",E2936)), IF(LEN(E2936)-LEN(SUBSTITUTE(E2936,"/",""))=1,(RIGHT(E2936,LEN(E2936)-FIND("/",E2936)))-(LEFT(E2936,FIND("/",E2936)-1)),(MID(E2936, SEARCH("/",E2936) + 1, SEARCH("/",E2936, SEARCH("/",E2936)+1) - SEARCH("/",E2936) - 1))-(LEFT(E2936,FIND("/",E2936)-1))), "NA"))</f>
        <v/>
      </c>
      <c r="K2936" s="79">
        <f>IF(A2936&lt;&gt;"", IF(ISBLANK(L2936), TODAY(), K2936), "")</f>
        <v/>
      </c>
      <c r="L2936" s="78" t="n"/>
      <c r="M2936" s="78">
        <f>IF(ISBLANK(L2936),"",IF(D2936="Stock",IF(C2936="Buy",L2936*G2936,IF(C2936="Sell",(L2936*G2936)-I2936, X)),IF(C2936="Buy",(L2936*G2936*100)+I2936,IF(C2936="Sell",(L2936*G2936*100)-I2936, X))))</f>
        <v/>
      </c>
      <c r="N2936" s="78">
        <f>IF(ISBLANK(L2936),"",IF(AND(C2936="Sell",D2936="Stock"),M2936,IF(ISBLANK(L2936),"",IF(C2936="Buy",M2936, IF(AND(C2936="Sell",J2936="NA"),(E2936*G2936*100*0.1)+I2936, IF(C2936="Sell",(J2936-L2936)*(100*G2936)+I2936))))))</f>
        <v/>
      </c>
      <c r="O2936" s="75" t="n"/>
      <c r="P2936" s="75" t="n"/>
      <c r="Q2936" s="75">
        <f>IF(ISBLANK(P2936),"",IF(D2936="Stock",P2936*G2936,IF(P2936=0,"0",G2936*P2936*100-(G2936*$AF$14))))</f>
        <v/>
      </c>
      <c r="R2936" s="79">
        <f>IF(P2936&lt;&gt;"", TODAY(), "")</f>
        <v/>
      </c>
      <c r="S2936" s="78">
        <f>IF(AND(K2936&lt;&gt;"", R2936&lt;&gt;""), R2936-K2936, "")</f>
        <v/>
      </c>
      <c r="T2936" s="78" t="n"/>
      <c r="U2936" s="92">
        <f>IF(ISBLANK(P2936),"",IF(C2936="Buy",Q2936-M2936+T2936, IF(C2936="Sell",M2936-Q2936-T2936, X)))</f>
        <v/>
      </c>
      <c r="V2936" s="81">
        <f>IF(ISBLANK(P2936),"",U2936/N2936)</f>
        <v/>
      </c>
      <c r="W2936" s="81">
        <f>IF(ISBLANK(P2936),"",IF(S2936=0,(365/0.5)*V2936,(365/S2936)*V2936))</f>
        <v/>
      </c>
      <c r="X2936" s="75" t="n"/>
      <c r="Y2936" s="77" t="n"/>
      <c r="Z2936" s="77" t="n"/>
      <c r="AA2936" s="75" t="n"/>
      <c r="AB2936" s="75" t="n"/>
      <c r="AC2936" s="6" t="n"/>
      <c r="AD2936" s="75" t="n"/>
      <c r="AE2936" s="75" t="n"/>
      <c r="AF2936" s="75" t="n"/>
    </row>
    <row r="2937" ht="15.75" customHeight="1" s="133">
      <c r="A2937" s="75" t="n"/>
      <c r="B2937" s="75" t="n"/>
      <c r="C2937" s="75" t="n"/>
      <c r="D2937" s="75" t="n"/>
      <c r="E2937" s="76" t="n"/>
      <c r="F2937" s="77" t="n"/>
      <c r="G2937" s="75" t="n"/>
      <c r="H2937" s="75">
        <f>IF(ISBLANK(E2937),"",IF(OR(D2937="Butterfly",D2937="Butterfly ",D2937="Iron Fly", D2937="Iron Fly "),LEN(E2937)-LEN(SUBSTITUTE(E2937,"/",""))+2,LEN(E2937)-LEN(SUBSTITUTE(E2937,"/",""))+1))</f>
        <v/>
      </c>
      <c r="I2937" s="78">
        <f>IF(ISBLANK(G2937),"",IF(D2937="Stock","0",Key!$A$3*H2937*G2937))</f>
        <v/>
      </c>
      <c r="J2937" s="78">
        <f>IF(ISBLANK(E2937),"",IF(ISNUMBER(SEARCH("/",E2937)), IF(LEN(E2937)-LEN(SUBSTITUTE(E2937,"/",""))=1,(RIGHT(E2937,LEN(E2937)-FIND("/",E2937)))-(LEFT(E2937,FIND("/",E2937)-1)),(MID(E2937, SEARCH("/",E2937) + 1, SEARCH("/",E2937, SEARCH("/",E2937)+1) - SEARCH("/",E2937) - 1))-(LEFT(E2937,FIND("/",E2937)-1))), "NA"))</f>
        <v/>
      </c>
      <c r="K2937" s="79">
        <f>IF(A2937&lt;&gt;"", IF(ISBLANK(L2937), TODAY(), K2937), "")</f>
        <v/>
      </c>
      <c r="L2937" s="78" t="n"/>
      <c r="M2937" s="78">
        <f>IF(ISBLANK(L2937),"",IF(D2937="Stock",IF(C2937="Buy",L2937*G2937,IF(C2937="Sell",(L2937*G2937)-I2937, X)),IF(C2937="Buy",(L2937*G2937*100)+I2937,IF(C2937="Sell",(L2937*G2937*100)-I2937, X))))</f>
        <v/>
      </c>
      <c r="N2937" s="78">
        <f>IF(ISBLANK(L2937),"",IF(AND(C2937="Sell",D2937="Stock"),M2937,IF(ISBLANK(L2937),"",IF(C2937="Buy",M2937, IF(AND(C2937="Sell",J2937="NA"),(E2937*G2937*100*0.1)+I2937, IF(C2937="Sell",(J2937-L2937)*(100*G2937)+I2937))))))</f>
        <v/>
      </c>
      <c r="O2937" s="75" t="n"/>
      <c r="P2937" s="75" t="n"/>
      <c r="Q2937" s="75">
        <f>IF(ISBLANK(P2937),"",IF(D2937="Stock",P2937*G2937,IF(P2937=0,"0",G2937*P2937*100-(G2937*$AF$14))))</f>
        <v/>
      </c>
      <c r="R2937" s="79">
        <f>IF(P2937&lt;&gt;"", TODAY(), "")</f>
        <v/>
      </c>
      <c r="S2937" s="78">
        <f>IF(AND(K2937&lt;&gt;"", R2937&lt;&gt;""), R2937-K2937, "")</f>
        <v/>
      </c>
      <c r="T2937" s="78" t="n"/>
      <c r="U2937" s="92">
        <f>IF(ISBLANK(P2937),"",IF(C2937="Buy",Q2937-M2937+T2937, IF(C2937="Sell",M2937-Q2937-T2937, X)))</f>
        <v/>
      </c>
      <c r="V2937" s="81">
        <f>IF(ISBLANK(P2937),"",U2937/N2937)</f>
        <v/>
      </c>
      <c r="W2937" s="81">
        <f>IF(ISBLANK(P2937),"",IF(S2937=0,(365/0.5)*V2937,(365/S2937)*V2937))</f>
        <v/>
      </c>
      <c r="X2937" s="75" t="n"/>
      <c r="Y2937" s="77" t="n"/>
      <c r="Z2937" s="77" t="n"/>
      <c r="AA2937" s="75" t="n"/>
      <c r="AB2937" s="75" t="n"/>
      <c r="AC2937" s="6" t="n"/>
      <c r="AD2937" s="75" t="n"/>
      <c r="AE2937" s="75" t="n"/>
      <c r="AF2937" s="75" t="n"/>
    </row>
    <row r="2938" ht="15.75" customHeight="1" s="133">
      <c r="A2938" s="75" t="n"/>
      <c r="B2938" s="75" t="n"/>
      <c r="C2938" s="75" t="n"/>
      <c r="D2938" s="75" t="n"/>
      <c r="E2938" s="76" t="n"/>
      <c r="F2938" s="77" t="n"/>
      <c r="G2938" s="75" t="n"/>
      <c r="H2938" s="75">
        <f>IF(ISBLANK(E2938),"",IF(OR(D2938="Butterfly",D2938="Butterfly ",D2938="Iron Fly", D2938="Iron Fly "),LEN(E2938)-LEN(SUBSTITUTE(E2938,"/",""))+2,LEN(E2938)-LEN(SUBSTITUTE(E2938,"/",""))+1))</f>
        <v/>
      </c>
      <c r="I2938" s="78">
        <f>IF(ISBLANK(G2938),"",IF(D2938="Stock","0",Key!$A$3*H2938*G2938))</f>
        <v/>
      </c>
      <c r="J2938" s="78">
        <f>IF(ISBLANK(E2938),"",IF(ISNUMBER(SEARCH("/",E2938)), IF(LEN(E2938)-LEN(SUBSTITUTE(E2938,"/",""))=1,(RIGHT(E2938,LEN(E2938)-FIND("/",E2938)))-(LEFT(E2938,FIND("/",E2938)-1)),(MID(E2938, SEARCH("/",E2938) + 1, SEARCH("/",E2938, SEARCH("/",E2938)+1) - SEARCH("/",E2938) - 1))-(LEFT(E2938,FIND("/",E2938)-1))), "NA"))</f>
        <v/>
      </c>
      <c r="K2938" s="79">
        <f>IF(A2938&lt;&gt;"", IF(ISBLANK(L2938), TODAY(), K2938), "")</f>
        <v/>
      </c>
      <c r="L2938" s="78" t="n"/>
      <c r="M2938" s="78">
        <f>IF(ISBLANK(L2938),"",IF(D2938="Stock",IF(C2938="Buy",L2938*G2938,IF(C2938="Sell",(L2938*G2938)-I2938, X)),IF(C2938="Buy",(L2938*G2938*100)+I2938,IF(C2938="Sell",(L2938*G2938*100)-I2938, X))))</f>
        <v/>
      </c>
      <c r="N2938" s="78">
        <f>IF(ISBLANK(L2938),"",IF(AND(C2938="Sell",D2938="Stock"),M2938,IF(ISBLANK(L2938),"",IF(C2938="Buy",M2938, IF(AND(C2938="Sell",J2938="NA"),(E2938*G2938*100*0.1)+I2938, IF(C2938="Sell",(J2938-L2938)*(100*G2938)+I2938))))))</f>
        <v/>
      </c>
      <c r="O2938" s="75" t="n"/>
      <c r="P2938" s="75" t="n"/>
      <c r="Q2938" s="75">
        <f>IF(ISBLANK(P2938),"",IF(D2938="Stock",P2938*G2938,IF(P2938=0,"0",G2938*P2938*100-(G2938*$AF$14))))</f>
        <v/>
      </c>
      <c r="R2938" s="79">
        <f>IF(P2938&lt;&gt;"", TODAY(), "")</f>
        <v/>
      </c>
      <c r="S2938" s="78">
        <f>IF(AND(K2938&lt;&gt;"", R2938&lt;&gt;""), R2938-K2938, "")</f>
        <v/>
      </c>
      <c r="T2938" s="78" t="n"/>
      <c r="U2938" s="92">
        <f>IF(ISBLANK(P2938),"",IF(C2938="Buy",Q2938-M2938+T2938, IF(C2938="Sell",M2938-Q2938-T2938, X)))</f>
        <v/>
      </c>
      <c r="V2938" s="81">
        <f>IF(ISBLANK(P2938),"",U2938/N2938)</f>
        <v/>
      </c>
      <c r="W2938" s="81">
        <f>IF(ISBLANK(P2938),"",IF(S2938=0,(365/0.5)*V2938,(365/S2938)*V2938))</f>
        <v/>
      </c>
      <c r="X2938" s="75" t="n"/>
      <c r="Y2938" s="77" t="n"/>
      <c r="Z2938" s="77" t="n"/>
      <c r="AA2938" s="75" t="n"/>
      <c r="AB2938" s="75" t="n"/>
      <c r="AC2938" s="6" t="n"/>
      <c r="AD2938" s="75" t="n"/>
      <c r="AE2938" s="75" t="n"/>
      <c r="AF2938" s="75" t="n"/>
    </row>
    <row r="2939" ht="15.75" customHeight="1" s="133">
      <c r="A2939" s="75" t="n"/>
      <c r="B2939" s="75" t="n"/>
      <c r="C2939" s="75" t="n"/>
      <c r="D2939" s="75" t="n"/>
      <c r="E2939" s="76" t="n"/>
      <c r="F2939" s="77" t="n"/>
      <c r="G2939" s="75" t="n"/>
      <c r="H2939" s="75">
        <f>IF(ISBLANK(E2939),"",IF(OR(D2939="Butterfly",D2939="Butterfly ",D2939="Iron Fly", D2939="Iron Fly "),LEN(E2939)-LEN(SUBSTITUTE(E2939,"/",""))+2,LEN(E2939)-LEN(SUBSTITUTE(E2939,"/",""))+1))</f>
        <v/>
      </c>
      <c r="I2939" s="78">
        <f>IF(ISBLANK(G2939),"",IF(D2939="Stock","0",Key!$A$3*H2939*G2939))</f>
        <v/>
      </c>
      <c r="J2939" s="78">
        <f>IF(ISBLANK(E2939),"",IF(ISNUMBER(SEARCH("/",E2939)), IF(LEN(E2939)-LEN(SUBSTITUTE(E2939,"/",""))=1,(RIGHT(E2939,LEN(E2939)-FIND("/",E2939)))-(LEFT(E2939,FIND("/",E2939)-1)),(MID(E2939, SEARCH("/",E2939) + 1, SEARCH("/",E2939, SEARCH("/",E2939)+1) - SEARCH("/",E2939) - 1))-(LEFT(E2939,FIND("/",E2939)-1))), "NA"))</f>
        <v/>
      </c>
      <c r="K2939" s="79">
        <f>IF(A2939&lt;&gt;"", IF(ISBLANK(L2939), TODAY(), K2939), "")</f>
        <v/>
      </c>
      <c r="L2939" s="78" t="n"/>
      <c r="M2939" s="78">
        <f>IF(ISBLANK(L2939),"",IF(D2939="Stock",IF(C2939="Buy",L2939*G2939,IF(C2939="Sell",(L2939*G2939)-I2939, X)),IF(C2939="Buy",(L2939*G2939*100)+I2939,IF(C2939="Sell",(L2939*G2939*100)-I2939, X))))</f>
        <v/>
      </c>
      <c r="N2939" s="78">
        <f>IF(ISBLANK(L2939),"",IF(AND(C2939="Sell",D2939="Stock"),M2939,IF(ISBLANK(L2939),"",IF(C2939="Buy",M2939, IF(AND(C2939="Sell",J2939="NA"),(E2939*G2939*100*0.1)+I2939, IF(C2939="Sell",(J2939-L2939)*(100*G2939)+I2939))))))</f>
        <v/>
      </c>
      <c r="O2939" s="75" t="n"/>
      <c r="P2939" s="75" t="n"/>
      <c r="Q2939" s="75">
        <f>IF(ISBLANK(P2939),"",IF(D2939="Stock",P2939*G2939,IF(P2939=0,"0",G2939*P2939*100-(G2939*$AF$14))))</f>
        <v/>
      </c>
      <c r="R2939" s="79">
        <f>IF(P2939&lt;&gt;"", TODAY(), "")</f>
        <v/>
      </c>
      <c r="S2939" s="78">
        <f>IF(AND(K2939&lt;&gt;"", R2939&lt;&gt;""), R2939-K2939, "")</f>
        <v/>
      </c>
      <c r="T2939" s="78" t="n"/>
      <c r="U2939" s="92">
        <f>IF(ISBLANK(P2939),"",IF(C2939="Buy",Q2939-M2939+T2939, IF(C2939="Sell",M2939-Q2939-T2939, X)))</f>
        <v/>
      </c>
      <c r="V2939" s="81">
        <f>IF(ISBLANK(P2939),"",U2939/N2939)</f>
        <v/>
      </c>
      <c r="W2939" s="81">
        <f>IF(ISBLANK(P2939),"",IF(S2939=0,(365/0.5)*V2939,(365/S2939)*V2939))</f>
        <v/>
      </c>
      <c r="X2939" s="75" t="n"/>
      <c r="Y2939" s="77" t="n"/>
      <c r="Z2939" s="77" t="n"/>
      <c r="AA2939" s="75" t="n"/>
      <c r="AB2939" s="75" t="n"/>
      <c r="AC2939" s="6" t="n"/>
      <c r="AD2939" s="75" t="n"/>
      <c r="AE2939" s="75" t="n"/>
      <c r="AF2939" s="75" t="n"/>
    </row>
    <row r="2940" ht="15.75" customHeight="1" s="133">
      <c r="A2940" s="75" t="n"/>
      <c r="B2940" s="75" t="n"/>
      <c r="C2940" s="75" t="n"/>
      <c r="D2940" s="75" t="n"/>
      <c r="E2940" s="76" t="n"/>
      <c r="F2940" s="77" t="n"/>
      <c r="G2940" s="75" t="n"/>
      <c r="H2940" s="75">
        <f>IF(ISBLANK(E2940),"",IF(OR(D2940="Butterfly",D2940="Butterfly ",D2940="Iron Fly", D2940="Iron Fly "),LEN(E2940)-LEN(SUBSTITUTE(E2940,"/",""))+2,LEN(E2940)-LEN(SUBSTITUTE(E2940,"/",""))+1))</f>
        <v/>
      </c>
      <c r="I2940" s="78">
        <f>IF(ISBLANK(G2940),"",IF(D2940="Stock","0",Key!$A$3*H2940*G2940))</f>
        <v/>
      </c>
      <c r="J2940" s="78">
        <f>IF(ISBLANK(E2940),"",IF(ISNUMBER(SEARCH("/",E2940)), IF(LEN(E2940)-LEN(SUBSTITUTE(E2940,"/",""))=1,(RIGHT(E2940,LEN(E2940)-FIND("/",E2940)))-(LEFT(E2940,FIND("/",E2940)-1)),(MID(E2940, SEARCH("/",E2940) + 1, SEARCH("/",E2940, SEARCH("/",E2940)+1) - SEARCH("/",E2940) - 1))-(LEFT(E2940,FIND("/",E2940)-1))), "NA"))</f>
        <v/>
      </c>
      <c r="K2940" s="79">
        <f>IF(A2940&lt;&gt;"", IF(ISBLANK(L2940), TODAY(), K2940), "")</f>
        <v/>
      </c>
      <c r="L2940" s="78" t="n"/>
      <c r="M2940" s="78">
        <f>IF(ISBLANK(L2940),"",IF(D2940="Stock",IF(C2940="Buy",L2940*G2940,IF(C2940="Sell",(L2940*G2940)-I2940, X)),IF(C2940="Buy",(L2940*G2940*100)+I2940,IF(C2940="Sell",(L2940*G2940*100)-I2940, X))))</f>
        <v/>
      </c>
      <c r="N2940" s="78">
        <f>IF(ISBLANK(L2940),"",IF(AND(C2940="Sell",D2940="Stock"),M2940,IF(ISBLANK(L2940),"",IF(C2940="Buy",M2940, IF(AND(C2940="Sell",J2940="NA"),(E2940*G2940*100*0.1)+I2940, IF(C2940="Sell",(J2940-L2940)*(100*G2940)+I2940))))))</f>
        <v/>
      </c>
      <c r="O2940" s="75" t="n"/>
      <c r="P2940" s="75" t="n"/>
      <c r="Q2940" s="75">
        <f>IF(ISBLANK(P2940),"",IF(D2940="Stock",P2940*G2940,IF(P2940=0,"0",G2940*P2940*100-(G2940*$AF$14))))</f>
        <v/>
      </c>
      <c r="R2940" s="79">
        <f>IF(P2940&lt;&gt;"", TODAY(), "")</f>
        <v/>
      </c>
      <c r="S2940" s="78">
        <f>IF(AND(K2940&lt;&gt;"", R2940&lt;&gt;""), R2940-K2940, "")</f>
        <v/>
      </c>
      <c r="T2940" s="78" t="n"/>
      <c r="U2940" s="92">
        <f>IF(ISBLANK(P2940),"",IF(C2940="Buy",Q2940-M2940+T2940, IF(C2940="Sell",M2940-Q2940-T2940, X)))</f>
        <v/>
      </c>
      <c r="V2940" s="81">
        <f>IF(ISBLANK(P2940),"",U2940/N2940)</f>
        <v/>
      </c>
      <c r="W2940" s="81">
        <f>IF(ISBLANK(P2940),"",IF(S2940=0,(365/0.5)*V2940,(365/S2940)*V2940))</f>
        <v/>
      </c>
      <c r="X2940" s="75" t="n"/>
      <c r="Y2940" s="77" t="n"/>
      <c r="Z2940" s="77" t="n"/>
      <c r="AA2940" s="75" t="n"/>
      <c r="AB2940" s="75" t="n"/>
      <c r="AC2940" s="6" t="n"/>
      <c r="AD2940" s="75" t="n"/>
      <c r="AE2940" s="75" t="n"/>
      <c r="AF2940" s="75" t="n"/>
    </row>
    <row r="2941" ht="15.75" customHeight="1" s="133">
      <c r="A2941" s="75" t="n"/>
      <c r="B2941" s="75" t="n"/>
      <c r="C2941" s="75" t="n"/>
      <c r="D2941" s="75" t="n"/>
      <c r="E2941" s="76" t="n"/>
      <c r="F2941" s="77" t="n"/>
      <c r="G2941" s="75" t="n"/>
      <c r="H2941" s="75">
        <f>IF(ISBLANK(E2941),"",IF(OR(D2941="Butterfly",D2941="Butterfly ",D2941="Iron Fly", D2941="Iron Fly "),LEN(E2941)-LEN(SUBSTITUTE(E2941,"/",""))+2,LEN(E2941)-LEN(SUBSTITUTE(E2941,"/",""))+1))</f>
        <v/>
      </c>
      <c r="I2941" s="78">
        <f>IF(ISBLANK(G2941),"",IF(D2941="Stock","0",Key!$A$3*H2941*G2941))</f>
        <v/>
      </c>
      <c r="J2941" s="78">
        <f>IF(ISBLANK(E2941),"",IF(ISNUMBER(SEARCH("/",E2941)), IF(LEN(E2941)-LEN(SUBSTITUTE(E2941,"/",""))=1,(RIGHT(E2941,LEN(E2941)-FIND("/",E2941)))-(LEFT(E2941,FIND("/",E2941)-1)),(MID(E2941, SEARCH("/",E2941) + 1, SEARCH("/",E2941, SEARCH("/",E2941)+1) - SEARCH("/",E2941) - 1))-(LEFT(E2941,FIND("/",E2941)-1))), "NA"))</f>
        <v/>
      </c>
      <c r="K2941" s="79">
        <f>IF(A2941&lt;&gt;"", IF(ISBLANK(L2941), TODAY(), K2941), "")</f>
        <v/>
      </c>
      <c r="L2941" s="78" t="n"/>
      <c r="M2941" s="78">
        <f>IF(ISBLANK(L2941),"",IF(D2941="Stock",IF(C2941="Buy",L2941*G2941,IF(C2941="Sell",(L2941*G2941)-I2941, X)),IF(C2941="Buy",(L2941*G2941*100)+I2941,IF(C2941="Sell",(L2941*G2941*100)-I2941, X))))</f>
        <v/>
      </c>
      <c r="N2941" s="78">
        <f>IF(ISBLANK(L2941),"",IF(AND(C2941="Sell",D2941="Stock"),M2941,IF(ISBLANK(L2941),"",IF(C2941="Buy",M2941, IF(AND(C2941="Sell",J2941="NA"),(E2941*G2941*100*0.1)+I2941, IF(C2941="Sell",(J2941-L2941)*(100*G2941)+I2941))))))</f>
        <v/>
      </c>
      <c r="O2941" s="75" t="n"/>
      <c r="P2941" s="75" t="n"/>
      <c r="Q2941" s="75">
        <f>IF(ISBLANK(P2941),"",IF(D2941="Stock",P2941*G2941,IF(P2941=0,"0",G2941*P2941*100-(G2941*$AF$14))))</f>
        <v/>
      </c>
      <c r="R2941" s="79">
        <f>IF(P2941&lt;&gt;"", TODAY(), "")</f>
        <v/>
      </c>
      <c r="S2941" s="78">
        <f>IF(AND(K2941&lt;&gt;"", R2941&lt;&gt;""), R2941-K2941, "")</f>
        <v/>
      </c>
      <c r="T2941" s="78" t="n"/>
      <c r="U2941" s="92">
        <f>IF(ISBLANK(P2941),"",IF(C2941="Buy",Q2941-M2941+T2941, IF(C2941="Sell",M2941-Q2941-T2941, X)))</f>
        <v/>
      </c>
      <c r="V2941" s="81">
        <f>IF(ISBLANK(P2941),"",U2941/N2941)</f>
        <v/>
      </c>
      <c r="W2941" s="81">
        <f>IF(ISBLANK(P2941),"",IF(S2941=0,(365/0.5)*V2941,(365/S2941)*V2941))</f>
        <v/>
      </c>
      <c r="X2941" s="75" t="n"/>
      <c r="Y2941" s="77" t="n"/>
      <c r="Z2941" s="77" t="n"/>
      <c r="AA2941" s="75" t="n"/>
      <c r="AB2941" s="75" t="n"/>
      <c r="AC2941" s="6" t="n"/>
      <c r="AD2941" s="75" t="n"/>
      <c r="AE2941" s="75" t="n"/>
      <c r="AF2941" s="75" t="n"/>
    </row>
    <row r="2942" ht="15.75" customHeight="1" s="133">
      <c r="A2942" s="75" t="n"/>
      <c r="B2942" s="75" t="n"/>
      <c r="C2942" s="75" t="n"/>
      <c r="D2942" s="75" t="n"/>
      <c r="E2942" s="76" t="n"/>
      <c r="F2942" s="77" t="n"/>
      <c r="G2942" s="75" t="n"/>
      <c r="H2942" s="75">
        <f>IF(ISBLANK(E2942),"",IF(OR(D2942="Butterfly",D2942="Butterfly ",D2942="Iron Fly", D2942="Iron Fly "),LEN(E2942)-LEN(SUBSTITUTE(E2942,"/",""))+2,LEN(E2942)-LEN(SUBSTITUTE(E2942,"/",""))+1))</f>
        <v/>
      </c>
      <c r="I2942" s="78">
        <f>IF(ISBLANK(G2942),"",IF(D2942="Stock","0",Key!$A$3*H2942*G2942))</f>
        <v/>
      </c>
      <c r="J2942" s="78">
        <f>IF(ISBLANK(E2942),"",IF(ISNUMBER(SEARCH("/",E2942)), IF(LEN(E2942)-LEN(SUBSTITUTE(E2942,"/",""))=1,(RIGHT(E2942,LEN(E2942)-FIND("/",E2942)))-(LEFT(E2942,FIND("/",E2942)-1)),(MID(E2942, SEARCH("/",E2942) + 1, SEARCH("/",E2942, SEARCH("/",E2942)+1) - SEARCH("/",E2942) - 1))-(LEFT(E2942,FIND("/",E2942)-1))), "NA"))</f>
        <v/>
      </c>
      <c r="K2942" s="79">
        <f>IF(A2942&lt;&gt;"", IF(ISBLANK(L2942), TODAY(), K2942), "")</f>
        <v/>
      </c>
      <c r="L2942" s="78" t="n"/>
      <c r="M2942" s="78">
        <f>IF(ISBLANK(L2942),"",IF(D2942="Stock",IF(C2942="Buy",L2942*G2942,IF(C2942="Sell",(L2942*G2942)-I2942, X)),IF(C2942="Buy",(L2942*G2942*100)+I2942,IF(C2942="Sell",(L2942*G2942*100)-I2942, X))))</f>
        <v/>
      </c>
      <c r="N2942" s="78">
        <f>IF(ISBLANK(L2942),"",IF(AND(C2942="Sell",D2942="Stock"),M2942,IF(ISBLANK(L2942),"",IF(C2942="Buy",M2942, IF(AND(C2942="Sell",J2942="NA"),(E2942*G2942*100*0.1)+I2942, IF(C2942="Sell",(J2942-L2942)*(100*G2942)+I2942))))))</f>
        <v/>
      </c>
      <c r="O2942" s="75" t="n"/>
      <c r="P2942" s="75" t="n"/>
      <c r="Q2942" s="75">
        <f>IF(ISBLANK(P2942),"",IF(D2942="Stock",P2942*G2942,IF(P2942=0,"0",G2942*P2942*100-(G2942*$AF$14))))</f>
        <v/>
      </c>
      <c r="R2942" s="79">
        <f>IF(P2942&lt;&gt;"", TODAY(), "")</f>
        <v/>
      </c>
      <c r="S2942" s="78">
        <f>IF(AND(K2942&lt;&gt;"", R2942&lt;&gt;""), R2942-K2942, "")</f>
        <v/>
      </c>
      <c r="T2942" s="78" t="n"/>
      <c r="U2942" s="92">
        <f>IF(ISBLANK(P2942),"",IF(C2942="Buy",Q2942-M2942+T2942, IF(C2942="Sell",M2942-Q2942-T2942, X)))</f>
        <v/>
      </c>
      <c r="V2942" s="81">
        <f>IF(ISBLANK(P2942),"",U2942/N2942)</f>
        <v/>
      </c>
      <c r="W2942" s="81">
        <f>IF(ISBLANK(P2942),"",IF(S2942=0,(365/0.5)*V2942,(365/S2942)*V2942))</f>
        <v/>
      </c>
      <c r="X2942" s="75" t="n"/>
      <c r="Y2942" s="77" t="n"/>
      <c r="Z2942" s="77" t="n"/>
      <c r="AA2942" s="75" t="n"/>
      <c r="AB2942" s="75" t="n"/>
      <c r="AC2942" s="6" t="n"/>
      <c r="AD2942" s="75" t="n"/>
      <c r="AE2942" s="75" t="n"/>
      <c r="AF2942" s="75" t="n"/>
    </row>
    <row r="2943" ht="15.75" customHeight="1" s="133">
      <c r="A2943" s="75" t="n"/>
      <c r="B2943" s="75" t="n"/>
      <c r="C2943" s="75" t="n"/>
      <c r="D2943" s="75" t="n"/>
      <c r="E2943" s="76" t="n"/>
      <c r="F2943" s="77" t="n"/>
      <c r="G2943" s="75" t="n"/>
      <c r="H2943" s="75">
        <f>IF(ISBLANK(E2943),"",IF(OR(D2943="Butterfly",D2943="Butterfly ",D2943="Iron Fly", D2943="Iron Fly "),LEN(E2943)-LEN(SUBSTITUTE(E2943,"/",""))+2,LEN(E2943)-LEN(SUBSTITUTE(E2943,"/",""))+1))</f>
        <v/>
      </c>
      <c r="I2943" s="78">
        <f>IF(ISBLANK(G2943),"",IF(D2943="Stock","0",Key!$A$3*H2943*G2943))</f>
        <v/>
      </c>
      <c r="J2943" s="78">
        <f>IF(ISBLANK(E2943),"",IF(ISNUMBER(SEARCH("/",E2943)), IF(LEN(E2943)-LEN(SUBSTITUTE(E2943,"/",""))=1,(RIGHT(E2943,LEN(E2943)-FIND("/",E2943)))-(LEFT(E2943,FIND("/",E2943)-1)),(MID(E2943, SEARCH("/",E2943) + 1, SEARCH("/",E2943, SEARCH("/",E2943)+1) - SEARCH("/",E2943) - 1))-(LEFT(E2943,FIND("/",E2943)-1))), "NA"))</f>
        <v/>
      </c>
      <c r="K2943" s="79">
        <f>IF(A2943&lt;&gt;"", IF(ISBLANK(L2943), TODAY(), K2943), "")</f>
        <v/>
      </c>
      <c r="L2943" s="78" t="n"/>
      <c r="M2943" s="78">
        <f>IF(ISBLANK(L2943),"",IF(D2943="Stock",IF(C2943="Buy",L2943*G2943,IF(C2943="Sell",(L2943*G2943)-I2943, X)),IF(C2943="Buy",(L2943*G2943*100)+I2943,IF(C2943="Sell",(L2943*G2943*100)-I2943, X))))</f>
        <v/>
      </c>
      <c r="N2943" s="78">
        <f>IF(ISBLANK(L2943),"",IF(AND(C2943="Sell",D2943="Stock"),M2943,IF(ISBLANK(L2943),"",IF(C2943="Buy",M2943, IF(AND(C2943="Sell",J2943="NA"),(E2943*G2943*100*0.1)+I2943, IF(C2943="Sell",(J2943-L2943)*(100*G2943)+I2943))))))</f>
        <v/>
      </c>
      <c r="O2943" s="75" t="n"/>
      <c r="P2943" s="75" t="n"/>
      <c r="Q2943" s="75">
        <f>IF(ISBLANK(P2943),"",IF(D2943="Stock",P2943*G2943,IF(P2943=0,"0",G2943*P2943*100-(G2943*$AF$14))))</f>
        <v/>
      </c>
      <c r="R2943" s="79">
        <f>IF(P2943&lt;&gt;"", TODAY(), "")</f>
        <v/>
      </c>
      <c r="S2943" s="78">
        <f>IF(AND(K2943&lt;&gt;"", R2943&lt;&gt;""), R2943-K2943, "")</f>
        <v/>
      </c>
      <c r="T2943" s="78" t="n"/>
      <c r="U2943" s="92">
        <f>IF(ISBLANK(P2943),"",IF(C2943="Buy",Q2943-M2943+T2943, IF(C2943="Sell",M2943-Q2943-T2943, X)))</f>
        <v/>
      </c>
      <c r="V2943" s="81">
        <f>IF(ISBLANK(P2943),"",U2943/N2943)</f>
        <v/>
      </c>
      <c r="W2943" s="81">
        <f>IF(ISBLANK(P2943),"",IF(S2943=0,(365/0.5)*V2943,(365/S2943)*V2943))</f>
        <v/>
      </c>
      <c r="X2943" s="75" t="n"/>
      <c r="Y2943" s="77" t="n"/>
      <c r="Z2943" s="77" t="n"/>
      <c r="AA2943" s="75" t="n"/>
      <c r="AB2943" s="75" t="n"/>
      <c r="AC2943" s="6" t="n"/>
      <c r="AD2943" s="75" t="n"/>
      <c r="AE2943" s="75" t="n"/>
      <c r="AF2943" s="75" t="n"/>
    </row>
    <row r="2944" ht="15.75" customHeight="1" s="133">
      <c r="A2944" s="75" t="n"/>
      <c r="B2944" s="75" t="n"/>
      <c r="C2944" s="75" t="n"/>
      <c r="D2944" s="75" t="n"/>
      <c r="E2944" s="76" t="n"/>
      <c r="F2944" s="77" t="n"/>
      <c r="G2944" s="75" t="n"/>
      <c r="H2944" s="75">
        <f>IF(ISBLANK(E2944),"",IF(OR(D2944="Butterfly",D2944="Butterfly ",D2944="Iron Fly", D2944="Iron Fly "),LEN(E2944)-LEN(SUBSTITUTE(E2944,"/",""))+2,LEN(E2944)-LEN(SUBSTITUTE(E2944,"/",""))+1))</f>
        <v/>
      </c>
      <c r="I2944" s="78">
        <f>IF(ISBLANK(G2944),"",IF(D2944="Stock","0",Key!$A$3*H2944*G2944))</f>
        <v/>
      </c>
      <c r="J2944" s="78">
        <f>IF(ISBLANK(E2944),"",IF(ISNUMBER(SEARCH("/",E2944)), IF(LEN(E2944)-LEN(SUBSTITUTE(E2944,"/",""))=1,(RIGHT(E2944,LEN(E2944)-FIND("/",E2944)))-(LEFT(E2944,FIND("/",E2944)-1)),(MID(E2944, SEARCH("/",E2944) + 1, SEARCH("/",E2944, SEARCH("/",E2944)+1) - SEARCH("/",E2944) - 1))-(LEFT(E2944,FIND("/",E2944)-1))), "NA"))</f>
        <v/>
      </c>
      <c r="K2944" s="79">
        <f>IF(A2944&lt;&gt;"", IF(ISBLANK(L2944), TODAY(), K2944), "")</f>
        <v/>
      </c>
      <c r="L2944" s="78" t="n"/>
      <c r="M2944" s="78">
        <f>IF(ISBLANK(L2944),"",IF(D2944="Stock",IF(C2944="Buy",L2944*G2944,IF(C2944="Sell",(L2944*G2944)-I2944, X)),IF(C2944="Buy",(L2944*G2944*100)+I2944,IF(C2944="Sell",(L2944*G2944*100)-I2944, X))))</f>
        <v/>
      </c>
      <c r="N2944" s="78">
        <f>IF(ISBLANK(L2944),"",IF(AND(C2944="Sell",D2944="Stock"),M2944,IF(ISBLANK(L2944),"",IF(C2944="Buy",M2944, IF(AND(C2944="Sell",J2944="NA"),(E2944*G2944*100*0.1)+I2944, IF(C2944="Sell",(J2944-L2944)*(100*G2944)+I2944))))))</f>
        <v/>
      </c>
      <c r="O2944" s="75" t="n"/>
      <c r="P2944" s="75" t="n"/>
      <c r="Q2944" s="75">
        <f>IF(ISBLANK(P2944),"",IF(D2944="Stock",P2944*G2944,IF(P2944=0,"0",G2944*P2944*100-(G2944*$AF$14))))</f>
        <v/>
      </c>
      <c r="R2944" s="79">
        <f>IF(P2944&lt;&gt;"", TODAY(), "")</f>
        <v/>
      </c>
      <c r="S2944" s="78">
        <f>IF(AND(K2944&lt;&gt;"", R2944&lt;&gt;""), R2944-K2944, "")</f>
        <v/>
      </c>
      <c r="T2944" s="78" t="n"/>
      <c r="U2944" s="92">
        <f>IF(ISBLANK(P2944),"",IF(C2944="Buy",Q2944-M2944+T2944, IF(C2944="Sell",M2944-Q2944-T2944, X)))</f>
        <v/>
      </c>
      <c r="V2944" s="81">
        <f>IF(ISBLANK(P2944),"",U2944/N2944)</f>
        <v/>
      </c>
      <c r="W2944" s="81">
        <f>IF(ISBLANK(P2944),"",IF(S2944=0,(365/0.5)*V2944,(365/S2944)*V2944))</f>
        <v/>
      </c>
      <c r="X2944" s="75" t="n"/>
      <c r="Y2944" s="77" t="n"/>
      <c r="Z2944" s="77" t="n"/>
      <c r="AA2944" s="75" t="n"/>
      <c r="AB2944" s="75" t="n"/>
      <c r="AC2944" s="6" t="n"/>
      <c r="AD2944" s="75" t="n"/>
      <c r="AE2944" s="75" t="n"/>
      <c r="AF2944" s="75" t="n"/>
    </row>
    <row r="2945" ht="15.75" customHeight="1" s="133">
      <c r="A2945" s="75" t="n"/>
      <c r="B2945" s="75" t="n"/>
      <c r="C2945" s="75" t="n"/>
      <c r="D2945" s="75" t="n"/>
      <c r="E2945" s="76" t="n"/>
      <c r="F2945" s="77" t="n"/>
      <c r="G2945" s="75" t="n"/>
      <c r="H2945" s="75">
        <f>IF(ISBLANK(E2945),"",IF(OR(D2945="Butterfly",D2945="Butterfly ",D2945="Iron Fly", D2945="Iron Fly "),LEN(E2945)-LEN(SUBSTITUTE(E2945,"/",""))+2,LEN(E2945)-LEN(SUBSTITUTE(E2945,"/",""))+1))</f>
        <v/>
      </c>
      <c r="I2945" s="78">
        <f>IF(ISBLANK(G2945),"",IF(D2945="Stock","0",Key!$A$3*H2945*G2945))</f>
        <v/>
      </c>
      <c r="J2945" s="78">
        <f>IF(ISBLANK(E2945),"",IF(ISNUMBER(SEARCH("/",E2945)), IF(LEN(E2945)-LEN(SUBSTITUTE(E2945,"/",""))=1,(RIGHT(E2945,LEN(E2945)-FIND("/",E2945)))-(LEFT(E2945,FIND("/",E2945)-1)),(MID(E2945, SEARCH("/",E2945) + 1, SEARCH("/",E2945, SEARCH("/",E2945)+1) - SEARCH("/",E2945) - 1))-(LEFT(E2945,FIND("/",E2945)-1))), "NA"))</f>
        <v/>
      </c>
      <c r="K2945" s="79">
        <f>IF(A2945&lt;&gt;"", IF(ISBLANK(L2945), TODAY(), K2945), "")</f>
        <v/>
      </c>
      <c r="L2945" s="78" t="n"/>
      <c r="M2945" s="78">
        <f>IF(ISBLANK(L2945),"",IF(D2945="Stock",IF(C2945="Buy",L2945*G2945,IF(C2945="Sell",(L2945*G2945)-I2945, X)),IF(C2945="Buy",(L2945*G2945*100)+I2945,IF(C2945="Sell",(L2945*G2945*100)-I2945, X))))</f>
        <v/>
      </c>
      <c r="N2945" s="78">
        <f>IF(ISBLANK(L2945),"",IF(AND(C2945="Sell",D2945="Stock"),M2945,IF(ISBLANK(L2945),"",IF(C2945="Buy",M2945, IF(AND(C2945="Sell",J2945="NA"),(E2945*G2945*100*0.1)+I2945, IF(C2945="Sell",(J2945-L2945)*(100*G2945)+I2945))))))</f>
        <v/>
      </c>
      <c r="O2945" s="75" t="n"/>
      <c r="P2945" s="75" t="n"/>
      <c r="Q2945" s="75">
        <f>IF(ISBLANK(P2945),"",IF(D2945="Stock",P2945*G2945,IF(P2945=0,"0",G2945*P2945*100-(G2945*$AF$14))))</f>
        <v/>
      </c>
      <c r="R2945" s="79">
        <f>IF(P2945&lt;&gt;"", TODAY(), "")</f>
        <v/>
      </c>
      <c r="S2945" s="78">
        <f>IF(AND(K2945&lt;&gt;"", R2945&lt;&gt;""), R2945-K2945, "")</f>
        <v/>
      </c>
      <c r="T2945" s="78" t="n"/>
      <c r="U2945" s="92">
        <f>IF(ISBLANK(P2945),"",IF(C2945="Buy",Q2945-M2945+T2945, IF(C2945="Sell",M2945-Q2945-T2945, X)))</f>
        <v/>
      </c>
      <c r="V2945" s="81">
        <f>IF(ISBLANK(P2945),"",U2945/N2945)</f>
        <v/>
      </c>
      <c r="W2945" s="81">
        <f>IF(ISBLANK(P2945),"",IF(S2945=0,(365/0.5)*V2945,(365/S2945)*V2945))</f>
        <v/>
      </c>
      <c r="X2945" s="75" t="n"/>
      <c r="Y2945" s="77" t="n"/>
      <c r="Z2945" s="77" t="n"/>
      <c r="AA2945" s="75" t="n"/>
      <c r="AB2945" s="75" t="n"/>
      <c r="AC2945" s="6" t="n"/>
      <c r="AD2945" s="75" t="n"/>
      <c r="AE2945" s="75" t="n"/>
      <c r="AF2945" s="75" t="n"/>
    </row>
    <row r="2946" ht="15.75" customHeight="1" s="133">
      <c r="A2946" s="75" t="n"/>
      <c r="B2946" s="75" t="n"/>
      <c r="C2946" s="75" t="n"/>
      <c r="D2946" s="75" t="n"/>
      <c r="E2946" s="76" t="n"/>
      <c r="F2946" s="77" t="n"/>
      <c r="G2946" s="75" t="n"/>
      <c r="H2946" s="75">
        <f>IF(ISBLANK(E2946),"",IF(OR(D2946="Butterfly",D2946="Butterfly ",D2946="Iron Fly", D2946="Iron Fly "),LEN(E2946)-LEN(SUBSTITUTE(E2946,"/",""))+2,LEN(E2946)-LEN(SUBSTITUTE(E2946,"/",""))+1))</f>
        <v/>
      </c>
      <c r="I2946" s="78">
        <f>IF(ISBLANK(G2946),"",IF(D2946="Stock","0",Key!$A$3*H2946*G2946))</f>
        <v/>
      </c>
      <c r="J2946" s="78">
        <f>IF(ISBLANK(E2946),"",IF(ISNUMBER(SEARCH("/",E2946)), IF(LEN(E2946)-LEN(SUBSTITUTE(E2946,"/",""))=1,(RIGHT(E2946,LEN(E2946)-FIND("/",E2946)))-(LEFT(E2946,FIND("/",E2946)-1)),(MID(E2946, SEARCH("/",E2946) + 1, SEARCH("/",E2946, SEARCH("/",E2946)+1) - SEARCH("/",E2946) - 1))-(LEFT(E2946,FIND("/",E2946)-1))), "NA"))</f>
        <v/>
      </c>
      <c r="K2946" s="79">
        <f>IF(A2946&lt;&gt;"", IF(ISBLANK(L2946), TODAY(), K2946), "")</f>
        <v/>
      </c>
      <c r="L2946" s="78" t="n"/>
      <c r="M2946" s="78">
        <f>IF(ISBLANK(L2946),"",IF(D2946="Stock",IF(C2946="Buy",L2946*G2946,IF(C2946="Sell",(L2946*G2946)-I2946, X)),IF(C2946="Buy",(L2946*G2946*100)+I2946,IF(C2946="Sell",(L2946*G2946*100)-I2946, X))))</f>
        <v/>
      </c>
      <c r="N2946" s="78">
        <f>IF(ISBLANK(L2946),"",IF(AND(C2946="Sell",D2946="Stock"),M2946,IF(ISBLANK(L2946),"",IF(C2946="Buy",M2946, IF(AND(C2946="Sell",J2946="NA"),(E2946*G2946*100*0.1)+I2946, IF(C2946="Sell",(J2946-L2946)*(100*G2946)+I2946))))))</f>
        <v/>
      </c>
      <c r="O2946" s="75" t="n"/>
      <c r="P2946" s="75" t="n"/>
      <c r="Q2946" s="75">
        <f>IF(ISBLANK(P2946),"",IF(D2946="Stock",P2946*G2946,IF(P2946=0,"0",G2946*P2946*100-(G2946*$AF$14))))</f>
        <v/>
      </c>
      <c r="R2946" s="79">
        <f>IF(P2946&lt;&gt;"", TODAY(), "")</f>
        <v/>
      </c>
      <c r="S2946" s="78">
        <f>IF(AND(K2946&lt;&gt;"", R2946&lt;&gt;""), R2946-K2946, "")</f>
        <v/>
      </c>
      <c r="T2946" s="78" t="n"/>
      <c r="U2946" s="92">
        <f>IF(ISBLANK(P2946),"",IF(C2946="Buy",Q2946-M2946+T2946, IF(C2946="Sell",M2946-Q2946-T2946, X)))</f>
        <v/>
      </c>
      <c r="V2946" s="81">
        <f>IF(ISBLANK(P2946),"",U2946/N2946)</f>
        <v/>
      </c>
      <c r="W2946" s="81">
        <f>IF(ISBLANK(P2946),"",IF(S2946=0,(365/0.5)*V2946,(365/S2946)*V2946))</f>
        <v/>
      </c>
      <c r="X2946" s="75" t="n"/>
      <c r="Y2946" s="77" t="n"/>
      <c r="Z2946" s="77" t="n"/>
      <c r="AA2946" s="75" t="n"/>
      <c r="AB2946" s="75" t="n"/>
      <c r="AC2946" s="6" t="n"/>
      <c r="AD2946" s="75" t="n"/>
      <c r="AE2946" s="75" t="n"/>
      <c r="AF2946" s="75" t="n"/>
    </row>
    <row r="2947" ht="15.75" customHeight="1" s="133">
      <c r="A2947" s="75" t="n"/>
      <c r="B2947" s="75" t="n"/>
      <c r="C2947" s="75" t="n"/>
      <c r="D2947" s="75" t="n"/>
      <c r="E2947" s="76" t="n"/>
      <c r="F2947" s="77" t="n"/>
      <c r="G2947" s="75" t="n"/>
      <c r="H2947" s="75">
        <f>IF(ISBLANK(E2947),"",IF(OR(D2947="Butterfly",D2947="Butterfly ",D2947="Iron Fly", D2947="Iron Fly "),LEN(E2947)-LEN(SUBSTITUTE(E2947,"/",""))+2,LEN(E2947)-LEN(SUBSTITUTE(E2947,"/",""))+1))</f>
        <v/>
      </c>
      <c r="I2947" s="78">
        <f>IF(ISBLANK(G2947),"",IF(D2947="Stock","0",Key!$A$3*H2947*G2947))</f>
        <v/>
      </c>
      <c r="J2947" s="78">
        <f>IF(ISBLANK(E2947),"",IF(ISNUMBER(SEARCH("/",E2947)), IF(LEN(E2947)-LEN(SUBSTITUTE(E2947,"/",""))=1,(RIGHT(E2947,LEN(E2947)-FIND("/",E2947)))-(LEFT(E2947,FIND("/",E2947)-1)),(MID(E2947, SEARCH("/",E2947) + 1, SEARCH("/",E2947, SEARCH("/",E2947)+1) - SEARCH("/",E2947) - 1))-(LEFT(E2947,FIND("/",E2947)-1))), "NA"))</f>
        <v/>
      </c>
      <c r="K2947" s="79">
        <f>IF(A2947&lt;&gt;"", IF(ISBLANK(L2947), TODAY(), K2947), "")</f>
        <v/>
      </c>
      <c r="L2947" s="78" t="n"/>
      <c r="M2947" s="78">
        <f>IF(ISBLANK(L2947),"",IF(D2947="Stock",IF(C2947="Buy",L2947*G2947,IF(C2947="Sell",(L2947*G2947)-I2947, X)),IF(C2947="Buy",(L2947*G2947*100)+I2947,IF(C2947="Sell",(L2947*G2947*100)-I2947, X))))</f>
        <v/>
      </c>
      <c r="N2947" s="78">
        <f>IF(ISBLANK(L2947),"",IF(AND(C2947="Sell",D2947="Stock"),M2947,IF(ISBLANK(L2947),"",IF(C2947="Buy",M2947, IF(AND(C2947="Sell",J2947="NA"),(E2947*G2947*100*0.1)+I2947, IF(C2947="Sell",(J2947-L2947)*(100*G2947)+I2947))))))</f>
        <v/>
      </c>
      <c r="O2947" s="75" t="n"/>
      <c r="P2947" s="75" t="n"/>
      <c r="Q2947" s="75">
        <f>IF(ISBLANK(P2947),"",IF(D2947="Stock",P2947*G2947,IF(P2947=0,"0",G2947*P2947*100-(G2947*$AF$14))))</f>
        <v/>
      </c>
      <c r="R2947" s="79">
        <f>IF(P2947&lt;&gt;"", TODAY(), "")</f>
        <v/>
      </c>
      <c r="S2947" s="78">
        <f>IF(AND(K2947&lt;&gt;"", R2947&lt;&gt;""), R2947-K2947, "")</f>
        <v/>
      </c>
      <c r="T2947" s="78" t="n"/>
      <c r="U2947" s="92">
        <f>IF(ISBLANK(P2947),"",IF(C2947="Buy",Q2947-M2947+T2947, IF(C2947="Sell",M2947-Q2947-T2947, X)))</f>
        <v/>
      </c>
      <c r="V2947" s="81">
        <f>IF(ISBLANK(P2947),"",U2947/N2947)</f>
        <v/>
      </c>
      <c r="W2947" s="81">
        <f>IF(ISBLANK(P2947),"",IF(S2947=0,(365/0.5)*V2947,(365/S2947)*V2947))</f>
        <v/>
      </c>
      <c r="X2947" s="75" t="n"/>
      <c r="Y2947" s="77" t="n"/>
      <c r="Z2947" s="77" t="n"/>
      <c r="AA2947" s="75" t="n"/>
      <c r="AB2947" s="75" t="n"/>
      <c r="AC2947" s="6" t="n"/>
      <c r="AD2947" s="75" t="n"/>
      <c r="AE2947" s="75" t="n"/>
      <c r="AF2947" s="75" t="n"/>
    </row>
    <row r="2948" ht="15.75" customHeight="1" s="133">
      <c r="A2948" s="75" t="n"/>
      <c r="B2948" s="75" t="n"/>
      <c r="C2948" s="75" t="n"/>
      <c r="D2948" s="75" t="n"/>
      <c r="E2948" s="76" t="n"/>
      <c r="F2948" s="77" t="n"/>
      <c r="G2948" s="75" t="n"/>
      <c r="H2948" s="75">
        <f>IF(ISBLANK(E2948),"",IF(OR(D2948="Butterfly",D2948="Butterfly ",D2948="Iron Fly", D2948="Iron Fly "),LEN(E2948)-LEN(SUBSTITUTE(E2948,"/",""))+2,LEN(E2948)-LEN(SUBSTITUTE(E2948,"/",""))+1))</f>
        <v/>
      </c>
      <c r="I2948" s="78">
        <f>IF(ISBLANK(G2948),"",IF(D2948="Stock","0",Key!$A$3*H2948*G2948))</f>
        <v/>
      </c>
      <c r="J2948" s="78">
        <f>IF(ISBLANK(E2948),"",IF(ISNUMBER(SEARCH("/",E2948)), IF(LEN(E2948)-LEN(SUBSTITUTE(E2948,"/",""))=1,(RIGHT(E2948,LEN(E2948)-FIND("/",E2948)))-(LEFT(E2948,FIND("/",E2948)-1)),(MID(E2948, SEARCH("/",E2948) + 1, SEARCH("/",E2948, SEARCH("/",E2948)+1) - SEARCH("/",E2948) - 1))-(LEFT(E2948,FIND("/",E2948)-1))), "NA"))</f>
        <v/>
      </c>
      <c r="K2948" s="79">
        <f>IF(A2948&lt;&gt;"", IF(ISBLANK(L2948), TODAY(), K2948), "")</f>
        <v/>
      </c>
      <c r="L2948" s="78" t="n"/>
      <c r="M2948" s="78">
        <f>IF(ISBLANK(L2948),"",IF(D2948="Stock",IF(C2948="Buy",L2948*G2948,IF(C2948="Sell",(L2948*G2948)-I2948, X)),IF(C2948="Buy",(L2948*G2948*100)+I2948,IF(C2948="Sell",(L2948*G2948*100)-I2948, X))))</f>
        <v/>
      </c>
      <c r="N2948" s="78">
        <f>IF(ISBLANK(L2948),"",IF(AND(C2948="Sell",D2948="Stock"),M2948,IF(ISBLANK(L2948),"",IF(C2948="Buy",M2948, IF(AND(C2948="Sell",J2948="NA"),(E2948*G2948*100*0.1)+I2948, IF(C2948="Sell",(J2948-L2948)*(100*G2948)+I2948))))))</f>
        <v/>
      </c>
      <c r="O2948" s="75" t="n"/>
      <c r="P2948" s="75" t="n"/>
      <c r="Q2948" s="75">
        <f>IF(ISBLANK(P2948),"",IF(D2948="Stock",P2948*G2948,IF(P2948=0,"0",G2948*P2948*100-(G2948*$AF$14))))</f>
        <v/>
      </c>
      <c r="R2948" s="79">
        <f>IF(P2948&lt;&gt;"", TODAY(), "")</f>
        <v/>
      </c>
      <c r="S2948" s="78">
        <f>IF(AND(K2948&lt;&gt;"", R2948&lt;&gt;""), R2948-K2948, "")</f>
        <v/>
      </c>
      <c r="T2948" s="78" t="n"/>
      <c r="U2948" s="92">
        <f>IF(ISBLANK(P2948),"",IF(C2948="Buy",Q2948-M2948+T2948, IF(C2948="Sell",M2948-Q2948-T2948, X)))</f>
        <v/>
      </c>
      <c r="V2948" s="81">
        <f>IF(ISBLANK(P2948),"",U2948/N2948)</f>
        <v/>
      </c>
      <c r="W2948" s="81">
        <f>IF(ISBLANK(P2948),"",IF(S2948=0,(365/0.5)*V2948,(365/S2948)*V2948))</f>
        <v/>
      </c>
      <c r="X2948" s="75" t="n"/>
      <c r="Y2948" s="77" t="n"/>
      <c r="Z2948" s="77" t="n"/>
      <c r="AA2948" s="75" t="n"/>
      <c r="AB2948" s="75" t="n"/>
      <c r="AC2948" s="6" t="n"/>
      <c r="AD2948" s="75" t="n"/>
      <c r="AE2948" s="75" t="n"/>
      <c r="AF2948" s="75" t="n"/>
    </row>
    <row r="2949" ht="15.75" customHeight="1" s="133">
      <c r="A2949" s="75" t="n"/>
      <c r="B2949" s="75" t="n"/>
      <c r="C2949" s="75" t="n"/>
      <c r="D2949" s="75" t="n"/>
      <c r="E2949" s="76" t="n"/>
      <c r="F2949" s="77" t="n"/>
      <c r="G2949" s="75" t="n"/>
      <c r="H2949" s="75">
        <f>IF(ISBLANK(E2949),"",IF(OR(D2949="Butterfly",D2949="Butterfly ",D2949="Iron Fly", D2949="Iron Fly "),LEN(E2949)-LEN(SUBSTITUTE(E2949,"/",""))+2,LEN(E2949)-LEN(SUBSTITUTE(E2949,"/",""))+1))</f>
        <v/>
      </c>
      <c r="I2949" s="78">
        <f>IF(ISBLANK(G2949),"",IF(D2949="Stock","0",Key!$A$3*H2949*G2949))</f>
        <v/>
      </c>
      <c r="J2949" s="78">
        <f>IF(ISBLANK(E2949),"",IF(ISNUMBER(SEARCH("/",E2949)), IF(LEN(E2949)-LEN(SUBSTITUTE(E2949,"/",""))=1,(RIGHT(E2949,LEN(E2949)-FIND("/",E2949)))-(LEFT(E2949,FIND("/",E2949)-1)),(MID(E2949, SEARCH("/",E2949) + 1, SEARCH("/",E2949, SEARCH("/",E2949)+1) - SEARCH("/",E2949) - 1))-(LEFT(E2949,FIND("/",E2949)-1))), "NA"))</f>
        <v/>
      </c>
      <c r="K2949" s="79">
        <f>IF(A2949&lt;&gt;"", IF(ISBLANK(L2949), TODAY(), K2949), "")</f>
        <v/>
      </c>
      <c r="L2949" s="78" t="n"/>
      <c r="M2949" s="78">
        <f>IF(ISBLANK(L2949),"",IF(D2949="Stock",IF(C2949="Buy",L2949*G2949,IF(C2949="Sell",(L2949*G2949)-I2949, X)),IF(C2949="Buy",(L2949*G2949*100)+I2949,IF(C2949="Sell",(L2949*G2949*100)-I2949, X))))</f>
        <v/>
      </c>
      <c r="N2949" s="78">
        <f>IF(ISBLANK(L2949),"",IF(AND(C2949="Sell",D2949="Stock"),M2949,IF(ISBLANK(L2949),"",IF(C2949="Buy",M2949, IF(AND(C2949="Sell",J2949="NA"),(E2949*G2949*100*0.1)+I2949, IF(C2949="Sell",(J2949-L2949)*(100*G2949)+I2949))))))</f>
        <v/>
      </c>
      <c r="O2949" s="75" t="n"/>
      <c r="P2949" s="75" t="n"/>
      <c r="Q2949" s="75">
        <f>IF(ISBLANK(P2949),"",IF(D2949="Stock",P2949*G2949,IF(P2949=0,"0",G2949*P2949*100-(G2949*$AF$14))))</f>
        <v/>
      </c>
      <c r="R2949" s="79">
        <f>IF(P2949&lt;&gt;"", TODAY(), "")</f>
        <v/>
      </c>
      <c r="S2949" s="78">
        <f>IF(AND(K2949&lt;&gt;"", R2949&lt;&gt;""), R2949-K2949, "")</f>
        <v/>
      </c>
      <c r="T2949" s="78" t="n"/>
      <c r="U2949" s="92">
        <f>IF(ISBLANK(P2949),"",IF(C2949="Buy",Q2949-M2949+T2949, IF(C2949="Sell",M2949-Q2949-T2949, X)))</f>
        <v/>
      </c>
      <c r="V2949" s="81">
        <f>IF(ISBLANK(P2949),"",U2949/N2949)</f>
        <v/>
      </c>
      <c r="W2949" s="81">
        <f>IF(ISBLANK(P2949),"",IF(S2949=0,(365/0.5)*V2949,(365/S2949)*V2949))</f>
        <v/>
      </c>
      <c r="X2949" s="75" t="n"/>
      <c r="Y2949" s="77" t="n"/>
      <c r="Z2949" s="77" t="n"/>
      <c r="AA2949" s="75" t="n"/>
      <c r="AB2949" s="75" t="n"/>
      <c r="AC2949" s="6" t="n"/>
      <c r="AD2949" s="75" t="n"/>
      <c r="AE2949" s="75" t="n"/>
      <c r="AF2949" s="75" t="n"/>
    </row>
    <row r="2950" ht="15.75" customHeight="1" s="133">
      <c r="A2950" s="75" t="n"/>
      <c r="B2950" s="75" t="n"/>
      <c r="C2950" s="75" t="n"/>
      <c r="D2950" s="75" t="n"/>
      <c r="E2950" s="76" t="n"/>
      <c r="F2950" s="77" t="n"/>
      <c r="G2950" s="75" t="n"/>
      <c r="H2950" s="75">
        <f>IF(ISBLANK(E2950),"",IF(OR(D2950="Butterfly",D2950="Butterfly ",D2950="Iron Fly", D2950="Iron Fly "),LEN(E2950)-LEN(SUBSTITUTE(E2950,"/",""))+2,LEN(E2950)-LEN(SUBSTITUTE(E2950,"/",""))+1))</f>
        <v/>
      </c>
      <c r="I2950" s="78">
        <f>IF(ISBLANK(G2950),"",IF(D2950="Stock","0",Key!$A$3*H2950*G2950))</f>
        <v/>
      </c>
      <c r="J2950" s="78">
        <f>IF(ISBLANK(E2950),"",IF(ISNUMBER(SEARCH("/",E2950)), IF(LEN(E2950)-LEN(SUBSTITUTE(E2950,"/",""))=1,(RIGHT(E2950,LEN(E2950)-FIND("/",E2950)))-(LEFT(E2950,FIND("/",E2950)-1)),(MID(E2950, SEARCH("/",E2950) + 1, SEARCH("/",E2950, SEARCH("/",E2950)+1) - SEARCH("/",E2950) - 1))-(LEFT(E2950,FIND("/",E2950)-1))), "NA"))</f>
        <v/>
      </c>
      <c r="K2950" s="79">
        <f>IF(A2950&lt;&gt;"", IF(ISBLANK(L2950), TODAY(), K2950), "")</f>
        <v/>
      </c>
      <c r="L2950" s="78" t="n"/>
      <c r="M2950" s="78">
        <f>IF(ISBLANK(L2950),"",IF(D2950="Stock",IF(C2950="Buy",L2950*G2950,IF(C2950="Sell",(L2950*G2950)-I2950, X)),IF(C2950="Buy",(L2950*G2950*100)+I2950,IF(C2950="Sell",(L2950*G2950*100)-I2950, X))))</f>
        <v/>
      </c>
      <c r="N2950" s="78">
        <f>IF(ISBLANK(L2950),"",IF(AND(C2950="Sell",D2950="Stock"),M2950,IF(ISBLANK(L2950),"",IF(C2950="Buy",M2950, IF(AND(C2950="Sell",J2950="NA"),(E2950*G2950*100*0.1)+I2950, IF(C2950="Sell",(J2950-L2950)*(100*G2950)+I2950))))))</f>
        <v/>
      </c>
      <c r="O2950" s="75" t="n"/>
      <c r="P2950" s="75" t="n"/>
      <c r="Q2950" s="75">
        <f>IF(ISBLANK(P2950),"",IF(D2950="Stock",P2950*G2950,IF(P2950=0,"0",G2950*P2950*100-(G2950*$AF$14))))</f>
        <v/>
      </c>
      <c r="R2950" s="79">
        <f>IF(P2950&lt;&gt;"", TODAY(), "")</f>
        <v/>
      </c>
      <c r="S2950" s="78">
        <f>IF(AND(K2950&lt;&gt;"", R2950&lt;&gt;""), R2950-K2950, "")</f>
        <v/>
      </c>
      <c r="T2950" s="78" t="n"/>
      <c r="U2950" s="92">
        <f>IF(ISBLANK(P2950),"",IF(C2950="Buy",Q2950-M2950+T2950, IF(C2950="Sell",M2950-Q2950-T2950, X)))</f>
        <v/>
      </c>
      <c r="V2950" s="81">
        <f>IF(ISBLANK(P2950),"",U2950/N2950)</f>
        <v/>
      </c>
      <c r="W2950" s="81">
        <f>IF(ISBLANK(P2950),"",IF(S2950=0,(365/0.5)*V2950,(365/S2950)*V2950))</f>
        <v/>
      </c>
      <c r="X2950" s="75" t="n"/>
      <c r="Y2950" s="77" t="n"/>
      <c r="Z2950" s="77" t="n"/>
      <c r="AA2950" s="75" t="n"/>
      <c r="AB2950" s="75" t="n"/>
      <c r="AC2950" s="6" t="n"/>
      <c r="AD2950" s="75" t="n"/>
      <c r="AE2950" s="75" t="n"/>
      <c r="AF2950" s="75" t="n"/>
    </row>
    <row r="2951" ht="15.75" customHeight="1" s="133">
      <c r="A2951" s="75" t="n"/>
      <c r="B2951" s="75" t="n"/>
      <c r="C2951" s="75" t="n"/>
      <c r="D2951" s="75" t="n"/>
      <c r="E2951" s="76" t="n"/>
      <c r="F2951" s="77" t="n"/>
      <c r="G2951" s="75" t="n"/>
      <c r="H2951" s="75">
        <f>IF(ISBLANK(E2951),"",IF(OR(D2951="Butterfly",D2951="Butterfly ",D2951="Iron Fly", D2951="Iron Fly "),LEN(E2951)-LEN(SUBSTITUTE(E2951,"/",""))+2,LEN(E2951)-LEN(SUBSTITUTE(E2951,"/",""))+1))</f>
        <v/>
      </c>
      <c r="I2951" s="78">
        <f>IF(ISBLANK(G2951),"",IF(D2951="Stock","0",Key!$A$3*H2951*G2951))</f>
        <v/>
      </c>
      <c r="J2951" s="78">
        <f>IF(ISBLANK(E2951),"",IF(ISNUMBER(SEARCH("/",E2951)), IF(LEN(E2951)-LEN(SUBSTITUTE(E2951,"/",""))=1,(RIGHT(E2951,LEN(E2951)-FIND("/",E2951)))-(LEFT(E2951,FIND("/",E2951)-1)),(MID(E2951, SEARCH("/",E2951) + 1, SEARCH("/",E2951, SEARCH("/",E2951)+1) - SEARCH("/",E2951) - 1))-(LEFT(E2951,FIND("/",E2951)-1))), "NA"))</f>
        <v/>
      </c>
      <c r="K2951" s="79">
        <f>IF(A2951&lt;&gt;"", IF(ISBLANK(L2951), TODAY(), K2951), "")</f>
        <v/>
      </c>
      <c r="L2951" s="78" t="n"/>
      <c r="M2951" s="78">
        <f>IF(ISBLANK(L2951),"",IF(D2951="Stock",IF(C2951="Buy",L2951*G2951,IF(C2951="Sell",(L2951*G2951)-I2951, X)),IF(C2951="Buy",(L2951*G2951*100)+I2951,IF(C2951="Sell",(L2951*G2951*100)-I2951, X))))</f>
        <v/>
      </c>
      <c r="N2951" s="78">
        <f>IF(ISBLANK(L2951),"",IF(AND(C2951="Sell",D2951="Stock"),M2951,IF(ISBLANK(L2951),"",IF(C2951="Buy",M2951, IF(AND(C2951="Sell",J2951="NA"),(E2951*G2951*100*0.1)+I2951, IF(C2951="Sell",(J2951-L2951)*(100*G2951)+I2951))))))</f>
        <v/>
      </c>
      <c r="O2951" s="75" t="n"/>
      <c r="P2951" s="75" t="n"/>
      <c r="Q2951" s="75">
        <f>IF(ISBLANK(P2951),"",IF(D2951="Stock",P2951*G2951,IF(P2951=0,"0",G2951*P2951*100-(G2951*$AF$14))))</f>
        <v/>
      </c>
      <c r="R2951" s="79">
        <f>IF(P2951&lt;&gt;"", TODAY(), "")</f>
        <v/>
      </c>
      <c r="S2951" s="78">
        <f>IF(AND(K2951&lt;&gt;"", R2951&lt;&gt;""), R2951-K2951, "")</f>
        <v/>
      </c>
      <c r="T2951" s="78" t="n"/>
      <c r="U2951" s="92">
        <f>IF(ISBLANK(P2951),"",IF(C2951="Buy",Q2951-M2951+T2951, IF(C2951="Sell",M2951-Q2951-T2951, X)))</f>
        <v/>
      </c>
      <c r="V2951" s="81">
        <f>IF(ISBLANK(P2951),"",U2951/N2951)</f>
        <v/>
      </c>
      <c r="W2951" s="81">
        <f>IF(ISBLANK(P2951),"",IF(S2951=0,(365/0.5)*V2951,(365/S2951)*V2951))</f>
        <v/>
      </c>
      <c r="X2951" s="75" t="n"/>
      <c r="Y2951" s="77" t="n"/>
      <c r="Z2951" s="77" t="n"/>
      <c r="AA2951" s="75" t="n"/>
      <c r="AB2951" s="75" t="n"/>
      <c r="AC2951" s="6" t="n"/>
      <c r="AD2951" s="75" t="n"/>
      <c r="AE2951" s="75" t="n"/>
      <c r="AF2951" s="75" t="n"/>
    </row>
    <row r="2952" ht="15.75" customHeight="1" s="133">
      <c r="A2952" s="75" t="n"/>
      <c r="B2952" s="75" t="n"/>
      <c r="C2952" s="75" t="n"/>
      <c r="D2952" s="75" t="n"/>
      <c r="E2952" s="76" t="n"/>
      <c r="F2952" s="77" t="n"/>
      <c r="G2952" s="75" t="n"/>
      <c r="H2952" s="75">
        <f>IF(ISBLANK(E2952),"",IF(OR(D2952="Butterfly",D2952="Butterfly ",D2952="Iron Fly", D2952="Iron Fly "),LEN(E2952)-LEN(SUBSTITUTE(E2952,"/",""))+2,LEN(E2952)-LEN(SUBSTITUTE(E2952,"/",""))+1))</f>
        <v/>
      </c>
      <c r="I2952" s="78">
        <f>IF(ISBLANK(G2952),"",IF(D2952="Stock","0",Key!$A$3*H2952*G2952))</f>
        <v/>
      </c>
      <c r="J2952" s="78">
        <f>IF(ISBLANK(E2952),"",IF(ISNUMBER(SEARCH("/",E2952)), IF(LEN(E2952)-LEN(SUBSTITUTE(E2952,"/",""))=1,(RIGHT(E2952,LEN(E2952)-FIND("/",E2952)))-(LEFT(E2952,FIND("/",E2952)-1)),(MID(E2952, SEARCH("/",E2952) + 1, SEARCH("/",E2952, SEARCH("/",E2952)+1) - SEARCH("/",E2952) - 1))-(LEFT(E2952,FIND("/",E2952)-1))), "NA"))</f>
        <v/>
      </c>
      <c r="K2952" s="79">
        <f>IF(A2952&lt;&gt;"", IF(ISBLANK(L2952), TODAY(), K2952), "")</f>
        <v/>
      </c>
      <c r="L2952" s="78" t="n"/>
      <c r="M2952" s="78">
        <f>IF(ISBLANK(L2952),"",IF(D2952="Stock",IF(C2952="Buy",L2952*G2952,IF(C2952="Sell",(L2952*G2952)-I2952, X)),IF(C2952="Buy",(L2952*G2952*100)+I2952,IF(C2952="Sell",(L2952*G2952*100)-I2952, X))))</f>
        <v/>
      </c>
      <c r="N2952" s="78">
        <f>IF(ISBLANK(L2952),"",IF(AND(C2952="Sell",D2952="Stock"),M2952,IF(ISBLANK(L2952),"",IF(C2952="Buy",M2952, IF(AND(C2952="Sell",J2952="NA"),(E2952*G2952*100*0.1)+I2952, IF(C2952="Sell",(J2952-L2952)*(100*G2952)+I2952))))))</f>
        <v/>
      </c>
      <c r="O2952" s="75" t="n"/>
      <c r="P2952" s="75" t="n"/>
      <c r="Q2952" s="75">
        <f>IF(ISBLANK(P2952),"",IF(D2952="Stock",P2952*G2952,IF(P2952=0,"0",G2952*P2952*100-(G2952*$AF$14))))</f>
        <v/>
      </c>
      <c r="R2952" s="79">
        <f>IF(P2952&lt;&gt;"", TODAY(), "")</f>
        <v/>
      </c>
      <c r="S2952" s="78">
        <f>IF(AND(K2952&lt;&gt;"", R2952&lt;&gt;""), R2952-K2952, "")</f>
        <v/>
      </c>
      <c r="T2952" s="78" t="n"/>
      <c r="U2952" s="92">
        <f>IF(ISBLANK(P2952),"",IF(C2952="Buy",Q2952-M2952+T2952, IF(C2952="Sell",M2952-Q2952-T2952, X)))</f>
        <v/>
      </c>
      <c r="V2952" s="81">
        <f>IF(ISBLANK(P2952),"",U2952/N2952)</f>
        <v/>
      </c>
      <c r="W2952" s="81">
        <f>IF(ISBLANK(P2952),"",IF(S2952=0,(365/0.5)*V2952,(365/S2952)*V2952))</f>
        <v/>
      </c>
      <c r="X2952" s="75" t="n"/>
      <c r="Y2952" s="77" t="n"/>
      <c r="Z2952" s="77" t="n"/>
      <c r="AA2952" s="75" t="n"/>
      <c r="AB2952" s="75" t="n"/>
      <c r="AC2952" s="6" t="n"/>
      <c r="AD2952" s="75" t="n"/>
      <c r="AE2952" s="75" t="n"/>
      <c r="AF2952" s="75" t="n"/>
    </row>
    <row r="2953" ht="15.75" customHeight="1" s="133">
      <c r="A2953" s="75" t="n"/>
      <c r="B2953" s="75" t="n"/>
      <c r="C2953" s="75" t="n"/>
      <c r="D2953" s="75" t="n"/>
      <c r="E2953" s="76" t="n"/>
      <c r="F2953" s="77" t="n"/>
      <c r="G2953" s="75" t="n"/>
      <c r="H2953" s="75">
        <f>IF(ISBLANK(E2953),"",IF(OR(D2953="Butterfly",D2953="Butterfly ",D2953="Iron Fly", D2953="Iron Fly "),LEN(E2953)-LEN(SUBSTITUTE(E2953,"/",""))+2,LEN(E2953)-LEN(SUBSTITUTE(E2953,"/",""))+1))</f>
        <v/>
      </c>
      <c r="I2953" s="78">
        <f>IF(ISBLANK(G2953),"",IF(D2953="Stock","0",Key!$A$3*H2953*G2953))</f>
        <v/>
      </c>
      <c r="J2953" s="78">
        <f>IF(ISBLANK(E2953),"",IF(ISNUMBER(SEARCH("/",E2953)), IF(LEN(E2953)-LEN(SUBSTITUTE(E2953,"/",""))=1,(RIGHT(E2953,LEN(E2953)-FIND("/",E2953)))-(LEFT(E2953,FIND("/",E2953)-1)),(MID(E2953, SEARCH("/",E2953) + 1, SEARCH("/",E2953, SEARCH("/",E2953)+1) - SEARCH("/",E2953) - 1))-(LEFT(E2953,FIND("/",E2953)-1))), "NA"))</f>
        <v/>
      </c>
      <c r="K2953" s="79">
        <f>IF(A2953&lt;&gt;"", IF(ISBLANK(L2953), TODAY(), K2953), "")</f>
        <v/>
      </c>
      <c r="L2953" s="78" t="n"/>
      <c r="M2953" s="78">
        <f>IF(ISBLANK(L2953),"",IF(D2953="Stock",IF(C2953="Buy",L2953*G2953,IF(C2953="Sell",(L2953*G2953)-I2953, X)),IF(C2953="Buy",(L2953*G2953*100)+I2953,IF(C2953="Sell",(L2953*G2953*100)-I2953, X))))</f>
        <v/>
      </c>
      <c r="N2953" s="78">
        <f>IF(ISBLANK(L2953),"",IF(AND(C2953="Sell",D2953="Stock"),M2953,IF(ISBLANK(L2953),"",IF(C2953="Buy",M2953, IF(AND(C2953="Sell",J2953="NA"),(E2953*G2953*100*0.1)+I2953, IF(C2953="Sell",(J2953-L2953)*(100*G2953)+I2953))))))</f>
        <v/>
      </c>
      <c r="O2953" s="75" t="n"/>
      <c r="P2953" s="75" t="n"/>
      <c r="Q2953" s="75">
        <f>IF(ISBLANK(P2953),"",IF(D2953="Stock",P2953*G2953,IF(P2953=0,"0",G2953*P2953*100-(G2953*$AF$14))))</f>
        <v/>
      </c>
      <c r="R2953" s="79">
        <f>IF(P2953&lt;&gt;"", TODAY(), "")</f>
        <v/>
      </c>
      <c r="S2953" s="78">
        <f>IF(AND(K2953&lt;&gt;"", R2953&lt;&gt;""), R2953-K2953, "")</f>
        <v/>
      </c>
      <c r="T2953" s="78" t="n"/>
      <c r="U2953" s="92">
        <f>IF(ISBLANK(P2953),"",IF(C2953="Buy",Q2953-M2953+T2953, IF(C2953="Sell",M2953-Q2953-T2953, X)))</f>
        <v/>
      </c>
      <c r="V2953" s="81">
        <f>IF(ISBLANK(P2953),"",U2953/N2953)</f>
        <v/>
      </c>
      <c r="W2953" s="81">
        <f>IF(ISBLANK(P2953),"",IF(S2953=0,(365/0.5)*V2953,(365/S2953)*V2953))</f>
        <v/>
      </c>
      <c r="X2953" s="75" t="n"/>
      <c r="Y2953" s="77" t="n"/>
      <c r="Z2953" s="77" t="n"/>
      <c r="AA2953" s="75" t="n"/>
      <c r="AB2953" s="75" t="n"/>
      <c r="AC2953" s="6" t="n"/>
      <c r="AD2953" s="75" t="n"/>
      <c r="AE2953" s="75" t="n"/>
      <c r="AF2953" s="75" t="n"/>
    </row>
    <row r="2954" ht="15.75" customHeight="1" s="133">
      <c r="A2954" s="75" t="n"/>
      <c r="B2954" s="75" t="n"/>
      <c r="C2954" s="75" t="n"/>
      <c r="D2954" s="75" t="n"/>
      <c r="E2954" s="76" t="n"/>
      <c r="F2954" s="77" t="n"/>
      <c r="G2954" s="75" t="n"/>
      <c r="H2954" s="75">
        <f>IF(ISBLANK(E2954),"",IF(OR(D2954="Butterfly",D2954="Butterfly ",D2954="Iron Fly", D2954="Iron Fly "),LEN(E2954)-LEN(SUBSTITUTE(E2954,"/",""))+2,LEN(E2954)-LEN(SUBSTITUTE(E2954,"/",""))+1))</f>
        <v/>
      </c>
      <c r="I2954" s="78">
        <f>IF(ISBLANK(G2954),"",IF(D2954="Stock","0",Key!$A$3*H2954*G2954))</f>
        <v/>
      </c>
      <c r="J2954" s="78">
        <f>IF(ISBLANK(E2954),"",IF(ISNUMBER(SEARCH("/",E2954)), IF(LEN(E2954)-LEN(SUBSTITUTE(E2954,"/",""))=1,(RIGHT(E2954,LEN(E2954)-FIND("/",E2954)))-(LEFT(E2954,FIND("/",E2954)-1)),(MID(E2954, SEARCH("/",E2954) + 1, SEARCH("/",E2954, SEARCH("/",E2954)+1) - SEARCH("/",E2954) - 1))-(LEFT(E2954,FIND("/",E2954)-1))), "NA"))</f>
        <v/>
      </c>
      <c r="K2954" s="79">
        <f>IF(A2954&lt;&gt;"", IF(ISBLANK(L2954), TODAY(), K2954), "")</f>
        <v/>
      </c>
      <c r="L2954" s="78" t="n"/>
      <c r="M2954" s="78">
        <f>IF(ISBLANK(L2954),"",IF(D2954="Stock",IF(C2954="Buy",L2954*G2954,IF(C2954="Sell",(L2954*G2954)-I2954, X)),IF(C2954="Buy",(L2954*G2954*100)+I2954,IF(C2954="Sell",(L2954*G2954*100)-I2954, X))))</f>
        <v/>
      </c>
      <c r="N2954" s="78">
        <f>IF(ISBLANK(L2954),"",IF(AND(C2954="Sell",D2954="Stock"),M2954,IF(ISBLANK(L2954),"",IF(C2954="Buy",M2954, IF(AND(C2954="Sell",J2954="NA"),(E2954*G2954*100*0.1)+I2954, IF(C2954="Sell",(J2954-L2954)*(100*G2954)+I2954))))))</f>
        <v/>
      </c>
      <c r="O2954" s="75" t="n"/>
      <c r="P2954" s="75" t="n"/>
      <c r="Q2954" s="75">
        <f>IF(ISBLANK(P2954),"",IF(D2954="Stock",P2954*G2954,IF(P2954=0,"0",G2954*P2954*100-(G2954*$AF$14))))</f>
        <v/>
      </c>
      <c r="R2954" s="79">
        <f>IF(P2954&lt;&gt;"", TODAY(), "")</f>
        <v/>
      </c>
      <c r="S2954" s="78">
        <f>IF(AND(K2954&lt;&gt;"", R2954&lt;&gt;""), R2954-K2954, "")</f>
        <v/>
      </c>
      <c r="T2954" s="78" t="n"/>
      <c r="U2954" s="92">
        <f>IF(ISBLANK(P2954),"",IF(C2954="Buy",Q2954-M2954+T2954, IF(C2954="Sell",M2954-Q2954-T2954, X)))</f>
        <v/>
      </c>
      <c r="V2954" s="81">
        <f>IF(ISBLANK(P2954),"",U2954/N2954)</f>
        <v/>
      </c>
      <c r="W2954" s="81">
        <f>IF(ISBLANK(P2954),"",IF(S2954=0,(365/0.5)*V2954,(365/S2954)*V2954))</f>
        <v/>
      </c>
      <c r="X2954" s="75" t="n"/>
      <c r="Y2954" s="77" t="n"/>
      <c r="Z2954" s="77" t="n"/>
      <c r="AA2954" s="75" t="n"/>
      <c r="AB2954" s="75" t="n"/>
      <c r="AC2954" s="6" t="n"/>
      <c r="AD2954" s="75" t="n"/>
      <c r="AE2954" s="75" t="n"/>
      <c r="AF2954" s="75" t="n"/>
    </row>
    <row r="2955" ht="15.75" customHeight="1" s="133">
      <c r="A2955" s="75" t="n"/>
      <c r="B2955" s="75" t="n"/>
      <c r="C2955" s="75" t="n"/>
      <c r="D2955" s="75" t="n"/>
      <c r="E2955" s="76" t="n"/>
      <c r="F2955" s="77" t="n"/>
      <c r="G2955" s="75" t="n"/>
      <c r="H2955" s="75">
        <f>IF(ISBLANK(E2955),"",IF(OR(D2955="Butterfly",D2955="Butterfly ",D2955="Iron Fly", D2955="Iron Fly "),LEN(E2955)-LEN(SUBSTITUTE(E2955,"/",""))+2,LEN(E2955)-LEN(SUBSTITUTE(E2955,"/",""))+1))</f>
        <v/>
      </c>
      <c r="I2955" s="78">
        <f>IF(ISBLANK(G2955),"",IF(D2955="Stock","0",Key!$A$3*H2955*G2955))</f>
        <v/>
      </c>
      <c r="J2955" s="78">
        <f>IF(ISBLANK(E2955),"",IF(ISNUMBER(SEARCH("/",E2955)), IF(LEN(E2955)-LEN(SUBSTITUTE(E2955,"/",""))=1,(RIGHT(E2955,LEN(E2955)-FIND("/",E2955)))-(LEFT(E2955,FIND("/",E2955)-1)),(MID(E2955, SEARCH("/",E2955) + 1, SEARCH("/",E2955, SEARCH("/",E2955)+1) - SEARCH("/",E2955) - 1))-(LEFT(E2955,FIND("/",E2955)-1))), "NA"))</f>
        <v/>
      </c>
      <c r="K2955" s="79">
        <f>IF(A2955&lt;&gt;"", IF(ISBLANK(L2955), TODAY(), K2955), "")</f>
        <v/>
      </c>
      <c r="L2955" s="78" t="n"/>
      <c r="M2955" s="78">
        <f>IF(ISBLANK(L2955),"",IF(D2955="Stock",IF(C2955="Buy",L2955*G2955,IF(C2955="Sell",(L2955*G2955)-I2955, X)),IF(C2955="Buy",(L2955*G2955*100)+I2955,IF(C2955="Sell",(L2955*G2955*100)-I2955, X))))</f>
        <v/>
      </c>
      <c r="N2955" s="78">
        <f>IF(ISBLANK(L2955),"",IF(AND(C2955="Sell",D2955="Stock"),M2955,IF(ISBLANK(L2955),"",IF(C2955="Buy",M2955, IF(AND(C2955="Sell",J2955="NA"),(E2955*G2955*100*0.1)+I2955, IF(C2955="Sell",(J2955-L2955)*(100*G2955)+I2955))))))</f>
        <v/>
      </c>
      <c r="O2955" s="75" t="n"/>
      <c r="P2955" s="75" t="n"/>
      <c r="Q2955" s="75">
        <f>IF(ISBLANK(P2955),"",IF(D2955="Stock",P2955*G2955,IF(P2955=0,"0",G2955*P2955*100-(G2955*$AF$14))))</f>
        <v/>
      </c>
      <c r="R2955" s="79">
        <f>IF(P2955&lt;&gt;"", TODAY(), "")</f>
        <v/>
      </c>
      <c r="S2955" s="78">
        <f>IF(AND(K2955&lt;&gt;"", R2955&lt;&gt;""), R2955-K2955, "")</f>
        <v/>
      </c>
      <c r="T2955" s="78" t="n"/>
      <c r="U2955" s="92">
        <f>IF(ISBLANK(P2955),"",IF(C2955="Buy",Q2955-M2955+T2955, IF(C2955="Sell",M2955-Q2955-T2955, X)))</f>
        <v/>
      </c>
      <c r="V2955" s="81">
        <f>IF(ISBLANK(P2955),"",U2955/N2955)</f>
        <v/>
      </c>
      <c r="W2955" s="81">
        <f>IF(ISBLANK(P2955),"",IF(S2955=0,(365/0.5)*V2955,(365/S2955)*V2955))</f>
        <v/>
      </c>
      <c r="X2955" s="75" t="n"/>
      <c r="Y2955" s="77" t="n"/>
      <c r="Z2955" s="77" t="n"/>
      <c r="AA2955" s="75" t="n"/>
      <c r="AB2955" s="75" t="n"/>
      <c r="AC2955" s="6" t="n"/>
      <c r="AD2955" s="75" t="n"/>
      <c r="AE2955" s="75" t="n"/>
      <c r="AF2955" s="75" t="n"/>
    </row>
    <row r="2956" ht="15.75" customHeight="1" s="133">
      <c r="A2956" s="75" t="n"/>
      <c r="B2956" s="75" t="n"/>
      <c r="C2956" s="75" t="n"/>
      <c r="D2956" s="75" t="n"/>
      <c r="E2956" s="76" t="n"/>
      <c r="F2956" s="77" t="n"/>
      <c r="G2956" s="75" t="n"/>
      <c r="H2956" s="75">
        <f>IF(ISBLANK(E2956),"",IF(OR(D2956="Butterfly",D2956="Butterfly ",D2956="Iron Fly", D2956="Iron Fly "),LEN(E2956)-LEN(SUBSTITUTE(E2956,"/",""))+2,LEN(E2956)-LEN(SUBSTITUTE(E2956,"/",""))+1))</f>
        <v/>
      </c>
      <c r="I2956" s="78">
        <f>IF(ISBLANK(G2956),"",IF(D2956="Stock","0",Key!$A$3*H2956*G2956))</f>
        <v/>
      </c>
      <c r="J2956" s="78">
        <f>IF(ISBLANK(E2956),"",IF(ISNUMBER(SEARCH("/",E2956)), IF(LEN(E2956)-LEN(SUBSTITUTE(E2956,"/",""))=1,(RIGHT(E2956,LEN(E2956)-FIND("/",E2956)))-(LEFT(E2956,FIND("/",E2956)-1)),(MID(E2956, SEARCH("/",E2956) + 1, SEARCH("/",E2956, SEARCH("/",E2956)+1) - SEARCH("/",E2956) - 1))-(LEFT(E2956,FIND("/",E2956)-1))), "NA"))</f>
        <v/>
      </c>
      <c r="K2956" s="79">
        <f>IF(A2956&lt;&gt;"", IF(ISBLANK(L2956), TODAY(), K2956), "")</f>
        <v/>
      </c>
      <c r="L2956" s="78" t="n"/>
      <c r="M2956" s="78">
        <f>IF(ISBLANK(L2956),"",IF(D2956="Stock",IF(C2956="Buy",L2956*G2956,IF(C2956="Sell",(L2956*G2956)-I2956, X)),IF(C2956="Buy",(L2956*G2956*100)+I2956,IF(C2956="Sell",(L2956*G2956*100)-I2956, X))))</f>
        <v/>
      </c>
      <c r="N2956" s="78">
        <f>IF(ISBLANK(L2956),"",IF(AND(C2956="Sell",D2956="Stock"),M2956,IF(ISBLANK(L2956),"",IF(C2956="Buy",M2956, IF(AND(C2956="Sell",J2956="NA"),(E2956*G2956*100*0.1)+I2956, IF(C2956="Sell",(J2956-L2956)*(100*G2956)+I2956))))))</f>
        <v/>
      </c>
      <c r="O2956" s="75" t="n"/>
      <c r="P2956" s="75" t="n"/>
      <c r="Q2956" s="75">
        <f>IF(ISBLANK(P2956),"",IF(D2956="Stock",P2956*G2956,IF(P2956=0,"0",G2956*P2956*100-(G2956*$AF$14))))</f>
        <v/>
      </c>
      <c r="R2956" s="79">
        <f>IF(P2956&lt;&gt;"", TODAY(), "")</f>
        <v/>
      </c>
      <c r="S2956" s="78">
        <f>IF(AND(K2956&lt;&gt;"", R2956&lt;&gt;""), R2956-K2956, "")</f>
        <v/>
      </c>
      <c r="T2956" s="78" t="n"/>
      <c r="U2956" s="92">
        <f>IF(ISBLANK(P2956),"",IF(C2956="Buy",Q2956-M2956+T2956, IF(C2956="Sell",M2956-Q2956-T2956, X)))</f>
        <v/>
      </c>
      <c r="V2956" s="81">
        <f>IF(ISBLANK(P2956),"",U2956/N2956)</f>
        <v/>
      </c>
      <c r="W2956" s="81">
        <f>IF(ISBLANK(P2956),"",IF(S2956=0,(365/0.5)*V2956,(365/S2956)*V2956))</f>
        <v/>
      </c>
      <c r="X2956" s="75" t="n"/>
      <c r="Y2956" s="77" t="n"/>
      <c r="Z2956" s="77" t="n"/>
      <c r="AA2956" s="75" t="n"/>
      <c r="AB2956" s="75" t="n"/>
      <c r="AC2956" s="6" t="n"/>
      <c r="AD2956" s="75" t="n"/>
      <c r="AE2956" s="75" t="n"/>
      <c r="AF2956" s="75" t="n"/>
    </row>
    <row r="2957" ht="15.75" customHeight="1" s="133">
      <c r="A2957" s="75" t="n"/>
      <c r="B2957" s="75" t="n"/>
      <c r="C2957" s="75" t="n"/>
      <c r="D2957" s="75" t="n"/>
      <c r="E2957" s="76" t="n"/>
      <c r="F2957" s="77" t="n"/>
      <c r="G2957" s="75" t="n"/>
      <c r="H2957" s="75">
        <f>IF(ISBLANK(E2957),"",IF(OR(D2957="Butterfly",D2957="Butterfly ",D2957="Iron Fly", D2957="Iron Fly "),LEN(E2957)-LEN(SUBSTITUTE(E2957,"/",""))+2,LEN(E2957)-LEN(SUBSTITUTE(E2957,"/",""))+1))</f>
        <v/>
      </c>
      <c r="I2957" s="78">
        <f>IF(ISBLANK(G2957),"",IF(D2957="Stock","0",Key!$A$3*H2957*G2957))</f>
        <v/>
      </c>
      <c r="J2957" s="78">
        <f>IF(ISBLANK(E2957),"",IF(ISNUMBER(SEARCH("/",E2957)), IF(LEN(E2957)-LEN(SUBSTITUTE(E2957,"/",""))=1,(RIGHT(E2957,LEN(E2957)-FIND("/",E2957)))-(LEFT(E2957,FIND("/",E2957)-1)),(MID(E2957, SEARCH("/",E2957) + 1, SEARCH("/",E2957, SEARCH("/",E2957)+1) - SEARCH("/",E2957) - 1))-(LEFT(E2957,FIND("/",E2957)-1))), "NA"))</f>
        <v/>
      </c>
      <c r="K2957" s="79">
        <f>IF(A2957&lt;&gt;"", IF(ISBLANK(L2957), TODAY(), K2957), "")</f>
        <v/>
      </c>
      <c r="L2957" s="78" t="n"/>
      <c r="M2957" s="78">
        <f>IF(ISBLANK(L2957),"",IF(D2957="Stock",IF(C2957="Buy",L2957*G2957,IF(C2957="Sell",(L2957*G2957)-I2957, X)),IF(C2957="Buy",(L2957*G2957*100)+I2957,IF(C2957="Sell",(L2957*G2957*100)-I2957, X))))</f>
        <v/>
      </c>
      <c r="N2957" s="78">
        <f>IF(ISBLANK(L2957),"",IF(AND(C2957="Sell",D2957="Stock"),M2957,IF(ISBLANK(L2957),"",IF(C2957="Buy",M2957, IF(AND(C2957="Sell",J2957="NA"),(E2957*G2957*100*0.1)+I2957, IF(C2957="Sell",(J2957-L2957)*(100*G2957)+I2957))))))</f>
        <v/>
      </c>
      <c r="O2957" s="75" t="n"/>
      <c r="P2957" s="75" t="n"/>
      <c r="Q2957" s="75">
        <f>IF(ISBLANK(P2957),"",IF(D2957="Stock",P2957*G2957,IF(P2957=0,"0",G2957*P2957*100-(G2957*$AF$14))))</f>
        <v/>
      </c>
      <c r="R2957" s="79">
        <f>IF(P2957&lt;&gt;"", TODAY(), "")</f>
        <v/>
      </c>
      <c r="S2957" s="78">
        <f>IF(AND(K2957&lt;&gt;"", R2957&lt;&gt;""), R2957-K2957, "")</f>
        <v/>
      </c>
      <c r="T2957" s="78" t="n"/>
      <c r="U2957" s="92">
        <f>IF(ISBLANK(P2957),"",IF(C2957="Buy",Q2957-M2957+T2957, IF(C2957="Sell",M2957-Q2957-T2957, X)))</f>
        <v/>
      </c>
      <c r="V2957" s="81">
        <f>IF(ISBLANK(P2957),"",U2957/N2957)</f>
        <v/>
      </c>
      <c r="W2957" s="81">
        <f>IF(ISBLANK(P2957),"",IF(S2957=0,(365/0.5)*V2957,(365/S2957)*V2957))</f>
        <v/>
      </c>
      <c r="X2957" s="75" t="n"/>
      <c r="Y2957" s="77" t="n"/>
      <c r="Z2957" s="77" t="n"/>
      <c r="AA2957" s="75" t="n"/>
      <c r="AB2957" s="75" t="n"/>
      <c r="AC2957" s="6" t="n"/>
      <c r="AD2957" s="75" t="n"/>
      <c r="AE2957" s="75" t="n"/>
      <c r="AF2957" s="75" t="n"/>
    </row>
    <row r="2958" ht="15.75" customHeight="1" s="133">
      <c r="A2958" s="75" t="n"/>
      <c r="B2958" s="75" t="n"/>
      <c r="C2958" s="75" t="n"/>
      <c r="D2958" s="75" t="n"/>
      <c r="E2958" s="76" t="n"/>
      <c r="F2958" s="77" t="n"/>
      <c r="G2958" s="75" t="n"/>
      <c r="H2958" s="75">
        <f>IF(ISBLANK(E2958),"",IF(OR(D2958="Butterfly",D2958="Butterfly ",D2958="Iron Fly", D2958="Iron Fly "),LEN(E2958)-LEN(SUBSTITUTE(E2958,"/",""))+2,LEN(E2958)-LEN(SUBSTITUTE(E2958,"/",""))+1))</f>
        <v/>
      </c>
      <c r="I2958" s="78">
        <f>IF(ISBLANK(G2958),"",IF(D2958="Stock","0",Key!$A$3*H2958*G2958))</f>
        <v/>
      </c>
      <c r="J2958" s="78">
        <f>IF(ISBLANK(E2958),"",IF(ISNUMBER(SEARCH("/",E2958)), IF(LEN(E2958)-LEN(SUBSTITUTE(E2958,"/",""))=1,(RIGHT(E2958,LEN(E2958)-FIND("/",E2958)))-(LEFT(E2958,FIND("/",E2958)-1)),(MID(E2958, SEARCH("/",E2958) + 1, SEARCH("/",E2958, SEARCH("/",E2958)+1) - SEARCH("/",E2958) - 1))-(LEFT(E2958,FIND("/",E2958)-1))), "NA"))</f>
        <v/>
      </c>
      <c r="K2958" s="79">
        <f>IF(A2958&lt;&gt;"", IF(ISBLANK(L2958), TODAY(), K2958), "")</f>
        <v/>
      </c>
      <c r="L2958" s="78" t="n"/>
      <c r="M2958" s="78">
        <f>IF(ISBLANK(L2958),"",IF(D2958="Stock",IF(C2958="Buy",L2958*G2958,IF(C2958="Sell",(L2958*G2958)-I2958, X)),IF(C2958="Buy",(L2958*G2958*100)+I2958,IF(C2958="Sell",(L2958*G2958*100)-I2958, X))))</f>
        <v/>
      </c>
      <c r="N2958" s="78">
        <f>IF(ISBLANK(L2958),"",IF(AND(C2958="Sell",D2958="Stock"),M2958,IF(ISBLANK(L2958),"",IF(C2958="Buy",M2958, IF(AND(C2958="Sell",J2958="NA"),(E2958*G2958*100*0.1)+I2958, IF(C2958="Sell",(J2958-L2958)*(100*G2958)+I2958))))))</f>
        <v/>
      </c>
      <c r="O2958" s="75" t="n"/>
      <c r="P2958" s="75" t="n"/>
      <c r="Q2958" s="75">
        <f>IF(ISBLANK(P2958),"",IF(D2958="Stock",P2958*G2958,IF(P2958=0,"0",G2958*P2958*100-(G2958*$AF$14))))</f>
        <v/>
      </c>
      <c r="R2958" s="79">
        <f>IF(P2958&lt;&gt;"", TODAY(), "")</f>
        <v/>
      </c>
      <c r="S2958" s="78">
        <f>IF(AND(K2958&lt;&gt;"", R2958&lt;&gt;""), R2958-K2958, "")</f>
        <v/>
      </c>
      <c r="T2958" s="78" t="n"/>
      <c r="U2958" s="92">
        <f>IF(ISBLANK(P2958),"",IF(C2958="Buy",Q2958-M2958+T2958, IF(C2958="Sell",M2958-Q2958-T2958, X)))</f>
        <v/>
      </c>
      <c r="V2958" s="81">
        <f>IF(ISBLANK(P2958),"",U2958/N2958)</f>
        <v/>
      </c>
      <c r="W2958" s="81">
        <f>IF(ISBLANK(P2958),"",IF(S2958=0,(365/0.5)*V2958,(365/S2958)*V2958))</f>
        <v/>
      </c>
      <c r="X2958" s="75" t="n"/>
      <c r="Y2958" s="77" t="n"/>
      <c r="Z2958" s="77" t="n"/>
      <c r="AA2958" s="75" t="n"/>
      <c r="AB2958" s="75" t="n"/>
      <c r="AC2958" s="6" t="n"/>
      <c r="AD2958" s="75" t="n"/>
      <c r="AE2958" s="75" t="n"/>
      <c r="AF2958" s="75" t="n"/>
    </row>
    <row r="2959" ht="15.75" customHeight="1" s="133">
      <c r="A2959" s="75" t="n"/>
      <c r="B2959" s="75" t="n"/>
      <c r="C2959" s="75" t="n"/>
      <c r="D2959" s="75" t="n"/>
      <c r="E2959" s="76" t="n"/>
      <c r="F2959" s="77" t="n"/>
      <c r="G2959" s="75" t="n"/>
      <c r="H2959" s="75">
        <f>IF(ISBLANK(E2959),"",IF(OR(D2959="Butterfly",D2959="Butterfly ",D2959="Iron Fly", D2959="Iron Fly "),LEN(E2959)-LEN(SUBSTITUTE(E2959,"/",""))+2,LEN(E2959)-LEN(SUBSTITUTE(E2959,"/",""))+1))</f>
        <v/>
      </c>
      <c r="I2959" s="78">
        <f>IF(ISBLANK(G2959),"",IF(D2959="Stock","0",Key!$A$3*H2959*G2959))</f>
        <v/>
      </c>
      <c r="J2959" s="78">
        <f>IF(ISBLANK(E2959),"",IF(ISNUMBER(SEARCH("/",E2959)), IF(LEN(E2959)-LEN(SUBSTITUTE(E2959,"/",""))=1,(RIGHT(E2959,LEN(E2959)-FIND("/",E2959)))-(LEFT(E2959,FIND("/",E2959)-1)),(MID(E2959, SEARCH("/",E2959) + 1, SEARCH("/",E2959, SEARCH("/",E2959)+1) - SEARCH("/",E2959) - 1))-(LEFT(E2959,FIND("/",E2959)-1))), "NA"))</f>
        <v/>
      </c>
      <c r="K2959" s="79">
        <f>IF(A2959&lt;&gt;"", IF(ISBLANK(L2959), TODAY(), K2959), "")</f>
        <v/>
      </c>
      <c r="L2959" s="78" t="n"/>
      <c r="M2959" s="78">
        <f>IF(ISBLANK(L2959),"",IF(D2959="Stock",IF(C2959="Buy",L2959*G2959,IF(C2959="Sell",(L2959*G2959)-I2959, X)),IF(C2959="Buy",(L2959*G2959*100)+I2959,IF(C2959="Sell",(L2959*G2959*100)-I2959, X))))</f>
        <v/>
      </c>
      <c r="N2959" s="78">
        <f>IF(ISBLANK(L2959),"",IF(AND(C2959="Sell",D2959="Stock"),M2959,IF(ISBLANK(L2959),"",IF(C2959="Buy",M2959, IF(AND(C2959="Sell",J2959="NA"),(E2959*G2959*100*0.1)+I2959, IF(C2959="Sell",(J2959-L2959)*(100*G2959)+I2959))))))</f>
        <v/>
      </c>
      <c r="O2959" s="75" t="n"/>
      <c r="P2959" s="75" t="n"/>
      <c r="Q2959" s="75">
        <f>IF(ISBLANK(P2959),"",IF(D2959="Stock",P2959*G2959,IF(P2959=0,"0",G2959*P2959*100-(G2959*$AF$14))))</f>
        <v/>
      </c>
      <c r="R2959" s="79">
        <f>IF(P2959&lt;&gt;"", TODAY(), "")</f>
        <v/>
      </c>
      <c r="S2959" s="78">
        <f>IF(AND(K2959&lt;&gt;"", R2959&lt;&gt;""), R2959-K2959, "")</f>
        <v/>
      </c>
      <c r="T2959" s="78" t="n"/>
      <c r="U2959" s="92">
        <f>IF(ISBLANK(P2959),"",IF(C2959="Buy",Q2959-M2959+T2959, IF(C2959="Sell",M2959-Q2959-T2959, X)))</f>
        <v/>
      </c>
      <c r="V2959" s="81">
        <f>IF(ISBLANK(P2959),"",U2959/N2959)</f>
        <v/>
      </c>
      <c r="W2959" s="81">
        <f>IF(ISBLANK(P2959),"",IF(S2959=0,(365/0.5)*V2959,(365/S2959)*V2959))</f>
        <v/>
      </c>
      <c r="X2959" s="75" t="n"/>
      <c r="Y2959" s="77" t="n"/>
      <c r="Z2959" s="77" t="n"/>
      <c r="AA2959" s="75" t="n"/>
      <c r="AB2959" s="75" t="n"/>
      <c r="AC2959" s="6" t="n"/>
      <c r="AD2959" s="75" t="n"/>
      <c r="AE2959" s="75" t="n"/>
      <c r="AF2959" s="75" t="n"/>
    </row>
    <row r="2960" ht="15.75" customHeight="1" s="133">
      <c r="A2960" s="75" t="n"/>
      <c r="B2960" s="75" t="n"/>
      <c r="C2960" s="75" t="n"/>
      <c r="D2960" s="75" t="n"/>
      <c r="E2960" s="76" t="n"/>
      <c r="F2960" s="77" t="n"/>
      <c r="G2960" s="75" t="n"/>
      <c r="H2960" s="75">
        <f>IF(ISBLANK(E2960),"",IF(OR(D2960="Butterfly",D2960="Butterfly ",D2960="Iron Fly", D2960="Iron Fly "),LEN(E2960)-LEN(SUBSTITUTE(E2960,"/",""))+2,LEN(E2960)-LEN(SUBSTITUTE(E2960,"/",""))+1))</f>
        <v/>
      </c>
      <c r="I2960" s="78">
        <f>IF(ISBLANK(G2960),"",IF(D2960="Stock","0",Key!$A$3*H2960*G2960))</f>
        <v/>
      </c>
      <c r="J2960" s="78">
        <f>IF(ISBLANK(E2960),"",IF(ISNUMBER(SEARCH("/",E2960)), IF(LEN(E2960)-LEN(SUBSTITUTE(E2960,"/",""))=1,(RIGHT(E2960,LEN(E2960)-FIND("/",E2960)))-(LEFT(E2960,FIND("/",E2960)-1)),(MID(E2960, SEARCH("/",E2960) + 1, SEARCH("/",E2960, SEARCH("/",E2960)+1) - SEARCH("/",E2960) - 1))-(LEFT(E2960,FIND("/",E2960)-1))), "NA"))</f>
        <v/>
      </c>
      <c r="K2960" s="79">
        <f>IF(A2960&lt;&gt;"", IF(ISBLANK(L2960), TODAY(), K2960), "")</f>
        <v/>
      </c>
      <c r="L2960" s="78" t="n"/>
      <c r="M2960" s="78">
        <f>IF(ISBLANK(L2960),"",IF(D2960="Stock",IF(C2960="Buy",L2960*G2960,IF(C2960="Sell",(L2960*G2960)-I2960, X)),IF(C2960="Buy",(L2960*G2960*100)+I2960,IF(C2960="Sell",(L2960*G2960*100)-I2960, X))))</f>
        <v/>
      </c>
      <c r="N2960" s="78">
        <f>IF(ISBLANK(L2960),"",IF(AND(C2960="Sell",D2960="Stock"),M2960,IF(ISBLANK(L2960),"",IF(C2960="Buy",M2960, IF(AND(C2960="Sell",J2960="NA"),(E2960*G2960*100*0.1)+I2960, IF(C2960="Sell",(J2960-L2960)*(100*G2960)+I2960))))))</f>
        <v/>
      </c>
      <c r="O2960" s="75" t="n"/>
      <c r="P2960" s="75" t="n"/>
      <c r="Q2960" s="75">
        <f>IF(ISBLANK(P2960),"",IF(D2960="Stock",P2960*G2960,IF(P2960=0,"0",G2960*P2960*100-(G2960*$AF$14))))</f>
        <v/>
      </c>
      <c r="R2960" s="79">
        <f>IF(P2960&lt;&gt;"", TODAY(), "")</f>
        <v/>
      </c>
      <c r="S2960" s="78">
        <f>IF(AND(K2960&lt;&gt;"", R2960&lt;&gt;""), R2960-K2960, "")</f>
        <v/>
      </c>
      <c r="T2960" s="78" t="n"/>
      <c r="U2960" s="92">
        <f>IF(ISBLANK(P2960),"",IF(C2960="Buy",Q2960-M2960+T2960, IF(C2960="Sell",M2960-Q2960-T2960, X)))</f>
        <v/>
      </c>
      <c r="V2960" s="81">
        <f>IF(ISBLANK(P2960),"",U2960/N2960)</f>
        <v/>
      </c>
      <c r="W2960" s="81">
        <f>IF(ISBLANK(P2960),"",IF(S2960=0,(365/0.5)*V2960,(365/S2960)*V2960))</f>
        <v/>
      </c>
      <c r="X2960" s="75" t="n"/>
      <c r="Y2960" s="77" t="n"/>
      <c r="Z2960" s="77" t="n"/>
      <c r="AA2960" s="75" t="n"/>
      <c r="AB2960" s="75" t="n"/>
      <c r="AC2960" s="6" t="n"/>
      <c r="AD2960" s="75" t="n"/>
      <c r="AE2960" s="75" t="n"/>
      <c r="AF2960" s="75" t="n"/>
    </row>
    <row r="2961" ht="15.75" customHeight="1" s="133">
      <c r="A2961" s="75" t="n"/>
      <c r="B2961" s="75" t="n"/>
      <c r="C2961" s="75" t="n"/>
      <c r="D2961" s="75" t="n"/>
      <c r="E2961" s="76" t="n"/>
      <c r="F2961" s="77" t="n"/>
      <c r="G2961" s="75" t="n"/>
      <c r="H2961" s="75">
        <f>IF(ISBLANK(E2961),"",IF(OR(D2961="Butterfly",D2961="Butterfly ",D2961="Iron Fly", D2961="Iron Fly "),LEN(E2961)-LEN(SUBSTITUTE(E2961,"/",""))+2,LEN(E2961)-LEN(SUBSTITUTE(E2961,"/",""))+1))</f>
        <v/>
      </c>
      <c r="I2961" s="78">
        <f>IF(ISBLANK(G2961),"",IF(D2961="Stock","0",Key!$A$3*H2961*G2961))</f>
        <v/>
      </c>
      <c r="J2961" s="78">
        <f>IF(ISBLANK(E2961),"",IF(ISNUMBER(SEARCH("/",E2961)), IF(LEN(E2961)-LEN(SUBSTITUTE(E2961,"/",""))=1,(RIGHT(E2961,LEN(E2961)-FIND("/",E2961)))-(LEFT(E2961,FIND("/",E2961)-1)),(MID(E2961, SEARCH("/",E2961) + 1, SEARCH("/",E2961, SEARCH("/",E2961)+1) - SEARCH("/",E2961) - 1))-(LEFT(E2961,FIND("/",E2961)-1))), "NA"))</f>
        <v/>
      </c>
      <c r="K2961" s="79">
        <f>IF(A2961&lt;&gt;"", IF(ISBLANK(L2961), TODAY(), K2961), "")</f>
        <v/>
      </c>
      <c r="L2961" s="78" t="n"/>
      <c r="M2961" s="78">
        <f>IF(ISBLANK(L2961),"",IF(D2961="Stock",IF(C2961="Buy",L2961*G2961,IF(C2961="Sell",(L2961*G2961)-I2961, X)),IF(C2961="Buy",(L2961*G2961*100)+I2961,IF(C2961="Sell",(L2961*G2961*100)-I2961, X))))</f>
        <v/>
      </c>
      <c r="N2961" s="78">
        <f>IF(ISBLANK(L2961),"",IF(AND(C2961="Sell",D2961="Stock"),M2961,IF(ISBLANK(L2961),"",IF(C2961="Buy",M2961, IF(AND(C2961="Sell",J2961="NA"),(E2961*G2961*100*0.1)+I2961, IF(C2961="Sell",(J2961-L2961)*(100*G2961)+I2961))))))</f>
        <v/>
      </c>
      <c r="O2961" s="75" t="n"/>
      <c r="P2961" s="75" t="n"/>
      <c r="Q2961" s="75">
        <f>IF(ISBLANK(P2961),"",IF(D2961="Stock",P2961*G2961,IF(P2961=0,"0",G2961*P2961*100-(G2961*$AF$14))))</f>
        <v/>
      </c>
      <c r="R2961" s="79">
        <f>IF(P2961&lt;&gt;"", TODAY(), "")</f>
        <v/>
      </c>
      <c r="S2961" s="78">
        <f>IF(AND(K2961&lt;&gt;"", R2961&lt;&gt;""), R2961-K2961, "")</f>
        <v/>
      </c>
      <c r="T2961" s="78" t="n"/>
      <c r="U2961" s="92">
        <f>IF(ISBLANK(P2961),"",IF(C2961="Buy",Q2961-M2961+T2961, IF(C2961="Sell",M2961-Q2961-T2961, X)))</f>
        <v/>
      </c>
      <c r="V2961" s="81">
        <f>IF(ISBLANK(P2961),"",U2961/N2961)</f>
        <v/>
      </c>
      <c r="W2961" s="81">
        <f>IF(ISBLANK(P2961),"",IF(S2961=0,(365/0.5)*V2961,(365/S2961)*V2961))</f>
        <v/>
      </c>
      <c r="X2961" s="75" t="n"/>
      <c r="Y2961" s="77" t="n"/>
      <c r="Z2961" s="77" t="n"/>
      <c r="AA2961" s="75" t="n"/>
      <c r="AB2961" s="75" t="n"/>
      <c r="AC2961" s="6" t="n"/>
      <c r="AD2961" s="75" t="n"/>
      <c r="AE2961" s="75" t="n"/>
      <c r="AF2961" s="75" t="n"/>
    </row>
    <row r="2962" ht="15.75" customHeight="1" s="133">
      <c r="A2962" s="75" t="n"/>
      <c r="B2962" s="75" t="n"/>
      <c r="C2962" s="75" t="n"/>
      <c r="D2962" s="75" t="n"/>
      <c r="E2962" s="76" t="n"/>
      <c r="F2962" s="77" t="n"/>
      <c r="G2962" s="75" t="n"/>
      <c r="H2962" s="75">
        <f>IF(ISBLANK(E2962),"",IF(OR(D2962="Butterfly",D2962="Butterfly ",D2962="Iron Fly", D2962="Iron Fly "),LEN(E2962)-LEN(SUBSTITUTE(E2962,"/",""))+2,LEN(E2962)-LEN(SUBSTITUTE(E2962,"/",""))+1))</f>
        <v/>
      </c>
      <c r="I2962" s="78">
        <f>IF(ISBLANK(G2962),"",IF(D2962="Stock","0",Key!$A$3*H2962*G2962))</f>
        <v/>
      </c>
      <c r="J2962" s="78">
        <f>IF(ISBLANK(E2962),"",IF(ISNUMBER(SEARCH("/",E2962)), IF(LEN(E2962)-LEN(SUBSTITUTE(E2962,"/",""))=1,(RIGHT(E2962,LEN(E2962)-FIND("/",E2962)))-(LEFT(E2962,FIND("/",E2962)-1)),(MID(E2962, SEARCH("/",E2962) + 1, SEARCH("/",E2962, SEARCH("/",E2962)+1) - SEARCH("/",E2962) - 1))-(LEFT(E2962,FIND("/",E2962)-1))), "NA"))</f>
        <v/>
      </c>
      <c r="K2962" s="79">
        <f>IF(A2962&lt;&gt;"", IF(ISBLANK(L2962), TODAY(), K2962), "")</f>
        <v/>
      </c>
      <c r="L2962" s="78" t="n"/>
      <c r="M2962" s="78">
        <f>IF(ISBLANK(L2962),"",IF(D2962="Stock",IF(C2962="Buy",L2962*G2962,IF(C2962="Sell",(L2962*G2962)-I2962, X)),IF(C2962="Buy",(L2962*G2962*100)+I2962,IF(C2962="Sell",(L2962*G2962*100)-I2962, X))))</f>
        <v/>
      </c>
      <c r="N2962" s="78">
        <f>IF(ISBLANK(L2962),"",IF(AND(C2962="Sell",D2962="Stock"),M2962,IF(ISBLANK(L2962),"",IF(C2962="Buy",M2962, IF(AND(C2962="Sell",J2962="NA"),(E2962*G2962*100*0.1)+I2962, IF(C2962="Sell",(J2962-L2962)*(100*G2962)+I2962))))))</f>
        <v/>
      </c>
      <c r="O2962" s="75" t="n"/>
      <c r="P2962" s="75" t="n"/>
      <c r="Q2962" s="75">
        <f>IF(ISBLANK(P2962),"",IF(D2962="Stock",P2962*G2962,IF(P2962=0,"0",G2962*P2962*100-(G2962*$AF$14))))</f>
        <v/>
      </c>
      <c r="R2962" s="79">
        <f>IF(P2962&lt;&gt;"", TODAY(), "")</f>
        <v/>
      </c>
      <c r="S2962" s="78">
        <f>IF(AND(K2962&lt;&gt;"", R2962&lt;&gt;""), R2962-K2962, "")</f>
        <v/>
      </c>
      <c r="T2962" s="78" t="n"/>
      <c r="U2962" s="92">
        <f>IF(ISBLANK(P2962),"",IF(C2962="Buy",Q2962-M2962+T2962, IF(C2962="Sell",M2962-Q2962-T2962, X)))</f>
        <v/>
      </c>
      <c r="V2962" s="81">
        <f>IF(ISBLANK(P2962),"",U2962/N2962)</f>
        <v/>
      </c>
      <c r="W2962" s="81">
        <f>IF(ISBLANK(P2962),"",IF(S2962=0,(365/0.5)*V2962,(365/S2962)*V2962))</f>
        <v/>
      </c>
      <c r="X2962" s="75" t="n"/>
      <c r="Y2962" s="77" t="n"/>
      <c r="Z2962" s="77" t="n"/>
      <c r="AA2962" s="75" t="n"/>
      <c r="AB2962" s="75" t="n"/>
      <c r="AC2962" s="6" t="n"/>
      <c r="AD2962" s="75" t="n"/>
      <c r="AE2962" s="75" t="n"/>
      <c r="AF2962" s="75" t="n"/>
    </row>
    <row r="2963" ht="15.75" customHeight="1" s="133">
      <c r="A2963" s="75" t="n"/>
      <c r="B2963" s="75" t="n"/>
      <c r="C2963" s="75" t="n"/>
      <c r="D2963" s="75" t="n"/>
      <c r="E2963" s="76" t="n"/>
      <c r="F2963" s="77" t="n"/>
      <c r="G2963" s="75" t="n"/>
      <c r="H2963" s="75">
        <f>IF(ISBLANK(E2963),"",IF(OR(D2963="Butterfly",D2963="Butterfly ",D2963="Iron Fly", D2963="Iron Fly "),LEN(E2963)-LEN(SUBSTITUTE(E2963,"/",""))+2,LEN(E2963)-LEN(SUBSTITUTE(E2963,"/",""))+1))</f>
        <v/>
      </c>
      <c r="I2963" s="78">
        <f>IF(ISBLANK(G2963),"",IF(D2963="Stock","0",Key!$A$3*H2963*G2963))</f>
        <v/>
      </c>
      <c r="J2963" s="78">
        <f>IF(ISBLANK(E2963),"",IF(ISNUMBER(SEARCH("/",E2963)), IF(LEN(E2963)-LEN(SUBSTITUTE(E2963,"/",""))=1,(RIGHT(E2963,LEN(E2963)-FIND("/",E2963)))-(LEFT(E2963,FIND("/",E2963)-1)),(MID(E2963, SEARCH("/",E2963) + 1, SEARCH("/",E2963, SEARCH("/",E2963)+1) - SEARCH("/",E2963) - 1))-(LEFT(E2963,FIND("/",E2963)-1))), "NA"))</f>
        <v/>
      </c>
      <c r="K2963" s="79">
        <f>IF(A2963&lt;&gt;"", IF(ISBLANK(L2963), TODAY(), K2963), "")</f>
        <v/>
      </c>
      <c r="L2963" s="78" t="n"/>
      <c r="M2963" s="78">
        <f>IF(ISBLANK(L2963),"",IF(D2963="Stock",IF(C2963="Buy",L2963*G2963,IF(C2963="Sell",(L2963*G2963)-I2963, X)),IF(C2963="Buy",(L2963*G2963*100)+I2963,IF(C2963="Sell",(L2963*G2963*100)-I2963, X))))</f>
        <v/>
      </c>
      <c r="N2963" s="78">
        <f>IF(ISBLANK(L2963),"",IF(AND(C2963="Sell",D2963="Stock"),M2963,IF(ISBLANK(L2963),"",IF(C2963="Buy",M2963, IF(AND(C2963="Sell",J2963="NA"),(E2963*G2963*100*0.1)+I2963, IF(C2963="Sell",(J2963-L2963)*(100*G2963)+I2963))))))</f>
        <v/>
      </c>
      <c r="O2963" s="75" t="n"/>
      <c r="P2963" s="75" t="n"/>
      <c r="Q2963" s="75">
        <f>IF(ISBLANK(P2963),"",IF(D2963="Stock",P2963*G2963,IF(P2963=0,"0",G2963*P2963*100-(G2963*$AF$14))))</f>
        <v/>
      </c>
      <c r="R2963" s="79">
        <f>IF(P2963&lt;&gt;"", TODAY(), "")</f>
        <v/>
      </c>
      <c r="S2963" s="78">
        <f>IF(AND(K2963&lt;&gt;"", R2963&lt;&gt;""), R2963-K2963, "")</f>
        <v/>
      </c>
      <c r="T2963" s="78" t="n"/>
      <c r="U2963" s="92">
        <f>IF(ISBLANK(P2963),"",IF(C2963="Buy",Q2963-M2963+T2963, IF(C2963="Sell",M2963-Q2963-T2963, X)))</f>
        <v/>
      </c>
      <c r="V2963" s="81">
        <f>IF(ISBLANK(P2963),"",U2963/N2963)</f>
        <v/>
      </c>
      <c r="W2963" s="81">
        <f>IF(ISBLANK(P2963),"",IF(S2963=0,(365/0.5)*V2963,(365/S2963)*V2963))</f>
        <v/>
      </c>
      <c r="X2963" s="75" t="n"/>
      <c r="Y2963" s="77" t="n"/>
      <c r="Z2963" s="77" t="n"/>
      <c r="AA2963" s="75" t="n"/>
      <c r="AB2963" s="75" t="n"/>
      <c r="AC2963" s="6" t="n"/>
      <c r="AD2963" s="75" t="n"/>
      <c r="AE2963" s="75" t="n"/>
      <c r="AF2963" s="75" t="n"/>
    </row>
    <row r="2964" ht="15.75" customHeight="1" s="133">
      <c r="A2964" s="75" t="n"/>
      <c r="B2964" s="75" t="n"/>
      <c r="C2964" s="75" t="n"/>
      <c r="D2964" s="75" t="n"/>
      <c r="E2964" s="76" t="n"/>
      <c r="F2964" s="77" t="n"/>
      <c r="G2964" s="75" t="n"/>
      <c r="H2964" s="75">
        <f>IF(ISBLANK(E2964),"",IF(OR(D2964="Butterfly",D2964="Butterfly ",D2964="Iron Fly", D2964="Iron Fly "),LEN(E2964)-LEN(SUBSTITUTE(E2964,"/",""))+2,LEN(E2964)-LEN(SUBSTITUTE(E2964,"/",""))+1))</f>
        <v/>
      </c>
      <c r="I2964" s="78">
        <f>IF(ISBLANK(G2964),"",IF(D2964="Stock","0",Key!$A$3*H2964*G2964))</f>
        <v/>
      </c>
      <c r="J2964" s="78">
        <f>IF(ISBLANK(E2964),"",IF(ISNUMBER(SEARCH("/",E2964)), IF(LEN(E2964)-LEN(SUBSTITUTE(E2964,"/",""))=1,(RIGHT(E2964,LEN(E2964)-FIND("/",E2964)))-(LEFT(E2964,FIND("/",E2964)-1)),(MID(E2964, SEARCH("/",E2964) + 1, SEARCH("/",E2964, SEARCH("/",E2964)+1) - SEARCH("/",E2964) - 1))-(LEFT(E2964,FIND("/",E2964)-1))), "NA"))</f>
        <v/>
      </c>
      <c r="K2964" s="79">
        <f>IF(A2964&lt;&gt;"", IF(ISBLANK(L2964), TODAY(), K2964), "")</f>
        <v/>
      </c>
      <c r="L2964" s="78" t="n"/>
      <c r="M2964" s="78">
        <f>IF(ISBLANK(L2964),"",IF(D2964="Stock",IF(C2964="Buy",L2964*G2964,IF(C2964="Sell",(L2964*G2964)-I2964, X)),IF(C2964="Buy",(L2964*G2964*100)+I2964,IF(C2964="Sell",(L2964*G2964*100)-I2964, X))))</f>
        <v/>
      </c>
      <c r="N2964" s="78">
        <f>IF(ISBLANK(L2964),"",IF(AND(C2964="Sell",D2964="Stock"),M2964,IF(ISBLANK(L2964),"",IF(C2964="Buy",M2964, IF(AND(C2964="Sell",J2964="NA"),(E2964*G2964*100*0.1)+I2964, IF(C2964="Sell",(J2964-L2964)*(100*G2964)+I2964))))))</f>
        <v/>
      </c>
      <c r="O2964" s="75" t="n"/>
      <c r="P2964" s="75" t="n"/>
      <c r="Q2964" s="75">
        <f>IF(ISBLANK(P2964),"",IF(D2964="Stock",P2964*G2964,IF(P2964=0,"0",G2964*P2964*100-(G2964*$AF$14))))</f>
        <v/>
      </c>
      <c r="R2964" s="79">
        <f>IF(P2964&lt;&gt;"", TODAY(), "")</f>
        <v/>
      </c>
      <c r="S2964" s="78">
        <f>IF(AND(K2964&lt;&gt;"", R2964&lt;&gt;""), R2964-K2964, "")</f>
        <v/>
      </c>
      <c r="T2964" s="78" t="n"/>
      <c r="U2964" s="92">
        <f>IF(ISBLANK(P2964),"",IF(C2964="Buy",Q2964-M2964+T2964, IF(C2964="Sell",M2964-Q2964-T2964, X)))</f>
        <v/>
      </c>
      <c r="V2964" s="81">
        <f>IF(ISBLANK(P2964),"",U2964/N2964)</f>
        <v/>
      </c>
      <c r="W2964" s="81">
        <f>IF(ISBLANK(P2964),"",IF(S2964=0,(365/0.5)*V2964,(365/S2964)*V2964))</f>
        <v/>
      </c>
      <c r="X2964" s="75" t="n"/>
      <c r="Y2964" s="77" t="n"/>
      <c r="Z2964" s="77" t="n"/>
      <c r="AA2964" s="75" t="n"/>
      <c r="AB2964" s="75" t="n"/>
      <c r="AC2964" s="6" t="n"/>
      <c r="AD2964" s="75" t="n"/>
      <c r="AE2964" s="75" t="n"/>
      <c r="AF2964" s="75" t="n"/>
    </row>
    <row r="2965" ht="15.75" customHeight="1" s="133">
      <c r="A2965" s="75" t="n"/>
      <c r="B2965" s="75" t="n"/>
      <c r="C2965" s="75" t="n"/>
      <c r="D2965" s="75" t="n"/>
      <c r="E2965" s="76" t="n"/>
      <c r="F2965" s="77" t="n"/>
      <c r="G2965" s="75" t="n"/>
      <c r="H2965" s="75">
        <f>IF(ISBLANK(E2965),"",IF(OR(D2965="Butterfly",D2965="Butterfly ",D2965="Iron Fly", D2965="Iron Fly "),LEN(E2965)-LEN(SUBSTITUTE(E2965,"/",""))+2,LEN(E2965)-LEN(SUBSTITUTE(E2965,"/",""))+1))</f>
        <v/>
      </c>
      <c r="I2965" s="78">
        <f>IF(ISBLANK(G2965),"",IF(D2965="Stock","0",Key!$A$3*H2965*G2965))</f>
        <v/>
      </c>
      <c r="J2965" s="78">
        <f>IF(ISBLANK(E2965),"",IF(ISNUMBER(SEARCH("/",E2965)), IF(LEN(E2965)-LEN(SUBSTITUTE(E2965,"/",""))=1,(RIGHT(E2965,LEN(E2965)-FIND("/",E2965)))-(LEFT(E2965,FIND("/",E2965)-1)),(MID(E2965, SEARCH("/",E2965) + 1, SEARCH("/",E2965, SEARCH("/",E2965)+1) - SEARCH("/",E2965) - 1))-(LEFT(E2965,FIND("/",E2965)-1))), "NA"))</f>
        <v/>
      </c>
      <c r="K2965" s="79">
        <f>IF(A2965&lt;&gt;"", IF(ISBLANK(L2965), TODAY(), K2965), "")</f>
        <v/>
      </c>
      <c r="L2965" s="78" t="n"/>
      <c r="M2965" s="78">
        <f>IF(ISBLANK(L2965),"",IF(D2965="Stock",IF(C2965="Buy",L2965*G2965,IF(C2965="Sell",(L2965*G2965)-I2965, X)),IF(C2965="Buy",(L2965*G2965*100)+I2965,IF(C2965="Sell",(L2965*G2965*100)-I2965, X))))</f>
        <v/>
      </c>
      <c r="N2965" s="78">
        <f>IF(ISBLANK(L2965),"",IF(AND(C2965="Sell",D2965="Stock"),M2965,IF(ISBLANK(L2965),"",IF(C2965="Buy",M2965, IF(AND(C2965="Sell",J2965="NA"),(E2965*G2965*100*0.1)+I2965, IF(C2965="Sell",(J2965-L2965)*(100*G2965)+I2965))))))</f>
        <v/>
      </c>
      <c r="O2965" s="75" t="n"/>
      <c r="P2965" s="75" t="n"/>
      <c r="Q2965" s="75">
        <f>IF(ISBLANK(P2965),"",IF(D2965="Stock",P2965*G2965,IF(P2965=0,"0",G2965*P2965*100-(G2965*$AF$14))))</f>
        <v/>
      </c>
      <c r="R2965" s="79">
        <f>IF(P2965&lt;&gt;"", TODAY(), "")</f>
        <v/>
      </c>
      <c r="S2965" s="78">
        <f>IF(AND(K2965&lt;&gt;"", R2965&lt;&gt;""), R2965-K2965, "")</f>
        <v/>
      </c>
      <c r="T2965" s="78" t="n"/>
      <c r="U2965" s="92">
        <f>IF(ISBLANK(P2965),"",IF(C2965="Buy",Q2965-M2965+T2965, IF(C2965="Sell",M2965-Q2965-T2965, X)))</f>
        <v/>
      </c>
      <c r="V2965" s="81">
        <f>IF(ISBLANK(P2965),"",U2965/N2965)</f>
        <v/>
      </c>
      <c r="W2965" s="81">
        <f>IF(ISBLANK(P2965),"",IF(S2965=0,(365/0.5)*V2965,(365/S2965)*V2965))</f>
        <v/>
      </c>
      <c r="X2965" s="75" t="n"/>
      <c r="Y2965" s="77" t="n"/>
      <c r="Z2965" s="77" t="n"/>
      <c r="AA2965" s="75" t="n"/>
      <c r="AB2965" s="75" t="n"/>
      <c r="AC2965" s="6" t="n"/>
      <c r="AD2965" s="75" t="n"/>
      <c r="AE2965" s="75" t="n"/>
      <c r="AF2965" s="75" t="n"/>
    </row>
    <row r="2966" ht="15.75" customHeight="1" s="133">
      <c r="A2966" s="75" t="n"/>
      <c r="B2966" s="75" t="n"/>
      <c r="C2966" s="75" t="n"/>
      <c r="D2966" s="75" t="n"/>
      <c r="E2966" s="76" t="n"/>
      <c r="F2966" s="77" t="n"/>
      <c r="G2966" s="75" t="n"/>
      <c r="H2966" s="75">
        <f>IF(ISBLANK(E2966),"",IF(OR(D2966="Butterfly",D2966="Butterfly ",D2966="Iron Fly", D2966="Iron Fly "),LEN(E2966)-LEN(SUBSTITUTE(E2966,"/",""))+2,LEN(E2966)-LEN(SUBSTITUTE(E2966,"/",""))+1))</f>
        <v/>
      </c>
      <c r="I2966" s="78">
        <f>IF(ISBLANK(G2966),"",IF(D2966="Stock","0",Key!$A$3*H2966*G2966))</f>
        <v/>
      </c>
      <c r="J2966" s="78">
        <f>IF(ISBLANK(E2966),"",IF(ISNUMBER(SEARCH("/",E2966)), IF(LEN(E2966)-LEN(SUBSTITUTE(E2966,"/",""))=1,(RIGHT(E2966,LEN(E2966)-FIND("/",E2966)))-(LEFT(E2966,FIND("/",E2966)-1)),(MID(E2966, SEARCH("/",E2966) + 1, SEARCH("/",E2966, SEARCH("/",E2966)+1) - SEARCH("/",E2966) - 1))-(LEFT(E2966,FIND("/",E2966)-1))), "NA"))</f>
        <v/>
      </c>
      <c r="K2966" s="79">
        <f>IF(A2966&lt;&gt;"", IF(ISBLANK(L2966), TODAY(), K2966), "")</f>
        <v/>
      </c>
      <c r="L2966" s="78" t="n"/>
      <c r="M2966" s="78">
        <f>IF(ISBLANK(L2966),"",IF(D2966="Stock",IF(C2966="Buy",L2966*G2966,IF(C2966="Sell",(L2966*G2966)-I2966, X)),IF(C2966="Buy",(L2966*G2966*100)+I2966,IF(C2966="Sell",(L2966*G2966*100)-I2966, X))))</f>
        <v/>
      </c>
      <c r="N2966" s="78">
        <f>IF(ISBLANK(L2966),"",IF(AND(C2966="Sell",D2966="Stock"),M2966,IF(ISBLANK(L2966),"",IF(C2966="Buy",M2966, IF(AND(C2966="Sell",J2966="NA"),(E2966*G2966*100*0.1)+I2966, IF(C2966="Sell",(J2966-L2966)*(100*G2966)+I2966))))))</f>
        <v/>
      </c>
      <c r="O2966" s="75" t="n"/>
      <c r="P2966" s="75" t="n"/>
      <c r="Q2966" s="75">
        <f>IF(ISBLANK(P2966),"",IF(D2966="Stock",P2966*G2966,IF(P2966=0,"0",G2966*P2966*100-(G2966*$AF$14))))</f>
        <v/>
      </c>
      <c r="R2966" s="79">
        <f>IF(P2966&lt;&gt;"", TODAY(), "")</f>
        <v/>
      </c>
      <c r="S2966" s="78">
        <f>IF(AND(K2966&lt;&gt;"", R2966&lt;&gt;""), R2966-K2966, "")</f>
        <v/>
      </c>
      <c r="T2966" s="78" t="n"/>
      <c r="U2966" s="92">
        <f>IF(ISBLANK(P2966),"",IF(C2966="Buy",Q2966-M2966+T2966, IF(C2966="Sell",M2966-Q2966-T2966, X)))</f>
        <v/>
      </c>
      <c r="V2966" s="81">
        <f>IF(ISBLANK(P2966),"",U2966/N2966)</f>
        <v/>
      </c>
      <c r="W2966" s="81">
        <f>IF(ISBLANK(P2966),"",IF(S2966=0,(365/0.5)*V2966,(365/S2966)*V2966))</f>
        <v/>
      </c>
      <c r="X2966" s="75" t="n"/>
      <c r="Y2966" s="77" t="n"/>
      <c r="Z2966" s="77" t="n"/>
      <c r="AA2966" s="75" t="n"/>
      <c r="AB2966" s="75" t="n"/>
      <c r="AC2966" s="6" t="n"/>
      <c r="AD2966" s="75" t="n"/>
      <c r="AE2966" s="75" t="n"/>
      <c r="AF2966" s="75" t="n"/>
    </row>
    <row r="2967" ht="15.75" customHeight="1" s="133">
      <c r="A2967" s="75" t="n"/>
      <c r="B2967" s="75" t="n"/>
      <c r="C2967" s="75" t="n"/>
      <c r="D2967" s="75" t="n"/>
      <c r="E2967" s="76" t="n"/>
      <c r="F2967" s="77" t="n"/>
      <c r="G2967" s="75" t="n"/>
      <c r="H2967" s="75">
        <f>IF(ISBLANK(E2967),"",IF(OR(D2967="Butterfly",D2967="Butterfly ",D2967="Iron Fly", D2967="Iron Fly "),LEN(E2967)-LEN(SUBSTITUTE(E2967,"/",""))+2,LEN(E2967)-LEN(SUBSTITUTE(E2967,"/",""))+1))</f>
        <v/>
      </c>
      <c r="I2967" s="78">
        <f>IF(ISBLANK(G2967),"",IF(D2967="Stock","0",Key!$A$3*H2967*G2967))</f>
        <v/>
      </c>
      <c r="J2967" s="78">
        <f>IF(ISBLANK(E2967),"",IF(ISNUMBER(SEARCH("/",E2967)), IF(LEN(E2967)-LEN(SUBSTITUTE(E2967,"/",""))=1,(RIGHT(E2967,LEN(E2967)-FIND("/",E2967)))-(LEFT(E2967,FIND("/",E2967)-1)),(MID(E2967, SEARCH("/",E2967) + 1, SEARCH("/",E2967, SEARCH("/",E2967)+1) - SEARCH("/",E2967) - 1))-(LEFT(E2967,FIND("/",E2967)-1))), "NA"))</f>
        <v/>
      </c>
      <c r="K2967" s="79">
        <f>IF(A2967&lt;&gt;"", IF(ISBLANK(L2967), TODAY(), K2967), "")</f>
        <v/>
      </c>
      <c r="L2967" s="78" t="n"/>
      <c r="M2967" s="78">
        <f>IF(ISBLANK(L2967),"",IF(D2967="Stock",IF(C2967="Buy",L2967*G2967,IF(C2967="Sell",(L2967*G2967)-I2967, X)),IF(C2967="Buy",(L2967*G2967*100)+I2967,IF(C2967="Sell",(L2967*G2967*100)-I2967, X))))</f>
        <v/>
      </c>
      <c r="N2967" s="78">
        <f>IF(ISBLANK(L2967),"",IF(AND(C2967="Sell",D2967="Stock"),M2967,IF(ISBLANK(L2967),"",IF(C2967="Buy",M2967, IF(AND(C2967="Sell",J2967="NA"),(E2967*G2967*100*0.1)+I2967, IF(C2967="Sell",(J2967-L2967)*(100*G2967)+I2967))))))</f>
        <v/>
      </c>
      <c r="O2967" s="75" t="n"/>
      <c r="P2967" s="75" t="n"/>
      <c r="Q2967" s="75">
        <f>IF(ISBLANK(P2967),"",IF(D2967="Stock",P2967*G2967,IF(P2967=0,"0",G2967*P2967*100-(G2967*$AF$14))))</f>
        <v/>
      </c>
      <c r="R2967" s="79">
        <f>IF(P2967&lt;&gt;"", TODAY(), "")</f>
        <v/>
      </c>
      <c r="S2967" s="78">
        <f>IF(AND(K2967&lt;&gt;"", R2967&lt;&gt;""), R2967-K2967, "")</f>
        <v/>
      </c>
      <c r="T2967" s="78" t="n"/>
      <c r="U2967" s="92">
        <f>IF(ISBLANK(P2967),"",IF(C2967="Buy",Q2967-M2967+T2967, IF(C2967="Sell",M2967-Q2967-T2967, X)))</f>
        <v/>
      </c>
      <c r="V2967" s="81">
        <f>IF(ISBLANK(P2967),"",U2967/N2967)</f>
        <v/>
      </c>
      <c r="W2967" s="81">
        <f>IF(ISBLANK(P2967),"",IF(S2967=0,(365/0.5)*V2967,(365/S2967)*V2967))</f>
        <v/>
      </c>
      <c r="X2967" s="75" t="n"/>
      <c r="Y2967" s="77" t="n"/>
      <c r="Z2967" s="77" t="n"/>
      <c r="AA2967" s="75" t="n"/>
      <c r="AB2967" s="75" t="n"/>
      <c r="AC2967" s="6" t="n"/>
      <c r="AD2967" s="75" t="n"/>
      <c r="AE2967" s="75" t="n"/>
      <c r="AF2967" s="75" t="n"/>
    </row>
    <row r="2968" ht="15.75" customHeight="1" s="133">
      <c r="A2968" s="75" t="n"/>
      <c r="B2968" s="75" t="n"/>
      <c r="C2968" s="75" t="n"/>
      <c r="D2968" s="75" t="n"/>
      <c r="E2968" s="76" t="n"/>
      <c r="F2968" s="77" t="n"/>
      <c r="G2968" s="75" t="n"/>
      <c r="H2968" s="75">
        <f>IF(ISBLANK(E2968),"",IF(OR(D2968="Butterfly",D2968="Butterfly ",D2968="Iron Fly", D2968="Iron Fly "),LEN(E2968)-LEN(SUBSTITUTE(E2968,"/",""))+2,LEN(E2968)-LEN(SUBSTITUTE(E2968,"/",""))+1))</f>
        <v/>
      </c>
      <c r="I2968" s="78">
        <f>IF(ISBLANK(G2968),"",IF(D2968="Stock","0",Key!$A$3*H2968*G2968))</f>
        <v/>
      </c>
      <c r="J2968" s="78">
        <f>IF(ISBLANK(E2968),"",IF(ISNUMBER(SEARCH("/",E2968)), IF(LEN(E2968)-LEN(SUBSTITUTE(E2968,"/",""))=1,(RIGHT(E2968,LEN(E2968)-FIND("/",E2968)))-(LEFT(E2968,FIND("/",E2968)-1)),(MID(E2968, SEARCH("/",E2968) + 1, SEARCH("/",E2968, SEARCH("/",E2968)+1) - SEARCH("/",E2968) - 1))-(LEFT(E2968,FIND("/",E2968)-1))), "NA"))</f>
        <v/>
      </c>
      <c r="K2968" s="79">
        <f>IF(A2968&lt;&gt;"", IF(ISBLANK(L2968), TODAY(), K2968), "")</f>
        <v/>
      </c>
      <c r="L2968" s="78" t="n"/>
      <c r="M2968" s="78">
        <f>IF(ISBLANK(L2968),"",IF(D2968="Stock",IF(C2968="Buy",L2968*G2968,IF(C2968="Sell",(L2968*G2968)-I2968, X)),IF(C2968="Buy",(L2968*G2968*100)+I2968,IF(C2968="Sell",(L2968*G2968*100)-I2968, X))))</f>
        <v/>
      </c>
      <c r="N2968" s="78">
        <f>IF(ISBLANK(L2968),"",IF(AND(C2968="Sell",D2968="Stock"),M2968,IF(ISBLANK(L2968),"",IF(C2968="Buy",M2968, IF(AND(C2968="Sell",J2968="NA"),(E2968*G2968*100*0.1)+I2968, IF(C2968="Sell",(J2968-L2968)*(100*G2968)+I2968))))))</f>
        <v/>
      </c>
      <c r="O2968" s="75" t="n"/>
      <c r="P2968" s="75" t="n"/>
      <c r="Q2968" s="75">
        <f>IF(ISBLANK(P2968),"",IF(D2968="Stock",P2968*G2968,IF(P2968=0,"0",G2968*P2968*100-(G2968*$AF$14))))</f>
        <v/>
      </c>
      <c r="R2968" s="79">
        <f>IF(P2968&lt;&gt;"", TODAY(), "")</f>
        <v/>
      </c>
      <c r="S2968" s="78">
        <f>IF(AND(K2968&lt;&gt;"", R2968&lt;&gt;""), R2968-K2968, "")</f>
        <v/>
      </c>
      <c r="T2968" s="78" t="n"/>
      <c r="U2968" s="92">
        <f>IF(ISBLANK(P2968),"",IF(C2968="Buy",Q2968-M2968+T2968, IF(C2968="Sell",M2968-Q2968-T2968, X)))</f>
        <v/>
      </c>
      <c r="V2968" s="81">
        <f>IF(ISBLANK(P2968),"",U2968/N2968)</f>
        <v/>
      </c>
      <c r="W2968" s="81">
        <f>IF(ISBLANK(P2968),"",IF(S2968=0,(365/0.5)*V2968,(365/S2968)*V2968))</f>
        <v/>
      </c>
      <c r="X2968" s="75" t="n"/>
      <c r="Y2968" s="77" t="n"/>
      <c r="Z2968" s="77" t="n"/>
      <c r="AA2968" s="75" t="n"/>
      <c r="AB2968" s="75" t="n"/>
      <c r="AC2968" s="6" t="n"/>
      <c r="AD2968" s="75" t="n"/>
      <c r="AE2968" s="75" t="n"/>
      <c r="AF2968" s="75" t="n"/>
    </row>
    <row r="2969" ht="15.75" customHeight="1" s="133">
      <c r="A2969" s="75" t="n"/>
      <c r="B2969" s="75" t="n"/>
      <c r="C2969" s="75" t="n"/>
      <c r="D2969" s="75" t="n"/>
      <c r="E2969" s="76" t="n"/>
      <c r="F2969" s="77" t="n"/>
      <c r="G2969" s="75" t="n"/>
      <c r="H2969" s="75">
        <f>IF(ISBLANK(E2969),"",IF(OR(D2969="Butterfly",D2969="Butterfly ",D2969="Iron Fly", D2969="Iron Fly "),LEN(E2969)-LEN(SUBSTITUTE(E2969,"/",""))+2,LEN(E2969)-LEN(SUBSTITUTE(E2969,"/",""))+1))</f>
        <v/>
      </c>
      <c r="I2969" s="78">
        <f>IF(ISBLANK(G2969),"",IF(D2969="Stock","0",Key!$A$3*H2969*G2969))</f>
        <v/>
      </c>
      <c r="J2969" s="78">
        <f>IF(ISBLANK(E2969),"",IF(ISNUMBER(SEARCH("/",E2969)), IF(LEN(E2969)-LEN(SUBSTITUTE(E2969,"/",""))=1,(RIGHT(E2969,LEN(E2969)-FIND("/",E2969)))-(LEFT(E2969,FIND("/",E2969)-1)),(MID(E2969, SEARCH("/",E2969) + 1, SEARCH("/",E2969, SEARCH("/",E2969)+1) - SEARCH("/",E2969) - 1))-(LEFT(E2969,FIND("/",E2969)-1))), "NA"))</f>
        <v/>
      </c>
      <c r="K2969" s="79">
        <f>IF(A2969&lt;&gt;"", IF(ISBLANK(L2969), TODAY(), K2969), "")</f>
        <v/>
      </c>
      <c r="L2969" s="78" t="n"/>
      <c r="M2969" s="78">
        <f>IF(ISBLANK(L2969),"",IF(D2969="Stock",IF(C2969="Buy",L2969*G2969,IF(C2969="Sell",(L2969*G2969)-I2969, X)),IF(C2969="Buy",(L2969*G2969*100)+I2969,IF(C2969="Sell",(L2969*G2969*100)-I2969, X))))</f>
        <v/>
      </c>
      <c r="N2969" s="78">
        <f>IF(ISBLANK(L2969),"",IF(AND(C2969="Sell",D2969="Stock"),M2969,IF(ISBLANK(L2969),"",IF(C2969="Buy",M2969, IF(AND(C2969="Sell",J2969="NA"),(E2969*G2969*100*0.1)+I2969, IF(C2969="Sell",(J2969-L2969)*(100*G2969)+I2969))))))</f>
        <v/>
      </c>
      <c r="O2969" s="75" t="n"/>
      <c r="P2969" s="75" t="n"/>
      <c r="Q2969" s="75">
        <f>IF(ISBLANK(P2969),"",IF(D2969="Stock",P2969*G2969,IF(P2969=0,"0",G2969*P2969*100-(G2969*$AF$14))))</f>
        <v/>
      </c>
      <c r="R2969" s="79">
        <f>IF(P2969&lt;&gt;"", TODAY(), "")</f>
        <v/>
      </c>
      <c r="S2969" s="78">
        <f>IF(AND(K2969&lt;&gt;"", R2969&lt;&gt;""), R2969-K2969, "")</f>
        <v/>
      </c>
      <c r="T2969" s="78" t="n"/>
      <c r="U2969" s="92">
        <f>IF(ISBLANK(P2969),"",IF(C2969="Buy",Q2969-M2969+T2969, IF(C2969="Sell",M2969-Q2969-T2969, X)))</f>
        <v/>
      </c>
      <c r="V2969" s="81">
        <f>IF(ISBLANK(P2969),"",U2969/N2969)</f>
        <v/>
      </c>
      <c r="W2969" s="81">
        <f>IF(ISBLANK(P2969),"",IF(S2969=0,(365/0.5)*V2969,(365/S2969)*V2969))</f>
        <v/>
      </c>
      <c r="X2969" s="75" t="n"/>
      <c r="Y2969" s="77" t="n"/>
      <c r="Z2969" s="77" t="n"/>
      <c r="AA2969" s="75" t="n"/>
      <c r="AB2969" s="75" t="n"/>
      <c r="AC2969" s="6" t="n"/>
      <c r="AD2969" s="75" t="n"/>
      <c r="AE2969" s="75" t="n"/>
      <c r="AF2969" s="75" t="n"/>
    </row>
    <row r="2970" ht="15.75" customHeight="1" s="133">
      <c r="A2970" s="75" t="n"/>
      <c r="B2970" s="75" t="n"/>
      <c r="C2970" s="75" t="n"/>
      <c r="D2970" s="75" t="n"/>
      <c r="E2970" s="76" t="n"/>
      <c r="F2970" s="77" t="n"/>
      <c r="G2970" s="75" t="n"/>
      <c r="H2970" s="75">
        <f>IF(ISBLANK(E2970),"",IF(OR(D2970="Butterfly",D2970="Butterfly ",D2970="Iron Fly", D2970="Iron Fly "),LEN(E2970)-LEN(SUBSTITUTE(E2970,"/",""))+2,LEN(E2970)-LEN(SUBSTITUTE(E2970,"/",""))+1))</f>
        <v/>
      </c>
      <c r="I2970" s="78">
        <f>IF(ISBLANK(G2970),"",IF(D2970="Stock","0",Key!$A$3*H2970*G2970))</f>
        <v/>
      </c>
      <c r="J2970" s="78">
        <f>IF(ISBLANK(E2970),"",IF(ISNUMBER(SEARCH("/",E2970)), IF(LEN(E2970)-LEN(SUBSTITUTE(E2970,"/",""))=1,(RIGHT(E2970,LEN(E2970)-FIND("/",E2970)))-(LEFT(E2970,FIND("/",E2970)-1)),(MID(E2970, SEARCH("/",E2970) + 1, SEARCH("/",E2970, SEARCH("/",E2970)+1) - SEARCH("/",E2970) - 1))-(LEFT(E2970,FIND("/",E2970)-1))), "NA"))</f>
        <v/>
      </c>
      <c r="K2970" s="79">
        <f>IF(A2970&lt;&gt;"", IF(ISBLANK(L2970), TODAY(), K2970), "")</f>
        <v/>
      </c>
      <c r="L2970" s="78" t="n"/>
      <c r="M2970" s="78">
        <f>IF(ISBLANK(L2970),"",IF(D2970="Stock",IF(C2970="Buy",L2970*G2970,IF(C2970="Sell",(L2970*G2970)-I2970, X)),IF(C2970="Buy",(L2970*G2970*100)+I2970,IF(C2970="Sell",(L2970*G2970*100)-I2970, X))))</f>
        <v/>
      </c>
      <c r="N2970" s="78">
        <f>IF(ISBLANK(L2970),"",IF(AND(C2970="Sell",D2970="Stock"),M2970,IF(ISBLANK(L2970),"",IF(C2970="Buy",M2970, IF(AND(C2970="Sell",J2970="NA"),(E2970*G2970*100*0.1)+I2970, IF(C2970="Sell",(J2970-L2970)*(100*G2970)+I2970))))))</f>
        <v/>
      </c>
      <c r="O2970" s="75" t="n"/>
      <c r="P2970" s="75" t="n"/>
      <c r="Q2970" s="75">
        <f>IF(ISBLANK(P2970),"",IF(D2970="Stock",P2970*G2970,IF(P2970=0,"0",G2970*P2970*100-(G2970*$AF$14))))</f>
        <v/>
      </c>
      <c r="R2970" s="79">
        <f>IF(P2970&lt;&gt;"", TODAY(), "")</f>
        <v/>
      </c>
      <c r="S2970" s="78">
        <f>IF(AND(K2970&lt;&gt;"", R2970&lt;&gt;""), R2970-K2970, "")</f>
        <v/>
      </c>
      <c r="T2970" s="78" t="n"/>
      <c r="U2970" s="92">
        <f>IF(ISBLANK(P2970),"",IF(C2970="Buy",Q2970-M2970+T2970, IF(C2970="Sell",M2970-Q2970-T2970, X)))</f>
        <v/>
      </c>
      <c r="V2970" s="81">
        <f>IF(ISBLANK(P2970),"",U2970/N2970)</f>
        <v/>
      </c>
      <c r="W2970" s="81">
        <f>IF(ISBLANK(P2970),"",IF(S2970=0,(365/0.5)*V2970,(365/S2970)*V2970))</f>
        <v/>
      </c>
      <c r="X2970" s="75" t="n"/>
      <c r="Y2970" s="77" t="n"/>
      <c r="Z2970" s="77" t="n"/>
      <c r="AA2970" s="75" t="n"/>
      <c r="AB2970" s="75" t="n"/>
      <c r="AC2970" s="6" t="n"/>
      <c r="AD2970" s="75" t="n"/>
      <c r="AE2970" s="75" t="n"/>
      <c r="AF2970" s="75" t="n"/>
    </row>
    <row r="2971" ht="15.75" customHeight="1" s="133">
      <c r="A2971" s="75" t="n"/>
      <c r="B2971" s="75" t="n"/>
      <c r="C2971" s="75" t="n"/>
      <c r="D2971" s="75" t="n"/>
      <c r="E2971" s="76" t="n"/>
      <c r="F2971" s="77" t="n"/>
      <c r="G2971" s="75" t="n"/>
      <c r="H2971" s="75">
        <f>IF(ISBLANK(E2971),"",IF(OR(D2971="Butterfly",D2971="Butterfly ",D2971="Iron Fly", D2971="Iron Fly "),LEN(E2971)-LEN(SUBSTITUTE(E2971,"/",""))+2,LEN(E2971)-LEN(SUBSTITUTE(E2971,"/",""))+1))</f>
        <v/>
      </c>
      <c r="I2971" s="78">
        <f>IF(ISBLANK(G2971),"",IF(D2971="Stock","0",Key!$A$3*H2971*G2971))</f>
        <v/>
      </c>
      <c r="J2971" s="78">
        <f>IF(ISBLANK(E2971),"",IF(ISNUMBER(SEARCH("/",E2971)), IF(LEN(E2971)-LEN(SUBSTITUTE(E2971,"/",""))=1,(RIGHT(E2971,LEN(E2971)-FIND("/",E2971)))-(LEFT(E2971,FIND("/",E2971)-1)),(MID(E2971, SEARCH("/",E2971) + 1, SEARCH("/",E2971, SEARCH("/",E2971)+1) - SEARCH("/",E2971) - 1))-(LEFT(E2971,FIND("/",E2971)-1))), "NA"))</f>
        <v/>
      </c>
      <c r="K2971" s="79">
        <f>IF(A2971&lt;&gt;"", IF(ISBLANK(L2971), TODAY(), K2971), "")</f>
        <v/>
      </c>
      <c r="L2971" s="78" t="n"/>
      <c r="M2971" s="78">
        <f>IF(ISBLANK(L2971),"",IF(D2971="Stock",IF(C2971="Buy",L2971*G2971,IF(C2971="Sell",(L2971*G2971)-I2971, X)),IF(C2971="Buy",(L2971*G2971*100)+I2971,IF(C2971="Sell",(L2971*G2971*100)-I2971, X))))</f>
        <v/>
      </c>
      <c r="N2971" s="78">
        <f>IF(ISBLANK(L2971),"",IF(AND(C2971="Sell",D2971="Stock"),M2971,IF(ISBLANK(L2971),"",IF(C2971="Buy",M2971, IF(AND(C2971="Sell",J2971="NA"),(E2971*G2971*100*0.1)+I2971, IF(C2971="Sell",(J2971-L2971)*(100*G2971)+I2971))))))</f>
        <v/>
      </c>
      <c r="O2971" s="75" t="n"/>
      <c r="P2971" s="75" t="n"/>
      <c r="Q2971" s="75">
        <f>IF(ISBLANK(P2971),"",IF(D2971="Stock",P2971*G2971,IF(P2971=0,"0",G2971*P2971*100-(G2971*$AF$14))))</f>
        <v/>
      </c>
      <c r="R2971" s="79">
        <f>IF(P2971&lt;&gt;"", TODAY(), "")</f>
        <v/>
      </c>
      <c r="S2971" s="78">
        <f>IF(AND(K2971&lt;&gt;"", R2971&lt;&gt;""), R2971-K2971, "")</f>
        <v/>
      </c>
      <c r="T2971" s="78" t="n"/>
      <c r="U2971" s="92">
        <f>IF(ISBLANK(P2971),"",IF(C2971="Buy",Q2971-M2971+T2971, IF(C2971="Sell",M2971-Q2971-T2971, X)))</f>
        <v/>
      </c>
      <c r="V2971" s="81">
        <f>IF(ISBLANK(P2971),"",U2971/N2971)</f>
        <v/>
      </c>
      <c r="W2971" s="81">
        <f>IF(ISBLANK(P2971),"",IF(S2971=0,(365/0.5)*V2971,(365/S2971)*V2971))</f>
        <v/>
      </c>
      <c r="X2971" s="75" t="n"/>
      <c r="Y2971" s="77" t="n"/>
      <c r="Z2971" s="77" t="n"/>
      <c r="AA2971" s="75" t="n"/>
      <c r="AB2971" s="75" t="n"/>
      <c r="AC2971" s="6" t="n"/>
      <c r="AD2971" s="75" t="n"/>
      <c r="AE2971" s="75" t="n"/>
      <c r="AF2971" s="75" t="n"/>
    </row>
    <row r="2972" ht="15.75" customHeight="1" s="133">
      <c r="A2972" s="75" t="n"/>
      <c r="B2972" s="75" t="n"/>
      <c r="C2972" s="75" t="n"/>
      <c r="D2972" s="75" t="n"/>
      <c r="E2972" s="76" t="n"/>
      <c r="F2972" s="77" t="n"/>
      <c r="G2972" s="75" t="n"/>
      <c r="H2972" s="75">
        <f>IF(ISBLANK(E2972),"",IF(OR(D2972="Butterfly",D2972="Butterfly ",D2972="Iron Fly", D2972="Iron Fly "),LEN(E2972)-LEN(SUBSTITUTE(E2972,"/",""))+2,LEN(E2972)-LEN(SUBSTITUTE(E2972,"/",""))+1))</f>
        <v/>
      </c>
      <c r="I2972" s="78">
        <f>IF(ISBLANK(G2972),"",IF(D2972="Stock","0",Key!$A$3*H2972*G2972))</f>
        <v/>
      </c>
      <c r="J2972" s="78">
        <f>IF(ISBLANK(E2972),"",IF(ISNUMBER(SEARCH("/",E2972)), IF(LEN(E2972)-LEN(SUBSTITUTE(E2972,"/",""))=1,(RIGHT(E2972,LEN(E2972)-FIND("/",E2972)))-(LEFT(E2972,FIND("/",E2972)-1)),(MID(E2972, SEARCH("/",E2972) + 1, SEARCH("/",E2972, SEARCH("/",E2972)+1) - SEARCH("/",E2972) - 1))-(LEFT(E2972,FIND("/",E2972)-1))), "NA"))</f>
        <v/>
      </c>
      <c r="K2972" s="79">
        <f>IF(A2972&lt;&gt;"", IF(ISBLANK(L2972), TODAY(), K2972), "")</f>
        <v/>
      </c>
      <c r="L2972" s="78" t="n"/>
      <c r="M2972" s="78">
        <f>IF(ISBLANK(L2972),"",IF(D2972="Stock",IF(C2972="Buy",L2972*G2972,IF(C2972="Sell",(L2972*G2972)-I2972, X)),IF(C2972="Buy",(L2972*G2972*100)+I2972,IF(C2972="Sell",(L2972*G2972*100)-I2972, X))))</f>
        <v/>
      </c>
      <c r="N2972" s="78">
        <f>IF(ISBLANK(L2972),"",IF(AND(C2972="Sell",D2972="Stock"),M2972,IF(ISBLANK(L2972),"",IF(C2972="Buy",M2972, IF(AND(C2972="Sell",J2972="NA"),(E2972*G2972*100*0.1)+I2972, IF(C2972="Sell",(J2972-L2972)*(100*G2972)+I2972))))))</f>
        <v/>
      </c>
      <c r="O2972" s="75" t="n"/>
      <c r="P2972" s="75" t="n"/>
      <c r="Q2972" s="75">
        <f>IF(ISBLANK(P2972),"",IF(D2972="Stock",P2972*G2972,IF(P2972=0,"0",G2972*P2972*100-(G2972*$AF$14))))</f>
        <v/>
      </c>
      <c r="R2972" s="79">
        <f>IF(P2972&lt;&gt;"", TODAY(), "")</f>
        <v/>
      </c>
      <c r="S2972" s="78">
        <f>IF(AND(K2972&lt;&gt;"", R2972&lt;&gt;""), R2972-K2972, "")</f>
        <v/>
      </c>
      <c r="T2972" s="78" t="n"/>
      <c r="U2972" s="92">
        <f>IF(ISBLANK(P2972),"",IF(C2972="Buy",Q2972-M2972+T2972, IF(C2972="Sell",M2972-Q2972-T2972, X)))</f>
        <v/>
      </c>
      <c r="V2972" s="81">
        <f>IF(ISBLANK(P2972),"",U2972/N2972)</f>
        <v/>
      </c>
      <c r="W2972" s="81">
        <f>IF(ISBLANK(P2972),"",IF(S2972=0,(365/0.5)*V2972,(365/S2972)*V2972))</f>
        <v/>
      </c>
      <c r="X2972" s="75" t="n"/>
      <c r="Y2972" s="77" t="n"/>
      <c r="Z2972" s="77" t="n"/>
      <c r="AA2972" s="75" t="n"/>
      <c r="AB2972" s="75" t="n"/>
      <c r="AC2972" s="6" t="n"/>
      <c r="AD2972" s="75" t="n"/>
      <c r="AE2972" s="75" t="n"/>
      <c r="AF2972" s="75" t="n"/>
    </row>
    <row r="2973" ht="15.75" customHeight="1" s="133">
      <c r="A2973" s="75" t="n"/>
      <c r="B2973" s="75" t="n"/>
      <c r="C2973" s="75" t="n"/>
      <c r="D2973" s="75" t="n"/>
      <c r="E2973" s="76" t="n"/>
      <c r="F2973" s="77" t="n"/>
      <c r="G2973" s="75" t="n"/>
      <c r="H2973" s="75">
        <f>IF(ISBLANK(E2973),"",IF(OR(D2973="Butterfly",D2973="Butterfly ",D2973="Iron Fly", D2973="Iron Fly "),LEN(E2973)-LEN(SUBSTITUTE(E2973,"/",""))+2,LEN(E2973)-LEN(SUBSTITUTE(E2973,"/",""))+1))</f>
        <v/>
      </c>
      <c r="I2973" s="78">
        <f>IF(ISBLANK(G2973),"",IF(D2973="Stock","0",Key!$A$3*H2973*G2973))</f>
        <v/>
      </c>
      <c r="J2973" s="78">
        <f>IF(ISBLANK(E2973),"",IF(ISNUMBER(SEARCH("/",E2973)), IF(LEN(E2973)-LEN(SUBSTITUTE(E2973,"/",""))=1,(RIGHT(E2973,LEN(E2973)-FIND("/",E2973)))-(LEFT(E2973,FIND("/",E2973)-1)),(MID(E2973, SEARCH("/",E2973) + 1, SEARCH("/",E2973, SEARCH("/",E2973)+1) - SEARCH("/",E2973) - 1))-(LEFT(E2973,FIND("/",E2973)-1))), "NA"))</f>
        <v/>
      </c>
      <c r="K2973" s="79">
        <f>IF(A2973&lt;&gt;"", IF(ISBLANK(L2973), TODAY(), K2973), "")</f>
        <v/>
      </c>
      <c r="L2973" s="78" t="n"/>
      <c r="M2973" s="78">
        <f>IF(ISBLANK(L2973),"",IF(D2973="Stock",IF(C2973="Buy",L2973*G2973,IF(C2973="Sell",(L2973*G2973)-I2973, X)),IF(C2973="Buy",(L2973*G2973*100)+I2973,IF(C2973="Sell",(L2973*G2973*100)-I2973, X))))</f>
        <v/>
      </c>
      <c r="N2973" s="78">
        <f>IF(ISBLANK(L2973),"",IF(AND(C2973="Sell",D2973="Stock"),M2973,IF(ISBLANK(L2973),"",IF(C2973="Buy",M2973, IF(AND(C2973="Sell",J2973="NA"),(E2973*G2973*100*0.1)+I2973, IF(C2973="Sell",(J2973-L2973)*(100*G2973)+I2973))))))</f>
        <v/>
      </c>
      <c r="O2973" s="75" t="n"/>
      <c r="P2973" s="75" t="n"/>
      <c r="Q2973" s="75">
        <f>IF(ISBLANK(P2973),"",IF(D2973="Stock",P2973*G2973,IF(P2973=0,"0",G2973*P2973*100-(G2973*$AF$14))))</f>
        <v/>
      </c>
      <c r="R2973" s="79">
        <f>IF(P2973&lt;&gt;"", TODAY(), "")</f>
        <v/>
      </c>
      <c r="S2973" s="78">
        <f>IF(AND(K2973&lt;&gt;"", R2973&lt;&gt;""), R2973-K2973, "")</f>
        <v/>
      </c>
      <c r="T2973" s="78" t="n"/>
      <c r="U2973" s="92">
        <f>IF(ISBLANK(P2973),"",IF(C2973="Buy",Q2973-M2973+T2973, IF(C2973="Sell",M2973-Q2973-T2973, X)))</f>
        <v/>
      </c>
      <c r="V2973" s="81">
        <f>IF(ISBLANK(P2973),"",U2973/N2973)</f>
        <v/>
      </c>
      <c r="W2973" s="81">
        <f>IF(ISBLANK(P2973),"",IF(S2973=0,(365/0.5)*V2973,(365/S2973)*V2973))</f>
        <v/>
      </c>
      <c r="X2973" s="75" t="n"/>
      <c r="Y2973" s="77" t="n"/>
      <c r="Z2973" s="77" t="n"/>
      <c r="AA2973" s="75" t="n"/>
      <c r="AB2973" s="75" t="n"/>
      <c r="AC2973" s="6" t="n"/>
      <c r="AD2973" s="75" t="n"/>
      <c r="AE2973" s="75" t="n"/>
      <c r="AF2973" s="75" t="n"/>
    </row>
    <row r="2974" ht="15.75" customHeight="1" s="133">
      <c r="A2974" s="75" t="n"/>
      <c r="B2974" s="75" t="n"/>
      <c r="C2974" s="75" t="n"/>
      <c r="D2974" s="75" t="n"/>
      <c r="E2974" s="76" t="n"/>
      <c r="F2974" s="77" t="n"/>
      <c r="G2974" s="75" t="n"/>
      <c r="H2974" s="75">
        <f>IF(ISBLANK(E2974),"",IF(OR(D2974="Butterfly",D2974="Butterfly ",D2974="Iron Fly", D2974="Iron Fly "),LEN(E2974)-LEN(SUBSTITUTE(E2974,"/",""))+2,LEN(E2974)-LEN(SUBSTITUTE(E2974,"/",""))+1))</f>
        <v/>
      </c>
      <c r="I2974" s="78">
        <f>IF(ISBLANK(G2974),"",IF(D2974="Stock","0",Key!$A$3*H2974*G2974))</f>
        <v/>
      </c>
      <c r="J2974" s="78">
        <f>IF(ISBLANK(E2974),"",IF(ISNUMBER(SEARCH("/",E2974)), IF(LEN(E2974)-LEN(SUBSTITUTE(E2974,"/",""))=1,(RIGHT(E2974,LEN(E2974)-FIND("/",E2974)))-(LEFT(E2974,FIND("/",E2974)-1)),(MID(E2974, SEARCH("/",E2974) + 1, SEARCH("/",E2974, SEARCH("/",E2974)+1) - SEARCH("/",E2974) - 1))-(LEFT(E2974,FIND("/",E2974)-1))), "NA"))</f>
        <v/>
      </c>
      <c r="K2974" s="79">
        <f>IF(A2974&lt;&gt;"", IF(ISBLANK(L2974), TODAY(), K2974), "")</f>
        <v/>
      </c>
      <c r="L2974" s="78" t="n"/>
      <c r="M2974" s="78">
        <f>IF(ISBLANK(L2974),"",IF(D2974="Stock",IF(C2974="Buy",L2974*G2974,IF(C2974="Sell",(L2974*G2974)-I2974, X)),IF(C2974="Buy",(L2974*G2974*100)+I2974,IF(C2974="Sell",(L2974*G2974*100)-I2974, X))))</f>
        <v/>
      </c>
      <c r="N2974" s="78">
        <f>IF(ISBLANK(L2974),"",IF(AND(C2974="Sell",D2974="Stock"),M2974,IF(ISBLANK(L2974),"",IF(C2974="Buy",M2974, IF(AND(C2974="Sell",J2974="NA"),(E2974*G2974*100*0.1)+I2974, IF(C2974="Sell",(J2974-L2974)*(100*G2974)+I2974))))))</f>
        <v/>
      </c>
      <c r="O2974" s="75" t="n"/>
      <c r="P2974" s="75" t="n"/>
      <c r="Q2974" s="75">
        <f>IF(ISBLANK(P2974),"",IF(D2974="Stock",P2974*G2974,IF(P2974=0,"0",G2974*P2974*100-(G2974*$AF$14))))</f>
        <v/>
      </c>
      <c r="R2974" s="79">
        <f>IF(P2974&lt;&gt;"", TODAY(), "")</f>
        <v/>
      </c>
      <c r="S2974" s="78">
        <f>IF(AND(K2974&lt;&gt;"", R2974&lt;&gt;""), R2974-K2974, "")</f>
        <v/>
      </c>
      <c r="T2974" s="78" t="n"/>
      <c r="U2974" s="92">
        <f>IF(ISBLANK(P2974),"",IF(C2974="Buy",Q2974-M2974+T2974, IF(C2974="Sell",M2974-Q2974-T2974, X)))</f>
        <v/>
      </c>
      <c r="V2974" s="81">
        <f>IF(ISBLANK(P2974),"",U2974/N2974)</f>
        <v/>
      </c>
      <c r="W2974" s="81">
        <f>IF(ISBLANK(P2974),"",IF(S2974=0,(365/0.5)*V2974,(365/S2974)*V2974))</f>
        <v/>
      </c>
      <c r="X2974" s="75" t="n"/>
      <c r="Y2974" s="77" t="n"/>
      <c r="Z2974" s="77" t="n"/>
      <c r="AA2974" s="75" t="n"/>
      <c r="AB2974" s="75" t="n"/>
      <c r="AC2974" s="6" t="n"/>
      <c r="AD2974" s="75" t="n"/>
      <c r="AE2974" s="75" t="n"/>
      <c r="AF2974" s="75" t="n"/>
    </row>
    <row r="2975" ht="15.75" customHeight="1" s="133">
      <c r="A2975" s="75" t="n"/>
      <c r="B2975" s="75" t="n"/>
      <c r="C2975" s="75" t="n"/>
      <c r="D2975" s="75" t="n"/>
      <c r="E2975" s="76" t="n"/>
      <c r="F2975" s="77" t="n"/>
      <c r="G2975" s="75" t="n"/>
      <c r="H2975" s="75">
        <f>IF(ISBLANK(E2975),"",IF(OR(D2975="Butterfly",D2975="Butterfly ",D2975="Iron Fly", D2975="Iron Fly "),LEN(E2975)-LEN(SUBSTITUTE(E2975,"/",""))+2,LEN(E2975)-LEN(SUBSTITUTE(E2975,"/",""))+1))</f>
        <v/>
      </c>
      <c r="I2975" s="78">
        <f>IF(ISBLANK(G2975),"",IF(D2975="Stock","0",Key!$A$3*H2975*G2975))</f>
        <v/>
      </c>
      <c r="J2975" s="78">
        <f>IF(ISBLANK(E2975),"",IF(ISNUMBER(SEARCH("/",E2975)), IF(LEN(E2975)-LEN(SUBSTITUTE(E2975,"/",""))=1,(RIGHT(E2975,LEN(E2975)-FIND("/",E2975)))-(LEFT(E2975,FIND("/",E2975)-1)),(MID(E2975, SEARCH("/",E2975) + 1, SEARCH("/",E2975, SEARCH("/",E2975)+1) - SEARCH("/",E2975) - 1))-(LEFT(E2975,FIND("/",E2975)-1))), "NA"))</f>
        <v/>
      </c>
      <c r="K2975" s="79">
        <f>IF(A2975&lt;&gt;"", IF(ISBLANK(L2975), TODAY(), K2975), "")</f>
        <v/>
      </c>
      <c r="L2975" s="78" t="n"/>
      <c r="M2975" s="78">
        <f>IF(ISBLANK(L2975),"",IF(D2975="Stock",IF(C2975="Buy",L2975*G2975,IF(C2975="Sell",(L2975*G2975)-I2975, X)),IF(C2975="Buy",(L2975*G2975*100)+I2975,IF(C2975="Sell",(L2975*G2975*100)-I2975, X))))</f>
        <v/>
      </c>
      <c r="N2975" s="78">
        <f>IF(ISBLANK(L2975),"",IF(AND(C2975="Sell",D2975="Stock"),M2975,IF(ISBLANK(L2975),"",IF(C2975="Buy",M2975, IF(AND(C2975="Sell",J2975="NA"),(E2975*G2975*100*0.1)+I2975, IF(C2975="Sell",(J2975-L2975)*(100*G2975)+I2975))))))</f>
        <v/>
      </c>
      <c r="O2975" s="75" t="n"/>
      <c r="P2975" s="75" t="n"/>
      <c r="Q2975" s="75">
        <f>IF(ISBLANK(P2975),"",IF(D2975="Stock",P2975*G2975,IF(P2975=0,"0",G2975*P2975*100-(G2975*$AF$14))))</f>
        <v/>
      </c>
      <c r="R2975" s="79">
        <f>IF(P2975&lt;&gt;"", TODAY(), "")</f>
        <v/>
      </c>
      <c r="S2975" s="78">
        <f>IF(AND(K2975&lt;&gt;"", R2975&lt;&gt;""), R2975-K2975, "")</f>
        <v/>
      </c>
      <c r="T2975" s="78" t="n"/>
      <c r="U2975" s="92">
        <f>IF(ISBLANK(P2975),"",IF(C2975="Buy",Q2975-M2975+T2975, IF(C2975="Sell",M2975-Q2975-T2975, X)))</f>
        <v/>
      </c>
      <c r="V2975" s="81">
        <f>IF(ISBLANK(P2975),"",U2975/N2975)</f>
        <v/>
      </c>
      <c r="W2975" s="81">
        <f>IF(ISBLANK(P2975),"",IF(S2975=0,(365/0.5)*V2975,(365/S2975)*V2975))</f>
        <v/>
      </c>
      <c r="X2975" s="75" t="n"/>
      <c r="Y2975" s="77" t="n"/>
      <c r="Z2975" s="77" t="n"/>
      <c r="AA2975" s="75" t="n"/>
      <c r="AB2975" s="75" t="n"/>
      <c r="AC2975" s="6" t="n"/>
      <c r="AD2975" s="75" t="n"/>
      <c r="AE2975" s="75" t="n"/>
      <c r="AF2975" s="75" t="n"/>
    </row>
    <row r="2976" ht="15.75" customHeight="1" s="133">
      <c r="A2976" s="75" t="n"/>
      <c r="B2976" s="75" t="n"/>
      <c r="C2976" s="75" t="n"/>
      <c r="D2976" s="75" t="n"/>
      <c r="E2976" s="76" t="n"/>
      <c r="F2976" s="77" t="n"/>
      <c r="G2976" s="75" t="n"/>
      <c r="H2976" s="75">
        <f>IF(ISBLANK(E2976),"",IF(OR(D2976="Butterfly",D2976="Butterfly ",D2976="Iron Fly", D2976="Iron Fly "),LEN(E2976)-LEN(SUBSTITUTE(E2976,"/",""))+2,LEN(E2976)-LEN(SUBSTITUTE(E2976,"/",""))+1))</f>
        <v/>
      </c>
      <c r="I2976" s="78">
        <f>IF(ISBLANK(G2976),"",IF(D2976="Stock","0",Key!$A$3*H2976*G2976))</f>
        <v/>
      </c>
      <c r="J2976" s="78">
        <f>IF(ISBLANK(E2976),"",IF(ISNUMBER(SEARCH("/",E2976)), IF(LEN(E2976)-LEN(SUBSTITUTE(E2976,"/",""))=1,(RIGHT(E2976,LEN(E2976)-FIND("/",E2976)))-(LEFT(E2976,FIND("/",E2976)-1)),(MID(E2976, SEARCH("/",E2976) + 1, SEARCH("/",E2976, SEARCH("/",E2976)+1) - SEARCH("/",E2976) - 1))-(LEFT(E2976,FIND("/",E2976)-1))), "NA"))</f>
        <v/>
      </c>
      <c r="K2976" s="79">
        <f>IF(A2976&lt;&gt;"", IF(ISBLANK(L2976), TODAY(), K2976), "")</f>
        <v/>
      </c>
      <c r="L2976" s="78" t="n"/>
      <c r="M2976" s="78">
        <f>IF(ISBLANK(L2976),"",IF(D2976="Stock",IF(C2976="Buy",L2976*G2976,IF(C2976="Sell",(L2976*G2976)-I2976, X)),IF(C2976="Buy",(L2976*G2976*100)+I2976,IF(C2976="Sell",(L2976*G2976*100)-I2976, X))))</f>
        <v/>
      </c>
      <c r="N2976" s="78">
        <f>IF(ISBLANK(L2976),"",IF(AND(C2976="Sell",D2976="Stock"),M2976,IF(ISBLANK(L2976),"",IF(C2976="Buy",M2976, IF(AND(C2976="Sell",J2976="NA"),(E2976*G2976*100*0.1)+I2976, IF(C2976="Sell",(J2976-L2976)*(100*G2976)+I2976))))))</f>
        <v/>
      </c>
      <c r="O2976" s="75" t="n"/>
      <c r="P2976" s="75" t="n"/>
      <c r="Q2976" s="75">
        <f>IF(ISBLANK(P2976),"",IF(D2976="Stock",P2976*G2976,IF(P2976=0,"0",G2976*P2976*100-(G2976*$AF$14))))</f>
        <v/>
      </c>
      <c r="R2976" s="79">
        <f>IF(P2976&lt;&gt;"", TODAY(), "")</f>
        <v/>
      </c>
      <c r="S2976" s="78">
        <f>IF(AND(K2976&lt;&gt;"", R2976&lt;&gt;""), R2976-K2976, "")</f>
        <v/>
      </c>
      <c r="T2976" s="78" t="n"/>
      <c r="U2976" s="92">
        <f>IF(ISBLANK(P2976),"",IF(C2976="Buy",Q2976-M2976+T2976, IF(C2976="Sell",M2976-Q2976-T2976, X)))</f>
        <v/>
      </c>
      <c r="V2976" s="81">
        <f>IF(ISBLANK(P2976),"",U2976/N2976)</f>
        <v/>
      </c>
      <c r="W2976" s="81">
        <f>IF(ISBLANK(P2976),"",IF(S2976=0,(365/0.5)*V2976,(365/S2976)*V2976))</f>
        <v/>
      </c>
      <c r="X2976" s="75" t="n"/>
      <c r="Y2976" s="77" t="n"/>
      <c r="Z2976" s="77" t="n"/>
      <c r="AA2976" s="75" t="n"/>
      <c r="AB2976" s="75" t="n"/>
      <c r="AC2976" s="6" t="n"/>
      <c r="AD2976" s="75" t="n"/>
      <c r="AE2976" s="75" t="n"/>
      <c r="AF2976" s="75" t="n"/>
    </row>
    <row r="2977" ht="15.75" customHeight="1" s="133">
      <c r="A2977" s="75" t="n"/>
      <c r="B2977" s="75" t="n"/>
      <c r="C2977" s="75" t="n"/>
      <c r="D2977" s="75" t="n"/>
      <c r="E2977" s="76" t="n"/>
      <c r="F2977" s="77" t="n"/>
      <c r="G2977" s="75" t="n"/>
      <c r="H2977" s="75">
        <f>IF(ISBLANK(E2977),"",IF(OR(D2977="Butterfly",D2977="Butterfly ",D2977="Iron Fly", D2977="Iron Fly "),LEN(E2977)-LEN(SUBSTITUTE(E2977,"/",""))+2,LEN(E2977)-LEN(SUBSTITUTE(E2977,"/",""))+1))</f>
        <v/>
      </c>
      <c r="I2977" s="78">
        <f>IF(ISBLANK(G2977),"",IF(D2977="Stock","0",Key!$A$3*H2977*G2977))</f>
        <v/>
      </c>
      <c r="J2977" s="78">
        <f>IF(ISBLANK(E2977),"",IF(ISNUMBER(SEARCH("/",E2977)), IF(LEN(E2977)-LEN(SUBSTITUTE(E2977,"/",""))=1,(RIGHT(E2977,LEN(E2977)-FIND("/",E2977)))-(LEFT(E2977,FIND("/",E2977)-1)),(MID(E2977, SEARCH("/",E2977) + 1, SEARCH("/",E2977, SEARCH("/",E2977)+1) - SEARCH("/",E2977) - 1))-(LEFT(E2977,FIND("/",E2977)-1))), "NA"))</f>
        <v/>
      </c>
      <c r="K2977" s="79">
        <f>IF(A2977&lt;&gt;"", IF(ISBLANK(L2977), TODAY(), K2977), "")</f>
        <v/>
      </c>
      <c r="L2977" s="78" t="n"/>
      <c r="M2977" s="78">
        <f>IF(ISBLANK(L2977),"",IF(D2977="Stock",IF(C2977="Buy",L2977*G2977,IF(C2977="Sell",(L2977*G2977)-I2977, X)),IF(C2977="Buy",(L2977*G2977*100)+I2977,IF(C2977="Sell",(L2977*G2977*100)-I2977, X))))</f>
        <v/>
      </c>
      <c r="N2977" s="78">
        <f>IF(ISBLANK(L2977),"",IF(AND(C2977="Sell",D2977="Stock"),M2977,IF(ISBLANK(L2977),"",IF(C2977="Buy",M2977, IF(AND(C2977="Sell",J2977="NA"),(E2977*G2977*100*0.1)+I2977, IF(C2977="Sell",(J2977-L2977)*(100*G2977)+I2977))))))</f>
        <v/>
      </c>
      <c r="O2977" s="75" t="n"/>
      <c r="P2977" s="75" t="n"/>
      <c r="Q2977" s="75">
        <f>IF(ISBLANK(P2977),"",IF(D2977="Stock",P2977*G2977,IF(P2977=0,"0",G2977*P2977*100-(G2977*$AF$14))))</f>
        <v/>
      </c>
      <c r="R2977" s="79">
        <f>IF(P2977&lt;&gt;"", TODAY(), "")</f>
        <v/>
      </c>
      <c r="S2977" s="78">
        <f>IF(AND(K2977&lt;&gt;"", R2977&lt;&gt;""), R2977-K2977, "")</f>
        <v/>
      </c>
      <c r="T2977" s="78" t="n"/>
      <c r="U2977" s="92">
        <f>IF(ISBLANK(P2977),"",IF(C2977="Buy",Q2977-M2977+T2977, IF(C2977="Sell",M2977-Q2977-T2977, X)))</f>
        <v/>
      </c>
      <c r="V2977" s="81">
        <f>IF(ISBLANK(P2977),"",U2977/N2977)</f>
        <v/>
      </c>
      <c r="W2977" s="81">
        <f>IF(ISBLANK(P2977),"",IF(S2977=0,(365/0.5)*V2977,(365/S2977)*V2977))</f>
        <v/>
      </c>
      <c r="X2977" s="75" t="n"/>
      <c r="Y2977" s="77" t="n"/>
      <c r="Z2977" s="77" t="n"/>
      <c r="AA2977" s="75" t="n"/>
      <c r="AB2977" s="75" t="n"/>
      <c r="AC2977" s="6" t="n"/>
      <c r="AD2977" s="75" t="n"/>
      <c r="AE2977" s="75" t="n"/>
      <c r="AF2977" s="75" t="n"/>
    </row>
    <row r="2978" ht="15.75" customHeight="1" s="133">
      <c r="A2978" s="75" t="n"/>
      <c r="B2978" s="75" t="n"/>
      <c r="C2978" s="75" t="n"/>
      <c r="D2978" s="75" t="n"/>
      <c r="E2978" s="76" t="n"/>
      <c r="F2978" s="77" t="n"/>
      <c r="G2978" s="75" t="n"/>
      <c r="H2978" s="75">
        <f>IF(ISBLANK(E2978),"",IF(OR(D2978="Butterfly",D2978="Butterfly ",D2978="Iron Fly", D2978="Iron Fly "),LEN(E2978)-LEN(SUBSTITUTE(E2978,"/",""))+2,LEN(E2978)-LEN(SUBSTITUTE(E2978,"/",""))+1))</f>
        <v/>
      </c>
      <c r="I2978" s="78">
        <f>IF(ISBLANK(G2978),"",IF(D2978="Stock","0",Key!$A$3*H2978*G2978))</f>
        <v/>
      </c>
      <c r="J2978" s="78">
        <f>IF(ISBLANK(E2978),"",IF(ISNUMBER(SEARCH("/",E2978)), IF(LEN(E2978)-LEN(SUBSTITUTE(E2978,"/",""))=1,(RIGHT(E2978,LEN(E2978)-FIND("/",E2978)))-(LEFT(E2978,FIND("/",E2978)-1)),(MID(E2978, SEARCH("/",E2978) + 1, SEARCH("/",E2978, SEARCH("/",E2978)+1) - SEARCH("/",E2978) - 1))-(LEFT(E2978,FIND("/",E2978)-1))), "NA"))</f>
        <v/>
      </c>
      <c r="K2978" s="79">
        <f>IF(A2978&lt;&gt;"", IF(ISBLANK(L2978), TODAY(), K2978), "")</f>
        <v/>
      </c>
      <c r="L2978" s="78" t="n"/>
      <c r="M2978" s="78">
        <f>IF(ISBLANK(L2978),"",IF(D2978="Stock",IF(C2978="Buy",L2978*G2978,IF(C2978="Sell",(L2978*G2978)-I2978, X)),IF(C2978="Buy",(L2978*G2978*100)+I2978,IF(C2978="Sell",(L2978*G2978*100)-I2978, X))))</f>
        <v/>
      </c>
      <c r="N2978" s="78">
        <f>IF(ISBLANK(L2978),"",IF(AND(C2978="Sell",D2978="Stock"),M2978,IF(ISBLANK(L2978),"",IF(C2978="Buy",M2978, IF(AND(C2978="Sell",J2978="NA"),(E2978*G2978*100*0.1)+I2978, IF(C2978="Sell",(J2978-L2978)*(100*G2978)+I2978))))))</f>
        <v/>
      </c>
      <c r="O2978" s="75" t="n"/>
      <c r="P2978" s="75" t="n"/>
      <c r="Q2978" s="75">
        <f>IF(ISBLANK(P2978),"",IF(D2978="Stock",P2978*G2978,IF(P2978=0,"0",G2978*P2978*100-(G2978*$AF$14))))</f>
        <v/>
      </c>
      <c r="R2978" s="79">
        <f>IF(P2978&lt;&gt;"", TODAY(), "")</f>
        <v/>
      </c>
      <c r="S2978" s="78">
        <f>IF(AND(K2978&lt;&gt;"", R2978&lt;&gt;""), R2978-K2978, "")</f>
        <v/>
      </c>
      <c r="T2978" s="78" t="n"/>
      <c r="U2978" s="92">
        <f>IF(ISBLANK(P2978),"",IF(C2978="Buy",Q2978-M2978+T2978, IF(C2978="Sell",M2978-Q2978-T2978, X)))</f>
        <v/>
      </c>
      <c r="V2978" s="81">
        <f>IF(ISBLANK(P2978),"",U2978/N2978)</f>
        <v/>
      </c>
      <c r="W2978" s="81">
        <f>IF(ISBLANK(P2978),"",IF(S2978=0,(365/0.5)*V2978,(365/S2978)*V2978))</f>
        <v/>
      </c>
      <c r="X2978" s="75" t="n"/>
      <c r="Y2978" s="77" t="n"/>
      <c r="Z2978" s="77" t="n"/>
      <c r="AA2978" s="75" t="n"/>
      <c r="AB2978" s="75" t="n"/>
      <c r="AC2978" s="6" t="n"/>
      <c r="AD2978" s="75" t="n"/>
      <c r="AE2978" s="75" t="n"/>
      <c r="AF2978" s="75" t="n"/>
    </row>
    <row r="2979" ht="15.75" customHeight="1" s="133">
      <c r="A2979" s="75" t="n"/>
      <c r="B2979" s="75" t="n"/>
      <c r="C2979" s="75" t="n"/>
      <c r="D2979" s="75" t="n"/>
      <c r="E2979" s="76" t="n"/>
      <c r="F2979" s="77" t="n"/>
      <c r="G2979" s="75" t="n"/>
      <c r="H2979" s="75">
        <f>IF(ISBLANK(E2979),"",IF(OR(D2979="Butterfly",D2979="Butterfly ",D2979="Iron Fly", D2979="Iron Fly "),LEN(E2979)-LEN(SUBSTITUTE(E2979,"/",""))+2,LEN(E2979)-LEN(SUBSTITUTE(E2979,"/",""))+1))</f>
        <v/>
      </c>
      <c r="I2979" s="78">
        <f>IF(ISBLANK(G2979),"",IF(D2979="Stock","0",Key!$A$3*H2979*G2979))</f>
        <v/>
      </c>
      <c r="J2979" s="78">
        <f>IF(ISBLANK(E2979),"",IF(ISNUMBER(SEARCH("/",E2979)), IF(LEN(E2979)-LEN(SUBSTITUTE(E2979,"/",""))=1,(RIGHT(E2979,LEN(E2979)-FIND("/",E2979)))-(LEFT(E2979,FIND("/",E2979)-1)),(MID(E2979, SEARCH("/",E2979) + 1, SEARCH("/",E2979, SEARCH("/",E2979)+1) - SEARCH("/",E2979) - 1))-(LEFT(E2979,FIND("/",E2979)-1))), "NA"))</f>
        <v/>
      </c>
      <c r="K2979" s="79">
        <f>IF(A2979&lt;&gt;"", IF(ISBLANK(L2979), TODAY(), K2979), "")</f>
        <v/>
      </c>
      <c r="L2979" s="78" t="n"/>
      <c r="M2979" s="78">
        <f>IF(ISBLANK(L2979),"",IF(D2979="Stock",IF(C2979="Buy",L2979*G2979,IF(C2979="Sell",(L2979*G2979)-I2979, X)),IF(C2979="Buy",(L2979*G2979*100)+I2979,IF(C2979="Sell",(L2979*G2979*100)-I2979, X))))</f>
        <v/>
      </c>
      <c r="N2979" s="78">
        <f>IF(ISBLANK(L2979),"",IF(AND(C2979="Sell",D2979="Stock"),M2979,IF(ISBLANK(L2979),"",IF(C2979="Buy",M2979, IF(AND(C2979="Sell",J2979="NA"),(E2979*G2979*100*0.1)+I2979, IF(C2979="Sell",(J2979-L2979)*(100*G2979)+I2979))))))</f>
        <v/>
      </c>
      <c r="O2979" s="75" t="n"/>
      <c r="P2979" s="75" t="n"/>
      <c r="Q2979" s="75">
        <f>IF(ISBLANK(P2979),"",IF(D2979="Stock",P2979*G2979,IF(P2979=0,"0",G2979*P2979*100-(G2979*$AF$14))))</f>
        <v/>
      </c>
      <c r="R2979" s="79">
        <f>IF(P2979&lt;&gt;"", TODAY(), "")</f>
        <v/>
      </c>
      <c r="S2979" s="78">
        <f>IF(AND(K2979&lt;&gt;"", R2979&lt;&gt;""), R2979-K2979, "")</f>
        <v/>
      </c>
      <c r="T2979" s="78" t="n"/>
      <c r="U2979" s="92">
        <f>IF(ISBLANK(P2979),"",IF(C2979="Buy",Q2979-M2979+T2979, IF(C2979="Sell",M2979-Q2979-T2979, X)))</f>
        <v/>
      </c>
      <c r="V2979" s="81">
        <f>IF(ISBLANK(P2979),"",U2979/N2979)</f>
        <v/>
      </c>
      <c r="W2979" s="81">
        <f>IF(ISBLANK(P2979),"",IF(S2979=0,(365/0.5)*V2979,(365/S2979)*V2979))</f>
        <v/>
      </c>
      <c r="X2979" s="75" t="n"/>
      <c r="Y2979" s="77" t="n"/>
      <c r="Z2979" s="77" t="n"/>
      <c r="AA2979" s="75" t="n"/>
      <c r="AB2979" s="75" t="n"/>
      <c r="AC2979" s="6" t="n"/>
      <c r="AD2979" s="75" t="n"/>
      <c r="AE2979" s="75" t="n"/>
      <c r="AF2979" s="75" t="n"/>
    </row>
    <row r="2980" ht="15.75" customHeight="1" s="133">
      <c r="A2980" s="75" t="n"/>
      <c r="B2980" s="75" t="n"/>
      <c r="C2980" s="75" t="n"/>
      <c r="D2980" s="75" t="n"/>
      <c r="E2980" s="76" t="n"/>
      <c r="F2980" s="77" t="n"/>
      <c r="G2980" s="75" t="n"/>
      <c r="H2980" s="75">
        <f>IF(ISBLANK(E2980),"",IF(OR(D2980="Butterfly",D2980="Butterfly ",D2980="Iron Fly", D2980="Iron Fly "),LEN(E2980)-LEN(SUBSTITUTE(E2980,"/",""))+2,LEN(E2980)-LEN(SUBSTITUTE(E2980,"/",""))+1))</f>
        <v/>
      </c>
      <c r="I2980" s="78">
        <f>IF(ISBLANK(G2980),"",IF(D2980="Stock","0",Key!$A$3*H2980*G2980))</f>
        <v/>
      </c>
      <c r="J2980" s="78">
        <f>IF(ISBLANK(E2980),"",IF(ISNUMBER(SEARCH("/",E2980)), IF(LEN(E2980)-LEN(SUBSTITUTE(E2980,"/",""))=1,(RIGHT(E2980,LEN(E2980)-FIND("/",E2980)))-(LEFT(E2980,FIND("/",E2980)-1)),(MID(E2980, SEARCH("/",E2980) + 1, SEARCH("/",E2980, SEARCH("/",E2980)+1) - SEARCH("/",E2980) - 1))-(LEFT(E2980,FIND("/",E2980)-1))), "NA"))</f>
        <v/>
      </c>
      <c r="K2980" s="79">
        <f>IF(A2980&lt;&gt;"", IF(ISBLANK(L2980), TODAY(), K2980), "")</f>
        <v/>
      </c>
      <c r="L2980" s="78" t="n"/>
      <c r="M2980" s="78">
        <f>IF(ISBLANK(L2980),"",IF(D2980="Stock",IF(C2980="Buy",L2980*G2980,IF(C2980="Sell",(L2980*G2980)-I2980, X)),IF(C2980="Buy",(L2980*G2980*100)+I2980,IF(C2980="Sell",(L2980*G2980*100)-I2980, X))))</f>
        <v/>
      </c>
      <c r="N2980" s="78">
        <f>IF(ISBLANK(L2980),"",IF(AND(C2980="Sell",D2980="Stock"),M2980,IF(ISBLANK(L2980),"",IF(C2980="Buy",M2980, IF(AND(C2980="Sell",J2980="NA"),(E2980*G2980*100*0.1)+I2980, IF(C2980="Sell",(J2980-L2980)*(100*G2980)+I2980))))))</f>
        <v/>
      </c>
      <c r="O2980" s="75" t="n"/>
      <c r="P2980" s="75" t="n"/>
      <c r="Q2980" s="75">
        <f>IF(ISBLANK(P2980),"",IF(D2980="Stock",P2980*G2980,IF(P2980=0,"0",G2980*P2980*100-(G2980*$AF$14))))</f>
        <v/>
      </c>
      <c r="R2980" s="79">
        <f>IF(P2980&lt;&gt;"", TODAY(), "")</f>
        <v/>
      </c>
      <c r="S2980" s="78">
        <f>IF(AND(K2980&lt;&gt;"", R2980&lt;&gt;""), R2980-K2980, "")</f>
        <v/>
      </c>
      <c r="T2980" s="78" t="n"/>
      <c r="U2980" s="92">
        <f>IF(ISBLANK(P2980),"",IF(C2980="Buy",Q2980-M2980+T2980, IF(C2980="Sell",M2980-Q2980-T2980, X)))</f>
        <v/>
      </c>
      <c r="V2980" s="81">
        <f>IF(ISBLANK(P2980),"",U2980/N2980)</f>
        <v/>
      </c>
      <c r="W2980" s="81">
        <f>IF(ISBLANK(P2980),"",IF(S2980=0,(365/0.5)*V2980,(365/S2980)*V2980))</f>
        <v/>
      </c>
      <c r="X2980" s="75" t="n"/>
      <c r="Y2980" s="77" t="n"/>
      <c r="Z2980" s="77" t="n"/>
      <c r="AA2980" s="75" t="n"/>
      <c r="AB2980" s="75" t="n"/>
      <c r="AC2980" s="6" t="n"/>
      <c r="AD2980" s="75" t="n"/>
      <c r="AE2980" s="75" t="n"/>
      <c r="AF2980" s="75" t="n"/>
    </row>
    <row r="2981" ht="15.75" customHeight="1" s="133">
      <c r="A2981" s="75" t="n"/>
      <c r="B2981" s="75" t="n"/>
      <c r="C2981" s="75" t="n"/>
      <c r="D2981" s="75" t="n"/>
      <c r="E2981" s="76" t="n"/>
      <c r="F2981" s="77" t="n"/>
      <c r="G2981" s="75" t="n"/>
      <c r="H2981" s="75">
        <f>IF(ISBLANK(E2981),"",IF(OR(D2981="Butterfly",D2981="Butterfly ",D2981="Iron Fly", D2981="Iron Fly "),LEN(E2981)-LEN(SUBSTITUTE(E2981,"/",""))+2,LEN(E2981)-LEN(SUBSTITUTE(E2981,"/",""))+1))</f>
        <v/>
      </c>
      <c r="I2981" s="78">
        <f>IF(ISBLANK(G2981),"",IF(D2981="Stock","0",Key!$A$3*H2981*G2981))</f>
        <v/>
      </c>
      <c r="J2981" s="78">
        <f>IF(ISBLANK(E2981),"",IF(ISNUMBER(SEARCH("/",E2981)), IF(LEN(E2981)-LEN(SUBSTITUTE(E2981,"/",""))=1,(RIGHT(E2981,LEN(E2981)-FIND("/",E2981)))-(LEFT(E2981,FIND("/",E2981)-1)),(MID(E2981, SEARCH("/",E2981) + 1, SEARCH("/",E2981, SEARCH("/",E2981)+1) - SEARCH("/",E2981) - 1))-(LEFT(E2981,FIND("/",E2981)-1))), "NA"))</f>
        <v/>
      </c>
      <c r="K2981" s="79">
        <f>IF(A2981&lt;&gt;"", IF(ISBLANK(L2981), TODAY(), K2981), "")</f>
        <v/>
      </c>
      <c r="L2981" s="78" t="n"/>
      <c r="M2981" s="78">
        <f>IF(ISBLANK(L2981),"",IF(D2981="Stock",IF(C2981="Buy",L2981*G2981,IF(C2981="Sell",(L2981*G2981)-I2981, X)),IF(C2981="Buy",(L2981*G2981*100)+I2981,IF(C2981="Sell",(L2981*G2981*100)-I2981, X))))</f>
        <v/>
      </c>
      <c r="N2981" s="78">
        <f>IF(ISBLANK(L2981),"",IF(AND(C2981="Sell",D2981="Stock"),M2981,IF(ISBLANK(L2981),"",IF(C2981="Buy",M2981, IF(AND(C2981="Sell",J2981="NA"),(E2981*G2981*100*0.1)+I2981, IF(C2981="Sell",(J2981-L2981)*(100*G2981)+I2981))))))</f>
        <v/>
      </c>
      <c r="O2981" s="75" t="n"/>
      <c r="P2981" s="75" t="n"/>
      <c r="Q2981" s="75">
        <f>IF(ISBLANK(P2981),"",IF(D2981="Stock",P2981*G2981,IF(P2981=0,"0",G2981*P2981*100-(G2981*$AF$14))))</f>
        <v/>
      </c>
      <c r="R2981" s="79">
        <f>IF(P2981&lt;&gt;"", TODAY(), "")</f>
        <v/>
      </c>
      <c r="S2981" s="78">
        <f>IF(AND(K2981&lt;&gt;"", R2981&lt;&gt;""), R2981-K2981, "")</f>
        <v/>
      </c>
      <c r="T2981" s="78" t="n"/>
      <c r="U2981" s="92">
        <f>IF(ISBLANK(P2981),"",IF(C2981="Buy",Q2981-M2981+T2981, IF(C2981="Sell",M2981-Q2981-T2981, X)))</f>
        <v/>
      </c>
      <c r="V2981" s="81">
        <f>IF(ISBLANK(P2981),"",U2981/N2981)</f>
        <v/>
      </c>
      <c r="W2981" s="81">
        <f>IF(ISBLANK(P2981),"",IF(S2981=0,(365/0.5)*V2981,(365/S2981)*V2981))</f>
        <v/>
      </c>
      <c r="X2981" s="75" t="n"/>
      <c r="Y2981" s="77" t="n"/>
      <c r="Z2981" s="77" t="n"/>
      <c r="AA2981" s="75" t="n"/>
      <c r="AB2981" s="75" t="n"/>
      <c r="AC2981" s="6" t="n"/>
      <c r="AD2981" s="75" t="n"/>
      <c r="AE2981" s="75" t="n"/>
      <c r="AF2981" s="75" t="n"/>
    </row>
    <row r="2982" ht="15.75" customHeight="1" s="133">
      <c r="A2982" s="75" t="n"/>
      <c r="B2982" s="75" t="n"/>
      <c r="C2982" s="75" t="n"/>
      <c r="D2982" s="75" t="n"/>
      <c r="E2982" s="76" t="n"/>
      <c r="F2982" s="77" t="n"/>
      <c r="G2982" s="75" t="n"/>
      <c r="H2982" s="75">
        <f>IF(ISBLANK(E2982),"",IF(OR(D2982="Butterfly",D2982="Butterfly ",D2982="Iron Fly", D2982="Iron Fly "),LEN(E2982)-LEN(SUBSTITUTE(E2982,"/",""))+2,LEN(E2982)-LEN(SUBSTITUTE(E2982,"/",""))+1))</f>
        <v/>
      </c>
      <c r="I2982" s="78">
        <f>IF(ISBLANK(G2982),"",IF(D2982="Stock","0",Key!$A$3*H2982*G2982))</f>
        <v/>
      </c>
      <c r="J2982" s="78">
        <f>IF(ISBLANK(E2982),"",IF(ISNUMBER(SEARCH("/",E2982)), IF(LEN(E2982)-LEN(SUBSTITUTE(E2982,"/",""))=1,(RIGHT(E2982,LEN(E2982)-FIND("/",E2982)))-(LEFT(E2982,FIND("/",E2982)-1)),(MID(E2982, SEARCH("/",E2982) + 1, SEARCH("/",E2982, SEARCH("/",E2982)+1) - SEARCH("/",E2982) - 1))-(LEFT(E2982,FIND("/",E2982)-1))), "NA"))</f>
        <v/>
      </c>
      <c r="K2982" s="79">
        <f>IF(A2982&lt;&gt;"", IF(ISBLANK(L2982), TODAY(), K2982), "")</f>
        <v/>
      </c>
      <c r="L2982" s="78" t="n"/>
      <c r="M2982" s="78">
        <f>IF(ISBLANK(L2982),"",IF(D2982="Stock",IF(C2982="Buy",L2982*G2982,IF(C2982="Sell",(L2982*G2982)-I2982, X)),IF(C2982="Buy",(L2982*G2982*100)+I2982,IF(C2982="Sell",(L2982*G2982*100)-I2982, X))))</f>
        <v/>
      </c>
      <c r="N2982" s="78">
        <f>IF(ISBLANK(L2982),"",IF(AND(C2982="Sell",D2982="Stock"),M2982,IF(ISBLANK(L2982),"",IF(C2982="Buy",M2982, IF(AND(C2982="Sell",J2982="NA"),(E2982*G2982*100*0.1)+I2982, IF(C2982="Sell",(J2982-L2982)*(100*G2982)+I2982))))))</f>
        <v/>
      </c>
      <c r="O2982" s="75" t="n"/>
      <c r="P2982" s="75" t="n"/>
      <c r="Q2982" s="75">
        <f>IF(ISBLANK(P2982),"",IF(D2982="Stock",P2982*G2982,IF(P2982=0,"0",G2982*P2982*100-(G2982*$AF$14))))</f>
        <v/>
      </c>
      <c r="R2982" s="79">
        <f>IF(P2982&lt;&gt;"", TODAY(), "")</f>
        <v/>
      </c>
      <c r="S2982" s="78">
        <f>IF(AND(K2982&lt;&gt;"", R2982&lt;&gt;""), R2982-K2982, "")</f>
        <v/>
      </c>
      <c r="T2982" s="78" t="n"/>
      <c r="U2982" s="92">
        <f>IF(ISBLANK(P2982),"",IF(C2982="Buy",Q2982-M2982+T2982, IF(C2982="Sell",M2982-Q2982-T2982, X)))</f>
        <v/>
      </c>
      <c r="V2982" s="81">
        <f>IF(ISBLANK(P2982),"",U2982/N2982)</f>
        <v/>
      </c>
      <c r="W2982" s="81">
        <f>IF(ISBLANK(P2982),"",IF(S2982=0,(365/0.5)*V2982,(365/S2982)*V2982))</f>
        <v/>
      </c>
      <c r="X2982" s="75" t="n"/>
      <c r="Y2982" s="77" t="n"/>
      <c r="Z2982" s="77" t="n"/>
      <c r="AA2982" s="75" t="n"/>
      <c r="AB2982" s="75" t="n"/>
      <c r="AC2982" s="6" t="n"/>
      <c r="AD2982" s="75" t="n"/>
      <c r="AE2982" s="75" t="n"/>
      <c r="AF2982" s="75" t="n"/>
    </row>
    <row r="2983" ht="15.75" customHeight="1" s="133">
      <c r="A2983" s="75" t="n"/>
      <c r="B2983" s="75" t="n"/>
      <c r="C2983" s="75" t="n"/>
      <c r="D2983" s="75" t="n"/>
      <c r="E2983" s="76" t="n"/>
      <c r="F2983" s="77" t="n"/>
      <c r="G2983" s="75" t="n"/>
      <c r="H2983" s="75">
        <f>IF(ISBLANK(E2983),"",IF(OR(D2983="Butterfly",D2983="Butterfly ",D2983="Iron Fly", D2983="Iron Fly "),LEN(E2983)-LEN(SUBSTITUTE(E2983,"/",""))+2,LEN(E2983)-LEN(SUBSTITUTE(E2983,"/",""))+1))</f>
        <v/>
      </c>
      <c r="I2983" s="78">
        <f>IF(ISBLANK(G2983),"",IF(D2983="Stock","0",Key!$A$3*H2983*G2983))</f>
        <v/>
      </c>
      <c r="J2983" s="78">
        <f>IF(ISBLANK(E2983),"",IF(ISNUMBER(SEARCH("/",E2983)), IF(LEN(E2983)-LEN(SUBSTITUTE(E2983,"/",""))=1,(RIGHT(E2983,LEN(E2983)-FIND("/",E2983)))-(LEFT(E2983,FIND("/",E2983)-1)),(MID(E2983, SEARCH("/",E2983) + 1, SEARCH("/",E2983, SEARCH("/",E2983)+1) - SEARCH("/",E2983) - 1))-(LEFT(E2983,FIND("/",E2983)-1))), "NA"))</f>
        <v/>
      </c>
      <c r="K2983" s="79">
        <f>IF(A2983&lt;&gt;"", IF(ISBLANK(L2983), TODAY(), K2983), "")</f>
        <v/>
      </c>
      <c r="L2983" s="78" t="n"/>
      <c r="M2983" s="78">
        <f>IF(ISBLANK(L2983),"",IF(D2983="Stock",IF(C2983="Buy",L2983*G2983,IF(C2983="Sell",(L2983*G2983)-I2983, X)),IF(C2983="Buy",(L2983*G2983*100)+I2983,IF(C2983="Sell",(L2983*G2983*100)-I2983, X))))</f>
        <v/>
      </c>
      <c r="N2983" s="78">
        <f>IF(ISBLANK(L2983),"",IF(AND(C2983="Sell",D2983="Stock"),M2983,IF(ISBLANK(L2983),"",IF(C2983="Buy",M2983, IF(AND(C2983="Sell",J2983="NA"),(E2983*G2983*100*0.1)+I2983, IF(C2983="Sell",(J2983-L2983)*(100*G2983)+I2983))))))</f>
        <v/>
      </c>
      <c r="O2983" s="75" t="n"/>
      <c r="P2983" s="75" t="n"/>
      <c r="Q2983" s="75">
        <f>IF(ISBLANK(P2983),"",IF(D2983="Stock",P2983*G2983,IF(P2983=0,"0",G2983*P2983*100-(G2983*$AF$14))))</f>
        <v/>
      </c>
      <c r="R2983" s="79">
        <f>IF(P2983&lt;&gt;"", TODAY(), "")</f>
        <v/>
      </c>
      <c r="S2983" s="78">
        <f>IF(AND(K2983&lt;&gt;"", R2983&lt;&gt;""), R2983-K2983, "")</f>
        <v/>
      </c>
      <c r="T2983" s="78" t="n"/>
      <c r="U2983" s="92">
        <f>IF(ISBLANK(P2983),"",IF(C2983="Buy",Q2983-M2983+T2983, IF(C2983="Sell",M2983-Q2983-T2983, X)))</f>
        <v/>
      </c>
      <c r="V2983" s="81">
        <f>IF(ISBLANK(P2983),"",U2983/N2983)</f>
        <v/>
      </c>
      <c r="W2983" s="81">
        <f>IF(ISBLANK(P2983),"",IF(S2983=0,(365/0.5)*V2983,(365/S2983)*V2983))</f>
        <v/>
      </c>
      <c r="X2983" s="75" t="n"/>
      <c r="Y2983" s="77" t="n"/>
      <c r="Z2983" s="77" t="n"/>
      <c r="AA2983" s="75" t="n"/>
      <c r="AB2983" s="75" t="n"/>
      <c r="AC2983" s="6" t="n"/>
      <c r="AD2983" s="75" t="n"/>
      <c r="AE2983" s="75" t="n"/>
      <c r="AF2983" s="75" t="n"/>
    </row>
    <row r="2984" ht="15.75" customHeight="1" s="133">
      <c r="A2984" s="75" t="n"/>
      <c r="B2984" s="75" t="n"/>
      <c r="C2984" s="75" t="n"/>
      <c r="D2984" s="75" t="n"/>
      <c r="E2984" s="76" t="n"/>
      <c r="F2984" s="77" t="n"/>
      <c r="G2984" s="75" t="n"/>
      <c r="H2984" s="75">
        <f>IF(ISBLANK(E2984),"",IF(OR(D2984="Butterfly",D2984="Butterfly ",D2984="Iron Fly", D2984="Iron Fly "),LEN(E2984)-LEN(SUBSTITUTE(E2984,"/",""))+2,LEN(E2984)-LEN(SUBSTITUTE(E2984,"/",""))+1))</f>
        <v/>
      </c>
      <c r="I2984" s="78">
        <f>IF(ISBLANK(G2984),"",IF(D2984="Stock","0",Key!$A$3*H2984*G2984))</f>
        <v/>
      </c>
      <c r="J2984" s="78">
        <f>IF(ISBLANK(E2984),"",IF(ISNUMBER(SEARCH("/",E2984)), IF(LEN(E2984)-LEN(SUBSTITUTE(E2984,"/",""))=1,(RIGHT(E2984,LEN(E2984)-FIND("/",E2984)))-(LEFT(E2984,FIND("/",E2984)-1)),(MID(E2984, SEARCH("/",E2984) + 1, SEARCH("/",E2984, SEARCH("/",E2984)+1) - SEARCH("/",E2984) - 1))-(LEFT(E2984,FIND("/",E2984)-1))), "NA"))</f>
        <v/>
      </c>
      <c r="K2984" s="79">
        <f>IF(A2984&lt;&gt;"", IF(ISBLANK(L2984), TODAY(), K2984), "")</f>
        <v/>
      </c>
      <c r="L2984" s="78" t="n"/>
      <c r="M2984" s="78">
        <f>IF(ISBLANK(L2984),"",IF(D2984="Stock",IF(C2984="Buy",L2984*G2984,IF(C2984="Sell",(L2984*G2984)-I2984, X)),IF(C2984="Buy",(L2984*G2984*100)+I2984,IF(C2984="Sell",(L2984*G2984*100)-I2984, X))))</f>
        <v/>
      </c>
      <c r="N2984" s="78">
        <f>IF(ISBLANK(L2984),"",IF(AND(C2984="Sell",D2984="Stock"),M2984,IF(ISBLANK(L2984),"",IF(C2984="Buy",M2984, IF(AND(C2984="Sell",J2984="NA"),(E2984*G2984*100*0.1)+I2984, IF(C2984="Sell",(J2984-L2984)*(100*G2984)+I2984))))))</f>
        <v/>
      </c>
      <c r="O2984" s="75" t="n"/>
      <c r="P2984" s="75" t="n"/>
      <c r="Q2984" s="75">
        <f>IF(ISBLANK(P2984),"",IF(D2984="Stock",P2984*G2984,IF(P2984=0,"0",G2984*P2984*100-(G2984*$AF$14))))</f>
        <v/>
      </c>
      <c r="R2984" s="79">
        <f>IF(P2984&lt;&gt;"", TODAY(), "")</f>
        <v/>
      </c>
      <c r="S2984" s="78">
        <f>IF(AND(K2984&lt;&gt;"", R2984&lt;&gt;""), R2984-K2984, "")</f>
        <v/>
      </c>
      <c r="T2984" s="78" t="n"/>
      <c r="U2984" s="92">
        <f>IF(ISBLANK(P2984),"",IF(C2984="Buy",Q2984-M2984+T2984, IF(C2984="Sell",M2984-Q2984-T2984, X)))</f>
        <v/>
      </c>
      <c r="V2984" s="81">
        <f>IF(ISBLANK(P2984),"",U2984/N2984)</f>
        <v/>
      </c>
      <c r="W2984" s="81">
        <f>IF(ISBLANK(P2984),"",IF(S2984=0,(365/0.5)*V2984,(365/S2984)*V2984))</f>
        <v/>
      </c>
      <c r="X2984" s="75" t="n"/>
      <c r="Y2984" s="77" t="n"/>
      <c r="Z2984" s="77" t="n"/>
      <c r="AA2984" s="75" t="n"/>
      <c r="AB2984" s="75" t="n"/>
      <c r="AC2984" s="6" t="n"/>
      <c r="AD2984" s="75" t="n"/>
      <c r="AE2984" s="75" t="n"/>
      <c r="AF2984" s="75" t="n"/>
    </row>
    <row r="2985" ht="15.75" customHeight="1" s="133">
      <c r="A2985" s="75" t="n"/>
      <c r="B2985" s="75" t="n"/>
      <c r="C2985" s="75" t="n"/>
      <c r="D2985" s="75" t="n"/>
      <c r="E2985" s="76" t="n"/>
      <c r="F2985" s="77" t="n"/>
      <c r="G2985" s="75" t="n"/>
      <c r="H2985" s="75">
        <f>IF(ISBLANK(E2985),"",IF(OR(D2985="Butterfly",D2985="Butterfly ",D2985="Iron Fly", D2985="Iron Fly "),LEN(E2985)-LEN(SUBSTITUTE(E2985,"/",""))+2,LEN(E2985)-LEN(SUBSTITUTE(E2985,"/",""))+1))</f>
        <v/>
      </c>
      <c r="I2985" s="78">
        <f>IF(ISBLANK(G2985),"",IF(D2985="Stock","0",Key!$A$3*H2985*G2985))</f>
        <v/>
      </c>
      <c r="J2985" s="78">
        <f>IF(ISBLANK(E2985),"",IF(ISNUMBER(SEARCH("/",E2985)), IF(LEN(E2985)-LEN(SUBSTITUTE(E2985,"/",""))=1,(RIGHT(E2985,LEN(E2985)-FIND("/",E2985)))-(LEFT(E2985,FIND("/",E2985)-1)),(MID(E2985, SEARCH("/",E2985) + 1, SEARCH("/",E2985, SEARCH("/",E2985)+1) - SEARCH("/",E2985) - 1))-(LEFT(E2985,FIND("/",E2985)-1))), "NA"))</f>
        <v/>
      </c>
      <c r="K2985" s="79">
        <f>IF(A2985&lt;&gt;"", IF(ISBLANK(L2985), TODAY(), K2985), "")</f>
        <v/>
      </c>
      <c r="L2985" s="78" t="n"/>
      <c r="M2985" s="78">
        <f>IF(ISBLANK(L2985),"",IF(D2985="Stock",IF(C2985="Buy",L2985*G2985,IF(C2985="Sell",(L2985*G2985)-I2985, X)),IF(C2985="Buy",(L2985*G2985*100)+I2985,IF(C2985="Sell",(L2985*G2985*100)-I2985, X))))</f>
        <v/>
      </c>
      <c r="N2985" s="78">
        <f>IF(ISBLANK(L2985),"",IF(AND(C2985="Sell",D2985="Stock"),M2985,IF(ISBLANK(L2985),"",IF(C2985="Buy",M2985, IF(AND(C2985="Sell",J2985="NA"),(E2985*G2985*100*0.1)+I2985, IF(C2985="Sell",(J2985-L2985)*(100*G2985)+I2985))))))</f>
        <v/>
      </c>
      <c r="O2985" s="75" t="n"/>
      <c r="P2985" s="75" t="n"/>
      <c r="Q2985" s="75">
        <f>IF(ISBLANK(P2985),"",IF(D2985="Stock",P2985*G2985,IF(P2985=0,"0",G2985*P2985*100-(G2985*$AF$14))))</f>
        <v/>
      </c>
      <c r="R2985" s="79">
        <f>IF(P2985&lt;&gt;"", TODAY(), "")</f>
        <v/>
      </c>
      <c r="S2985" s="78">
        <f>IF(AND(K2985&lt;&gt;"", R2985&lt;&gt;""), R2985-K2985, "")</f>
        <v/>
      </c>
      <c r="T2985" s="78" t="n"/>
      <c r="U2985" s="92">
        <f>IF(ISBLANK(P2985),"",IF(C2985="Buy",Q2985-M2985+T2985, IF(C2985="Sell",M2985-Q2985-T2985, X)))</f>
        <v/>
      </c>
      <c r="V2985" s="81">
        <f>IF(ISBLANK(P2985),"",U2985/N2985)</f>
        <v/>
      </c>
      <c r="W2985" s="81">
        <f>IF(ISBLANK(P2985),"",IF(S2985=0,(365/0.5)*V2985,(365/S2985)*V2985))</f>
        <v/>
      </c>
      <c r="X2985" s="75" t="n"/>
      <c r="Y2985" s="77" t="n"/>
      <c r="Z2985" s="77" t="n"/>
      <c r="AA2985" s="75" t="n"/>
      <c r="AB2985" s="75" t="n"/>
      <c r="AC2985" s="6" t="n"/>
      <c r="AD2985" s="75" t="n"/>
      <c r="AE2985" s="75" t="n"/>
      <c r="AF2985" s="75" t="n"/>
    </row>
    <row r="2986" ht="15.75" customHeight="1" s="133">
      <c r="A2986" s="75" t="n"/>
      <c r="B2986" s="75" t="n"/>
      <c r="C2986" s="75" t="n"/>
      <c r="D2986" s="75" t="n"/>
      <c r="E2986" s="76" t="n"/>
      <c r="F2986" s="77" t="n"/>
      <c r="G2986" s="75" t="n"/>
      <c r="H2986" s="75">
        <f>IF(ISBLANK(E2986),"",IF(OR(D2986="Butterfly",D2986="Butterfly ",D2986="Iron Fly", D2986="Iron Fly "),LEN(E2986)-LEN(SUBSTITUTE(E2986,"/",""))+2,LEN(E2986)-LEN(SUBSTITUTE(E2986,"/",""))+1))</f>
        <v/>
      </c>
      <c r="I2986" s="78">
        <f>IF(ISBLANK(G2986),"",IF(D2986="Stock","0",Key!$A$3*H2986*G2986))</f>
        <v/>
      </c>
      <c r="J2986" s="78">
        <f>IF(ISBLANK(E2986),"",IF(ISNUMBER(SEARCH("/",E2986)), IF(LEN(E2986)-LEN(SUBSTITUTE(E2986,"/",""))=1,(RIGHT(E2986,LEN(E2986)-FIND("/",E2986)))-(LEFT(E2986,FIND("/",E2986)-1)),(MID(E2986, SEARCH("/",E2986) + 1, SEARCH("/",E2986, SEARCH("/",E2986)+1) - SEARCH("/",E2986) - 1))-(LEFT(E2986,FIND("/",E2986)-1))), "NA"))</f>
        <v/>
      </c>
      <c r="K2986" s="79">
        <f>IF(A2986&lt;&gt;"", IF(ISBLANK(L2986), TODAY(), K2986), "")</f>
        <v/>
      </c>
      <c r="L2986" s="78" t="n"/>
      <c r="M2986" s="78">
        <f>IF(ISBLANK(L2986),"",IF(D2986="Stock",IF(C2986="Buy",L2986*G2986,IF(C2986="Sell",(L2986*G2986)-I2986, X)),IF(C2986="Buy",(L2986*G2986*100)+I2986,IF(C2986="Sell",(L2986*G2986*100)-I2986, X))))</f>
        <v/>
      </c>
      <c r="N2986" s="78">
        <f>IF(ISBLANK(L2986),"",IF(AND(C2986="Sell",D2986="Stock"),M2986,IF(ISBLANK(L2986),"",IF(C2986="Buy",M2986, IF(AND(C2986="Sell",J2986="NA"),(E2986*G2986*100*0.1)+I2986, IF(C2986="Sell",(J2986-L2986)*(100*G2986)+I2986))))))</f>
        <v/>
      </c>
      <c r="O2986" s="75" t="n"/>
      <c r="P2986" s="75" t="n"/>
      <c r="Q2986" s="75">
        <f>IF(ISBLANK(P2986),"",IF(D2986="Stock",P2986*G2986,IF(P2986=0,"0",G2986*P2986*100-(G2986*$AF$14))))</f>
        <v/>
      </c>
      <c r="R2986" s="79">
        <f>IF(P2986&lt;&gt;"", TODAY(), "")</f>
        <v/>
      </c>
      <c r="S2986" s="78">
        <f>IF(AND(K2986&lt;&gt;"", R2986&lt;&gt;""), R2986-K2986, "")</f>
        <v/>
      </c>
      <c r="T2986" s="78" t="n"/>
      <c r="U2986" s="92">
        <f>IF(ISBLANK(P2986),"",IF(C2986="Buy",Q2986-M2986+T2986, IF(C2986="Sell",M2986-Q2986-T2986, X)))</f>
        <v/>
      </c>
      <c r="V2986" s="81">
        <f>IF(ISBLANK(P2986),"",U2986/N2986)</f>
        <v/>
      </c>
      <c r="W2986" s="81">
        <f>IF(ISBLANK(P2986),"",IF(S2986=0,(365/0.5)*V2986,(365/S2986)*V2986))</f>
        <v/>
      </c>
      <c r="X2986" s="75" t="n"/>
      <c r="Y2986" s="77" t="n"/>
      <c r="Z2986" s="77" t="n"/>
      <c r="AA2986" s="75" t="n"/>
      <c r="AB2986" s="75" t="n"/>
      <c r="AC2986" s="6" t="n"/>
      <c r="AD2986" s="75" t="n"/>
      <c r="AE2986" s="75" t="n"/>
      <c r="AF2986" s="75" t="n"/>
    </row>
    <row r="2987" ht="15.75" customHeight="1" s="133">
      <c r="A2987" s="75" t="n"/>
      <c r="B2987" s="75" t="n"/>
      <c r="C2987" s="75" t="n"/>
      <c r="D2987" s="75" t="n"/>
      <c r="E2987" s="76" t="n"/>
      <c r="F2987" s="77" t="n"/>
      <c r="G2987" s="75" t="n"/>
      <c r="H2987" s="75">
        <f>IF(ISBLANK(E2987),"",IF(OR(D2987="Butterfly",D2987="Butterfly ",D2987="Iron Fly", D2987="Iron Fly "),LEN(E2987)-LEN(SUBSTITUTE(E2987,"/",""))+2,LEN(E2987)-LEN(SUBSTITUTE(E2987,"/",""))+1))</f>
        <v/>
      </c>
      <c r="I2987" s="78">
        <f>IF(ISBLANK(G2987),"",IF(D2987="Stock","0",Key!$A$3*H2987*G2987))</f>
        <v/>
      </c>
      <c r="J2987" s="78">
        <f>IF(ISBLANK(E2987),"",IF(ISNUMBER(SEARCH("/",E2987)), IF(LEN(E2987)-LEN(SUBSTITUTE(E2987,"/",""))=1,(RIGHT(E2987,LEN(E2987)-FIND("/",E2987)))-(LEFT(E2987,FIND("/",E2987)-1)),(MID(E2987, SEARCH("/",E2987) + 1, SEARCH("/",E2987, SEARCH("/",E2987)+1) - SEARCH("/",E2987) - 1))-(LEFT(E2987,FIND("/",E2987)-1))), "NA"))</f>
        <v/>
      </c>
      <c r="K2987" s="79">
        <f>IF(A2987&lt;&gt;"", IF(ISBLANK(L2987), TODAY(), K2987), "")</f>
        <v/>
      </c>
      <c r="L2987" s="78" t="n"/>
      <c r="M2987" s="78">
        <f>IF(ISBLANK(L2987),"",IF(D2987="Stock",IF(C2987="Buy",L2987*G2987,IF(C2987="Sell",(L2987*G2987)-I2987, X)),IF(C2987="Buy",(L2987*G2987*100)+I2987,IF(C2987="Sell",(L2987*G2987*100)-I2987, X))))</f>
        <v/>
      </c>
      <c r="N2987" s="78">
        <f>IF(ISBLANK(L2987),"",IF(AND(C2987="Sell",D2987="Stock"),M2987,IF(ISBLANK(L2987),"",IF(C2987="Buy",M2987, IF(AND(C2987="Sell",J2987="NA"),(E2987*G2987*100*0.1)+I2987, IF(C2987="Sell",(J2987-L2987)*(100*G2987)+I2987))))))</f>
        <v/>
      </c>
      <c r="O2987" s="75" t="n"/>
      <c r="P2987" s="75" t="n"/>
      <c r="Q2987" s="75">
        <f>IF(ISBLANK(P2987),"",IF(D2987="Stock",P2987*G2987,IF(P2987=0,"0",G2987*P2987*100-(G2987*$AF$14))))</f>
        <v/>
      </c>
      <c r="R2987" s="79">
        <f>IF(P2987&lt;&gt;"", TODAY(), "")</f>
        <v/>
      </c>
      <c r="S2987" s="78">
        <f>IF(AND(K2987&lt;&gt;"", R2987&lt;&gt;""), R2987-K2987, "")</f>
        <v/>
      </c>
      <c r="T2987" s="78" t="n"/>
      <c r="U2987" s="92">
        <f>IF(ISBLANK(P2987),"",IF(C2987="Buy",Q2987-M2987+T2987, IF(C2987="Sell",M2987-Q2987-T2987, X)))</f>
        <v/>
      </c>
      <c r="V2987" s="81">
        <f>IF(ISBLANK(P2987),"",U2987/N2987)</f>
        <v/>
      </c>
      <c r="W2987" s="81">
        <f>IF(ISBLANK(P2987),"",IF(S2987=0,(365/0.5)*V2987,(365/S2987)*V2987))</f>
        <v/>
      </c>
      <c r="X2987" s="75" t="n"/>
      <c r="Y2987" s="77" t="n"/>
      <c r="Z2987" s="77" t="n"/>
      <c r="AA2987" s="75" t="n"/>
      <c r="AB2987" s="75" t="n"/>
      <c r="AC2987" s="6" t="n"/>
      <c r="AD2987" s="75" t="n"/>
      <c r="AE2987" s="75" t="n"/>
      <c r="AF2987" s="75" t="n"/>
    </row>
    <row r="2988" ht="15.75" customHeight="1" s="133">
      <c r="A2988" s="75" t="n"/>
      <c r="B2988" s="75" t="n"/>
      <c r="C2988" s="75" t="n"/>
      <c r="D2988" s="75" t="n"/>
      <c r="E2988" s="76" t="n"/>
      <c r="F2988" s="77" t="n"/>
      <c r="G2988" s="75" t="n"/>
      <c r="H2988" s="75">
        <f>IF(ISBLANK(E2988),"",IF(OR(D2988="Butterfly",D2988="Butterfly ",D2988="Iron Fly", D2988="Iron Fly "),LEN(E2988)-LEN(SUBSTITUTE(E2988,"/",""))+2,LEN(E2988)-LEN(SUBSTITUTE(E2988,"/",""))+1))</f>
        <v/>
      </c>
      <c r="I2988" s="78">
        <f>IF(ISBLANK(G2988),"",IF(D2988="Stock","0",Key!$A$3*H2988*G2988))</f>
        <v/>
      </c>
      <c r="J2988" s="78">
        <f>IF(ISBLANK(E2988),"",IF(ISNUMBER(SEARCH("/",E2988)), IF(LEN(E2988)-LEN(SUBSTITUTE(E2988,"/",""))=1,(RIGHT(E2988,LEN(E2988)-FIND("/",E2988)))-(LEFT(E2988,FIND("/",E2988)-1)),(MID(E2988, SEARCH("/",E2988) + 1, SEARCH("/",E2988, SEARCH("/",E2988)+1) - SEARCH("/",E2988) - 1))-(LEFT(E2988,FIND("/",E2988)-1))), "NA"))</f>
        <v/>
      </c>
      <c r="K2988" s="79">
        <f>IF(A2988&lt;&gt;"", IF(ISBLANK(L2988), TODAY(), K2988), "")</f>
        <v/>
      </c>
      <c r="L2988" s="78" t="n"/>
      <c r="M2988" s="78">
        <f>IF(ISBLANK(L2988),"",IF(D2988="Stock",IF(C2988="Buy",L2988*G2988,IF(C2988="Sell",(L2988*G2988)-I2988, X)),IF(C2988="Buy",(L2988*G2988*100)+I2988,IF(C2988="Sell",(L2988*G2988*100)-I2988, X))))</f>
        <v/>
      </c>
      <c r="N2988" s="78">
        <f>IF(ISBLANK(L2988),"",IF(AND(C2988="Sell",D2988="Stock"),M2988,IF(ISBLANK(L2988),"",IF(C2988="Buy",M2988, IF(AND(C2988="Sell",J2988="NA"),(E2988*G2988*100*0.1)+I2988, IF(C2988="Sell",(J2988-L2988)*(100*G2988)+I2988))))))</f>
        <v/>
      </c>
      <c r="O2988" s="75" t="n"/>
      <c r="P2988" s="75" t="n"/>
      <c r="Q2988" s="75">
        <f>IF(ISBLANK(P2988),"",IF(D2988="Stock",P2988*G2988,IF(P2988=0,"0",G2988*P2988*100-(G2988*$AF$14))))</f>
        <v/>
      </c>
      <c r="R2988" s="79">
        <f>IF(P2988&lt;&gt;"", TODAY(), "")</f>
        <v/>
      </c>
      <c r="S2988" s="78">
        <f>IF(AND(K2988&lt;&gt;"", R2988&lt;&gt;""), R2988-K2988, "")</f>
        <v/>
      </c>
      <c r="T2988" s="78" t="n"/>
      <c r="U2988" s="92">
        <f>IF(ISBLANK(P2988),"",IF(C2988="Buy",Q2988-M2988+T2988, IF(C2988="Sell",M2988-Q2988-T2988, X)))</f>
        <v/>
      </c>
      <c r="V2988" s="81">
        <f>IF(ISBLANK(P2988),"",U2988/N2988)</f>
        <v/>
      </c>
      <c r="W2988" s="81">
        <f>IF(ISBLANK(P2988),"",IF(S2988=0,(365/0.5)*V2988,(365/S2988)*V2988))</f>
        <v/>
      </c>
      <c r="X2988" s="75" t="n"/>
      <c r="Y2988" s="77" t="n"/>
      <c r="Z2988" s="77" t="n"/>
      <c r="AA2988" s="75" t="n"/>
      <c r="AB2988" s="75" t="n"/>
      <c r="AC2988" s="6" t="n"/>
      <c r="AD2988" s="75" t="n"/>
      <c r="AE2988" s="75" t="n"/>
      <c r="AF2988" s="75" t="n"/>
    </row>
    <row r="2989" ht="15.75" customHeight="1" s="133">
      <c r="A2989" s="75" t="n"/>
      <c r="B2989" s="75" t="n"/>
      <c r="C2989" s="75" t="n"/>
      <c r="D2989" s="75" t="n"/>
      <c r="E2989" s="76" t="n"/>
      <c r="F2989" s="77" t="n"/>
      <c r="G2989" s="75" t="n"/>
      <c r="H2989" s="75">
        <f>IF(ISBLANK(E2989),"",IF(OR(D2989="Butterfly",D2989="Butterfly ",D2989="Iron Fly", D2989="Iron Fly "),LEN(E2989)-LEN(SUBSTITUTE(E2989,"/",""))+2,LEN(E2989)-LEN(SUBSTITUTE(E2989,"/",""))+1))</f>
        <v/>
      </c>
      <c r="I2989" s="78">
        <f>IF(ISBLANK(G2989),"",IF(D2989="Stock","0",Key!$A$3*H2989*G2989))</f>
        <v/>
      </c>
      <c r="J2989" s="78">
        <f>IF(ISBLANK(E2989),"",IF(ISNUMBER(SEARCH("/",E2989)), IF(LEN(E2989)-LEN(SUBSTITUTE(E2989,"/",""))=1,(RIGHT(E2989,LEN(E2989)-FIND("/",E2989)))-(LEFT(E2989,FIND("/",E2989)-1)),(MID(E2989, SEARCH("/",E2989) + 1, SEARCH("/",E2989, SEARCH("/",E2989)+1) - SEARCH("/",E2989) - 1))-(LEFT(E2989,FIND("/",E2989)-1))), "NA"))</f>
        <v/>
      </c>
      <c r="K2989" s="79">
        <f>IF(A2989&lt;&gt;"", IF(ISBLANK(L2989), TODAY(), K2989), "")</f>
        <v/>
      </c>
      <c r="L2989" s="78" t="n"/>
      <c r="M2989" s="78">
        <f>IF(ISBLANK(L2989),"",IF(D2989="Stock",IF(C2989="Buy",L2989*G2989,IF(C2989="Sell",(L2989*G2989)-I2989, X)),IF(C2989="Buy",(L2989*G2989*100)+I2989,IF(C2989="Sell",(L2989*G2989*100)-I2989, X))))</f>
        <v/>
      </c>
      <c r="N2989" s="78">
        <f>IF(ISBLANK(L2989),"",IF(AND(C2989="Sell",D2989="Stock"),M2989,IF(ISBLANK(L2989),"",IF(C2989="Buy",M2989, IF(AND(C2989="Sell",J2989="NA"),(E2989*G2989*100*0.1)+I2989, IF(C2989="Sell",(J2989-L2989)*(100*G2989)+I2989))))))</f>
        <v/>
      </c>
      <c r="O2989" s="75" t="n"/>
      <c r="P2989" s="75" t="n"/>
      <c r="Q2989" s="75">
        <f>IF(ISBLANK(P2989),"",IF(D2989="Stock",P2989*G2989,IF(P2989=0,"0",G2989*P2989*100-(G2989*$AF$14))))</f>
        <v/>
      </c>
      <c r="R2989" s="79">
        <f>IF(P2989&lt;&gt;"", TODAY(), "")</f>
        <v/>
      </c>
      <c r="S2989" s="78">
        <f>IF(AND(K2989&lt;&gt;"", R2989&lt;&gt;""), R2989-K2989, "")</f>
        <v/>
      </c>
      <c r="T2989" s="78" t="n"/>
      <c r="U2989" s="92">
        <f>IF(ISBLANK(P2989),"",IF(C2989="Buy",Q2989-M2989+T2989, IF(C2989="Sell",M2989-Q2989-T2989, X)))</f>
        <v/>
      </c>
      <c r="V2989" s="81">
        <f>IF(ISBLANK(P2989),"",U2989/N2989)</f>
        <v/>
      </c>
      <c r="W2989" s="81">
        <f>IF(ISBLANK(P2989),"",IF(S2989=0,(365/0.5)*V2989,(365/S2989)*V2989))</f>
        <v/>
      </c>
      <c r="X2989" s="75" t="n"/>
      <c r="Y2989" s="77" t="n"/>
      <c r="Z2989" s="77" t="n"/>
      <c r="AA2989" s="75" t="n"/>
      <c r="AB2989" s="75" t="n"/>
      <c r="AC2989" s="6" t="n"/>
      <c r="AD2989" s="75" t="n"/>
      <c r="AE2989" s="75" t="n"/>
      <c r="AF2989" s="75" t="n"/>
    </row>
    <row r="2990" ht="15.75" customHeight="1" s="133">
      <c r="A2990" s="75" t="n"/>
      <c r="B2990" s="75" t="n"/>
      <c r="C2990" s="75" t="n"/>
      <c r="D2990" s="75" t="n"/>
      <c r="E2990" s="76" t="n"/>
      <c r="F2990" s="77" t="n"/>
      <c r="G2990" s="75" t="n"/>
      <c r="H2990" s="75">
        <f>IF(ISBLANK(E2990),"",IF(OR(D2990="Butterfly",D2990="Butterfly ",D2990="Iron Fly", D2990="Iron Fly "),LEN(E2990)-LEN(SUBSTITUTE(E2990,"/",""))+2,LEN(E2990)-LEN(SUBSTITUTE(E2990,"/",""))+1))</f>
        <v/>
      </c>
      <c r="I2990" s="78">
        <f>IF(ISBLANK(G2990),"",IF(D2990="Stock","0",Key!$A$3*H2990*G2990))</f>
        <v/>
      </c>
      <c r="J2990" s="78">
        <f>IF(ISBLANK(E2990),"",IF(ISNUMBER(SEARCH("/",E2990)), IF(LEN(E2990)-LEN(SUBSTITUTE(E2990,"/",""))=1,(RIGHT(E2990,LEN(E2990)-FIND("/",E2990)))-(LEFT(E2990,FIND("/",E2990)-1)),(MID(E2990, SEARCH("/",E2990) + 1, SEARCH("/",E2990, SEARCH("/",E2990)+1) - SEARCH("/",E2990) - 1))-(LEFT(E2990,FIND("/",E2990)-1))), "NA"))</f>
        <v/>
      </c>
      <c r="K2990" s="79">
        <f>IF(A2990&lt;&gt;"", IF(ISBLANK(L2990), TODAY(), K2990), "")</f>
        <v/>
      </c>
      <c r="L2990" s="78" t="n"/>
      <c r="M2990" s="78">
        <f>IF(ISBLANK(L2990),"",IF(D2990="Stock",IF(C2990="Buy",L2990*G2990,IF(C2990="Sell",(L2990*G2990)-I2990, X)),IF(C2990="Buy",(L2990*G2990*100)+I2990,IF(C2990="Sell",(L2990*G2990*100)-I2990, X))))</f>
        <v/>
      </c>
      <c r="N2990" s="78">
        <f>IF(ISBLANK(L2990),"",IF(AND(C2990="Sell",D2990="Stock"),M2990,IF(ISBLANK(L2990),"",IF(C2990="Buy",M2990, IF(AND(C2990="Sell",J2990="NA"),(E2990*G2990*100*0.1)+I2990, IF(C2990="Sell",(J2990-L2990)*(100*G2990)+I2990))))))</f>
        <v/>
      </c>
      <c r="O2990" s="75" t="n"/>
      <c r="P2990" s="75" t="n"/>
      <c r="Q2990" s="75">
        <f>IF(ISBLANK(P2990),"",IF(D2990="Stock",P2990*G2990,IF(P2990=0,"0",G2990*P2990*100-(G2990*$AF$14))))</f>
        <v/>
      </c>
      <c r="R2990" s="79">
        <f>IF(P2990&lt;&gt;"", TODAY(), "")</f>
        <v/>
      </c>
      <c r="S2990" s="78">
        <f>IF(AND(K2990&lt;&gt;"", R2990&lt;&gt;""), R2990-K2990, "")</f>
        <v/>
      </c>
      <c r="T2990" s="78" t="n"/>
      <c r="U2990" s="92">
        <f>IF(ISBLANK(P2990),"",IF(C2990="Buy",Q2990-M2990+T2990, IF(C2990="Sell",M2990-Q2990-T2990, X)))</f>
        <v/>
      </c>
      <c r="V2990" s="81">
        <f>IF(ISBLANK(P2990),"",U2990/N2990)</f>
        <v/>
      </c>
      <c r="W2990" s="81">
        <f>IF(ISBLANK(P2990),"",IF(S2990=0,(365/0.5)*V2990,(365/S2990)*V2990))</f>
        <v/>
      </c>
      <c r="X2990" s="75" t="n"/>
      <c r="Y2990" s="77" t="n"/>
      <c r="Z2990" s="77" t="n"/>
      <c r="AA2990" s="75" t="n"/>
      <c r="AB2990" s="75" t="n"/>
      <c r="AC2990" s="6" t="n"/>
      <c r="AD2990" s="75" t="n"/>
      <c r="AE2990" s="75" t="n"/>
      <c r="AF2990" s="75" t="n"/>
    </row>
    <row r="2991" ht="15.75" customHeight="1" s="133">
      <c r="A2991" s="75" t="n"/>
      <c r="B2991" s="75" t="n"/>
      <c r="C2991" s="75" t="n"/>
      <c r="D2991" s="75" t="n"/>
      <c r="E2991" s="76" t="n"/>
      <c r="F2991" s="77" t="n"/>
      <c r="G2991" s="75" t="n"/>
      <c r="H2991" s="75">
        <f>IF(ISBLANK(E2991),"",IF(OR(D2991="Butterfly",D2991="Butterfly ",D2991="Iron Fly", D2991="Iron Fly "),LEN(E2991)-LEN(SUBSTITUTE(E2991,"/",""))+2,LEN(E2991)-LEN(SUBSTITUTE(E2991,"/",""))+1))</f>
        <v/>
      </c>
      <c r="I2991" s="78">
        <f>IF(ISBLANK(G2991),"",IF(D2991="Stock","0",Key!$A$3*H2991*G2991))</f>
        <v/>
      </c>
      <c r="J2991" s="78">
        <f>IF(ISBLANK(E2991),"",IF(ISNUMBER(SEARCH("/",E2991)), IF(LEN(E2991)-LEN(SUBSTITUTE(E2991,"/",""))=1,(RIGHT(E2991,LEN(E2991)-FIND("/",E2991)))-(LEFT(E2991,FIND("/",E2991)-1)),(MID(E2991, SEARCH("/",E2991) + 1, SEARCH("/",E2991, SEARCH("/",E2991)+1) - SEARCH("/",E2991) - 1))-(LEFT(E2991,FIND("/",E2991)-1))), "NA"))</f>
        <v/>
      </c>
      <c r="K2991" s="79">
        <f>IF(A2991&lt;&gt;"", IF(ISBLANK(L2991), TODAY(), K2991), "")</f>
        <v/>
      </c>
      <c r="L2991" s="78" t="n"/>
      <c r="M2991" s="78">
        <f>IF(ISBLANK(L2991),"",IF(D2991="Stock",IF(C2991="Buy",L2991*G2991,IF(C2991="Sell",(L2991*G2991)-I2991, X)),IF(C2991="Buy",(L2991*G2991*100)+I2991,IF(C2991="Sell",(L2991*G2991*100)-I2991, X))))</f>
        <v/>
      </c>
      <c r="N2991" s="78">
        <f>IF(ISBLANK(L2991),"",IF(AND(C2991="Sell",D2991="Stock"),M2991,IF(ISBLANK(L2991),"",IF(C2991="Buy",M2991, IF(AND(C2991="Sell",J2991="NA"),(E2991*G2991*100*0.1)+I2991, IF(C2991="Sell",(J2991-L2991)*(100*G2991)+I2991))))))</f>
        <v/>
      </c>
      <c r="O2991" s="75" t="n"/>
      <c r="P2991" s="75" t="n"/>
      <c r="Q2991" s="75">
        <f>IF(ISBLANK(P2991),"",IF(D2991="Stock",P2991*G2991,IF(P2991=0,"0",G2991*P2991*100-(G2991*$AF$14))))</f>
        <v/>
      </c>
      <c r="R2991" s="79">
        <f>IF(P2991&lt;&gt;"", TODAY(), "")</f>
        <v/>
      </c>
      <c r="S2991" s="78">
        <f>IF(AND(K2991&lt;&gt;"", R2991&lt;&gt;""), R2991-K2991, "")</f>
        <v/>
      </c>
      <c r="T2991" s="78" t="n"/>
      <c r="U2991" s="92">
        <f>IF(ISBLANK(P2991),"",IF(C2991="Buy",Q2991-M2991+T2991, IF(C2991="Sell",M2991-Q2991-T2991, X)))</f>
        <v/>
      </c>
      <c r="V2991" s="81">
        <f>IF(ISBLANK(P2991),"",U2991/N2991)</f>
        <v/>
      </c>
      <c r="W2991" s="81">
        <f>IF(ISBLANK(P2991),"",IF(S2991=0,(365/0.5)*V2991,(365/S2991)*V2991))</f>
        <v/>
      </c>
      <c r="X2991" s="75" t="n"/>
      <c r="Y2991" s="77" t="n"/>
      <c r="Z2991" s="77" t="n"/>
      <c r="AA2991" s="75" t="n"/>
      <c r="AB2991" s="75" t="n"/>
      <c r="AC2991" s="6" t="n"/>
      <c r="AD2991" s="75" t="n"/>
      <c r="AE2991" s="75" t="n"/>
      <c r="AF2991" s="75" t="n"/>
    </row>
    <row r="2992" ht="15.75" customHeight="1" s="133">
      <c r="A2992" s="75" t="n"/>
      <c r="B2992" s="75" t="n"/>
      <c r="C2992" s="75" t="n"/>
      <c r="D2992" s="75" t="n"/>
      <c r="E2992" s="76" t="n"/>
      <c r="F2992" s="77" t="n"/>
      <c r="G2992" s="75" t="n"/>
      <c r="H2992" s="75">
        <f>IF(ISBLANK(E2992),"",IF(OR(D2992="Butterfly",D2992="Butterfly ",D2992="Iron Fly", D2992="Iron Fly "),LEN(E2992)-LEN(SUBSTITUTE(E2992,"/",""))+2,LEN(E2992)-LEN(SUBSTITUTE(E2992,"/",""))+1))</f>
        <v/>
      </c>
      <c r="I2992" s="78">
        <f>IF(ISBLANK(G2992),"",IF(D2992="Stock","0",Key!$A$3*H2992*G2992))</f>
        <v/>
      </c>
      <c r="J2992" s="78">
        <f>IF(ISBLANK(E2992),"",IF(ISNUMBER(SEARCH("/",E2992)), IF(LEN(E2992)-LEN(SUBSTITUTE(E2992,"/",""))=1,(RIGHT(E2992,LEN(E2992)-FIND("/",E2992)))-(LEFT(E2992,FIND("/",E2992)-1)),(MID(E2992, SEARCH("/",E2992) + 1, SEARCH("/",E2992, SEARCH("/",E2992)+1) - SEARCH("/",E2992) - 1))-(LEFT(E2992,FIND("/",E2992)-1))), "NA"))</f>
        <v/>
      </c>
      <c r="K2992" s="79">
        <f>IF(A2992&lt;&gt;"", IF(ISBLANK(L2992), TODAY(), K2992), "")</f>
        <v/>
      </c>
      <c r="L2992" s="78" t="n"/>
      <c r="M2992" s="78">
        <f>IF(ISBLANK(L2992),"",IF(D2992="Stock",IF(C2992="Buy",L2992*G2992,IF(C2992="Sell",(L2992*G2992)-I2992, X)),IF(C2992="Buy",(L2992*G2992*100)+I2992,IF(C2992="Sell",(L2992*G2992*100)-I2992, X))))</f>
        <v/>
      </c>
      <c r="N2992" s="78">
        <f>IF(ISBLANK(L2992),"",IF(AND(C2992="Sell",D2992="Stock"),M2992,IF(ISBLANK(L2992),"",IF(C2992="Buy",M2992, IF(AND(C2992="Sell",J2992="NA"),(E2992*G2992*100*0.1)+I2992, IF(C2992="Sell",(J2992-L2992)*(100*G2992)+I2992))))))</f>
        <v/>
      </c>
      <c r="O2992" s="75" t="n"/>
      <c r="P2992" s="75" t="n"/>
      <c r="Q2992" s="75">
        <f>IF(ISBLANK(P2992),"",IF(D2992="Stock",P2992*G2992,IF(P2992=0,"0",G2992*P2992*100-(G2992*$AF$14))))</f>
        <v/>
      </c>
      <c r="R2992" s="79">
        <f>IF(P2992&lt;&gt;"", TODAY(), "")</f>
        <v/>
      </c>
      <c r="S2992" s="78">
        <f>IF(AND(K2992&lt;&gt;"", R2992&lt;&gt;""), R2992-K2992, "")</f>
        <v/>
      </c>
      <c r="T2992" s="78" t="n"/>
      <c r="U2992" s="92">
        <f>IF(ISBLANK(P2992),"",IF(C2992="Buy",Q2992-M2992+T2992, IF(C2992="Sell",M2992-Q2992-T2992, X)))</f>
        <v/>
      </c>
      <c r="V2992" s="81">
        <f>IF(ISBLANK(P2992),"",U2992/N2992)</f>
        <v/>
      </c>
      <c r="W2992" s="81">
        <f>IF(ISBLANK(P2992),"",IF(S2992=0,(365/0.5)*V2992,(365/S2992)*V2992))</f>
        <v/>
      </c>
      <c r="X2992" s="75" t="n"/>
      <c r="Y2992" s="77" t="n"/>
      <c r="Z2992" s="77" t="n"/>
      <c r="AA2992" s="75" t="n"/>
      <c r="AB2992" s="75" t="n"/>
      <c r="AC2992" s="6" t="n"/>
      <c r="AD2992" s="75" t="n"/>
      <c r="AE2992" s="75" t="n"/>
      <c r="AF2992" s="75" t="n"/>
    </row>
    <row r="2993" ht="15.75" customHeight="1" s="133">
      <c r="A2993" s="75" t="n"/>
      <c r="B2993" s="75" t="n"/>
      <c r="C2993" s="75" t="n"/>
      <c r="D2993" s="75" t="n"/>
      <c r="E2993" s="76" t="n"/>
      <c r="F2993" s="77" t="n"/>
      <c r="G2993" s="75" t="n"/>
      <c r="H2993" s="75">
        <f>IF(ISBLANK(E2993),"",IF(OR(D2993="Butterfly",D2993="Butterfly ",D2993="Iron Fly", D2993="Iron Fly "),LEN(E2993)-LEN(SUBSTITUTE(E2993,"/",""))+2,LEN(E2993)-LEN(SUBSTITUTE(E2993,"/",""))+1))</f>
        <v/>
      </c>
      <c r="I2993" s="78">
        <f>IF(ISBLANK(G2993),"",IF(D2993="Stock","0",Key!$A$3*H2993*G2993))</f>
        <v/>
      </c>
      <c r="J2993" s="78">
        <f>IF(ISBLANK(E2993),"",IF(ISNUMBER(SEARCH("/",E2993)), IF(LEN(E2993)-LEN(SUBSTITUTE(E2993,"/",""))=1,(RIGHT(E2993,LEN(E2993)-FIND("/",E2993)))-(LEFT(E2993,FIND("/",E2993)-1)),(MID(E2993, SEARCH("/",E2993) + 1, SEARCH("/",E2993, SEARCH("/",E2993)+1) - SEARCH("/",E2993) - 1))-(LEFT(E2993,FIND("/",E2993)-1))), "NA"))</f>
        <v/>
      </c>
      <c r="K2993" s="79">
        <f>IF(A2993&lt;&gt;"", IF(ISBLANK(L2993), TODAY(), K2993), "")</f>
        <v/>
      </c>
      <c r="L2993" s="78" t="n"/>
      <c r="M2993" s="78">
        <f>IF(ISBLANK(L2993),"",IF(D2993="Stock",IF(C2993="Buy",L2993*G2993,IF(C2993="Sell",(L2993*G2993)-I2993, X)),IF(C2993="Buy",(L2993*G2993*100)+I2993,IF(C2993="Sell",(L2993*G2993*100)-I2993, X))))</f>
        <v/>
      </c>
      <c r="N2993" s="78">
        <f>IF(ISBLANK(L2993),"",IF(AND(C2993="Sell",D2993="Stock"),M2993,IF(ISBLANK(L2993),"",IF(C2993="Buy",M2993, IF(AND(C2993="Sell",J2993="NA"),(E2993*G2993*100*0.1)+I2993, IF(C2993="Sell",(J2993-L2993)*(100*G2993)+I2993))))))</f>
        <v/>
      </c>
      <c r="O2993" s="75" t="n"/>
      <c r="P2993" s="75" t="n"/>
      <c r="Q2993" s="75">
        <f>IF(ISBLANK(P2993),"",IF(D2993="Stock",P2993*G2993,IF(P2993=0,"0",G2993*P2993*100-(G2993*$AF$14))))</f>
        <v/>
      </c>
      <c r="R2993" s="79">
        <f>IF(P2993&lt;&gt;"", TODAY(), "")</f>
        <v/>
      </c>
      <c r="S2993" s="78">
        <f>IF(AND(K2993&lt;&gt;"", R2993&lt;&gt;""), R2993-K2993, "")</f>
        <v/>
      </c>
      <c r="T2993" s="78" t="n"/>
      <c r="U2993" s="92">
        <f>IF(ISBLANK(P2993),"",IF(C2993="Buy",Q2993-M2993+T2993, IF(C2993="Sell",M2993-Q2993-T2993, X)))</f>
        <v/>
      </c>
      <c r="V2993" s="81">
        <f>IF(ISBLANK(P2993),"",U2993/N2993)</f>
        <v/>
      </c>
      <c r="W2993" s="81">
        <f>IF(ISBLANK(P2993),"",IF(S2993=0,(365/0.5)*V2993,(365/S2993)*V2993))</f>
        <v/>
      </c>
      <c r="X2993" s="75" t="n"/>
      <c r="Y2993" s="77" t="n"/>
      <c r="Z2993" s="77" t="n"/>
      <c r="AA2993" s="75" t="n"/>
      <c r="AB2993" s="75" t="n"/>
      <c r="AC2993" s="6" t="n"/>
      <c r="AD2993" s="75" t="n"/>
      <c r="AE2993" s="75" t="n"/>
      <c r="AF2993" s="75" t="n"/>
    </row>
    <row r="2994" ht="15.75" customHeight="1" s="133">
      <c r="A2994" s="75" t="n"/>
      <c r="B2994" s="75" t="n"/>
      <c r="C2994" s="75" t="n"/>
      <c r="D2994" s="75" t="n"/>
      <c r="E2994" s="76" t="n"/>
      <c r="F2994" s="77" t="n"/>
      <c r="G2994" s="75" t="n"/>
      <c r="H2994" s="75">
        <f>IF(ISBLANK(E2994),"",IF(OR(D2994="Butterfly",D2994="Butterfly ",D2994="Iron Fly", D2994="Iron Fly "),LEN(E2994)-LEN(SUBSTITUTE(E2994,"/",""))+2,LEN(E2994)-LEN(SUBSTITUTE(E2994,"/",""))+1))</f>
        <v/>
      </c>
      <c r="I2994" s="78">
        <f>IF(ISBLANK(G2994),"",IF(D2994="Stock","0",Key!$A$3*H2994*G2994))</f>
        <v/>
      </c>
      <c r="J2994" s="78">
        <f>IF(ISBLANK(E2994),"",IF(ISNUMBER(SEARCH("/",E2994)), IF(LEN(E2994)-LEN(SUBSTITUTE(E2994,"/",""))=1,(RIGHT(E2994,LEN(E2994)-FIND("/",E2994)))-(LEFT(E2994,FIND("/",E2994)-1)),(MID(E2994, SEARCH("/",E2994) + 1, SEARCH("/",E2994, SEARCH("/",E2994)+1) - SEARCH("/",E2994) - 1))-(LEFT(E2994,FIND("/",E2994)-1))), "NA"))</f>
        <v/>
      </c>
      <c r="K2994" s="79">
        <f>IF(A2994&lt;&gt;"", IF(ISBLANK(L2994), TODAY(), K2994), "")</f>
        <v/>
      </c>
      <c r="L2994" s="78" t="n"/>
      <c r="M2994" s="78">
        <f>IF(ISBLANK(L2994),"",IF(D2994="Stock",IF(C2994="Buy",L2994*G2994,IF(C2994="Sell",(L2994*G2994)-I2994, X)),IF(C2994="Buy",(L2994*G2994*100)+I2994,IF(C2994="Sell",(L2994*G2994*100)-I2994, X))))</f>
        <v/>
      </c>
      <c r="N2994" s="78">
        <f>IF(ISBLANK(L2994),"",IF(AND(C2994="Sell",D2994="Stock"),M2994,IF(ISBLANK(L2994),"",IF(C2994="Buy",M2994, IF(AND(C2994="Sell",J2994="NA"),(E2994*G2994*100*0.1)+I2994, IF(C2994="Sell",(J2994-L2994)*(100*G2994)+I2994))))))</f>
        <v/>
      </c>
      <c r="O2994" s="75" t="n"/>
      <c r="P2994" s="75" t="n"/>
      <c r="Q2994" s="75">
        <f>IF(ISBLANK(P2994),"",IF(D2994="Stock",P2994*G2994,IF(P2994=0,"0",G2994*P2994*100-(G2994*$AF$14))))</f>
        <v/>
      </c>
      <c r="R2994" s="79">
        <f>IF(P2994&lt;&gt;"", TODAY(), "")</f>
        <v/>
      </c>
      <c r="S2994" s="78">
        <f>IF(AND(K2994&lt;&gt;"", R2994&lt;&gt;""), R2994-K2994, "")</f>
        <v/>
      </c>
      <c r="T2994" s="78" t="n"/>
      <c r="U2994" s="92">
        <f>IF(ISBLANK(P2994),"",IF(C2994="Buy",Q2994-M2994+T2994, IF(C2994="Sell",M2994-Q2994-T2994, X)))</f>
        <v/>
      </c>
      <c r="V2994" s="81">
        <f>IF(ISBLANK(P2994),"",U2994/N2994)</f>
        <v/>
      </c>
      <c r="W2994" s="81">
        <f>IF(ISBLANK(P2994),"",IF(S2994=0,(365/0.5)*V2994,(365/S2994)*V2994))</f>
        <v/>
      </c>
      <c r="X2994" s="75" t="n"/>
      <c r="Y2994" s="77" t="n"/>
      <c r="Z2994" s="77" t="n"/>
      <c r="AA2994" s="75" t="n"/>
      <c r="AB2994" s="75" t="n"/>
      <c r="AC2994" s="6" t="n"/>
      <c r="AD2994" s="75" t="n"/>
      <c r="AE2994" s="75" t="n"/>
      <c r="AF2994" s="75" t="n"/>
    </row>
    <row r="2995" ht="15.75" customHeight="1" s="133">
      <c r="A2995" s="75" t="n"/>
      <c r="B2995" s="75" t="n"/>
      <c r="C2995" s="75" t="n"/>
      <c r="D2995" s="75" t="n"/>
      <c r="E2995" s="76" t="n"/>
      <c r="F2995" s="77" t="n"/>
      <c r="G2995" s="75" t="n"/>
      <c r="H2995" s="75">
        <f>IF(ISBLANK(E2995),"",IF(OR(D2995="Butterfly",D2995="Butterfly ",D2995="Iron Fly", D2995="Iron Fly "),LEN(E2995)-LEN(SUBSTITUTE(E2995,"/",""))+2,LEN(E2995)-LEN(SUBSTITUTE(E2995,"/",""))+1))</f>
        <v/>
      </c>
      <c r="I2995" s="78">
        <f>IF(ISBLANK(G2995),"",IF(D2995="Stock","0",Key!$A$3*H2995*G2995))</f>
        <v/>
      </c>
      <c r="J2995" s="78">
        <f>IF(ISBLANK(E2995),"",IF(ISNUMBER(SEARCH("/",E2995)), IF(LEN(E2995)-LEN(SUBSTITUTE(E2995,"/",""))=1,(RIGHT(E2995,LEN(E2995)-FIND("/",E2995)))-(LEFT(E2995,FIND("/",E2995)-1)),(MID(E2995, SEARCH("/",E2995) + 1, SEARCH("/",E2995, SEARCH("/",E2995)+1) - SEARCH("/",E2995) - 1))-(LEFT(E2995,FIND("/",E2995)-1))), "NA"))</f>
        <v/>
      </c>
      <c r="K2995" s="79">
        <f>IF(A2995&lt;&gt;"", IF(ISBLANK(L2995), TODAY(), K2995), "")</f>
        <v/>
      </c>
      <c r="L2995" s="78" t="n"/>
      <c r="M2995" s="78">
        <f>IF(ISBLANK(L2995),"",IF(D2995="Stock",IF(C2995="Buy",L2995*G2995,IF(C2995="Sell",(L2995*G2995)-I2995, X)),IF(C2995="Buy",(L2995*G2995*100)+I2995,IF(C2995="Sell",(L2995*G2995*100)-I2995, X))))</f>
        <v/>
      </c>
      <c r="N2995" s="78">
        <f>IF(ISBLANK(L2995),"",IF(AND(C2995="Sell",D2995="Stock"),M2995,IF(ISBLANK(L2995),"",IF(C2995="Buy",M2995, IF(AND(C2995="Sell",J2995="NA"),(E2995*G2995*100*0.1)+I2995, IF(C2995="Sell",(J2995-L2995)*(100*G2995)+I2995))))))</f>
        <v/>
      </c>
      <c r="O2995" s="75" t="n"/>
      <c r="P2995" s="75" t="n"/>
      <c r="Q2995" s="75">
        <f>IF(ISBLANK(P2995),"",IF(D2995="Stock",P2995*G2995,IF(P2995=0,"0",G2995*P2995*100-(G2995*$AF$14))))</f>
        <v/>
      </c>
      <c r="R2995" s="79">
        <f>IF(P2995&lt;&gt;"", TODAY(), "")</f>
        <v/>
      </c>
      <c r="S2995" s="78">
        <f>IF(AND(K2995&lt;&gt;"", R2995&lt;&gt;""), R2995-K2995, "")</f>
        <v/>
      </c>
      <c r="T2995" s="78" t="n"/>
      <c r="U2995" s="92">
        <f>IF(ISBLANK(P2995),"",IF(C2995="Buy",Q2995-M2995+T2995, IF(C2995="Sell",M2995-Q2995-T2995, X)))</f>
        <v/>
      </c>
      <c r="V2995" s="81">
        <f>IF(ISBLANK(P2995),"",U2995/N2995)</f>
        <v/>
      </c>
      <c r="W2995" s="81">
        <f>IF(ISBLANK(P2995),"",IF(S2995=0,(365/0.5)*V2995,(365/S2995)*V2995))</f>
        <v/>
      </c>
      <c r="X2995" s="75" t="n"/>
      <c r="Y2995" s="77" t="n"/>
      <c r="Z2995" s="77" t="n"/>
      <c r="AA2995" s="75" t="n"/>
      <c r="AB2995" s="75" t="n"/>
      <c r="AC2995" s="6" t="n"/>
      <c r="AD2995" s="75" t="n"/>
      <c r="AE2995" s="75" t="n"/>
      <c r="AF2995" s="75" t="n"/>
    </row>
    <row r="2996" ht="15.75" customHeight="1" s="133">
      <c r="A2996" s="75" t="n"/>
      <c r="B2996" s="75" t="n"/>
      <c r="C2996" s="75" t="n"/>
      <c r="D2996" s="75" t="n"/>
      <c r="E2996" s="76" t="n"/>
      <c r="F2996" s="77" t="n"/>
      <c r="G2996" s="75" t="n"/>
      <c r="H2996" s="75">
        <f>IF(ISBLANK(E2996),"",IF(OR(D2996="Butterfly",D2996="Butterfly ",D2996="Iron Fly", D2996="Iron Fly "),LEN(E2996)-LEN(SUBSTITUTE(E2996,"/",""))+2,LEN(E2996)-LEN(SUBSTITUTE(E2996,"/",""))+1))</f>
        <v/>
      </c>
      <c r="I2996" s="78">
        <f>IF(ISBLANK(G2996),"",IF(D2996="Stock","0",Key!$A$3*H2996*G2996))</f>
        <v/>
      </c>
      <c r="J2996" s="78">
        <f>IF(ISBLANK(E2996),"",IF(ISNUMBER(SEARCH("/",E2996)), IF(LEN(E2996)-LEN(SUBSTITUTE(E2996,"/",""))=1,(RIGHT(E2996,LEN(E2996)-FIND("/",E2996)))-(LEFT(E2996,FIND("/",E2996)-1)),(MID(E2996, SEARCH("/",E2996) + 1, SEARCH("/",E2996, SEARCH("/",E2996)+1) - SEARCH("/",E2996) - 1))-(LEFT(E2996,FIND("/",E2996)-1))), "NA"))</f>
        <v/>
      </c>
      <c r="K2996" s="79">
        <f>IF(A2996&lt;&gt;"", IF(ISBLANK(L2996), TODAY(), K2996), "")</f>
        <v/>
      </c>
      <c r="L2996" s="78" t="n"/>
      <c r="M2996" s="78">
        <f>IF(ISBLANK(L2996),"",IF(D2996="Stock",IF(C2996="Buy",L2996*G2996,IF(C2996="Sell",(L2996*G2996)-I2996, X)),IF(C2996="Buy",(L2996*G2996*100)+I2996,IF(C2996="Sell",(L2996*G2996*100)-I2996, X))))</f>
        <v/>
      </c>
      <c r="N2996" s="78">
        <f>IF(ISBLANK(L2996),"",IF(AND(C2996="Sell",D2996="Stock"),M2996,IF(ISBLANK(L2996),"",IF(C2996="Buy",M2996, IF(AND(C2996="Sell",J2996="NA"),(E2996*G2996*100*0.1)+I2996, IF(C2996="Sell",(J2996-L2996)*(100*G2996)+I2996))))))</f>
        <v/>
      </c>
      <c r="O2996" s="75" t="n"/>
      <c r="P2996" s="75" t="n"/>
      <c r="Q2996" s="75">
        <f>IF(ISBLANK(P2996),"",IF(D2996="Stock",P2996*G2996,IF(P2996=0,"0",G2996*P2996*100-(G2996*$AF$14))))</f>
        <v/>
      </c>
      <c r="R2996" s="79">
        <f>IF(P2996&lt;&gt;"", TODAY(), "")</f>
        <v/>
      </c>
      <c r="S2996" s="78">
        <f>IF(AND(K2996&lt;&gt;"", R2996&lt;&gt;""), R2996-K2996, "")</f>
        <v/>
      </c>
      <c r="T2996" s="78" t="n"/>
      <c r="U2996" s="92">
        <f>IF(ISBLANK(P2996),"",IF(C2996="Buy",Q2996-M2996+T2996, IF(C2996="Sell",M2996-Q2996-T2996, X)))</f>
        <v/>
      </c>
      <c r="V2996" s="81">
        <f>IF(ISBLANK(P2996),"",U2996/N2996)</f>
        <v/>
      </c>
      <c r="W2996" s="81">
        <f>IF(ISBLANK(P2996),"",IF(S2996=0,(365/0.5)*V2996,(365/S2996)*V2996))</f>
        <v/>
      </c>
      <c r="X2996" s="75" t="n"/>
      <c r="Y2996" s="77" t="n"/>
      <c r="Z2996" s="77" t="n"/>
      <c r="AA2996" s="75" t="n"/>
      <c r="AB2996" s="75" t="n"/>
      <c r="AC2996" s="6" t="n"/>
      <c r="AD2996" s="75" t="n"/>
      <c r="AE2996" s="75" t="n"/>
      <c r="AF2996" s="75" t="n"/>
    </row>
    <row r="2997" ht="15.75" customHeight="1" s="133">
      <c r="A2997" s="75" t="n"/>
      <c r="B2997" s="75" t="n"/>
      <c r="C2997" s="75" t="n"/>
      <c r="D2997" s="75" t="n"/>
      <c r="E2997" s="76" t="n"/>
      <c r="F2997" s="77" t="n"/>
      <c r="G2997" s="75" t="n"/>
      <c r="H2997" s="75">
        <f>IF(ISBLANK(E2997),"",IF(OR(D2997="Butterfly",D2997="Butterfly ",D2997="Iron Fly", D2997="Iron Fly "),LEN(E2997)-LEN(SUBSTITUTE(E2997,"/",""))+2,LEN(E2997)-LEN(SUBSTITUTE(E2997,"/",""))+1))</f>
        <v/>
      </c>
      <c r="I2997" s="78">
        <f>IF(ISBLANK(G2997),"",IF(D2997="Stock","0",Key!$A$3*H2997*G2997))</f>
        <v/>
      </c>
      <c r="J2997" s="78">
        <f>IF(ISBLANK(E2997),"",IF(ISNUMBER(SEARCH("/",E2997)), IF(LEN(E2997)-LEN(SUBSTITUTE(E2997,"/",""))=1,(RIGHT(E2997,LEN(E2997)-FIND("/",E2997)))-(LEFT(E2997,FIND("/",E2997)-1)),(MID(E2997, SEARCH("/",E2997) + 1, SEARCH("/",E2997, SEARCH("/",E2997)+1) - SEARCH("/",E2997) - 1))-(LEFT(E2997,FIND("/",E2997)-1))), "NA"))</f>
        <v/>
      </c>
      <c r="K2997" s="79">
        <f>IF(A2997&lt;&gt;"", IF(ISBLANK(L2997), TODAY(), K2997), "")</f>
        <v/>
      </c>
      <c r="L2997" s="78" t="n"/>
      <c r="M2997" s="78">
        <f>IF(ISBLANK(L2997),"",IF(D2997="Stock",IF(C2997="Buy",L2997*G2997,IF(C2997="Sell",(L2997*G2997)-I2997, X)),IF(C2997="Buy",(L2997*G2997*100)+I2997,IF(C2997="Sell",(L2997*G2997*100)-I2997, X))))</f>
        <v/>
      </c>
      <c r="N2997" s="78">
        <f>IF(ISBLANK(L2997),"",IF(AND(C2997="Sell",D2997="Stock"),M2997,IF(ISBLANK(L2997),"",IF(C2997="Buy",M2997, IF(AND(C2997="Sell",J2997="NA"),(E2997*G2997*100*0.1)+I2997, IF(C2997="Sell",(J2997-L2997)*(100*G2997)+I2997))))))</f>
        <v/>
      </c>
      <c r="O2997" s="75" t="n"/>
      <c r="P2997" s="75" t="n"/>
      <c r="Q2997" s="75">
        <f>IF(ISBLANK(P2997),"",IF(D2997="Stock",P2997*G2997,IF(P2997=0,"0",G2997*P2997*100-(G2997*$AF$14))))</f>
        <v/>
      </c>
      <c r="R2997" s="79">
        <f>IF(P2997&lt;&gt;"", TODAY(), "")</f>
        <v/>
      </c>
      <c r="S2997" s="78">
        <f>IF(AND(K2997&lt;&gt;"", R2997&lt;&gt;""), R2997-K2997, "")</f>
        <v/>
      </c>
      <c r="T2997" s="78" t="n"/>
      <c r="U2997" s="92">
        <f>IF(ISBLANK(P2997),"",IF(C2997="Buy",Q2997-M2997+T2997, IF(C2997="Sell",M2997-Q2997-T2997, X)))</f>
        <v/>
      </c>
      <c r="V2997" s="81">
        <f>IF(ISBLANK(P2997),"",U2997/N2997)</f>
        <v/>
      </c>
      <c r="W2997" s="81">
        <f>IF(ISBLANK(P2997),"",IF(S2997=0,(365/0.5)*V2997,(365/S2997)*V2997))</f>
        <v/>
      </c>
      <c r="X2997" s="75" t="n"/>
      <c r="Y2997" s="77" t="n"/>
      <c r="Z2997" s="77" t="n"/>
      <c r="AA2997" s="75" t="n"/>
      <c r="AB2997" s="75" t="n"/>
      <c r="AC2997" s="6" t="n"/>
      <c r="AD2997" s="75" t="n"/>
      <c r="AE2997" s="75" t="n"/>
      <c r="AF2997" s="75" t="n"/>
    </row>
    <row r="2998" ht="15.75" customHeight="1" s="133">
      <c r="A2998" s="75" t="n"/>
      <c r="B2998" s="75" t="n"/>
      <c r="C2998" s="75" t="n"/>
      <c r="D2998" s="75" t="n"/>
      <c r="E2998" s="76" t="n"/>
      <c r="F2998" s="77" t="n"/>
      <c r="G2998" s="75" t="n"/>
      <c r="H2998" s="75">
        <f>IF(ISBLANK(E2998),"",IF(OR(D2998="Butterfly",D2998="Butterfly ",D2998="Iron Fly", D2998="Iron Fly "),LEN(E2998)-LEN(SUBSTITUTE(E2998,"/",""))+2,LEN(E2998)-LEN(SUBSTITUTE(E2998,"/",""))+1))</f>
        <v/>
      </c>
      <c r="I2998" s="78">
        <f>IF(ISBLANK(G2998),"",IF(D2998="Stock","0",Key!$A$3*H2998*G2998))</f>
        <v/>
      </c>
      <c r="J2998" s="78">
        <f>IF(ISBLANK(E2998),"",IF(ISNUMBER(SEARCH("/",E2998)), IF(LEN(E2998)-LEN(SUBSTITUTE(E2998,"/",""))=1,(RIGHT(E2998,LEN(E2998)-FIND("/",E2998)))-(LEFT(E2998,FIND("/",E2998)-1)),(MID(E2998, SEARCH("/",E2998) + 1, SEARCH("/",E2998, SEARCH("/",E2998)+1) - SEARCH("/",E2998) - 1))-(LEFT(E2998,FIND("/",E2998)-1))), "NA"))</f>
        <v/>
      </c>
      <c r="K2998" s="79">
        <f>IF(A2998&lt;&gt;"", IF(ISBLANK(L2998), TODAY(), K2998), "")</f>
        <v/>
      </c>
      <c r="L2998" s="78" t="n"/>
      <c r="M2998" s="78">
        <f>IF(ISBLANK(L2998),"",IF(D2998="Stock",IF(C2998="Buy",L2998*G2998,IF(C2998="Sell",(L2998*G2998)-I2998, X)),IF(C2998="Buy",(L2998*G2998*100)+I2998,IF(C2998="Sell",(L2998*G2998*100)-I2998, X))))</f>
        <v/>
      </c>
      <c r="N2998" s="78">
        <f>IF(ISBLANK(L2998),"",IF(AND(C2998="Sell",D2998="Stock"),M2998,IF(ISBLANK(L2998),"",IF(C2998="Buy",M2998, IF(AND(C2998="Sell",J2998="NA"),(E2998*G2998*100*0.1)+I2998, IF(C2998="Sell",(J2998-L2998)*(100*G2998)+I2998))))))</f>
        <v/>
      </c>
      <c r="O2998" s="75" t="n"/>
      <c r="P2998" s="75" t="n"/>
      <c r="Q2998" s="75">
        <f>IF(ISBLANK(P2998),"",IF(D2998="Stock",P2998*G2998,IF(P2998=0,"0",G2998*P2998*100-(G2998*$AF$14))))</f>
        <v/>
      </c>
      <c r="R2998" s="79">
        <f>IF(P2998&lt;&gt;"", TODAY(), "")</f>
        <v/>
      </c>
      <c r="S2998" s="78">
        <f>IF(AND(K2998&lt;&gt;"", R2998&lt;&gt;""), R2998-K2998, "")</f>
        <v/>
      </c>
      <c r="T2998" s="78" t="n"/>
      <c r="U2998" s="92">
        <f>IF(ISBLANK(P2998),"",IF(C2998="Buy",Q2998-M2998+T2998, IF(C2998="Sell",M2998-Q2998-T2998, X)))</f>
        <v/>
      </c>
      <c r="V2998" s="81">
        <f>IF(ISBLANK(P2998),"",U2998/N2998)</f>
        <v/>
      </c>
      <c r="W2998" s="81">
        <f>IF(ISBLANK(P2998),"",IF(S2998=0,(365/0.5)*V2998,(365/S2998)*V2998))</f>
        <v/>
      </c>
      <c r="X2998" s="75" t="n"/>
      <c r="Y2998" s="77" t="n"/>
      <c r="Z2998" s="77" t="n"/>
      <c r="AA2998" s="75" t="n"/>
      <c r="AB2998" s="75" t="n"/>
      <c r="AC2998" s="6" t="n"/>
      <c r="AD2998" s="75" t="n"/>
      <c r="AE2998" s="75" t="n"/>
      <c r="AF2998" s="75" t="n"/>
    </row>
    <row r="2999" ht="15.75" customHeight="1" s="133">
      <c r="A2999" s="75" t="n"/>
      <c r="B2999" s="75" t="n"/>
      <c r="C2999" s="75" t="n"/>
      <c r="D2999" s="75" t="n"/>
      <c r="E2999" s="76" t="n"/>
      <c r="F2999" s="77" t="n"/>
      <c r="G2999" s="75" t="n"/>
      <c r="H2999" s="75">
        <f>IF(ISBLANK(E2999),"",IF(OR(D2999="Butterfly",D2999="Butterfly ",D2999="Iron Fly", D2999="Iron Fly "),LEN(E2999)-LEN(SUBSTITUTE(E2999,"/",""))+2,LEN(E2999)-LEN(SUBSTITUTE(E2999,"/",""))+1))</f>
        <v/>
      </c>
      <c r="I2999" s="78">
        <f>IF(ISBLANK(G2999),"",IF(D2999="Stock","0",Key!$A$3*H2999*G2999))</f>
        <v/>
      </c>
      <c r="J2999" s="78">
        <f>IF(ISBLANK(E2999),"",IF(ISNUMBER(SEARCH("/",E2999)), IF(LEN(E2999)-LEN(SUBSTITUTE(E2999,"/",""))=1,(RIGHT(E2999,LEN(E2999)-FIND("/",E2999)))-(LEFT(E2999,FIND("/",E2999)-1)),(MID(E2999, SEARCH("/",E2999) + 1, SEARCH("/",E2999, SEARCH("/",E2999)+1) - SEARCH("/",E2999) - 1))-(LEFT(E2999,FIND("/",E2999)-1))), "NA"))</f>
        <v/>
      </c>
      <c r="K2999" s="79">
        <f>IF(A2999&lt;&gt;"", IF(ISBLANK(L2999), TODAY(), K2999), "")</f>
        <v/>
      </c>
      <c r="L2999" s="78" t="n"/>
      <c r="M2999" s="78">
        <f>IF(ISBLANK(L2999),"",IF(D2999="Stock",IF(C2999="Buy",L2999*G2999,IF(C2999="Sell",(L2999*G2999)-I2999, X)),IF(C2999="Buy",(L2999*G2999*100)+I2999,IF(C2999="Sell",(L2999*G2999*100)-I2999, X))))</f>
        <v/>
      </c>
      <c r="N2999" s="78">
        <f>IF(ISBLANK(L2999),"",IF(AND(C2999="Sell",D2999="Stock"),M2999,IF(ISBLANK(L2999),"",IF(C2999="Buy",M2999, IF(AND(C2999="Sell",J2999="NA"),(E2999*G2999*100*0.1)+I2999, IF(C2999="Sell",(J2999-L2999)*(100*G2999)+I2999))))))</f>
        <v/>
      </c>
      <c r="O2999" s="75" t="n"/>
      <c r="P2999" s="75" t="n"/>
      <c r="Q2999" s="75">
        <f>IF(ISBLANK(P2999),"",IF(D2999="Stock",P2999*G2999,IF(P2999=0,"0",G2999*P2999*100-(G2999*$AF$14))))</f>
        <v/>
      </c>
      <c r="R2999" s="79">
        <f>IF(P2999&lt;&gt;"", TODAY(), "")</f>
        <v/>
      </c>
      <c r="S2999" s="78">
        <f>IF(AND(K2999&lt;&gt;"", R2999&lt;&gt;""), R2999-K2999, "")</f>
        <v/>
      </c>
      <c r="T2999" s="78" t="n"/>
      <c r="U2999" s="92">
        <f>IF(ISBLANK(P2999),"",IF(C2999="Buy",Q2999-M2999+T2999, IF(C2999="Sell",M2999-Q2999-T2999, X)))</f>
        <v/>
      </c>
      <c r="V2999" s="81">
        <f>IF(ISBLANK(P2999),"",U2999/N2999)</f>
        <v/>
      </c>
      <c r="W2999" s="81">
        <f>IF(ISBLANK(P2999),"",IF(S2999=0,(365/0.5)*V2999,(365/S2999)*V2999))</f>
        <v/>
      </c>
      <c r="X2999" s="75" t="n"/>
      <c r="Y2999" s="77" t="n"/>
      <c r="Z2999" s="77" t="n"/>
      <c r="AA2999" s="75" t="n"/>
      <c r="AB2999" s="75" t="n"/>
      <c r="AC2999" s="6" t="n"/>
      <c r="AD2999" s="75" t="n"/>
      <c r="AE2999" s="75" t="n"/>
      <c r="AF2999" s="75" t="n"/>
    </row>
    <row r="3000" ht="15.75" customHeight="1" s="133">
      <c r="A3000" s="75" t="n"/>
      <c r="B3000" s="75" t="n"/>
      <c r="C3000" s="75" t="n"/>
      <c r="D3000" s="75" t="n"/>
      <c r="E3000" s="76" t="n"/>
      <c r="F3000" s="77" t="n"/>
      <c r="G3000" s="75" t="n"/>
      <c r="H3000" s="75">
        <f>IF(ISBLANK(E3000),"",IF(OR(D3000="Butterfly",D3000="Butterfly ",D3000="Iron Fly", D3000="Iron Fly "),LEN(E3000)-LEN(SUBSTITUTE(E3000,"/",""))+2,LEN(E3000)-LEN(SUBSTITUTE(E3000,"/",""))+1))</f>
        <v/>
      </c>
      <c r="I3000" s="78">
        <f>IF(ISBLANK(G3000),"",IF(D3000="Stock","0",Key!$A$3*H3000*G3000))</f>
        <v/>
      </c>
      <c r="J3000" s="78">
        <f>IF(ISBLANK(E3000),"",IF(ISNUMBER(SEARCH("/",E3000)), IF(LEN(E3000)-LEN(SUBSTITUTE(E3000,"/",""))=1,(RIGHT(E3000,LEN(E3000)-FIND("/",E3000)))-(LEFT(E3000,FIND("/",E3000)-1)),(MID(E3000, SEARCH("/",E3000) + 1, SEARCH("/",E3000, SEARCH("/",E3000)+1) - SEARCH("/",E3000) - 1))-(LEFT(E3000,FIND("/",E3000)-1))), "NA"))</f>
        <v/>
      </c>
      <c r="K3000" s="79">
        <f>IF(A3000&lt;&gt;"", IF(ISBLANK(L3000), TODAY(), K3000), "")</f>
        <v/>
      </c>
      <c r="L3000" s="78" t="n"/>
      <c r="M3000" s="78">
        <f>IF(ISBLANK(L3000),"",IF(D3000="Stock",IF(C3000="Buy",L3000*G3000,IF(C3000="Sell",(L3000*G3000)-I3000, X)),IF(C3000="Buy",(L3000*G3000*100)+I3000,IF(C3000="Sell",(L3000*G3000*100)-I3000, X))))</f>
        <v/>
      </c>
      <c r="N3000" s="78">
        <f>IF(ISBLANK(L3000),"",IF(AND(C3000="Sell",D3000="Stock"),M3000,IF(ISBLANK(L3000),"",IF(C3000="Buy",M3000, IF(AND(C3000="Sell",J3000="NA"),(E3000*G3000*100*0.1)+I3000, IF(C3000="Sell",(J3000-L3000)*(100*G3000)+I3000))))))</f>
        <v/>
      </c>
      <c r="O3000" s="75" t="n"/>
      <c r="P3000" s="75" t="n"/>
      <c r="Q3000" s="75">
        <f>IF(ISBLANK(P3000),"",IF(D3000="Stock",P3000*G3000,IF(P3000=0,"0",G3000*P3000*100-(G3000*$AF$14))))</f>
        <v/>
      </c>
      <c r="R3000" s="79">
        <f>IF(P3000&lt;&gt;"", TODAY(), "")</f>
        <v/>
      </c>
      <c r="S3000" s="78">
        <f>IF(AND(K3000&lt;&gt;"", R3000&lt;&gt;""), R3000-K3000, "")</f>
        <v/>
      </c>
      <c r="T3000" s="78" t="n"/>
      <c r="U3000" s="92">
        <f>IF(ISBLANK(P3000),"",IF(C3000="Buy",Q3000-M3000+T3000, IF(C3000="Sell",M3000-Q3000-T3000, X)))</f>
        <v/>
      </c>
      <c r="V3000" s="81">
        <f>IF(ISBLANK(P3000),"",U3000/N3000)</f>
        <v/>
      </c>
      <c r="W3000" s="81">
        <f>IF(ISBLANK(P3000),"",IF(S3000=0,(365/0.5)*V3000,(365/S3000)*V3000))</f>
        <v/>
      </c>
      <c r="X3000" s="75" t="n"/>
      <c r="Y3000" s="77" t="n"/>
      <c r="Z3000" s="77" t="n"/>
      <c r="AA3000" s="75" t="n"/>
      <c r="AB3000" s="75" t="n"/>
      <c r="AC3000" s="6" t="n"/>
      <c r="AD3000" s="75" t="n"/>
      <c r="AE3000" s="75" t="n"/>
      <c r="AF3000" s="75" t="n"/>
    </row>
    <row r="3001" ht="15.75" customHeight="1" s="133">
      <c r="A3001" s="75" t="n"/>
      <c r="B3001" s="75" t="n"/>
      <c r="C3001" s="75" t="n"/>
      <c r="D3001" s="75" t="n"/>
      <c r="E3001" s="76" t="n"/>
      <c r="F3001" s="77" t="n"/>
      <c r="G3001" s="75" t="n"/>
      <c r="H3001" s="75">
        <f>IF(ISBLANK(E3001),"",IF(OR(D3001="Butterfly",D3001="Butterfly ",D3001="Iron Fly", D3001="Iron Fly "),LEN(E3001)-LEN(SUBSTITUTE(E3001,"/",""))+2,LEN(E3001)-LEN(SUBSTITUTE(E3001,"/",""))+1))</f>
        <v/>
      </c>
      <c r="I3001" s="78">
        <f>IF(ISBLANK(G3001),"",IF(D3001="Stock","0",Key!$A$3*H3001*G3001))</f>
        <v/>
      </c>
      <c r="J3001" s="78">
        <f>IF(ISBLANK(E3001),"",IF(ISNUMBER(SEARCH("/",E3001)), IF(LEN(E3001)-LEN(SUBSTITUTE(E3001,"/",""))=1,(RIGHT(E3001,LEN(E3001)-FIND("/",E3001)))-(LEFT(E3001,FIND("/",E3001)-1)),(MID(E3001, SEARCH("/",E3001) + 1, SEARCH("/",E3001, SEARCH("/",E3001)+1) - SEARCH("/",E3001) - 1))-(LEFT(E3001,FIND("/",E3001)-1))), "NA"))</f>
        <v/>
      </c>
      <c r="K3001" s="79">
        <f>IF(A3001&lt;&gt;"", IF(ISBLANK(L3001), TODAY(), K3001), "")</f>
        <v/>
      </c>
      <c r="L3001" s="78" t="n"/>
      <c r="M3001" s="78">
        <f>IF(ISBLANK(L3001),"",IF(D3001="Stock",IF(C3001="Buy",L3001*G3001,IF(C3001="Sell",(L3001*G3001)-I3001, X)),IF(C3001="Buy",(L3001*G3001*100)+I3001,IF(C3001="Sell",(L3001*G3001*100)-I3001, X))))</f>
        <v/>
      </c>
      <c r="N3001" s="78">
        <f>IF(ISBLANK(L3001),"",IF(AND(C3001="Sell",D3001="Stock"),M3001,IF(ISBLANK(L3001),"",IF(C3001="Buy",M3001, IF(AND(C3001="Sell",J3001="NA"),(E3001*G3001*100*0.1)+I3001, IF(C3001="Sell",(J3001-L3001)*(100*G3001)+I3001))))))</f>
        <v/>
      </c>
      <c r="O3001" s="75" t="n"/>
      <c r="P3001" s="75" t="n"/>
      <c r="Q3001" s="75">
        <f>IF(ISBLANK(P3001),"",IF(D3001="Stock",P3001*G3001,IF(P3001=0,"0",G3001*P3001*100-(G3001*$AF$14))))</f>
        <v/>
      </c>
      <c r="R3001" s="79">
        <f>IF(P3001&lt;&gt;"", TODAY(), "")</f>
        <v/>
      </c>
      <c r="S3001" s="78">
        <f>IF(AND(K3001&lt;&gt;"", R3001&lt;&gt;""), R3001-K3001, "")</f>
        <v/>
      </c>
      <c r="T3001" s="78" t="n"/>
      <c r="U3001" s="92">
        <f>IF(ISBLANK(P3001),"",IF(C3001="Buy",Q3001-M3001+T3001, IF(C3001="Sell",M3001-Q3001-T3001, X)))</f>
        <v/>
      </c>
      <c r="V3001" s="81">
        <f>IF(ISBLANK(P3001),"",U3001/N3001)</f>
        <v/>
      </c>
      <c r="W3001" s="81">
        <f>IF(ISBLANK(P3001),"",IF(S3001=0,(365/0.5)*V3001,(365/S3001)*V3001))</f>
        <v/>
      </c>
      <c r="X3001" s="75" t="n"/>
      <c r="Y3001" s="77" t="n"/>
      <c r="Z3001" s="77" t="n"/>
      <c r="AA3001" s="75" t="n"/>
      <c r="AB3001" s="75" t="n"/>
      <c r="AC3001" s="6" t="n"/>
      <c r="AD3001" s="75" t="n"/>
      <c r="AE3001" s="75" t="n"/>
      <c r="AF3001" s="75" t="n"/>
    </row>
    <row r="3002" ht="15.75" customHeight="1" s="133">
      <c r="A3002" s="75" t="n"/>
      <c r="B3002" s="75" t="n"/>
      <c r="C3002" s="75" t="n"/>
      <c r="D3002" s="75" t="n"/>
      <c r="E3002" s="76" t="n"/>
      <c r="F3002" s="77" t="n"/>
      <c r="G3002" s="75" t="n"/>
      <c r="H3002" s="75">
        <f>IF(ISBLANK(E3002),"",IF(OR(D3002="Butterfly",D3002="Butterfly ",D3002="Iron Fly", D3002="Iron Fly "),LEN(E3002)-LEN(SUBSTITUTE(E3002,"/",""))+2,LEN(E3002)-LEN(SUBSTITUTE(E3002,"/",""))+1))</f>
        <v/>
      </c>
      <c r="I3002" s="78">
        <f>IF(ISBLANK(G3002),"",IF(D3002="Stock","0",Key!$A$3*H3002*G3002))</f>
        <v/>
      </c>
      <c r="J3002" s="78">
        <f>IF(ISBLANK(E3002),"",IF(ISNUMBER(SEARCH("/",E3002)), IF(LEN(E3002)-LEN(SUBSTITUTE(E3002,"/",""))=1,(RIGHT(E3002,LEN(E3002)-FIND("/",E3002)))-(LEFT(E3002,FIND("/",E3002)-1)),(MID(E3002, SEARCH("/",E3002) + 1, SEARCH("/",E3002, SEARCH("/",E3002)+1) - SEARCH("/",E3002) - 1))-(LEFT(E3002,FIND("/",E3002)-1))), "NA"))</f>
        <v/>
      </c>
      <c r="K3002" s="79">
        <f>IF(A3002&lt;&gt;"", IF(ISBLANK(L3002), TODAY(), K3002), "")</f>
        <v/>
      </c>
      <c r="L3002" s="78" t="n"/>
      <c r="M3002" s="78">
        <f>IF(ISBLANK(L3002),"",IF(D3002="Stock",IF(C3002="Buy",L3002*G3002,IF(C3002="Sell",(L3002*G3002)-I3002, X)),IF(C3002="Buy",(L3002*G3002*100)+I3002,IF(C3002="Sell",(L3002*G3002*100)-I3002, X))))</f>
        <v/>
      </c>
      <c r="N3002" s="78">
        <f>IF(ISBLANK(L3002),"",IF(AND(C3002="Sell",D3002="Stock"),M3002,IF(ISBLANK(L3002),"",IF(C3002="Buy",M3002, IF(AND(C3002="Sell",J3002="NA"),(E3002*G3002*100*0.1)+I3002, IF(C3002="Sell",(J3002-L3002)*(100*G3002)+I3002))))))</f>
        <v/>
      </c>
      <c r="O3002" s="75" t="n"/>
      <c r="P3002" s="75" t="n"/>
      <c r="Q3002" s="75">
        <f>IF(ISBLANK(P3002),"",IF(D3002="Stock",P3002*G3002,IF(P3002=0,"0",G3002*P3002*100-(G3002*$AF$14))))</f>
        <v/>
      </c>
      <c r="R3002" s="79">
        <f>IF(P3002&lt;&gt;"", TODAY(), "")</f>
        <v/>
      </c>
      <c r="S3002" s="78">
        <f>IF(AND(K3002&lt;&gt;"", R3002&lt;&gt;""), R3002-K3002, "")</f>
        <v/>
      </c>
      <c r="T3002" s="78" t="n"/>
      <c r="U3002" s="92">
        <f>IF(ISBLANK(P3002),"",IF(C3002="Buy",Q3002-M3002+T3002, IF(C3002="Sell",M3002-Q3002-T3002, X)))</f>
        <v/>
      </c>
      <c r="V3002" s="81">
        <f>IF(ISBLANK(P3002),"",U3002/N3002)</f>
        <v/>
      </c>
      <c r="W3002" s="81">
        <f>IF(ISBLANK(P3002),"",IF(S3002=0,(365/0.5)*V3002,(365/S3002)*V3002))</f>
        <v/>
      </c>
      <c r="X3002" s="75" t="n"/>
      <c r="Y3002" s="77" t="n"/>
      <c r="Z3002" s="77" t="n"/>
      <c r="AA3002" s="75" t="n"/>
      <c r="AB3002" s="75" t="n"/>
      <c r="AC3002" s="6" t="n"/>
      <c r="AD3002" s="75" t="n"/>
      <c r="AE3002" s="75" t="n"/>
      <c r="AF3002" s="75" t="n"/>
    </row>
    <row r="3003" ht="15.75" customHeight="1" s="133">
      <c r="A3003" s="75" t="n"/>
      <c r="B3003" s="75" t="n"/>
      <c r="C3003" s="75" t="n"/>
      <c r="D3003" s="75" t="n"/>
      <c r="E3003" s="76" t="n"/>
      <c r="F3003" s="77" t="n"/>
      <c r="G3003" s="75" t="n"/>
      <c r="H3003" s="75">
        <f>IF(ISBLANK(E3003),"",IF(OR(D3003="Butterfly",D3003="Butterfly ",D3003="Iron Fly", D3003="Iron Fly "),LEN(E3003)-LEN(SUBSTITUTE(E3003,"/",""))+2,LEN(E3003)-LEN(SUBSTITUTE(E3003,"/",""))+1))</f>
        <v/>
      </c>
      <c r="I3003" s="78">
        <f>IF(ISBLANK(G3003),"",IF(D3003="Stock","0",Key!$A$3*H3003*G3003))</f>
        <v/>
      </c>
      <c r="J3003" s="78">
        <f>IF(ISBLANK(E3003),"",IF(ISNUMBER(SEARCH("/",E3003)), IF(LEN(E3003)-LEN(SUBSTITUTE(E3003,"/",""))=1,(RIGHT(E3003,LEN(E3003)-FIND("/",E3003)))-(LEFT(E3003,FIND("/",E3003)-1)),(MID(E3003, SEARCH("/",E3003) + 1, SEARCH("/",E3003, SEARCH("/",E3003)+1) - SEARCH("/",E3003) - 1))-(LEFT(E3003,FIND("/",E3003)-1))), "NA"))</f>
        <v/>
      </c>
      <c r="K3003" s="79">
        <f>IF(A3003&lt;&gt;"", IF(ISBLANK(L3003), TODAY(), K3003), "")</f>
        <v/>
      </c>
      <c r="L3003" s="78" t="n"/>
      <c r="M3003" s="78">
        <f>IF(ISBLANK(L3003),"",IF(D3003="Stock",IF(C3003="Buy",L3003*G3003,IF(C3003="Sell",(L3003*G3003)-I3003, X)),IF(C3003="Buy",(L3003*G3003*100)+I3003,IF(C3003="Sell",(L3003*G3003*100)-I3003, X))))</f>
        <v/>
      </c>
      <c r="N3003" s="78">
        <f>IF(ISBLANK(L3003),"",IF(AND(C3003="Sell",D3003="Stock"),M3003,IF(ISBLANK(L3003),"",IF(C3003="Buy",M3003, IF(AND(C3003="Sell",J3003="NA"),(E3003*G3003*100*0.1)+I3003, IF(C3003="Sell",(J3003-L3003)*(100*G3003)+I3003))))))</f>
        <v/>
      </c>
      <c r="O3003" s="75" t="n"/>
      <c r="P3003" s="75" t="n"/>
      <c r="Q3003" s="75">
        <f>IF(ISBLANK(P3003),"",IF(D3003="Stock",P3003*G3003,IF(P3003=0,"0",G3003*P3003*100-(G3003*$AF$14))))</f>
        <v/>
      </c>
      <c r="R3003" s="79">
        <f>IF(P3003&lt;&gt;"", TODAY(), "")</f>
        <v/>
      </c>
      <c r="S3003" s="78">
        <f>IF(AND(K3003&lt;&gt;"", R3003&lt;&gt;""), R3003-K3003, "")</f>
        <v/>
      </c>
      <c r="T3003" s="78" t="n"/>
      <c r="U3003" s="92">
        <f>IF(ISBLANK(P3003),"",IF(C3003="Buy",Q3003-M3003+T3003, IF(C3003="Sell",M3003-Q3003-T3003, X)))</f>
        <v/>
      </c>
      <c r="V3003" s="81">
        <f>IF(ISBLANK(P3003),"",U3003/N3003)</f>
        <v/>
      </c>
      <c r="W3003" s="81">
        <f>IF(ISBLANK(P3003),"",IF(S3003=0,(365/0.5)*V3003,(365/S3003)*V3003))</f>
        <v/>
      </c>
      <c r="X3003" s="75" t="n"/>
      <c r="Y3003" s="77" t="n"/>
      <c r="Z3003" s="77" t="n"/>
      <c r="AA3003" s="75" t="n"/>
      <c r="AB3003" s="75" t="n"/>
      <c r="AC3003" s="6" t="n"/>
      <c r="AD3003" s="75" t="n"/>
      <c r="AE3003" s="75" t="n"/>
      <c r="AF3003" s="75" t="n"/>
    </row>
    <row r="3004" ht="15.75" customHeight="1" s="133">
      <c r="A3004" s="75" t="n"/>
      <c r="B3004" s="75" t="n"/>
      <c r="C3004" s="75" t="n"/>
      <c r="D3004" s="75" t="n"/>
      <c r="E3004" s="76" t="n"/>
      <c r="F3004" s="77" t="n"/>
      <c r="G3004" s="75" t="n"/>
      <c r="H3004" s="75">
        <f>IF(ISBLANK(E3004),"",IF(OR(D3004="Butterfly",D3004="Butterfly ",D3004="Iron Fly", D3004="Iron Fly "),LEN(E3004)-LEN(SUBSTITUTE(E3004,"/",""))+2,LEN(E3004)-LEN(SUBSTITUTE(E3004,"/",""))+1))</f>
        <v/>
      </c>
      <c r="I3004" s="78">
        <f>IF(ISBLANK(G3004),"",IF(D3004="Stock","0",Key!$A$3*H3004*G3004))</f>
        <v/>
      </c>
      <c r="J3004" s="78">
        <f>IF(ISBLANK(E3004),"",IF(ISNUMBER(SEARCH("/",E3004)), IF(LEN(E3004)-LEN(SUBSTITUTE(E3004,"/",""))=1,(RIGHT(E3004,LEN(E3004)-FIND("/",E3004)))-(LEFT(E3004,FIND("/",E3004)-1)),(MID(E3004, SEARCH("/",E3004) + 1, SEARCH("/",E3004, SEARCH("/",E3004)+1) - SEARCH("/",E3004) - 1))-(LEFT(E3004,FIND("/",E3004)-1))), "NA"))</f>
        <v/>
      </c>
      <c r="K3004" s="79">
        <f>IF(A3004&lt;&gt;"", IF(ISBLANK(L3004), TODAY(), K3004), "")</f>
        <v/>
      </c>
      <c r="L3004" s="78" t="n"/>
      <c r="M3004" s="78">
        <f>IF(ISBLANK(L3004),"",IF(D3004="Stock",IF(C3004="Buy",L3004*G3004,IF(C3004="Sell",(L3004*G3004)-I3004, X)),IF(C3004="Buy",(L3004*G3004*100)+I3004,IF(C3004="Sell",(L3004*G3004*100)-I3004, X))))</f>
        <v/>
      </c>
      <c r="N3004" s="78">
        <f>IF(ISBLANK(L3004),"",IF(AND(C3004="Sell",D3004="Stock"),M3004,IF(ISBLANK(L3004),"",IF(C3004="Buy",M3004, IF(AND(C3004="Sell",J3004="NA"),(E3004*G3004*100*0.1)+I3004, IF(C3004="Sell",(J3004-L3004)*(100*G3004)+I3004))))))</f>
        <v/>
      </c>
      <c r="O3004" s="75" t="n"/>
      <c r="P3004" s="75" t="n"/>
      <c r="Q3004" s="75">
        <f>IF(ISBLANK(P3004),"",IF(D3004="Stock",P3004*G3004,IF(P3004=0,"0",G3004*P3004*100-(G3004*$AF$14))))</f>
        <v/>
      </c>
      <c r="R3004" s="79">
        <f>IF(P3004&lt;&gt;"", TODAY(), "")</f>
        <v/>
      </c>
      <c r="S3004" s="78">
        <f>IF(AND(K3004&lt;&gt;"", R3004&lt;&gt;""), R3004-K3004, "")</f>
        <v/>
      </c>
      <c r="T3004" s="78" t="n"/>
      <c r="U3004" s="92">
        <f>IF(ISBLANK(P3004),"",IF(C3004="Buy",Q3004-M3004+T3004, IF(C3004="Sell",M3004-Q3004-T3004, X)))</f>
        <v/>
      </c>
      <c r="V3004" s="81">
        <f>IF(ISBLANK(P3004),"",U3004/N3004)</f>
        <v/>
      </c>
      <c r="W3004" s="81">
        <f>IF(ISBLANK(P3004),"",IF(S3004=0,(365/0.5)*V3004,(365/S3004)*V3004))</f>
        <v/>
      </c>
      <c r="X3004" s="75" t="n"/>
      <c r="Y3004" s="77" t="n"/>
      <c r="Z3004" s="77" t="n"/>
      <c r="AA3004" s="75" t="n"/>
      <c r="AB3004" s="75" t="n"/>
      <c r="AC3004" s="6" t="n"/>
      <c r="AD3004" s="75" t="n"/>
      <c r="AE3004" s="75" t="n"/>
      <c r="AF3004" s="75" t="n"/>
    </row>
    <row r="3005" ht="15.75" customHeight="1" s="133">
      <c r="A3005" s="75" t="n"/>
      <c r="B3005" s="75" t="n"/>
      <c r="C3005" s="75" t="n"/>
      <c r="D3005" s="75" t="n"/>
      <c r="E3005" s="76" t="n"/>
      <c r="F3005" s="77" t="n"/>
      <c r="G3005" s="75" t="n"/>
      <c r="H3005" s="75">
        <f>IF(ISBLANK(E3005),"",IF(OR(D3005="Butterfly",D3005="Butterfly ",D3005="Iron Fly", D3005="Iron Fly "),LEN(E3005)-LEN(SUBSTITUTE(E3005,"/",""))+2,LEN(E3005)-LEN(SUBSTITUTE(E3005,"/",""))+1))</f>
        <v/>
      </c>
      <c r="I3005" s="78">
        <f>IF(ISBLANK(G3005),"",IF(D3005="Stock","0",Key!$A$3*H3005*G3005))</f>
        <v/>
      </c>
      <c r="J3005" s="78">
        <f>IF(ISBLANK(E3005),"",IF(ISNUMBER(SEARCH("/",E3005)), IF(LEN(E3005)-LEN(SUBSTITUTE(E3005,"/",""))=1,(RIGHT(E3005,LEN(E3005)-FIND("/",E3005)))-(LEFT(E3005,FIND("/",E3005)-1)),(MID(E3005, SEARCH("/",E3005) + 1, SEARCH("/",E3005, SEARCH("/",E3005)+1) - SEARCH("/",E3005) - 1))-(LEFT(E3005,FIND("/",E3005)-1))), "NA"))</f>
        <v/>
      </c>
      <c r="K3005" s="79">
        <f>IF(A3005&lt;&gt;"", IF(ISBLANK(L3005), TODAY(), K3005), "")</f>
        <v/>
      </c>
      <c r="L3005" s="78" t="n"/>
      <c r="M3005" s="78">
        <f>IF(ISBLANK(L3005),"",IF(D3005="Stock",IF(C3005="Buy",L3005*G3005,IF(C3005="Sell",(L3005*G3005)-I3005, X)),IF(C3005="Buy",(L3005*G3005*100)+I3005,IF(C3005="Sell",(L3005*G3005*100)-I3005, X))))</f>
        <v/>
      </c>
      <c r="N3005" s="78">
        <f>IF(ISBLANK(L3005),"",IF(AND(C3005="Sell",D3005="Stock"),M3005,IF(ISBLANK(L3005),"",IF(C3005="Buy",M3005, IF(AND(C3005="Sell",J3005="NA"),(E3005*G3005*100*0.1)+I3005, IF(C3005="Sell",(J3005-L3005)*(100*G3005)+I3005))))))</f>
        <v/>
      </c>
      <c r="O3005" s="75" t="n"/>
      <c r="P3005" s="75" t="n"/>
      <c r="Q3005" s="75">
        <f>IF(ISBLANK(P3005),"",IF(D3005="Stock",P3005*G3005,IF(P3005=0,"0",G3005*P3005*100-(G3005*$AF$14))))</f>
        <v/>
      </c>
      <c r="R3005" s="79">
        <f>IF(P3005&lt;&gt;"", TODAY(), "")</f>
        <v/>
      </c>
      <c r="S3005" s="78">
        <f>IF(AND(K3005&lt;&gt;"", R3005&lt;&gt;""), R3005-K3005, "")</f>
        <v/>
      </c>
      <c r="T3005" s="78" t="n"/>
      <c r="U3005" s="92">
        <f>IF(ISBLANK(P3005),"",IF(C3005="Buy",Q3005-M3005+T3005, IF(C3005="Sell",M3005-Q3005-T3005, X)))</f>
        <v/>
      </c>
      <c r="V3005" s="81">
        <f>IF(ISBLANK(P3005),"",U3005/N3005)</f>
        <v/>
      </c>
      <c r="W3005" s="81">
        <f>IF(ISBLANK(P3005),"",IF(S3005=0,(365/0.5)*V3005,(365/S3005)*V3005))</f>
        <v/>
      </c>
      <c r="X3005" s="75" t="n"/>
      <c r="Y3005" s="77" t="n"/>
      <c r="Z3005" s="77" t="n"/>
      <c r="AA3005" s="75" t="n"/>
      <c r="AB3005" s="75" t="n"/>
      <c r="AC3005" s="6" t="n"/>
      <c r="AD3005" s="75" t="n"/>
      <c r="AE3005" s="75" t="n"/>
      <c r="AF3005" s="75" t="n"/>
    </row>
    <row r="3006" ht="15.75" customHeight="1" s="133">
      <c r="A3006" s="75" t="n"/>
      <c r="B3006" s="75" t="n"/>
      <c r="C3006" s="75" t="n"/>
      <c r="D3006" s="75" t="n"/>
      <c r="E3006" s="76" t="n"/>
      <c r="F3006" s="77" t="n"/>
      <c r="G3006" s="75" t="n"/>
      <c r="H3006" s="75">
        <f>IF(ISBLANK(E3006),"",IF(OR(D3006="Butterfly",D3006="Butterfly ",D3006="Iron Fly", D3006="Iron Fly "),LEN(E3006)-LEN(SUBSTITUTE(E3006,"/",""))+2,LEN(E3006)-LEN(SUBSTITUTE(E3006,"/",""))+1))</f>
        <v/>
      </c>
      <c r="I3006" s="78">
        <f>IF(ISBLANK(G3006),"",IF(D3006="Stock","0",Key!$A$3*H3006*G3006))</f>
        <v/>
      </c>
      <c r="J3006" s="78">
        <f>IF(ISBLANK(E3006),"",IF(ISNUMBER(SEARCH("/",E3006)), IF(LEN(E3006)-LEN(SUBSTITUTE(E3006,"/",""))=1,(RIGHT(E3006,LEN(E3006)-FIND("/",E3006)))-(LEFT(E3006,FIND("/",E3006)-1)),(MID(E3006, SEARCH("/",E3006) + 1, SEARCH("/",E3006, SEARCH("/",E3006)+1) - SEARCH("/",E3006) - 1))-(LEFT(E3006,FIND("/",E3006)-1))), "NA"))</f>
        <v/>
      </c>
      <c r="K3006" s="79">
        <f>IF(A3006&lt;&gt;"", IF(ISBLANK(L3006), TODAY(), K3006), "")</f>
        <v/>
      </c>
      <c r="L3006" s="78" t="n"/>
      <c r="M3006" s="78">
        <f>IF(ISBLANK(L3006),"",IF(D3006="Stock",IF(C3006="Buy",L3006*G3006,IF(C3006="Sell",(L3006*G3006)-I3006, X)),IF(C3006="Buy",(L3006*G3006*100)+I3006,IF(C3006="Sell",(L3006*G3006*100)-I3006, X))))</f>
        <v/>
      </c>
      <c r="N3006" s="78">
        <f>IF(ISBLANK(L3006),"",IF(AND(C3006="Sell",D3006="Stock"),M3006,IF(ISBLANK(L3006),"",IF(C3006="Buy",M3006, IF(AND(C3006="Sell",J3006="NA"),(E3006*G3006*100*0.1)+I3006, IF(C3006="Sell",(J3006-L3006)*(100*G3006)+I3006))))))</f>
        <v/>
      </c>
      <c r="O3006" s="75" t="n"/>
      <c r="P3006" s="75" t="n"/>
      <c r="Q3006" s="75">
        <f>IF(ISBLANK(P3006),"",IF(D3006="Stock",P3006*G3006,IF(P3006=0,"0",G3006*P3006*100-(G3006*$AF$14))))</f>
        <v/>
      </c>
      <c r="R3006" s="79">
        <f>IF(P3006&lt;&gt;"", TODAY(), "")</f>
        <v/>
      </c>
      <c r="S3006" s="78">
        <f>IF(AND(K3006&lt;&gt;"", R3006&lt;&gt;""), R3006-K3006, "")</f>
        <v/>
      </c>
      <c r="T3006" s="78" t="n"/>
      <c r="U3006" s="92">
        <f>IF(ISBLANK(P3006),"",IF(C3006="Buy",Q3006-M3006+T3006, IF(C3006="Sell",M3006-Q3006-T3006, X)))</f>
        <v/>
      </c>
      <c r="V3006" s="81">
        <f>IF(ISBLANK(P3006),"",U3006/N3006)</f>
        <v/>
      </c>
      <c r="W3006" s="81">
        <f>IF(ISBLANK(P3006),"",IF(S3006=0,(365/0.5)*V3006,(365/S3006)*V3006))</f>
        <v/>
      </c>
      <c r="X3006" s="75" t="n"/>
      <c r="Y3006" s="77" t="n"/>
      <c r="Z3006" s="77" t="n"/>
      <c r="AA3006" s="75" t="n"/>
      <c r="AB3006" s="75" t="n"/>
      <c r="AC3006" s="6" t="n"/>
      <c r="AD3006" s="75" t="n"/>
      <c r="AE3006" s="75" t="n"/>
      <c r="AF3006" s="75" t="n"/>
    </row>
    <row r="3007" ht="15.75" customHeight="1" s="133">
      <c r="A3007" s="75" t="n"/>
      <c r="B3007" s="75" t="n"/>
      <c r="C3007" s="75" t="n"/>
      <c r="D3007" s="75" t="n"/>
      <c r="E3007" s="76" t="n"/>
      <c r="F3007" s="77" t="n"/>
      <c r="G3007" s="75" t="n"/>
      <c r="H3007" s="75">
        <f>IF(ISBLANK(E3007),"",IF(OR(D3007="Butterfly",D3007="Butterfly ",D3007="Iron Fly", D3007="Iron Fly "),LEN(E3007)-LEN(SUBSTITUTE(E3007,"/",""))+2,LEN(E3007)-LEN(SUBSTITUTE(E3007,"/",""))+1))</f>
        <v/>
      </c>
      <c r="I3007" s="78">
        <f>IF(ISBLANK(G3007),"",IF(D3007="Stock","0",Key!$A$3*H3007*G3007))</f>
        <v/>
      </c>
      <c r="J3007" s="78">
        <f>IF(ISBLANK(E3007),"",IF(ISNUMBER(SEARCH("/",E3007)), IF(LEN(E3007)-LEN(SUBSTITUTE(E3007,"/",""))=1,(RIGHT(E3007,LEN(E3007)-FIND("/",E3007)))-(LEFT(E3007,FIND("/",E3007)-1)),(MID(E3007, SEARCH("/",E3007) + 1, SEARCH("/",E3007, SEARCH("/",E3007)+1) - SEARCH("/",E3007) - 1))-(LEFT(E3007,FIND("/",E3007)-1))), "NA"))</f>
        <v/>
      </c>
      <c r="K3007" s="79">
        <f>IF(A3007&lt;&gt;"", IF(ISBLANK(L3007), TODAY(), K3007), "")</f>
        <v/>
      </c>
      <c r="L3007" s="78" t="n"/>
      <c r="M3007" s="78">
        <f>IF(ISBLANK(L3007),"",IF(D3007="Stock",IF(C3007="Buy",L3007*G3007,IF(C3007="Sell",(L3007*G3007)-I3007, X)),IF(C3007="Buy",(L3007*G3007*100)+I3007,IF(C3007="Sell",(L3007*G3007*100)-I3007, X))))</f>
        <v/>
      </c>
      <c r="N3007" s="78">
        <f>IF(ISBLANK(L3007),"",IF(AND(C3007="Sell",D3007="Stock"),M3007,IF(ISBLANK(L3007),"",IF(C3007="Buy",M3007, IF(AND(C3007="Sell",J3007="NA"),(E3007*G3007*100*0.1)+I3007, IF(C3007="Sell",(J3007-L3007)*(100*G3007)+I3007))))))</f>
        <v/>
      </c>
      <c r="O3007" s="75" t="n"/>
      <c r="P3007" s="75" t="n"/>
      <c r="Q3007" s="75">
        <f>IF(ISBLANK(P3007),"",IF(D3007="Stock",P3007*G3007,IF(P3007=0,"0",G3007*P3007*100-(G3007*$AF$14))))</f>
        <v/>
      </c>
      <c r="R3007" s="79">
        <f>IF(P3007&lt;&gt;"", TODAY(), "")</f>
        <v/>
      </c>
      <c r="S3007" s="78">
        <f>IF(AND(K3007&lt;&gt;"", R3007&lt;&gt;""), R3007-K3007, "")</f>
        <v/>
      </c>
      <c r="T3007" s="78" t="n"/>
      <c r="U3007" s="92">
        <f>IF(ISBLANK(P3007),"",IF(C3007="Buy",Q3007-M3007+T3007, IF(C3007="Sell",M3007-Q3007-T3007, X)))</f>
        <v/>
      </c>
      <c r="V3007" s="81">
        <f>IF(ISBLANK(P3007),"",U3007/N3007)</f>
        <v/>
      </c>
      <c r="W3007" s="81">
        <f>IF(ISBLANK(P3007),"",IF(S3007=0,(365/0.5)*V3007,(365/S3007)*V3007))</f>
        <v/>
      </c>
      <c r="X3007" s="75" t="n"/>
      <c r="Y3007" s="77" t="n"/>
      <c r="Z3007" s="77" t="n"/>
      <c r="AA3007" s="75" t="n"/>
      <c r="AB3007" s="75" t="n"/>
      <c r="AC3007" s="6" t="n"/>
      <c r="AD3007" s="75" t="n"/>
      <c r="AE3007" s="75" t="n"/>
      <c r="AF3007" s="75" t="n"/>
    </row>
    <row r="3008" ht="15.75" customHeight="1" s="133">
      <c r="A3008" s="75" t="n"/>
      <c r="B3008" s="75" t="n"/>
      <c r="C3008" s="75" t="n"/>
      <c r="D3008" s="75" t="n"/>
      <c r="E3008" s="76" t="n"/>
      <c r="F3008" s="77" t="n"/>
      <c r="G3008" s="75" t="n"/>
      <c r="H3008" s="75">
        <f>IF(ISBLANK(E3008),"",IF(OR(D3008="Butterfly",D3008="Butterfly ",D3008="Iron Fly", D3008="Iron Fly "),LEN(E3008)-LEN(SUBSTITUTE(E3008,"/",""))+2,LEN(E3008)-LEN(SUBSTITUTE(E3008,"/",""))+1))</f>
        <v/>
      </c>
      <c r="I3008" s="78">
        <f>IF(ISBLANK(G3008),"",IF(D3008="Stock","0",Key!$A$3*H3008*G3008))</f>
        <v/>
      </c>
      <c r="J3008" s="78">
        <f>IF(ISBLANK(E3008),"",IF(ISNUMBER(SEARCH("/",E3008)), IF(LEN(E3008)-LEN(SUBSTITUTE(E3008,"/",""))=1,(RIGHT(E3008,LEN(E3008)-FIND("/",E3008)))-(LEFT(E3008,FIND("/",E3008)-1)),(MID(E3008, SEARCH("/",E3008) + 1, SEARCH("/",E3008, SEARCH("/",E3008)+1) - SEARCH("/",E3008) - 1))-(LEFT(E3008,FIND("/",E3008)-1))), "NA"))</f>
        <v/>
      </c>
      <c r="K3008" s="79">
        <f>IF(A3008&lt;&gt;"", IF(ISBLANK(L3008), TODAY(), K3008), "")</f>
        <v/>
      </c>
      <c r="L3008" s="78" t="n"/>
      <c r="M3008" s="78">
        <f>IF(ISBLANK(L3008),"",IF(D3008="Stock",IF(C3008="Buy",L3008*G3008,IF(C3008="Sell",(L3008*G3008)-I3008, X)),IF(C3008="Buy",(L3008*G3008*100)+I3008,IF(C3008="Sell",(L3008*G3008*100)-I3008, X))))</f>
        <v/>
      </c>
      <c r="N3008" s="78">
        <f>IF(ISBLANK(L3008),"",IF(AND(C3008="Sell",D3008="Stock"),M3008,IF(ISBLANK(L3008),"",IF(C3008="Buy",M3008, IF(AND(C3008="Sell",J3008="NA"),(E3008*G3008*100*0.1)+I3008, IF(C3008="Sell",(J3008-L3008)*(100*G3008)+I3008))))))</f>
        <v/>
      </c>
      <c r="O3008" s="75" t="n"/>
      <c r="P3008" s="75" t="n"/>
      <c r="Q3008" s="75">
        <f>IF(ISBLANK(P3008),"",IF(D3008="Stock",P3008*G3008,IF(P3008=0,"0",G3008*P3008*100-(G3008*$AF$14))))</f>
        <v/>
      </c>
      <c r="R3008" s="79">
        <f>IF(P3008&lt;&gt;"", TODAY(), "")</f>
        <v/>
      </c>
      <c r="S3008" s="78">
        <f>IF(AND(K3008&lt;&gt;"", R3008&lt;&gt;""), R3008-K3008, "")</f>
        <v/>
      </c>
      <c r="T3008" s="78" t="n"/>
      <c r="U3008" s="92">
        <f>IF(ISBLANK(P3008),"",IF(C3008="Buy",Q3008-M3008+T3008, IF(C3008="Sell",M3008-Q3008-T3008, X)))</f>
        <v/>
      </c>
      <c r="V3008" s="81">
        <f>IF(ISBLANK(P3008),"",U3008/N3008)</f>
        <v/>
      </c>
      <c r="W3008" s="81">
        <f>IF(ISBLANK(P3008),"",IF(S3008=0,(365/0.5)*V3008,(365/S3008)*V3008))</f>
        <v/>
      </c>
      <c r="X3008" s="75" t="n"/>
      <c r="Y3008" s="77" t="n"/>
      <c r="Z3008" s="77" t="n"/>
      <c r="AA3008" s="75" t="n"/>
      <c r="AB3008" s="75" t="n"/>
      <c r="AC3008" s="6" t="n"/>
      <c r="AD3008" s="75" t="n"/>
      <c r="AE3008" s="75" t="n"/>
      <c r="AF3008" s="75" t="n"/>
    </row>
    <row r="3009" ht="15.75" customHeight="1" s="133">
      <c r="A3009" s="75" t="n"/>
      <c r="B3009" s="75" t="n"/>
      <c r="C3009" s="75" t="n"/>
      <c r="D3009" s="75" t="n"/>
      <c r="E3009" s="76" t="n"/>
      <c r="F3009" s="77" t="n"/>
      <c r="G3009" s="75" t="n"/>
      <c r="H3009" s="75">
        <f>IF(ISBLANK(E3009),"",IF(OR(D3009="Butterfly",D3009="Butterfly ",D3009="Iron Fly", D3009="Iron Fly "),LEN(E3009)-LEN(SUBSTITUTE(E3009,"/",""))+2,LEN(E3009)-LEN(SUBSTITUTE(E3009,"/",""))+1))</f>
        <v/>
      </c>
      <c r="I3009" s="78">
        <f>IF(ISBLANK(G3009),"",IF(D3009="Stock","0",Key!$A$3*H3009*G3009))</f>
        <v/>
      </c>
      <c r="J3009" s="78">
        <f>IF(ISBLANK(E3009),"",IF(ISNUMBER(SEARCH("/",E3009)), IF(LEN(E3009)-LEN(SUBSTITUTE(E3009,"/",""))=1,(RIGHT(E3009,LEN(E3009)-FIND("/",E3009)))-(LEFT(E3009,FIND("/",E3009)-1)),(MID(E3009, SEARCH("/",E3009) + 1, SEARCH("/",E3009, SEARCH("/",E3009)+1) - SEARCH("/",E3009) - 1))-(LEFT(E3009,FIND("/",E3009)-1))), "NA"))</f>
        <v/>
      </c>
      <c r="K3009" s="79">
        <f>IF(A3009&lt;&gt;"", IF(ISBLANK(L3009), TODAY(), K3009), "")</f>
        <v/>
      </c>
      <c r="L3009" s="78" t="n"/>
      <c r="M3009" s="78">
        <f>IF(ISBLANK(L3009),"",IF(D3009="Stock",IF(C3009="Buy",L3009*G3009,IF(C3009="Sell",(L3009*G3009)-I3009, X)),IF(C3009="Buy",(L3009*G3009*100)+I3009,IF(C3009="Sell",(L3009*G3009*100)-I3009, X))))</f>
        <v/>
      </c>
      <c r="N3009" s="78">
        <f>IF(ISBLANK(L3009),"",IF(AND(C3009="Sell",D3009="Stock"),M3009,IF(ISBLANK(L3009),"",IF(C3009="Buy",M3009, IF(AND(C3009="Sell",J3009="NA"),(E3009*G3009*100*0.1)+I3009, IF(C3009="Sell",(J3009-L3009)*(100*G3009)+I3009))))))</f>
        <v/>
      </c>
      <c r="O3009" s="75" t="n"/>
      <c r="P3009" s="75" t="n"/>
      <c r="Q3009" s="75">
        <f>IF(ISBLANK(P3009),"",IF(D3009="Stock",P3009*G3009,IF(P3009=0,"0",G3009*P3009*100-(G3009*$AF$14))))</f>
        <v/>
      </c>
      <c r="R3009" s="79">
        <f>IF(P3009&lt;&gt;"", TODAY(), "")</f>
        <v/>
      </c>
      <c r="S3009" s="78">
        <f>IF(AND(K3009&lt;&gt;"", R3009&lt;&gt;""), R3009-K3009, "")</f>
        <v/>
      </c>
      <c r="T3009" s="78" t="n"/>
      <c r="U3009" s="92">
        <f>IF(ISBLANK(P3009),"",IF(C3009="Buy",Q3009-M3009+T3009, IF(C3009="Sell",M3009-Q3009-T3009, X)))</f>
        <v/>
      </c>
      <c r="V3009" s="81">
        <f>IF(ISBLANK(P3009),"",U3009/N3009)</f>
        <v/>
      </c>
      <c r="W3009" s="81">
        <f>IF(ISBLANK(P3009),"",IF(S3009=0,(365/0.5)*V3009,(365/S3009)*V3009))</f>
        <v/>
      </c>
      <c r="X3009" s="75" t="n"/>
      <c r="Y3009" s="77" t="n"/>
      <c r="Z3009" s="77" t="n"/>
      <c r="AA3009" s="75" t="n"/>
      <c r="AB3009" s="75" t="n"/>
      <c r="AC3009" s="6" t="n"/>
      <c r="AD3009" s="75" t="n"/>
      <c r="AE3009" s="75" t="n"/>
      <c r="AF3009" s="75" t="n"/>
    </row>
    <row r="3010" ht="15.75" customHeight="1" s="133">
      <c r="A3010" s="75" t="n"/>
      <c r="B3010" s="75" t="n"/>
      <c r="C3010" s="75" t="n"/>
      <c r="D3010" s="75" t="n"/>
      <c r="E3010" s="76" t="n"/>
      <c r="F3010" s="77" t="n"/>
      <c r="G3010" s="75" t="n"/>
      <c r="H3010" s="75">
        <f>IF(ISBLANK(E3010),"",IF(OR(D3010="Butterfly",D3010="Butterfly ",D3010="Iron Fly", D3010="Iron Fly "),LEN(E3010)-LEN(SUBSTITUTE(E3010,"/",""))+2,LEN(E3010)-LEN(SUBSTITUTE(E3010,"/",""))+1))</f>
        <v/>
      </c>
      <c r="I3010" s="78">
        <f>IF(ISBLANK(G3010),"",IF(D3010="Stock","0",Key!$A$3*H3010*G3010))</f>
        <v/>
      </c>
      <c r="J3010" s="78">
        <f>IF(ISBLANK(E3010),"",IF(ISNUMBER(SEARCH("/",E3010)), IF(LEN(E3010)-LEN(SUBSTITUTE(E3010,"/",""))=1,(RIGHT(E3010,LEN(E3010)-FIND("/",E3010)))-(LEFT(E3010,FIND("/",E3010)-1)),(MID(E3010, SEARCH("/",E3010) + 1, SEARCH("/",E3010, SEARCH("/",E3010)+1) - SEARCH("/",E3010) - 1))-(LEFT(E3010,FIND("/",E3010)-1))), "NA"))</f>
        <v/>
      </c>
      <c r="K3010" s="79">
        <f>IF(A3010&lt;&gt;"", IF(ISBLANK(L3010), TODAY(), K3010), "")</f>
        <v/>
      </c>
      <c r="L3010" s="78" t="n"/>
      <c r="M3010" s="78">
        <f>IF(ISBLANK(L3010),"",IF(D3010="Stock",IF(C3010="Buy",L3010*G3010,IF(C3010="Sell",(L3010*G3010)-I3010, X)),IF(C3010="Buy",(L3010*G3010*100)+I3010,IF(C3010="Sell",(L3010*G3010*100)-I3010, X))))</f>
        <v/>
      </c>
      <c r="N3010" s="78">
        <f>IF(ISBLANK(L3010),"",IF(AND(C3010="Sell",D3010="Stock"),M3010,IF(ISBLANK(L3010),"",IF(C3010="Buy",M3010, IF(AND(C3010="Sell",J3010="NA"),(E3010*G3010*100*0.1)+I3010, IF(C3010="Sell",(J3010-L3010)*(100*G3010)+I3010))))))</f>
        <v/>
      </c>
      <c r="O3010" s="75" t="n"/>
      <c r="P3010" s="75" t="n"/>
      <c r="Q3010" s="75">
        <f>IF(ISBLANK(P3010),"",IF(D3010="Stock",P3010*G3010,IF(P3010=0,"0",G3010*P3010*100-(G3010*$AF$14))))</f>
        <v/>
      </c>
      <c r="R3010" s="79">
        <f>IF(P3010&lt;&gt;"", TODAY(), "")</f>
        <v/>
      </c>
      <c r="S3010" s="78">
        <f>IF(AND(K3010&lt;&gt;"", R3010&lt;&gt;""), R3010-K3010, "")</f>
        <v/>
      </c>
      <c r="T3010" s="78" t="n"/>
      <c r="U3010" s="92">
        <f>IF(ISBLANK(P3010),"",IF(C3010="Buy",Q3010-M3010+T3010, IF(C3010="Sell",M3010-Q3010-T3010, X)))</f>
        <v/>
      </c>
      <c r="V3010" s="81">
        <f>IF(ISBLANK(P3010),"",U3010/N3010)</f>
        <v/>
      </c>
      <c r="W3010" s="81">
        <f>IF(ISBLANK(P3010),"",IF(S3010=0,(365/0.5)*V3010,(365/S3010)*V3010))</f>
        <v/>
      </c>
      <c r="X3010" s="75" t="n"/>
      <c r="Y3010" s="77" t="n"/>
      <c r="Z3010" s="77" t="n"/>
      <c r="AA3010" s="75" t="n"/>
      <c r="AB3010" s="75" t="n"/>
      <c r="AC3010" s="6" t="n"/>
      <c r="AD3010" s="75" t="n"/>
      <c r="AE3010" s="75" t="n"/>
      <c r="AF3010" s="75" t="n"/>
    </row>
    <row r="3011" ht="15.75" customHeight="1" s="133">
      <c r="A3011" s="75" t="n"/>
      <c r="B3011" s="75" t="n"/>
      <c r="C3011" s="75" t="n"/>
      <c r="D3011" s="75" t="n"/>
      <c r="E3011" s="76" t="n"/>
      <c r="F3011" s="77" t="n"/>
      <c r="G3011" s="75" t="n"/>
      <c r="H3011" s="75">
        <f>IF(ISBLANK(E3011),"",IF(OR(D3011="Butterfly",D3011="Butterfly ",D3011="Iron Fly", D3011="Iron Fly "),LEN(E3011)-LEN(SUBSTITUTE(E3011,"/",""))+2,LEN(E3011)-LEN(SUBSTITUTE(E3011,"/",""))+1))</f>
        <v/>
      </c>
      <c r="I3011" s="78">
        <f>IF(ISBLANK(G3011),"",IF(D3011="Stock","0",Key!$A$3*H3011*G3011))</f>
        <v/>
      </c>
      <c r="J3011" s="78">
        <f>IF(ISBLANK(E3011),"",IF(ISNUMBER(SEARCH("/",E3011)), IF(LEN(E3011)-LEN(SUBSTITUTE(E3011,"/",""))=1,(RIGHT(E3011,LEN(E3011)-FIND("/",E3011)))-(LEFT(E3011,FIND("/",E3011)-1)),(MID(E3011, SEARCH("/",E3011) + 1, SEARCH("/",E3011, SEARCH("/",E3011)+1) - SEARCH("/",E3011) - 1))-(LEFT(E3011,FIND("/",E3011)-1))), "NA"))</f>
        <v/>
      </c>
      <c r="K3011" s="79">
        <f>IF(A3011&lt;&gt;"", IF(ISBLANK(L3011), TODAY(), K3011), "")</f>
        <v/>
      </c>
      <c r="L3011" s="78" t="n"/>
      <c r="M3011" s="78">
        <f>IF(ISBLANK(L3011),"",IF(D3011="Stock",IF(C3011="Buy",L3011*G3011,IF(C3011="Sell",(L3011*G3011)-I3011, X)),IF(C3011="Buy",(L3011*G3011*100)+I3011,IF(C3011="Sell",(L3011*G3011*100)-I3011, X))))</f>
        <v/>
      </c>
      <c r="N3011" s="78">
        <f>IF(ISBLANK(L3011),"",IF(AND(C3011="Sell",D3011="Stock"),M3011,IF(ISBLANK(L3011),"",IF(C3011="Buy",M3011, IF(AND(C3011="Sell",J3011="NA"),(E3011*G3011*100*0.1)+I3011, IF(C3011="Sell",(J3011-L3011)*(100*G3011)+I3011))))))</f>
        <v/>
      </c>
      <c r="O3011" s="75" t="n"/>
      <c r="P3011" s="75" t="n"/>
      <c r="Q3011" s="75">
        <f>IF(ISBLANK(P3011),"",IF(D3011="Stock",P3011*G3011,IF(P3011=0,"0",G3011*P3011*100-(G3011*$AF$14))))</f>
        <v/>
      </c>
      <c r="R3011" s="79">
        <f>IF(P3011&lt;&gt;"", TODAY(), "")</f>
        <v/>
      </c>
      <c r="S3011" s="78">
        <f>IF(AND(K3011&lt;&gt;"", R3011&lt;&gt;""), R3011-K3011, "")</f>
        <v/>
      </c>
      <c r="T3011" s="78" t="n"/>
      <c r="U3011" s="92">
        <f>IF(ISBLANK(P3011),"",IF(C3011="Buy",Q3011-M3011+T3011, IF(C3011="Sell",M3011-Q3011-T3011, X)))</f>
        <v/>
      </c>
      <c r="V3011" s="81">
        <f>IF(ISBLANK(P3011),"",U3011/N3011)</f>
        <v/>
      </c>
      <c r="W3011" s="81">
        <f>IF(ISBLANK(P3011),"",IF(S3011=0,(365/0.5)*V3011,(365/S3011)*V3011))</f>
        <v/>
      </c>
      <c r="X3011" s="75" t="n"/>
      <c r="Y3011" s="77" t="n"/>
      <c r="Z3011" s="77" t="n"/>
      <c r="AA3011" s="75" t="n"/>
      <c r="AB3011" s="75" t="n"/>
      <c r="AC3011" s="6" t="n"/>
      <c r="AD3011" s="75" t="n"/>
      <c r="AE3011" s="75" t="n"/>
      <c r="AF3011" s="75" t="n"/>
    </row>
    <row r="3012" ht="15.75" customHeight="1" s="133">
      <c r="A3012" s="75" t="n"/>
      <c r="B3012" s="75" t="n"/>
      <c r="C3012" s="75" t="n"/>
      <c r="D3012" s="75" t="n"/>
      <c r="E3012" s="76" t="n"/>
      <c r="F3012" s="77" t="n"/>
      <c r="G3012" s="75" t="n"/>
      <c r="H3012" s="75">
        <f>IF(ISBLANK(E3012),"",IF(OR(D3012="Butterfly",D3012="Butterfly ",D3012="Iron Fly", D3012="Iron Fly "),LEN(E3012)-LEN(SUBSTITUTE(E3012,"/",""))+2,LEN(E3012)-LEN(SUBSTITUTE(E3012,"/",""))+1))</f>
        <v/>
      </c>
      <c r="I3012" s="78">
        <f>IF(ISBLANK(G3012),"",IF(D3012="Stock","0",Key!$A$3*H3012*G3012))</f>
        <v/>
      </c>
      <c r="J3012" s="78">
        <f>IF(ISBLANK(E3012),"",IF(ISNUMBER(SEARCH("/",E3012)), IF(LEN(E3012)-LEN(SUBSTITUTE(E3012,"/",""))=1,(RIGHT(E3012,LEN(E3012)-FIND("/",E3012)))-(LEFT(E3012,FIND("/",E3012)-1)),(MID(E3012, SEARCH("/",E3012) + 1, SEARCH("/",E3012, SEARCH("/",E3012)+1) - SEARCH("/",E3012) - 1))-(LEFT(E3012,FIND("/",E3012)-1))), "NA"))</f>
        <v/>
      </c>
      <c r="K3012" s="79">
        <f>IF(A3012&lt;&gt;"", IF(ISBLANK(L3012), TODAY(), K3012), "")</f>
        <v/>
      </c>
      <c r="L3012" s="78" t="n"/>
      <c r="M3012" s="78">
        <f>IF(ISBLANK(L3012),"",IF(D3012="Stock",IF(C3012="Buy",L3012*G3012,IF(C3012="Sell",(L3012*G3012)-I3012, X)),IF(C3012="Buy",(L3012*G3012*100)+I3012,IF(C3012="Sell",(L3012*G3012*100)-I3012, X))))</f>
        <v/>
      </c>
      <c r="N3012" s="78">
        <f>IF(ISBLANK(L3012),"",IF(AND(C3012="Sell",D3012="Stock"),M3012,IF(ISBLANK(L3012),"",IF(C3012="Buy",M3012, IF(AND(C3012="Sell",J3012="NA"),(E3012*G3012*100*0.1)+I3012, IF(C3012="Sell",(J3012-L3012)*(100*G3012)+I3012))))))</f>
        <v/>
      </c>
      <c r="O3012" s="75" t="n"/>
      <c r="P3012" s="75" t="n"/>
      <c r="Q3012" s="75">
        <f>IF(ISBLANK(P3012),"",IF(D3012="Stock",P3012*G3012,IF(P3012=0,"0",G3012*P3012*100-(G3012*$AF$14))))</f>
        <v/>
      </c>
      <c r="R3012" s="79">
        <f>IF(P3012&lt;&gt;"", TODAY(), "")</f>
        <v/>
      </c>
      <c r="S3012" s="78">
        <f>IF(AND(K3012&lt;&gt;"", R3012&lt;&gt;""), R3012-K3012, "")</f>
        <v/>
      </c>
      <c r="T3012" s="78" t="n"/>
      <c r="U3012" s="92">
        <f>IF(ISBLANK(P3012),"",IF(C3012="Buy",Q3012-M3012+T3012, IF(C3012="Sell",M3012-Q3012-T3012, X)))</f>
        <v/>
      </c>
      <c r="V3012" s="81">
        <f>IF(ISBLANK(P3012),"",U3012/N3012)</f>
        <v/>
      </c>
      <c r="W3012" s="81">
        <f>IF(ISBLANK(P3012),"",IF(S3012=0,(365/0.5)*V3012,(365/S3012)*V3012))</f>
        <v/>
      </c>
      <c r="X3012" s="75" t="n"/>
      <c r="Y3012" s="77" t="n"/>
      <c r="Z3012" s="77" t="n"/>
      <c r="AA3012" s="75" t="n"/>
      <c r="AB3012" s="75" t="n"/>
      <c r="AC3012" s="6" t="n"/>
      <c r="AD3012" s="75" t="n"/>
      <c r="AE3012" s="75" t="n"/>
      <c r="AF3012" s="75" t="n"/>
    </row>
    <row r="3013" ht="15.75" customHeight="1" s="133">
      <c r="A3013" s="75" t="n"/>
      <c r="B3013" s="75" t="n"/>
      <c r="C3013" s="75" t="n"/>
      <c r="D3013" s="75" t="n"/>
      <c r="E3013" s="76" t="n"/>
      <c r="F3013" s="77" t="n"/>
      <c r="G3013" s="75" t="n"/>
      <c r="H3013" s="75">
        <f>IF(ISBLANK(E3013),"",IF(OR(D3013="Butterfly",D3013="Butterfly ",D3013="Iron Fly", D3013="Iron Fly "),LEN(E3013)-LEN(SUBSTITUTE(E3013,"/",""))+2,LEN(E3013)-LEN(SUBSTITUTE(E3013,"/",""))+1))</f>
        <v/>
      </c>
      <c r="I3013" s="78">
        <f>IF(ISBLANK(G3013),"",IF(D3013="Stock","0",Key!$A$3*H3013*G3013))</f>
        <v/>
      </c>
      <c r="J3013" s="78">
        <f>IF(ISBLANK(E3013),"",IF(ISNUMBER(SEARCH("/",E3013)), IF(LEN(E3013)-LEN(SUBSTITUTE(E3013,"/",""))=1,(RIGHT(E3013,LEN(E3013)-FIND("/",E3013)))-(LEFT(E3013,FIND("/",E3013)-1)),(MID(E3013, SEARCH("/",E3013) + 1, SEARCH("/",E3013, SEARCH("/",E3013)+1) - SEARCH("/",E3013) - 1))-(LEFT(E3013,FIND("/",E3013)-1))), "NA"))</f>
        <v/>
      </c>
      <c r="K3013" s="79">
        <f>IF(A3013&lt;&gt;"", IF(ISBLANK(L3013), TODAY(), K3013), "")</f>
        <v/>
      </c>
      <c r="L3013" s="78" t="n"/>
      <c r="M3013" s="78">
        <f>IF(ISBLANK(L3013),"",IF(D3013="Stock",IF(C3013="Buy",L3013*G3013,IF(C3013="Sell",(L3013*G3013)-I3013, X)),IF(C3013="Buy",(L3013*G3013*100)+I3013,IF(C3013="Sell",(L3013*G3013*100)-I3013, X))))</f>
        <v/>
      </c>
      <c r="N3013" s="78">
        <f>IF(ISBLANK(L3013),"",IF(AND(C3013="Sell",D3013="Stock"),M3013,IF(ISBLANK(L3013),"",IF(C3013="Buy",M3013, IF(AND(C3013="Sell",J3013="NA"),(E3013*G3013*100*0.1)+I3013, IF(C3013="Sell",(J3013-L3013)*(100*G3013)+I3013))))))</f>
        <v/>
      </c>
      <c r="O3013" s="75" t="n"/>
      <c r="P3013" s="75" t="n"/>
      <c r="Q3013" s="75">
        <f>IF(ISBLANK(P3013),"",IF(D3013="Stock",P3013*G3013,IF(P3013=0,"0",G3013*P3013*100-(G3013*$AF$14))))</f>
        <v/>
      </c>
      <c r="R3013" s="79">
        <f>IF(P3013&lt;&gt;"", TODAY(), "")</f>
        <v/>
      </c>
      <c r="S3013" s="78">
        <f>IF(AND(K3013&lt;&gt;"", R3013&lt;&gt;""), R3013-K3013, "")</f>
        <v/>
      </c>
      <c r="T3013" s="78" t="n"/>
      <c r="U3013" s="92">
        <f>IF(ISBLANK(P3013),"",IF(C3013="Buy",Q3013-M3013+T3013, IF(C3013="Sell",M3013-Q3013-T3013, X)))</f>
        <v/>
      </c>
      <c r="V3013" s="81">
        <f>IF(ISBLANK(P3013),"",U3013/N3013)</f>
        <v/>
      </c>
      <c r="W3013" s="81">
        <f>IF(ISBLANK(P3013),"",IF(S3013=0,(365/0.5)*V3013,(365/S3013)*V3013))</f>
        <v/>
      </c>
      <c r="X3013" s="75" t="n"/>
      <c r="Y3013" s="77" t="n"/>
      <c r="Z3013" s="77" t="n"/>
      <c r="AA3013" s="75" t="n"/>
      <c r="AB3013" s="75" t="n"/>
      <c r="AC3013" s="6" t="n"/>
      <c r="AD3013" s="75" t="n"/>
      <c r="AE3013" s="75" t="n"/>
      <c r="AF3013" s="75" t="n"/>
    </row>
    <row r="3014" ht="15.75" customHeight="1" s="133">
      <c r="A3014" s="75" t="n"/>
      <c r="B3014" s="75" t="n"/>
      <c r="C3014" s="75" t="n"/>
      <c r="D3014" s="75" t="n"/>
      <c r="E3014" s="76" t="n"/>
      <c r="F3014" s="77" t="n"/>
      <c r="G3014" s="75" t="n"/>
      <c r="H3014" s="75">
        <f>IF(ISBLANK(E3014),"",IF(OR(D3014="Butterfly",D3014="Butterfly ",D3014="Iron Fly", D3014="Iron Fly "),LEN(E3014)-LEN(SUBSTITUTE(E3014,"/",""))+2,LEN(E3014)-LEN(SUBSTITUTE(E3014,"/",""))+1))</f>
        <v/>
      </c>
      <c r="I3014" s="78">
        <f>IF(ISBLANK(G3014),"",IF(D3014="Stock","0",Key!$A$3*H3014*G3014))</f>
        <v/>
      </c>
      <c r="J3014" s="78">
        <f>IF(ISBLANK(E3014),"",IF(ISNUMBER(SEARCH("/",E3014)), IF(LEN(E3014)-LEN(SUBSTITUTE(E3014,"/",""))=1,(RIGHT(E3014,LEN(E3014)-FIND("/",E3014)))-(LEFT(E3014,FIND("/",E3014)-1)),(MID(E3014, SEARCH("/",E3014) + 1, SEARCH("/",E3014, SEARCH("/",E3014)+1) - SEARCH("/",E3014) - 1))-(LEFT(E3014,FIND("/",E3014)-1))), "NA"))</f>
        <v/>
      </c>
      <c r="K3014" s="79">
        <f>IF(A3014&lt;&gt;"", IF(ISBLANK(L3014), TODAY(), K3014), "")</f>
        <v/>
      </c>
      <c r="L3014" s="78" t="n"/>
      <c r="M3014" s="78">
        <f>IF(ISBLANK(L3014),"",IF(D3014="Stock",IF(C3014="Buy",L3014*G3014,IF(C3014="Sell",(L3014*G3014)-I3014, X)),IF(C3014="Buy",(L3014*G3014*100)+I3014,IF(C3014="Sell",(L3014*G3014*100)-I3014, X))))</f>
        <v/>
      </c>
      <c r="N3014" s="78">
        <f>IF(ISBLANK(L3014),"",IF(AND(C3014="Sell",D3014="Stock"),M3014,IF(ISBLANK(L3014),"",IF(C3014="Buy",M3014, IF(AND(C3014="Sell",J3014="NA"),(E3014*G3014*100*0.1)+I3014, IF(C3014="Sell",(J3014-L3014)*(100*G3014)+I3014))))))</f>
        <v/>
      </c>
      <c r="O3014" s="75" t="n"/>
      <c r="P3014" s="75" t="n"/>
      <c r="Q3014" s="75">
        <f>IF(ISBLANK(P3014),"",IF(D3014="Stock",P3014*G3014,IF(P3014=0,"0",G3014*P3014*100-(G3014*$AF$14))))</f>
        <v/>
      </c>
      <c r="R3014" s="79">
        <f>IF(P3014&lt;&gt;"", TODAY(), "")</f>
        <v/>
      </c>
      <c r="S3014" s="78">
        <f>IF(AND(K3014&lt;&gt;"", R3014&lt;&gt;""), R3014-K3014, "")</f>
        <v/>
      </c>
      <c r="T3014" s="78" t="n"/>
      <c r="U3014" s="92">
        <f>IF(ISBLANK(P3014),"",IF(C3014="Buy",Q3014-M3014+T3014, IF(C3014="Sell",M3014-Q3014-T3014, X)))</f>
        <v/>
      </c>
      <c r="V3014" s="81">
        <f>IF(ISBLANK(P3014),"",U3014/N3014)</f>
        <v/>
      </c>
      <c r="W3014" s="81">
        <f>IF(ISBLANK(P3014),"",IF(S3014=0,(365/0.5)*V3014,(365/S3014)*V3014))</f>
        <v/>
      </c>
      <c r="X3014" s="75" t="n"/>
      <c r="Y3014" s="77" t="n"/>
      <c r="Z3014" s="77" t="n"/>
      <c r="AA3014" s="75" t="n"/>
      <c r="AB3014" s="75" t="n"/>
      <c r="AC3014" s="6" t="n"/>
      <c r="AD3014" s="75" t="n"/>
      <c r="AE3014" s="75" t="n"/>
      <c r="AF3014" s="75" t="n"/>
    </row>
    <row r="3015" ht="15.75" customHeight="1" s="133">
      <c r="A3015" s="75" t="n"/>
      <c r="B3015" s="75" t="n"/>
      <c r="C3015" s="75" t="n"/>
      <c r="D3015" s="75" t="n"/>
      <c r="E3015" s="76" t="n"/>
      <c r="F3015" s="77" t="n"/>
      <c r="G3015" s="75" t="n"/>
      <c r="H3015" s="75">
        <f>IF(ISBLANK(E3015),"",IF(OR(D3015="Butterfly",D3015="Butterfly ",D3015="Iron Fly", D3015="Iron Fly "),LEN(E3015)-LEN(SUBSTITUTE(E3015,"/",""))+2,LEN(E3015)-LEN(SUBSTITUTE(E3015,"/",""))+1))</f>
        <v/>
      </c>
      <c r="I3015" s="78">
        <f>IF(ISBLANK(G3015),"",IF(D3015="Stock","0",Key!$A$3*H3015*G3015))</f>
        <v/>
      </c>
      <c r="J3015" s="78">
        <f>IF(ISBLANK(E3015),"",IF(ISNUMBER(SEARCH("/",E3015)), IF(LEN(E3015)-LEN(SUBSTITUTE(E3015,"/",""))=1,(RIGHT(E3015,LEN(E3015)-FIND("/",E3015)))-(LEFT(E3015,FIND("/",E3015)-1)),(MID(E3015, SEARCH("/",E3015) + 1, SEARCH("/",E3015, SEARCH("/",E3015)+1) - SEARCH("/",E3015) - 1))-(LEFT(E3015,FIND("/",E3015)-1))), "NA"))</f>
        <v/>
      </c>
      <c r="K3015" s="79">
        <f>IF(A3015&lt;&gt;"", IF(ISBLANK(L3015), TODAY(), K3015), "")</f>
        <v/>
      </c>
      <c r="L3015" s="78" t="n"/>
      <c r="M3015" s="78">
        <f>IF(ISBLANK(L3015),"",IF(D3015="Stock",IF(C3015="Buy",L3015*G3015,IF(C3015="Sell",(L3015*G3015)-I3015, X)),IF(C3015="Buy",(L3015*G3015*100)+I3015,IF(C3015="Sell",(L3015*G3015*100)-I3015, X))))</f>
        <v/>
      </c>
      <c r="N3015" s="78">
        <f>IF(ISBLANK(L3015),"",IF(AND(C3015="Sell",D3015="Stock"),M3015,IF(ISBLANK(L3015),"",IF(C3015="Buy",M3015, IF(AND(C3015="Sell",J3015="NA"),(E3015*G3015*100*0.1)+I3015, IF(C3015="Sell",(J3015-L3015)*(100*G3015)+I3015))))))</f>
        <v/>
      </c>
      <c r="O3015" s="75" t="n"/>
      <c r="P3015" s="75" t="n"/>
      <c r="Q3015" s="75">
        <f>IF(ISBLANK(P3015),"",IF(D3015="Stock",P3015*G3015,IF(P3015=0,"0",G3015*P3015*100-(G3015*$AF$14))))</f>
        <v/>
      </c>
      <c r="R3015" s="79">
        <f>IF(P3015&lt;&gt;"", TODAY(), "")</f>
        <v/>
      </c>
      <c r="S3015" s="78">
        <f>IF(AND(K3015&lt;&gt;"", R3015&lt;&gt;""), R3015-K3015, "")</f>
        <v/>
      </c>
      <c r="T3015" s="78" t="n"/>
      <c r="U3015" s="92">
        <f>IF(ISBLANK(P3015),"",IF(C3015="Buy",Q3015-M3015+T3015, IF(C3015="Sell",M3015-Q3015-T3015, X)))</f>
        <v/>
      </c>
      <c r="V3015" s="81">
        <f>IF(ISBLANK(P3015),"",U3015/N3015)</f>
        <v/>
      </c>
      <c r="W3015" s="81">
        <f>IF(ISBLANK(P3015),"",IF(S3015=0,(365/0.5)*V3015,(365/S3015)*V3015))</f>
        <v/>
      </c>
      <c r="X3015" s="75" t="n"/>
      <c r="Y3015" s="77" t="n"/>
      <c r="Z3015" s="77" t="n"/>
      <c r="AA3015" s="75" t="n"/>
      <c r="AB3015" s="75" t="n"/>
      <c r="AC3015" s="6" t="n"/>
      <c r="AD3015" s="75" t="n"/>
      <c r="AE3015" s="75" t="n"/>
      <c r="AF3015" s="75" t="n"/>
    </row>
    <row r="3016" ht="15.75" customHeight="1" s="133">
      <c r="A3016" s="75" t="n"/>
      <c r="B3016" s="75" t="n"/>
      <c r="C3016" s="75" t="n"/>
      <c r="D3016" s="75" t="n"/>
      <c r="E3016" s="76" t="n"/>
      <c r="F3016" s="77" t="n"/>
      <c r="G3016" s="75" t="n"/>
      <c r="H3016" s="75">
        <f>IF(ISBLANK(E3016),"",IF(OR(D3016="Butterfly",D3016="Butterfly ",D3016="Iron Fly", D3016="Iron Fly "),LEN(E3016)-LEN(SUBSTITUTE(E3016,"/",""))+2,LEN(E3016)-LEN(SUBSTITUTE(E3016,"/",""))+1))</f>
        <v/>
      </c>
      <c r="I3016" s="78">
        <f>IF(ISBLANK(G3016),"",IF(D3016="Stock","0",Key!$A$3*H3016*G3016))</f>
        <v/>
      </c>
      <c r="J3016" s="78">
        <f>IF(ISBLANK(E3016),"",IF(ISNUMBER(SEARCH("/",E3016)), IF(LEN(E3016)-LEN(SUBSTITUTE(E3016,"/",""))=1,(RIGHT(E3016,LEN(E3016)-FIND("/",E3016)))-(LEFT(E3016,FIND("/",E3016)-1)),(MID(E3016, SEARCH("/",E3016) + 1, SEARCH("/",E3016, SEARCH("/",E3016)+1) - SEARCH("/",E3016) - 1))-(LEFT(E3016,FIND("/",E3016)-1))), "NA"))</f>
        <v/>
      </c>
      <c r="K3016" s="79">
        <f>IF(A3016&lt;&gt;"", IF(ISBLANK(L3016), TODAY(), K3016), "")</f>
        <v/>
      </c>
      <c r="L3016" s="78" t="n"/>
      <c r="M3016" s="78">
        <f>IF(ISBLANK(L3016),"",IF(D3016="Stock",IF(C3016="Buy",L3016*G3016,IF(C3016="Sell",(L3016*G3016)-I3016, X)),IF(C3016="Buy",(L3016*G3016*100)+I3016,IF(C3016="Sell",(L3016*G3016*100)-I3016, X))))</f>
        <v/>
      </c>
      <c r="N3016" s="78">
        <f>IF(ISBLANK(L3016),"",IF(AND(C3016="Sell",D3016="Stock"),M3016,IF(ISBLANK(L3016),"",IF(C3016="Buy",M3016, IF(AND(C3016="Sell",J3016="NA"),(E3016*G3016*100*0.1)+I3016, IF(C3016="Sell",(J3016-L3016)*(100*G3016)+I3016))))))</f>
        <v/>
      </c>
      <c r="O3016" s="75" t="n"/>
      <c r="P3016" s="75" t="n"/>
      <c r="Q3016" s="75">
        <f>IF(ISBLANK(P3016),"",IF(D3016="Stock",P3016*G3016,IF(P3016=0,"0",G3016*P3016*100-(G3016*$AF$14))))</f>
        <v/>
      </c>
      <c r="R3016" s="79">
        <f>IF(P3016&lt;&gt;"", TODAY(), "")</f>
        <v/>
      </c>
      <c r="S3016" s="78">
        <f>IF(AND(K3016&lt;&gt;"", R3016&lt;&gt;""), R3016-K3016, "")</f>
        <v/>
      </c>
      <c r="T3016" s="78" t="n"/>
      <c r="U3016" s="92">
        <f>IF(ISBLANK(P3016),"",IF(C3016="Buy",Q3016-M3016+T3016, IF(C3016="Sell",M3016-Q3016-T3016, X)))</f>
        <v/>
      </c>
      <c r="V3016" s="81">
        <f>IF(ISBLANK(P3016),"",U3016/N3016)</f>
        <v/>
      </c>
      <c r="W3016" s="81">
        <f>IF(ISBLANK(P3016),"",IF(S3016=0,(365/0.5)*V3016,(365/S3016)*V3016))</f>
        <v/>
      </c>
      <c r="X3016" s="75" t="n"/>
      <c r="Y3016" s="77" t="n"/>
      <c r="Z3016" s="77" t="n"/>
      <c r="AA3016" s="75" t="n"/>
      <c r="AB3016" s="75" t="n"/>
      <c r="AC3016" s="6" t="n"/>
      <c r="AD3016" s="75" t="n"/>
      <c r="AE3016" s="75" t="n"/>
      <c r="AF3016" s="75" t="n"/>
    </row>
    <row r="3017" ht="15.75" customHeight="1" s="133">
      <c r="A3017" s="75" t="n"/>
      <c r="B3017" s="75" t="n"/>
      <c r="C3017" s="75" t="n"/>
      <c r="D3017" s="75" t="n"/>
      <c r="E3017" s="76" t="n"/>
      <c r="F3017" s="77" t="n"/>
      <c r="G3017" s="75" t="n"/>
      <c r="H3017" s="75">
        <f>IF(ISBLANK(E3017),"",IF(OR(D3017="Butterfly",D3017="Butterfly ",D3017="Iron Fly", D3017="Iron Fly "),LEN(E3017)-LEN(SUBSTITUTE(E3017,"/",""))+2,LEN(E3017)-LEN(SUBSTITUTE(E3017,"/",""))+1))</f>
        <v/>
      </c>
      <c r="I3017" s="78">
        <f>IF(ISBLANK(G3017),"",IF(D3017="Stock","0",Key!$A$3*H3017*G3017))</f>
        <v/>
      </c>
      <c r="J3017" s="78">
        <f>IF(ISBLANK(E3017),"",IF(ISNUMBER(SEARCH("/",E3017)), IF(LEN(E3017)-LEN(SUBSTITUTE(E3017,"/",""))=1,(RIGHT(E3017,LEN(E3017)-FIND("/",E3017)))-(LEFT(E3017,FIND("/",E3017)-1)),(MID(E3017, SEARCH("/",E3017) + 1, SEARCH("/",E3017, SEARCH("/",E3017)+1) - SEARCH("/",E3017) - 1))-(LEFT(E3017,FIND("/",E3017)-1))), "NA"))</f>
        <v/>
      </c>
      <c r="K3017" s="79">
        <f>IF(A3017&lt;&gt;"", IF(ISBLANK(L3017), TODAY(), K3017), "")</f>
        <v/>
      </c>
      <c r="L3017" s="78" t="n"/>
      <c r="M3017" s="78">
        <f>IF(ISBLANK(L3017),"",IF(D3017="Stock",IF(C3017="Buy",L3017*G3017,IF(C3017="Sell",(L3017*G3017)-I3017, X)),IF(C3017="Buy",(L3017*G3017*100)+I3017,IF(C3017="Sell",(L3017*G3017*100)-I3017, X))))</f>
        <v/>
      </c>
      <c r="N3017" s="78">
        <f>IF(ISBLANK(L3017),"",IF(AND(C3017="Sell",D3017="Stock"),M3017,IF(ISBLANK(L3017),"",IF(C3017="Buy",M3017, IF(AND(C3017="Sell",J3017="NA"),(E3017*G3017*100*0.1)+I3017, IF(C3017="Sell",(J3017-L3017)*(100*G3017)+I3017))))))</f>
        <v/>
      </c>
      <c r="O3017" s="75" t="n"/>
      <c r="P3017" s="75" t="n"/>
      <c r="Q3017" s="75">
        <f>IF(ISBLANK(P3017),"",IF(D3017="Stock",P3017*G3017,IF(P3017=0,"0",G3017*P3017*100-(G3017*$AF$14))))</f>
        <v/>
      </c>
      <c r="R3017" s="79">
        <f>IF(P3017&lt;&gt;"", TODAY(), "")</f>
        <v/>
      </c>
      <c r="S3017" s="78">
        <f>IF(AND(K3017&lt;&gt;"", R3017&lt;&gt;""), R3017-K3017, "")</f>
        <v/>
      </c>
      <c r="T3017" s="78" t="n"/>
      <c r="U3017" s="92">
        <f>IF(ISBLANK(P3017),"",IF(C3017="Buy",Q3017-M3017+T3017, IF(C3017="Sell",M3017-Q3017-T3017, X)))</f>
        <v/>
      </c>
      <c r="V3017" s="81">
        <f>IF(ISBLANK(P3017),"",U3017/N3017)</f>
        <v/>
      </c>
      <c r="W3017" s="81">
        <f>IF(ISBLANK(P3017),"",IF(S3017=0,(365/0.5)*V3017,(365/S3017)*V3017))</f>
        <v/>
      </c>
      <c r="X3017" s="75" t="n"/>
      <c r="Y3017" s="77" t="n"/>
      <c r="Z3017" s="77" t="n"/>
      <c r="AA3017" s="75" t="n"/>
      <c r="AB3017" s="75" t="n"/>
      <c r="AC3017" s="6" t="n"/>
      <c r="AD3017" s="75" t="n"/>
      <c r="AE3017" s="75" t="n"/>
      <c r="AF3017" s="75" t="n"/>
    </row>
    <row r="3018" ht="15.75" customHeight="1" s="133">
      <c r="A3018" s="75" t="n"/>
      <c r="B3018" s="75" t="n"/>
      <c r="C3018" s="75" t="n"/>
      <c r="D3018" s="75" t="n"/>
      <c r="E3018" s="76" t="n"/>
      <c r="F3018" s="77" t="n"/>
      <c r="G3018" s="75" t="n"/>
      <c r="H3018" s="75">
        <f>IF(ISBLANK(E3018),"",IF(OR(D3018="Butterfly",D3018="Butterfly ",D3018="Iron Fly", D3018="Iron Fly "),LEN(E3018)-LEN(SUBSTITUTE(E3018,"/",""))+2,LEN(E3018)-LEN(SUBSTITUTE(E3018,"/",""))+1))</f>
        <v/>
      </c>
      <c r="I3018" s="78">
        <f>IF(ISBLANK(G3018),"",IF(D3018="Stock","0",Key!$A$3*H3018*G3018))</f>
        <v/>
      </c>
      <c r="J3018" s="78">
        <f>IF(ISBLANK(E3018),"",IF(ISNUMBER(SEARCH("/",E3018)), IF(LEN(E3018)-LEN(SUBSTITUTE(E3018,"/",""))=1,(RIGHT(E3018,LEN(E3018)-FIND("/",E3018)))-(LEFT(E3018,FIND("/",E3018)-1)),(MID(E3018, SEARCH("/",E3018) + 1, SEARCH("/",E3018, SEARCH("/",E3018)+1) - SEARCH("/",E3018) - 1))-(LEFT(E3018,FIND("/",E3018)-1))), "NA"))</f>
        <v/>
      </c>
      <c r="K3018" s="79">
        <f>IF(A3018&lt;&gt;"", IF(ISBLANK(L3018), TODAY(), K3018), "")</f>
        <v/>
      </c>
      <c r="L3018" s="78" t="n"/>
      <c r="M3018" s="78">
        <f>IF(ISBLANK(L3018),"",IF(D3018="Stock",IF(C3018="Buy",L3018*G3018,IF(C3018="Sell",(L3018*G3018)-I3018, X)),IF(C3018="Buy",(L3018*G3018*100)+I3018,IF(C3018="Sell",(L3018*G3018*100)-I3018, X))))</f>
        <v/>
      </c>
      <c r="N3018" s="78">
        <f>IF(ISBLANK(L3018),"",IF(AND(C3018="Sell",D3018="Stock"),M3018,IF(ISBLANK(L3018),"",IF(C3018="Buy",M3018, IF(AND(C3018="Sell",J3018="NA"),(E3018*G3018*100*0.1)+I3018, IF(C3018="Sell",(J3018-L3018)*(100*G3018)+I3018))))))</f>
        <v/>
      </c>
      <c r="O3018" s="75" t="n"/>
      <c r="P3018" s="75" t="n"/>
      <c r="Q3018" s="75">
        <f>IF(ISBLANK(P3018),"",IF(D3018="Stock",P3018*G3018,IF(P3018=0,"0",G3018*P3018*100-(G3018*$AF$14))))</f>
        <v/>
      </c>
      <c r="R3018" s="79">
        <f>IF(P3018&lt;&gt;"", TODAY(), "")</f>
        <v/>
      </c>
      <c r="S3018" s="78">
        <f>IF(AND(K3018&lt;&gt;"", R3018&lt;&gt;""), R3018-K3018, "")</f>
        <v/>
      </c>
      <c r="T3018" s="78" t="n"/>
      <c r="U3018" s="92">
        <f>IF(ISBLANK(P3018),"",IF(C3018="Buy",Q3018-M3018+T3018, IF(C3018="Sell",M3018-Q3018-T3018, X)))</f>
        <v/>
      </c>
      <c r="V3018" s="81">
        <f>IF(ISBLANK(P3018),"",U3018/N3018)</f>
        <v/>
      </c>
      <c r="W3018" s="81">
        <f>IF(ISBLANK(P3018),"",IF(S3018=0,(365/0.5)*V3018,(365/S3018)*V3018))</f>
        <v/>
      </c>
      <c r="X3018" s="75" t="n"/>
      <c r="Y3018" s="77" t="n"/>
      <c r="Z3018" s="77" t="n"/>
      <c r="AA3018" s="75" t="n"/>
      <c r="AB3018" s="75" t="n"/>
      <c r="AC3018" s="6" t="n"/>
      <c r="AD3018" s="75" t="n"/>
      <c r="AE3018" s="75" t="n"/>
      <c r="AF3018" s="75" t="n"/>
    </row>
    <row r="3019" ht="15.75" customHeight="1" s="133">
      <c r="A3019" s="75" t="n"/>
      <c r="B3019" s="75" t="n"/>
      <c r="C3019" s="75" t="n"/>
      <c r="D3019" s="75" t="n"/>
      <c r="E3019" s="76" t="n"/>
      <c r="F3019" s="77" t="n"/>
      <c r="G3019" s="75" t="n"/>
      <c r="H3019" s="75">
        <f>IF(ISBLANK(E3019),"",IF(OR(D3019="Butterfly",D3019="Butterfly ",D3019="Iron Fly", D3019="Iron Fly "),LEN(E3019)-LEN(SUBSTITUTE(E3019,"/",""))+2,LEN(E3019)-LEN(SUBSTITUTE(E3019,"/",""))+1))</f>
        <v/>
      </c>
      <c r="I3019" s="78">
        <f>IF(ISBLANK(G3019),"",IF(D3019="Stock","0",Key!$A$3*H3019*G3019))</f>
        <v/>
      </c>
      <c r="J3019" s="78">
        <f>IF(ISBLANK(E3019),"",IF(ISNUMBER(SEARCH("/",E3019)), IF(LEN(E3019)-LEN(SUBSTITUTE(E3019,"/",""))=1,(RIGHT(E3019,LEN(E3019)-FIND("/",E3019)))-(LEFT(E3019,FIND("/",E3019)-1)),(MID(E3019, SEARCH("/",E3019) + 1, SEARCH("/",E3019, SEARCH("/",E3019)+1) - SEARCH("/",E3019) - 1))-(LEFT(E3019,FIND("/",E3019)-1))), "NA"))</f>
        <v/>
      </c>
      <c r="K3019" s="79">
        <f>IF(A3019&lt;&gt;"", IF(ISBLANK(L3019), TODAY(), K3019), "")</f>
        <v/>
      </c>
      <c r="L3019" s="78" t="n"/>
      <c r="M3019" s="78">
        <f>IF(ISBLANK(L3019),"",IF(D3019="Stock",IF(C3019="Buy",L3019*G3019,IF(C3019="Sell",(L3019*G3019)-I3019, X)),IF(C3019="Buy",(L3019*G3019*100)+I3019,IF(C3019="Sell",(L3019*G3019*100)-I3019, X))))</f>
        <v/>
      </c>
      <c r="N3019" s="78">
        <f>IF(ISBLANK(L3019),"",IF(AND(C3019="Sell",D3019="Stock"),M3019,IF(ISBLANK(L3019),"",IF(C3019="Buy",M3019, IF(AND(C3019="Sell",J3019="NA"),(E3019*G3019*100*0.1)+I3019, IF(C3019="Sell",(J3019-L3019)*(100*G3019)+I3019))))))</f>
        <v/>
      </c>
      <c r="O3019" s="75" t="n"/>
      <c r="P3019" s="75" t="n"/>
      <c r="Q3019" s="75">
        <f>IF(ISBLANK(P3019),"",IF(D3019="Stock",P3019*G3019,IF(P3019=0,"0",G3019*P3019*100-(G3019*$AF$14))))</f>
        <v/>
      </c>
      <c r="R3019" s="79">
        <f>IF(P3019&lt;&gt;"", TODAY(), "")</f>
        <v/>
      </c>
      <c r="S3019" s="78">
        <f>IF(AND(K3019&lt;&gt;"", R3019&lt;&gt;""), R3019-K3019, "")</f>
        <v/>
      </c>
      <c r="T3019" s="78" t="n"/>
      <c r="U3019" s="92">
        <f>IF(ISBLANK(P3019),"",IF(C3019="Buy",Q3019-M3019+T3019, IF(C3019="Sell",M3019-Q3019-T3019, X)))</f>
        <v/>
      </c>
      <c r="V3019" s="81">
        <f>IF(ISBLANK(P3019),"",U3019/N3019)</f>
        <v/>
      </c>
      <c r="W3019" s="81">
        <f>IF(ISBLANK(P3019),"",IF(S3019=0,(365/0.5)*V3019,(365/S3019)*V3019))</f>
        <v/>
      </c>
      <c r="X3019" s="75" t="n"/>
      <c r="Y3019" s="77" t="n"/>
      <c r="Z3019" s="77" t="n"/>
      <c r="AA3019" s="75" t="n"/>
      <c r="AB3019" s="75" t="n"/>
      <c r="AC3019" s="6" t="n"/>
      <c r="AD3019" s="75" t="n"/>
      <c r="AE3019" s="75" t="n"/>
      <c r="AF3019" s="75" t="n"/>
    </row>
    <row r="3020" ht="15.75" customHeight="1" s="133">
      <c r="A3020" s="75" t="n"/>
      <c r="B3020" s="75" t="n"/>
      <c r="C3020" s="75" t="n"/>
      <c r="D3020" s="75" t="n"/>
      <c r="E3020" s="76" t="n"/>
      <c r="F3020" s="77" t="n"/>
      <c r="G3020" s="75" t="n"/>
      <c r="H3020" s="75">
        <f>IF(ISBLANK(E3020),"",IF(OR(D3020="Butterfly",D3020="Butterfly ",D3020="Iron Fly", D3020="Iron Fly "),LEN(E3020)-LEN(SUBSTITUTE(E3020,"/",""))+2,LEN(E3020)-LEN(SUBSTITUTE(E3020,"/",""))+1))</f>
        <v/>
      </c>
      <c r="I3020" s="78">
        <f>IF(ISBLANK(G3020),"",IF(D3020="Stock","0",Key!$A$3*H3020*G3020))</f>
        <v/>
      </c>
      <c r="J3020" s="78">
        <f>IF(ISBLANK(E3020),"",IF(ISNUMBER(SEARCH("/",E3020)), IF(LEN(E3020)-LEN(SUBSTITUTE(E3020,"/",""))=1,(RIGHT(E3020,LEN(E3020)-FIND("/",E3020)))-(LEFT(E3020,FIND("/",E3020)-1)),(MID(E3020, SEARCH("/",E3020) + 1, SEARCH("/",E3020, SEARCH("/",E3020)+1) - SEARCH("/",E3020) - 1))-(LEFT(E3020,FIND("/",E3020)-1))), "NA"))</f>
        <v/>
      </c>
      <c r="K3020" s="79">
        <f>IF(A3020&lt;&gt;"", IF(ISBLANK(L3020), TODAY(), K3020), "")</f>
        <v/>
      </c>
      <c r="L3020" s="78" t="n"/>
      <c r="M3020" s="78">
        <f>IF(ISBLANK(L3020),"",IF(D3020="Stock",IF(C3020="Buy",L3020*G3020,IF(C3020="Sell",(L3020*G3020)-I3020, X)),IF(C3020="Buy",(L3020*G3020*100)+I3020,IF(C3020="Sell",(L3020*G3020*100)-I3020, X))))</f>
        <v/>
      </c>
      <c r="N3020" s="78">
        <f>IF(ISBLANK(L3020),"",IF(AND(C3020="Sell",D3020="Stock"),M3020,IF(ISBLANK(L3020),"",IF(C3020="Buy",M3020, IF(AND(C3020="Sell",J3020="NA"),(E3020*G3020*100*0.1)+I3020, IF(C3020="Sell",(J3020-L3020)*(100*G3020)+I3020))))))</f>
        <v/>
      </c>
      <c r="O3020" s="75" t="n"/>
      <c r="P3020" s="75" t="n"/>
      <c r="Q3020" s="75">
        <f>IF(ISBLANK(P3020),"",IF(D3020="Stock",P3020*G3020,IF(P3020=0,"0",G3020*P3020*100-(G3020*$AF$14))))</f>
        <v/>
      </c>
      <c r="R3020" s="79">
        <f>IF(P3020&lt;&gt;"", TODAY(), "")</f>
        <v/>
      </c>
      <c r="S3020" s="78">
        <f>IF(AND(K3020&lt;&gt;"", R3020&lt;&gt;""), R3020-K3020, "")</f>
        <v/>
      </c>
      <c r="T3020" s="78" t="n"/>
      <c r="U3020" s="92">
        <f>IF(ISBLANK(P3020),"",IF(C3020="Buy",Q3020-M3020+T3020, IF(C3020="Sell",M3020-Q3020-T3020, X)))</f>
        <v/>
      </c>
      <c r="V3020" s="81">
        <f>IF(ISBLANK(P3020),"",U3020/N3020)</f>
        <v/>
      </c>
      <c r="W3020" s="81">
        <f>IF(ISBLANK(P3020),"",IF(S3020=0,(365/0.5)*V3020,(365/S3020)*V3020))</f>
        <v/>
      </c>
      <c r="X3020" s="75" t="n"/>
      <c r="Y3020" s="77" t="n"/>
      <c r="Z3020" s="77" t="n"/>
      <c r="AA3020" s="75" t="n"/>
      <c r="AB3020" s="75" t="n"/>
      <c r="AC3020" s="6" t="n"/>
      <c r="AD3020" s="75" t="n"/>
      <c r="AE3020" s="75" t="n"/>
      <c r="AF3020" s="75" t="n"/>
    </row>
    <row r="3021" ht="15.75" customHeight="1" s="133">
      <c r="A3021" s="75" t="n"/>
      <c r="B3021" s="75" t="n"/>
      <c r="C3021" s="75" t="n"/>
      <c r="D3021" s="75" t="n"/>
      <c r="E3021" s="76" t="n"/>
      <c r="F3021" s="77" t="n"/>
      <c r="G3021" s="75" t="n"/>
      <c r="H3021" s="75">
        <f>IF(ISBLANK(E3021),"",IF(OR(D3021="Butterfly",D3021="Butterfly ",D3021="Iron Fly", D3021="Iron Fly "),LEN(E3021)-LEN(SUBSTITUTE(E3021,"/",""))+2,LEN(E3021)-LEN(SUBSTITUTE(E3021,"/",""))+1))</f>
        <v/>
      </c>
      <c r="I3021" s="78">
        <f>IF(ISBLANK(G3021),"",IF(D3021="Stock","0",Key!$A$3*H3021*G3021))</f>
        <v/>
      </c>
      <c r="J3021" s="78">
        <f>IF(ISBLANK(E3021),"",IF(ISNUMBER(SEARCH("/",E3021)), IF(LEN(E3021)-LEN(SUBSTITUTE(E3021,"/",""))=1,(RIGHT(E3021,LEN(E3021)-FIND("/",E3021)))-(LEFT(E3021,FIND("/",E3021)-1)),(MID(E3021, SEARCH("/",E3021) + 1, SEARCH("/",E3021, SEARCH("/",E3021)+1) - SEARCH("/",E3021) - 1))-(LEFT(E3021,FIND("/",E3021)-1))), "NA"))</f>
        <v/>
      </c>
      <c r="K3021" s="79">
        <f>IF(A3021&lt;&gt;"", IF(ISBLANK(L3021), TODAY(), K3021), "")</f>
        <v/>
      </c>
      <c r="L3021" s="78" t="n"/>
      <c r="M3021" s="78">
        <f>IF(ISBLANK(L3021),"",IF(D3021="Stock",IF(C3021="Buy",L3021*G3021,IF(C3021="Sell",(L3021*G3021)-I3021, X)),IF(C3021="Buy",(L3021*G3021*100)+I3021,IF(C3021="Sell",(L3021*G3021*100)-I3021, X))))</f>
        <v/>
      </c>
      <c r="N3021" s="78">
        <f>IF(ISBLANK(L3021),"",IF(AND(C3021="Sell",D3021="Stock"),M3021,IF(ISBLANK(L3021),"",IF(C3021="Buy",M3021, IF(AND(C3021="Sell",J3021="NA"),(E3021*G3021*100*0.1)+I3021, IF(C3021="Sell",(J3021-L3021)*(100*G3021)+I3021))))))</f>
        <v/>
      </c>
      <c r="O3021" s="75" t="n"/>
      <c r="P3021" s="75" t="n"/>
      <c r="Q3021" s="75">
        <f>IF(ISBLANK(P3021),"",IF(D3021="Stock",P3021*G3021,IF(P3021=0,"0",G3021*P3021*100-(G3021*$AF$14))))</f>
        <v/>
      </c>
      <c r="R3021" s="79">
        <f>IF(P3021&lt;&gt;"", TODAY(), "")</f>
        <v/>
      </c>
      <c r="S3021" s="78">
        <f>IF(AND(K3021&lt;&gt;"", R3021&lt;&gt;""), R3021-K3021, "")</f>
        <v/>
      </c>
      <c r="T3021" s="78" t="n"/>
      <c r="U3021" s="92">
        <f>IF(ISBLANK(P3021),"",IF(C3021="Buy",Q3021-M3021+T3021, IF(C3021="Sell",M3021-Q3021-T3021, X)))</f>
        <v/>
      </c>
      <c r="V3021" s="81">
        <f>IF(ISBLANK(P3021),"",U3021/N3021)</f>
        <v/>
      </c>
      <c r="W3021" s="81">
        <f>IF(ISBLANK(P3021),"",IF(S3021=0,(365/0.5)*V3021,(365/S3021)*V3021))</f>
        <v/>
      </c>
      <c r="X3021" s="75" t="n"/>
      <c r="Y3021" s="77" t="n"/>
      <c r="Z3021" s="77" t="n"/>
      <c r="AA3021" s="75" t="n"/>
      <c r="AB3021" s="75" t="n"/>
      <c r="AC3021" s="6" t="n"/>
      <c r="AD3021" s="75" t="n"/>
      <c r="AE3021" s="75" t="n"/>
      <c r="AF3021" s="75" t="n"/>
    </row>
    <row r="3022" ht="15.75" customHeight="1" s="133">
      <c r="A3022" s="75" t="n"/>
      <c r="B3022" s="75" t="n"/>
      <c r="C3022" s="75" t="n"/>
      <c r="D3022" s="75" t="n"/>
      <c r="E3022" s="76" t="n"/>
      <c r="F3022" s="77" t="n"/>
      <c r="G3022" s="75" t="n"/>
      <c r="H3022" s="75">
        <f>IF(ISBLANK(E3022),"",IF(OR(D3022="Butterfly",D3022="Butterfly ",D3022="Iron Fly", D3022="Iron Fly "),LEN(E3022)-LEN(SUBSTITUTE(E3022,"/",""))+2,LEN(E3022)-LEN(SUBSTITUTE(E3022,"/",""))+1))</f>
        <v/>
      </c>
      <c r="I3022" s="78">
        <f>IF(ISBLANK(G3022),"",IF(D3022="Stock","0",Key!$A$3*H3022*G3022))</f>
        <v/>
      </c>
      <c r="J3022" s="78">
        <f>IF(ISBLANK(E3022),"",IF(ISNUMBER(SEARCH("/",E3022)), IF(LEN(E3022)-LEN(SUBSTITUTE(E3022,"/",""))=1,(RIGHT(E3022,LEN(E3022)-FIND("/",E3022)))-(LEFT(E3022,FIND("/",E3022)-1)),(MID(E3022, SEARCH("/",E3022) + 1, SEARCH("/",E3022, SEARCH("/",E3022)+1) - SEARCH("/",E3022) - 1))-(LEFT(E3022,FIND("/",E3022)-1))), "NA"))</f>
        <v/>
      </c>
      <c r="K3022" s="79">
        <f>IF(A3022&lt;&gt;"", IF(ISBLANK(L3022), TODAY(), K3022), "")</f>
        <v/>
      </c>
      <c r="L3022" s="78" t="n"/>
      <c r="M3022" s="78">
        <f>IF(ISBLANK(L3022),"",IF(D3022="Stock",IF(C3022="Buy",L3022*G3022,IF(C3022="Sell",(L3022*G3022)-I3022, X)),IF(C3022="Buy",(L3022*G3022*100)+I3022,IF(C3022="Sell",(L3022*G3022*100)-I3022, X))))</f>
        <v/>
      </c>
      <c r="N3022" s="78">
        <f>IF(ISBLANK(L3022),"",IF(AND(C3022="Sell",D3022="Stock"),M3022,IF(ISBLANK(L3022),"",IF(C3022="Buy",M3022, IF(AND(C3022="Sell",J3022="NA"),(E3022*G3022*100*0.1)+I3022, IF(C3022="Sell",(J3022-L3022)*(100*G3022)+I3022))))))</f>
        <v/>
      </c>
      <c r="O3022" s="75" t="n"/>
      <c r="P3022" s="75" t="n"/>
      <c r="Q3022" s="75">
        <f>IF(ISBLANK(P3022),"",IF(D3022="Stock",P3022*G3022,IF(P3022=0,"0",G3022*P3022*100-(G3022*$AF$14))))</f>
        <v/>
      </c>
      <c r="R3022" s="79">
        <f>IF(P3022&lt;&gt;"", TODAY(), "")</f>
        <v/>
      </c>
      <c r="S3022" s="78">
        <f>IF(AND(K3022&lt;&gt;"", R3022&lt;&gt;""), R3022-K3022, "")</f>
        <v/>
      </c>
      <c r="T3022" s="78" t="n"/>
      <c r="U3022" s="92">
        <f>IF(ISBLANK(P3022),"",IF(C3022="Buy",Q3022-M3022+T3022, IF(C3022="Sell",M3022-Q3022-T3022, X)))</f>
        <v/>
      </c>
      <c r="V3022" s="81">
        <f>IF(ISBLANK(P3022),"",U3022/N3022)</f>
        <v/>
      </c>
      <c r="W3022" s="81">
        <f>IF(ISBLANK(P3022),"",IF(S3022=0,(365/0.5)*V3022,(365/S3022)*V3022))</f>
        <v/>
      </c>
      <c r="X3022" s="75" t="n"/>
      <c r="Y3022" s="77" t="n"/>
      <c r="Z3022" s="77" t="n"/>
      <c r="AA3022" s="75" t="n"/>
      <c r="AB3022" s="75" t="n"/>
      <c r="AC3022" s="6" t="n"/>
      <c r="AD3022" s="75" t="n"/>
      <c r="AE3022" s="75" t="n"/>
      <c r="AF3022" s="75" t="n"/>
    </row>
    <row r="3023" ht="15.75" customHeight="1" s="133">
      <c r="A3023" s="75" t="n"/>
      <c r="B3023" s="75" t="n"/>
      <c r="C3023" s="75" t="n"/>
      <c r="D3023" s="75" t="n"/>
      <c r="E3023" s="76" t="n"/>
      <c r="F3023" s="77" t="n"/>
      <c r="G3023" s="75" t="n"/>
      <c r="H3023" s="75">
        <f>IF(ISBLANK(E3023),"",IF(OR(D3023="Butterfly",D3023="Butterfly ",D3023="Iron Fly", D3023="Iron Fly "),LEN(E3023)-LEN(SUBSTITUTE(E3023,"/",""))+2,LEN(E3023)-LEN(SUBSTITUTE(E3023,"/",""))+1))</f>
        <v/>
      </c>
      <c r="I3023" s="78">
        <f>IF(ISBLANK(G3023),"",IF(D3023="Stock","0",Key!$A$3*H3023*G3023))</f>
        <v/>
      </c>
      <c r="J3023" s="78">
        <f>IF(ISBLANK(E3023),"",IF(ISNUMBER(SEARCH("/",E3023)), IF(LEN(E3023)-LEN(SUBSTITUTE(E3023,"/",""))=1,(RIGHT(E3023,LEN(E3023)-FIND("/",E3023)))-(LEFT(E3023,FIND("/",E3023)-1)),(MID(E3023, SEARCH("/",E3023) + 1, SEARCH("/",E3023, SEARCH("/",E3023)+1) - SEARCH("/",E3023) - 1))-(LEFT(E3023,FIND("/",E3023)-1))), "NA"))</f>
        <v/>
      </c>
      <c r="K3023" s="79">
        <f>IF(A3023&lt;&gt;"", IF(ISBLANK(L3023), TODAY(), K3023), "")</f>
        <v/>
      </c>
      <c r="L3023" s="78" t="n"/>
      <c r="M3023" s="78">
        <f>IF(ISBLANK(L3023),"",IF(D3023="Stock",IF(C3023="Buy",L3023*G3023,IF(C3023="Sell",(L3023*G3023)-I3023, X)),IF(C3023="Buy",(L3023*G3023*100)+I3023,IF(C3023="Sell",(L3023*G3023*100)-I3023, X))))</f>
        <v/>
      </c>
      <c r="N3023" s="78">
        <f>IF(ISBLANK(L3023),"",IF(AND(C3023="Sell",D3023="Stock"),M3023,IF(ISBLANK(L3023),"",IF(C3023="Buy",M3023, IF(AND(C3023="Sell",J3023="NA"),(E3023*G3023*100*0.1)+I3023, IF(C3023="Sell",(J3023-L3023)*(100*G3023)+I3023))))))</f>
        <v/>
      </c>
      <c r="O3023" s="75" t="n"/>
      <c r="P3023" s="75" t="n"/>
      <c r="Q3023" s="75">
        <f>IF(ISBLANK(P3023),"",IF(D3023="Stock",P3023*G3023,IF(P3023=0,"0",G3023*P3023*100-(G3023*$AF$14))))</f>
        <v/>
      </c>
      <c r="R3023" s="79">
        <f>IF(P3023&lt;&gt;"", TODAY(), "")</f>
        <v/>
      </c>
      <c r="S3023" s="78">
        <f>IF(AND(K3023&lt;&gt;"", R3023&lt;&gt;""), R3023-K3023, "")</f>
        <v/>
      </c>
      <c r="T3023" s="78" t="n"/>
      <c r="U3023" s="92">
        <f>IF(ISBLANK(P3023),"",IF(C3023="Buy",Q3023-M3023+T3023, IF(C3023="Sell",M3023-Q3023-T3023, X)))</f>
        <v/>
      </c>
      <c r="V3023" s="81">
        <f>IF(ISBLANK(P3023),"",U3023/N3023)</f>
        <v/>
      </c>
      <c r="W3023" s="81">
        <f>IF(ISBLANK(P3023),"",IF(S3023=0,(365/0.5)*V3023,(365/S3023)*V3023))</f>
        <v/>
      </c>
      <c r="X3023" s="75" t="n"/>
      <c r="Y3023" s="77" t="n"/>
      <c r="Z3023" s="77" t="n"/>
      <c r="AA3023" s="75" t="n"/>
      <c r="AB3023" s="75" t="n"/>
      <c r="AC3023" s="6" t="n"/>
      <c r="AD3023" s="75" t="n"/>
      <c r="AE3023" s="75" t="n"/>
      <c r="AF3023" s="75" t="n"/>
    </row>
    <row r="3024" ht="15.75" customHeight="1" s="133">
      <c r="A3024" s="75" t="n"/>
      <c r="B3024" s="75" t="n"/>
      <c r="C3024" s="75" t="n"/>
      <c r="D3024" s="75" t="n"/>
      <c r="E3024" s="76" t="n"/>
      <c r="F3024" s="77" t="n"/>
      <c r="G3024" s="75" t="n"/>
      <c r="H3024" s="75">
        <f>IF(ISBLANK(E3024),"",IF(OR(D3024="Butterfly",D3024="Butterfly ",D3024="Iron Fly", D3024="Iron Fly "),LEN(E3024)-LEN(SUBSTITUTE(E3024,"/",""))+2,LEN(E3024)-LEN(SUBSTITUTE(E3024,"/",""))+1))</f>
        <v/>
      </c>
      <c r="I3024" s="78">
        <f>IF(ISBLANK(G3024),"",IF(D3024="Stock","0",Key!$A$3*H3024*G3024))</f>
        <v/>
      </c>
      <c r="J3024" s="78">
        <f>IF(ISBLANK(E3024),"",IF(ISNUMBER(SEARCH("/",E3024)), IF(LEN(E3024)-LEN(SUBSTITUTE(E3024,"/",""))=1,(RIGHT(E3024,LEN(E3024)-FIND("/",E3024)))-(LEFT(E3024,FIND("/",E3024)-1)),(MID(E3024, SEARCH("/",E3024) + 1, SEARCH("/",E3024, SEARCH("/",E3024)+1) - SEARCH("/",E3024) - 1))-(LEFT(E3024,FIND("/",E3024)-1))), "NA"))</f>
        <v/>
      </c>
      <c r="K3024" s="79">
        <f>IF(A3024&lt;&gt;"", IF(ISBLANK(L3024), TODAY(), K3024), "")</f>
        <v/>
      </c>
      <c r="L3024" s="78" t="n"/>
      <c r="M3024" s="78">
        <f>IF(ISBLANK(L3024),"",IF(D3024="Stock",IF(C3024="Buy",L3024*G3024,IF(C3024="Sell",(L3024*G3024)-I3024, X)),IF(C3024="Buy",(L3024*G3024*100)+I3024,IF(C3024="Sell",(L3024*G3024*100)-I3024, X))))</f>
        <v/>
      </c>
      <c r="N3024" s="78">
        <f>IF(ISBLANK(L3024),"",IF(AND(C3024="Sell",D3024="Stock"),M3024,IF(ISBLANK(L3024),"",IF(C3024="Buy",M3024, IF(AND(C3024="Sell",J3024="NA"),(E3024*G3024*100*0.1)+I3024, IF(C3024="Sell",(J3024-L3024)*(100*G3024)+I3024))))))</f>
        <v/>
      </c>
      <c r="O3024" s="75" t="n"/>
      <c r="P3024" s="75" t="n"/>
      <c r="Q3024" s="75">
        <f>IF(ISBLANK(P3024),"",IF(D3024="Stock",P3024*G3024,IF(P3024=0,"0",G3024*P3024*100-(G3024*$AF$14))))</f>
        <v/>
      </c>
      <c r="R3024" s="79">
        <f>IF(P3024&lt;&gt;"", TODAY(), "")</f>
        <v/>
      </c>
      <c r="S3024" s="78">
        <f>IF(AND(K3024&lt;&gt;"", R3024&lt;&gt;""), R3024-K3024, "")</f>
        <v/>
      </c>
      <c r="T3024" s="78" t="n"/>
      <c r="U3024" s="92">
        <f>IF(ISBLANK(P3024),"",IF(C3024="Buy",Q3024-M3024+T3024, IF(C3024="Sell",M3024-Q3024-T3024, X)))</f>
        <v/>
      </c>
      <c r="V3024" s="81">
        <f>IF(ISBLANK(P3024),"",U3024/N3024)</f>
        <v/>
      </c>
      <c r="W3024" s="81">
        <f>IF(ISBLANK(P3024),"",IF(S3024=0,(365/0.5)*V3024,(365/S3024)*V3024))</f>
        <v/>
      </c>
      <c r="X3024" s="75" t="n"/>
      <c r="Y3024" s="77" t="n"/>
      <c r="Z3024" s="77" t="n"/>
      <c r="AA3024" s="75" t="n"/>
      <c r="AB3024" s="75" t="n"/>
      <c r="AC3024" s="6" t="n"/>
      <c r="AD3024" s="75" t="n"/>
      <c r="AE3024" s="75" t="n"/>
      <c r="AF3024" s="75" t="n"/>
    </row>
    <row r="3025" ht="15.75" customHeight="1" s="133">
      <c r="A3025" s="75" t="n"/>
      <c r="B3025" s="75" t="n"/>
      <c r="C3025" s="75" t="n"/>
      <c r="D3025" s="75" t="n"/>
      <c r="E3025" s="76" t="n"/>
      <c r="F3025" s="77" t="n"/>
      <c r="G3025" s="75" t="n"/>
      <c r="H3025" s="75">
        <f>IF(ISBLANK(E3025),"",IF(OR(D3025="Butterfly",D3025="Butterfly ",D3025="Iron Fly", D3025="Iron Fly "),LEN(E3025)-LEN(SUBSTITUTE(E3025,"/",""))+2,LEN(E3025)-LEN(SUBSTITUTE(E3025,"/",""))+1))</f>
        <v/>
      </c>
      <c r="I3025" s="78">
        <f>IF(ISBLANK(G3025),"",IF(D3025="Stock","0",Key!$A$3*H3025*G3025))</f>
        <v/>
      </c>
      <c r="J3025" s="78">
        <f>IF(ISBLANK(E3025),"",IF(ISNUMBER(SEARCH("/",E3025)), IF(LEN(E3025)-LEN(SUBSTITUTE(E3025,"/",""))=1,(RIGHT(E3025,LEN(E3025)-FIND("/",E3025)))-(LEFT(E3025,FIND("/",E3025)-1)),(MID(E3025, SEARCH("/",E3025) + 1, SEARCH("/",E3025, SEARCH("/",E3025)+1) - SEARCH("/",E3025) - 1))-(LEFT(E3025,FIND("/",E3025)-1))), "NA"))</f>
        <v/>
      </c>
      <c r="K3025" s="79">
        <f>IF(A3025&lt;&gt;"", IF(ISBLANK(L3025), TODAY(), K3025), "")</f>
        <v/>
      </c>
      <c r="L3025" s="78" t="n"/>
      <c r="M3025" s="78">
        <f>IF(ISBLANK(L3025),"",IF(D3025="Stock",IF(C3025="Buy",L3025*G3025,IF(C3025="Sell",(L3025*G3025)-I3025, X)),IF(C3025="Buy",(L3025*G3025*100)+I3025,IF(C3025="Sell",(L3025*G3025*100)-I3025, X))))</f>
        <v/>
      </c>
      <c r="N3025" s="78">
        <f>IF(ISBLANK(L3025),"",IF(AND(C3025="Sell",D3025="Stock"),M3025,IF(ISBLANK(L3025),"",IF(C3025="Buy",M3025, IF(AND(C3025="Sell",J3025="NA"),(E3025*G3025*100*0.1)+I3025, IF(C3025="Sell",(J3025-L3025)*(100*G3025)+I3025))))))</f>
        <v/>
      </c>
      <c r="O3025" s="75" t="n"/>
      <c r="P3025" s="75" t="n"/>
      <c r="Q3025" s="75">
        <f>IF(ISBLANK(P3025),"",IF(D3025="Stock",P3025*G3025,IF(P3025=0,"0",G3025*P3025*100-(G3025*$AF$14))))</f>
        <v/>
      </c>
      <c r="R3025" s="79">
        <f>IF(P3025&lt;&gt;"", TODAY(), "")</f>
        <v/>
      </c>
      <c r="S3025" s="78">
        <f>IF(AND(K3025&lt;&gt;"", R3025&lt;&gt;""), R3025-K3025, "")</f>
        <v/>
      </c>
      <c r="T3025" s="78" t="n"/>
      <c r="U3025" s="92">
        <f>IF(ISBLANK(P3025),"",IF(C3025="Buy",Q3025-M3025+T3025, IF(C3025="Sell",M3025-Q3025-T3025, X)))</f>
        <v/>
      </c>
      <c r="V3025" s="81">
        <f>IF(ISBLANK(P3025),"",U3025/N3025)</f>
        <v/>
      </c>
      <c r="W3025" s="81">
        <f>IF(ISBLANK(P3025),"",IF(S3025=0,(365/0.5)*V3025,(365/S3025)*V3025))</f>
        <v/>
      </c>
      <c r="X3025" s="75" t="n"/>
      <c r="Y3025" s="77" t="n"/>
      <c r="Z3025" s="77" t="n"/>
      <c r="AA3025" s="75" t="n"/>
      <c r="AB3025" s="75" t="n"/>
      <c r="AC3025" s="6" t="n"/>
      <c r="AD3025" s="75" t="n"/>
      <c r="AE3025" s="75" t="n"/>
      <c r="AF3025" s="75" t="n"/>
    </row>
    <row r="3026" ht="15.75" customHeight="1" s="133">
      <c r="A3026" s="75" t="n"/>
      <c r="B3026" s="75" t="n"/>
      <c r="C3026" s="75" t="n"/>
      <c r="D3026" s="75" t="n"/>
      <c r="E3026" s="76" t="n"/>
      <c r="F3026" s="77" t="n"/>
      <c r="G3026" s="75" t="n"/>
      <c r="H3026" s="75">
        <f>IF(ISBLANK(E3026),"",IF(OR(D3026="Butterfly",D3026="Butterfly ",D3026="Iron Fly", D3026="Iron Fly "),LEN(E3026)-LEN(SUBSTITUTE(E3026,"/",""))+2,LEN(E3026)-LEN(SUBSTITUTE(E3026,"/",""))+1))</f>
        <v/>
      </c>
      <c r="I3026" s="78">
        <f>IF(ISBLANK(G3026),"",IF(D3026="Stock","0",Key!$A$3*H3026*G3026))</f>
        <v/>
      </c>
      <c r="J3026" s="78">
        <f>IF(ISBLANK(E3026),"",IF(ISNUMBER(SEARCH("/",E3026)), IF(LEN(E3026)-LEN(SUBSTITUTE(E3026,"/",""))=1,(RIGHT(E3026,LEN(E3026)-FIND("/",E3026)))-(LEFT(E3026,FIND("/",E3026)-1)),(MID(E3026, SEARCH("/",E3026) + 1, SEARCH("/",E3026, SEARCH("/",E3026)+1) - SEARCH("/",E3026) - 1))-(LEFT(E3026,FIND("/",E3026)-1))), "NA"))</f>
        <v/>
      </c>
      <c r="K3026" s="79">
        <f>IF(A3026&lt;&gt;"", IF(ISBLANK(L3026), TODAY(), K3026), "")</f>
        <v/>
      </c>
      <c r="L3026" s="78" t="n"/>
      <c r="M3026" s="78">
        <f>IF(ISBLANK(L3026),"",IF(D3026="Stock",IF(C3026="Buy",L3026*G3026,IF(C3026="Sell",(L3026*G3026)-I3026, X)),IF(C3026="Buy",(L3026*G3026*100)+I3026,IF(C3026="Sell",(L3026*G3026*100)-I3026, X))))</f>
        <v/>
      </c>
      <c r="N3026" s="78">
        <f>IF(ISBLANK(L3026),"",IF(AND(C3026="Sell",D3026="Stock"),M3026,IF(ISBLANK(L3026),"",IF(C3026="Buy",M3026, IF(AND(C3026="Sell",J3026="NA"),(E3026*G3026*100*0.1)+I3026, IF(C3026="Sell",(J3026-L3026)*(100*G3026)+I3026))))))</f>
        <v/>
      </c>
      <c r="O3026" s="75" t="n"/>
      <c r="P3026" s="75" t="n"/>
      <c r="Q3026" s="75">
        <f>IF(ISBLANK(P3026),"",IF(D3026="Stock",P3026*G3026,IF(P3026=0,"0",G3026*P3026*100-(G3026*$AF$14))))</f>
        <v/>
      </c>
      <c r="R3026" s="79">
        <f>IF(P3026&lt;&gt;"", TODAY(), "")</f>
        <v/>
      </c>
      <c r="S3026" s="78">
        <f>IF(AND(K3026&lt;&gt;"", R3026&lt;&gt;""), R3026-K3026, "")</f>
        <v/>
      </c>
      <c r="T3026" s="78" t="n"/>
      <c r="U3026" s="92">
        <f>IF(ISBLANK(P3026),"",IF(C3026="Buy",Q3026-M3026+T3026, IF(C3026="Sell",M3026-Q3026-T3026, X)))</f>
        <v/>
      </c>
      <c r="V3026" s="81">
        <f>IF(ISBLANK(P3026),"",U3026/N3026)</f>
        <v/>
      </c>
      <c r="W3026" s="81">
        <f>IF(ISBLANK(P3026),"",IF(S3026=0,(365/0.5)*V3026,(365/S3026)*V3026))</f>
        <v/>
      </c>
      <c r="X3026" s="75" t="n"/>
      <c r="Y3026" s="77" t="n"/>
      <c r="Z3026" s="77" t="n"/>
      <c r="AA3026" s="75" t="n"/>
      <c r="AB3026" s="75" t="n"/>
      <c r="AC3026" s="6" t="n"/>
      <c r="AD3026" s="75" t="n"/>
      <c r="AE3026" s="75" t="n"/>
      <c r="AF3026" s="75" t="n"/>
    </row>
    <row r="3027" ht="15.75" customHeight="1" s="133">
      <c r="A3027" s="75" t="n"/>
      <c r="B3027" s="75" t="n"/>
      <c r="C3027" s="75" t="n"/>
      <c r="D3027" s="75" t="n"/>
      <c r="E3027" s="76" t="n"/>
      <c r="F3027" s="77" t="n"/>
      <c r="G3027" s="75" t="n"/>
      <c r="H3027" s="75">
        <f>IF(ISBLANK(E3027),"",IF(OR(D3027="Butterfly",D3027="Butterfly ",D3027="Iron Fly", D3027="Iron Fly "),LEN(E3027)-LEN(SUBSTITUTE(E3027,"/",""))+2,LEN(E3027)-LEN(SUBSTITUTE(E3027,"/",""))+1))</f>
        <v/>
      </c>
      <c r="I3027" s="78">
        <f>IF(ISBLANK(G3027),"",IF(D3027="Stock","0",Key!$A$3*H3027*G3027))</f>
        <v/>
      </c>
      <c r="J3027" s="78">
        <f>IF(ISBLANK(E3027),"",IF(ISNUMBER(SEARCH("/",E3027)), IF(LEN(E3027)-LEN(SUBSTITUTE(E3027,"/",""))=1,(RIGHT(E3027,LEN(E3027)-FIND("/",E3027)))-(LEFT(E3027,FIND("/",E3027)-1)),(MID(E3027, SEARCH("/",E3027) + 1, SEARCH("/",E3027, SEARCH("/",E3027)+1) - SEARCH("/",E3027) - 1))-(LEFT(E3027,FIND("/",E3027)-1))), "NA"))</f>
        <v/>
      </c>
      <c r="K3027" s="79">
        <f>IF(A3027&lt;&gt;"", IF(ISBLANK(L3027), TODAY(), K3027), "")</f>
        <v/>
      </c>
      <c r="L3027" s="78" t="n"/>
      <c r="M3027" s="78">
        <f>IF(ISBLANK(L3027),"",IF(D3027="Stock",IF(C3027="Buy",L3027*G3027,IF(C3027="Sell",(L3027*G3027)-I3027, X)),IF(C3027="Buy",(L3027*G3027*100)+I3027,IF(C3027="Sell",(L3027*G3027*100)-I3027, X))))</f>
        <v/>
      </c>
      <c r="N3027" s="78">
        <f>IF(ISBLANK(L3027),"",IF(AND(C3027="Sell",D3027="Stock"),M3027,IF(ISBLANK(L3027),"",IF(C3027="Buy",M3027, IF(AND(C3027="Sell",J3027="NA"),(E3027*G3027*100*0.1)+I3027, IF(C3027="Sell",(J3027-L3027)*(100*G3027)+I3027))))))</f>
        <v/>
      </c>
      <c r="O3027" s="75" t="n"/>
      <c r="P3027" s="75" t="n"/>
      <c r="Q3027" s="75">
        <f>IF(ISBLANK(P3027),"",IF(D3027="Stock",P3027*G3027,IF(P3027=0,"0",G3027*P3027*100-(G3027*$AF$14))))</f>
        <v/>
      </c>
      <c r="R3027" s="79">
        <f>IF(P3027&lt;&gt;"", TODAY(), "")</f>
        <v/>
      </c>
      <c r="S3027" s="78">
        <f>IF(AND(K3027&lt;&gt;"", R3027&lt;&gt;""), R3027-K3027, "")</f>
        <v/>
      </c>
      <c r="T3027" s="78" t="n"/>
      <c r="U3027" s="92">
        <f>IF(ISBLANK(P3027),"",IF(C3027="Buy",Q3027-M3027+T3027, IF(C3027="Sell",M3027-Q3027-T3027, X)))</f>
        <v/>
      </c>
      <c r="V3027" s="81">
        <f>IF(ISBLANK(P3027),"",U3027/N3027)</f>
        <v/>
      </c>
      <c r="W3027" s="81">
        <f>IF(ISBLANK(P3027),"",IF(S3027=0,(365/0.5)*V3027,(365/S3027)*V3027))</f>
        <v/>
      </c>
      <c r="X3027" s="75" t="n"/>
      <c r="Y3027" s="77" t="n"/>
      <c r="Z3027" s="77" t="n"/>
      <c r="AA3027" s="75" t="n"/>
      <c r="AB3027" s="75" t="n"/>
      <c r="AC3027" s="6" t="n"/>
      <c r="AD3027" s="75" t="n"/>
      <c r="AE3027" s="75" t="n"/>
      <c r="AF3027" s="75" t="n"/>
    </row>
    <row r="3028" ht="15.75" customHeight="1" s="133">
      <c r="A3028" s="75" t="n"/>
      <c r="B3028" s="75" t="n"/>
      <c r="C3028" s="75" t="n"/>
      <c r="D3028" s="75" t="n"/>
      <c r="E3028" s="76" t="n"/>
      <c r="F3028" s="77" t="n"/>
      <c r="G3028" s="75" t="n"/>
      <c r="H3028" s="75">
        <f>IF(ISBLANK(E3028),"",IF(OR(D3028="Butterfly",D3028="Butterfly ",D3028="Iron Fly", D3028="Iron Fly "),LEN(E3028)-LEN(SUBSTITUTE(E3028,"/",""))+2,LEN(E3028)-LEN(SUBSTITUTE(E3028,"/",""))+1))</f>
        <v/>
      </c>
      <c r="I3028" s="78">
        <f>IF(ISBLANK(G3028),"",IF(D3028="Stock","0",Key!$A$3*H3028*G3028))</f>
        <v/>
      </c>
      <c r="J3028" s="78">
        <f>IF(ISBLANK(E3028),"",IF(ISNUMBER(SEARCH("/",E3028)), IF(LEN(E3028)-LEN(SUBSTITUTE(E3028,"/",""))=1,(RIGHT(E3028,LEN(E3028)-FIND("/",E3028)))-(LEFT(E3028,FIND("/",E3028)-1)),(MID(E3028, SEARCH("/",E3028) + 1, SEARCH("/",E3028, SEARCH("/",E3028)+1) - SEARCH("/",E3028) - 1))-(LEFT(E3028,FIND("/",E3028)-1))), "NA"))</f>
        <v/>
      </c>
      <c r="K3028" s="79">
        <f>IF(A3028&lt;&gt;"", IF(ISBLANK(L3028), TODAY(), K3028), "")</f>
        <v/>
      </c>
      <c r="L3028" s="78" t="n"/>
      <c r="M3028" s="78">
        <f>IF(ISBLANK(L3028),"",IF(D3028="Stock",IF(C3028="Buy",L3028*G3028,IF(C3028="Sell",(L3028*G3028)-I3028, X)),IF(C3028="Buy",(L3028*G3028*100)+I3028,IF(C3028="Sell",(L3028*G3028*100)-I3028, X))))</f>
        <v/>
      </c>
      <c r="N3028" s="78">
        <f>IF(ISBLANK(L3028),"",IF(AND(C3028="Sell",D3028="Stock"),M3028,IF(ISBLANK(L3028),"",IF(C3028="Buy",M3028, IF(AND(C3028="Sell",J3028="NA"),(E3028*G3028*100*0.1)+I3028, IF(C3028="Sell",(J3028-L3028)*(100*G3028)+I3028))))))</f>
        <v/>
      </c>
      <c r="O3028" s="75" t="n"/>
      <c r="P3028" s="75" t="n"/>
      <c r="Q3028" s="75">
        <f>IF(ISBLANK(P3028),"",IF(D3028="Stock",P3028*G3028,IF(P3028=0,"0",G3028*P3028*100-(G3028*$AF$14))))</f>
        <v/>
      </c>
      <c r="R3028" s="79">
        <f>IF(P3028&lt;&gt;"", TODAY(), "")</f>
        <v/>
      </c>
      <c r="S3028" s="78">
        <f>IF(AND(K3028&lt;&gt;"", R3028&lt;&gt;""), R3028-K3028, "")</f>
        <v/>
      </c>
      <c r="T3028" s="78" t="n"/>
      <c r="U3028" s="92">
        <f>IF(ISBLANK(P3028),"",IF(C3028="Buy",Q3028-M3028+T3028, IF(C3028="Sell",M3028-Q3028-T3028, X)))</f>
        <v/>
      </c>
      <c r="V3028" s="81">
        <f>IF(ISBLANK(P3028),"",U3028/N3028)</f>
        <v/>
      </c>
      <c r="W3028" s="81">
        <f>IF(ISBLANK(P3028),"",IF(S3028=0,(365/0.5)*V3028,(365/S3028)*V3028))</f>
        <v/>
      </c>
      <c r="X3028" s="75" t="n"/>
      <c r="Y3028" s="77" t="n"/>
      <c r="Z3028" s="77" t="n"/>
      <c r="AA3028" s="75" t="n"/>
      <c r="AB3028" s="75" t="n"/>
      <c r="AC3028" s="6" t="n"/>
      <c r="AD3028" s="75" t="n"/>
      <c r="AE3028" s="75" t="n"/>
      <c r="AF3028" s="75" t="n"/>
    </row>
    <row r="3029" ht="15.75" customHeight="1" s="133">
      <c r="A3029" s="75" t="n"/>
      <c r="B3029" s="75" t="n"/>
      <c r="C3029" s="75" t="n"/>
      <c r="D3029" s="75" t="n"/>
      <c r="E3029" s="76" t="n"/>
      <c r="F3029" s="77" t="n"/>
      <c r="G3029" s="75" t="n"/>
      <c r="H3029" s="75">
        <f>IF(ISBLANK(E3029),"",IF(OR(D3029="Butterfly",D3029="Butterfly ",D3029="Iron Fly", D3029="Iron Fly "),LEN(E3029)-LEN(SUBSTITUTE(E3029,"/",""))+2,LEN(E3029)-LEN(SUBSTITUTE(E3029,"/",""))+1))</f>
        <v/>
      </c>
      <c r="I3029" s="78">
        <f>IF(ISBLANK(G3029),"",IF(D3029="Stock","0",Key!$A$3*H3029*G3029))</f>
        <v/>
      </c>
      <c r="J3029" s="78">
        <f>IF(ISBLANK(E3029),"",IF(ISNUMBER(SEARCH("/",E3029)), IF(LEN(E3029)-LEN(SUBSTITUTE(E3029,"/",""))=1,(RIGHT(E3029,LEN(E3029)-FIND("/",E3029)))-(LEFT(E3029,FIND("/",E3029)-1)),(MID(E3029, SEARCH("/",E3029) + 1, SEARCH("/",E3029, SEARCH("/",E3029)+1) - SEARCH("/",E3029) - 1))-(LEFT(E3029,FIND("/",E3029)-1))), "NA"))</f>
        <v/>
      </c>
      <c r="K3029" s="79">
        <f>IF(A3029&lt;&gt;"", IF(ISBLANK(L3029), TODAY(), K3029), "")</f>
        <v/>
      </c>
      <c r="L3029" s="78" t="n"/>
      <c r="M3029" s="78">
        <f>IF(ISBLANK(L3029),"",IF(D3029="Stock",IF(C3029="Buy",L3029*G3029,IF(C3029="Sell",(L3029*G3029)-I3029, X)),IF(C3029="Buy",(L3029*G3029*100)+I3029,IF(C3029="Sell",(L3029*G3029*100)-I3029, X))))</f>
        <v/>
      </c>
      <c r="N3029" s="78">
        <f>IF(ISBLANK(L3029),"",IF(AND(C3029="Sell",D3029="Stock"),M3029,IF(ISBLANK(L3029),"",IF(C3029="Buy",M3029, IF(AND(C3029="Sell",J3029="NA"),(E3029*G3029*100*0.1)+I3029, IF(C3029="Sell",(J3029-L3029)*(100*G3029)+I3029))))))</f>
        <v/>
      </c>
      <c r="O3029" s="75" t="n"/>
      <c r="P3029" s="75" t="n"/>
      <c r="Q3029" s="75">
        <f>IF(ISBLANK(P3029),"",IF(D3029="Stock",P3029*G3029,IF(P3029=0,"0",G3029*P3029*100-(G3029*$AF$14))))</f>
        <v/>
      </c>
      <c r="R3029" s="79">
        <f>IF(P3029&lt;&gt;"", TODAY(), "")</f>
        <v/>
      </c>
      <c r="S3029" s="78">
        <f>IF(AND(K3029&lt;&gt;"", R3029&lt;&gt;""), R3029-K3029, "")</f>
        <v/>
      </c>
      <c r="T3029" s="78" t="n"/>
      <c r="U3029" s="92">
        <f>IF(ISBLANK(P3029),"",IF(C3029="Buy",Q3029-M3029+T3029, IF(C3029="Sell",M3029-Q3029-T3029, X)))</f>
        <v/>
      </c>
      <c r="V3029" s="81">
        <f>IF(ISBLANK(P3029),"",U3029/N3029)</f>
        <v/>
      </c>
      <c r="W3029" s="81">
        <f>IF(ISBLANK(P3029),"",IF(S3029=0,(365/0.5)*V3029,(365/S3029)*V3029))</f>
        <v/>
      </c>
      <c r="X3029" s="75" t="n"/>
      <c r="Y3029" s="77" t="n"/>
      <c r="Z3029" s="77" t="n"/>
      <c r="AA3029" s="75" t="n"/>
      <c r="AB3029" s="75" t="n"/>
      <c r="AC3029" s="6" t="n"/>
      <c r="AD3029" s="75" t="n"/>
      <c r="AE3029" s="75" t="n"/>
      <c r="AF3029" s="75" t="n"/>
    </row>
    <row r="3030" ht="15.75" customHeight="1" s="133">
      <c r="A3030" s="75" t="n"/>
      <c r="B3030" s="75" t="n"/>
      <c r="C3030" s="75" t="n"/>
      <c r="D3030" s="75" t="n"/>
      <c r="E3030" s="76" t="n"/>
      <c r="F3030" s="77" t="n"/>
      <c r="G3030" s="75" t="n"/>
      <c r="H3030" s="75">
        <f>IF(ISBLANK(E3030),"",IF(OR(D3030="Butterfly",D3030="Butterfly ",D3030="Iron Fly", D3030="Iron Fly "),LEN(E3030)-LEN(SUBSTITUTE(E3030,"/",""))+2,LEN(E3030)-LEN(SUBSTITUTE(E3030,"/",""))+1))</f>
        <v/>
      </c>
      <c r="I3030" s="78">
        <f>IF(ISBLANK(G3030),"",IF(D3030="Stock","0",Key!$A$3*H3030*G3030))</f>
        <v/>
      </c>
      <c r="J3030" s="78">
        <f>IF(ISBLANK(E3030),"",IF(ISNUMBER(SEARCH("/",E3030)), IF(LEN(E3030)-LEN(SUBSTITUTE(E3030,"/",""))=1,(RIGHT(E3030,LEN(E3030)-FIND("/",E3030)))-(LEFT(E3030,FIND("/",E3030)-1)),(MID(E3030, SEARCH("/",E3030) + 1, SEARCH("/",E3030, SEARCH("/",E3030)+1) - SEARCH("/",E3030) - 1))-(LEFT(E3030,FIND("/",E3030)-1))), "NA"))</f>
        <v/>
      </c>
      <c r="K3030" s="79">
        <f>IF(A3030&lt;&gt;"", IF(ISBLANK(L3030), TODAY(), K3030), "")</f>
        <v/>
      </c>
      <c r="L3030" s="78" t="n"/>
      <c r="M3030" s="78">
        <f>IF(ISBLANK(L3030),"",IF(D3030="Stock",IF(C3030="Buy",L3030*G3030,IF(C3030="Sell",(L3030*G3030)-I3030, X)),IF(C3030="Buy",(L3030*G3030*100)+I3030,IF(C3030="Sell",(L3030*G3030*100)-I3030, X))))</f>
        <v/>
      </c>
      <c r="N3030" s="78">
        <f>IF(ISBLANK(L3030),"",IF(AND(C3030="Sell",D3030="Stock"),M3030,IF(ISBLANK(L3030),"",IF(C3030="Buy",M3030, IF(AND(C3030="Sell",J3030="NA"),(E3030*G3030*100*0.1)+I3030, IF(C3030="Sell",(J3030-L3030)*(100*G3030)+I3030))))))</f>
        <v/>
      </c>
      <c r="O3030" s="75" t="n"/>
      <c r="P3030" s="75" t="n"/>
      <c r="Q3030" s="75">
        <f>IF(ISBLANK(P3030),"",IF(D3030="Stock",P3030*G3030,IF(P3030=0,"0",G3030*P3030*100-(G3030*$AF$14))))</f>
        <v/>
      </c>
      <c r="R3030" s="79">
        <f>IF(P3030&lt;&gt;"", TODAY(), "")</f>
        <v/>
      </c>
      <c r="S3030" s="78">
        <f>IF(AND(K3030&lt;&gt;"", R3030&lt;&gt;""), R3030-K3030, "")</f>
        <v/>
      </c>
      <c r="T3030" s="78" t="n"/>
      <c r="U3030" s="92">
        <f>IF(ISBLANK(P3030),"",IF(C3030="Buy",Q3030-M3030+T3030, IF(C3030="Sell",M3030-Q3030-T3030, X)))</f>
        <v/>
      </c>
      <c r="V3030" s="81">
        <f>IF(ISBLANK(P3030),"",U3030/N3030)</f>
        <v/>
      </c>
      <c r="W3030" s="81">
        <f>IF(ISBLANK(P3030),"",IF(S3030=0,(365/0.5)*V3030,(365/S3030)*V3030))</f>
        <v/>
      </c>
      <c r="X3030" s="75" t="n"/>
      <c r="Y3030" s="77" t="n"/>
      <c r="Z3030" s="77" t="n"/>
      <c r="AA3030" s="75" t="n"/>
      <c r="AB3030" s="75" t="n"/>
      <c r="AC3030" s="6" t="n"/>
      <c r="AD3030" s="75" t="n"/>
      <c r="AE3030" s="75" t="n"/>
      <c r="AF3030" s="75" t="n"/>
    </row>
    <row r="3031" ht="15.75" customHeight="1" s="133">
      <c r="A3031" s="75" t="n"/>
      <c r="B3031" s="75" t="n"/>
      <c r="C3031" s="75" t="n"/>
      <c r="D3031" s="75" t="n"/>
      <c r="E3031" s="76" t="n"/>
      <c r="F3031" s="77" t="n"/>
      <c r="G3031" s="75" t="n"/>
      <c r="H3031" s="75">
        <f>IF(ISBLANK(E3031),"",IF(OR(D3031="Butterfly",D3031="Butterfly ",D3031="Iron Fly", D3031="Iron Fly "),LEN(E3031)-LEN(SUBSTITUTE(E3031,"/",""))+2,LEN(E3031)-LEN(SUBSTITUTE(E3031,"/",""))+1))</f>
        <v/>
      </c>
      <c r="I3031" s="78">
        <f>IF(ISBLANK(G3031),"",IF(D3031="Stock","0",Key!$A$3*H3031*G3031))</f>
        <v/>
      </c>
      <c r="J3031" s="78">
        <f>IF(ISBLANK(E3031),"",IF(ISNUMBER(SEARCH("/",E3031)), IF(LEN(E3031)-LEN(SUBSTITUTE(E3031,"/",""))=1,(RIGHT(E3031,LEN(E3031)-FIND("/",E3031)))-(LEFT(E3031,FIND("/",E3031)-1)),(MID(E3031, SEARCH("/",E3031) + 1, SEARCH("/",E3031, SEARCH("/",E3031)+1) - SEARCH("/",E3031) - 1))-(LEFT(E3031,FIND("/",E3031)-1))), "NA"))</f>
        <v/>
      </c>
      <c r="K3031" s="79">
        <f>IF(A3031&lt;&gt;"", IF(ISBLANK(L3031), TODAY(), K3031), "")</f>
        <v/>
      </c>
      <c r="L3031" s="78" t="n"/>
      <c r="M3031" s="78">
        <f>IF(ISBLANK(L3031),"",IF(D3031="Stock",IF(C3031="Buy",L3031*G3031,IF(C3031="Sell",(L3031*G3031)-I3031, X)),IF(C3031="Buy",(L3031*G3031*100)+I3031,IF(C3031="Sell",(L3031*G3031*100)-I3031, X))))</f>
        <v/>
      </c>
      <c r="N3031" s="78">
        <f>IF(ISBLANK(L3031),"",IF(AND(C3031="Sell",D3031="Stock"),M3031,IF(ISBLANK(L3031),"",IF(C3031="Buy",M3031, IF(AND(C3031="Sell",J3031="NA"),(E3031*G3031*100*0.1)+I3031, IF(C3031="Sell",(J3031-L3031)*(100*G3031)+I3031))))))</f>
        <v/>
      </c>
      <c r="O3031" s="75" t="n"/>
      <c r="P3031" s="75" t="n"/>
      <c r="Q3031" s="75">
        <f>IF(ISBLANK(P3031),"",IF(D3031="Stock",P3031*G3031,IF(P3031=0,"0",G3031*P3031*100-(G3031*$AF$14))))</f>
        <v/>
      </c>
      <c r="R3031" s="79">
        <f>IF(P3031&lt;&gt;"", TODAY(), "")</f>
        <v/>
      </c>
      <c r="S3031" s="78">
        <f>IF(AND(K3031&lt;&gt;"", R3031&lt;&gt;""), R3031-K3031, "")</f>
        <v/>
      </c>
      <c r="T3031" s="78" t="n"/>
      <c r="U3031" s="92">
        <f>IF(ISBLANK(P3031),"",IF(C3031="Buy",Q3031-M3031+T3031, IF(C3031="Sell",M3031-Q3031-T3031, X)))</f>
        <v/>
      </c>
      <c r="V3031" s="81">
        <f>IF(ISBLANK(P3031),"",U3031/N3031)</f>
        <v/>
      </c>
      <c r="W3031" s="81">
        <f>IF(ISBLANK(P3031),"",IF(S3031=0,(365/0.5)*V3031,(365/S3031)*V3031))</f>
        <v/>
      </c>
      <c r="X3031" s="75" t="n"/>
      <c r="Y3031" s="77" t="n"/>
      <c r="Z3031" s="77" t="n"/>
      <c r="AA3031" s="75" t="n"/>
      <c r="AB3031" s="75" t="n"/>
      <c r="AC3031" s="6" t="n"/>
      <c r="AD3031" s="75" t="n"/>
      <c r="AE3031" s="75" t="n"/>
      <c r="AF3031" s="75" t="n"/>
    </row>
    <row r="3032" ht="15.75" customHeight="1" s="133">
      <c r="A3032" s="75" t="n"/>
      <c r="B3032" s="75" t="n"/>
      <c r="C3032" s="75" t="n"/>
      <c r="D3032" s="75" t="n"/>
      <c r="E3032" s="76" t="n"/>
      <c r="F3032" s="77" t="n"/>
      <c r="G3032" s="75" t="n"/>
      <c r="H3032" s="75">
        <f>IF(ISBLANK(E3032),"",IF(OR(D3032="Butterfly",D3032="Butterfly ",D3032="Iron Fly", D3032="Iron Fly "),LEN(E3032)-LEN(SUBSTITUTE(E3032,"/",""))+2,LEN(E3032)-LEN(SUBSTITUTE(E3032,"/",""))+1))</f>
        <v/>
      </c>
      <c r="I3032" s="78">
        <f>IF(ISBLANK(G3032),"",IF(D3032="Stock","0",Key!$A$3*H3032*G3032))</f>
        <v/>
      </c>
      <c r="J3032" s="78">
        <f>IF(ISBLANK(E3032),"",IF(ISNUMBER(SEARCH("/",E3032)), IF(LEN(E3032)-LEN(SUBSTITUTE(E3032,"/",""))=1,(RIGHT(E3032,LEN(E3032)-FIND("/",E3032)))-(LEFT(E3032,FIND("/",E3032)-1)),(MID(E3032, SEARCH("/",E3032) + 1, SEARCH("/",E3032, SEARCH("/",E3032)+1) - SEARCH("/",E3032) - 1))-(LEFT(E3032,FIND("/",E3032)-1))), "NA"))</f>
        <v/>
      </c>
      <c r="K3032" s="79">
        <f>IF(A3032&lt;&gt;"", IF(ISBLANK(L3032), TODAY(), K3032), "")</f>
        <v/>
      </c>
      <c r="L3032" s="78" t="n"/>
      <c r="M3032" s="78">
        <f>IF(ISBLANK(L3032),"",IF(D3032="Stock",IF(C3032="Buy",L3032*G3032,IF(C3032="Sell",(L3032*G3032)-I3032, X)),IF(C3032="Buy",(L3032*G3032*100)+I3032,IF(C3032="Sell",(L3032*G3032*100)-I3032, X))))</f>
        <v/>
      </c>
      <c r="N3032" s="78">
        <f>IF(ISBLANK(L3032),"",IF(AND(C3032="Sell",D3032="Stock"),M3032,IF(ISBLANK(L3032),"",IF(C3032="Buy",M3032, IF(AND(C3032="Sell",J3032="NA"),(E3032*G3032*100*0.1)+I3032, IF(C3032="Sell",(J3032-L3032)*(100*G3032)+I3032))))))</f>
        <v/>
      </c>
      <c r="O3032" s="75" t="n"/>
      <c r="P3032" s="75" t="n"/>
      <c r="Q3032" s="75">
        <f>IF(ISBLANK(P3032),"",IF(D3032="Stock",P3032*G3032,IF(P3032=0,"0",G3032*P3032*100-(G3032*$AF$14))))</f>
        <v/>
      </c>
      <c r="R3032" s="79">
        <f>IF(P3032&lt;&gt;"", TODAY(), "")</f>
        <v/>
      </c>
      <c r="S3032" s="78">
        <f>IF(AND(K3032&lt;&gt;"", R3032&lt;&gt;""), R3032-K3032, "")</f>
        <v/>
      </c>
      <c r="T3032" s="78" t="n"/>
      <c r="U3032" s="92">
        <f>IF(ISBLANK(P3032),"",IF(C3032="Buy",Q3032-M3032+T3032, IF(C3032="Sell",M3032-Q3032-T3032, X)))</f>
        <v/>
      </c>
      <c r="V3032" s="81">
        <f>IF(ISBLANK(P3032),"",U3032/N3032)</f>
        <v/>
      </c>
      <c r="W3032" s="81">
        <f>IF(ISBLANK(P3032),"",IF(S3032=0,(365/0.5)*V3032,(365/S3032)*V3032))</f>
        <v/>
      </c>
      <c r="X3032" s="75" t="n"/>
      <c r="Y3032" s="77" t="n"/>
      <c r="Z3032" s="77" t="n"/>
      <c r="AA3032" s="75" t="n"/>
      <c r="AB3032" s="75" t="n"/>
      <c r="AC3032" s="6" t="n"/>
      <c r="AD3032" s="75" t="n"/>
      <c r="AE3032" s="75" t="n"/>
      <c r="AF3032" s="75" t="n"/>
    </row>
    <row r="3033" ht="15.75" customHeight="1" s="133">
      <c r="A3033" s="75" t="n"/>
      <c r="B3033" s="75" t="n"/>
      <c r="C3033" s="75" t="n"/>
      <c r="D3033" s="75" t="n"/>
      <c r="E3033" s="76" t="n"/>
      <c r="F3033" s="77" t="n"/>
      <c r="G3033" s="75" t="n"/>
      <c r="H3033" s="75">
        <f>IF(ISBLANK(E3033),"",IF(OR(D3033="Butterfly",D3033="Butterfly ",D3033="Iron Fly", D3033="Iron Fly "),LEN(E3033)-LEN(SUBSTITUTE(E3033,"/",""))+2,LEN(E3033)-LEN(SUBSTITUTE(E3033,"/",""))+1))</f>
        <v/>
      </c>
      <c r="I3033" s="78">
        <f>IF(ISBLANK(G3033),"",IF(D3033="Stock","0",Key!$A$3*H3033*G3033))</f>
        <v/>
      </c>
      <c r="J3033" s="78">
        <f>IF(ISBLANK(E3033),"",IF(ISNUMBER(SEARCH("/",E3033)), IF(LEN(E3033)-LEN(SUBSTITUTE(E3033,"/",""))=1,(RIGHT(E3033,LEN(E3033)-FIND("/",E3033)))-(LEFT(E3033,FIND("/",E3033)-1)),(MID(E3033, SEARCH("/",E3033) + 1, SEARCH("/",E3033, SEARCH("/",E3033)+1) - SEARCH("/",E3033) - 1))-(LEFT(E3033,FIND("/",E3033)-1))), "NA"))</f>
        <v/>
      </c>
      <c r="K3033" s="79">
        <f>IF(A3033&lt;&gt;"", IF(ISBLANK(L3033), TODAY(), K3033), "")</f>
        <v/>
      </c>
      <c r="L3033" s="78" t="n"/>
      <c r="M3033" s="78">
        <f>IF(ISBLANK(L3033),"",IF(D3033="Stock",IF(C3033="Buy",L3033*G3033,IF(C3033="Sell",(L3033*G3033)-I3033, X)),IF(C3033="Buy",(L3033*G3033*100)+I3033,IF(C3033="Sell",(L3033*G3033*100)-I3033, X))))</f>
        <v/>
      </c>
      <c r="N3033" s="78">
        <f>IF(ISBLANK(L3033),"",IF(AND(C3033="Sell",D3033="Stock"),M3033,IF(ISBLANK(L3033),"",IF(C3033="Buy",M3033, IF(AND(C3033="Sell",J3033="NA"),(E3033*G3033*100*0.1)+I3033, IF(C3033="Sell",(J3033-L3033)*(100*G3033)+I3033))))))</f>
        <v/>
      </c>
      <c r="O3033" s="75" t="n"/>
      <c r="P3033" s="75" t="n"/>
      <c r="Q3033" s="75">
        <f>IF(ISBLANK(P3033),"",IF(D3033="Stock",P3033*G3033,IF(P3033=0,"0",G3033*P3033*100-(G3033*$AF$14))))</f>
        <v/>
      </c>
      <c r="R3033" s="79">
        <f>IF(P3033&lt;&gt;"", TODAY(), "")</f>
        <v/>
      </c>
      <c r="S3033" s="78">
        <f>IF(AND(K3033&lt;&gt;"", R3033&lt;&gt;""), R3033-K3033, "")</f>
        <v/>
      </c>
      <c r="T3033" s="78" t="n"/>
      <c r="U3033" s="92">
        <f>IF(ISBLANK(P3033),"",IF(C3033="Buy",Q3033-M3033+T3033, IF(C3033="Sell",M3033-Q3033-T3033, X)))</f>
        <v/>
      </c>
      <c r="V3033" s="81">
        <f>IF(ISBLANK(P3033),"",U3033/N3033)</f>
        <v/>
      </c>
      <c r="W3033" s="81">
        <f>IF(ISBLANK(P3033),"",IF(S3033=0,(365/0.5)*V3033,(365/S3033)*V3033))</f>
        <v/>
      </c>
      <c r="X3033" s="75" t="n"/>
      <c r="Y3033" s="77" t="n"/>
      <c r="Z3033" s="77" t="n"/>
      <c r="AA3033" s="75" t="n"/>
      <c r="AB3033" s="75" t="n"/>
      <c r="AC3033" s="6" t="n"/>
      <c r="AD3033" s="75" t="n"/>
      <c r="AE3033" s="75" t="n"/>
      <c r="AF3033" s="75" t="n"/>
    </row>
    <row r="3034" ht="15.75" customHeight="1" s="133">
      <c r="A3034" s="75" t="n"/>
      <c r="B3034" s="75" t="n"/>
      <c r="C3034" s="75" t="n"/>
      <c r="D3034" s="75" t="n"/>
      <c r="E3034" s="76" t="n"/>
      <c r="F3034" s="77" t="n"/>
      <c r="G3034" s="75" t="n"/>
      <c r="H3034" s="75">
        <f>IF(ISBLANK(E3034),"",IF(OR(D3034="Butterfly",D3034="Butterfly ",D3034="Iron Fly", D3034="Iron Fly "),LEN(E3034)-LEN(SUBSTITUTE(E3034,"/",""))+2,LEN(E3034)-LEN(SUBSTITUTE(E3034,"/",""))+1))</f>
        <v/>
      </c>
      <c r="I3034" s="78">
        <f>IF(ISBLANK(G3034),"",IF(D3034="Stock","0",Key!$A$3*H3034*G3034))</f>
        <v/>
      </c>
      <c r="J3034" s="78">
        <f>IF(ISBLANK(E3034),"",IF(ISNUMBER(SEARCH("/",E3034)), IF(LEN(E3034)-LEN(SUBSTITUTE(E3034,"/",""))=1,(RIGHT(E3034,LEN(E3034)-FIND("/",E3034)))-(LEFT(E3034,FIND("/",E3034)-1)),(MID(E3034, SEARCH("/",E3034) + 1, SEARCH("/",E3034, SEARCH("/",E3034)+1) - SEARCH("/",E3034) - 1))-(LEFT(E3034,FIND("/",E3034)-1))), "NA"))</f>
        <v/>
      </c>
      <c r="K3034" s="79">
        <f>IF(A3034&lt;&gt;"", IF(ISBLANK(L3034), TODAY(), K3034), "")</f>
        <v/>
      </c>
      <c r="L3034" s="78" t="n"/>
      <c r="M3034" s="78">
        <f>IF(ISBLANK(L3034),"",IF(D3034="Stock",IF(C3034="Buy",L3034*G3034,IF(C3034="Sell",(L3034*G3034)-I3034, X)),IF(C3034="Buy",(L3034*G3034*100)+I3034,IF(C3034="Sell",(L3034*G3034*100)-I3034, X))))</f>
        <v/>
      </c>
      <c r="N3034" s="78">
        <f>IF(ISBLANK(L3034),"",IF(AND(C3034="Sell",D3034="Stock"),M3034,IF(ISBLANK(L3034),"",IF(C3034="Buy",M3034, IF(AND(C3034="Sell",J3034="NA"),(E3034*G3034*100*0.1)+I3034, IF(C3034="Sell",(J3034-L3034)*(100*G3034)+I3034))))))</f>
        <v/>
      </c>
      <c r="O3034" s="75" t="n"/>
      <c r="P3034" s="75" t="n"/>
      <c r="Q3034" s="75">
        <f>IF(ISBLANK(P3034),"",IF(D3034="Stock",P3034*G3034,IF(P3034=0,"0",G3034*P3034*100-(G3034*$AF$14))))</f>
        <v/>
      </c>
      <c r="R3034" s="79">
        <f>IF(P3034&lt;&gt;"", TODAY(), "")</f>
        <v/>
      </c>
      <c r="S3034" s="78">
        <f>IF(AND(K3034&lt;&gt;"", R3034&lt;&gt;""), R3034-K3034, "")</f>
        <v/>
      </c>
      <c r="T3034" s="78" t="n"/>
      <c r="U3034" s="92">
        <f>IF(ISBLANK(P3034),"",IF(C3034="Buy",Q3034-M3034+T3034, IF(C3034="Sell",M3034-Q3034-T3034, X)))</f>
        <v/>
      </c>
      <c r="V3034" s="81">
        <f>IF(ISBLANK(P3034),"",U3034/N3034)</f>
        <v/>
      </c>
      <c r="W3034" s="81">
        <f>IF(ISBLANK(P3034),"",IF(S3034=0,(365/0.5)*V3034,(365/S3034)*V3034))</f>
        <v/>
      </c>
      <c r="X3034" s="75" t="n"/>
      <c r="Y3034" s="77" t="n"/>
      <c r="Z3034" s="77" t="n"/>
      <c r="AA3034" s="75" t="n"/>
      <c r="AB3034" s="75" t="n"/>
      <c r="AC3034" s="6" t="n"/>
      <c r="AD3034" s="75" t="n"/>
      <c r="AE3034" s="75" t="n"/>
      <c r="AF3034" s="75" t="n"/>
    </row>
    <row r="3035" ht="15.75" customHeight="1" s="133">
      <c r="A3035" s="75" t="n"/>
      <c r="B3035" s="75" t="n"/>
      <c r="C3035" s="75" t="n"/>
      <c r="D3035" s="75" t="n"/>
      <c r="E3035" s="76" t="n"/>
      <c r="F3035" s="77" t="n"/>
      <c r="G3035" s="75" t="n"/>
      <c r="H3035" s="75">
        <f>IF(ISBLANK(E3035),"",IF(OR(D3035="Butterfly",D3035="Butterfly ",D3035="Iron Fly", D3035="Iron Fly "),LEN(E3035)-LEN(SUBSTITUTE(E3035,"/",""))+2,LEN(E3035)-LEN(SUBSTITUTE(E3035,"/",""))+1))</f>
        <v/>
      </c>
      <c r="I3035" s="78">
        <f>IF(ISBLANK(G3035),"",IF(D3035="Stock","0",Key!$A$3*H3035*G3035))</f>
        <v/>
      </c>
      <c r="J3035" s="78">
        <f>IF(ISBLANK(E3035),"",IF(ISNUMBER(SEARCH("/",E3035)), IF(LEN(E3035)-LEN(SUBSTITUTE(E3035,"/",""))=1,(RIGHT(E3035,LEN(E3035)-FIND("/",E3035)))-(LEFT(E3035,FIND("/",E3035)-1)),(MID(E3035, SEARCH("/",E3035) + 1, SEARCH("/",E3035, SEARCH("/",E3035)+1) - SEARCH("/",E3035) - 1))-(LEFT(E3035,FIND("/",E3035)-1))), "NA"))</f>
        <v/>
      </c>
      <c r="K3035" s="79">
        <f>IF(A3035&lt;&gt;"", IF(ISBLANK(L3035), TODAY(), K3035), "")</f>
        <v/>
      </c>
      <c r="L3035" s="78" t="n"/>
      <c r="M3035" s="78">
        <f>IF(ISBLANK(L3035),"",IF(D3035="Stock",IF(C3035="Buy",L3035*G3035,IF(C3035="Sell",(L3035*G3035)-I3035, X)),IF(C3035="Buy",(L3035*G3035*100)+I3035,IF(C3035="Sell",(L3035*G3035*100)-I3035, X))))</f>
        <v/>
      </c>
      <c r="N3035" s="78">
        <f>IF(ISBLANK(L3035),"",IF(AND(C3035="Sell",D3035="Stock"),M3035,IF(ISBLANK(L3035),"",IF(C3035="Buy",M3035, IF(AND(C3035="Sell",J3035="NA"),(E3035*G3035*100*0.1)+I3035, IF(C3035="Sell",(J3035-L3035)*(100*G3035)+I3035))))))</f>
        <v/>
      </c>
      <c r="O3035" s="75" t="n"/>
      <c r="P3035" s="75" t="n"/>
      <c r="Q3035" s="75">
        <f>IF(ISBLANK(P3035),"",IF(D3035="Stock",P3035*G3035,IF(P3035=0,"0",G3035*P3035*100-(G3035*$AF$14))))</f>
        <v/>
      </c>
      <c r="R3035" s="79">
        <f>IF(P3035&lt;&gt;"", TODAY(), "")</f>
        <v/>
      </c>
      <c r="S3035" s="78">
        <f>IF(AND(K3035&lt;&gt;"", R3035&lt;&gt;""), R3035-K3035, "")</f>
        <v/>
      </c>
      <c r="T3035" s="78" t="n"/>
      <c r="U3035" s="92">
        <f>IF(ISBLANK(P3035),"",IF(C3035="Buy",Q3035-M3035+T3035, IF(C3035="Sell",M3035-Q3035-T3035, X)))</f>
        <v/>
      </c>
      <c r="V3035" s="81">
        <f>IF(ISBLANK(P3035),"",U3035/N3035)</f>
        <v/>
      </c>
      <c r="W3035" s="81">
        <f>IF(ISBLANK(P3035),"",IF(S3035=0,(365/0.5)*V3035,(365/S3035)*V3035))</f>
        <v/>
      </c>
      <c r="X3035" s="75" t="n"/>
      <c r="Y3035" s="77" t="n"/>
      <c r="Z3035" s="77" t="n"/>
      <c r="AA3035" s="75" t="n"/>
      <c r="AB3035" s="75" t="n"/>
      <c r="AC3035" s="6" t="n"/>
      <c r="AD3035" s="75" t="n"/>
      <c r="AE3035" s="75" t="n"/>
      <c r="AF3035" s="75" t="n"/>
    </row>
    <row r="3036" ht="15.75" customHeight="1" s="133">
      <c r="A3036" s="75" t="n"/>
      <c r="B3036" s="75" t="n"/>
      <c r="C3036" s="75" t="n"/>
      <c r="D3036" s="75" t="n"/>
      <c r="E3036" s="76" t="n"/>
      <c r="F3036" s="77" t="n"/>
      <c r="G3036" s="75" t="n"/>
      <c r="H3036" s="75">
        <f>IF(ISBLANK(E3036),"",IF(OR(D3036="Butterfly",D3036="Butterfly ",D3036="Iron Fly", D3036="Iron Fly "),LEN(E3036)-LEN(SUBSTITUTE(E3036,"/",""))+2,LEN(E3036)-LEN(SUBSTITUTE(E3036,"/",""))+1))</f>
        <v/>
      </c>
      <c r="I3036" s="78">
        <f>IF(ISBLANK(G3036),"",IF(D3036="Stock","0",Key!$A$3*H3036*G3036))</f>
        <v/>
      </c>
      <c r="J3036" s="78">
        <f>IF(ISBLANK(E3036),"",IF(ISNUMBER(SEARCH("/",E3036)), IF(LEN(E3036)-LEN(SUBSTITUTE(E3036,"/",""))=1,(RIGHT(E3036,LEN(E3036)-FIND("/",E3036)))-(LEFT(E3036,FIND("/",E3036)-1)),(MID(E3036, SEARCH("/",E3036) + 1, SEARCH("/",E3036, SEARCH("/",E3036)+1) - SEARCH("/",E3036) - 1))-(LEFT(E3036,FIND("/",E3036)-1))), "NA"))</f>
        <v/>
      </c>
      <c r="K3036" s="79">
        <f>IF(A3036&lt;&gt;"", IF(ISBLANK(L3036), TODAY(), K3036), "")</f>
        <v/>
      </c>
      <c r="L3036" s="78" t="n"/>
      <c r="M3036" s="78">
        <f>IF(ISBLANK(L3036),"",IF(D3036="Stock",IF(C3036="Buy",L3036*G3036,IF(C3036="Sell",(L3036*G3036)-I3036, X)),IF(C3036="Buy",(L3036*G3036*100)+I3036,IF(C3036="Sell",(L3036*G3036*100)-I3036, X))))</f>
        <v/>
      </c>
      <c r="N3036" s="78">
        <f>IF(ISBLANK(L3036),"",IF(AND(C3036="Sell",D3036="Stock"),M3036,IF(ISBLANK(L3036),"",IF(C3036="Buy",M3036, IF(AND(C3036="Sell",J3036="NA"),(E3036*G3036*100*0.1)+I3036, IF(C3036="Sell",(J3036-L3036)*(100*G3036)+I3036))))))</f>
        <v/>
      </c>
      <c r="O3036" s="75" t="n"/>
      <c r="P3036" s="75" t="n"/>
      <c r="Q3036" s="75">
        <f>IF(ISBLANK(P3036),"",IF(D3036="Stock",P3036*G3036,IF(P3036=0,"0",G3036*P3036*100-(G3036*$AF$14))))</f>
        <v/>
      </c>
      <c r="R3036" s="79">
        <f>IF(P3036&lt;&gt;"", TODAY(), "")</f>
        <v/>
      </c>
      <c r="S3036" s="78">
        <f>IF(AND(K3036&lt;&gt;"", R3036&lt;&gt;""), R3036-K3036, "")</f>
        <v/>
      </c>
      <c r="T3036" s="78" t="n"/>
      <c r="U3036" s="92">
        <f>IF(ISBLANK(P3036),"",IF(C3036="Buy",Q3036-M3036+T3036, IF(C3036="Sell",M3036-Q3036-T3036, X)))</f>
        <v/>
      </c>
      <c r="V3036" s="81">
        <f>IF(ISBLANK(P3036),"",U3036/N3036)</f>
        <v/>
      </c>
      <c r="W3036" s="81">
        <f>IF(ISBLANK(P3036),"",IF(S3036=0,(365/0.5)*V3036,(365/S3036)*V3036))</f>
        <v/>
      </c>
      <c r="X3036" s="75" t="n"/>
      <c r="Y3036" s="77" t="n"/>
      <c r="Z3036" s="77" t="n"/>
      <c r="AA3036" s="75" t="n"/>
      <c r="AB3036" s="75" t="n"/>
      <c r="AC3036" s="6" t="n"/>
      <c r="AD3036" s="75" t="n"/>
      <c r="AE3036" s="75" t="n"/>
      <c r="AF3036" s="75" t="n"/>
    </row>
    <row r="3037" ht="15.75" customHeight="1" s="133">
      <c r="A3037" s="75" t="n"/>
      <c r="B3037" s="75" t="n"/>
      <c r="C3037" s="75" t="n"/>
      <c r="D3037" s="75" t="n"/>
      <c r="E3037" s="76" t="n"/>
      <c r="F3037" s="77" t="n"/>
      <c r="G3037" s="75" t="n"/>
      <c r="H3037" s="75">
        <f>IF(ISBLANK(E3037),"",IF(OR(D3037="Butterfly",D3037="Butterfly ",D3037="Iron Fly", D3037="Iron Fly "),LEN(E3037)-LEN(SUBSTITUTE(E3037,"/",""))+2,LEN(E3037)-LEN(SUBSTITUTE(E3037,"/",""))+1))</f>
        <v/>
      </c>
      <c r="I3037" s="78">
        <f>IF(ISBLANK(G3037),"",IF(D3037="Stock","0",Key!$A$3*H3037*G3037))</f>
        <v/>
      </c>
      <c r="J3037" s="78">
        <f>IF(ISBLANK(E3037),"",IF(ISNUMBER(SEARCH("/",E3037)), IF(LEN(E3037)-LEN(SUBSTITUTE(E3037,"/",""))=1,(RIGHT(E3037,LEN(E3037)-FIND("/",E3037)))-(LEFT(E3037,FIND("/",E3037)-1)),(MID(E3037, SEARCH("/",E3037) + 1, SEARCH("/",E3037, SEARCH("/",E3037)+1) - SEARCH("/",E3037) - 1))-(LEFT(E3037,FIND("/",E3037)-1))), "NA"))</f>
        <v/>
      </c>
      <c r="K3037" s="79">
        <f>IF(A3037&lt;&gt;"", IF(ISBLANK(L3037), TODAY(), K3037), "")</f>
        <v/>
      </c>
      <c r="L3037" s="78" t="n"/>
      <c r="M3037" s="78">
        <f>IF(ISBLANK(L3037),"",IF(D3037="Stock",IF(C3037="Buy",L3037*G3037,IF(C3037="Sell",(L3037*G3037)-I3037, X)),IF(C3037="Buy",(L3037*G3037*100)+I3037,IF(C3037="Sell",(L3037*G3037*100)-I3037, X))))</f>
        <v/>
      </c>
      <c r="N3037" s="78">
        <f>IF(ISBLANK(L3037),"",IF(AND(C3037="Sell",D3037="Stock"),M3037,IF(ISBLANK(L3037),"",IF(C3037="Buy",M3037, IF(AND(C3037="Sell",J3037="NA"),(E3037*G3037*100*0.1)+I3037, IF(C3037="Sell",(J3037-L3037)*(100*G3037)+I3037))))))</f>
        <v/>
      </c>
      <c r="O3037" s="75" t="n"/>
      <c r="P3037" s="75" t="n"/>
      <c r="Q3037" s="75">
        <f>IF(ISBLANK(P3037),"",IF(D3037="Stock",P3037*G3037,IF(P3037=0,"0",G3037*P3037*100-(G3037*$AF$14))))</f>
        <v/>
      </c>
      <c r="R3037" s="79">
        <f>IF(P3037&lt;&gt;"", TODAY(), "")</f>
        <v/>
      </c>
      <c r="S3037" s="78">
        <f>IF(AND(K3037&lt;&gt;"", R3037&lt;&gt;""), R3037-K3037, "")</f>
        <v/>
      </c>
      <c r="T3037" s="78" t="n"/>
      <c r="U3037" s="92">
        <f>IF(ISBLANK(P3037),"",IF(C3037="Buy",Q3037-M3037+T3037, IF(C3037="Sell",M3037-Q3037-T3037, X)))</f>
        <v/>
      </c>
      <c r="V3037" s="81">
        <f>IF(ISBLANK(P3037),"",U3037/N3037)</f>
        <v/>
      </c>
      <c r="W3037" s="81">
        <f>IF(ISBLANK(P3037),"",IF(S3037=0,(365/0.5)*V3037,(365/S3037)*V3037))</f>
        <v/>
      </c>
      <c r="X3037" s="75" t="n"/>
      <c r="Y3037" s="77" t="n"/>
      <c r="Z3037" s="77" t="n"/>
      <c r="AA3037" s="75" t="n"/>
      <c r="AB3037" s="75" t="n"/>
      <c r="AC3037" s="6" t="n"/>
      <c r="AD3037" s="75" t="n"/>
      <c r="AE3037" s="75" t="n"/>
      <c r="AF3037" s="75" t="n"/>
    </row>
    <row r="3038" ht="15.75" customHeight="1" s="133">
      <c r="A3038" s="75" t="n"/>
      <c r="B3038" s="75" t="n"/>
      <c r="C3038" s="75" t="n"/>
      <c r="D3038" s="75" t="n"/>
      <c r="E3038" s="76" t="n"/>
      <c r="F3038" s="77" t="n"/>
      <c r="G3038" s="75" t="n"/>
      <c r="H3038" s="75">
        <f>IF(ISBLANK(E3038),"",IF(OR(D3038="Butterfly",D3038="Butterfly ",D3038="Iron Fly", D3038="Iron Fly "),LEN(E3038)-LEN(SUBSTITUTE(E3038,"/",""))+2,LEN(E3038)-LEN(SUBSTITUTE(E3038,"/",""))+1))</f>
        <v/>
      </c>
      <c r="I3038" s="78">
        <f>IF(ISBLANK(G3038),"",IF(D3038="Stock","0",Key!$A$3*H3038*G3038))</f>
        <v/>
      </c>
      <c r="J3038" s="78">
        <f>IF(ISBLANK(E3038),"",IF(ISNUMBER(SEARCH("/",E3038)), IF(LEN(E3038)-LEN(SUBSTITUTE(E3038,"/",""))=1,(RIGHT(E3038,LEN(E3038)-FIND("/",E3038)))-(LEFT(E3038,FIND("/",E3038)-1)),(MID(E3038, SEARCH("/",E3038) + 1, SEARCH("/",E3038, SEARCH("/",E3038)+1) - SEARCH("/",E3038) - 1))-(LEFT(E3038,FIND("/",E3038)-1))), "NA"))</f>
        <v/>
      </c>
      <c r="K3038" s="79">
        <f>IF(A3038&lt;&gt;"", IF(ISBLANK(L3038), TODAY(), K3038), "")</f>
        <v/>
      </c>
      <c r="L3038" s="78" t="n"/>
      <c r="M3038" s="78">
        <f>IF(ISBLANK(L3038),"",IF(D3038="Stock",IF(C3038="Buy",L3038*G3038,IF(C3038="Sell",(L3038*G3038)-I3038, X)),IF(C3038="Buy",(L3038*G3038*100)+I3038,IF(C3038="Sell",(L3038*G3038*100)-I3038, X))))</f>
        <v/>
      </c>
      <c r="N3038" s="78">
        <f>IF(ISBLANK(L3038),"",IF(AND(C3038="Sell",D3038="Stock"),M3038,IF(ISBLANK(L3038),"",IF(C3038="Buy",M3038, IF(AND(C3038="Sell",J3038="NA"),(E3038*G3038*100*0.1)+I3038, IF(C3038="Sell",(J3038-L3038)*(100*G3038)+I3038))))))</f>
        <v/>
      </c>
      <c r="O3038" s="75" t="n"/>
      <c r="P3038" s="75" t="n"/>
      <c r="Q3038" s="75">
        <f>IF(ISBLANK(P3038),"",IF(D3038="Stock",P3038*G3038,IF(P3038=0,"0",G3038*P3038*100-(G3038*$AF$14))))</f>
        <v/>
      </c>
      <c r="R3038" s="79">
        <f>IF(P3038&lt;&gt;"", TODAY(), "")</f>
        <v/>
      </c>
      <c r="S3038" s="78">
        <f>IF(AND(K3038&lt;&gt;"", R3038&lt;&gt;""), R3038-K3038, "")</f>
        <v/>
      </c>
      <c r="T3038" s="78" t="n"/>
      <c r="U3038" s="92">
        <f>IF(ISBLANK(P3038),"",IF(C3038="Buy",Q3038-M3038+T3038, IF(C3038="Sell",M3038-Q3038-T3038, X)))</f>
        <v/>
      </c>
      <c r="V3038" s="81">
        <f>IF(ISBLANK(P3038),"",U3038/N3038)</f>
        <v/>
      </c>
      <c r="W3038" s="81">
        <f>IF(ISBLANK(P3038),"",IF(S3038=0,(365/0.5)*V3038,(365/S3038)*V3038))</f>
        <v/>
      </c>
      <c r="X3038" s="75" t="n"/>
      <c r="Y3038" s="77" t="n"/>
      <c r="Z3038" s="77" t="n"/>
      <c r="AA3038" s="75" t="n"/>
      <c r="AB3038" s="75" t="n"/>
      <c r="AC3038" s="6" t="n"/>
      <c r="AD3038" s="75" t="n"/>
      <c r="AE3038" s="75" t="n"/>
      <c r="AF3038" s="75" t="n"/>
    </row>
    <row r="3039" ht="15.75" customHeight="1" s="133">
      <c r="A3039" s="75" t="n"/>
      <c r="B3039" s="75" t="n"/>
      <c r="C3039" s="75" t="n"/>
      <c r="D3039" s="75" t="n"/>
      <c r="E3039" s="76" t="n"/>
      <c r="F3039" s="77" t="n"/>
      <c r="G3039" s="75" t="n"/>
      <c r="H3039" s="75">
        <f>IF(ISBLANK(E3039),"",IF(OR(D3039="Butterfly",D3039="Butterfly ",D3039="Iron Fly", D3039="Iron Fly "),LEN(E3039)-LEN(SUBSTITUTE(E3039,"/",""))+2,LEN(E3039)-LEN(SUBSTITUTE(E3039,"/",""))+1))</f>
        <v/>
      </c>
      <c r="I3039" s="78">
        <f>IF(ISBLANK(G3039),"",IF(D3039="Stock","0",Key!$A$3*H3039*G3039))</f>
        <v/>
      </c>
      <c r="J3039" s="78">
        <f>IF(ISBLANK(E3039),"",IF(ISNUMBER(SEARCH("/",E3039)), IF(LEN(E3039)-LEN(SUBSTITUTE(E3039,"/",""))=1,(RIGHT(E3039,LEN(E3039)-FIND("/",E3039)))-(LEFT(E3039,FIND("/",E3039)-1)),(MID(E3039, SEARCH("/",E3039) + 1, SEARCH("/",E3039, SEARCH("/",E3039)+1) - SEARCH("/",E3039) - 1))-(LEFT(E3039,FIND("/",E3039)-1))), "NA"))</f>
        <v/>
      </c>
      <c r="K3039" s="79">
        <f>IF(A3039&lt;&gt;"", IF(ISBLANK(L3039), TODAY(), K3039), "")</f>
        <v/>
      </c>
      <c r="L3039" s="78" t="n"/>
      <c r="M3039" s="78">
        <f>IF(ISBLANK(L3039),"",IF(D3039="Stock",IF(C3039="Buy",L3039*G3039,IF(C3039="Sell",(L3039*G3039)-I3039, X)),IF(C3039="Buy",(L3039*G3039*100)+I3039,IF(C3039="Sell",(L3039*G3039*100)-I3039, X))))</f>
        <v/>
      </c>
      <c r="N3039" s="78">
        <f>IF(ISBLANK(L3039),"",IF(AND(C3039="Sell",D3039="Stock"),M3039,IF(ISBLANK(L3039),"",IF(C3039="Buy",M3039, IF(AND(C3039="Sell",J3039="NA"),(E3039*G3039*100*0.1)+I3039, IF(C3039="Sell",(J3039-L3039)*(100*G3039)+I3039))))))</f>
        <v/>
      </c>
      <c r="O3039" s="75" t="n"/>
      <c r="P3039" s="75" t="n"/>
      <c r="Q3039" s="75">
        <f>IF(ISBLANK(P3039),"",IF(D3039="Stock",P3039*G3039,IF(P3039=0,"0",G3039*P3039*100-(G3039*$AF$14))))</f>
        <v/>
      </c>
      <c r="R3039" s="79">
        <f>IF(P3039&lt;&gt;"", TODAY(), "")</f>
        <v/>
      </c>
      <c r="S3039" s="78">
        <f>IF(AND(K3039&lt;&gt;"", R3039&lt;&gt;""), R3039-K3039, "")</f>
        <v/>
      </c>
      <c r="T3039" s="78" t="n"/>
      <c r="U3039" s="92">
        <f>IF(ISBLANK(P3039),"",IF(C3039="Buy",Q3039-M3039+T3039, IF(C3039="Sell",M3039-Q3039-T3039, X)))</f>
        <v/>
      </c>
      <c r="V3039" s="81">
        <f>IF(ISBLANK(P3039),"",U3039/N3039)</f>
        <v/>
      </c>
      <c r="W3039" s="81">
        <f>IF(ISBLANK(P3039),"",IF(S3039=0,(365/0.5)*V3039,(365/S3039)*V3039))</f>
        <v/>
      </c>
      <c r="X3039" s="75" t="n"/>
      <c r="Y3039" s="77" t="n"/>
      <c r="Z3039" s="77" t="n"/>
      <c r="AA3039" s="75" t="n"/>
      <c r="AB3039" s="75" t="n"/>
      <c r="AC3039" s="6" t="n"/>
      <c r="AD3039" s="75" t="n"/>
      <c r="AE3039" s="75" t="n"/>
      <c r="AF3039" s="75" t="n"/>
    </row>
    <row r="3040" ht="15.75" customHeight="1" s="133">
      <c r="A3040" s="75" t="n"/>
      <c r="B3040" s="75" t="n"/>
      <c r="C3040" s="75" t="n"/>
      <c r="D3040" s="75" t="n"/>
      <c r="E3040" s="76" t="n"/>
      <c r="F3040" s="77" t="n"/>
      <c r="G3040" s="75" t="n"/>
      <c r="H3040" s="75">
        <f>IF(ISBLANK(E3040),"",IF(OR(D3040="Butterfly",D3040="Butterfly ",D3040="Iron Fly", D3040="Iron Fly "),LEN(E3040)-LEN(SUBSTITUTE(E3040,"/",""))+2,LEN(E3040)-LEN(SUBSTITUTE(E3040,"/",""))+1))</f>
        <v/>
      </c>
      <c r="I3040" s="78">
        <f>IF(ISBLANK(G3040),"",IF(D3040="Stock","0",Key!$A$3*H3040*G3040))</f>
        <v/>
      </c>
      <c r="J3040" s="78">
        <f>IF(ISBLANK(E3040),"",IF(ISNUMBER(SEARCH("/",E3040)), IF(LEN(E3040)-LEN(SUBSTITUTE(E3040,"/",""))=1,(RIGHT(E3040,LEN(E3040)-FIND("/",E3040)))-(LEFT(E3040,FIND("/",E3040)-1)),(MID(E3040, SEARCH("/",E3040) + 1, SEARCH("/",E3040, SEARCH("/",E3040)+1) - SEARCH("/",E3040) - 1))-(LEFT(E3040,FIND("/",E3040)-1))), "NA"))</f>
        <v/>
      </c>
      <c r="K3040" s="79">
        <f>IF(A3040&lt;&gt;"", IF(ISBLANK(L3040), TODAY(), K3040), "")</f>
        <v/>
      </c>
      <c r="L3040" s="78" t="n"/>
      <c r="M3040" s="78">
        <f>IF(ISBLANK(L3040),"",IF(D3040="Stock",IF(C3040="Buy",L3040*G3040,IF(C3040="Sell",(L3040*G3040)-I3040, X)),IF(C3040="Buy",(L3040*G3040*100)+I3040,IF(C3040="Sell",(L3040*G3040*100)-I3040, X))))</f>
        <v/>
      </c>
      <c r="N3040" s="78">
        <f>IF(ISBLANK(L3040),"",IF(AND(C3040="Sell",D3040="Stock"),M3040,IF(ISBLANK(L3040),"",IF(C3040="Buy",M3040, IF(AND(C3040="Sell",J3040="NA"),(E3040*G3040*100*0.1)+I3040, IF(C3040="Sell",(J3040-L3040)*(100*G3040)+I3040))))))</f>
        <v/>
      </c>
      <c r="O3040" s="75" t="n"/>
      <c r="P3040" s="75" t="n"/>
      <c r="Q3040" s="75">
        <f>IF(ISBLANK(P3040),"",IF(D3040="Stock",P3040*G3040,IF(P3040=0,"0",G3040*P3040*100-(G3040*$AF$14))))</f>
        <v/>
      </c>
      <c r="R3040" s="79">
        <f>IF(P3040&lt;&gt;"", TODAY(), "")</f>
        <v/>
      </c>
      <c r="S3040" s="78">
        <f>IF(AND(K3040&lt;&gt;"", R3040&lt;&gt;""), R3040-K3040, "")</f>
        <v/>
      </c>
      <c r="T3040" s="78" t="n"/>
      <c r="U3040" s="92">
        <f>IF(ISBLANK(P3040),"",IF(C3040="Buy",Q3040-M3040+T3040, IF(C3040="Sell",M3040-Q3040-T3040, X)))</f>
        <v/>
      </c>
      <c r="V3040" s="81">
        <f>IF(ISBLANK(P3040),"",U3040/N3040)</f>
        <v/>
      </c>
      <c r="W3040" s="81">
        <f>IF(ISBLANK(P3040),"",IF(S3040=0,(365/0.5)*V3040,(365/S3040)*V3040))</f>
        <v/>
      </c>
      <c r="X3040" s="75" t="n"/>
      <c r="Y3040" s="77" t="n"/>
      <c r="Z3040" s="77" t="n"/>
      <c r="AA3040" s="75" t="n"/>
      <c r="AB3040" s="75" t="n"/>
      <c r="AC3040" s="6" t="n"/>
      <c r="AD3040" s="75" t="n"/>
      <c r="AE3040" s="75" t="n"/>
      <c r="AF3040" s="75" t="n"/>
    </row>
    <row r="3041" ht="15.75" customHeight="1" s="133">
      <c r="A3041" s="75" t="n"/>
      <c r="B3041" s="75" t="n"/>
      <c r="C3041" s="75" t="n"/>
      <c r="D3041" s="75" t="n"/>
      <c r="E3041" s="76" t="n"/>
      <c r="F3041" s="77" t="n"/>
      <c r="G3041" s="75" t="n"/>
      <c r="H3041" s="75">
        <f>IF(ISBLANK(E3041),"",IF(OR(D3041="Butterfly",D3041="Butterfly ",D3041="Iron Fly", D3041="Iron Fly "),LEN(E3041)-LEN(SUBSTITUTE(E3041,"/",""))+2,LEN(E3041)-LEN(SUBSTITUTE(E3041,"/",""))+1))</f>
        <v/>
      </c>
      <c r="I3041" s="78">
        <f>IF(ISBLANK(G3041),"",IF(D3041="Stock","0",Key!$A$3*H3041*G3041))</f>
        <v/>
      </c>
      <c r="J3041" s="78">
        <f>IF(ISBLANK(E3041),"",IF(ISNUMBER(SEARCH("/",E3041)), IF(LEN(E3041)-LEN(SUBSTITUTE(E3041,"/",""))=1,(RIGHT(E3041,LEN(E3041)-FIND("/",E3041)))-(LEFT(E3041,FIND("/",E3041)-1)),(MID(E3041, SEARCH("/",E3041) + 1, SEARCH("/",E3041, SEARCH("/",E3041)+1) - SEARCH("/",E3041) - 1))-(LEFT(E3041,FIND("/",E3041)-1))), "NA"))</f>
        <v/>
      </c>
      <c r="K3041" s="79">
        <f>IF(A3041&lt;&gt;"", IF(ISBLANK(L3041), TODAY(), K3041), "")</f>
        <v/>
      </c>
      <c r="L3041" s="78" t="n"/>
      <c r="M3041" s="78">
        <f>IF(ISBLANK(L3041),"",IF(D3041="Stock",IF(C3041="Buy",L3041*G3041,IF(C3041="Sell",(L3041*G3041)-I3041, X)),IF(C3041="Buy",(L3041*G3041*100)+I3041,IF(C3041="Sell",(L3041*G3041*100)-I3041, X))))</f>
        <v/>
      </c>
      <c r="N3041" s="78">
        <f>IF(ISBLANK(L3041),"",IF(AND(C3041="Sell",D3041="Stock"),M3041,IF(ISBLANK(L3041),"",IF(C3041="Buy",M3041, IF(AND(C3041="Sell",J3041="NA"),(E3041*G3041*100*0.1)+I3041, IF(C3041="Sell",(J3041-L3041)*(100*G3041)+I3041))))))</f>
        <v/>
      </c>
      <c r="O3041" s="75" t="n"/>
      <c r="P3041" s="75" t="n"/>
      <c r="Q3041" s="75">
        <f>IF(ISBLANK(P3041),"",IF(D3041="Stock",P3041*G3041,IF(P3041=0,"0",G3041*P3041*100-(G3041*$AF$14))))</f>
        <v/>
      </c>
      <c r="R3041" s="79">
        <f>IF(P3041&lt;&gt;"", TODAY(), "")</f>
        <v/>
      </c>
      <c r="S3041" s="78">
        <f>IF(AND(K3041&lt;&gt;"", R3041&lt;&gt;""), R3041-K3041, "")</f>
        <v/>
      </c>
      <c r="T3041" s="78" t="n"/>
      <c r="U3041" s="92">
        <f>IF(ISBLANK(P3041),"",IF(C3041="Buy",Q3041-M3041+T3041, IF(C3041="Sell",M3041-Q3041-T3041, X)))</f>
        <v/>
      </c>
      <c r="V3041" s="81">
        <f>IF(ISBLANK(P3041),"",U3041/N3041)</f>
        <v/>
      </c>
      <c r="W3041" s="81">
        <f>IF(ISBLANK(P3041),"",IF(S3041=0,(365/0.5)*V3041,(365/S3041)*V3041))</f>
        <v/>
      </c>
      <c r="X3041" s="75" t="n"/>
      <c r="Y3041" s="77" t="n"/>
      <c r="Z3041" s="77" t="n"/>
      <c r="AA3041" s="75" t="n"/>
      <c r="AB3041" s="75" t="n"/>
      <c r="AC3041" s="6" t="n"/>
      <c r="AD3041" s="75" t="n"/>
      <c r="AE3041" s="75" t="n"/>
      <c r="AF3041" s="75" t="n"/>
    </row>
    <row r="3042" ht="15.75" customHeight="1" s="133">
      <c r="A3042" s="75" t="n"/>
      <c r="B3042" s="75" t="n"/>
      <c r="C3042" s="75" t="n"/>
      <c r="D3042" s="75" t="n"/>
      <c r="E3042" s="76" t="n"/>
      <c r="F3042" s="77" t="n"/>
      <c r="G3042" s="75" t="n"/>
      <c r="H3042" s="75">
        <f>IF(ISBLANK(E3042),"",IF(OR(D3042="Butterfly",D3042="Butterfly ",D3042="Iron Fly", D3042="Iron Fly "),LEN(E3042)-LEN(SUBSTITUTE(E3042,"/",""))+2,LEN(E3042)-LEN(SUBSTITUTE(E3042,"/",""))+1))</f>
        <v/>
      </c>
      <c r="I3042" s="78">
        <f>IF(ISBLANK(G3042),"",IF(D3042="Stock","0",Key!$A$3*H3042*G3042))</f>
        <v/>
      </c>
      <c r="J3042" s="78">
        <f>IF(ISBLANK(E3042),"",IF(ISNUMBER(SEARCH("/",E3042)), IF(LEN(E3042)-LEN(SUBSTITUTE(E3042,"/",""))=1,(RIGHT(E3042,LEN(E3042)-FIND("/",E3042)))-(LEFT(E3042,FIND("/",E3042)-1)),(MID(E3042, SEARCH("/",E3042) + 1, SEARCH("/",E3042, SEARCH("/",E3042)+1) - SEARCH("/",E3042) - 1))-(LEFT(E3042,FIND("/",E3042)-1))), "NA"))</f>
        <v/>
      </c>
      <c r="K3042" s="79">
        <f>IF(A3042&lt;&gt;"", IF(ISBLANK(L3042), TODAY(), K3042), "")</f>
        <v/>
      </c>
      <c r="L3042" s="78" t="n"/>
      <c r="M3042" s="78">
        <f>IF(ISBLANK(L3042),"",IF(D3042="Stock",IF(C3042="Buy",L3042*G3042,IF(C3042="Sell",(L3042*G3042)-I3042, X)),IF(C3042="Buy",(L3042*G3042*100)+I3042,IF(C3042="Sell",(L3042*G3042*100)-I3042, X))))</f>
        <v/>
      </c>
      <c r="N3042" s="78">
        <f>IF(ISBLANK(L3042),"",IF(AND(C3042="Sell",D3042="Stock"),M3042,IF(ISBLANK(L3042),"",IF(C3042="Buy",M3042, IF(AND(C3042="Sell",J3042="NA"),(E3042*G3042*100*0.1)+I3042, IF(C3042="Sell",(J3042-L3042)*(100*G3042)+I3042))))))</f>
        <v/>
      </c>
      <c r="O3042" s="75" t="n"/>
      <c r="P3042" s="75" t="n"/>
      <c r="Q3042" s="75">
        <f>IF(ISBLANK(P3042),"",IF(D3042="Stock",P3042*G3042,IF(P3042=0,"0",G3042*P3042*100-(G3042*$AF$14))))</f>
        <v/>
      </c>
      <c r="R3042" s="79">
        <f>IF(P3042&lt;&gt;"", TODAY(), "")</f>
        <v/>
      </c>
      <c r="S3042" s="78">
        <f>IF(AND(K3042&lt;&gt;"", R3042&lt;&gt;""), R3042-K3042, "")</f>
        <v/>
      </c>
      <c r="T3042" s="78" t="n"/>
      <c r="U3042" s="92">
        <f>IF(ISBLANK(P3042),"",IF(C3042="Buy",Q3042-M3042+T3042, IF(C3042="Sell",M3042-Q3042-T3042, X)))</f>
        <v/>
      </c>
      <c r="V3042" s="81">
        <f>IF(ISBLANK(P3042),"",U3042/N3042)</f>
        <v/>
      </c>
      <c r="W3042" s="81">
        <f>IF(ISBLANK(P3042),"",IF(S3042=0,(365/0.5)*V3042,(365/S3042)*V3042))</f>
        <v/>
      </c>
      <c r="X3042" s="75" t="n"/>
      <c r="Y3042" s="77" t="n"/>
      <c r="Z3042" s="77" t="n"/>
      <c r="AA3042" s="75" t="n"/>
      <c r="AB3042" s="75" t="n"/>
      <c r="AC3042" s="6" t="n"/>
      <c r="AD3042" s="75" t="n"/>
      <c r="AE3042" s="75" t="n"/>
      <c r="AF3042" s="75" t="n"/>
    </row>
    <row r="3043" ht="15.75" customHeight="1" s="133">
      <c r="A3043" s="75" t="n"/>
      <c r="B3043" s="75" t="n"/>
      <c r="C3043" s="75" t="n"/>
      <c r="D3043" s="75" t="n"/>
      <c r="E3043" s="76" t="n"/>
      <c r="F3043" s="77" t="n"/>
      <c r="G3043" s="75" t="n"/>
      <c r="H3043" s="75">
        <f>IF(ISBLANK(E3043),"",IF(OR(D3043="Butterfly",D3043="Butterfly ",D3043="Iron Fly", D3043="Iron Fly "),LEN(E3043)-LEN(SUBSTITUTE(E3043,"/",""))+2,LEN(E3043)-LEN(SUBSTITUTE(E3043,"/",""))+1))</f>
        <v/>
      </c>
      <c r="I3043" s="78">
        <f>IF(ISBLANK(G3043),"",IF(D3043="Stock","0",Key!$A$3*H3043*G3043))</f>
        <v/>
      </c>
      <c r="J3043" s="78">
        <f>IF(ISBLANK(E3043),"",IF(ISNUMBER(SEARCH("/",E3043)), IF(LEN(E3043)-LEN(SUBSTITUTE(E3043,"/",""))=1,(RIGHT(E3043,LEN(E3043)-FIND("/",E3043)))-(LEFT(E3043,FIND("/",E3043)-1)),(MID(E3043, SEARCH("/",E3043) + 1, SEARCH("/",E3043, SEARCH("/",E3043)+1) - SEARCH("/",E3043) - 1))-(LEFT(E3043,FIND("/",E3043)-1))), "NA"))</f>
        <v/>
      </c>
      <c r="K3043" s="79">
        <f>IF(A3043&lt;&gt;"", IF(ISBLANK(L3043), TODAY(), K3043), "")</f>
        <v/>
      </c>
      <c r="L3043" s="78" t="n"/>
      <c r="M3043" s="78">
        <f>IF(ISBLANK(L3043),"",IF(D3043="Stock",IF(C3043="Buy",L3043*G3043,IF(C3043="Sell",(L3043*G3043)-I3043, X)),IF(C3043="Buy",(L3043*G3043*100)+I3043,IF(C3043="Sell",(L3043*G3043*100)-I3043, X))))</f>
        <v/>
      </c>
      <c r="N3043" s="78">
        <f>IF(ISBLANK(L3043),"",IF(AND(C3043="Sell",D3043="Stock"),M3043,IF(ISBLANK(L3043),"",IF(C3043="Buy",M3043, IF(AND(C3043="Sell",J3043="NA"),(E3043*G3043*100*0.1)+I3043, IF(C3043="Sell",(J3043-L3043)*(100*G3043)+I3043))))))</f>
        <v/>
      </c>
      <c r="O3043" s="75" t="n"/>
      <c r="P3043" s="75" t="n"/>
      <c r="Q3043" s="75">
        <f>IF(ISBLANK(P3043),"",IF(D3043="Stock",P3043*G3043,IF(P3043=0,"0",G3043*P3043*100-(G3043*$AF$14))))</f>
        <v/>
      </c>
      <c r="R3043" s="79">
        <f>IF(P3043&lt;&gt;"", TODAY(), "")</f>
        <v/>
      </c>
      <c r="S3043" s="78">
        <f>IF(AND(K3043&lt;&gt;"", R3043&lt;&gt;""), R3043-K3043, "")</f>
        <v/>
      </c>
      <c r="T3043" s="78" t="n"/>
      <c r="U3043" s="92">
        <f>IF(ISBLANK(P3043),"",IF(C3043="Buy",Q3043-M3043+T3043, IF(C3043="Sell",M3043-Q3043-T3043, X)))</f>
        <v/>
      </c>
      <c r="V3043" s="81">
        <f>IF(ISBLANK(P3043),"",U3043/N3043)</f>
        <v/>
      </c>
      <c r="W3043" s="81">
        <f>IF(ISBLANK(P3043),"",IF(S3043=0,(365/0.5)*V3043,(365/S3043)*V3043))</f>
        <v/>
      </c>
      <c r="X3043" s="75" t="n"/>
      <c r="Y3043" s="77" t="n"/>
      <c r="Z3043" s="77" t="n"/>
      <c r="AA3043" s="75" t="n"/>
      <c r="AB3043" s="75" t="n"/>
      <c r="AC3043" s="6" t="n"/>
      <c r="AD3043" s="75" t="n"/>
      <c r="AE3043" s="75" t="n"/>
      <c r="AF3043" s="75" t="n"/>
    </row>
    <row r="3044" ht="15.75" customHeight="1" s="133">
      <c r="A3044" s="75" t="n"/>
      <c r="B3044" s="75" t="n"/>
      <c r="C3044" s="75" t="n"/>
      <c r="D3044" s="75" t="n"/>
      <c r="E3044" s="76" t="n"/>
      <c r="F3044" s="77" t="n"/>
      <c r="G3044" s="75" t="n"/>
      <c r="H3044" s="75">
        <f>IF(ISBLANK(E3044),"",IF(OR(D3044="Butterfly",D3044="Butterfly ",D3044="Iron Fly", D3044="Iron Fly "),LEN(E3044)-LEN(SUBSTITUTE(E3044,"/",""))+2,LEN(E3044)-LEN(SUBSTITUTE(E3044,"/",""))+1))</f>
        <v/>
      </c>
      <c r="I3044" s="78">
        <f>IF(ISBLANK(G3044),"",IF(D3044="Stock","0",Key!$A$3*H3044*G3044))</f>
        <v/>
      </c>
      <c r="J3044" s="78">
        <f>IF(ISBLANK(E3044),"",IF(ISNUMBER(SEARCH("/",E3044)), IF(LEN(E3044)-LEN(SUBSTITUTE(E3044,"/",""))=1,(RIGHT(E3044,LEN(E3044)-FIND("/",E3044)))-(LEFT(E3044,FIND("/",E3044)-1)),(MID(E3044, SEARCH("/",E3044) + 1, SEARCH("/",E3044, SEARCH("/",E3044)+1) - SEARCH("/",E3044) - 1))-(LEFT(E3044,FIND("/",E3044)-1))), "NA"))</f>
        <v/>
      </c>
      <c r="K3044" s="79">
        <f>IF(A3044&lt;&gt;"", IF(ISBLANK(L3044), TODAY(), K3044), "")</f>
        <v/>
      </c>
      <c r="L3044" s="78" t="n"/>
      <c r="M3044" s="78">
        <f>IF(ISBLANK(L3044),"",IF(D3044="Stock",IF(C3044="Buy",L3044*G3044,IF(C3044="Sell",(L3044*G3044)-I3044, X)),IF(C3044="Buy",(L3044*G3044*100)+I3044,IF(C3044="Sell",(L3044*G3044*100)-I3044, X))))</f>
        <v/>
      </c>
      <c r="N3044" s="78">
        <f>IF(ISBLANK(L3044),"",IF(AND(C3044="Sell",D3044="Stock"),M3044,IF(ISBLANK(L3044),"",IF(C3044="Buy",M3044, IF(AND(C3044="Sell",J3044="NA"),(E3044*G3044*100*0.1)+I3044, IF(C3044="Sell",(J3044-L3044)*(100*G3044)+I3044))))))</f>
        <v/>
      </c>
      <c r="O3044" s="75" t="n"/>
      <c r="P3044" s="75" t="n"/>
      <c r="Q3044" s="75">
        <f>IF(ISBLANK(P3044),"",IF(D3044="Stock",P3044*G3044,IF(P3044=0,"0",G3044*P3044*100-(G3044*$AF$14))))</f>
        <v/>
      </c>
      <c r="R3044" s="79">
        <f>IF(P3044&lt;&gt;"", TODAY(), "")</f>
        <v/>
      </c>
      <c r="S3044" s="78">
        <f>IF(AND(K3044&lt;&gt;"", R3044&lt;&gt;""), R3044-K3044, "")</f>
        <v/>
      </c>
      <c r="T3044" s="78" t="n"/>
      <c r="U3044" s="92">
        <f>IF(ISBLANK(P3044),"",IF(C3044="Buy",Q3044-M3044+T3044, IF(C3044="Sell",M3044-Q3044-T3044, X)))</f>
        <v/>
      </c>
      <c r="V3044" s="81">
        <f>IF(ISBLANK(P3044),"",U3044/N3044)</f>
        <v/>
      </c>
      <c r="W3044" s="81">
        <f>IF(ISBLANK(P3044),"",IF(S3044=0,(365/0.5)*V3044,(365/S3044)*V3044))</f>
        <v/>
      </c>
      <c r="X3044" s="75" t="n"/>
      <c r="Y3044" s="77" t="n"/>
      <c r="Z3044" s="77" t="n"/>
      <c r="AA3044" s="75" t="n"/>
      <c r="AB3044" s="75" t="n"/>
      <c r="AC3044" s="6" t="n"/>
      <c r="AD3044" s="75" t="n"/>
      <c r="AE3044" s="75" t="n"/>
      <c r="AF3044" s="75" t="n"/>
    </row>
    <row r="3045" ht="15.75" customHeight="1" s="133">
      <c r="A3045" s="75" t="n"/>
      <c r="B3045" s="75" t="n"/>
      <c r="C3045" s="75" t="n"/>
      <c r="D3045" s="75" t="n"/>
      <c r="E3045" s="76" t="n"/>
      <c r="F3045" s="77" t="n"/>
      <c r="G3045" s="75" t="n"/>
      <c r="H3045" s="75">
        <f>IF(ISBLANK(E3045),"",IF(OR(D3045="Butterfly",D3045="Butterfly ",D3045="Iron Fly", D3045="Iron Fly "),LEN(E3045)-LEN(SUBSTITUTE(E3045,"/",""))+2,LEN(E3045)-LEN(SUBSTITUTE(E3045,"/",""))+1))</f>
        <v/>
      </c>
      <c r="I3045" s="78">
        <f>IF(ISBLANK(G3045),"",IF(D3045="Stock","0",Key!$A$3*H3045*G3045))</f>
        <v/>
      </c>
      <c r="J3045" s="78">
        <f>IF(ISBLANK(E3045),"",IF(ISNUMBER(SEARCH("/",E3045)), IF(LEN(E3045)-LEN(SUBSTITUTE(E3045,"/",""))=1,(RIGHT(E3045,LEN(E3045)-FIND("/",E3045)))-(LEFT(E3045,FIND("/",E3045)-1)),(MID(E3045, SEARCH("/",E3045) + 1, SEARCH("/",E3045, SEARCH("/",E3045)+1) - SEARCH("/",E3045) - 1))-(LEFT(E3045,FIND("/",E3045)-1))), "NA"))</f>
        <v/>
      </c>
      <c r="K3045" s="79">
        <f>IF(A3045&lt;&gt;"", IF(ISBLANK(L3045), TODAY(), K3045), "")</f>
        <v/>
      </c>
      <c r="L3045" s="78" t="n"/>
      <c r="M3045" s="78">
        <f>IF(ISBLANK(L3045),"",IF(D3045="Stock",IF(C3045="Buy",L3045*G3045,IF(C3045="Sell",(L3045*G3045)-I3045, X)),IF(C3045="Buy",(L3045*G3045*100)+I3045,IF(C3045="Sell",(L3045*G3045*100)-I3045, X))))</f>
        <v/>
      </c>
      <c r="N3045" s="78">
        <f>IF(ISBLANK(L3045),"",IF(AND(C3045="Sell",D3045="Stock"),M3045,IF(ISBLANK(L3045),"",IF(C3045="Buy",M3045, IF(AND(C3045="Sell",J3045="NA"),(E3045*G3045*100*0.1)+I3045, IF(C3045="Sell",(J3045-L3045)*(100*G3045)+I3045))))))</f>
        <v/>
      </c>
      <c r="O3045" s="75" t="n"/>
      <c r="P3045" s="75" t="n"/>
      <c r="Q3045" s="75">
        <f>IF(ISBLANK(P3045),"",IF(D3045="Stock",P3045*G3045,IF(P3045=0,"0",G3045*P3045*100-(G3045*$AF$14))))</f>
        <v/>
      </c>
      <c r="R3045" s="79">
        <f>IF(P3045&lt;&gt;"", TODAY(), "")</f>
        <v/>
      </c>
      <c r="S3045" s="78">
        <f>IF(AND(K3045&lt;&gt;"", R3045&lt;&gt;""), R3045-K3045, "")</f>
        <v/>
      </c>
      <c r="T3045" s="78" t="n"/>
      <c r="U3045" s="92">
        <f>IF(ISBLANK(P3045),"",IF(C3045="Buy",Q3045-M3045+T3045, IF(C3045="Sell",M3045-Q3045-T3045, X)))</f>
        <v/>
      </c>
      <c r="V3045" s="81">
        <f>IF(ISBLANK(P3045),"",U3045/N3045)</f>
        <v/>
      </c>
      <c r="W3045" s="81">
        <f>IF(ISBLANK(P3045),"",IF(S3045=0,(365/0.5)*V3045,(365/S3045)*V3045))</f>
        <v/>
      </c>
      <c r="X3045" s="75" t="n"/>
      <c r="Y3045" s="77" t="n"/>
      <c r="Z3045" s="77" t="n"/>
      <c r="AA3045" s="75" t="n"/>
      <c r="AB3045" s="75" t="n"/>
      <c r="AC3045" s="6" t="n"/>
      <c r="AD3045" s="75" t="n"/>
      <c r="AE3045" s="75" t="n"/>
      <c r="AF3045" s="75" t="n"/>
    </row>
    <row r="3046" ht="15.75" customHeight="1" s="133">
      <c r="A3046" s="75" t="n"/>
      <c r="B3046" s="75" t="n"/>
      <c r="C3046" s="75" t="n"/>
      <c r="D3046" s="75" t="n"/>
      <c r="E3046" s="76" t="n"/>
      <c r="F3046" s="77" t="n"/>
      <c r="G3046" s="75" t="n"/>
      <c r="H3046" s="75">
        <f>IF(ISBLANK(E3046),"",IF(OR(D3046="Butterfly",D3046="Butterfly ",D3046="Iron Fly", D3046="Iron Fly "),LEN(E3046)-LEN(SUBSTITUTE(E3046,"/",""))+2,LEN(E3046)-LEN(SUBSTITUTE(E3046,"/",""))+1))</f>
        <v/>
      </c>
      <c r="I3046" s="78">
        <f>IF(ISBLANK(G3046),"",IF(D3046="Stock","0",Key!$A$3*H3046*G3046))</f>
        <v/>
      </c>
      <c r="J3046" s="78">
        <f>IF(ISBLANK(E3046),"",IF(ISNUMBER(SEARCH("/",E3046)), IF(LEN(E3046)-LEN(SUBSTITUTE(E3046,"/",""))=1,(RIGHT(E3046,LEN(E3046)-FIND("/",E3046)))-(LEFT(E3046,FIND("/",E3046)-1)),(MID(E3046, SEARCH("/",E3046) + 1, SEARCH("/",E3046, SEARCH("/",E3046)+1) - SEARCH("/",E3046) - 1))-(LEFT(E3046,FIND("/",E3046)-1))), "NA"))</f>
        <v/>
      </c>
      <c r="K3046" s="79">
        <f>IF(A3046&lt;&gt;"", IF(ISBLANK(L3046), TODAY(), K3046), "")</f>
        <v/>
      </c>
      <c r="L3046" s="78" t="n"/>
      <c r="M3046" s="78">
        <f>IF(ISBLANK(L3046),"",IF(D3046="Stock",IF(C3046="Buy",L3046*G3046,IF(C3046="Sell",(L3046*G3046)-I3046, X)),IF(C3046="Buy",(L3046*G3046*100)+I3046,IF(C3046="Sell",(L3046*G3046*100)-I3046, X))))</f>
        <v/>
      </c>
      <c r="N3046" s="78">
        <f>IF(ISBLANK(L3046),"",IF(AND(C3046="Sell",D3046="Stock"),M3046,IF(ISBLANK(L3046),"",IF(C3046="Buy",M3046, IF(AND(C3046="Sell",J3046="NA"),(E3046*G3046*100*0.1)+I3046, IF(C3046="Sell",(J3046-L3046)*(100*G3046)+I3046))))))</f>
        <v/>
      </c>
      <c r="O3046" s="75" t="n"/>
      <c r="P3046" s="75" t="n"/>
      <c r="Q3046" s="75">
        <f>IF(ISBLANK(P3046),"",IF(D3046="Stock",P3046*G3046,IF(P3046=0,"0",G3046*P3046*100-(G3046*$AF$14))))</f>
        <v/>
      </c>
      <c r="R3046" s="79">
        <f>IF(P3046&lt;&gt;"", TODAY(), "")</f>
        <v/>
      </c>
      <c r="S3046" s="78">
        <f>IF(AND(K3046&lt;&gt;"", R3046&lt;&gt;""), R3046-K3046, "")</f>
        <v/>
      </c>
      <c r="T3046" s="78" t="n"/>
      <c r="U3046" s="92">
        <f>IF(ISBLANK(P3046),"",IF(C3046="Buy",Q3046-M3046+T3046, IF(C3046="Sell",M3046-Q3046-T3046, X)))</f>
        <v/>
      </c>
      <c r="V3046" s="81">
        <f>IF(ISBLANK(P3046),"",U3046/N3046)</f>
        <v/>
      </c>
      <c r="W3046" s="81">
        <f>IF(ISBLANK(P3046),"",IF(S3046=0,(365/0.5)*V3046,(365/S3046)*V3046))</f>
        <v/>
      </c>
      <c r="X3046" s="75" t="n"/>
      <c r="Y3046" s="77" t="n"/>
      <c r="Z3046" s="77" t="n"/>
      <c r="AA3046" s="75" t="n"/>
      <c r="AB3046" s="75" t="n"/>
      <c r="AC3046" s="6" t="n"/>
      <c r="AD3046" s="75" t="n"/>
      <c r="AE3046" s="75" t="n"/>
      <c r="AF3046" s="75" t="n"/>
    </row>
    <row r="3047" ht="15.75" customHeight="1" s="133">
      <c r="A3047" s="75" t="n"/>
      <c r="B3047" s="75" t="n"/>
      <c r="C3047" s="75" t="n"/>
      <c r="D3047" s="75" t="n"/>
      <c r="E3047" s="76" t="n"/>
      <c r="F3047" s="77" t="n"/>
      <c r="G3047" s="75" t="n"/>
      <c r="H3047" s="75">
        <f>IF(ISBLANK(E3047),"",IF(OR(D3047="Butterfly",D3047="Butterfly ",D3047="Iron Fly", D3047="Iron Fly "),LEN(E3047)-LEN(SUBSTITUTE(E3047,"/",""))+2,LEN(E3047)-LEN(SUBSTITUTE(E3047,"/",""))+1))</f>
        <v/>
      </c>
      <c r="I3047" s="78">
        <f>IF(ISBLANK(G3047),"",IF(D3047="Stock","0",Key!$A$3*H3047*G3047))</f>
        <v/>
      </c>
      <c r="J3047" s="78">
        <f>IF(ISBLANK(E3047),"",IF(ISNUMBER(SEARCH("/",E3047)), IF(LEN(E3047)-LEN(SUBSTITUTE(E3047,"/",""))=1,(RIGHT(E3047,LEN(E3047)-FIND("/",E3047)))-(LEFT(E3047,FIND("/",E3047)-1)),(MID(E3047, SEARCH("/",E3047) + 1, SEARCH("/",E3047, SEARCH("/",E3047)+1) - SEARCH("/",E3047) - 1))-(LEFT(E3047,FIND("/",E3047)-1))), "NA"))</f>
        <v/>
      </c>
      <c r="K3047" s="79">
        <f>IF(A3047&lt;&gt;"", IF(ISBLANK(L3047), TODAY(), K3047), "")</f>
        <v/>
      </c>
      <c r="L3047" s="78" t="n"/>
      <c r="M3047" s="78">
        <f>IF(ISBLANK(L3047),"",IF(D3047="Stock",IF(C3047="Buy",L3047*G3047,IF(C3047="Sell",(L3047*G3047)-I3047, X)),IF(C3047="Buy",(L3047*G3047*100)+I3047,IF(C3047="Sell",(L3047*G3047*100)-I3047, X))))</f>
        <v/>
      </c>
      <c r="N3047" s="78">
        <f>IF(ISBLANK(L3047),"",IF(AND(C3047="Sell",D3047="Stock"),M3047,IF(ISBLANK(L3047),"",IF(C3047="Buy",M3047, IF(AND(C3047="Sell",J3047="NA"),(E3047*G3047*100*0.1)+I3047, IF(C3047="Sell",(J3047-L3047)*(100*G3047)+I3047))))))</f>
        <v/>
      </c>
      <c r="O3047" s="75" t="n"/>
      <c r="P3047" s="75" t="n"/>
      <c r="Q3047" s="75">
        <f>IF(ISBLANK(P3047),"",IF(D3047="Stock",P3047*G3047,IF(P3047=0,"0",G3047*P3047*100-(G3047*$AF$14))))</f>
        <v/>
      </c>
      <c r="R3047" s="79">
        <f>IF(P3047&lt;&gt;"", TODAY(), "")</f>
        <v/>
      </c>
      <c r="S3047" s="78">
        <f>IF(AND(K3047&lt;&gt;"", R3047&lt;&gt;""), R3047-K3047, "")</f>
        <v/>
      </c>
      <c r="T3047" s="78" t="n"/>
      <c r="U3047" s="92">
        <f>IF(ISBLANK(P3047),"",IF(C3047="Buy",Q3047-M3047+T3047, IF(C3047="Sell",M3047-Q3047-T3047, X)))</f>
        <v/>
      </c>
      <c r="V3047" s="81">
        <f>IF(ISBLANK(P3047),"",U3047/N3047)</f>
        <v/>
      </c>
      <c r="W3047" s="81">
        <f>IF(ISBLANK(P3047),"",IF(S3047=0,(365/0.5)*V3047,(365/S3047)*V3047))</f>
        <v/>
      </c>
      <c r="X3047" s="75" t="n"/>
      <c r="Y3047" s="77" t="n"/>
      <c r="Z3047" s="77" t="n"/>
      <c r="AA3047" s="75" t="n"/>
      <c r="AB3047" s="75" t="n"/>
      <c r="AC3047" s="6" t="n"/>
      <c r="AD3047" s="75" t="n"/>
      <c r="AE3047" s="75" t="n"/>
      <c r="AF3047" s="75" t="n"/>
    </row>
    <row r="3048" ht="15.75" customHeight="1" s="133">
      <c r="A3048" s="75" t="n"/>
      <c r="B3048" s="75" t="n"/>
      <c r="C3048" s="75" t="n"/>
      <c r="D3048" s="75" t="n"/>
      <c r="E3048" s="76" t="n"/>
      <c r="F3048" s="77" t="n"/>
      <c r="G3048" s="75" t="n"/>
      <c r="H3048" s="75">
        <f>IF(ISBLANK(E3048),"",IF(OR(D3048="Butterfly",D3048="Butterfly ",D3048="Iron Fly", D3048="Iron Fly "),LEN(E3048)-LEN(SUBSTITUTE(E3048,"/",""))+2,LEN(E3048)-LEN(SUBSTITUTE(E3048,"/",""))+1))</f>
        <v/>
      </c>
      <c r="I3048" s="78">
        <f>IF(ISBLANK(G3048),"",IF(D3048="Stock","0",Key!$A$3*H3048*G3048))</f>
        <v/>
      </c>
      <c r="J3048" s="78">
        <f>IF(ISBLANK(E3048),"",IF(ISNUMBER(SEARCH("/",E3048)), IF(LEN(E3048)-LEN(SUBSTITUTE(E3048,"/",""))=1,(RIGHT(E3048,LEN(E3048)-FIND("/",E3048)))-(LEFT(E3048,FIND("/",E3048)-1)),(MID(E3048, SEARCH("/",E3048) + 1, SEARCH("/",E3048, SEARCH("/",E3048)+1) - SEARCH("/",E3048) - 1))-(LEFT(E3048,FIND("/",E3048)-1))), "NA"))</f>
        <v/>
      </c>
      <c r="K3048" s="79">
        <f>IF(A3048&lt;&gt;"", IF(ISBLANK(L3048), TODAY(), K3048), "")</f>
        <v/>
      </c>
      <c r="L3048" s="78" t="n"/>
      <c r="M3048" s="78">
        <f>IF(ISBLANK(L3048),"",IF(D3048="Stock",IF(C3048="Buy",L3048*G3048,IF(C3048="Sell",(L3048*G3048)-I3048, X)),IF(C3048="Buy",(L3048*G3048*100)+I3048,IF(C3048="Sell",(L3048*G3048*100)-I3048, X))))</f>
        <v/>
      </c>
      <c r="N3048" s="78">
        <f>IF(ISBLANK(L3048),"",IF(AND(C3048="Sell",D3048="Stock"),M3048,IF(ISBLANK(L3048),"",IF(C3048="Buy",M3048, IF(AND(C3048="Sell",J3048="NA"),(E3048*G3048*100*0.1)+I3048, IF(C3048="Sell",(J3048-L3048)*(100*G3048)+I3048))))))</f>
        <v/>
      </c>
      <c r="O3048" s="75" t="n"/>
      <c r="P3048" s="75" t="n"/>
      <c r="Q3048" s="75">
        <f>IF(ISBLANK(P3048),"",IF(D3048="Stock",P3048*G3048,IF(P3048=0,"0",G3048*P3048*100-(G3048*$AF$14))))</f>
        <v/>
      </c>
      <c r="R3048" s="79">
        <f>IF(P3048&lt;&gt;"", TODAY(), "")</f>
        <v/>
      </c>
      <c r="S3048" s="78">
        <f>IF(AND(K3048&lt;&gt;"", R3048&lt;&gt;""), R3048-K3048, "")</f>
        <v/>
      </c>
      <c r="T3048" s="78" t="n"/>
      <c r="U3048" s="92">
        <f>IF(ISBLANK(P3048),"",IF(C3048="Buy",Q3048-M3048+T3048, IF(C3048="Sell",M3048-Q3048-T3048, X)))</f>
        <v/>
      </c>
      <c r="V3048" s="81">
        <f>IF(ISBLANK(P3048),"",U3048/N3048)</f>
        <v/>
      </c>
      <c r="W3048" s="81">
        <f>IF(ISBLANK(P3048),"",IF(S3048=0,(365/0.5)*V3048,(365/S3048)*V3048))</f>
        <v/>
      </c>
      <c r="X3048" s="75" t="n"/>
      <c r="Y3048" s="77" t="n"/>
      <c r="Z3048" s="77" t="n"/>
      <c r="AA3048" s="75" t="n"/>
      <c r="AB3048" s="75" t="n"/>
      <c r="AC3048" s="6" t="n"/>
      <c r="AD3048" s="75" t="n"/>
      <c r="AE3048" s="75" t="n"/>
      <c r="AF3048" s="75" t="n"/>
    </row>
    <row r="3049" ht="15.75" customHeight="1" s="133">
      <c r="A3049" s="75" t="n"/>
      <c r="B3049" s="75" t="n"/>
      <c r="C3049" s="75" t="n"/>
      <c r="D3049" s="75" t="n"/>
      <c r="E3049" s="76" t="n"/>
      <c r="F3049" s="77" t="n"/>
      <c r="G3049" s="75" t="n"/>
      <c r="H3049" s="75">
        <f>IF(ISBLANK(E3049),"",IF(OR(D3049="Butterfly",D3049="Butterfly ",D3049="Iron Fly", D3049="Iron Fly "),LEN(E3049)-LEN(SUBSTITUTE(E3049,"/",""))+2,LEN(E3049)-LEN(SUBSTITUTE(E3049,"/",""))+1))</f>
        <v/>
      </c>
      <c r="I3049" s="78">
        <f>IF(ISBLANK(G3049),"",IF(D3049="Stock","0",Key!$A$3*H3049*G3049))</f>
        <v/>
      </c>
      <c r="J3049" s="78">
        <f>IF(ISBLANK(E3049),"",IF(ISNUMBER(SEARCH("/",E3049)), IF(LEN(E3049)-LEN(SUBSTITUTE(E3049,"/",""))=1,(RIGHT(E3049,LEN(E3049)-FIND("/",E3049)))-(LEFT(E3049,FIND("/",E3049)-1)),(MID(E3049, SEARCH("/",E3049) + 1, SEARCH("/",E3049, SEARCH("/",E3049)+1) - SEARCH("/",E3049) - 1))-(LEFT(E3049,FIND("/",E3049)-1))), "NA"))</f>
        <v/>
      </c>
      <c r="K3049" s="79">
        <f>IF(A3049&lt;&gt;"", IF(ISBLANK(L3049), TODAY(), K3049), "")</f>
        <v/>
      </c>
      <c r="L3049" s="78" t="n"/>
      <c r="M3049" s="78">
        <f>IF(ISBLANK(L3049),"",IF(D3049="Stock",IF(C3049="Buy",L3049*G3049,IF(C3049="Sell",(L3049*G3049)-I3049, X)),IF(C3049="Buy",(L3049*G3049*100)+I3049,IF(C3049="Sell",(L3049*G3049*100)-I3049, X))))</f>
        <v/>
      </c>
      <c r="N3049" s="78">
        <f>IF(ISBLANK(L3049),"",IF(AND(C3049="Sell",D3049="Stock"),M3049,IF(ISBLANK(L3049),"",IF(C3049="Buy",M3049, IF(AND(C3049="Sell",J3049="NA"),(E3049*G3049*100*0.1)+I3049, IF(C3049="Sell",(J3049-L3049)*(100*G3049)+I3049))))))</f>
        <v/>
      </c>
      <c r="O3049" s="75" t="n"/>
      <c r="P3049" s="75" t="n"/>
      <c r="Q3049" s="75">
        <f>IF(ISBLANK(P3049),"",IF(D3049="Stock",P3049*G3049,IF(P3049=0,"0",G3049*P3049*100-(G3049*$AF$14))))</f>
        <v/>
      </c>
      <c r="R3049" s="79">
        <f>IF(P3049&lt;&gt;"", TODAY(), "")</f>
        <v/>
      </c>
      <c r="S3049" s="78">
        <f>IF(AND(K3049&lt;&gt;"", R3049&lt;&gt;""), R3049-K3049, "")</f>
        <v/>
      </c>
      <c r="T3049" s="78" t="n"/>
      <c r="U3049" s="92">
        <f>IF(ISBLANK(P3049),"",IF(C3049="Buy",Q3049-M3049+T3049, IF(C3049="Sell",M3049-Q3049-T3049, X)))</f>
        <v/>
      </c>
      <c r="V3049" s="81">
        <f>IF(ISBLANK(P3049),"",U3049/N3049)</f>
        <v/>
      </c>
      <c r="W3049" s="81">
        <f>IF(ISBLANK(P3049),"",IF(S3049=0,(365/0.5)*V3049,(365/S3049)*V3049))</f>
        <v/>
      </c>
      <c r="X3049" s="75" t="n"/>
      <c r="Y3049" s="77" t="n"/>
      <c r="Z3049" s="77" t="n"/>
      <c r="AA3049" s="75" t="n"/>
      <c r="AB3049" s="75" t="n"/>
      <c r="AC3049" s="6" t="n"/>
      <c r="AD3049" s="75" t="n"/>
      <c r="AE3049" s="75" t="n"/>
      <c r="AF3049" s="75" t="n"/>
    </row>
    <row r="3050" ht="15.75" customHeight="1" s="133">
      <c r="A3050" s="75" t="n"/>
      <c r="B3050" s="75" t="n"/>
      <c r="C3050" s="75" t="n"/>
      <c r="D3050" s="75" t="n"/>
      <c r="E3050" s="76" t="n"/>
      <c r="F3050" s="77" t="n"/>
      <c r="G3050" s="75" t="n"/>
      <c r="H3050" s="75">
        <f>IF(ISBLANK(E3050),"",IF(OR(D3050="Butterfly",D3050="Butterfly ",D3050="Iron Fly", D3050="Iron Fly "),LEN(E3050)-LEN(SUBSTITUTE(E3050,"/",""))+2,LEN(E3050)-LEN(SUBSTITUTE(E3050,"/",""))+1))</f>
        <v/>
      </c>
      <c r="I3050" s="78">
        <f>IF(ISBLANK(G3050),"",IF(D3050="Stock","0",Key!$A$3*H3050*G3050))</f>
        <v/>
      </c>
      <c r="J3050" s="78">
        <f>IF(ISBLANK(E3050),"",IF(ISNUMBER(SEARCH("/",E3050)), IF(LEN(E3050)-LEN(SUBSTITUTE(E3050,"/",""))=1,(RIGHT(E3050,LEN(E3050)-FIND("/",E3050)))-(LEFT(E3050,FIND("/",E3050)-1)),(MID(E3050, SEARCH("/",E3050) + 1, SEARCH("/",E3050, SEARCH("/",E3050)+1) - SEARCH("/",E3050) - 1))-(LEFT(E3050,FIND("/",E3050)-1))), "NA"))</f>
        <v/>
      </c>
      <c r="K3050" s="79">
        <f>IF(A3050&lt;&gt;"", IF(ISBLANK(L3050), TODAY(), K3050), "")</f>
        <v/>
      </c>
      <c r="L3050" s="78" t="n"/>
      <c r="M3050" s="78">
        <f>IF(ISBLANK(L3050),"",IF(D3050="Stock",IF(C3050="Buy",L3050*G3050,IF(C3050="Sell",(L3050*G3050)-I3050, X)),IF(C3050="Buy",(L3050*G3050*100)+I3050,IF(C3050="Sell",(L3050*G3050*100)-I3050, X))))</f>
        <v/>
      </c>
      <c r="N3050" s="78">
        <f>IF(ISBLANK(L3050),"",IF(AND(C3050="Sell",D3050="Stock"),M3050,IF(ISBLANK(L3050),"",IF(C3050="Buy",M3050, IF(AND(C3050="Sell",J3050="NA"),(E3050*G3050*100*0.1)+I3050, IF(C3050="Sell",(J3050-L3050)*(100*G3050)+I3050))))))</f>
        <v/>
      </c>
      <c r="O3050" s="75" t="n"/>
      <c r="P3050" s="75" t="n"/>
      <c r="Q3050" s="75">
        <f>IF(ISBLANK(P3050),"",IF(D3050="Stock",P3050*G3050,IF(P3050=0,"0",G3050*P3050*100-(G3050*$AF$14))))</f>
        <v/>
      </c>
      <c r="R3050" s="79">
        <f>IF(P3050&lt;&gt;"", TODAY(), "")</f>
        <v/>
      </c>
      <c r="S3050" s="78">
        <f>IF(AND(K3050&lt;&gt;"", R3050&lt;&gt;""), R3050-K3050, "")</f>
        <v/>
      </c>
      <c r="T3050" s="78" t="n"/>
      <c r="U3050" s="92">
        <f>IF(ISBLANK(P3050),"",IF(C3050="Buy",Q3050-M3050+T3050, IF(C3050="Sell",M3050-Q3050-T3050, X)))</f>
        <v/>
      </c>
      <c r="V3050" s="81">
        <f>IF(ISBLANK(P3050),"",U3050/N3050)</f>
        <v/>
      </c>
      <c r="W3050" s="81">
        <f>IF(ISBLANK(P3050),"",IF(S3050=0,(365/0.5)*V3050,(365/S3050)*V3050))</f>
        <v/>
      </c>
      <c r="X3050" s="75" t="n"/>
      <c r="Y3050" s="77" t="n"/>
      <c r="Z3050" s="77" t="n"/>
      <c r="AA3050" s="75" t="n"/>
      <c r="AB3050" s="75" t="n"/>
      <c r="AC3050" s="6" t="n"/>
      <c r="AD3050" s="75" t="n"/>
      <c r="AE3050" s="75" t="n"/>
      <c r="AF3050" s="75" t="n"/>
    </row>
    <row r="3051" ht="15.75" customHeight="1" s="133">
      <c r="A3051" s="75" t="n"/>
      <c r="B3051" s="75" t="n"/>
      <c r="C3051" s="75" t="n"/>
      <c r="D3051" s="75" t="n"/>
      <c r="E3051" s="76" t="n"/>
      <c r="F3051" s="77" t="n"/>
      <c r="G3051" s="75" t="n"/>
      <c r="H3051" s="75">
        <f>IF(ISBLANK(E3051),"",IF(OR(D3051="Butterfly",D3051="Butterfly ",D3051="Iron Fly", D3051="Iron Fly "),LEN(E3051)-LEN(SUBSTITUTE(E3051,"/",""))+2,LEN(E3051)-LEN(SUBSTITUTE(E3051,"/",""))+1))</f>
        <v/>
      </c>
      <c r="I3051" s="78">
        <f>IF(ISBLANK(G3051),"",IF(D3051="Stock","0",Key!$A$3*H3051*G3051))</f>
        <v/>
      </c>
      <c r="J3051" s="78">
        <f>IF(ISBLANK(E3051),"",IF(ISNUMBER(SEARCH("/",E3051)), IF(LEN(E3051)-LEN(SUBSTITUTE(E3051,"/",""))=1,(RIGHT(E3051,LEN(E3051)-FIND("/",E3051)))-(LEFT(E3051,FIND("/",E3051)-1)),(MID(E3051, SEARCH("/",E3051) + 1, SEARCH("/",E3051, SEARCH("/",E3051)+1) - SEARCH("/",E3051) - 1))-(LEFT(E3051,FIND("/",E3051)-1))), "NA"))</f>
        <v/>
      </c>
      <c r="K3051" s="79">
        <f>IF(A3051&lt;&gt;"", IF(ISBLANK(L3051), TODAY(), K3051), "")</f>
        <v/>
      </c>
      <c r="L3051" s="78" t="n"/>
      <c r="M3051" s="78">
        <f>IF(ISBLANK(L3051),"",IF(D3051="Stock",IF(C3051="Buy",L3051*G3051,IF(C3051="Sell",(L3051*G3051)-I3051, X)),IF(C3051="Buy",(L3051*G3051*100)+I3051,IF(C3051="Sell",(L3051*G3051*100)-I3051, X))))</f>
        <v/>
      </c>
      <c r="N3051" s="78">
        <f>IF(ISBLANK(L3051),"",IF(AND(C3051="Sell",D3051="Stock"),M3051,IF(ISBLANK(L3051),"",IF(C3051="Buy",M3051, IF(AND(C3051="Sell",J3051="NA"),(E3051*G3051*100*0.1)+I3051, IF(C3051="Sell",(J3051-L3051)*(100*G3051)+I3051))))))</f>
        <v/>
      </c>
      <c r="O3051" s="75" t="n"/>
      <c r="P3051" s="75" t="n"/>
      <c r="Q3051" s="75">
        <f>IF(ISBLANK(P3051),"",IF(D3051="Stock",P3051*G3051,IF(P3051=0,"0",G3051*P3051*100-(G3051*$AF$14))))</f>
        <v/>
      </c>
      <c r="R3051" s="79">
        <f>IF(P3051&lt;&gt;"", TODAY(), "")</f>
        <v/>
      </c>
      <c r="S3051" s="78">
        <f>IF(AND(K3051&lt;&gt;"", R3051&lt;&gt;""), R3051-K3051, "")</f>
        <v/>
      </c>
      <c r="T3051" s="78" t="n"/>
      <c r="U3051" s="92">
        <f>IF(ISBLANK(P3051),"",IF(C3051="Buy",Q3051-M3051+T3051, IF(C3051="Sell",M3051-Q3051-T3051, X)))</f>
        <v/>
      </c>
      <c r="V3051" s="81">
        <f>IF(ISBLANK(P3051),"",U3051/N3051)</f>
        <v/>
      </c>
      <c r="W3051" s="81">
        <f>IF(ISBLANK(P3051),"",IF(S3051=0,(365/0.5)*V3051,(365/S3051)*V3051))</f>
        <v/>
      </c>
      <c r="X3051" s="75" t="n"/>
      <c r="Y3051" s="77" t="n"/>
      <c r="Z3051" s="77" t="n"/>
      <c r="AA3051" s="75" t="n"/>
      <c r="AB3051" s="75" t="n"/>
      <c r="AC3051" s="6" t="n"/>
      <c r="AD3051" s="75" t="n"/>
      <c r="AE3051" s="75" t="n"/>
      <c r="AF3051" s="75" t="n"/>
    </row>
    <row r="3052" ht="15.75" customHeight="1" s="133">
      <c r="A3052" s="75" t="n"/>
      <c r="B3052" s="75" t="n"/>
      <c r="C3052" s="75" t="n"/>
      <c r="D3052" s="75" t="n"/>
      <c r="E3052" s="76" t="n"/>
      <c r="F3052" s="77" t="n"/>
      <c r="G3052" s="75" t="n"/>
      <c r="H3052" s="75">
        <f>IF(ISBLANK(E3052),"",IF(OR(D3052="Butterfly",D3052="Butterfly ",D3052="Iron Fly", D3052="Iron Fly "),LEN(E3052)-LEN(SUBSTITUTE(E3052,"/",""))+2,LEN(E3052)-LEN(SUBSTITUTE(E3052,"/",""))+1))</f>
        <v/>
      </c>
      <c r="I3052" s="78">
        <f>IF(ISBLANK(G3052),"",IF(D3052="Stock","0",Key!$A$3*H3052*G3052))</f>
        <v/>
      </c>
      <c r="J3052" s="78">
        <f>IF(ISBLANK(E3052),"",IF(ISNUMBER(SEARCH("/",E3052)), IF(LEN(E3052)-LEN(SUBSTITUTE(E3052,"/",""))=1,(RIGHT(E3052,LEN(E3052)-FIND("/",E3052)))-(LEFT(E3052,FIND("/",E3052)-1)),(MID(E3052, SEARCH("/",E3052) + 1, SEARCH("/",E3052, SEARCH("/",E3052)+1) - SEARCH("/",E3052) - 1))-(LEFT(E3052,FIND("/",E3052)-1))), "NA"))</f>
        <v/>
      </c>
      <c r="K3052" s="79">
        <f>IF(A3052&lt;&gt;"", IF(ISBLANK(L3052), TODAY(), K3052), "")</f>
        <v/>
      </c>
      <c r="L3052" s="78" t="n"/>
      <c r="M3052" s="78">
        <f>IF(ISBLANK(L3052),"",IF(D3052="Stock",IF(C3052="Buy",L3052*G3052,IF(C3052="Sell",(L3052*G3052)-I3052, X)),IF(C3052="Buy",(L3052*G3052*100)+I3052,IF(C3052="Sell",(L3052*G3052*100)-I3052, X))))</f>
        <v/>
      </c>
      <c r="N3052" s="78">
        <f>IF(ISBLANK(L3052),"",IF(AND(C3052="Sell",D3052="Stock"),M3052,IF(ISBLANK(L3052),"",IF(C3052="Buy",M3052, IF(AND(C3052="Sell",J3052="NA"),(E3052*G3052*100*0.1)+I3052, IF(C3052="Sell",(J3052-L3052)*(100*G3052)+I3052))))))</f>
        <v/>
      </c>
      <c r="O3052" s="75" t="n"/>
      <c r="P3052" s="75" t="n"/>
      <c r="Q3052" s="75">
        <f>IF(ISBLANK(P3052),"",IF(D3052="Stock",P3052*G3052,IF(P3052=0,"0",G3052*P3052*100-(G3052*$AF$14))))</f>
        <v/>
      </c>
      <c r="R3052" s="79">
        <f>IF(P3052&lt;&gt;"", TODAY(), "")</f>
        <v/>
      </c>
      <c r="S3052" s="78">
        <f>IF(AND(K3052&lt;&gt;"", R3052&lt;&gt;""), R3052-K3052, "")</f>
        <v/>
      </c>
      <c r="T3052" s="78" t="n"/>
      <c r="U3052" s="92">
        <f>IF(ISBLANK(P3052),"",IF(C3052="Buy",Q3052-M3052+T3052, IF(C3052="Sell",M3052-Q3052-T3052, X)))</f>
        <v/>
      </c>
      <c r="V3052" s="81">
        <f>IF(ISBLANK(P3052),"",U3052/N3052)</f>
        <v/>
      </c>
      <c r="W3052" s="81">
        <f>IF(ISBLANK(P3052),"",IF(S3052=0,(365/0.5)*V3052,(365/S3052)*V3052))</f>
        <v/>
      </c>
      <c r="X3052" s="75" t="n"/>
      <c r="Y3052" s="77" t="n"/>
      <c r="Z3052" s="77" t="n"/>
      <c r="AA3052" s="75" t="n"/>
      <c r="AB3052" s="75" t="n"/>
      <c r="AC3052" s="6" t="n"/>
      <c r="AD3052" s="75" t="n"/>
      <c r="AE3052" s="75" t="n"/>
      <c r="AF3052" s="75" t="n"/>
    </row>
    <row r="3053" ht="15.75" customHeight="1" s="133">
      <c r="A3053" s="75" t="n"/>
      <c r="B3053" s="75" t="n"/>
      <c r="C3053" s="75" t="n"/>
      <c r="D3053" s="75" t="n"/>
      <c r="E3053" s="76" t="n"/>
      <c r="F3053" s="77" t="n"/>
      <c r="G3053" s="75" t="n"/>
      <c r="H3053" s="75">
        <f>IF(ISBLANK(E3053),"",IF(OR(D3053="Butterfly",D3053="Butterfly ",D3053="Iron Fly", D3053="Iron Fly "),LEN(E3053)-LEN(SUBSTITUTE(E3053,"/",""))+2,LEN(E3053)-LEN(SUBSTITUTE(E3053,"/",""))+1))</f>
        <v/>
      </c>
      <c r="I3053" s="78">
        <f>IF(ISBLANK(G3053),"",IF(D3053="Stock","0",Key!$A$3*H3053*G3053))</f>
        <v/>
      </c>
      <c r="J3053" s="78">
        <f>IF(ISBLANK(E3053),"",IF(ISNUMBER(SEARCH("/",E3053)), IF(LEN(E3053)-LEN(SUBSTITUTE(E3053,"/",""))=1,(RIGHT(E3053,LEN(E3053)-FIND("/",E3053)))-(LEFT(E3053,FIND("/",E3053)-1)),(MID(E3053, SEARCH("/",E3053) + 1, SEARCH("/",E3053, SEARCH("/",E3053)+1) - SEARCH("/",E3053) - 1))-(LEFT(E3053,FIND("/",E3053)-1))), "NA"))</f>
        <v/>
      </c>
      <c r="K3053" s="79">
        <f>IF(A3053&lt;&gt;"", IF(ISBLANK(L3053), TODAY(), K3053), "")</f>
        <v/>
      </c>
      <c r="L3053" s="78" t="n"/>
      <c r="M3053" s="78">
        <f>IF(ISBLANK(L3053),"",IF(D3053="Stock",IF(C3053="Buy",L3053*G3053,IF(C3053="Sell",(L3053*G3053)-I3053, X)),IF(C3053="Buy",(L3053*G3053*100)+I3053,IF(C3053="Sell",(L3053*G3053*100)-I3053, X))))</f>
        <v/>
      </c>
      <c r="N3053" s="78">
        <f>IF(ISBLANK(L3053),"",IF(AND(C3053="Sell",D3053="Stock"),M3053,IF(ISBLANK(L3053),"",IF(C3053="Buy",M3053, IF(AND(C3053="Sell",J3053="NA"),(E3053*G3053*100*0.1)+I3053, IF(C3053="Sell",(J3053-L3053)*(100*G3053)+I3053))))))</f>
        <v/>
      </c>
      <c r="O3053" s="75" t="n"/>
      <c r="P3053" s="75" t="n"/>
      <c r="Q3053" s="75">
        <f>IF(ISBLANK(P3053),"",IF(D3053="Stock",P3053*G3053,IF(P3053=0,"0",G3053*P3053*100-(G3053*$AF$14))))</f>
        <v/>
      </c>
      <c r="R3053" s="79">
        <f>IF(P3053&lt;&gt;"", TODAY(), "")</f>
        <v/>
      </c>
      <c r="S3053" s="78">
        <f>IF(AND(K3053&lt;&gt;"", R3053&lt;&gt;""), R3053-K3053, "")</f>
        <v/>
      </c>
      <c r="T3053" s="78" t="n"/>
      <c r="U3053" s="92">
        <f>IF(ISBLANK(P3053),"",IF(C3053="Buy",Q3053-M3053+T3053, IF(C3053="Sell",M3053-Q3053-T3053, X)))</f>
        <v/>
      </c>
      <c r="V3053" s="81">
        <f>IF(ISBLANK(P3053),"",U3053/N3053)</f>
        <v/>
      </c>
      <c r="W3053" s="81">
        <f>IF(ISBLANK(P3053),"",IF(S3053=0,(365/0.5)*V3053,(365/S3053)*V3053))</f>
        <v/>
      </c>
      <c r="X3053" s="75" t="n"/>
      <c r="Y3053" s="77" t="n"/>
      <c r="Z3053" s="77" t="n"/>
      <c r="AA3053" s="75" t="n"/>
      <c r="AB3053" s="75" t="n"/>
      <c r="AC3053" s="6" t="n"/>
      <c r="AD3053" s="75" t="n"/>
      <c r="AE3053" s="75" t="n"/>
      <c r="AF3053" s="75" t="n"/>
    </row>
    <row r="3054" ht="15.75" customHeight="1" s="133">
      <c r="A3054" s="75" t="n"/>
      <c r="B3054" s="75" t="n"/>
      <c r="C3054" s="75" t="n"/>
      <c r="D3054" s="75" t="n"/>
      <c r="E3054" s="76" t="n"/>
      <c r="F3054" s="77" t="n"/>
      <c r="G3054" s="75" t="n"/>
      <c r="H3054" s="75">
        <f>IF(ISBLANK(E3054),"",IF(OR(D3054="Butterfly",D3054="Butterfly ",D3054="Iron Fly", D3054="Iron Fly "),LEN(E3054)-LEN(SUBSTITUTE(E3054,"/",""))+2,LEN(E3054)-LEN(SUBSTITUTE(E3054,"/",""))+1))</f>
        <v/>
      </c>
      <c r="I3054" s="78">
        <f>IF(ISBLANK(G3054),"",IF(D3054="Stock","0",Key!$A$3*H3054*G3054))</f>
        <v/>
      </c>
      <c r="J3054" s="78">
        <f>IF(ISBLANK(E3054),"",IF(ISNUMBER(SEARCH("/",E3054)), IF(LEN(E3054)-LEN(SUBSTITUTE(E3054,"/",""))=1,(RIGHT(E3054,LEN(E3054)-FIND("/",E3054)))-(LEFT(E3054,FIND("/",E3054)-1)),(MID(E3054, SEARCH("/",E3054) + 1, SEARCH("/",E3054, SEARCH("/",E3054)+1) - SEARCH("/",E3054) - 1))-(LEFT(E3054,FIND("/",E3054)-1))), "NA"))</f>
        <v/>
      </c>
      <c r="K3054" s="79">
        <f>IF(A3054&lt;&gt;"", IF(ISBLANK(L3054), TODAY(), K3054), "")</f>
        <v/>
      </c>
      <c r="L3054" s="78" t="n"/>
      <c r="M3054" s="78">
        <f>IF(ISBLANK(L3054),"",IF(D3054="Stock",IF(C3054="Buy",L3054*G3054,IF(C3054="Sell",(L3054*G3054)-I3054, X)),IF(C3054="Buy",(L3054*G3054*100)+I3054,IF(C3054="Sell",(L3054*G3054*100)-I3054, X))))</f>
        <v/>
      </c>
      <c r="N3054" s="78">
        <f>IF(ISBLANK(L3054),"",IF(AND(C3054="Sell",D3054="Stock"),M3054,IF(ISBLANK(L3054),"",IF(C3054="Buy",M3054, IF(AND(C3054="Sell",J3054="NA"),(E3054*G3054*100*0.1)+I3054, IF(C3054="Sell",(J3054-L3054)*(100*G3054)+I3054))))))</f>
        <v/>
      </c>
      <c r="O3054" s="75" t="n"/>
      <c r="P3054" s="75" t="n"/>
      <c r="Q3054" s="75">
        <f>IF(ISBLANK(P3054),"",IF(D3054="Stock",P3054*G3054,IF(P3054=0,"0",G3054*P3054*100-(G3054*$AF$14))))</f>
        <v/>
      </c>
      <c r="R3054" s="79">
        <f>IF(P3054&lt;&gt;"", TODAY(), "")</f>
        <v/>
      </c>
      <c r="S3054" s="78">
        <f>IF(AND(K3054&lt;&gt;"", R3054&lt;&gt;""), R3054-K3054, "")</f>
        <v/>
      </c>
      <c r="T3054" s="78" t="n"/>
      <c r="U3054" s="92">
        <f>IF(ISBLANK(P3054),"",IF(C3054="Buy",Q3054-M3054+T3054, IF(C3054="Sell",M3054-Q3054-T3054, X)))</f>
        <v/>
      </c>
      <c r="V3054" s="81">
        <f>IF(ISBLANK(P3054),"",U3054/N3054)</f>
        <v/>
      </c>
      <c r="W3054" s="81">
        <f>IF(ISBLANK(P3054),"",IF(S3054=0,(365/0.5)*V3054,(365/S3054)*V3054))</f>
        <v/>
      </c>
      <c r="X3054" s="75" t="n"/>
      <c r="Y3054" s="77" t="n"/>
      <c r="Z3054" s="77" t="n"/>
      <c r="AA3054" s="75" t="n"/>
      <c r="AB3054" s="75" t="n"/>
      <c r="AC3054" s="6" t="n"/>
      <c r="AD3054" s="75" t="n"/>
      <c r="AE3054" s="75" t="n"/>
      <c r="AF3054" s="75" t="n"/>
    </row>
    <row r="3055" ht="15.75" customHeight="1" s="133">
      <c r="A3055" s="75" t="n"/>
      <c r="B3055" s="75" t="n"/>
      <c r="C3055" s="75" t="n"/>
      <c r="D3055" s="75" t="n"/>
      <c r="E3055" s="76" t="n"/>
      <c r="F3055" s="77" t="n"/>
      <c r="G3055" s="75" t="n"/>
      <c r="H3055" s="75">
        <f>IF(ISBLANK(E3055),"",IF(OR(D3055="Butterfly",D3055="Butterfly ",D3055="Iron Fly", D3055="Iron Fly "),LEN(E3055)-LEN(SUBSTITUTE(E3055,"/",""))+2,LEN(E3055)-LEN(SUBSTITUTE(E3055,"/",""))+1))</f>
        <v/>
      </c>
      <c r="I3055" s="78">
        <f>IF(ISBLANK(G3055),"",IF(D3055="Stock","0",Key!$A$3*H3055*G3055))</f>
        <v/>
      </c>
      <c r="J3055" s="78">
        <f>IF(ISBLANK(E3055),"",IF(ISNUMBER(SEARCH("/",E3055)), IF(LEN(E3055)-LEN(SUBSTITUTE(E3055,"/",""))=1,(RIGHT(E3055,LEN(E3055)-FIND("/",E3055)))-(LEFT(E3055,FIND("/",E3055)-1)),(MID(E3055, SEARCH("/",E3055) + 1, SEARCH("/",E3055, SEARCH("/",E3055)+1) - SEARCH("/",E3055) - 1))-(LEFT(E3055,FIND("/",E3055)-1))), "NA"))</f>
        <v/>
      </c>
      <c r="K3055" s="79">
        <f>IF(A3055&lt;&gt;"", IF(ISBLANK(L3055), TODAY(), K3055), "")</f>
        <v/>
      </c>
      <c r="L3055" s="78" t="n"/>
      <c r="M3055" s="78">
        <f>IF(ISBLANK(L3055),"",IF(D3055="Stock",IF(C3055="Buy",L3055*G3055,IF(C3055="Sell",(L3055*G3055)-I3055, X)),IF(C3055="Buy",(L3055*G3055*100)+I3055,IF(C3055="Sell",(L3055*G3055*100)-I3055, X))))</f>
        <v/>
      </c>
      <c r="N3055" s="78">
        <f>IF(ISBLANK(L3055),"",IF(AND(C3055="Sell",D3055="Stock"),M3055,IF(ISBLANK(L3055),"",IF(C3055="Buy",M3055, IF(AND(C3055="Sell",J3055="NA"),(E3055*G3055*100*0.1)+I3055, IF(C3055="Sell",(J3055-L3055)*(100*G3055)+I3055))))))</f>
        <v/>
      </c>
      <c r="O3055" s="75" t="n"/>
      <c r="P3055" s="75" t="n"/>
      <c r="Q3055" s="75">
        <f>IF(ISBLANK(P3055),"",IF(D3055="Stock",P3055*G3055,IF(P3055=0,"0",G3055*P3055*100-(G3055*$AF$14))))</f>
        <v/>
      </c>
      <c r="R3055" s="79">
        <f>IF(P3055&lt;&gt;"", TODAY(), "")</f>
        <v/>
      </c>
      <c r="S3055" s="78">
        <f>IF(AND(K3055&lt;&gt;"", R3055&lt;&gt;""), R3055-K3055, "")</f>
        <v/>
      </c>
      <c r="T3055" s="78" t="n"/>
      <c r="U3055" s="92">
        <f>IF(ISBLANK(P3055),"",IF(C3055="Buy",Q3055-M3055+T3055, IF(C3055="Sell",M3055-Q3055-T3055, X)))</f>
        <v/>
      </c>
      <c r="V3055" s="81">
        <f>IF(ISBLANK(P3055),"",U3055/N3055)</f>
        <v/>
      </c>
      <c r="W3055" s="81">
        <f>IF(ISBLANK(P3055),"",IF(S3055=0,(365/0.5)*V3055,(365/S3055)*V3055))</f>
        <v/>
      </c>
      <c r="X3055" s="75" t="n"/>
      <c r="Y3055" s="77" t="n"/>
      <c r="Z3055" s="77" t="n"/>
      <c r="AA3055" s="75" t="n"/>
      <c r="AB3055" s="75" t="n"/>
      <c r="AC3055" s="6" t="n"/>
      <c r="AD3055" s="75" t="n"/>
      <c r="AE3055" s="75" t="n"/>
      <c r="AF3055" s="75" t="n"/>
    </row>
    <row r="3056" ht="15.75" customHeight="1" s="133">
      <c r="A3056" s="75" t="n"/>
      <c r="B3056" s="75" t="n"/>
      <c r="C3056" s="75" t="n"/>
      <c r="D3056" s="75" t="n"/>
      <c r="E3056" s="76" t="n"/>
      <c r="F3056" s="77" t="n"/>
      <c r="G3056" s="75" t="n"/>
      <c r="H3056" s="75">
        <f>IF(ISBLANK(E3056),"",IF(OR(D3056="Butterfly",D3056="Butterfly ",D3056="Iron Fly", D3056="Iron Fly "),LEN(E3056)-LEN(SUBSTITUTE(E3056,"/",""))+2,LEN(E3056)-LEN(SUBSTITUTE(E3056,"/",""))+1))</f>
        <v/>
      </c>
      <c r="I3056" s="78">
        <f>IF(ISBLANK(G3056),"",IF(D3056="Stock","0",Key!$A$3*H3056*G3056))</f>
        <v/>
      </c>
      <c r="J3056" s="78">
        <f>IF(ISBLANK(E3056),"",IF(ISNUMBER(SEARCH("/",E3056)), IF(LEN(E3056)-LEN(SUBSTITUTE(E3056,"/",""))=1,(RIGHT(E3056,LEN(E3056)-FIND("/",E3056)))-(LEFT(E3056,FIND("/",E3056)-1)),(MID(E3056, SEARCH("/",E3056) + 1, SEARCH("/",E3056, SEARCH("/",E3056)+1) - SEARCH("/",E3056) - 1))-(LEFT(E3056,FIND("/",E3056)-1))), "NA"))</f>
        <v/>
      </c>
      <c r="K3056" s="79">
        <f>IF(A3056&lt;&gt;"", IF(ISBLANK(L3056), TODAY(), K3056), "")</f>
        <v/>
      </c>
      <c r="L3056" s="78" t="n"/>
      <c r="M3056" s="78">
        <f>IF(ISBLANK(L3056),"",IF(D3056="Stock",IF(C3056="Buy",L3056*G3056,IF(C3056="Sell",(L3056*G3056)-I3056, X)),IF(C3056="Buy",(L3056*G3056*100)+I3056,IF(C3056="Sell",(L3056*G3056*100)-I3056, X))))</f>
        <v/>
      </c>
      <c r="N3056" s="78">
        <f>IF(ISBLANK(L3056),"",IF(AND(C3056="Sell",D3056="Stock"),M3056,IF(ISBLANK(L3056),"",IF(C3056="Buy",M3056, IF(AND(C3056="Sell",J3056="NA"),(E3056*G3056*100*0.1)+I3056, IF(C3056="Sell",(J3056-L3056)*(100*G3056)+I3056))))))</f>
        <v/>
      </c>
      <c r="O3056" s="75" t="n"/>
      <c r="P3056" s="75" t="n"/>
      <c r="Q3056" s="75">
        <f>IF(ISBLANK(P3056),"",IF(D3056="Stock",P3056*G3056,IF(P3056=0,"0",G3056*P3056*100-(G3056*$AF$14))))</f>
        <v/>
      </c>
      <c r="R3056" s="79">
        <f>IF(P3056&lt;&gt;"", TODAY(), "")</f>
        <v/>
      </c>
      <c r="S3056" s="78">
        <f>IF(AND(K3056&lt;&gt;"", R3056&lt;&gt;""), R3056-K3056, "")</f>
        <v/>
      </c>
      <c r="T3056" s="78" t="n"/>
      <c r="U3056" s="92">
        <f>IF(ISBLANK(P3056),"",IF(C3056="Buy",Q3056-M3056+T3056, IF(C3056="Sell",M3056-Q3056-T3056, X)))</f>
        <v/>
      </c>
      <c r="V3056" s="81">
        <f>IF(ISBLANK(P3056),"",U3056/N3056)</f>
        <v/>
      </c>
      <c r="W3056" s="81">
        <f>IF(ISBLANK(P3056),"",IF(S3056=0,(365/0.5)*V3056,(365/S3056)*V3056))</f>
        <v/>
      </c>
      <c r="X3056" s="75" t="n"/>
      <c r="Y3056" s="77" t="n"/>
      <c r="Z3056" s="77" t="n"/>
      <c r="AA3056" s="75" t="n"/>
      <c r="AB3056" s="75" t="n"/>
      <c r="AC3056" s="6" t="n"/>
      <c r="AD3056" s="75" t="n"/>
      <c r="AE3056" s="75" t="n"/>
      <c r="AF3056" s="75" t="n"/>
    </row>
    <row r="3057" ht="15.75" customHeight="1" s="133">
      <c r="A3057" s="75" t="n"/>
      <c r="B3057" s="75" t="n"/>
      <c r="C3057" s="75" t="n"/>
      <c r="D3057" s="75" t="n"/>
      <c r="E3057" s="76" t="n"/>
      <c r="F3057" s="77" t="n"/>
      <c r="G3057" s="75" t="n"/>
      <c r="H3057" s="75">
        <f>IF(ISBLANK(E3057),"",IF(OR(D3057="Butterfly",D3057="Butterfly ",D3057="Iron Fly", D3057="Iron Fly "),LEN(E3057)-LEN(SUBSTITUTE(E3057,"/",""))+2,LEN(E3057)-LEN(SUBSTITUTE(E3057,"/",""))+1))</f>
        <v/>
      </c>
      <c r="I3057" s="78">
        <f>IF(ISBLANK(G3057),"",IF(D3057="Stock","0",Key!$A$3*H3057*G3057))</f>
        <v/>
      </c>
      <c r="J3057" s="78">
        <f>IF(ISBLANK(E3057),"",IF(ISNUMBER(SEARCH("/",E3057)), IF(LEN(E3057)-LEN(SUBSTITUTE(E3057,"/",""))=1,(RIGHT(E3057,LEN(E3057)-FIND("/",E3057)))-(LEFT(E3057,FIND("/",E3057)-1)),(MID(E3057, SEARCH("/",E3057) + 1, SEARCH("/",E3057, SEARCH("/",E3057)+1) - SEARCH("/",E3057) - 1))-(LEFT(E3057,FIND("/",E3057)-1))), "NA"))</f>
        <v/>
      </c>
      <c r="K3057" s="79">
        <f>IF(A3057&lt;&gt;"", IF(ISBLANK(L3057), TODAY(), K3057), "")</f>
        <v/>
      </c>
      <c r="L3057" s="78" t="n"/>
      <c r="M3057" s="78">
        <f>IF(ISBLANK(L3057),"",IF(D3057="Stock",IF(C3057="Buy",L3057*G3057,IF(C3057="Sell",(L3057*G3057)-I3057, X)),IF(C3057="Buy",(L3057*G3057*100)+I3057,IF(C3057="Sell",(L3057*G3057*100)-I3057, X))))</f>
        <v/>
      </c>
      <c r="N3057" s="78">
        <f>IF(ISBLANK(L3057),"",IF(AND(C3057="Sell",D3057="Stock"),M3057,IF(ISBLANK(L3057),"",IF(C3057="Buy",M3057, IF(AND(C3057="Sell",J3057="NA"),(E3057*G3057*100*0.1)+I3057, IF(C3057="Sell",(J3057-L3057)*(100*G3057)+I3057))))))</f>
        <v/>
      </c>
      <c r="O3057" s="75" t="n"/>
      <c r="P3057" s="75" t="n"/>
      <c r="Q3057" s="75">
        <f>IF(ISBLANK(P3057),"",IF(D3057="Stock",P3057*G3057,IF(P3057=0,"0",G3057*P3057*100-(G3057*$AF$14))))</f>
        <v/>
      </c>
      <c r="R3057" s="79">
        <f>IF(P3057&lt;&gt;"", TODAY(), "")</f>
        <v/>
      </c>
      <c r="S3057" s="78">
        <f>IF(AND(K3057&lt;&gt;"", R3057&lt;&gt;""), R3057-K3057, "")</f>
        <v/>
      </c>
      <c r="T3057" s="78" t="n"/>
      <c r="U3057" s="92">
        <f>IF(ISBLANK(P3057),"",IF(C3057="Buy",Q3057-M3057+T3057, IF(C3057="Sell",M3057-Q3057-T3057, X)))</f>
        <v/>
      </c>
      <c r="V3057" s="81">
        <f>IF(ISBLANK(P3057),"",U3057/N3057)</f>
        <v/>
      </c>
      <c r="W3057" s="81">
        <f>IF(ISBLANK(P3057),"",IF(S3057=0,(365/0.5)*V3057,(365/S3057)*V3057))</f>
        <v/>
      </c>
      <c r="X3057" s="75" t="n"/>
      <c r="Y3057" s="77" t="n"/>
      <c r="Z3057" s="77" t="n"/>
      <c r="AA3057" s="75" t="n"/>
      <c r="AB3057" s="75" t="n"/>
      <c r="AC3057" s="6" t="n"/>
      <c r="AD3057" s="75" t="n"/>
      <c r="AE3057" s="75" t="n"/>
      <c r="AF3057" s="75" t="n"/>
    </row>
    <row r="3058" ht="15.75" customHeight="1" s="133">
      <c r="A3058" s="75" t="n"/>
      <c r="B3058" s="75" t="n"/>
      <c r="C3058" s="75" t="n"/>
      <c r="D3058" s="75" t="n"/>
      <c r="E3058" s="76" t="n"/>
      <c r="F3058" s="77" t="n"/>
      <c r="G3058" s="75" t="n"/>
      <c r="H3058" s="75">
        <f>IF(ISBLANK(E3058),"",IF(OR(D3058="Butterfly",D3058="Butterfly ",D3058="Iron Fly", D3058="Iron Fly "),LEN(E3058)-LEN(SUBSTITUTE(E3058,"/",""))+2,LEN(E3058)-LEN(SUBSTITUTE(E3058,"/",""))+1))</f>
        <v/>
      </c>
      <c r="I3058" s="78">
        <f>IF(ISBLANK(G3058),"",IF(D3058="Stock","0",Key!$A$3*H3058*G3058))</f>
        <v/>
      </c>
      <c r="J3058" s="78">
        <f>IF(ISBLANK(E3058),"",IF(ISNUMBER(SEARCH("/",E3058)), IF(LEN(E3058)-LEN(SUBSTITUTE(E3058,"/",""))=1,(RIGHT(E3058,LEN(E3058)-FIND("/",E3058)))-(LEFT(E3058,FIND("/",E3058)-1)),(MID(E3058, SEARCH("/",E3058) + 1, SEARCH("/",E3058, SEARCH("/",E3058)+1) - SEARCH("/",E3058) - 1))-(LEFT(E3058,FIND("/",E3058)-1))), "NA"))</f>
        <v/>
      </c>
      <c r="K3058" s="79">
        <f>IF(A3058&lt;&gt;"", IF(ISBLANK(L3058), TODAY(), K3058), "")</f>
        <v/>
      </c>
      <c r="L3058" s="78" t="n"/>
      <c r="M3058" s="78">
        <f>IF(ISBLANK(L3058),"",IF(D3058="Stock",IF(C3058="Buy",L3058*G3058,IF(C3058="Sell",(L3058*G3058)-I3058, X)),IF(C3058="Buy",(L3058*G3058*100)+I3058,IF(C3058="Sell",(L3058*G3058*100)-I3058, X))))</f>
        <v/>
      </c>
      <c r="N3058" s="78">
        <f>IF(ISBLANK(L3058),"",IF(AND(C3058="Sell",D3058="Stock"),M3058,IF(ISBLANK(L3058),"",IF(C3058="Buy",M3058, IF(AND(C3058="Sell",J3058="NA"),(E3058*G3058*100*0.1)+I3058, IF(C3058="Sell",(J3058-L3058)*(100*G3058)+I3058))))))</f>
        <v/>
      </c>
      <c r="O3058" s="75" t="n"/>
      <c r="P3058" s="75" t="n"/>
      <c r="Q3058" s="75">
        <f>IF(ISBLANK(P3058),"",IF(D3058="Stock",P3058*G3058,IF(P3058=0,"0",G3058*P3058*100-(G3058*$AF$14))))</f>
        <v/>
      </c>
      <c r="R3058" s="79">
        <f>IF(P3058&lt;&gt;"", TODAY(), "")</f>
        <v/>
      </c>
      <c r="S3058" s="78">
        <f>IF(AND(K3058&lt;&gt;"", R3058&lt;&gt;""), R3058-K3058, "")</f>
        <v/>
      </c>
      <c r="T3058" s="78" t="n"/>
      <c r="U3058" s="92">
        <f>IF(ISBLANK(P3058),"",IF(C3058="Buy",Q3058-M3058+T3058, IF(C3058="Sell",M3058-Q3058-T3058, X)))</f>
        <v/>
      </c>
      <c r="V3058" s="81">
        <f>IF(ISBLANK(P3058),"",U3058/N3058)</f>
        <v/>
      </c>
      <c r="W3058" s="81">
        <f>IF(ISBLANK(P3058),"",IF(S3058=0,(365/0.5)*V3058,(365/S3058)*V3058))</f>
        <v/>
      </c>
      <c r="X3058" s="75" t="n"/>
      <c r="Y3058" s="77" t="n"/>
      <c r="Z3058" s="77" t="n"/>
      <c r="AA3058" s="75" t="n"/>
      <c r="AB3058" s="75" t="n"/>
      <c r="AC3058" s="6" t="n"/>
      <c r="AD3058" s="75" t="n"/>
      <c r="AE3058" s="75" t="n"/>
      <c r="AF3058" s="75" t="n"/>
    </row>
    <row r="3059" ht="15.75" customHeight="1" s="133">
      <c r="A3059" s="75" t="n"/>
      <c r="B3059" s="75" t="n"/>
      <c r="C3059" s="75" t="n"/>
      <c r="D3059" s="75" t="n"/>
      <c r="E3059" s="76" t="n"/>
      <c r="F3059" s="77" t="n"/>
      <c r="G3059" s="75" t="n"/>
      <c r="H3059" s="75">
        <f>IF(ISBLANK(E3059),"",IF(OR(D3059="Butterfly",D3059="Butterfly ",D3059="Iron Fly", D3059="Iron Fly "),LEN(E3059)-LEN(SUBSTITUTE(E3059,"/",""))+2,LEN(E3059)-LEN(SUBSTITUTE(E3059,"/",""))+1))</f>
        <v/>
      </c>
      <c r="I3059" s="78">
        <f>IF(ISBLANK(G3059),"",IF(D3059="Stock","0",Key!$A$3*H3059*G3059))</f>
        <v/>
      </c>
      <c r="J3059" s="78">
        <f>IF(ISBLANK(E3059),"",IF(ISNUMBER(SEARCH("/",E3059)), IF(LEN(E3059)-LEN(SUBSTITUTE(E3059,"/",""))=1,(RIGHT(E3059,LEN(E3059)-FIND("/",E3059)))-(LEFT(E3059,FIND("/",E3059)-1)),(MID(E3059, SEARCH("/",E3059) + 1, SEARCH("/",E3059, SEARCH("/",E3059)+1) - SEARCH("/",E3059) - 1))-(LEFT(E3059,FIND("/",E3059)-1))), "NA"))</f>
        <v/>
      </c>
      <c r="K3059" s="79">
        <f>IF(A3059&lt;&gt;"", IF(ISBLANK(L3059), TODAY(), K3059), "")</f>
        <v/>
      </c>
      <c r="L3059" s="78" t="n"/>
      <c r="M3059" s="78">
        <f>IF(ISBLANK(L3059),"",IF(D3059="Stock",IF(C3059="Buy",L3059*G3059,IF(C3059="Sell",(L3059*G3059)-I3059, X)),IF(C3059="Buy",(L3059*G3059*100)+I3059,IF(C3059="Sell",(L3059*G3059*100)-I3059, X))))</f>
        <v/>
      </c>
      <c r="N3059" s="78">
        <f>IF(ISBLANK(L3059),"",IF(AND(C3059="Sell",D3059="Stock"),M3059,IF(ISBLANK(L3059),"",IF(C3059="Buy",M3059, IF(AND(C3059="Sell",J3059="NA"),(E3059*G3059*100*0.1)+I3059, IF(C3059="Sell",(J3059-L3059)*(100*G3059)+I3059))))))</f>
        <v/>
      </c>
      <c r="O3059" s="75" t="n"/>
      <c r="P3059" s="75" t="n"/>
      <c r="Q3059" s="75">
        <f>IF(ISBLANK(P3059),"",IF(D3059="Stock",P3059*G3059,IF(P3059=0,"0",G3059*P3059*100-(G3059*$AF$14))))</f>
        <v/>
      </c>
      <c r="R3059" s="79">
        <f>IF(P3059&lt;&gt;"", TODAY(), "")</f>
        <v/>
      </c>
      <c r="S3059" s="78">
        <f>IF(AND(K3059&lt;&gt;"", R3059&lt;&gt;""), R3059-K3059, "")</f>
        <v/>
      </c>
      <c r="T3059" s="78" t="n"/>
      <c r="U3059" s="92">
        <f>IF(ISBLANK(P3059),"",IF(C3059="Buy",Q3059-M3059+T3059, IF(C3059="Sell",M3059-Q3059-T3059, X)))</f>
        <v/>
      </c>
      <c r="V3059" s="81">
        <f>IF(ISBLANK(P3059),"",U3059/N3059)</f>
        <v/>
      </c>
      <c r="W3059" s="81">
        <f>IF(ISBLANK(P3059),"",IF(S3059=0,(365/0.5)*V3059,(365/S3059)*V3059))</f>
        <v/>
      </c>
      <c r="X3059" s="75" t="n"/>
      <c r="Y3059" s="77" t="n"/>
      <c r="Z3059" s="77" t="n"/>
      <c r="AA3059" s="75" t="n"/>
      <c r="AB3059" s="75" t="n"/>
      <c r="AC3059" s="6" t="n"/>
      <c r="AD3059" s="75" t="n"/>
      <c r="AE3059" s="75" t="n"/>
      <c r="AF3059" s="75" t="n"/>
    </row>
    <row r="3060" ht="15.75" customHeight="1" s="133">
      <c r="A3060" s="75" t="n"/>
      <c r="B3060" s="75" t="n"/>
      <c r="C3060" s="75" t="n"/>
      <c r="D3060" s="75" t="n"/>
      <c r="E3060" s="76" t="n"/>
      <c r="F3060" s="77" t="n"/>
      <c r="G3060" s="75" t="n"/>
      <c r="H3060" s="75">
        <f>IF(ISBLANK(E3060),"",IF(OR(D3060="Butterfly",D3060="Butterfly ",D3060="Iron Fly", D3060="Iron Fly "),LEN(E3060)-LEN(SUBSTITUTE(E3060,"/",""))+2,LEN(E3060)-LEN(SUBSTITUTE(E3060,"/",""))+1))</f>
        <v/>
      </c>
      <c r="I3060" s="78">
        <f>IF(ISBLANK(G3060),"",IF(D3060="Stock","0",Key!$A$3*H3060*G3060))</f>
        <v/>
      </c>
      <c r="J3060" s="78">
        <f>IF(ISBLANK(E3060),"",IF(ISNUMBER(SEARCH("/",E3060)), IF(LEN(E3060)-LEN(SUBSTITUTE(E3060,"/",""))=1,(RIGHT(E3060,LEN(E3060)-FIND("/",E3060)))-(LEFT(E3060,FIND("/",E3060)-1)),(MID(E3060, SEARCH("/",E3060) + 1, SEARCH("/",E3060, SEARCH("/",E3060)+1) - SEARCH("/",E3060) - 1))-(LEFT(E3060,FIND("/",E3060)-1))), "NA"))</f>
        <v/>
      </c>
      <c r="K3060" s="79">
        <f>IF(A3060&lt;&gt;"", IF(ISBLANK(L3060), TODAY(), K3060), "")</f>
        <v/>
      </c>
      <c r="L3060" s="78" t="n"/>
      <c r="M3060" s="78">
        <f>IF(ISBLANK(L3060),"",IF(D3060="Stock",IF(C3060="Buy",L3060*G3060,IF(C3060="Sell",(L3060*G3060)-I3060, X)),IF(C3060="Buy",(L3060*G3060*100)+I3060,IF(C3060="Sell",(L3060*G3060*100)-I3060, X))))</f>
        <v/>
      </c>
      <c r="N3060" s="78">
        <f>IF(ISBLANK(L3060),"",IF(AND(C3060="Sell",D3060="Stock"),M3060,IF(ISBLANK(L3060),"",IF(C3060="Buy",M3060, IF(AND(C3060="Sell",J3060="NA"),(E3060*G3060*100*0.1)+I3060, IF(C3060="Sell",(J3060-L3060)*(100*G3060)+I3060))))))</f>
        <v/>
      </c>
      <c r="O3060" s="75" t="n"/>
      <c r="P3060" s="75" t="n"/>
      <c r="Q3060" s="75">
        <f>IF(ISBLANK(P3060),"",IF(D3060="Stock",P3060*G3060,IF(P3060=0,"0",G3060*P3060*100-(G3060*$AF$14))))</f>
        <v/>
      </c>
      <c r="R3060" s="79">
        <f>IF(P3060&lt;&gt;"", TODAY(), "")</f>
        <v/>
      </c>
      <c r="S3060" s="78">
        <f>IF(AND(K3060&lt;&gt;"", R3060&lt;&gt;""), R3060-K3060, "")</f>
        <v/>
      </c>
      <c r="T3060" s="78" t="n"/>
      <c r="U3060" s="92">
        <f>IF(ISBLANK(P3060),"",IF(C3060="Buy",Q3060-M3060+T3060, IF(C3060="Sell",M3060-Q3060-T3060, X)))</f>
        <v/>
      </c>
      <c r="V3060" s="81">
        <f>IF(ISBLANK(P3060),"",U3060/N3060)</f>
        <v/>
      </c>
      <c r="W3060" s="81">
        <f>IF(ISBLANK(P3060),"",IF(S3060=0,(365/0.5)*V3060,(365/S3060)*V3060))</f>
        <v/>
      </c>
      <c r="X3060" s="75" t="n"/>
      <c r="Y3060" s="77" t="n"/>
      <c r="Z3060" s="77" t="n"/>
      <c r="AA3060" s="75" t="n"/>
      <c r="AB3060" s="75" t="n"/>
      <c r="AC3060" s="6" t="n"/>
      <c r="AD3060" s="75" t="n"/>
      <c r="AE3060" s="75" t="n"/>
      <c r="AF3060" s="75" t="n"/>
    </row>
    <row r="3061" ht="15.75" customHeight="1" s="133">
      <c r="A3061" s="75" t="n"/>
      <c r="B3061" s="75" t="n"/>
      <c r="C3061" s="75" t="n"/>
      <c r="D3061" s="75" t="n"/>
      <c r="E3061" s="76" t="n"/>
      <c r="F3061" s="77" t="n"/>
      <c r="G3061" s="75" t="n"/>
      <c r="H3061" s="75">
        <f>IF(ISBLANK(E3061),"",IF(OR(D3061="Butterfly",D3061="Butterfly ",D3061="Iron Fly", D3061="Iron Fly "),LEN(E3061)-LEN(SUBSTITUTE(E3061,"/",""))+2,LEN(E3061)-LEN(SUBSTITUTE(E3061,"/",""))+1))</f>
        <v/>
      </c>
      <c r="I3061" s="78">
        <f>IF(ISBLANK(G3061),"",IF(D3061="Stock","0",Key!$A$3*H3061*G3061))</f>
        <v/>
      </c>
      <c r="J3061" s="78">
        <f>IF(ISBLANK(E3061),"",IF(ISNUMBER(SEARCH("/",E3061)), IF(LEN(E3061)-LEN(SUBSTITUTE(E3061,"/",""))=1,(RIGHT(E3061,LEN(E3061)-FIND("/",E3061)))-(LEFT(E3061,FIND("/",E3061)-1)),(MID(E3061, SEARCH("/",E3061) + 1, SEARCH("/",E3061, SEARCH("/",E3061)+1) - SEARCH("/",E3061) - 1))-(LEFT(E3061,FIND("/",E3061)-1))), "NA"))</f>
        <v/>
      </c>
      <c r="K3061" s="79">
        <f>IF(A3061&lt;&gt;"", IF(ISBLANK(L3061), TODAY(), K3061), "")</f>
        <v/>
      </c>
      <c r="L3061" s="78" t="n"/>
      <c r="M3061" s="78">
        <f>IF(ISBLANK(L3061),"",IF(D3061="Stock",IF(C3061="Buy",L3061*G3061,IF(C3061="Sell",(L3061*G3061)-I3061, X)),IF(C3061="Buy",(L3061*G3061*100)+I3061,IF(C3061="Sell",(L3061*G3061*100)-I3061, X))))</f>
        <v/>
      </c>
      <c r="N3061" s="78">
        <f>IF(ISBLANK(L3061),"",IF(AND(C3061="Sell",D3061="Stock"),M3061,IF(ISBLANK(L3061),"",IF(C3061="Buy",M3061, IF(AND(C3061="Sell",J3061="NA"),(E3061*G3061*100*0.1)+I3061, IF(C3061="Sell",(J3061-L3061)*(100*G3061)+I3061))))))</f>
        <v/>
      </c>
      <c r="O3061" s="75" t="n"/>
      <c r="P3061" s="75" t="n"/>
      <c r="Q3061" s="75">
        <f>IF(ISBLANK(P3061),"",IF(D3061="Stock",P3061*G3061,IF(P3061=0,"0",G3061*P3061*100-(G3061*$AF$14))))</f>
        <v/>
      </c>
      <c r="R3061" s="79">
        <f>IF(P3061&lt;&gt;"", TODAY(), "")</f>
        <v/>
      </c>
      <c r="S3061" s="78">
        <f>IF(AND(K3061&lt;&gt;"", R3061&lt;&gt;""), R3061-K3061, "")</f>
        <v/>
      </c>
      <c r="T3061" s="78" t="n"/>
      <c r="U3061" s="92">
        <f>IF(ISBLANK(P3061),"",IF(C3061="Buy",Q3061-M3061+T3061, IF(C3061="Sell",M3061-Q3061-T3061, X)))</f>
        <v/>
      </c>
      <c r="V3061" s="81">
        <f>IF(ISBLANK(P3061),"",U3061/N3061)</f>
        <v/>
      </c>
      <c r="W3061" s="81">
        <f>IF(ISBLANK(P3061),"",IF(S3061=0,(365/0.5)*V3061,(365/S3061)*V3061))</f>
        <v/>
      </c>
      <c r="X3061" s="75" t="n"/>
      <c r="Y3061" s="77" t="n"/>
      <c r="Z3061" s="77" t="n"/>
      <c r="AA3061" s="75" t="n"/>
      <c r="AB3061" s="75" t="n"/>
      <c r="AC3061" s="6" t="n"/>
      <c r="AD3061" s="75" t="n"/>
      <c r="AE3061" s="75" t="n"/>
      <c r="AF3061" s="75" t="n"/>
    </row>
    <row r="3062" ht="15.75" customHeight="1" s="133">
      <c r="A3062" s="75" t="n"/>
      <c r="B3062" s="75" t="n"/>
      <c r="C3062" s="75" t="n"/>
      <c r="D3062" s="75" t="n"/>
      <c r="E3062" s="76" t="n"/>
      <c r="F3062" s="77" t="n"/>
      <c r="G3062" s="75" t="n"/>
      <c r="H3062" s="75">
        <f>IF(ISBLANK(E3062),"",IF(OR(D3062="Butterfly",D3062="Butterfly ",D3062="Iron Fly", D3062="Iron Fly "),LEN(E3062)-LEN(SUBSTITUTE(E3062,"/",""))+2,LEN(E3062)-LEN(SUBSTITUTE(E3062,"/",""))+1))</f>
        <v/>
      </c>
      <c r="I3062" s="78">
        <f>IF(ISBLANK(G3062),"",IF(D3062="Stock","0",Key!$A$3*H3062*G3062))</f>
        <v/>
      </c>
      <c r="J3062" s="78">
        <f>IF(ISBLANK(E3062),"",IF(ISNUMBER(SEARCH("/",E3062)), IF(LEN(E3062)-LEN(SUBSTITUTE(E3062,"/",""))=1,(RIGHT(E3062,LEN(E3062)-FIND("/",E3062)))-(LEFT(E3062,FIND("/",E3062)-1)),(MID(E3062, SEARCH("/",E3062) + 1, SEARCH("/",E3062, SEARCH("/",E3062)+1) - SEARCH("/",E3062) - 1))-(LEFT(E3062,FIND("/",E3062)-1))), "NA"))</f>
        <v/>
      </c>
      <c r="K3062" s="79">
        <f>IF(A3062&lt;&gt;"", IF(ISBLANK(L3062), TODAY(), K3062), "")</f>
        <v/>
      </c>
      <c r="L3062" s="78" t="n"/>
      <c r="M3062" s="78">
        <f>IF(ISBLANK(L3062),"",IF(D3062="Stock",IF(C3062="Buy",L3062*G3062,IF(C3062="Sell",(L3062*G3062)-I3062, X)),IF(C3062="Buy",(L3062*G3062*100)+I3062,IF(C3062="Sell",(L3062*G3062*100)-I3062, X))))</f>
        <v/>
      </c>
      <c r="N3062" s="78">
        <f>IF(ISBLANK(L3062),"",IF(AND(C3062="Sell",D3062="Stock"),M3062,IF(ISBLANK(L3062),"",IF(C3062="Buy",M3062, IF(AND(C3062="Sell",J3062="NA"),(E3062*G3062*100*0.1)+I3062, IF(C3062="Sell",(J3062-L3062)*(100*G3062)+I3062))))))</f>
        <v/>
      </c>
      <c r="O3062" s="75" t="n"/>
      <c r="P3062" s="75" t="n"/>
      <c r="Q3062" s="75">
        <f>IF(ISBLANK(P3062),"",IF(D3062="Stock",P3062*G3062,IF(P3062=0,"0",G3062*P3062*100-(G3062*$AF$14))))</f>
        <v/>
      </c>
      <c r="R3062" s="79">
        <f>IF(P3062&lt;&gt;"", TODAY(), "")</f>
        <v/>
      </c>
      <c r="S3062" s="78">
        <f>IF(AND(K3062&lt;&gt;"", R3062&lt;&gt;""), R3062-K3062, "")</f>
        <v/>
      </c>
      <c r="T3062" s="78" t="n"/>
      <c r="U3062" s="92">
        <f>IF(ISBLANK(P3062),"",IF(C3062="Buy",Q3062-M3062+T3062, IF(C3062="Sell",M3062-Q3062-T3062, X)))</f>
        <v/>
      </c>
      <c r="V3062" s="81">
        <f>IF(ISBLANK(P3062),"",U3062/N3062)</f>
        <v/>
      </c>
      <c r="W3062" s="81">
        <f>IF(ISBLANK(P3062),"",IF(S3062=0,(365/0.5)*V3062,(365/S3062)*V3062))</f>
        <v/>
      </c>
      <c r="X3062" s="75" t="n"/>
      <c r="Y3062" s="77" t="n"/>
      <c r="Z3062" s="77" t="n"/>
      <c r="AA3062" s="75" t="n"/>
      <c r="AB3062" s="75" t="n"/>
      <c r="AC3062" s="6" t="n"/>
      <c r="AD3062" s="75" t="n"/>
      <c r="AE3062" s="75" t="n"/>
      <c r="AF3062" s="75" t="n"/>
    </row>
    <row r="3063" ht="15.75" customHeight="1" s="133">
      <c r="A3063" s="75" t="n"/>
      <c r="B3063" s="75" t="n"/>
      <c r="C3063" s="75" t="n"/>
      <c r="D3063" s="75" t="n"/>
      <c r="E3063" s="76" t="n"/>
      <c r="F3063" s="77" t="n"/>
      <c r="G3063" s="75" t="n"/>
      <c r="H3063" s="75">
        <f>IF(ISBLANK(E3063),"",IF(OR(D3063="Butterfly",D3063="Butterfly ",D3063="Iron Fly", D3063="Iron Fly "),LEN(E3063)-LEN(SUBSTITUTE(E3063,"/",""))+2,LEN(E3063)-LEN(SUBSTITUTE(E3063,"/",""))+1))</f>
        <v/>
      </c>
      <c r="I3063" s="78">
        <f>IF(ISBLANK(G3063),"",IF(D3063="Stock","0",Key!$A$3*H3063*G3063))</f>
        <v/>
      </c>
      <c r="J3063" s="78">
        <f>IF(ISBLANK(E3063),"",IF(ISNUMBER(SEARCH("/",E3063)), IF(LEN(E3063)-LEN(SUBSTITUTE(E3063,"/",""))=1,(RIGHT(E3063,LEN(E3063)-FIND("/",E3063)))-(LEFT(E3063,FIND("/",E3063)-1)),(MID(E3063, SEARCH("/",E3063) + 1, SEARCH("/",E3063, SEARCH("/",E3063)+1) - SEARCH("/",E3063) - 1))-(LEFT(E3063,FIND("/",E3063)-1))), "NA"))</f>
        <v/>
      </c>
      <c r="K3063" s="79">
        <f>IF(A3063&lt;&gt;"", IF(ISBLANK(L3063), TODAY(), K3063), "")</f>
        <v/>
      </c>
      <c r="L3063" s="78" t="n"/>
      <c r="M3063" s="78">
        <f>IF(ISBLANK(L3063),"",IF(D3063="Stock",IF(C3063="Buy",L3063*G3063,IF(C3063="Sell",(L3063*G3063)-I3063, X)),IF(C3063="Buy",(L3063*G3063*100)+I3063,IF(C3063="Sell",(L3063*G3063*100)-I3063, X))))</f>
        <v/>
      </c>
      <c r="N3063" s="78">
        <f>IF(ISBLANK(L3063),"",IF(AND(C3063="Sell",D3063="Stock"),M3063,IF(ISBLANK(L3063),"",IF(C3063="Buy",M3063, IF(AND(C3063="Sell",J3063="NA"),(E3063*G3063*100*0.1)+I3063, IF(C3063="Sell",(J3063-L3063)*(100*G3063)+I3063))))))</f>
        <v/>
      </c>
      <c r="O3063" s="75" t="n"/>
      <c r="P3063" s="75" t="n"/>
      <c r="Q3063" s="75">
        <f>IF(ISBLANK(P3063),"",IF(D3063="Stock",P3063*G3063,IF(P3063=0,"0",G3063*P3063*100-(G3063*$AF$14))))</f>
        <v/>
      </c>
      <c r="R3063" s="79">
        <f>IF(P3063&lt;&gt;"", TODAY(), "")</f>
        <v/>
      </c>
      <c r="S3063" s="78">
        <f>IF(AND(K3063&lt;&gt;"", R3063&lt;&gt;""), R3063-K3063, "")</f>
        <v/>
      </c>
      <c r="T3063" s="78" t="n"/>
      <c r="U3063" s="92">
        <f>IF(ISBLANK(P3063),"",IF(C3063="Buy",Q3063-M3063+T3063, IF(C3063="Sell",M3063-Q3063-T3063, X)))</f>
        <v/>
      </c>
      <c r="V3063" s="81">
        <f>IF(ISBLANK(P3063),"",U3063/N3063)</f>
        <v/>
      </c>
      <c r="W3063" s="81">
        <f>IF(ISBLANK(P3063),"",IF(S3063=0,(365/0.5)*V3063,(365/S3063)*V3063))</f>
        <v/>
      </c>
      <c r="X3063" s="75" t="n"/>
      <c r="Y3063" s="77" t="n"/>
      <c r="Z3063" s="77" t="n"/>
      <c r="AA3063" s="75" t="n"/>
      <c r="AB3063" s="75" t="n"/>
      <c r="AC3063" s="6" t="n"/>
      <c r="AD3063" s="75" t="n"/>
      <c r="AE3063" s="75" t="n"/>
      <c r="AF3063" s="75" t="n"/>
    </row>
    <row r="3064" ht="15.75" customHeight="1" s="133">
      <c r="A3064" s="75" t="n"/>
      <c r="B3064" s="75" t="n"/>
      <c r="C3064" s="75" t="n"/>
      <c r="D3064" s="75" t="n"/>
      <c r="E3064" s="76" t="n"/>
      <c r="F3064" s="77" t="n"/>
      <c r="G3064" s="75" t="n"/>
      <c r="H3064" s="75">
        <f>IF(ISBLANK(E3064),"",IF(OR(D3064="Butterfly",D3064="Butterfly ",D3064="Iron Fly", D3064="Iron Fly "),LEN(E3064)-LEN(SUBSTITUTE(E3064,"/",""))+2,LEN(E3064)-LEN(SUBSTITUTE(E3064,"/",""))+1))</f>
        <v/>
      </c>
      <c r="I3064" s="78">
        <f>IF(ISBLANK(G3064),"",IF(D3064="Stock","0",Key!$A$3*H3064*G3064))</f>
        <v/>
      </c>
      <c r="J3064" s="78">
        <f>IF(ISBLANK(E3064),"",IF(ISNUMBER(SEARCH("/",E3064)), IF(LEN(E3064)-LEN(SUBSTITUTE(E3064,"/",""))=1,(RIGHT(E3064,LEN(E3064)-FIND("/",E3064)))-(LEFT(E3064,FIND("/",E3064)-1)),(MID(E3064, SEARCH("/",E3064) + 1, SEARCH("/",E3064, SEARCH("/",E3064)+1) - SEARCH("/",E3064) - 1))-(LEFT(E3064,FIND("/",E3064)-1))), "NA"))</f>
        <v/>
      </c>
      <c r="K3064" s="79">
        <f>IF(A3064&lt;&gt;"", IF(ISBLANK(L3064), TODAY(), K3064), "")</f>
        <v/>
      </c>
      <c r="L3064" s="78" t="n"/>
      <c r="M3064" s="78">
        <f>IF(ISBLANK(L3064),"",IF(D3064="Stock",IF(C3064="Buy",L3064*G3064,IF(C3064="Sell",(L3064*G3064)-I3064, X)),IF(C3064="Buy",(L3064*G3064*100)+I3064,IF(C3064="Sell",(L3064*G3064*100)-I3064, X))))</f>
        <v/>
      </c>
      <c r="N3064" s="78">
        <f>IF(ISBLANK(L3064),"",IF(AND(C3064="Sell",D3064="Stock"),M3064,IF(ISBLANK(L3064),"",IF(C3064="Buy",M3064, IF(AND(C3064="Sell",J3064="NA"),(E3064*G3064*100*0.1)+I3064, IF(C3064="Sell",(J3064-L3064)*(100*G3064)+I3064))))))</f>
        <v/>
      </c>
      <c r="O3064" s="75" t="n"/>
      <c r="P3064" s="75" t="n"/>
      <c r="Q3064" s="75">
        <f>IF(ISBLANK(P3064),"",IF(D3064="Stock",P3064*G3064,IF(P3064=0,"0",G3064*P3064*100-(G3064*$AF$14))))</f>
        <v/>
      </c>
      <c r="R3064" s="79">
        <f>IF(P3064&lt;&gt;"", TODAY(), "")</f>
        <v/>
      </c>
      <c r="S3064" s="78">
        <f>IF(AND(K3064&lt;&gt;"", R3064&lt;&gt;""), R3064-K3064, "")</f>
        <v/>
      </c>
      <c r="T3064" s="78" t="n"/>
      <c r="U3064" s="92">
        <f>IF(ISBLANK(P3064),"",IF(C3064="Buy",Q3064-M3064+T3064, IF(C3064="Sell",M3064-Q3064-T3064, X)))</f>
        <v/>
      </c>
      <c r="V3064" s="81">
        <f>IF(ISBLANK(P3064),"",U3064/N3064)</f>
        <v/>
      </c>
      <c r="W3064" s="81">
        <f>IF(ISBLANK(P3064),"",IF(S3064=0,(365/0.5)*V3064,(365/S3064)*V3064))</f>
        <v/>
      </c>
      <c r="X3064" s="75" t="n"/>
      <c r="Y3064" s="77" t="n"/>
      <c r="Z3064" s="77" t="n"/>
      <c r="AA3064" s="75" t="n"/>
      <c r="AB3064" s="75" t="n"/>
      <c r="AC3064" s="6" t="n"/>
      <c r="AD3064" s="75" t="n"/>
      <c r="AE3064" s="75" t="n"/>
      <c r="AF3064" s="75" t="n"/>
    </row>
    <row r="3065" ht="15.75" customHeight="1" s="133">
      <c r="A3065" s="75" t="n"/>
      <c r="B3065" s="75" t="n"/>
      <c r="C3065" s="75" t="n"/>
      <c r="D3065" s="75" t="n"/>
      <c r="E3065" s="76" t="n"/>
      <c r="F3065" s="77" t="n"/>
      <c r="G3065" s="75" t="n"/>
      <c r="H3065" s="75">
        <f>IF(ISBLANK(E3065),"",IF(OR(D3065="Butterfly",D3065="Butterfly ",D3065="Iron Fly", D3065="Iron Fly "),LEN(E3065)-LEN(SUBSTITUTE(E3065,"/",""))+2,LEN(E3065)-LEN(SUBSTITUTE(E3065,"/",""))+1))</f>
        <v/>
      </c>
      <c r="I3065" s="78">
        <f>IF(ISBLANK(G3065),"",IF(D3065="Stock","0",Key!$A$3*H3065*G3065))</f>
        <v/>
      </c>
      <c r="J3065" s="78">
        <f>IF(ISBLANK(E3065),"",IF(ISNUMBER(SEARCH("/",E3065)), IF(LEN(E3065)-LEN(SUBSTITUTE(E3065,"/",""))=1,(RIGHT(E3065,LEN(E3065)-FIND("/",E3065)))-(LEFT(E3065,FIND("/",E3065)-1)),(MID(E3065, SEARCH("/",E3065) + 1, SEARCH("/",E3065, SEARCH("/",E3065)+1) - SEARCH("/",E3065) - 1))-(LEFT(E3065,FIND("/",E3065)-1))), "NA"))</f>
        <v/>
      </c>
      <c r="K3065" s="79">
        <f>IF(A3065&lt;&gt;"", IF(ISBLANK(L3065), TODAY(), K3065), "")</f>
        <v/>
      </c>
      <c r="L3065" s="78" t="n"/>
      <c r="M3065" s="78">
        <f>IF(ISBLANK(L3065),"",IF(D3065="Stock",IF(C3065="Buy",L3065*G3065,IF(C3065="Sell",(L3065*G3065)-I3065, X)),IF(C3065="Buy",(L3065*G3065*100)+I3065,IF(C3065="Sell",(L3065*G3065*100)-I3065, X))))</f>
        <v/>
      </c>
      <c r="N3065" s="78">
        <f>IF(ISBLANK(L3065),"",IF(AND(C3065="Sell",D3065="Stock"),M3065,IF(ISBLANK(L3065),"",IF(C3065="Buy",M3065, IF(AND(C3065="Sell",J3065="NA"),(E3065*G3065*100*0.1)+I3065, IF(C3065="Sell",(J3065-L3065)*(100*G3065)+I3065))))))</f>
        <v/>
      </c>
      <c r="O3065" s="75" t="n"/>
      <c r="P3065" s="75" t="n"/>
      <c r="Q3065" s="75">
        <f>IF(ISBLANK(P3065),"",IF(D3065="Stock",P3065*G3065,IF(P3065=0,"0",G3065*P3065*100-(G3065*$AF$14))))</f>
        <v/>
      </c>
      <c r="R3065" s="79">
        <f>IF(P3065&lt;&gt;"", TODAY(), "")</f>
        <v/>
      </c>
      <c r="S3065" s="78">
        <f>IF(AND(K3065&lt;&gt;"", R3065&lt;&gt;""), R3065-K3065, "")</f>
        <v/>
      </c>
      <c r="T3065" s="78" t="n"/>
      <c r="U3065" s="92">
        <f>IF(ISBLANK(P3065),"",IF(C3065="Buy",Q3065-M3065+T3065, IF(C3065="Sell",M3065-Q3065-T3065, X)))</f>
        <v/>
      </c>
      <c r="V3065" s="81">
        <f>IF(ISBLANK(P3065),"",U3065/N3065)</f>
        <v/>
      </c>
      <c r="W3065" s="81">
        <f>IF(ISBLANK(P3065),"",IF(S3065=0,(365/0.5)*V3065,(365/S3065)*V3065))</f>
        <v/>
      </c>
      <c r="X3065" s="75" t="n"/>
      <c r="Y3065" s="77" t="n"/>
      <c r="Z3065" s="77" t="n"/>
      <c r="AA3065" s="75" t="n"/>
      <c r="AB3065" s="75" t="n"/>
      <c r="AC3065" s="6" t="n"/>
      <c r="AD3065" s="75" t="n"/>
      <c r="AE3065" s="75" t="n"/>
      <c r="AF3065" s="75" t="n"/>
    </row>
    <row r="3066" ht="15.75" customHeight="1" s="133">
      <c r="A3066" s="75" t="n"/>
      <c r="B3066" s="75" t="n"/>
      <c r="C3066" s="75" t="n"/>
      <c r="D3066" s="75" t="n"/>
      <c r="E3066" s="76" t="n"/>
      <c r="F3066" s="77" t="n"/>
      <c r="G3066" s="75" t="n"/>
      <c r="H3066" s="75">
        <f>IF(ISBLANK(E3066),"",IF(OR(D3066="Butterfly",D3066="Butterfly ",D3066="Iron Fly", D3066="Iron Fly "),LEN(E3066)-LEN(SUBSTITUTE(E3066,"/",""))+2,LEN(E3066)-LEN(SUBSTITUTE(E3066,"/",""))+1))</f>
        <v/>
      </c>
      <c r="I3066" s="78">
        <f>IF(ISBLANK(G3066),"",IF(D3066="Stock","0",Key!$A$3*H3066*G3066))</f>
        <v/>
      </c>
      <c r="J3066" s="78">
        <f>IF(ISBLANK(E3066),"",IF(ISNUMBER(SEARCH("/",E3066)), IF(LEN(E3066)-LEN(SUBSTITUTE(E3066,"/",""))=1,(RIGHT(E3066,LEN(E3066)-FIND("/",E3066)))-(LEFT(E3066,FIND("/",E3066)-1)),(MID(E3066, SEARCH("/",E3066) + 1, SEARCH("/",E3066, SEARCH("/",E3066)+1) - SEARCH("/",E3066) - 1))-(LEFT(E3066,FIND("/",E3066)-1))), "NA"))</f>
        <v/>
      </c>
      <c r="K3066" s="79">
        <f>IF(A3066&lt;&gt;"", IF(ISBLANK(L3066), TODAY(), K3066), "")</f>
        <v/>
      </c>
      <c r="L3066" s="78" t="n"/>
      <c r="M3066" s="78">
        <f>IF(ISBLANK(L3066),"",IF(D3066="Stock",IF(C3066="Buy",L3066*G3066,IF(C3066="Sell",(L3066*G3066)-I3066, X)),IF(C3066="Buy",(L3066*G3066*100)+I3066,IF(C3066="Sell",(L3066*G3066*100)-I3066, X))))</f>
        <v/>
      </c>
      <c r="N3066" s="78">
        <f>IF(ISBLANK(L3066),"",IF(AND(C3066="Sell",D3066="Stock"),M3066,IF(ISBLANK(L3066),"",IF(C3066="Buy",M3066, IF(AND(C3066="Sell",J3066="NA"),(E3066*G3066*100*0.1)+I3066, IF(C3066="Sell",(J3066-L3066)*(100*G3066)+I3066))))))</f>
        <v/>
      </c>
      <c r="O3066" s="75" t="n"/>
      <c r="P3066" s="75" t="n"/>
      <c r="Q3066" s="75">
        <f>IF(ISBLANK(P3066),"",IF(D3066="Stock",P3066*G3066,IF(P3066=0,"0",G3066*P3066*100-(G3066*$AF$14))))</f>
        <v/>
      </c>
      <c r="R3066" s="79">
        <f>IF(P3066&lt;&gt;"", TODAY(), "")</f>
        <v/>
      </c>
      <c r="S3066" s="78">
        <f>IF(AND(K3066&lt;&gt;"", R3066&lt;&gt;""), R3066-K3066, "")</f>
        <v/>
      </c>
      <c r="T3066" s="78" t="n"/>
      <c r="U3066" s="92">
        <f>IF(ISBLANK(P3066),"",IF(C3066="Buy",Q3066-M3066+T3066, IF(C3066="Sell",M3066-Q3066-T3066, X)))</f>
        <v/>
      </c>
      <c r="V3066" s="81">
        <f>IF(ISBLANK(P3066),"",U3066/N3066)</f>
        <v/>
      </c>
      <c r="W3066" s="81">
        <f>IF(ISBLANK(P3066),"",IF(S3066=0,(365/0.5)*V3066,(365/S3066)*V3066))</f>
        <v/>
      </c>
      <c r="X3066" s="75" t="n"/>
      <c r="Y3066" s="77" t="n"/>
      <c r="Z3066" s="77" t="n"/>
      <c r="AA3066" s="75" t="n"/>
      <c r="AB3066" s="75" t="n"/>
      <c r="AC3066" s="6" t="n"/>
      <c r="AD3066" s="75" t="n"/>
      <c r="AE3066" s="75" t="n"/>
      <c r="AF3066" s="75" t="n"/>
    </row>
    <row r="3067" ht="15.75" customHeight="1" s="133">
      <c r="A3067" s="75" t="n"/>
      <c r="B3067" s="75" t="n"/>
      <c r="C3067" s="75" t="n"/>
      <c r="D3067" s="75" t="n"/>
      <c r="E3067" s="76" t="n"/>
      <c r="F3067" s="77" t="n"/>
      <c r="G3067" s="75" t="n"/>
      <c r="H3067" s="75">
        <f>IF(ISBLANK(E3067),"",IF(OR(D3067="Butterfly",D3067="Butterfly ",D3067="Iron Fly", D3067="Iron Fly "),LEN(E3067)-LEN(SUBSTITUTE(E3067,"/",""))+2,LEN(E3067)-LEN(SUBSTITUTE(E3067,"/",""))+1))</f>
        <v/>
      </c>
      <c r="I3067" s="78">
        <f>IF(ISBLANK(G3067),"",IF(D3067="Stock","0",Key!$A$3*H3067*G3067))</f>
        <v/>
      </c>
      <c r="J3067" s="78">
        <f>IF(ISBLANK(E3067),"",IF(ISNUMBER(SEARCH("/",E3067)), IF(LEN(E3067)-LEN(SUBSTITUTE(E3067,"/",""))=1,(RIGHT(E3067,LEN(E3067)-FIND("/",E3067)))-(LEFT(E3067,FIND("/",E3067)-1)),(MID(E3067, SEARCH("/",E3067) + 1, SEARCH("/",E3067, SEARCH("/",E3067)+1) - SEARCH("/",E3067) - 1))-(LEFT(E3067,FIND("/",E3067)-1))), "NA"))</f>
        <v/>
      </c>
      <c r="K3067" s="79">
        <f>IF(A3067&lt;&gt;"", IF(ISBLANK(L3067), TODAY(), K3067), "")</f>
        <v/>
      </c>
      <c r="L3067" s="78" t="n"/>
      <c r="M3067" s="78">
        <f>IF(ISBLANK(L3067),"",IF(D3067="Stock",IF(C3067="Buy",L3067*G3067,IF(C3067="Sell",(L3067*G3067)-I3067, X)),IF(C3067="Buy",(L3067*G3067*100)+I3067,IF(C3067="Sell",(L3067*G3067*100)-I3067, X))))</f>
        <v/>
      </c>
      <c r="N3067" s="78">
        <f>IF(ISBLANK(L3067),"",IF(AND(C3067="Sell",D3067="Stock"),M3067,IF(ISBLANK(L3067),"",IF(C3067="Buy",M3067, IF(AND(C3067="Sell",J3067="NA"),(E3067*G3067*100*0.1)+I3067, IF(C3067="Sell",(J3067-L3067)*(100*G3067)+I3067))))))</f>
        <v/>
      </c>
      <c r="O3067" s="75" t="n"/>
      <c r="P3067" s="75" t="n"/>
      <c r="Q3067" s="75">
        <f>IF(ISBLANK(P3067),"",IF(D3067="Stock",P3067*G3067,IF(P3067=0,"0",G3067*P3067*100-(G3067*$AF$14))))</f>
        <v/>
      </c>
      <c r="R3067" s="79">
        <f>IF(P3067&lt;&gt;"", TODAY(), "")</f>
        <v/>
      </c>
      <c r="S3067" s="78">
        <f>IF(AND(K3067&lt;&gt;"", R3067&lt;&gt;""), R3067-K3067, "")</f>
        <v/>
      </c>
      <c r="T3067" s="78" t="n"/>
      <c r="U3067" s="92">
        <f>IF(ISBLANK(P3067),"",IF(C3067="Buy",Q3067-M3067+T3067, IF(C3067="Sell",M3067-Q3067-T3067, X)))</f>
        <v/>
      </c>
      <c r="V3067" s="81">
        <f>IF(ISBLANK(P3067),"",U3067/N3067)</f>
        <v/>
      </c>
      <c r="W3067" s="81">
        <f>IF(ISBLANK(P3067),"",IF(S3067=0,(365/0.5)*V3067,(365/S3067)*V3067))</f>
        <v/>
      </c>
      <c r="X3067" s="75" t="n"/>
      <c r="Y3067" s="77" t="n"/>
      <c r="Z3067" s="77" t="n"/>
      <c r="AA3067" s="75" t="n"/>
      <c r="AB3067" s="75" t="n"/>
      <c r="AC3067" s="6" t="n"/>
      <c r="AD3067" s="75" t="n"/>
      <c r="AE3067" s="75" t="n"/>
      <c r="AF3067" s="75" t="n"/>
    </row>
    <row r="3068" ht="15.75" customHeight="1" s="133">
      <c r="A3068" s="75" t="n"/>
      <c r="B3068" s="75" t="n"/>
      <c r="C3068" s="75" t="n"/>
      <c r="D3068" s="75" t="n"/>
      <c r="E3068" s="76" t="n"/>
      <c r="F3068" s="77" t="n"/>
      <c r="G3068" s="75" t="n"/>
      <c r="H3068" s="75">
        <f>IF(ISBLANK(E3068),"",IF(OR(D3068="Butterfly",D3068="Butterfly ",D3068="Iron Fly", D3068="Iron Fly "),LEN(E3068)-LEN(SUBSTITUTE(E3068,"/",""))+2,LEN(E3068)-LEN(SUBSTITUTE(E3068,"/",""))+1))</f>
        <v/>
      </c>
      <c r="I3068" s="78">
        <f>IF(ISBLANK(G3068),"",IF(D3068="Stock","0",Key!$A$3*H3068*G3068))</f>
        <v/>
      </c>
      <c r="J3068" s="78">
        <f>IF(ISBLANK(E3068),"",IF(ISNUMBER(SEARCH("/",E3068)), IF(LEN(E3068)-LEN(SUBSTITUTE(E3068,"/",""))=1,(RIGHT(E3068,LEN(E3068)-FIND("/",E3068)))-(LEFT(E3068,FIND("/",E3068)-1)),(MID(E3068, SEARCH("/",E3068) + 1, SEARCH("/",E3068, SEARCH("/",E3068)+1) - SEARCH("/",E3068) - 1))-(LEFT(E3068,FIND("/",E3068)-1))), "NA"))</f>
        <v/>
      </c>
      <c r="K3068" s="79">
        <f>IF(A3068&lt;&gt;"", IF(ISBLANK(L3068), TODAY(), K3068), "")</f>
        <v/>
      </c>
      <c r="L3068" s="78" t="n"/>
      <c r="M3068" s="78">
        <f>IF(ISBLANK(L3068),"",IF(D3068="Stock",IF(C3068="Buy",L3068*G3068,IF(C3068="Sell",(L3068*G3068)-I3068, X)),IF(C3068="Buy",(L3068*G3068*100)+I3068,IF(C3068="Sell",(L3068*G3068*100)-I3068, X))))</f>
        <v/>
      </c>
      <c r="N3068" s="78">
        <f>IF(ISBLANK(L3068),"",IF(AND(C3068="Sell",D3068="Stock"),M3068,IF(ISBLANK(L3068),"",IF(C3068="Buy",M3068, IF(AND(C3068="Sell",J3068="NA"),(E3068*G3068*100*0.1)+I3068, IF(C3068="Sell",(J3068-L3068)*(100*G3068)+I3068))))))</f>
        <v/>
      </c>
      <c r="O3068" s="75" t="n"/>
      <c r="P3068" s="75" t="n"/>
      <c r="Q3068" s="75">
        <f>IF(ISBLANK(P3068),"",IF(D3068="Stock",P3068*G3068,IF(P3068=0,"0",G3068*P3068*100-(G3068*$AF$14))))</f>
        <v/>
      </c>
      <c r="R3068" s="79">
        <f>IF(P3068&lt;&gt;"", TODAY(), "")</f>
        <v/>
      </c>
      <c r="S3068" s="78">
        <f>IF(AND(K3068&lt;&gt;"", R3068&lt;&gt;""), R3068-K3068, "")</f>
        <v/>
      </c>
      <c r="T3068" s="78" t="n"/>
      <c r="U3068" s="92">
        <f>IF(ISBLANK(P3068),"",IF(C3068="Buy",Q3068-M3068+T3068, IF(C3068="Sell",M3068-Q3068-T3068, X)))</f>
        <v/>
      </c>
      <c r="V3068" s="81">
        <f>IF(ISBLANK(P3068),"",U3068/N3068)</f>
        <v/>
      </c>
      <c r="W3068" s="81">
        <f>IF(ISBLANK(P3068),"",IF(S3068=0,(365/0.5)*V3068,(365/S3068)*V3068))</f>
        <v/>
      </c>
      <c r="X3068" s="75" t="n"/>
      <c r="Y3068" s="77" t="n"/>
      <c r="Z3068" s="77" t="n"/>
      <c r="AA3068" s="75" t="n"/>
      <c r="AB3068" s="75" t="n"/>
      <c r="AC3068" s="6" t="n"/>
      <c r="AD3068" s="75" t="n"/>
      <c r="AE3068" s="75" t="n"/>
      <c r="AF3068" s="75" t="n"/>
    </row>
    <row r="3069" ht="15.75" customHeight="1" s="133">
      <c r="A3069" s="75" t="n"/>
      <c r="B3069" s="75" t="n"/>
      <c r="C3069" s="75" t="n"/>
      <c r="D3069" s="75" t="n"/>
      <c r="E3069" s="76" t="n"/>
      <c r="F3069" s="77" t="n"/>
      <c r="G3069" s="75" t="n"/>
      <c r="H3069" s="75">
        <f>IF(ISBLANK(E3069),"",IF(OR(D3069="Butterfly",D3069="Butterfly ",D3069="Iron Fly", D3069="Iron Fly "),LEN(E3069)-LEN(SUBSTITUTE(E3069,"/",""))+2,LEN(E3069)-LEN(SUBSTITUTE(E3069,"/",""))+1))</f>
        <v/>
      </c>
      <c r="I3069" s="78">
        <f>IF(ISBLANK(G3069),"",IF(D3069="Stock","0",Key!$A$3*H3069*G3069))</f>
        <v/>
      </c>
      <c r="J3069" s="78">
        <f>IF(ISBLANK(E3069),"",IF(ISNUMBER(SEARCH("/",E3069)), IF(LEN(E3069)-LEN(SUBSTITUTE(E3069,"/",""))=1,(RIGHT(E3069,LEN(E3069)-FIND("/",E3069)))-(LEFT(E3069,FIND("/",E3069)-1)),(MID(E3069, SEARCH("/",E3069) + 1, SEARCH("/",E3069, SEARCH("/",E3069)+1) - SEARCH("/",E3069) - 1))-(LEFT(E3069,FIND("/",E3069)-1))), "NA"))</f>
        <v/>
      </c>
      <c r="K3069" s="79">
        <f>IF(A3069&lt;&gt;"", IF(ISBLANK(L3069), TODAY(), K3069), "")</f>
        <v/>
      </c>
      <c r="L3069" s="78" t="n"/>
      <c r="M3069" s="78">
        <f>IF(ISBLANK(L3069),"",IF(D3069="Stock",IF(C3069="Buy",L3069*G3069,IF(C3069="Sell",(L3069*G3069)-I3069, X)),IF(C3069="Buy",(L3069*G3069*100)+I3069,IF(C3069="Sell",(L3069*G3069*100)-I3069, X))))</f>
        <v/>
      </c>
      <c r="N3069" s="78">
        <f>IF(ISBLANK(L3069),"",IF(AND(C3069="Sell",D3069="Stock"),M3069,IF(ISBLANK(L3069),"",IF(C3069="Buy",M3069, IF(AND(C3069="Sell",J3069="NA"),(E3069*G3069*100*0.1)+I3069, IF(C3069="Sell",(J3069-L3069)*(100*G3069)+I3069))))))</f>
        <v/>
      </c>
      <c r="O3069" s="75" t="n"/>
      <c r="P3069" s="75" t="n"/>
      <c r="Q3069" s="75">
        <f>IF(ISBLANK(P3069),"",IF(D3069="Stock",P3069*G3069,IF(P3069=0,"0",G3069*P3069*100-(G3069*$AF$14))))</f>
        <v/>
      </c>
      <c r="R3069" s="79">
        <f>IF(P3069&lt;&gt;"", TODAY(), "")</f>
        <v/>
      </c>
      <c r="S3069" s="78">
        <f>IF(AND(K3069&lt;&gt;"", R3069&lt;&gt;""), R3069-K3069, "")</f>
        <v/>
      </c>
      <c r="T3069" s="78" t="n"/>
      <c r="U3069" s="92">
        <f>IF(ISBLANK(P3069),"",IF(C3069="Buy",Q3069-M3069+T3069, IF(C3069="Sell",M3069-Q3069-T3069, X)))</f>
        <v/>
      </c>
      <c r="V3069" s="81">
        <f>IF(ISBLANK(P3069),"",U3069/N3069)</f>
        <v/>
      </c>
      <c r="W3069" s="81">
        <f>IF(ISBLANK(P3069),"",IF(S3069=0,(365/0.5)*V3069,(365/S3069)*V3069))</f>
        <v/>
      </c>
      <c r="X3069" s="75" t="n"/>
      <c r="Y3069" s="77" t="n"/>
      <c r="Z3069" s="77" t="n"/>
      <c r="AA3069" s="75" t="n"/>
      <c r="AB3069" s="75" t="n"/>
      <c r="AC3069" s="6" t="n"/>
      <c r="AD3069" s="75" t="n"/>
      <c r="AE3069" s="75" t="n"/>
      <c r="AF3069" s="75" t="n"/>
    </row>
    <row r="3070" ht="15.75" customHeight="1" s="133">
      <c r="A3070" s="75" t="n"/>
      <c r="B3070" s="75" t="n"/>
      <c r="C3070" s="75" t="n"/>
      <c r="D3070" s="75" t="n"/>
      <c r="E3070" s="76" t="n"/>
      <c r="F3070" s="77" t="n"/>
      <c r="G3070" s="75" t="n"/>
      <c r="H3070" s="75">
        <f>IF(ISBLANK(E3070),"",IF(OR(D3070="Butterfly",D3070="Butterfly ",D3070="Iron Fly", D3070="Iron Fly "),LEN(E3070)-LEN(SUBSTITUTE(E3070,"/",""))+2,LEN(E3070)-LEN(SUBSTITUTE(E3070,"/",""))+1))</f>
        <v/>
      </c>
      <c r="I3070" s="78">
        <f>IF(ISBLANK(G3070),"",IF(D3070="Stock","0",Key!$A$3*H3070*G3070))</f>
        <v/>
      </c>
      <c r="J3070" s="78">
        <f>IF(ISBLANK(E3070),"",IF(ISNUMBER(SEARCH("/",E3070)), IF(LEN(E3070)-LEN(SUBSTITUTE(E3070,"/",""))=1,(RIGHT(E3070,LEN(E3070)-FIND("/",E3070)))-(LEFT(E3070,FIND("/",E3070)-1)),(MID(E3070, SEARCH("/",E3070) + 1, SEARCH("/",E3070, SEARCH("/",E3070)+1) - SEARCH("/",E3070) - 1))-(LEFT(E3070,FIND("/",E3070)-1))), "NA"))</f>
        <v/>
      </c>
      <c r="K3070" s="79">
        <f>IF(A3070&lt;&gt;"", IF(ISBLANK(L3070), TODAY(), K3070), "")</f>
        <v/>
      </c>
      <c r="L3070" s="78" t="n"/>
      <c r="M3070" s="78">
        <f>IF(ISBLANK(L3070),"",IF(D3070="Stock",IF(C3070="Buy",L3070*G3070,IF(C3070="Sell",(L3070*G3070)-I3070, X)),IF(C3070="Buy",(L3070*G3070*100)+I3070,IF(C3070="Sell",(L3070*G3070*100)-I3070, X))))</f>
        <v/>
      </c>
      <c r="N3070" s="78">
        <f>IF(ISBLANK(L3070),"",IF(AND(C3070="Sell",D3070="Stock"),M3070,IF(ISBLANK(L3070),"",IF(C3070="Buy",M3070, IF(AND(C3070="Sell",J3070="NA"),(E3070*G3070*100*0.1)+I3070, IF(C3070="Sell",(J3070-L3070)*(100*G3070)+I3070))))))</f>
        <v/>
      </c>
      <c r="O3070" s="75" t="n"/>
      <c r="P3070" s="75" t="n"/>
      <c r="Q3070" s="75">
        <f>IF(ISBLANK(P3070),"",IF(D3070="Stock",P3070*G3070,IF(P3070=0,"0",G3070*P3070*100-(G3070*$AF$14))))</f>
        <v/>
      </c>
      <c r="R3070" s="79">
        <f>IF(P3070&lt;&gt;"", TODAY(), "")</f>
        <v/>
      </c>
      <c r="S3070" s="78">
        <f>IF(AND(K3070&lt;&gt;"", R3070&lt;&gt;""), R3070-K3070, "")</f>
        <v/>
      </c>
      <c r="T3070" s="78" t="n"/>
      <c r="U3070" s="92">
        <f>IF(ISBLANK(P3070),"",IF(C3070="Buy",Q3070-M3070+T3070, IF(C3070="Sell",M3070-Q3070-T3070, X)))</f>
        <v/>
      </c>
      <c r="V3070" s="81">
        <f>IF(ISBLANK(P3070),"",U3070/N3070)</f>
        <v/>
      </c>
      <c r="W3070" s="81">
        <f>IF(ISBLANK(P3070),"",IF(S3070=0,(365/0.5)*V3070,(365/S3070)*V3070))</f>
        <v/>
      </c>
      <c r="X3070" s="75" t="n"/>
      <c r="Y3070" s="77" t="n"/>
      <c r="Z3070" s="77" t="n"/>
      <c r="AA3070" s="75" t="n"/>
      <c r="AB3070" s="75" t="n"/>
      <c r="AC3070" s="6" t="n"/>
      <c r="AD3070" s="75" t="n"/>
      <c r="AE3070" s="75" t="n"/>
      <c r="AF3070" s="75" t="n"/>
    </row>
    <row r="3071" ht="15.75" customHeight="1" s="133">
      <c r="A3071" s="75" t="n"/>
      <c r="B3071" s="75" t="n"/>
      <c r="C3071" s="75" t="n"/>
      <c r="D3071" s="75" t="n"/>
      <c r="E3071" s="76" t="n"/>
      <c r="F3071" s="77" t="n"/>
      <c r="G3071" s="75" t="n"/>
      <c r="H3071" s="75">
        <f>IF(ISBLANK(E3071),"",IF(OR(D3071="Butterfly",D3071="Butterfly ",D3071="Iron Fly", D3071="Iron Fly "),LEN(E3071)-LEN(SUBSTITUTE(E3071,"/",""))+2,LEN(E3071)-LEN(SUBSTITUTE(E3071,"/",""))+1))</f>
        <v/>
      </c>
      <c r="I3071" s="78">
        <f>IF(ISBLANK(G3071),"",IF(D3071="Stock","0",Key!$A$3*H3071*G3071))</f>
        <v/>
      </c>
      <c r="J3071" s="78">
        <f>IF(ISBLANK(E3071),"",IF(ISNUMBER(SEARCH("/",E3071)), IF(LEN(E3071)-LEN(SUBSTITUTE(E3071,"/",""))=1,(RIGHT(E3071,LEN(E3071)-FIND("/",E3071)))-(LEFT(E3071,FIND("/",E3071)-1)),(MID(E3071, SEARCH("/",E3071) + 1, SEARCH("/",E3071, SEARCH("/",E3071)+1) - SEARCH("/",E3071) - 1))-(LEFT(E3071,FIND("/",E3071)-1))), "NA"))</f>
        <v/>
      </c>
      <c r="K3071" s="79">
        <f>IF(A3071&lt;&gt;"", IF(ISBLANK(L3071), TODAY(), K3071), "")</f>
        <v/>
      </c>
      <c r="L3071" s="78" t="n"/>
      <c r="M3071" s="78">
        <f>IF(ISBLANK(L3071),"",IF(D3071="Stock",IF(C3071="Buy",L3071*G3071,IF(C3071="Sell",(L3071*G3071)-I3071, X)),IF(C3071="Buy",(L3071*G3071*100)+I3071,IF(C3071="Sell",(L3071*G3071*100)-I3071, X))))</f>
        <v/>
      </c>
      <c r="N3071" s="78">
        <f>IF(ISBLANK(L3071),"",IF(AND(C3071="Sell",D3071="Stock"),M3071,IF(ISBLANK(L3071),"",IF(C3071="Buy",M3071, IF(AND(C3071="Sell",J3071="NA"),(E3071*G3071*100*0.1)+I3071, IF(C3071="Sell",(J3071-L3071)*(100*G3071)+I3071))))))</f>
        <v/>
      </c>
      <c r="O3071" s="75" t="n"/>
      <c r="P3071" s="75" t="n"/>
      <c r="Q3071" s="75">
        <f>IF(ISBLANK(P3071),"",IF(D3071="Stock",P3071*G3071,IF(P3071=0,"0",G3071*P3071*100-(G3071*$AF$14))))</f>
        <v/>
      </c>
      <c r="R3071" s="79">
        <f>IF(P3071&lt;&gt;"", TODAY(), "")</f>
        <v/>
      </c>
      <c r="S3071" s="78">
        <f>IF(AND(K3071&lt;&gt;"", R3071&lt;&gt;""), R3071-K3071, "")</f>
        <v/>
      </c>
      <c r="T3071" s="78" t="n"/>
      <c r="U3071" s="92">
        <f>IF(ISBLANK(P3071),"",IF(C3071="Buy",Q3071-M3071+T3071, IF(C3071="Sell",M3071-Q3071-T3071, X)))</f>
        <v/>
      </c>
      <c r="V3071" s="81">
        <f>IF(ISBLANK(P3071),"",U3071/N3071)</f>
        <v/>
      </c>
      <c r="W3071" s="81">
        <f>IF(ISBLANK(P3071),"",IF(S3071=0,(365/0.5)*V3071,(365/S3071)*V3071))</f>
        <v/>
      </c>
      <c r="X3071" s="75" t="n"/>
      <c r="Y3071" s="77" t="n"/>
      <c r="Z3071" s="77" t="n"/>
      <c r="AA3071" s="75" t="n"/>
      <c r="AB3071" s="75" t="n"/>
      <c r="AC3071" s="6" t="n"/>
      <c r="AD3071" s="75" t="n"/>
      <c r="AE3071" s="75" t="n"/>
      <c r="AF3071" s="75" t="n"/>
    </row>
    <row r="3072" ht="15.75" customHeight="1" s="133">
      <c r="A3072" s="75" t="n"/>
      <c r="B3072" s="75" t="n"/>
      <c r="C3072" s="75" t="n"/>
      <c r="D3072" s="75" t="n"/>
      <c r="E3072" s="76" t="n"/>
      <c r="F3072" s="77" t="n"/>
      <c r="G3072" s="75" t="n"/>
      <c r="H3072" s="75">
        <f>IF(ISBLANK(E3072),"",IF(OR(D3072="Butterfly",D3072="Butterfly ",D3072="Iron Fly", D3072="Iron Fly "),LEN(E3072)-LEN(SUBSTITUTE(E3072,"/",""))+2,LEN(E3072)-LEN(SUBSTITUTE(E3072,"/",""))+1))</f>
        <v/>
      </c>
      <c r="I3072" s="78">
        <f>IF(ISBLANK(G3072),"",IF(D3072="Stock","0",Key!$A$3*H3072*G3072))</f>
        <v/>
      </c>
      <c r="J3072" s="78">
        <f>IF(ISBLANK(E3072),"",IF(ISNUMBER(SEARCH("/",E3072)), IF(LEN(E3072)-LEN(SUBSTITUTE(E3072,"/",""))=1,(RIGHT(E3072,LEN(E3072)-FIND("/",E3072)))-(LEFT(E3072,FIND("/",E3072)-1)),(MID(E3072, SEARCH("/",E3072) + 1, SEARCH("/",E3072, SEARCH("/",E3072)+1) - SEARCH("/",E3072) - 1))-(LEFT(E3072,FIND("/",E3072)-1))), "NA"))</f>
        <v/>
      </c>
      <c r="K3072" s="79">
        <f>IF(A3072&lt;&gt;"", IF(ISBLANK(L3072), TODAY(), K3072), "")</f>
        <v/>
      </c>
      <c r="L3072" s="78" t="n"/>
      <c r="M3072" s="78">
        <f>IF(ISBLANK(L3072),"",IF(D3072="Stock",IF(C3072="Buy",L3072*G3072,IF(C3072="Sell",(L3072*G3072)-I3072, X)),IF(C3072="Buy",(L3072*G3072*100)+I3072,IF(C3072="Sell",(L3072*G3072*100)-I3072, X))))</f>
        <v/>
      </c>
      <c r="N3072" s="78">
        <f>IF(ISBLANK(L3072),"",IF(AND(C3072="Sell",D3072="Stock"),M3072,IF(ISBLANK(L3072),"",IF(C3072="Buy",M3072, IF(AND(C3072="Sell",J3072="NA"),(E3072*G3072*100*0.1)+I3072, IF(C3072="Sell",(J3072-L3072)*(100*G3072)+I3072))))))</f>
        <v/>
      </c>
      <c r="O3072" s="75" t="n"/>
      <c r="P3072" s="75" t="n"/>
      <c r="Q3072" s="75">
        <f>IF(ISBLANK(P3072),"",IF(D3072="Stock",P3072*G3072,IF(P3072=0,"0",G3072*P3072*100-(G3072*$AF$14))))</f>
        <v/>
      </c>
      <c r="R3072" s="79">
        <f>IF(P3072&lt;&gt;"", TODAY(), "")</f>
        <v/>
      </c>
      <c r="S3072" s="78">
        <f>IF(AND(K3072&lt;&gt;"", R3072&lt;&gt;""), R3072-K3072, "")</f>
        <v/>
      </c>
      <c r="T3072" s="78" t="n"/>
      <c r="U3072" s="92">
        <f>IF(ISBLANK(P3072),"",IF(C3072="Buy",Q3072-M3072+T3072, IF(C3072="Sell",M3072-Q3072-T3072, X)))</f>
        <v/>
      </c>
      <c r="V3072" s="81">
        <f>IF(ISBLANK(P3072),"",U3072/N3072)</f>
        <v/>
      </c>
      <c r="W3072" s="81">
        <f>IF(ISBLANK(P3072),"",IF(S3072=0,(365/0.5)*V3072,(365/S3072)*V3072))</f>
        <v/>
      </c>
      <c r="X3072" s="75" t="n"/>
      <c r="Y3072" s="77" t="n"/>
      <c r="Z3072" s="77" t="n"/>
      <c r="AA3072" s="75" t="n"/>
      <c r="AB3072" s="75" t="n"/>
      <c r="AC3072" s="6" t="n"/>
      <c r="AD3072" s="75" t="n"/>
      <c r="AE3072" s="75" t="n"/>
      <c r="AF3072" s="75" t="n"/>
    </row>
    <row r="3073" ht="15.75" customHeight="1" s="133">
      <c r="A3073" s="75" t="n"/>
      <c r="B3073" s="75" t="n"/>
      <c r="C3073" s="75" t="n"/>
      <c r="D3073" s="75" t="n"/>
      <c r="E3073" s="76" t="n"/>
      <c r="F3073" s="77" t="n"/>
      <c r="G3073" s="75" t="n"/>
      <c r="H3073" s="75">
        <f>IF(ISBLANK(E3073),"",IF(OR(D3073="Butterfly",D3073="Butterfly ",D3073="Iron Fly", D3073="Iron Fly "),LEN(E3073)-LEN(SUBSTITUTE(E3073,"/",""))+2,LEN(E3073)-LEN(SUBSTITUTE(E3073,"/",""))+1))</f>
        <v/>
      </c>
      <c r="I3073" s="78">
        <f>IF(ISBLANK(G3073),"",IF(D3073="Stock","0",Key!$A$3*H3073*G3073))</f>
        <v/>
      </c>
      <c r="J3073" s="78">
        <f>IF(ISBLANK(E3073),"",IF(ISNUMBER(SEARCH("/",E3073)), IF(LEN(E3073)-LEN(SUBSTITUTE(E3073,"/",""))=1,(RIGHT(E3073,LEN(E3073)-FIND("/",E3073)))-(LEFT(E3073,FIND("/",E3073)-1)),(MID(E3073, SEARCH("/",E3073) + 1, SEARCH("/",E3073, SEARCH("/",E3073)+1) - SEARCH("/",E3073) - 1))-(LEFT(E3073,FIND("/",E3073)-1))), "NA"))</f>
        <v/>
      </c>
      <c r="K3073" s="79">
        <f>IF(A3073&lt;&gt;"", IF(ISBLANK(L3073), TODAY(), K3073), "")</f>
        <v/>
      </c>
      <c r="L3073" s="78" t="n"/>
      <c r="M3073" s="78">
        <f>IF(ISBLANK(L3073),"",IF(D3073="Stock",IF(C3073="Buy",L3073*G3073,IF(C3073="Sell",(L3073*G3073)-I3073, X)),IF(C3073="Buy",(L3073*G3073*100)+I3073,IF(C3073="Sell",(L3073*G3073*100)-I3073, X))))</f>
        <v/>
      </c>
      <c r="N3073" s="78">
        <f>IF(ISBLANK(L3073),"",IF(AND(C3073="Sell",D3073="Stock"),M3073,IF(ISBLANK(L3073),"",IF(C3073="Buy",M3073, IF(AND(C3073="Sell",J3073="NA"),(E3073*G3073*100*0.1)+I3073, IF(C3073="Sell",(J3073-L3073)*(100*G3073)+I3073))))))</f>
        <v/>
      </c>
      <c r="O3073" s="75" t="n"/>
      <c r="P3073" s="75" t="n"/>
      <c r="Q3073" s="75">
        <f>IF(ISBLANK(P3073),"",IF(D3073="Stock",P3073*G3073,IF(P3073=0,"0",G3073*P3073*100-(G3073*$AF$14))))</f>
        <v/>
      </c>
      <c r="R3073" s="79">
        <f>IF(P3073&lt;&gt;"", TODAY(), "")</f>
        <v/>
      </c>
      <c r="S3073" s="78">
        <f>IF(AND(K3073&lt;&gt;"", R3073&lt;&gt;""), R3073-K3073, "")</f>
        <v/>
      </c>
      <c r="T3073" s="78" t="n"/>
      <c r="U3073" s="92">
        <f>IF(ISBLANK(P3073),"",IF(C3073="Buy",Q3073-M3073+T3073, IF(C3073="Sell",M3073-Q3073-T3073, X)))</f>
        <v/>
      </c>
      <c r="V3073" s="81">
        <f>IF(ISBLANK(P3073),"",U3073/N3073)</f>
        <v/>
      </c>
      <c r="W3073" s="81">
        <f>IF(ISBLANK(P3073),"",IF(S3073=0,(365/0.5)*V3073,(365/S3073)*V3073))</f>
        <v/>
      </c>
      <c r="X3073" s="75" t="n"/>
      <c r="Y3073" s="77" t="n"/>
      <c r="Z3073" s="77" t="n"/>
      <c r="AA3073" s="75" t="n"/>
      <c r="AB3073" s="75" t="n"/>
      <c r="AC3073" s="6" t="n"/>
      <c r="AD3073" s="75" t="n"/>
      <c r="AE3073" s="75" t="n"/>
      <c r="AF3073" s="75" t="n"/>
    </row>
    <row r="3074" ht="15.75" customHeight="1" s="133">
      <c r="A3074" s="75" t="n"/>
      <c r="B3074" s="75" t="n"/>
      <c r="C3074" s="75" t="n"/>
      <c r="D3074" s="75" t="n"/>
      <c r="E3074" s="76" t="n"/>
      <c r="F3074" s="77" t="n"/>
      <c r="G3074" s="75" t="n"/>
      <c r="H3074" s="75">
        <f>IF(ISBLANK(E3074),"",IF(OR(D3074="Butterfly",D3074="Butterfly ",D3074="Iron Fly", D3074="Iron Fly "),LEN(E3074)-LEN(SUBSTITUTE(E3074,"/",""))+2,LEN(E3074)-LEN(SUBSTITUTE(E3074,"/",""))+1))</f>
        <v/>
      </c>
      <c r="I3074" s="78">
        <f>IF(ISBLANK(G3074),"",IF(D3074="Stock","0",Key!$A$3*H3074*G3074))</f>
        <v/>
      </c>
      <c r="J3074" s="78">
        <f>IF(ISBLANK(E3074),"",IF(ISNUMBER(SEARCH("/",E3074)), IF(LEN(E3074)-LEN(SUBSTITUTE(E3074,"/",""))=1,(RIGHT(E3074,LEN(E3074)-FIND("/",E3074)))-(LEFT(E3074,FIND("/",E3074)-1)),(MID(E3074, SEARCH("/",E3074) + 1, SEARCH("/",E3074, SEARCH("/",E3074)+1) - SEARCH("/",E3074) - 1))-(LEFT(E3074,FIND("/",E3074)-1))), "NA"))</f>
        <v/>
      </c>
      <c r="K3074" s="79">
        <f>IF(A3074&lt;&gt;"", IF(ISBLANK(L3074), TODAY(), K3074), "")</f>
        <v/>
      </c>
      <c r="L3074" s="78" t="n"/>
      <c r="M3074" s="78">
        <f>IF(ISBLANK(L3074),"",IF(D3074="Stock",IF(C3074="Buy",L3074*G3074,IF(C3074="Sell",(L3074*G3074)-I3074, X)),IF(C3074="Buy",(L3074*G3074*100)+I3074,IF(C3074="Sell",(L3074*G3074*100)-I3074, X))))</f>
        <v/>
      </c>
      <c r="N3074" s="78">
        <f>IF(ISBLANK(L3074),"",IF(AND(C3074="Sell",D3074="Stock"),M3074,IF(ISBLANK(L3074),"",IF(C3074="Buy",M3074, IF(AND(C3074="Sell",J3074="NA"),(E3074*G3074*100*0.1)+I3074, IF(C3074="Sell",(J3074-L3074)*(100*G3074)+I3074))))))</f>
        <v/>
      </c>
      <c r="O3074" s="75" t="n"/>
      <c r="P3074" s="75" t="n"/>
      <c r="Q3074" s="75">
        <f>IF(ISBLANK(P3074),"",IF(D3074="Stock",P3074*G3074,IF(P3074=0,"0",G3074*P3074*100-(G3074*$AF$14))))</f>
        <v/>
      </c>
      <c r="R3074" s="79">
        <f>IF(P3074&lt;&gt;"", TODAY(), "")</f>
        <v/>
      </c>
      <c r="S3074" s="78">
        <f>IF(AND(K3074&lt;&gt;"", R3074&lt;&gt;""), R3074-K3074, "")</f>
        <v/>
      </c>
      <c r="T3074" s="78" t="n"/>
      <c r="U3074" s="92">
        <f>IF(ISBLANK(P3074),"",IF(C3074="Buy",Q3074-M3074+T3074, IF(C3074="Sell",M3074-Q3074-T3074, X)))</f>
        <v/>
      </c>
      <c r="V3074" s="81">
        <f>IF(ISBLANK(P3074),"",U3074/N3074)</f>
        <v/>
      </c>
      <c r="W3074" s="81">
        <f>IF(ISBLANK(P3074),"",IF(S3074=0,(365/0.5)*V3074,(365/S3074)*V3074))</f>
        <v/>
      </c>
      <c r="X3074" s="75" t="n"/>
      <c r="Y3074" s="77" t="n"/>
      <c r="Z3074" s="77" t="n"/>
      <c r="AA3074" s="75" t="n"/>
      <c r="AB3074" s="75" t="n"/>
      <c r="AC3074" s="6" t="n"/>
      <c r="AD3074" s="75" t="n"/>
      <c r="AE3074" s="75" t="n"/>
      <c r="AF3074" s="75" t="n"/>
    </row>
    <row r="3075" ht="15.75" customHeight="1" s="133">
      <c r="A3075" s="75" t="n"/>
      <c r="B3075" s="75" t="n"/>
      <c r="C3075" s="75" t="n"/>
      <c r="D3075" s="75" t="n"/>
      <c r="E3075" s="76" t="n"/>
      <c r="F3075" s="77" t="n"/>
      <c r="G3075" s="75" t="n"/>
      <c r="H3075" s="75">
        <f>IF(ISBLANK(E3075),"",IF(OR(D3075="Butterfly",D3075="Butterfly ",D3075="Iron Fly", D3075="Iron Fly "),LEN(E3075)-LEN(SUBSTITUTE(E3075,"/",""))+2,LEN(E3075)-LEN(SUBSTITUTE(E3075,"/",""))+1))</f>
        <v/>
      </c>
      <c r="I3075" s="78">
        <f>IF(ISBLANK(G3075),"",IF(D3075="Stock","0",Key!$A$3*H3075*G3075))</f>
        <v/>
      </c>
      <c r="J3075" s="78">
        <f>IF(ISBLANK(E3075),"",IF(ISNUMBER(SEARCH("/",E3075)), IF(LEN(E3075)-LEN(SUBSTITUTE(E3075,"/",""))=1,(RIGHT(E3075,LEN(E3075)-FIND("/",E3075)))-(LEFT(E3075,FIND("/",E3075)-1)),(MID(E3075, SEARCH("/",E3075) + 1, SEARCH("/",E3075, SEARCH("/",E3075)+1) - SEARCH("/",E3075) - 1))-(LEFT(E3075,FIND("/",E3075)-1))), "NA"))</f>
        <v/>
      </c>
      <c r="K3075" s="79">
        <f>IF(A3075&lt;&gt;"", IF(ISBLANK(L3075), TODAY(), K3075), "")</f>
        <v/>
      </c>
      <c r="L3075" s="78" t="n"/>
      <c r="M3075" s="78">
        <f>IF(ISBLANK(L3075),"",IF(D3075="Stock",IF(C3075="Buy",L3075*G3075,IF(C3075="Sell",(L3075*G3075)-I3075, X)),IF(C3075="Buy",(L3075*G3075*100)+I3075,IF(C3075="Sell",(L3075*G3075*100)-I3075, X))))</f>
        <v/>
      </c>
      <c r="N3075" s="78">
        <f>IF(ISBLANK(L3075),"",IF(AND(C3075="Sell",D3075="Stock"),M3075,IF(ISBLANK(L3075),"",IF(C3075="Buy",M3075, IF(AND(C3075="Sell",J3075="NA"),(E3075*G3075*100*0.1)+I3075, IF(C3075="Sell",(J3075-L3075)*(100*G3075)+I3075))))))</f>
        <v/>
      </c>
      <c r="O3075" s="75" t="n"/>
      <c r="P3075" s="75" t="n"/>
      <c r="Q3075" s="75">
        <f>IF(ISBLANK(P3075),"",IF(D3075="Stock",P3075*G3075,IF(P3075=0,"0",G3075*P3075*100-(G3075*$AF$14))))</f>
        <v/>
      </c>
      <c r="R3075" s="79">
        <f>IF(P3075&lt;&gt;"", TODAY(), "")</f>
        <v/>
      </c>
      <c r="S3075" s="78">
        <f>IF(AND(K3075&lt;&gt;"", R3075&lt;&gt;""), R3075-K3075, "")</f>
        <v/>
      </c>
      <c r="T3075" s="78" t="n"/>
      <c r="U3075" s="92">
        <f>IF(ISBLANK(P3075),"",IF(C3075="Buy",Q3075-M3075+T3075, IF(C3075="Sell",M3075-Q3075-T3075, X)))</f>
        <v/>
      </c>
      <c r="V3075" s="81">
        <f>IF(ISBLANK(P3075),"",U3075/N3075)</f>
        <v/>
      </c>
      <c r="W3075" s="81">
        <f>IF(ISBLANK(P3075),"",IF(S3075=0,(365/0.5)*V3075,(365/S3075)*V3075))</f>
        <v/>
      </c>
      <c r="X3075" s="75" t="n"/>
      <c r="Y3075" s="77" t="n"/>
      <c r="Z3075" s="77" t="n"/>
      <c r="AA3075" s="75" t="n"/>
      <c r="AB3075" s="75" t="n"/>
      <c r="AC3075" s="6" t="n"/>
      <c r="AD3075" s="75" t="n"/>
      <c r="AE3075" s="75" t="n"/>
      <c r="AF3075" s="75" t="n"/>
    </row>
    <row r="3076" ht="15.75" customHeight="1" s="133">
      <c r="A3076" s="75" t="n"/>
      <c r="B3076" s="75" t="n"/>
      <c r="C3076" s="75" t="n"/>
      <c r="D3076" s="75" t="n"/>
      <c r="E3076" s="76" t="n"/>
      <c r="F3076" s="77" t="n"/>
      <c r="G3076" s="75" t="n"/>
      <c r="H3076" s="75">
        <f>IF(ISBLANK(E3076),"",IF(OR(D3076="Butterfly",D3076="Butterfly ",D3076="Iron Fly", D3076="Iron Fly "),LEN(E3076)-LEN(SUBSTITUTE(E3076,"/",""))+2,LEN(E3076)-LEN(SUBSTITUTE(E3076,"/",""))+1))</f>
        <v/>
      </c>
      <c r="I3076" s="78">
        <f>IF(ISBLANK(G3076),"",IF(D3076="Stock","0",Key!$A$3*H3076*G3076))</f>
        <v/>
      </c>
      <c r="J3076" s="78">
        <f>IF(ISBLANK(E3076),"",IF(ISNUMBER(SEARCH("/",E3076)), IF(LEN(E3076)-LEN(SUBSTITUTE(E3076,"/",""))=1,(RIGHT(E3076,LEN(E3076)-FIND("/",E3076)))-(LEFT(E3076,FIND("/",E3076)-1)),(MID(E3076, SEARCH("/",E3076) + 1, SEARCH("/",E3076, SEARCH("/",E3076)+1) - SEARCH("/",E3076) - 1))-(LEFT(E3076,FIND("/",E3076)-1))), "NA"))</f>
        <v/>
      </c>
      <c r="K3076" s="79">
        <f>IF(A3076&lt;&gt;"", IF(ISBLANK(L3076), TODAY(), K3076), "")</f>
        <v/>
      </c>
      <c r="L3076" s="78" t="n"/>
      <c r="M3076" s="78">
        <f>IF(ISBLANK(L3076),"",IF(D3076="Stock",IF(C3076="Buy",L3076*G3076,IF(C3076="Sell",(L3076*G3076)-I3076, X)),IF(C3076="Buy",(L3076*G3076*100)+I3076,IF(C3076="Sell",(L3076*G3076*100)-I3076, X))))</f>
        <v/>
      </c>
      <c r="N3076" s="78">
        <f>IF(ISBLANK(L3076),"",IF(AND(C3076="Sell",D3076="Stock"),M3076,IF(ISBLANK(L3076),"",IF(C3076="Buy",M3076, IF(AND(C3076="Sell",J3076="NA"),(E3076*G3076*100*0.1)+I3076, IF(C3076="Sell",(J3076-L3076)*(100*G3076)+I3076))))))</f>
        <v/>
      </c>
      <c r="O3076" s="75" t="n"/>
      <c r="P3076" s="75" t="n"/>
      <c r="Q3076" s="75">
        <f>IF(ISBLANK(P3076),"",IF(D3076="Stock",P3076*G3076,IF(P3076=0,"0",G3076*P3076*100-(G3076*$AF$14))))</f>
        <v/>
      </c>
      <c r="R3076" s="79">
        <f>IF(P3076&lt;&gt;"", TODAY(), "")</f>
        <v/>
      </c>
      <c r="S3076" s="78">
        <f>IF(AND(K3076&lt;&gt;"", R3076&lt;&gt;""), R3076-K3076, "")</f>
        <v/>
      </c>
      <c r="T3076" s="78" t="n"/>
      <c r="U3076" s="92">
        <f>IF(ISBLANK(P3076),"",IF(C3076="Buy",Q3076-M3076+T3076, IF(C3076="Sell",M3076-Q3076-T3076, X)))</f>
        <v/>
      </c>
      <c r="V3076" s="81">
        <f>IF(ISBLANK(P3076),"",U3076/N3076)</f>
        <v/>
      </c>
      <c r="W3076" s="81">
        <f>IF(ISBLANK(P3076),"",IF(S3076=0,(365/0.5)*V3076,(365/S3076)*V3076))</f>
        <v/>
      </c>
      <c r="X3076" s="75" t="n"/>
      <c r="Y3076" s="77" t="n"/>
      <c r="Z3076" s="77" t="n"/>
      <c r="AA3076" s="75" t="n"/>
      <c r="AB3076" s="75" t="n"/>
      <c r="AC3076" s="6" t="n"/>
      <c r="AD3076" s="75" t="n"/>
      <c r="AE3076" s="75" t="n"/>
      <c r="AF3076" s="75" t="n"/>
    </row>
    <row r="3077" ht="15.75" customHeight="1" s="133">
      <c r="A3077" s="75" t="n"/>
      <c r="B3077" s="75" t="n"/>
      <c r="C3077" s="75" t="n"/>
      <c r="D3077" s="75" t="n"/>
      <c r="E3077" s="76" t="n"/>
      <c r="F3077" s="77" t="n"/>
      <c r="G3077" s="75" t="n"/>
      <c r="H3077" s="75">
        <f>IF(ISBLANK(E3077),"",IF(OR(D3077="Butterfly",D3077="Butterfly ",D3077="Iron Fly", D3077="Iron Fly "),LEN(E3077)-LEN(SUBSTITUTE(E3077,"/",""))+2,LEN(E3077)-LEN(SUBSTITUTE(E3077,"/",""))+1))</f>
        <v/>
      </c>
      <c r="I3077" s="78">
        <f>IF(ISBLANK(G3077),"",IF(D3077="Stock","0",Key!$A$3*H3077*G3077))</f>
        <v/>
      </c>
      <c r="J3077" s="78">
        <f>IF(ISBLANK(E3077),"",IF(ISNUMBER(SEARCH("/",E3077)), IF(LEN(E3077)-LEN(SUBSTITUTE(E3077,"/",""))=1,(RIGHT(E3077,LEN(E3077)-FIND("/",E3077)))-(LEFT(E3077,FIND("/",E3077)-1)),(MID(E3077, SEARCH("/",E3077) + 1, SEARCH("/",E3077, SEARCH("/",E3077)+1) - SEARCH("/",E3077) - 1))-(LEFT(E3077,FIND("/",E3077)-1))), "NA"))</f>
        <v/>
      </c>
      <c r="K3077" s="79">
        <f>IF(A3077&lt;&gt;"", IF(ISBLANK(L3077), TODAY(), K3077), "")</f>
        <v/>
      </c>
      <c r="L3077" s="78" t="n"/>
      <c r="M3077" s="78">
        <f>IF(ISBLANK(L3077),"",IF(D3077="Stock",IF(C3077="Buy",L3077*G3077,IF(C3077="Sell",(L3077*G3077)-I3077, X)),IF(C3077="Buy",(L3077*G3077*100)+I3077,IF(C3077="Sell",(L3077*G3077*100)-I3077, X))))</f>
        <v/>
      </c>
      <c r="N3077" s="78">
        <f>IF(ISBLANK(L3077),"",IF(AND(C3077="Sell",D3077="Stock"),M3077,IF(ISBLANK(L3077),"",IF(C3077="Buy",M3077, IF(AND(C3077="Sell",J3077="NA"),(E3077*G3077*100*0.1)+I3077, IF(C3077="Sell",(J3077-L3077)*(100*G3077)+I3077))))))</f>
        <v/>
      </c>
      <c r="O3077" s="75" t="n"/>
      <c r="P3077" s="75" t="n"/>
      <c r="Q3077" s="75">
        <f>IF(ISBLANK(P3077),"",IF(D3077="Stock",P3077*G3077,IF(P3077=0,"0",G3077*P3077*100-(G3077*$AF$14))))</f>
        <v/>
      </c>
      <c r="R3077" s="79">
        <f>IF(P3077&lt;&gt;"", TODAY(), "")</f>
        <v/>
      </c>
      <c r="S3077" s="78">
        <f>IF(AND(K3077&lt;&gt;"", R3077&lt;&gt;""), R3077-K3077, "")</f>
        <v/>
      </c>
      <c r="T3077" s="78" t="n"/>
      <c r="U3077" s="92">
        <f>IF(ISBLANK(P3077),"",IF(C3077="Buy",Q3077-M3077+T3077, IF(C3077="Sell",M3077-Q3077-T3077, X)))</f>
        <v/>
      </c>
      <c r="V3077" s="81">
        <f>IF(ISBLANK(P3077),"",U3077/N3077)</f>
        <v/>
      </c>
      <c r="W3077" s="81">
        <f>IF(ISBLANK(P3077),"",IF(S3077=0,(365/0.5)*V3077,(365/S3077)*V3077))</f>
        <v/>
      </c>
      <c r="X3077" s="75" t="n"/>
      <c r="Y3077" s="77" t="n"/>
      <c r="Z3077" s="77" t="n"/>
      <c r="AA3077" s="75" t="n"/>
      <c r="AB3077" s="75" t="n"/>
      <c r="AC3077" s="6" t="n"/>
      <c r="AD3077" s="75" t="n"/>
      <c r="AE3077" s="75" t="n"/>
      <c r="AF3077" s="75" t="n"/>
    </row>
    <row r="3078" ht="15.75" customHeight="1" s="133">
      <c r="A3078" s="75" t="n"/>
      <c r="B3078" s="75" t="n"/>
      <c r="C3078" s="75" t="n"/>
      <c r="D3078" s="75" t="n"/>
      <c r="E3078" s="76" t="n"/>
      <c r="F3078" s="77" t="n"/>
      <c r="G3078" s="75" t="n"/>
      <c r="H3078" s="75">
        <f>IF(ISBLANK(E3078),"",IF(OR(D3078="Butterfly",D3078="Butterfly ",D3078="Iron Fly", D3078="Iron Fly "),LEN(E3078)-LEN(SUBSTITUTE(E3078,"/",""))+2,LEN(E3078)-LEN(SUBSTITUTE(E3078,"/",""))+1))</f>
        <v/>
      </c>
      <c r="I3078" s="78">
        <f>IF(ISBLANK(G3078),"",IF(D3078="Stock","0",Key!$A$3*H3078*G3078))</f>
        <v/>
      </c>
      <c r="J3078" s="78">
        <f>IF(ISBLANK(E3078),"",IF(ISNUMBER(SEARCH("/",E3078)), IF(LEN(E3078)-LEN(SUBSTITUTE(E3078,"/",""))=1,(RIGHT(E3078,LEN(E3078)-FIND("/",E3078)))-(LEFT(E3078,FIND("/",E3078)-1)),(MID(E3078, SEARCH("/",E3078) + 1, SEARCH("/",E3078, SEARCH("/",E3078)+1) - SEARCH("/",E3078) - 1))-(LEFT(E3078,FIND("/",E3078)-1))), "NA"))</f>
        <v/>
      </c>
      <c r="K3078" s="79">
        <f>IF(A3078&lt;&gt;"", IF(ISBLANK(L3078), TODAY(), K3078), "")</f>
        <v/>
      </c>
      <c r="L3078" s="78" t="n"/>
      <c r="M3078" s="78">
        <f>IF(ISBLANK(L3078),"",IF(D3078="Stock",IF(C3078="Buy",L3078*G3078,IF(C3078="Sell",(L3078*G3078)-I3078, X)),IF(C3078="Buy",(L3078*G3078*100)+I3078,IF(C3078="Sell",(L3078*G3078*100)-I3078, X))))</f>
        <v/>
      </c>
      <c r="N3078" s="78">
        <f>IF(ISBLANK(L3078),"",IF(AND(C3078="Sell",D3078="Stock"),M3078,IF(ISBLANK(L3078),"",IF(C3078="Buy",M3078, IF(AND(C3078="Sell",J3078="NA"),(E3078*G3078*100*0.1)+I3078, IF(C3078="Sell",(J3078-L3078)*(100*G3078)+I3078))))))</f>
        <v/>
      </c>
      <c r="O3078" s="75" t="n"/>
      <c r="P3078" s="75" t="n"/>
      <c r="Q3078" s="75">
        <f>IF(ISBLANK(P3078),"",IF(D3078="Stock",P3078*G3078,IF(P3078=0,"0",G3078*P3078*100-(G3078*$AF$14))))</f>
        <v/>
      </c>
      <c r="R3078" s="79">
        <f>IF(P3078&lt;&gt;"", TODAY(), "")</f>
        <v/>
      </c>
      <c r="S3078" s="78">
        <f>IF(AND(K3078&lt;&gt;"", R3078&lt;&gt;""), R3078-K3078, "")</f>
        <v/>
      </c>
      <c r="T3078" s="78" t="n"/>
      <c r="U3078" s="92">
        <f>IF(ISBLANK(P3078),"",IF(C3078="Buy",Q3078-M3078+T3078, IF(C3078="Sell",M3078-Q3078-T3078, X)))</f>
        <v/>
      </c>
      <c r="V3078" s="81">
        <f>IF(ISBLANK(P3078),"",U3078/N3078)</f>
        <v/>
      </c>
      <c r="W3078" s="81">
        <f>IF(ISBLANK(P3078),"",IF(S3078=0,(365/0.5)*V3078,(365/S3078)*V3078))</f>
        <v/>
      </c>
      <c r="X3078" s="75" t="n"/>
      <c r="Y3078" s="77" t="n"/>
      <c r="Z3078" s="77" t="n"/>
      <c r="AA3078" s="75" t="n"/>
      <c r="AB3078" s="75" t="n"/>
      <c r="AC3078" s="6" t="n"/>
      <c r="AD3078" s="75" t="n"/>
      <c r="AE3078" s="75" t="n"/>
      <c r="AF3078" s="75" t="n"/>
    </row>
    <row r="3079" ht="15.75" customHeight="1" s="133">
      <c r="A3079" s="75" t="n"/>
      <c r="B3079" s="75" t="n"/>
      <c r="C3079" s="75" t="n"/>
      <c r="D3079" s="75" t="n"/>
      <c r="E3079" s="76" t="n"/>
      <c r="F3079" s="77" t="n"/>
      <c r="G3079" s="75" t="n"/>
      <c r="H3079" s="75">
        <f>IF(ISBLANK(E3079),"",IF(OR(D3079="Butterfly",D3079="Butterfly ",D3079="Iron Fly", D3079="Iron Fly "),LEN(E3079)-LEN(SUBSTITUTE(E3079,"/",""))+2,LEN(E3079)-LEN(SUBSTITUTE(E3079,"/",""))+1))</f>
        <v/>
      </c>
      <c r="I3079" s="78">
        <f>IF(ISBLANK(G3079),"",IF(D3079="Stock","0",Key!$A$3*H3079*G3079))</f>
        <v/>
      </c>
      <c r="J3079" s="78">
        <f>IF(ISBLANK(E3079),"",IF(ISNUMBER(SEARCH("/",E3079)), IF(LEN(E3079)-LEN(SUBSTITUTE(E3079,"/",""))=1,(RIGHT(E3079,LEN(E3079)-FIND("/",E3079)))-(LEFT(E3079,FIND("/",E3079)-1)),(MID(E3079, SEARCH("/",E3079) + 1, SEARCH("/",E3079, SEARCH("/",E3079)+1) - SEARCH("/",E3079) - 1))-(LEFT(E3079,FIND("/",E3079)-1))), "NA"))</f>
        <v/>
      </c>
      <c r="K3079" s="79">
        <f>IF(A3079&lt;&gt;"", IF(ISBLANK(L3079), TODAY(), K3079), "")</f>
        <v/>
      </c>
      <c r="L3079" s="78" t="n"/>
      <c r="M3079" s="78">
        <f>IF(ISBLANK(L3079),"",IF(D3079="Stock",IF(C3079="Buy",L3079*G3079,IF(C3079="Sell",(L3079*G3079)-I3079, X)),IF(C3079="Buy",(L3079*G3079*100)+I3079,IF(C3079="Sell",(L3079*G3079*100)-I3079, X))))</f>
        <v/>
      </c>
      <c r="N3079" s="78">
        <f>IF(ISBLANK(L3079),"",IF(AND(C3079="Sell",D3079="Stock"),M3079,IF(ISBLANK(L3079),"",IF(C3079="Buy",M3079, IF(AND(C3079="Sell",J3079="NA"),(E3079*G3079*100*0.1)+I3079, IF(C3079="Sell",(J3079-L3079)*(100*G3079)+I3079))))))</f>
        <v/>
      </c>
      <c r="O3079" s="75" t="n"/>
      <c r="P3079" s="75" t="n"/>
      <c r="Q3079" s="75">
        <f>IF(ISBLANK(P3079),"",IF(D3079="Stock",P3079*G3079,IF(P3079=0,"0",G3079*P3079*100-(G3079*$AF$14))))</f>
        <v/>
      </c>
      <c r="R3079" s="79">
        <f>IF(P3079&lt;&gt;"", TODAY(), "")</f>
        <v/>
      </c>
      <c r="S3079" s="78">
        <f>IF(AND(K3079&lt;&gt;"", R3079&lt;&gt;""), R3079-K3079, "")</f>
        <v/>
      </c>
      <c r="T3079" s="78" t="n"/>
      <c r="U3079" s="92">
        <f>IF(ISBLANK(P3079),"",IF(C3079="Buy",Q3079-M3079+T3079, IF(C3079="Sell",M3079-Q3079-T3079, X)))</f>
        <v/>
      </c>
      <c r="V3079" s="81">
        <f>IF(ISBLANK(P3079),"",U3079/N3079)</f>
        <v/>
      </c>
      <c r="W3079" s="81">
        <f>IF(ISBLANK(P3079),"",IF(S3079=0,(365/0.5)*V3079,(365/S3079)*V3079))</f>
        <v/>
      </c>
      <c r="X3079" s="75" t="n"/>
      <c r="Y3079" s="77" t="n"/>
      <c r="Z3079" s="77" t="n"/>
      <c r="AA3079" s="75" t="n"/>
      <c r="AB3079" s="75" t="n"/>
      <c r="AC3079" s="6" t="n"/>
      <c r="AD3079" s="75" t="n"/>
      <c r="AE3079" s="75" t="n"/>
      <c r="AF3079" s="75" t="n"/>
    </row>
    <row r="3080" ht="15.75" customHeight="1" s="133">
      <c r="A3080" s="75" t="n"/>
      <c r="B3080" s="75" t="n"/>
      <c r="C3080" s="75" t="n"/>
      <c r="D3080" s="75" t="n"/>
      <c r="E3080" s="76" t="n"/>
      <c r="F3080" s="77" t="n"/>
      <c r="G3080" s="75" t="n"/>
      <c r="H3080" s="75">
        <f>IF(ISBLANK(E3080),"",IF(OR(D3080="Butterfly",D3080="Butterfly ",D3080="Iron Fly", D3080="Iron Fly "),LEN(E3080)-LEN(SUBSTITUTE(E3080,"/",""))+2,LEN(E3080)-LEN(SUBSTITUTE(E3080,"/",""))+1))</f>
        <v/>
      </c>
      <c r="I3080" s="78">
        <f>IF(ISBLANK(G3080),"",IF(D3080="Stock","0",Key!$A$3*H3080*G3080))</f>
        <v/>
      </c>
      <c r="J3080" s="78">
        <f>IF(ISBLANK(E3080),"",IF(ISNUMBER(SEARCH("/",E3080)), IF(LEN(E3080)-LEN(SUBSTITUTE(E3080,"/",""))=1,(RIGHT(E3080,LEN(E3080)-FIND("/",E3080)))-(LEFT(E3080,FIND("/",E3080)-1)),(MID(E3080, SEARCH("/",E3080) + 1, SEARCH("/",E3080, SEARCH("/",E3080)+1) - SEARCH("/",E3080) - 1))-(LEFT(E3080,FIND("/",E3080)-1))), "NA"))</f>
        <v/>
      </c>
      <c r="K3080" s="79">
        <f>IF(A3080&lt;&gt;"", IF(ISBLANK(L3080), TODAY(), K3080), "")</f>
        <v/>
      </c>
      <c r="L3080" s="78" t="n"/>
      <c r="M3080" s="78">
        <f>IF(ISBLANK(L3080),"",IF(D3080="Stock",IF(C3080="Buy",L3080*G3080,IF(C3080="Sell",(L3080*G3080)-I3080, X)),IF(C3080="Buy",(L3080*G3080*100)+I3080,IF(C3080="Sell",(L3080*G3080*100)-I3080, X))))</f>
        <v/>
      </c>
      <c r="N3080" s="78">
        <f>IF(ISBLANK(L3080),"",IF(AND(C3080="Sell",D3080="Stock"),M3080,IF(ISBLANK(L3080),"",IF(C3080="Buy",M3080, IF(AND(C3080="Sell",J3080="NA"),(E3080*G3080*100*0.1)+I3080, IF(C3080="Sell",(J3080-L3080)*(100*G3080)+I3080))))))</f>
        <v/>
      </c>
      <c r="O3080" s="75" t="n"/>
      <c r="P3080" s="75" t="n"/>
      <c r="Q3080" s="75">
        <f>IF(ISBLANK(P3080),"",IF(D3080="Stock",P3080*G3080,IF(P3080=0,"0",G3080*P3080*100-(G3080*$AF$14))))</f>
        <v/>
      </c>
      <c r="R3080" s="79">
        <f>IF(P3080&lt;&gt;"", TODAY(), "")</f>
        <v/>
      </c>
      <c r="S3080" s="78">
        <f>IF(AND(K3080&lt;&gt;"", R3080&lt;&gt;""), R3080-K3080, "")</f>
        <v/>
      </c>
      <c r="T3080" s="78" t="n"/>
      <c r="U3080" s="92">
        <f>IF(ISBLANK(P3080),"",IF(C3080="Buy",Q3080-M3080+T3080, IF(C3080="Sell",M3080-Q3080-T3080, X)))</f>
        <v/>
      </c>
      <c r="V3080" s="81">
        <f>IF(ISBLANK(P3080),"",U3080/N3080)</f>
        <v/>
      </c>
      <c r="W3080" s="81">
        <f>IF(ISBLANK(P3080),"",IF(S3080=0,(365/0.5)*V3080,(365/S3080)*V3080))</f>
        <v/>
      </c>
      <c r="X3080" s="75" t="n"/>
      <c r="Y3080" s="77" t="n"/>
      <c r="Z3080" s="77" t="n"/>
      <c r="AA3080" s="75" t="n"/>
      <c r="AB3080" s="75" t="n"/>
      <c r="AC3080" s="6" t="n"/>
      <c r="AD3080" s="75" t="n"/>
      <c r="AE3080" s="75" t="n"/>
      <c r="AF3080" s="75" t="n"/>
    </row>
    <row r="3081" ht="15.75" customHeight="1" s="133">
      <c r="A3081" s="75" t="n"/>
      <c r="B3081" s="75" t="n"/>
      <c r="C3081" s="75" t="n"/>
      <c r="D3081" s="75" t="n"/>
      <c r="E3081" s="76" t="n"/>
      <c r="F3081" s="77" t="n"/>
      <c r="G3081" s="75" t="n"/>
      <c r="H3081" s="75">
        <f>IF(ISBLANK(E3081),"",IF(OR(D3081="Butterfly",D3081="Butterfly ",D3081="Iron Fly", D3081="Iron Fly "),LEN(E3081)-LEN(SUBSTITUTE(E3081,"/",""))+2,LEN(E3081)-LEN(SUBSTITUTE(E3081,"/",""))+1))</f>
        <v/>
      </c>
      <c r="I3081" s="78">
        <f>IF(ISBLANK(G3081),"",IF(D3081="Stock","0",Key!$A$3*H3081*G3081))</f>
        <v/>
      </c>
      <c r="J3081" s="78">
        <f>IF(ISBLANK(E3081),"",IF(ISNUMBER(SEARCH("/",E3081)), IF(LEN(E3081)-LEN(SUBSTITUTE(E3081,"/",""))=1,(RIGHT(E3081,LEN(E3081)-FIND("/",E3081)))-(LEFT(E3081,FIND("/",E3081)-1)),(MID(E3081, SEARCH("/",E3081) + 1, SEARCH("/",E3081, SEARCH("/",E3081)+1) - SEARCH("/",E3081) - 1))-(LEFT(E3081,FIND("/",E3081)-1))), "NA"))</f>
        <v/>
      </c>
      <c r="K3081" s="79">
        <f>IF(A3081&lt;&gt;"", IF(ISBLANK(L3081), TODAY(), K3081), "")</f>
        <v/>
      </c>
      <c r="L3081" s="78" t="n"/>
      <c r="M3081" s="78">
        <f>IF(ISBLANK(L3081),"",IF(D3081="Stock",IF(C3081="Buy",L3081*G3081,IF(C3081="Sell",(L3081*G3081)-I3081, X)),IF(C3081="Buy",(L3081*G3081*100)+I3081,IF(C3081="Sell",(L3081*G3081*100)-I3081, X))))</f>
        <v/>
      </c>
      <c r="N3081" s="78">
        <f>IF(ISBLANK(L3081),"",IF(AND(C3081="Sell",D3081="Stock"),M3081,IF(ISBLANK(L3081),"",IF(C3081="Buy",M3081, IF(AND(C3081="Sell",J3081="NA"),(E3081*G3081*100*0.1)+I3081, IF(C3081="Sell",(J3081-L3081)*(100*G3081)+I3081))))))</f>
        <v/>
      </c>
      <c r="O3081" s="75" t="n"/>
      <c r="P3081" s="75" t="n"/>
      <c r="Q3081" s="75">
        <f>IF(ISBLANK(P3081),"",IF(D3081="Stock",P3081*G3081,IF(P3081=0,"0",G3081*P3081*100-(G3081*$AF$14))))</f>
        <v/>
      </c>
      <c r="R3081" s="79">
        <f>IF(P3081&lt;&gt;"", TODAY(), "")</f>
        <v/>
      </c>
      <c r="S3081" s="78">
        <f>IF(AND(K3081&lt;&gt;"", R3081&lt;&gt;""), R3081-K3081, "")</f>
        <v/>
      </c>
      <c r="T3081" s="78" t="n"/>
      <c r="U3081" s="92">
        <f>IF(ISBLANK(P3081),"",IF(C3081="Buy",Q3081-M3081+T3081, IF(C3081="Sell",M3081-Q3081-T3081, X)))</f>
        <v/>
      </c>
      <c r="V3081" s="81">
        <f>IF(ISBLANK(P3081),"",U3081/N3081)</f>
        <v/>
      </c>
      <c r="W3081" s="81">
        <f>IF(ISBLANK(P3081),"",IF(S3081=0,(365/0.5)*V3081,(365/S3081)*V3081))</f>
        <v/>
      </c>
      <c r="X3081" s="75" t="n"/>
      <c r="Y3081" s="77" t="n"/>
      <c r="Z3081" s="77" t="n"/>
      <c r="AA3081" s="75" t="n"/>
      <c r="AB3081" s="75" t="n"/>
      <c r="AC3081" s="6" t="n"/>
      <c r="AD3081" s="75" t="n"/>
      <c r="AE3081" s="75" t="n"/>
      <c r="AF3081" s="75" t="n"/>
    </row>
    <row r="3082" ht="15.75" customHeight="1" s="133">
      <c r="A3082" s="75" t="n"/>
      <c r="B3082" s="75" t="n"/>
      <c r="C3082" s="75" t="n"/>
      <c r="D3082" s="75" t="n"/>
      <c r="E3082" s="76" t="n"/>
      <c r="F3082" s="77" t="n"/>
      <c r="G3082" s="75" t="n"/>
      <c r="H3082" s="75">
        <f>IF(ISBLANK(E3082),"",IF(OR(D3082="Butterfly",D3082="Butterfly ",D3082="Iron Fly", D3082="Iron Fly "),LEN(E3082)-LEN(SUBSTITUTE(E3082,"/",""))+2,LEN(E3082)-LEN(SUBSTITUTE(E3082,"/",""))+1))</f>
        <v/>
      </c>
      <c r="I3082" s="78">
        <f>IF(ISBLANK(G3082),"",IF(D3082="Stock","0",Key!$A$3*H3082*G3082))</f>
        <v/>
      </c>
      <c r="J3082" s="78">
        <f>IF(ISBLANK(E3082),"",IF(ISNUMBER(SEARCH("/",E3082)), IF(LEN(E3082)-LEN(SUBSTITUTE(E3082,"/",""))=1,(RIGHT(E3082,LEN(E3082)-FIND("/",E3082)))-(LEFT(E3082,FIND("/",E3082)-1)),(MID(E3082, SEARCH("/",E3082) + 1, SEARCH("/",E3082, SEARCH("/",E3082)+1) - SEARCH("/",E3082) - 1))-(LEFT(E3082,FIND("/",E3082)-1))), "NA"))</f>
        <v/>
      </c>
      <c r="K3082" s="79">
        <f>IF(A3082&lt;&gt;"", IF(ISBLANK(L3082), TODAY(), K3082), "")</f>
        <v/>
      </c>
      <c r="L3082" s="78" t="n"/>
      <c r="M3082" s="78">
        <f>IF(ISBLANK(L3082),"",IF(D3082="Stock",IF(C3082="Buy",L3082*G3082,IF(C3082="Sell",(L3082*G3082)-I3082, X)),IF(C3082="Buy",(L3082*G3082*100)+I3082,IF(C3082="Sell",(L3082*G3082*100)-I3082, X))))</f>
        <v/>
      </c>
      <c r="N3082" s="78">
        <f>IF(ISBLANK(L3082),"",IF(AND(C3082="Sell",D3082="Stock"),M3082,IF(ISBLANK(L3082),"",IF(C3082="Buy",M3082, IF(AND(C3082="Sell",J3082="NA"),(E3082*G3082*100*0.1)+I3082, IF(C3082="Sell",(J3082-L3082)*(100*G3082)+I3082))))))</f>
        <v/>
      </c>
      <c r="O3082" s="75" t="n"/>
      <c r="P3082" s="75" t="n"/>
      <c r="Q3082" s="75">
        <f>IF(ISBLANK(P3082),"",IF(D3082="Stock",P3082*G3082,IF(P3082=0,"0",G3082*P3082*100-(G3082*$AF$14))))</f>
        <v/>
      </c>
      <c r="R3082" s="79">
        <f>IF(P3082&lt;&gt;"", TODAY(), "")</f>
        <v/>
      </c>
      <c r="S3082" s="78">
        <f>IF(AND(K3082&lt;&gt;"", R3082&lt;&gt;""), R3082-K3082, "")</f>
        <v/>
      </c>
      <c r="T3082" s="78" t="n"/>
      <c r="U3082" s="92">
        <f>IF(ISBLANK(P3082),"",IF(C3082="Buy",Q3082-M3082+T3082, IF(C3082="Sell",M3082-Q3082-T3082, X)))</f>
        <v/>
      </c>
      <c r="V3082" s="81">
        <f>IF(ISBLANK(P3082),"",U3082/N3082)</f>
        <v/>
      </c>
      <c r="W3082" s="81">
        <f>IF(ISBLANK(P3082),"",IF(S3082=0,(365/0.5)*V3082,(365/S3082)*V3082))</f>
        <v/>
      </c>
      <c r="X3082" s="75" t="n"/>
      <c r="Y3082" s="77" t="n"/>
      <c r="Z3082" s="77" t="n"/>
      <c r="AA3082" s="75" t="n"/>
      <c r="AB3082" s="75" t="n"/>
      <c r="AC3082" s="6" t="n"/>
      <c r="AD3082" s="75" t="n"/>
      <c r="AE3082" s="75" t="n"/>
      <c r="AF3082" s="75" t="n"/>
    </row>
    <row r="3083" ht="15.75" customHeight="1" s="133">
      <c r="A3083" s="75" t="n"/>
      <c r="B3083" s="75" t="n"/>
      <c r="C3083" s="75" t="n"/>
      <c r="D3083" s="75" t="n"/>
      <c r="E3083" s="76" t="n"/>
      <c r="F3083" s="77" t="n"/>
      <c r="G3083" s="75" t="n"/>
      <c r="H3083" s="75">
        <f>IF(ISBLANK(E3083),"",IF(OR(D3083="Butterfly",D3083="Butterfly ",D3083="Iron Fly", D3083="Iron Fly "),LEN(E3083)-LEN(SUBSTITUTE(E3083,"/",""))+2,LEN(E3083)-LEN(SUBSTITUTE(E3083,"/",""))+1))</f>
        <v/>
      </c>
      <c r="I3083" s="78">
        <f>IF(ISBLANK(G3083),"",IF(D3083="Stock","0",Key!$A$3*H3083*G3083))</f>
        <v/>
      </c>
      <c r="J3083" s="78">
        <f>IF(ISBLANK(E3083),"",IF(ISNUMBER(SEARCH("/",E3083)), IF(LEN(E3083)-LEN(SUBSTITUTE(E3083,"/",""))=1,(RIGHT(E3083,LEN(E3083)-FIND("/",E3083)))-(LEFT(E3083,FIND("/",E3083)-1)),(MID(E3083, SEARCH("/",E3083) + 1, SEARCH("/",E3083, SEARCH("/",E3083)+1) - SEARCH("/",E3083) - 1))-(LEFT(E3083,FIND("/",E3083)-1))), "NA"))</f>
        <v/>
      </c>
      <c r="K3083" s="79">
        <f>IF(A3083&lt;&gt;"", IF(ISBLANK(L3083), TODAY(), K3083), "")</f>
        <v/>
      </c>
      <c r="L3083" s="78" t="n"/>
      <c r="M3083" s="78">
        <f>IF(ISBLANK(L3083),"",IF(D3083="Stock",IF(C3083="Buy",L3083*G3083,IF(C3083="Sell",(L3083*G3083)-I3083, X)),IF(C3083="Buy",(L3083*G3083*100)+I3083,IF(C3083="Sell",(L3083*G3083*100)-I3083, X))))</f>
        <v/>
      </c>
      <c r="N3083" s="78">
        <f>IF(ISBLANK(L3083),"",IF(AND(C3083="Sell",D3083="Stock"),M3083,IF(ISBLANK(L3083),"",IF(C3083="Buy",M3083, IF(AND(C3083="Sell",J3083="NA"),(E3083*G3083*100*0.1)+I3083, IF(C3083="Sell",(J3083-L3083)*(100*G3083)+I3083))))))</f>
        <v/>
      </c>
      <c r="O3083" s="75" t="n"/>
      <c r="P3083" s="75" t="n"/>
      <c r="Q3083" s="75">
        <f>IF(ISBLANK(P3083),"",IF(D3083="Stock",P3083*G3083,IF(P3083=0,"0",G3083*P3083*100-(G3083*$AF$14))))</f>
        <v/>
      </c>
      <c r="R3083" s="79">
        <f>IF(P3083&lt;&gt;"", TODAY(), "")</f>
        <v/>
      </c>
      <c r="S3083" s="78">
        <f>IF(AND(K3083&lt;&gt;"", R3083&lt;&gt;""), R3083-K3083, "")</f>
        <v/>
      </c>
      <c r="T3083" s="78" t="n"/>
      <c r="U3083" s="92">
        <f>IF(ISBLANK(P3083),"",IF(C3083="Buy",Q3083-M3083+T3083, IF(C3083="Sell",M3083-Q3083-T3083, X)))</f>
        <v/>
      </c>
      <c r="V3083" s="81">
        <f>IF(ISBLANK(P3083),"",U3083/N3083)</f>
        <v/>
      </c>
      <c r="W3083" s="81">
        <f>IF(ISBLANK(P3083),"",IF(S3083=0,(365/0.5)*V3083,(365/S3083)*V3083))</f>
        <v/>
      </c>
      <c r="X3083" s="75" t="n"/>
      <c r="Y3083" s="77" t="n"/>
      <c r="Z3083" s="77" t="n"/>
      <c r="AA3083" s="75" t="n"/>
      <c r="AB3083" s="75" t="n"/>
      <c r="AC3083" s="6" t="n"/>
      <c r="AD3083" s="75" t="n"/>
      <c r="AE3083" s="75" t="n"/>
      <c r="AF3083" s="75" t="n"/>
    </row>
    <row r="3084" ht="15.75" customHeight="1" s="133">
      <c r="A3084" s="75" t="n"/>
      <c r="B3084" s="75" t="n"/>
      <c r="C3084" s="75" t="n"/>
      <c r="D3084" s="75" t="n"/>
      <c r="E3084" s="76" t="n"/>
      <c r="F3084" s="77" t="n"/>
      <c r="G3084" s="75" t="n"/>
      <c r="H3084" s="75">
        <f>IF(ISBLANK(E3084),"",IF(OR(D3084="Butterfly",D3084="Butterfly ",D3084="Iron Fly", D3084="Iron Fly "),LEN(E3084)-LEN(SUBSTITUTE(E3084,"/",""))+2,LEN(E3084)-LEN(SUBSTITUTE(E3084,"/",""))+1))</f>
        <v/>
      </c>
      <c r="I3084" s="78">
        <f>IF(ISBLANK(G3084),"",IF(D3084="Stock","0",Key!$A$3*H3084*G3084))</f>
        <v/>
      </c>
      <c r="J3084" s="78">
        <f>IF(ISBLANK(E3084),"",IF(ISNUMBER(SEARCH("/",E3084)), IF(LEN(E3084)-LEN(SUBSTITUTE(E3084,"/",""))=1,(RIGHT(E3084,LEN(E3084)-FIND("/",E3084)))-(LEFT(E3084,FIND("/",E3084)-1)),(MID(E3084, SEARCH("/",E3084) + 1, SEARCH("/",E3084, SEARCH("/",E3084)+1) - SEARCH("/",E3084) - 1))-(LEFT(E3084,FIND("/",E3084)-1))), "NA"))</f>
        <v/>
      </c>
      <c r="K3084" s="79">
        <f>IF(A3084&lt;&gt;"", IF(ISBLANK(L3084), TODAY(), K3084), "")</f>
        <v/>
      </c>
      <c r="L3084" s="78" t="n"/>
      <c r="M3084" s="78">
        <f>IF(ISBLANK(L3084),"",IF(D3084="Stock",IF(C3084="Buy",L3084*G3084,IF(C3084="Sell",(L3084*G3084)-I3084, X)),IF(C3084="Buy",(L3084*G3084*100)+I3084,IF(C3084="Sell",(L3084*G3084*100)-I3084, X))))</f>
        <v/>
      </c>
      <c r="N3084" s="78">
        <f>IF(ISBLANK(L3084),"",IF(AND(C3084="Sell",D3084="Stock"),M3084,IF(ISBLANK(L3084),"",IF(C3084="Buy",M3084, IF(AND(C3084="Sell",J3084="NA"),(E3084*G3084*100*0.1)+I3084, IF(C3084="Sell",(J3084-L3084)*(100*G3084)+I3084))))))</f>
        <v/>
      </c>
      <c r="O3084" s="75" t="n"/>
      <c r="P3084" s="75" t="n"/>
      <c r="Q3084" s="75">
        <f>IF(ISBLANK(P3084),"",IF(D3084="Stock",P3084*G3084,IF(P3084=0,"0",G3084*P3084*100-(G3084*$AF$14))))</f>
        <v/>
      </c>
      <c r="R3084" s="79">
        <f>IF(P3084&lt;&gt;"", TODAY(), "")</f>
        <v/>
      </c>
      <c r="S3084" s="78">
        <f>IF(AND(K3084&lt;&gt;"", R3084&lt;&gt;""), R3084-K3084, "")</f>
        <v/>
      </c>
      <c r="T3084" s="78" t="n"/>
      <c r="U3084" s="92">
        <f>IF(ISBLANK(P3084),"",IF(C3084="Buy",Q3084-M3084+T3084, IF(C3084="Sell",M3084-Q3084-T3084, X)))</f>
        <v/>
      </c>
      <c r="V3084" s="81">
        <f>IF(ISBLANK(P3084),"",U3084/N3084)</f>
        <v/>
      </c>
      <c r="W3084" s="81">
        <f>IF(ISBLANK(P3084),"",IF(S3084=0,(365/0.5)*V3084,(365/S3084)*V3084))</f>
        <v/>
      </c>
      <c r="X3084" s="75" t="n"/>
      <c r="Y3084" s="77" t="n"/>
      <c r="Z3084" s="77" t="n"/>
      <c r="AA3084" s="75" t="n"/>
      <c r="AB3084" s="75" t="n"/>
      <c r="AC3084" s="6" t="n"/>
      <c r="AD3084" s="75" t="n"/>
      <c r="AE3084" s="75" t="n"/>
      <c r="AF3084" s="75" t="n"/>
    </row>
    <row r="3085" ht="15.75" customHeight="1" s="133">
      <c r="A3085" s="75" t="n"/>
      <c r="B3085" s="75" t="n"/>
      <c r="C3085" s="75" t="n"/>
      <c r="D3085" s="75" t="n"/>
      <c r="E3085" s="76" t="n"/>
      <c r="F3085" s="77" t="n"/>
      <c r="G3085" s="75" t="n"/>
      <c r="H3085" s="75">
        <f>IF(ISBLANK(E3085),"",IF(OR(D3085="Butterfly",D3085="Butterfly ",D3085="Iron Fly", D3085="Iron Fly "),LEN(E3085)-LEN(SUBSTITUTE(E3085,"/",""))+2,LEN(E3085)-LEN(SUBSTITUTE(E3085,"/",""))+1))</f>
        <v/>
      </c>
      <c r="I3085" s="78">
        <f>IF(ISBLANK(G3085),"",IF(D3085="Stock","0",Key!$A$3*H3085*G3085))</f>
        <v/>
      </c>
      <c r="J3085" s="78">
        <f>IF(ISBLANK(E3085),"",IF(ISNUMBER(SEARCH("/",E3085)), IF(LEN(E3085)-LEN(SUBSTITUTE(E3085,"/",""))=1,(RIGHT(E3085,LEN(E3085)-FIND("/",E3085)))-(LEFT(E3085,FIND("/",E3085)-1)),(MID(E3085, SEARCH("/",E3085) + 1, SEARCH("/",E3085, SEARCH("/",E3085)+1) - SEARCH("/",E3085) - 1))-(LEFT(E3085,FIND("/",E3085)-1))), "NA"))</f>
        <v/>
      </c>
      <c r="K3085" s="79">
        <f>IF(A3085&lt;&gt;"", IF(ISBLANK(L3085), TODAY(), K3085), "")</f>
        <v/>
      </c>
      <c r="L3085" s="78" t="n"/>
      <c r="M3085" s="78">
        <f>IF(ISBLANK(L3085),"",IF(D3085="Stock",IF(C3085="Buy",L3085*G3085,IF(C3085="Sell",(L3085*G3085)-I3085, X)),IF(C3085="Buy",(L3085*G3085*100)+I3085,IF(C3085="Sell",(L3085*G3085*100)-I3085, X))))</f>
        <v/>
      </c>
      <c r="N3085" s="78">
        <f>IF(ISBLANK(L3085),"",IF(AND(C3085="Sell",D3085="Stock"),M3085,IF(ISBLANK(L3085),"",IF(C3085="Buy",M3085, IF(AND(C3085="Sell",J3085="NA"),(E3085*G3085*100*0.1)+I3085, IF(C3085="Sell",(J3085-L3085)*(100*G3085)+I3085))))))</f>
        <v/>
      </c>
      <c r="O3085" s="75" t="n"/>
      <c r="P3085" s="75" t="n"/>
      <c r="Q3085" s="75">
        <f>IF(ISBLANK(P3085),"",IF(D3085="Stock",P3085*G3085,IF(P3085=0,"0",G3085*P3085*100-(G3085*$AF$14))))</f>
        <v/>
      </c>
      <c r="R3085" s="79">
        <f>IF(P3085&lt;&gt;"", TODAY(), "")</f>
        <v/>
      </c>
      <c r="S3085" s="78">
        <f>IF(AND(K3085&lt;&gt;"", R3085&lt;&gt;""), R3085-K3085, "")</f>
        <v/>
      </c>
      <c r="T3085" s="78" t="n"/>
      <c r="U3085" s="92">
        <f>IF(ISBLANK(P3085),"",IF(C3085="Buy",Q3085-M3085+T3085, IF(C3085="Sell",M3085-Q3085-T3085, X)))</f>
        <v/>
      </c>
      <c r="V3085" s="81">
        <f>IF(ISBLANK(P3085),"",U3085/N3085)</f>
        <v/>
      </c>
      <c r="W3085" s="81">
        <f>IF(ISBLANK(P3085),"",IF(S3085=0,(365/0.5)*V3085,(365/S3085)*V3085))</f>
        <v/>
      </c>
      <c r="X3085" s="75" t="n"/>
      <c r="Y3085" s="77" t="n"/>
      <c r="Z3085" s="77" t="n"/>
      <c r="AA3085" s="75" t="n"/>
      <c r="AB3085" s="75" t="n"/>
      <c r="AC3085" s="6" t="n"/>
      <c r="AD3085" s="75" t="n"/>
      <c r="AE3085" s="75" t="n"/>
      <c r="AF3085" s="75" t="n"/>
    </row>
    <row r="3086" ht="15.75" customHeight="1" s="133">
      <c r="A3086" s="75" t="n"/>
      <c r="B3086" s="75" t="n"/>
      <c r="C3086" s="75" t="n"/>
      <c r="D3086" s="75" t="n"/>
      <c r="E3086" s="76" t="n"/>
      <c r="F3086" s="77" t="n"/>
      <c r="G3086" s="75" t="n"/>
      <c r="H3086" s="75">
        <f>IF(ISBLANK(E3086),"",IF(OR(D3086="Butterfly",D3086="Butterfly ",D3086="Iron Fly", D3086="Iron Fly "),LEN(E3086)-LEN(SUBSTITUTE(E3086,"/",""))+2,LEN(E3086)-LEN(SUBSTITUTE(E3086,"/",""))+1))</f>
        <v/>
      </c>
      <c r="I3086" s="78">
        <f>IF(ISBLANK(G3086),"",IF(D3086="Stock","0",Key!$A$3*H3086*G3086))</f>
        <v/>
      </c>
      <c r="J3086" s="78">
        <f>IF(ISBLANK(E3086),"",IF(ISNUMBER(SEARCH("/",E3086)), IF(LEN(E3086)-LEN(SUBSTITUTE(E3086,"/",""))=1,(RIGHT(E3086,LEN(E3086)-FIND("/",E3086)))-(LEFT(E3086,FIND("/",E3086)-1)),(MID(E3086, SEARCH("/",E3086) + 1, SEARCH("/",E3086, SEARCH("/",E3086)+1) - SEARCH("/",E3086) - 1))-(LEFT(E3086,FIND("/",E3086)-1))), "NA"))</f>
        <v/>
      </c>
      <c r="K3086" s="79">
        <f>IF(A3086&lt;&gt;"", IF(ISBLANK(L3086), TODAY(), K3086), "")</f>
        <v/>
      </c>
      <c r="L3086" s="78" t="n"/>
      <c r="M3086" s="78">
        <f>IF(ISBLANK(L3086),"",IF(D3086="Stock",IF(C3086="Buy",L3086*G3086,IF(C3086="Sell",(L3086*G3086)-I3086, X)),IF(C3086="Buy",(L3086*G3086*100)+I3086,IF(C3086="Sell",(L3086*G3086*100)-I3086, X))))</f>
        <v/>
      </c>
      <c r="N3086" s="78">
        <f>IF(ISBLANK(L3086),"",IF(AND(C3086="Sell",D3086="Stock"),M3086,IF(ISBLANK(L3086),"",IF(C3086="Buy",M3086, IF(AND(C3086="Sell",J3086="NA"),(E3086*G3086*100*0.1)+I3086, IF(C3086="Sell",(J3086-L3086)*(100*G3086)+I3086))))))</f>
        <v/>
      </c>
      <c r="O3086" s="75" t="n"/>
      <c r="P3086" s="75" t="n"/>
      <c r="Q3086" s="75">
        <f>IF(ISBLANK(P3086),"",IF(D3086="Stock",P3086*G3086,IF(P3086=0,"0",G3086*P3086*100-(G3086*$AF$14))))</f>
        <v/>
      </c>
      <c r="R3086" s="79">
        <f>IF(P3086&lt;&gt;"", TODAY(), "")</f>
        <v/>
      </c>
      <c r="S3086" s="78">
        <f>IF(AND(K3086&lt;&gt;"", R3086&lt;&gt;""), R3086-K3086, "")</f>
        <v/>
      </c>
      <c r="T3086" s="78" t="n"/>
      <c r="U3086" s="92">
        <f>IF(ISBLANK(P3086),"",IF(C3086="Buy",Q3086-M3086+T3086, IF(C3086="Sell",M3086-Q3086-T3086, X)))</f>
        <v/>
      </c>
      <c r="V3086" s="81">
        <f>IF(ISBLANK(P3086),"",U3086/N3086)</f>
        <v/>
      </c>
      <c r="W3086" s="81">
        <f>IF(ISBLANK(P3086),"",IF(S3086=0,(365/0.5)*V3086,(365/S3086)*V3086))</f>
        <v/>
      </c>
      <c r="X3086" s="75" t="n"/>
      <c r="Y3086" s="77" t="n"/>
      <c r="Z3086" s="77" t="n"/>
      <c r="AA3086" s="75" t="n"/>
      <c r="AB3086" s="75" t="n"/>
      <c r="AC3086" s="6" t="n"/>
      <c r="AD3086" s="75" t="n"/>
      <c r="AE3086" s="75" t="n"/>
      <c r="AF3086" s="75" t="n"/>
    </row>
    <row r="3087" ht="15.75" customHeight="1" s="133">
      <c r="A3087" s="75" t="n"/>
      <c r="B3087" s="75" t="n"/>
      <c r="C3087" s="75" t="n"/>
      <c r="D3087" s="75" t="n"/>
      <c r="E3087" s="76" t="n"/>
      <c r="F3087" s="77" t="n"/>
      <c r="G3087" s="75" t="n"/>
      <c r="H3087" s="75">
        <f>IF(ISBLANK(E3087),"",IF(OR(D3087="Butterfly",D3087="Butterfly ",D3087="Iron Fly", D3087="Iron Fly "),LEN(E3087)-LEN(SUBSTITUTE(E3087,"/",""))+2,LEN(E3087)-LEN(SUBSTITUTE(E3087,"/",""))+1))</f>
        <v/>
      </c>
      <c r="I3087" s="78">
        <f>IF(ISBLANK(G3087),"",IF(D3087="Stock","0",Key!$A$3*H3087*G3087))</f>
        <v/>
      </c>
      <c r="J3087" s="78">
        <f>IF(ISBLANK(E3087),"",IF(ISNUMBER(SEARCH("/",E3087)), IF(LEN(E3087)-LEN(SUBSTITUTE(E3087,"/",""))=1,(RIGHT(E3087,LEN(E3087)-FIND("/",E3087)))-(LEFT(E3087,FIND("/",E3087)-1)),(MID(E3087, SEARCH("/",E3087) + 1, SEARCH("/",E3087, SEARCH("/",E3087)+1) - SEARCH("/",E3087) - 1))-(LEFT(E3087,FIND("/",E3087)-1))), "NA"))</f>
        <v/>
      </c>
      <c r="K3087" s="79">
        <f>IF(A3087&lt;&gt;"", IF(ISBLANK(L3087), TODAY(), K3087), "")</f>
        <v/>
      </c>
      <c r="L3087" s="78" t="n"/>
      <c r="M3087" s="78">
        <f>IF(ISBLANK(L3087),"",IF(D3087="Stock",IF(C3087="Buy",L3087*G3087,IF(C3087="Sell",(L3087*G3087)-I3087, X)),IF(C3087="Buy",(L3087*G3087*100)+I3087,IF(C3087="Sell",(L3087*G3087*100)-I3087, X))))</f>
        <v/>
      </c>
      <c r="N3087" s="78">
        <f>IF(ISBLANK(L3087),"",IF(AND(C3087="Sell",D3087="Stock"),M3087,IF(ISBLANK(L3087),"",IF(C3087="Buy",M3087, IF(AND(C3087="Sell",J3087="NA"),(E3087*G3087*100*0.1)+I3087, IF(C3087="Sell",(J3087-L3087)*(100*G3087)+I3087))))))</f>
        <v/>
      </c>
      <c r="O3087" s="75" t="n"/>
      <c r="P3087" s="75" t="n"/>
      <c r="Q3087" s="75">
        <f>IF(ISBLANK(P3087),"",IF(D3087="Stock",P3087*G3087,IF(P3087=0,"0",G3087*P3087*100-(G3087*$AF$14))))</f>
        <v/>
      </c>
      <c r="R3087" s="79">
        <f>IF(P3087&lt;&gt;"", TODAY(), "")</f>
        <v/>
      </c>
      <c r="S3087" s="78">
        <f>IF(AND(K3087&lt;&gt;"", R3087&lt;&gt;""), R3087-K3087, "")</f>
        <v/>
      </c>
      <c r="T3087" s="78" t="n"/>
      <c r="U3087" s="92">
        <f>IF(ISBLANK(P3087),"",IF(C3087="Buy",Q3087-M3087+T3087, IF(C3087="Sell",M3087-Q3087-T3087, X)))</f>
        <v/>
      </c>
      <c r="V3087" s="81">
        <f>IF(ISBLANK(P3087),"",U3087/N3087)</f>
        <v/>
      </c>
      <c r="W3087" s="81">
        <f>IF(ISBLANK(P3087),"",IF(S3087=0,(365/0.5)*V3087,(365/S3087)*V3087))</f>
        <v/>
      </c>
      <c r="X3087" s="75" t="n"/>
      <c r="Y3087" s="77" t="n"/>
      <c r="Z3087" s="77" t="n"/>
      <c r="AA3087" s="75" t="n"/>
      <c r="AB3087" s="75" t="n"/>
      <c r="AC3087" s="6" t="n"/>
      <c r="AD3087" s="75" t="n"/>
      <c r="AE3087" s="75" t="n"/>
      <c r="AF3087" s="75" t="n"/>
    </row>
    <row r="3088" ht="15.75" customHeight="1" s="133">
      <c r="A3088" s="75" t="n"/>
      <c r="B3088" s="75" t="n"/>
      <c r="C3088" s="75" t="n"/>
      <c r="D3088" s="75" t="n"/>
      <c r="E3088" s="76" t="n"/>
      <c r="F3088" s="77" t="n"/>
      <c r="G3088" s="75" t="n"/>
      <c r="H3088" s="75">
        <f>IF(ISBLANK(E3088),"",IF(OR(D3088="Butterfly",D3088="Butterfly ",D3088="Iron Fly", D3088="Iron Fly "),LEN(E3088)-LEN(SUBSTITUTE(E3088,"/",""))+2,LEN(E3088)-LEN(SUBSTITUTE(E3088,"/",""))+1))</f>
        <v/>
      </c>
      <c r="I3088" s="78">
        <f>IF(ISBLANK(G3088),"",IF(D3088="Stock","0",Key!$A$3*H3088*G3088))</f>
        <v/>
      </c>
      <c r="J3088" s="78">
        <f>IF(ISBLANK(E3088),"",IF(ISNUMBER(SEARCH("/",E3088)), IF(LEN(E3088)-LEN(SUBSTITUTE(E3088,"/",""))=1,(RIGHT(E3088,LEN(E3088)-FIND("/",E3088)))-(LEFT(E3088,FIND("/",E3088)-1)),(MID(E3088, SEARCH("/",E3088) + 1, SEARCH("/",E3088, SEARCH("/",E3088)+1) - SEARCH("/",E3088) - 1))-(LEFT(E3088,FIND("/",E3088)-1))), "NA"))</f>
        <v/>
      </c>
      <c r="K3088" s="79">
        <f>IF(A3088&lt;&gt;"", IF(ISBLANK(L3088), TODAY(), K3088), "")</f>
        <v/>
      </c>
      <c r="L3088" s="78" t="n"/>
      <c r="M3088" s="78">
        <f>IF(ISBLANK(L3088),"",IF(D3088="Stock",IF(C3088="Buy",L3088*G3088,IF(C3088="Sell",(L3088*G3088)-I3088, X)),IF(C3088="Buy",(L3088*G3088*100)+I3088,IF(C3088="Sell",(L3088*G3088*100)-I3088, X))))</f>
        <v/>
      </c>
      <c r="N3088" s="78">
        <f>IF(ISBLANK(L3088),"",IF(AND(C3088="Sell",D3088="Stock"),M3088,IF(ISBLANK(L3088),"",IF(C3088="Buy",M3088, IF(AND(C3088="Sell",J3088="NA"),(E3088*G3088*100*0.1)+I3088, IF(C3088="Sell",(J3088-L3088)*(100*G3088)+I3088))))))</f>
        <v/>
      </c>
      <c r="O3088" s="75" t="n"/>
      <c r="P3088" s="75" t="n"/>
      <c r="Q3088" s="75">
        <f>IF(ISBLANK(P3088),"",IF(D3088="Stock",P3088*G3088,IF(P3088=0,"0",G3088*P3088*100-(G3088*$AF$14))))</f>
        <v/>
      </c>
      <c r="R3088" s="79">
        <f>IF(P3088&lt;&gt;"", TODAY(), "")</f>
        <v/>
      </c>
      <c r="S3088" s="78">
        <f>IF(AND(K3088&lt;&gt;"", R3088&lt;&gt;""), R3088-K3088, "")</f>
        <v/>
      </c>
      <c r="T3088" s="78" t="n"/>
      <c r="U3088" s="92">
        <f>IF(ISBLANK(P3088),"",IF(C3088="Buy",Q3088-M3088+T3088, IF(C3088="Sell",M3088-Q3088-T3088, X)))</f>
        <v/>
      </c>
      <c r="V3088" s="81">
        <f>IF(ISBLANK(P3088),"",U3088/N3088)</f>
        <v/>
      </c>
      <c r="W3088" s="81">
        <f>IF(ISBLANK(P3088),"",IF(S3088=0,(365/0.5)*V3088,(365/S3088)*V3088))</f>
        <v/>
      </c>
      <c r="X3088" s="75" t="n"/>
      <c r="Y3088" s="77" t="n"/>
      <c r="Z3088" s="77" t="n"/>
      <c r="AA3088" s="75" t="n"/>
      <c r="AB3088" s="75" t="n"/>
      <c r="AC3088" s="6" t="n"/>
      <c r="AD3088" s="75" t="n"/>
      <c r="AE3088" s="75" t="n"/>
      <c r="AF3088" s="75" t="n"/>
    </row>
    <row r="3089" ht="15.75" customHeight="1" s="133">
      <c r="A3089" s="75" t="n"/>
      <c r="B3089" s="75" t="n"/>
      <c r="C3089" s="75" t="n"/>
      <c r="D3089" s="75" t="n"/>
      <c r="E3089" s="76" t="n"/>
      <c r="F3089" s="77" t="n"/>
      <c r="G3089" s="75" t="n"/>
      <c r="H3089" s="75">
        <f>IF(ISBLANK(E3089),"",IF(OR(D3089="Butterfly",D3089="Butterfly ",D3089="Iron Fly", D3089="Iron Fly "),LEN(E3089)-LEN(SUBSTITUTE(E3089,"/",""))+2,LEN(E3089)-LEN(SUBSTITUTE(E3089,"/",""))+1))</f>
        <v/>
      </c>
      <c r="I3089" s="78">
        <f>IF(ISBLANK(G3089),"",IF(D3089="Stock","0",Key!$A$3*H3089*G3089))</f>
        <v/>
      </c>
      <c r="J3089" s="78">
        <f>IF(ISBLANK(E3089),"",IF(ISNUMBER(SEARCH("/",E3089)), IF(LEN(E3089)-LEN(SUBSTITUTE(E3089,"/",""))=1,(RIGHT(E3089,LEN(E3089)-FIND("/",E3089)))-(LEFT(E3089,FIND("/",E3089)-1)),(MID(E3089, SEARCH("/",E3089) + 1, SEARCH("/",E3089, SEARCH("/",E3089)+1) - SEARCH("/",E3089) - 1))-(LEFT(E3089,FIND("/",E3089)-1))), "NA"))</f>
        <v/>
      </c>
      <c r="K3089" s="79">
        <f>IF(A3089&lt;&gt;"", IF(ISBLANK(L3089), TODAY(), K3089), "")</f>
        <v/>
      </c>
      <c r="L3089" s="78" t="n"/>
      <c r="M3089" s="78">
        <f>IF(ISBLANK(L3089),"",IF(D3089="Stock",IF(C3089="Buy",L3089*G3089,IF(C3089="Sell",(L3089*G3089)-I3089, X)),IF(C3089="Buy",(L3089*G3089*100)+I3089,IF(C3089="Sell",(L3089*G3089*100)-I3089, X))))</f>
        <v/>
      </c>
      <c r="N3089" s="78">
        <f>IF(ISBLANK(L3089),"",IF(AND(C3089="Sell",D3089="Stock"),M3089,IF(ISBLANK(L3089),"",IF(C3089="Buy",M3089, IF(AND(C3089="Sell",J3089="NA"),(E3089*G3089*100*0.1)+I3089, IF(C3089="Sell",(J3089-L3089)*(100*G3089)+I3089))))))</f>
        <v/>
      </c>
      <c r="O3089" s="75" t="n"/>
      <c r="P3089" s="75" t="n"/>
      <c r="Q3089" s="75">
        <f>IF(ISBLANK(P3089),"",IF(D3089="Stock",P3089*G3089,IF(P3089=0,"0",G3089*P3089*100-(G3089*$AF$14))))</f>
        <v/>
      </c>
      <c r="R3089" s="79">
        <f>IF(P3089&lt;&gt;"", TODAY(), "")</f>
        <v/>
      </c>
      <c r="S3089" s="78">
        <f>IF(AND(K3089&lt;&gt;"", R3089&lt;&gt;""), R3089-K3089, "")</f>
        <v/>
      </c>
      <c r="T3089" s="78" t="n"/>
      <c r="U3089" s="92">
        <f>IF(ISBLANK(P3089),"",IF(C3089="Buy",Q3089-M3089+T3089, IF(C3089="Sell",M3089-Q3089-T3089, X)))</f>
        <v/>
      </c>
      <c r="V3089" s="81">
        <f>IF(ISBLANK(P3089),"",U3089/N3089)</f>
        <v/>
      </c>
      <c r="W3089" s="81">
        <f>IF(ISBLANK(P3089),"",IF(S3089=0,(365/0.5)*V3089,(365/S3089)*V3089))</f>
        <v/>
      </c>
      <c r="X3089" s="75" t="n"/>
      <c r="Y3089" s="77" t="n"/>
      <c r="Z3089" s="77" t="n"/>
      <c r="AA3089" s="75" t="n"/>
      <c r="AB3089" s="75" t="n"/>
      <c r="AC3089" s="6" t="n"/>
      <c r="AD3089" s="75" t="n"/>
      <c r="AE3089" s="75" t="n"/>
      <c r="AF3089" s="75" t="n"/>
    </row>
    <row r="3090" ht="15.75" customHeight="1" s="133">
      <c r="A3090" s="75" t="n"/>
      <c r="B3090" s="75" t="n"/>
      <c r="C3090" s="75" t="n"/>
      <c r="D3090" s="75" t="n"/>
      <c r="E3090" s="76" t="n"/>
      <c r="F3090" s="77" t="n"/>
      <c r="G3090" s="75" t="n"/>
      <c r="H3090" s="75">
        <f>IF(ISBLANK(E3090),"",IF(OR(D3090="Butterfly",D3090="Butterfly ",D3090="Iron Fly", D3090="Iron Fly "),LEN(E3090)-LEN(SUBSTITUTE(E3090,"/",""))+2,LEN(E3090)-LEN(SUBSTITUTE(E3090,"/",""))+1))</f>
        <v/>
      </c>
      <c r="I3090" s="78">
        <f>IF(ISBLANK(G3090),"",IF(D3090="Stock","0",Key!$A$3*H3090*G3090))</f>
        <v/>
      </c>
      <c r="J3090" s="78">
        <f>IF(ISBLANK(E3090),"",IF(ISNUMBER(SEARCH("/",E3090)), IF(LEN(E3090)-LEN(SUBSTITUTE(E3090,"/",""))=1,(RIGHT(E3090,LEN(E3090)-FIND("/",E3090)))-(LEFT(E3090,FIND("/",E3090)-1)),(MID(E3090, SEARCH("/",E3090) + 1, SEARCH("/",E3090, SEARCH("/",E3090)+1) - SEARCH("/",E3090) - 1))-(LEFT(E3090,FIND("/",E3090)-1))), "NA"))</f>
        <v/>
      </c>
      <c r="K3090" s="79">
        <f>IF(A3090&lt;&gt;"", IF(ISBLANK(L3090), TODAY(), K3090), "")</f>
        <v/>
      </c>
      <c r="L3090" s="78" t="n"/>
      <c r="M3090" s="78">
        <f>IF(ISBLANK(L3090),"",IF(D3090="Stock",IF(C3090="Buy",L3090*G3090,IF(C3090="Sell",(L3090*G3090)-I3090, X)),IF(C3090="Buy",(L3090*G3090*100)+I3090,IF(C3090="Sell",(L3090*G3090*100)-I3090, X))))</f>
        <v/>
      </c>
      <c r="N3090" s="78">
        <f>IF(ISBLANK(L3090),"",IF(AND(C3090="Sell",D3090="Stock"),M3090,IF(ISBLANK(L3090),"",IF(C3090="Buy",M3090, IF(AND(C3090="Sell",J3090="NA"),(E3090*G3090*100*0.1)+I3090, IF(C3090="Sell",(J3090-L3090)*(100*G3090)+I3090))))))</f>
        <v/>
      </c>
      <c r="O3090" s="75" t="n"/>
      <c r="P3090" s="75" t="n"/>
      <c r="Q3090" s="75">
        <f>IF(ISBLANK(P3090),"",IF(D3090="Stock",P3090*G3090,IF(P3090=0,"0",G3090*P3090*100-(G3090*$AF$14))))</f>
        <v/>
      </c>
      <c r="R3090" s="79">
        <f>IF(P3090&lt;&gt;"", TODAY(), "")</f>
        <v/>
      </c>
      <c r="S3090" s="78">
        <f>IF(AND(K3090&lt;&gt;"", R3090&lt;&gt;""), R3090-K3090, "")</f>
        <v/>
      </c>
      <c r="T3090" s="78" t="n"/>
      <c r="U3090" s="92">
        <f>IF(ISBLANK(P3090),"",IF(C3090="Buy",Q3090-M3090+T3090, IF(C3090="Sell",M3090-Q3090-T3090, X)))</f>
        <v/>
      </c>
      <c r="V3090" s="81">
        <f>IF(ISBLANK(P3090),"",U3090/N3090)</f>
        <v/>
      </c>
      <c r="W3090" s="81">
        <f>IF(ISBLANK(P3090),"",IF(S3090=0,(365/0.5)*V3090,(365/S3090)*V3090))</f>
        <v/>
      </c>
      <c r="X3090" s="75" t="n"/>
      <c r="Y3090" s="77" t="n"/>
      <c r="Z3090" s="77" t="n"/>
      <c r="AA3090" s="75" t="n"/>
      <c r="AB3090" s="75" t="n"/>
      <c r="AC3090" s="6" t="n"/>
      <c r="AD3090" s="75" t="n"/>
      <c r="AE3090" s="75" t="n"/>
      <c r="AF3090" s="75" t="n"/>
    </row>
    <row r="3091" ht="15.75" customHeight="1" s="133">
      <c r="A3091" s="75" t="n"/>
      <c r="B3091" s="75" t="n"/>
      <c r="C3091" s="75" t="n"/>
      <c r="D3091" s="75" t="n"/>
      <c r="E3091" s="76" t="n"/>
      <c r="F3091" s="77" t="n"/>
      <c r="G3091" s="75" t="n"/>
      <c r="H3091" s="75">
        <f>IF(ISBLANK(E3091),"",IF(OR(D3091="Butterfly",D3091="Butterfly ",D3091="Iron Fly", D3091="Iron Fly "),LEN(E3091)-LEN(SUBSTITUTE(E3091,"/",""))+2,LEN(E3091)-LEN(SUBSTITUTE(E3091,"/",""))+1))</f>
        <v/>
      </c>
      <c r="I3091" s="78">
        <f>IF(ISBLANK(G3091),"",IF(D3091="Stock","0",Key!$A$3*H3091*G3091))</f>
        <v/>
      </c>
      <c r="J3091" s="78">
        <f>IF(ISBLANK(E3091),"",IF(ISNUMBER(SEARCH("/",E3091)), IF(LEN(E3091)-LEN(SUBSTITUTE(E3091,"/",""))=1,(RIGHT(E3091,LEN(E3091)-FIND("/",E3091)))-(LEFT(E3091,FIND("/",E3091)-1)),(MID(E3091, SEARCH("/",E3091) + 1, SEARCH("/",E3091, SEARCH("/",E3091)+1) - SEARCH("/",E3091) - 1))-(LEFT(E3091,FIND("/",E3091)-1))), "NA"))</f>
        <v/>
      </c>
      <c r="K3091" s="79">
        <f>IF(A3091&lt;&gt;"", IF(ISBLANK(L3091), TODAY(), K3091), "")</f>
        <v/>
      </c>
      <c r="L3091" s="78" t="n"/>
      <c r="M3091" s="78">
        <f>IF(ISBLANK(L3091),"",IF(D3091="Stock",IF(C3091="Buy",L3091*G3091,IF(C3091="Sell",(L3091*G3091)-I3091, X)),IF(C3091="Buy",(L3091*G3091*100)+I3091,IF(C3091="Sell",(L3091*G3091*100)-I3091, X))))</f>
        <v/>
      </c>
      <c r="N3091" s="78">
        <f>IF(ISBLANK(L3091),"",IF(AND(C3091="Sell",D3091="Stock"),M3091,IF(ISBLANK(L3091),"",IF(C3091="Buy",M3091, IF(AND(C3091="Sell",J3091="NA"),(E3091*G3091*100*0.1)+I3091, IF(C3091="Sell",(J3091-L3091)*(100*G3091)+I3091))))))</f>
        <v/>
      </c>
      <c r="O3091" s="75" t="n"/>
      <c r="P3091" s="75" t="n"/>
      <c r="Q3091" s="75">
        <f>IF(ISBLANK(P3091),"",IF(D3091="Stock",P3091*G3091,IF(P3091=0,"0",G3091*P3091*100-(G3091*$AF$14))))</f>
        <v/>
      </c>
      <c r="R3091" s="79">
        <f>IF(P3091&lt;&gt;"", TODAY(), "")</f>
        <v/>
      </c>
      <c r="S3091" s="78">
        <f>IF(AND(K3091&lt;&gt;"", R3091&lt;&gt;""), R3091-K3091, "")</f>
        <v/>
      </c>
      <c r="T3091" s="78" t="n"/>
      <c r="U3091" s="92">
        <f>IF(ISBLANK(P3091),"",IF(C3091="Buy",Q3091-M3091+T3091, IF(C3091="Sell",M3091-Q3091-T3091, X)))</f>
        <v/>
      </c>
      <c r="V3091" s="81">
        <f>IF(ISBLANK(P3091),"",U3091/N3091)</f>
        <v/>
      </c>
      <c r="W3091" s="81">
        <f>IF(ISBLANK(P3091),"",IF(S3091=0,(365/0.5)*V3091,(365/S3091)*V3091))</f>
        <v/>
      </c>
      <c r="X3091" s="75" t="n"/>
      <c r="Y3091" s="77" t="n"/>
      <c r="Z3091" s="77" t="n"/>
      <c r="AA3091" s="75" t="n"/>
      <c r="AB3091" s="75" t="n"/>
      <c r="AC3091" s="6" t="n"/>
      <c r="AD3091" s="75" t="n"/>
      <c r="AE3091" s="75" t="n"/>
      <c r="AF3091" s="75" t="n"/>
    </row>
    <row r="3092" ht="15.75" customHeight="1" s="133">
      <c r="A3092" s="75" t="n"/>
      <c r="B3092" s="75" t="n"/>
      <c r="C3092" s="75" t="n"/>
      <c r="D3092" s="75" t="n"/>
      <c r="E3092" s="76" t="n"/>
      <c r="F3092" s="77" t="n"/>
      <c r="G3092" s="75" t="n"/>
      <c r="H3092" s="75">
        <f>IF(ISBLANK(E3092),"",IF(OR(D3092="Butterfly",D3092="Butterfly ",D3092="Iron Fly", D3092="Iron Fly "),LEN(E3092)-LEN(SUBSTITUTE(E3092,"/",""))+2,LEN(E3092)-LEN(SUBSTITUTE(E3092,"/",""))+1))</f>
        <v/>
      </c>
      <c r="I3092" s="78">
        <f>IF(ISBLANK(G3092),"",IF(D3092="Stock","0",Key!$A$3*H3092*G3092))</f>
        <v/>
      </c>
      <c r="J3092" s="78">
        <f>IF(ISBLANK(E3092),"",IF(ISNUMBER(SEARCH("/",E3092)), IF(LEN(E3092)-LEN(SUBSTITUTE(E3092,"/",""))=1,(RIGHT(E3092,LEN(E3092)-FIND("/",E3092)))-(LEFT(E3092,FIND("/",E3092)-1)),(MID(E3092, SEARCH("/",E3092) + 1, SEARCH("/",E3092, SEARCH("/",E3092)+1) - SEARCH("/",E3092) - 1))-(LEFT(E3092,FIND("/",E3092)-1))), "NA"))</f>
        <v/>
      </c>
      <c r="K3092" s="79">
        <f>IF(A3092&lt;&gt;"", IF(ISBLANK(L3092), TODAY(), K3092), "")</f>
        <v/>
      </c>
      <c r="L3092" s="78" t="n"/>
      <c r="M3092" s="78">
        <f>IF(ISBLANK(L3092),"",IF(D3092="Stock",IF(C3092="Buy",L3092*G3092,IF(C3092="Sell",(L3092*G3092)-I3092, X)),IF(C3092="Buy",(L3092*G3092*100)+I3092,IF(C3092="Sell",(L3092*G3092*100)-I3092, X))))</f>
        <v/>
      </c>
      <c r="N3092" s="78">
        <f>IF(ISBLANK(L3092),"",IF(AND(C3092="Sell",D3092="Stock"),M3092,IF(ISBLANK(L3092),"",IF(C3092="Buy",M3092, IF(AND(C3092="Sell",J3092="NA"),(E3092*G3092*100*0.1)+I3092, IF(C3092="Sell",(J3092-L3092)*(100*G3092)+I3092))))))</f>
        <v/>
      </c>
      <c r="O3092" s="75" t="n"/>
      <c r="P3092" s="75" t="n"/>
      <c r="Q3092" s="75">
        <f>IF(ISBLANK(P3092),"",IF(D3092="Stock",P3092*G3092,IF(P3092=0,"0",G3092*P3092*100-(G3092*$AF$14))))</f>
        <v/>
      </c>
      <c r="R3092" s="79">
        <f>IF(P3092&lt;&gt;"", TODAY(), "")</f>
        <v/>
      </c>
      <c r="S3092" s="78">
        <f>IF(AND(K3092&lt;&gt;"", R3092&lt;&gt;""), R3092-K3092, "")</f>
        <v/>
      </c>
      <c r="T3092" s="78" t="n"/>
      <c r="U3092" s="92">
        <f>IF(ISBLANK(P3092),"",IF(C3092="Buy",Q3092-M3092+T3092, IF(C3092="Sell",M3092-Q3092-T3092, X)))</f>
        <v/>
      </c>
      <c r="V3092" s="81">
        <f>IF(ISBLANK(P3092),"",U3092/N3092)</f>
        <v/>
      </c>
      <c r="W3092" s="81">
        <f>IF(ISBLANK(P3092),"",IF(S3092=0,(365/0.5)*V3092,(365/S3092)*V3092))</f>
        <v/>
      </c>
      <c r="X3092" s="75" t="n"/>
      <c r="Y3092" s="77" t="n"/>
      <c r="Z3092" s="77" t="n"/>
      <c r="AA3092" s="75" t="n"/>
      <c r="AB3092" s="75" t="n"/>
      <c r="AC3092" s="6" t="n"/>
      <c r="AD3092" s="75" t="n"/>
      <c r="AE3092" s="75" t="n"/>
      <c r="AF3092" s="75" t="n"/>
    </row>
    <row r="3093" ht="15.75" customHeight="1" s="133">
      <c r="A3093" s="75" t="n"/>
      <c r="B3093" s="75" t="n"/>
      <c r="C3093" s="75" t="n"/>
      <c r="D3093" s="75" t="n"/>
      <c r="E3093" s="76" t="n"/>
      <c r="F3093" s="77" t="n"/>
      <c r="G3093" s="75" t="n"/>
      <c r="H3093" s="75">
        <f>IF(ISBLANK(E3093),"",IF(OR(D3093="Butterfly",D3093="Butterfly ",D3093="Iron Fly", D3093="Iron Fly "),LEN(E3093)-LEN(SUBSTITUTE(E3093,"/",""))+2,LEN(E3093)-LEN(SUBSTITUTE(E3093,"/",""))+1))</f>
        <v/>
      </c>
      <c r="I3093" s="78">
        <f>IF(ISBLANK(G3093),"",IF(D3093="Stock","0",Key!$A$3*H3093*G3093))</f>
        <v/>
      </c>
      <c r="J3093" s="78">
        <f>IF(ISBLANK(E3093),"",IF(ISNUMBER(SEARCH("/",E3093)), IF(LEN(E3093)-LEN(SUBSTITUTE(E3093,"/",""))=1,(RIGHT(E3093,LEN(E3093)-FIND("/",E3093)))-(LEFT(E3093,FIND("/",E3093)-1)),(MID(E3093, SEARCH("/",E3093) + 1, SEARCH("/",E3093, SEARCH("/",E3093)+1) - SEARCH("/",E3093) - 1))-(LEFT(E3093,FIND("/",E3093)-1))), "NA"))</f>
        <v/>
      </c>
      <c r="K3093" s="79">
        <f>IF(A3093&lt;&gt;"", IF(ISBLANK(L3093), TODAY(), K3093), "")</f>
        <v/>
      </c>
      <c r="L3093" s="78" t="n"/>
      <c r="M3093" s="78">
        <f>IF(ISBLANK(L3093),"",IF(D3093="Stock",IF(C3093="Buy",L3093*G3093,IF(C3093="Sell",(L3093*G3093)-I3093, X)),IF(C3093="Buy",(L3093*G3093*100)+I3093,IF(C3093="Sell",(L3093*G3093*100)-I3093, X))))</f>
        <v/>
      </c>
      <c r="N3093" s="78">
        <f>IF(ISBLANK(L3093),"",IF(AND(C3093="Sell",D3093="Stock"),M3093,IF(ISBLANK(L3093),"",IF(C3093="Buy",M3093, IF(AND(C3093="Sell",J3093="NA"),(E3093*G3093*100*0.1)+I3093, IF(C3093="Sell",(J3093-L3093)*(100*G3093)+I3093))))))</f>
        <v/>
      </c>
      <c r="O3093" s="75" t="n"/>
      <c r="P3093" s="75" t="n"/>
      <c r="Q3093" s="75">
        <f>IF(ISBLANK(P3093),"",IF(D3093="Stock",P3093*G3093,IF(P3093=0,"0",G3093*P3093*100-(G3093*$AF$14))))</f>
        <v/>
      </c>
      <c r="R3093" s="79">
        <f>IF(P3093&lt;&gt;"", TODAY(), "")</f>
        <v/>
      </c>
      <c r="S3093" s="78">
        <f>IF(AND(K3093&lt;&gt;"", R3093&lt;&gt;""), R3093-K3093, "")</f>
        <v/>
      </c>
      <c r="T3093" s="78" t="n"/>
      <c r="U3093" s="92">
        <f>IF(ISBLANK(P3093),"",IF(C3093="Buy",Q3093-M3093+T3093, IF(C3093="Sell",M3093-Q3093-T3093, X)))</f>
        <v/>
      </c>
      <c r="V3093" s="81">
        <f>IF(ISBLANK(P3093),"",U3093/N3093)</f>
        <v/>
      </c>
      <c r="W3093" s="81">
        <f>IF(ISBLANK(P3093),"",IF(S3093=0,(365/0.5)*V3093,(365/S3093)*V3093))</f>
        <v/>
      </c>
      <c r="X3093" s="75" t="n"/>
      <c r="Y3093" s="77" t="n"/>
      <c r="Z3093" s="77" t="n"/>
      <c r="AA3093" s="75" t="n"/>
      <c r="AB3093" s="75" t="n"/>
      <c r="AC3093" s="6" t="n"/>
      <c r="AD3093" s="75" t="n"/>
      <c r="AE3093" s="75" t="n"/>
      <c r="AF3093" s="75" t="n"/>
    </row>
    <row r="3094" ht="15.75" customHeight="1" s="133">
      <c r="A3094" s="75" t="n"/>
      <c r="B3094" s="75" t="n"/>
      <c r="C3094" s="75" t="n"/>
      <c r="D3094" s="75" t="n"/>
      <c r="E3094" s="76" t="n"/>
      <c r="F3094" s="77" t="n"/>
      <c r="G3094" s="75" t="n"/>
      <c r="H3094" s="75">
        <f>IF(ISBLANK(E3094),"",IF(OR(D3094="Butterfly",D3094="Butterfly ",D3094="Iron Fly", D3094="Iron Fly "),LEN(E3094)-LEN(SUBSTITUTE(E3094,"/",""))+2,LEN(E3094)-LEN(SUBSTITUTE(E3094,"/",""))+1))</f>
        <v/>
      </c>
      <c r="I3094" s="78">
        <f>IF(ISBLANK(G3094),"",IF(D3094="Stock","0",Key!$A$3*H3094*G3094))</f>
        <v/>
      </c>
      <c r="J3094" s="78">
        <f>IF(ISBLANK(E3094),"",IF(ISNUMBER(SEARCH("/",E3094)), IF(LEN(E3094)-LEN(SUBSTITUTE(E3094,"/",""))=1,(RIGHT(E3094,LEN(E3094)-FIND("/",E3094)))-(LEFT(E3094,FIND("/",E3094)-1)),(MID(E3094, SEARCH("/",E3094) + 1, SEARCH("/",E3094, SEARCH("/",E3094)+1) - SEARCH("/",E3094) - 1))-(LEFT(E3094,FIND("/",E3094)-1))), "NA"))</f>
        <v/>
      </c>
      <c r="K3094" s="79">
        <f>IF(A3094&lt;&gt;"", IF(ISBLANK(L3094), TODAY(), K3094), "")</f>
        <v/>
      </c>
      <c r="L3094" s="78" t="n"/>
      <c r="M3094" s="78">
        <f>IF(ISBLANK(L3094),"",IF(D3094="Stock",IF(C3094="Buy",L3094*G3094,IF(C3094="Sell",(L3094*G3094)-I3094, X)),IF(C3094="Buy",(L3094*G3094*100)+I3094,IF(C3094="Sell",(L3094*G3094*100)-I3094, X))))</f>
        <v/>
      </c>
      <c r="N3094" s="78">
        <f>IF(ISBLANK(L3094),"",IF(AND(C3094="Sell",D3094="Stock"),M3094,IF(ISBLANK(L3094),"",IF(C3094="Buy",M3094, IF(AND(C3094="Sell",J3094="NA"),(E3094*G3094*100*0.1)+I3094, IF(C3094="Sell",(J3094-L3094)*(100*G3094)+I3094))))))</f>
        <v/>
      </c>
      <c r="O3094" s="75" t="n"/>
      <c r="P3094" s="75" t="n"/>
      <c r="Q3094" s="75">
        <f>IF(ISBLANK(P3094),"",IF(D3094="Stock",P3094*G3094,IF(P3094=0,"0",G3094*P3094*100-(G3094*$AF$14))))</f>
        <v/>
      </c>
      <c r="R3094" s="79">
        <f>IF(P3094&lt;&gt;"", TODAY(), "")</f>
        <v/>
      </c>
      <c r="S3094" s="78">
        <f>IF(AND(K3094&lt;&gt;"", R3094&lt;&gt;""), R3094-K3094, "")</f>
        <v/>
      </c>
      <c r="T3094" s="78" t="n"/>
      <c r="U3094" s="92">
        <f>IF(ISBLANK(P3094),"",IF(C3094="Buy",Q3094-M3094+T3094, IF(C3094="Sell",M3094-Q3094-T3094, X)))</f>
        <v/>
      </c>
      <c r="V3094" s="81">
        <f>IF(ISBLANK(P3094),"",U3094/N3094)</f>
        <v/>
      </c>
      <c r="W3094" s="81">
        <f>IF(ISBLANK(P3094),"",IF(S3094=0,(365/0.5)*V3094,(365/S3094)*V3094))</f>
        <v/>
      </c>
      <c r="X3094" s="75" t="n"/>
      <c r="Y3094" s="77" t="n"/>
      <c r="Z3094" s="77" t="n"/>
      <c r="AA3094" s="75" t="n"/>
      <c r="AB3094" s="75" t="n"/>
      <c r="AC3094" s="6" t="n"/>
      <c r="AD3094" s="75" t="n"/>
      <c r="AE3094" s="75" t="n"/>
      <c r="AF3094" s="75" t="n"/>
    </row>
    <row r="3095" ht="15.75" customHeight="1" s="133">
      <c r="A3095" s="75" t="n"/>
      <c r="B3095" s="75" t="n"/>
      <c r="C3095" s="75" t="n"/>
      <c r="D3095" s="75" t="n"/>
      <c r="E3095" s="76" t="n"/>
      <c r="F3095" s="77" t="n"/>
      <c r="G3095" s="75" t="n"/>
      <c r="H3095" s="75">
        <f>IF(ISBLANK(E3095),"",IF(OR(D3095="Butterfly",D3095="Butterfly ",D3095="Iron Fly", D3095="Iron Fly "),LEN(E3095)-LEN(SUBSTITUTE(E3095,"/",""))+2,LEN(E3095)-LEN(SUBSTITUTE(E3095,"/",""))+1))</f>
        <v/>
      </c>
      <c r="I3095" s="78">
        <f>IF(ISBLANK(G3095),"",IF(D3095="Stock","0",Key!$A$3*H3095*G3095))</f>
        <v/>
      </c>
      <c r="J3095" s="78">
        <f>IF(ISBLANK(E3095),"",IF(ISNUMBER(SEARCH("/",E3095)), IF(LEN(E3095)-LEN(SUBSTITUTE(E3095,"/",""))=1,(RIGHT(E3095,LEN(E3095)-FIND("/",E3095)))-(LEFT(E3095,FIND("/",E3095)-1)),(MID(E3095, SEARCH("/",E3095) + 1, SEARCH("/",E3095, SEARCH("/",E3095)+1) - SEARCH("/",E3095) - 1))-(LEFT(E3095,FIND("/",E3095)-1))), "NA"))</f>
        <v/>
      </c>
      <c r="K3095" s="79">
        <f>IF(A3095&lt;&gt;"", IF(ISBLANK(L3095), TODAY(), K3095), "")</f>
        <v/>
      </c>
      <c r="L3095" s="78" t="n"/>
      <c r="M3095" s="78">
        <f>IF(ISBLANK(L3095),"",IF(D3095="Stock",IF(C3095="Buy",L3095*G3095,IF(C3095="Sell",(L3095*G3095)-I3095, X)),IF(C3095="Buy",(L3095*G3095*100)+I3095,IF(C3095="Sell",(L3095*G3095*100)-I3095, X))))</f>
        <v/>
      </c>
      <c r="N3095" s="78">
        <f>IF(ISBLANK(L3095),"",IF(AND(C3095="Sell",D3095="Stock"),M3095,IF(ISBLANK(L3095),"",IF(C3095="Buy",M3095, IF(AND(C3095="Sell",J3095="NA"),(E3095*G3095*100*0.1)+I3095, IF(C3095="Sell",(J3095-L3095)*(100*G3095)+I3095))))))</f>
        <v/>
      </c>
      <c r="O3095" s="75" t="n"/>
      <c r="P3095" s="75" t="n"/>
      <c r="Q3095" s="75">
        <f>IF(ISBLANK(P3095),"",IF(D3095="Stock",P3095*G3095,IF(P3095=0,"0",G3095*P3095*100-(G3095*$AF$14))))</f>
        <v/>
      </c>
      <c r="R3095" s="79">
        <f>IF(P3095&lt;&gt;"", TODAY(), "")</f>
        <v/>
      </c>
      <c r="S3095" s="78">
        <f>IF(AND(K3095&lt;&gt;"", R3095&lt;&gt;""), R3095-K3095, "")</f>
        <v/>
      </c>
      <c r="T3095" s="78" t="n"/>
      <c r="U3095" s="92">
        <f>IF(ISBLANK(P3095),"",IF(C3095="Buy",Q3095-M3095+T3095, IF(C3095="Sell",M3095-Q3095-T3095, X)))</f>
        <v/>
      </c>
      <c r="V3095" s="81">
        <f>IF(ISBLANK(P3095),"",U3095/N3095)</f>
        <v/>
      </c>
      <c r="W3095" s="81">
        <f>IF(ISBLANK(P3095),"",IF(S3095=0,(365/0.5)*V3095,(365/S3095)*V3095))</f>
        <v/>
      </c>
      <c r="X3095" s="75" t="n"/>
      <c r="Y3095" s="77" t="n"/>
      <c r="Z3095" s="77" t="n"/>
      <c r="AA3095" s="75" t="n"/>
      <c r="AB3095" s="75" t="n"/>
      <c r="AC3095" s="6" t="n"/>
      <c r="AD3095" s="75" t="n"/>
      <c r="AE3095" s="75" t="n"/>
      <c r="AF3095" s="75" t="n"/>
    </row>
    <row r="3096" ht="15.75" customHeight="1" s="133">
      <c r="A3096" s="75" t="n"/>
      <c r="B3096" s="75" t="n"/>
      <c r="C3096" s="75" t="n"/>
      <c r="D3096" s="75" t="n"/>
      <c r="E3096" s="76" t="n"/>
      <c r="F3096" s="77" t="n"/>
      <c r="G3096" s="75" t="n"/>
      <c r="H3096" s="75">
        <f>IF(ISBLANK(E3096),"",IF(OR(D3096="Butterfly",D3096="Butterfly ",D3096="Iron Fly", D3096="Iron Fly "),LEN(E3096)-LEN(SUBSTITUTE(E3096,"/",""))+2,LEN(E3096)-LEN(SUBSTITUTE(E3096,"/",""))+1))</f>
        <v/>
      </c>
      <c r="I3096" s="78">
        <f>IF(ISBLANK(G3096),"",IF(D3096="Stock","0",Key!$A$3*H3096*G3096))</f>
        <v/>
      </c>
      <c r="J3096" s="78">
        <f>IF(ISBLANK(E3096),"",IF(ISNUMBER(SEARCH("/",E3096)), IF(LEN(E3096)-LEN(SUBSTITUTE(E3096,"/",""))=1,(RIGHT(E3096,LEN(E3096)-FIND("/",E3096)))-(LEFT(E3096,FIND("/",E3096)-1)),(MID(E3096, SEARCH("/",E3096) + 1, SEARCH("/",E3096, SEARCH("/",E3096)+1) - SEARCH("/",E3096) - 1))-(LEFT(E3096,FIND("/",E3096)-1))), "NA"))</f>
        <v/>
      </c>
      <c r="K3096" s="79">
        <f>IF(A3096&lt;&gt;"", IF(ISBLANK(L3096), TODAY(), K3096), "")</f>
        <v/>
      </c>
      <c r="L3096" s="78" t="n"/>
      <c r="M3096" s="78">
        <f>IF(ISBLANK(L3096),"",IF(D3096="Stock",IF(C3096="Buy",L3096*G3096,IF(C3096="Sell",(L3096*G3096)-I3096, X)),IF(C3096="Buy",(L3096*G3096*100)+I3096,IF(C3096="Sell",(L3096*G3096*100)-I3096, X))))</f>
        <v/>
      </c>
      <c r="N3096" s="78">
        <f>IF(ISBLANK(L3096),"",IF(AND(C3096="Sell",D3096="Stock"),M3096,IF(ISBLANK(L3096),"",IF(C3096="Buy",M3096, IF(AND(C3096="Sell",J3096="NA"),(E3096*G3096*100*0.1)+I3096, IF(C3096="Sell",(J3096-L3096)*(100*G3096)+I3096))))))</f>
        <v/>
      </c>
      <c r="O3096" s="75" t="n"/>
      <c r="P3096" s="75" t="n"/>
      <c r="Q3096" s="75">
        <f>IF(ISBLANK(P3096),"",IF(D3096="Stock",P3096*G3096,IF(P3096=0,"0",G3096*P3096*100-(G3096*$AF$14))))</f>
        <v/>
      </c>
      <c r="R3096" s="79">
        <f>IF(P3096&lt;&gt;"", TODAY(), "")</f>
        <v/>
      </c>
      <c r="S3096" s="78">
        <f>IF(AND(K3096&lt;&gt;"", R3096&lt;&gt;""), R3096-K3096, "")</f>
        <v/>
      </c>
      <c r="T3096" s="78" t="n"/>
      <c r="U3096" s="92">
        <f>IF(ISBLANK(P3096),"",IF(C3096="Buy",Q3096-M3096+T3096, IF(C3096="Sell",M3096-Q3096-T3096, X)))</f>
        <v/>
      </c>
      <c r="V3096" s="81">
        <f>IF(ISBLANK(P3096),"",U3096/N3096)</f>
        <v/>
      </c>
      <c r="W3096" s="81">
        <f>IF(ISBLANK(P3096),"",IF(S3096=0,(365/0.5)*V3096,(365/S3096)*V3096))</f>
        <v/>
      </c>
      <c r="X3096" s="75" t="n"/>
      <c r="Y3096" s="77" t="n"/>
      <c r="Z3096" s="77" t="n"/>
      <c r="AA3096" s="75" t="n"/>
      <c r="AB3096" s="75" t="n"/>
      <c r="AC3096" s="6" t="n"/>
      <c r="AD3096" s="75" t="n"/>
      <c r="AE3096" s="75" t="n"/>
      <c r="AF3096" s="75" t="n"/>
    </row>
    <row r="3097" ht="15.75" customHeight="1" s="133">
      <c r="A3097" s="75" t="n"/>
      <c r="B3097" s="75" t="n"/>
      <c r="C3097" s="75" t="n"/>
      <c r="D3097" s="75" t="n"/>
      <c r="E3097" s="76" t="n"/>
      <c r="F3097" s="77" t="n"/>
      <c r="G3097" s="75" t="n"/>
      <c r="H3097" s="75">
        <f>IF(ISBLANK(E3097),"",IF(OR(D3097="Butterfly",D3097="Butterfly ",D3097="Iron Fly", D3097="Iron Fly "),LEN(E3097)-LEN(SUBSTITUTE(E3097,"/",""))+2,LEN(E3097)-LEN(SUBSTITUTE(E3097,"/",""))+1))</f>
        <v/>
      </c>
      <c r="I3097" s="78">
        <f>IF(ISBLANK(G3097),"",IF(D3097="Stock","0",Key!$A$3*H3097*G3097))</f>
        <v/>
      </c>
      <c r="J3097" s="78">
        <f>IF(ISBLANK(E3097),"",IF(ISNUMBER(SEARCH("/",E3097)), IF(LEN(E3097)-LEN(SUBSTITUTE(E3097,"/",""))=1,(RIGHT(E3097,LEN(E3097)-FIND("/",E3097)))-(LEFT(E3097,FIND("/",E3097)-1)),(MID(E3097, SEARCH("/",E3097) + 1, SEARCH("/",E3097, SEARCH("/",E3097)+1) - SEARCH("/",E3097) - 1))-(LEFT(E3097,FIND("/",E3097)-1))), "NA"))</f>
        <v/>
      </c>
      <c r="K3097" s="79">
        <f>IF(A3097&lt;&gt;"", IF(ISBLANK(L3097), TODAY(), K3097), "")</f>
        <v/>
      </c>
      <c r="L3097" s="78" t="n"/>
      <c r="M3097" s="78">
        <f>IF(ISBLANK(L3097),"",IF(D3097="Stock",IF(C3097="Buy",L3097*G3097,IF(C3097="Sell",(L3097*G3097)-I3097, X)),IF(C3097="Buy",(L3097*G3097*100)+I3097,IF(C3097="Sell",(L3097*G3097*100)-I3097, X))))</f>
        <v/>
      </c>
      <c r="N3097" s="78">
        <f>IF(ISBLANK(L3097),"",IF(AND(C3097="Sell",D3097="Stock"),M3097,IF(ISBLANK(L3097),"",IF(C3097="Buy",M3097, IF(AND(C3097="Sell",J3097="NA"),(E3097*G3097*100*0.1)+I3097, IF(C3097="Sell",(J3097-L3097)*(100*G3097)+I3097))))))</f>
        <v/>
      </c>
      <c r="O3097" s="75" t="n"/>
      <c r="P3097" s="75" t="n"/>
      <c r="Q3097" s="75">
        <f>IF(ISBLANK(P3097),"",IF(D3097="Stock",P3097*G3097,IF(P3097=0,"0",G3097*P3097*100-(G3097*$AF$14))))</f>
        <v/>
      </c>
      <c r="R3097" s="79">
        <f>IF(P3097&lt;&gt;"", TODAY(), "")</f>
        <v/>
      </c>
      <c r="S3097" s="78">
        <f>IF(AND(K3097&lt;&gt;"", R3097&lt;&gt;""), R3097-K3097, "")</f>
        <v/>
      </c>
      <c r="T3097" s="78" t="n"/>
      <c r="U3097" s="92">
        <f>IF(ISBLANK(P3097),"",IF(C3097="Buy",Q3097-M3097+T3097, IF(C3097="Sell",M3097-Q3097-T3097, X)))</f>
        <v/>
      </c>
      <c r="V3097" s="81">
        <f>IF(ISBLANK(P3097),"",U3097/N3097)</f>
        <v/>
      </c>
      <c r="W3097" s="81">
        <f>IF(ISBLANK(P3097),"",IF(S3097=0,(365/0.5)*V3097,(365/S3097)*V3097))</f>
        <v/>
      </c>
      <c r="X3097" s="75" t="n"/>
      <c r="Y3097" s="77" t="n"/>
      <c r="Z3097" s="77" t="n"/>
      <c r="AA3097" s="75" t="n"/>
      <c r="AB3097" s="75" t="n"/>
      <c r="AC3097" s="6" t="n"/>
      <c r="AD3097" s="75" t="n"/>
      <c r="AE3097" s="75" t="n"/>
      <c r="AF3097" s="75" t="n"/>
    </row>
    <row r="3098" ht="15.75" customHeight="1" s="133">
      <c r="A3098" s="75" t="n"/>
      <c r="B3098" s="75" t="n"/>
      <c r="C3098" s="75" t="n"/>
      <c r="D3098" s="75" t="n"/>
      <c r="E3098" s="76" t="n"/>
      <c r="F3098" s="77" t="n"/>
      <c r="G3098" s="75" t="n"/>
      <c r="H3098" s="75">
        <f>IF(ISBLANK(E3098),"",IF(OR(D3098="Butterfly",D3098="Butterfly ",D3098="Iron Fly", D3098="Iron Fly "),LEN(E3098)-LEN(SUBSTITUTE(E3098,"/",""))+2,LEN(E3098)-LEN(SUBSTITUTE(E3098,"/",""))+1))</f>
        <v/>
      </c>
      <c r="I3098" s="78">
        <f>IF(ISBLANK(G3098),"",IF(D3098="Stock","0",Key!$A$3*H3098*G3098))</f>
        <v/>
      </c>
      <c r="J3098" s="78">
        <f>IF(ISBLANK(E3098),"",IF(ISNUMBER(SEARCH("/",E3098)), IF(LEN(E3098)-LEN(SUBSTITUTE(E3098,"/",""))=1,(RIGHT(E3098,LEN(E3098)-FIND("/",E3098)))-(LEFT(E3098,FIND("/",E3098)-1)),(MID(E3098, SEARCH("/",E3098) + 1, SEARCH("/",E3098, SEARCH("/",E3098)+1) - SEARCH("/",E3098) - 1))-(LEFT(E3098,FIND("/",E3098)-1))), "NA"))</f>
        <v/>
      </c>
      <c r="K3098" s="79">
        <f>IF(A3098&lt;&gt;"", IF(ISBLANK(L3098), TODAY(), K3098), "")</f>
        <v/>
      </c>
      <c r="L3098" s="78" t="n"/>
      <c r="M3098" s="78">
        <f>IF(ISBLANK(L3098),"",IF(D3098="Stock",IF(C3098="Buy",L3098*G3098,IF(C3098="Sell",(L3098*G3098)-I3098, X)),IF(C3098="Buy",(L3098*G3098*100)+I3098,IF(C3098="Sell",(L3098*G3098*100)-I3098, X))))</f>
        <v/>
      </c>
      <c r="N3098" s="78">
        <f>IF(ISBLANK(L3098),"",IF(AND(C3098="Sell",D3098="Stock"),M3098,IF(ISBLANK(L3098),"",IF(C3098="Buy",M3098, IF(AND(C3098="Sell",J3098="NA"),(E3098*G3098*100*0.1)+I3098, IF(C3098="Sell",(J3098-L3098)*(100*G3098)+I3098))))))</f>
        <v/>
      </c>
      <c r="O3098" s="75" t="n"/>
      <c r="P3098" s="75" t="n"/>
      <c r="Q3098" s="75">
        <f>IF(ISBLANK(P3098),"",IF(D3098="Stock",P3098*G3098,IF(P3098=0,"0",G3098*P3098*100-(G3098*$AF$14))))</f>
        <v/>
      </c>
      <c r="R3098" s="79">
        <f>IF(P3098&lt;&gt;"", TODAY(), "")</f>
        <v/>
      </c>
      <c r="S3098" s="78">
        <f>IF(AND(K3098&lt;&gt;"", R3098&lt;&gt;""), R3098-K3098, "")</f>
        <v/>
      </c>
      <c r="T3098" s="78" t="n"/>
      <c r="U3098" s="92">
        <f>IF(ISBLANK(P3098),"",IF(C3098="Buy",Q3098-M3098+T3098, IF(C3098="Sell",M3098-Q3098-T3098, X)))</f>
        <v/>
      </c>
      <c r="V3098" s="81">
        <f>IF(ISBLANK(P3098),"",U3098/N3098)</f>
        <v/>
      </c>
      <c r="W3098" s="81">
        <f>IF(ISBLANK(P3098),"",IF(S3098=0,(365/0.5)*V3098,(365/S3098)*V3098))</f>
        <v/>
      </c>
      <c r="X3098" s="75" t="n"/>
      <c r="Y3098" s="77" t="n"/>
      <c r="Z3098" s="77" t="n"/>
      <c r="AA3098" s="75" t="n"/>
      <c r="AB3098" s="75" t="n"/>
      <c r="AC3098" s="6" t="n"/>
      <c r="AD3098" s="75" t="n"/>
      <c r="AE3098" s="75" t="n"/>
      <c r="AF3098" s="75" t="n"/>
    </row>
    <row r="3099" ht="15.75" customHeight="1" s="133">
      <c r="A3099" s="75" t="n"/>
      <c r="B3099" s="75" t="n"/>
      <c r="C3099" s="75" t="n"/>
      <c r="D3099" s="75" t="n"/>
      <c r="E3099" s="76" t="n"/>
      <c r="F3099" s="77" t="n"/>
      <c r="G3099" s="75" t="n"/>
      <c r="H3099" s="75">
        <f>IF(ISBLANK(E3099),"",IF(OR(D3099="Butterfly",D3099="Butterfly ",D3099="Iron Fly", D3099="Iron Fly "),LEN(E3099)-LEN(SUBSTITUTE(E3099,"/",""))+2,LEN(E3099)-LEN(SUBSTITUTE(E3099,"/",""))+1))</f>
        <v/>
      </c>
      <c r="I3099" s="78">
        <f>IF(ISBLANK(G3099),"",IF(D3099="Stock","0",Key!$A$3*H3099*G3099))</f>
        <v/>
      </c>
      <c r="J3099" s="78">
        <f>IF(ISBLANK(E3099),"",IF(ISNUMBER(SEARCH("/",E3099)), IF(LEN(E3099)-LEN(SUBSTITUTE(E3099,"/",""))=1,(RIGHT(E3099,LEN(E3099)-FIND("/",E3099)))-(LEFT(E3099,FIND("/",E3099)-1)),(MID(E3099, SEARCH("/",E3099) + 1, SEARCH("/",E3099, SEARCH("/",E3099)+1) - SEARCH("/",E3099) - 1))-(LEFT(E3099,FIND("/",E3099)-1))), "NA"))</f>
        <v/>
      </c>
      <c r="K3099" s="79">
        <f>IF(A3099&lt;&gt;"", IF(ISBLANK(L3099), TODAY(), K3099), "")</f>
        <v/>
      </c>
      <c r="L3099" s="78" t="n"/>
      <c r="M3099" s="78">
        <f>IF(ISBLANK(L3099),"",IF(D3099="Stock",IF(C3099="Buy",L3099*G3099,IF(C3099="Sell",(L3099*G3099)-I3099, X)),IF(C3099="Buy",(L3099*G3099*100)+I3099,IF(C3099="Sell",(L3099*G3099*100)-I3099, X))))</f>
        <v/>
      </c>
      <c r="N3099" s="78">
        <f>IF(ISBLANK(L3099),"",IF(AND(C3099="Sell",D3099="Stock"),M3099,IF(ISBLANK(L3099),"",IF(C3099="Buy",M3099, IF(AND(C3099="Sell",J3099="NA"),(E3099*G3099*100*0.1)+I3099, IF(C3099="Sell",(J3099-L3099)*(100*G3099)+I3099))))))</f>
        <v/>
      </c>
      <c r="O3099" s="75" t="n"/>
      <c r="P3099" s="75" t="n"/>
      <c r="Q3099" s="75">
        <f>IF(ISBLANK(P3099),"",IF(D3099="Stock",P3099*G3099,IF(P3099=0,"0",G3099*P3099*100-(G3099*$AF$14))))</f>
        <v/>
      </c>
      <c r="R3099" s="79">
        <f>IF(P3099&lt;&gt;"", TODAY(), "")</f>
        <v/>
      </c>
      <c r="S3099" s="78">
        <f>IF(AND(K3099&lt;&gt;"", R3099&lt;&gt;""), R3099-K3099, "")</f>
        <v/>
      </c>
      <c r="T3099" s="78" t="n"/>
      <c r="U3099" s="92">
        <f>IF(ISBLANK(P3099),"",IF(C3099="Buy",Q3099-M3099+T3099, IF(C3099="Sell",M3099-Q3099-T3099, X)))</f>
        <v/>
      </c>
      <c r="V3099" s="81">
        <f>IF(ISBLANK(P3099),"",U3099/N3099)</f>
        <v/>
      </c>
      <c r="W3099" s="81">
        <f>IF(ISBLANK(P3099),"",IF(S3099=0,(365/0.5)*V3099,(365/S3099)*V3099))</f>
        <v/>
      </c>
      <c r="X3099" s="75" t="n"/>
      <c r="Y3099" s="77" t="n"/>
      <c r="Z3099" s="77" t="n"/>
      <c r="AA3099" s="75" t="n"/>
      <c r="AB3099" s="75" t="n"/>
      <c r="AC3099" s="6" t="n"/>
      <c r="AD3099" s="75" t="n"/>
      <c r="AE3099" s="75" t="n"/>
      <c r="AF3099" s="75" t="n"/>
    </row>
    <row r="3100" ht="15.75" customHeight="1" s="133">
      <c r="A3100" s="75" t="n"/>
      <c r="B3100" s="75" t="n"/>
      <c r="C3100" s="75" t="n"/>
      <c r="D3100" s="75" t="n"/>
      <c r="E3100" s="76" t="n"/>
      <c r="F3100" s="77" t="n"/>
      <c r="G3100" s="75" t="n"/>
      <c r="H3100" s="75">
        <f>IF(ISBLANK(E3100),"",IF(OR(D3100="Butterfly",D3100="Butterfly ",D3100="Iron Fly", D3100="Iron Fly "),LEN(E3100)-LEN(SUBSTITUTE(E3100,"/",""))+2,LEN(E3100)-LEN(SUBSTITUTE(E3100,"/",""))+1))</f>
        <v/>
      </c>
      <c r="I3100" s="78">
        <f>IF(ISBLANK(G3100),"",IF(D3100="Stock","0",Key!$A$3*H3100*G3100))</f>
        <v/>
      </c>
      <c r="J3100" s="78">
        <f>IF(ISBLANK(E3100),"",IF(ISNUMBER(SEARCH("/",E3100)), IF(LEN(E3100)-LEN(SUBSTITUTE(E3100,"/",""))=1,(RIGHT(E3100,LEN(E3100)-FIND("/",E3100)))-(LEFT(E3100,FIND("/",E3100)-1)),(MID(E3100, SEARCH("/",E3100) + 1, SEARCH("/",E3100, SEARCH("/",E3100)+1) - SEARCH("/",E3100) - 1))-(LEFT(E3100,FIND("/",E3100)-1))), "NA"))</f>
        <v/>
      </c>
      <c r="K3100" s="79">
        <f>IF(A3100&lt;&gt;"", IF(ISBLANK(L3100), TODAY(), K3100), "")</f>
        <v/>
      </c>
      <c r="L3100" s="78" t="n"/>
      <c r="M3100" s="78">
        <f>IF(ISBLANK(L3100),"",IF(D3100="Stock",IF(C3100="Buy",L3100*G3100,IF(C3100="Sell",(L3100*G3100)-I3100, X)),IF(C3100="Buy",(L3100*G3100*100)+I3100,IF(C3100="Sell",(L3100*G3100*100)-I3100, X))))</f>
        <v/>
      </c>
      <c r="N3100" s="78">
        <f>IF(ISBLANK(L3100),"",IF(AND(C3100="Sell",D3100="Stock"),M3100,IF(ISBLANK(L3100),"",IF(C3100="Buy",M3100, IF(AND(C3100="Sell",J3100="NA"),(E3100*G3100*100*0.1)+I3100, IF(C3100="Sell",(J3100-L3100)*(100*G3100)+I3100))))))</f>
        <v/>
      </c>
      <c r="O3100" s="75" t="n"/>
      <c r="P3100" s="75" t="n"/>
      <c r="Q3100" s="75">
        <f>IF(ISBLANK(P3100),"",IF(D3100="Stock",P3100*G3100,IF(P3100=0,"0",G3100*P3100*100-(G3100*$AF$14))))</f>
        <v/>
      </c>
      <c r="R3100" s="79">
        <f>IF(P3100&lt;&gt;"", TODAY(), "")</f>
        <v/>
      </c>
      <c r="S3100" s="78">
        <f>IF(AND(K3100&lt;&gt;"", R3100&lt;&gt;""), R3100-K3100, "")</f>
        <v/>
      </c>
      <c r="T3100" s="78" t="n"/>
      <c r="U3100" s="92">
        <f>IF(ISBLANK(P3100),"",IF(C3100="Buy",Q3100-M3100+T3100, IF(C3100="Sell",M3100-Q3100-T3100, X)))</f>
        <v/>
      </c>
      <c r="V3100" s="81">
        <f>IF(ISBLANK(P3100),"",U3100/N3100)</f>
        <v/>
      </c>
      <c r="W3100" s="81">
        <f>IF(ISBLANK(P3100),"",IF(S3100=0,(365/0.5)*V3100,(365/S3100)*V3100))</f>
        <v/>
      </c>
      <c r="X3100" s="75" t="n"/>
      <c r="Y3100" s="77" t="n"/>
      <c r="Z3100" s="77" t="n"/>
      <c r="AA3100" s="75" t="n"/>
      <c r="AB3100" s="75" t="n"/>
      <c r="AC3100" s="6" t="n"/>
      <c r="AD3100" s="75" t="n"/>
      <c r="AE3100" s="75" t="n"/>
      <c r="AF3100" s="75" t="n"/>
    </row>
    <row r="3101" ht="15.75" customHeight="1" s="133">
      <c r="A3101" s="75" t="n"/>
      <c r="B3101" s="75" t="n"/>
      <c r="C3101" s="75" t="n"/>
      <c r="D3101" s="75" t="n"/>
      <c r="E3101" s="76" t="n"/>
      <c r="F3101" s="77" t="n"/>
      <c r="G3101" s="75" t="n"/>
      <c r="H3101" s="75">
        <f>IF(ISBLANK(E3101),"",IF(OR(D3101="Butterfly",D3101="Butterfly ",D3101="Iron Fly", D3101="Iron Fly "),LEN(E3101)-LEN(SUBSTITUTE(E3101,"/",""))+2,LEN(E3101)-LEN(SUBSTITUTE(E3101,"/",""))+1))</f>
        <v/>
      </c>
      <c r="I3101" s="78">
        <f>IF(ISBLANK(G3101),"",IF(D3101="Stock","0",Key!$A$3*H3101*G3101))</f>
        <v/>
      </c>
      <c r="J3101" s="78">
        <f>IF(ISBLANK(E3101),"",IF(ISNUMBER(SEARCH("/",E3101)), IF(LEN(E3101)-LEN(SUBSTITUTE(E3101,"/",""))=1,(RIGHT(E3101,LEN(E3101)-FIND("/",E3101)))-(LEFT(E3101,FIND("/",E3101)-1)),(MID(E3101, SEARCH("/",E3101) + 1, SEARCH("/",E3101, SEARCH("/",E3101)+1) - SEARCH("/",E3101) - 1))-(LEFT(E3101,FIND("/",E3101)-1))), "NA"))</f>
        <v/>
      </c>
      <c r="K3101" s="79">
        <f>IF(A3101&lt;&gt;"", IF(ISBLANK(L3101), TODAY(), K3101), "")</f>
        <v/>
      </c>
      <c r="L3101" s="78" t="n"/>
      <c r="M3101" s="78">
        <f>IF(ISBLANK(L3101),"",IF(D3101="Stock",IF(C3101="Buy",L3101*G3101,IF(C3101="Sell",(L3101*G3101)-I3101, X)),IF(C3101="Buy",(L3101*G3101*100)+I3101,IF(C3101="Sell",(L3101*G3101*100)-I3101, X))))</f>
        <v/>
      </c>
      <c r="N3101" s="78">
        <f>IF(ISBLANK(L3101),"",IF(AND(C3101="Sell",D3101="Stock"),M3101,IF(ISBLANK(L3101),"",IF(C3101="Buy",M3101, IF(AND(C3101="Sell",J3101="NA"),(E3101*G3101*100*0.1)+I3101, IF(C3101="Sell",(J3101-L3101)*(100*G3101)+I3101))))))</f>
        <v/>
      </c>
      <c r="O3101" s="75" t="n"/>
      <c r="P3101" s="75" t="n"/>
      <c r="Q3101" s="75">
        <f>IF(ISBLANK(P3101),"",IF(D3101="Stock",P3101*G3101,IF(P3101=0,"0",G3101*P3101*100-(G3101*$AF$14))))</f>
        <v/>
      </c>
      <c r="R3101" s="79">
        <f>IF(P3101&lt;&gt;"", TODAY(), "")</f>
        <v/>
      </c>
      <c r="S3101" s="78">
        <f>IF(AND(K3101&lt;&gt;"", R3101&lt;&gt;""), R3101-K3101, "")</f>
        <v/>
      </c>
      <c r="T3101" s="78" t="n"/>
      <c r="U3101" s="92">
        <f>IF(ISBLANK(P3101),"",IF(C3101="Buy",Q3101-M3101+T3101, IF(C3101="Sell",M3101-Q3101-T3101, X)))</f>
        <v/>
      </c>
      <c r="V3101" s="81">
        <f>IF(ISBLANK(P3101),"",U3101/N3101)</f>
        <v/>
      </c>
      <c r="W3101" s="81">
        <f>IF(ISBLANK(P3101),"",IF(S3101=0,(365/0.5)*V3101,(365/S3101)*V3101))</f>
        <v/>
      </c>
      <c r="X3101" s="75" t="n"/>
      <c r="Y3101" s="77" t="n"/>
      <c r="Z3101" s="77" t="n"/>
      <c r="AA3101" s="75" t="n"/>
      <c r="AB3101" s="75" t="n"/>
      <c r="AC3101" s="6" t="n"/>
      <c r="AD3101" s="75" t="n"/>
      <c r="AE3101" s="75" t="n"/>
      <c r="AF3101" s="75" t="n"/>
    </row>
    <row r="3102" ht="15.75" customHeight="1" s="133">
      <c r="A3102" s="75" t="n"/>
      <c r="B3102" s="75" t="n"/>
      <c r="C3102" s="75" t="n"/>
      <c r="D3102" s="75" t="n"/>
      <c r="E3102" s="76" t="n"/>
      <c r="F3102" s="77" t="n"/>
      <c r="G3102" s="75" t="n"/>
      <c r="H3102" s="75">
        <f>IF(ISBLANK(E3102),"",IF(OR(D3102="Butterfly",D3102="Butterfly ",D3102="Iron Fly", D3102="Iron Fly "),LEN(E3102)-LEN(SUBSTITUTE(E3102,"/",""))+2,LEN(E3102)-LEN(SUBSTITUTE(E3102,"/",""))+1))</f>
        <v/>
      </c>
      <c r="I3102" s="78">
        <f>IF(ISBLANK(G3102),"",IF(D3102="Stock","0",Key!$A$3*H3102*G3102))</f>
        <v/>
      </c>
      <c r="J3102" s="78">
        <f>IF(ISBLANK(E3102),"",IF(ISNUMBER(SEARCH("/",E3102)), IF(LEN(E3102)-LEN(SUBSTITUTE(E3102,"/",""))=1,(RIGHT(E3102,LEN(E3102)-FIND("/",E3102)))-(LEFT(E3102,FIND("/",E3102)-1)),(MID(E3102, SEARCH("/",E3102) + 1, SEARCH("/",E3102, SEARCH("/",E3102)+1) - SEARCH("/",E3102) - 1))-(LEFT(E3102,FIND("/",E3102)-1))), "NA"))</f>
        <v/>
      </c>
      <c r="K3102" s="79">
        <f>IF(A3102&lt;&gt;"", IF(ISBLANK(L3102), TODAY(), K3102), "")</f>
        <v/>
      </c>
      <c r="L3102" s="78" t="n"/>
      <c r="M3102" s="78">
        <f>IF(ISBLANK(L3102),"",IF(D3102="Stock",IF(C3102="Buy",L3102*G3102,IF(C3102="Sell",(L3102*G3102)-I3102, X)),IF(C3102="Buy",(L3102*G3102*100)+I3102,IF(C3102="Sell",(L3102*G3102*100)-I3102, X))))</f>
        <v/>
      </c>
      <c r="N3102" s="78">
        <f>IF(ISBLANK(L3102),"",IF(AND(C3102="Sell",D3102="Stock"),M3102,IF(ISBLANK(L3102),"",IF(C3102="Buy",M3102, IF(AND(C3102="Sell",J3102="NA"),(E3102*G3102*100*0.1)+I3102, IF(C3102="Sell",(J3102-L3102)*(100*G3102)+I3102))))))</f>
        <v/>
      </c>
      <c r="O3102" s="75" t="n"/>
      <c r="P3102" s="75" t="n"/>
      <c r="Q3102" s="75">
        <f>IF(ISBLANK(P3102),"",IF(D3102="Stock",P3102*G3102,IF(P3102=0,"0",G3102*P3102*100-(G3102*$AF$14))))</f>
        <v/>
      </c>
      <c r="R3102" s="79">
        <f>IF(P3102&lt;&gt;"", TODAY(), "")</f>
        <v/>
      </c>
      <c r="S3102" s="78">
        <f>IF(AND(K3102&lt;&gt;"", R3102&lt;&gt;""), R3102-K3102, "")</f>
        <v/>
      </c>
      <c r="T3102" s="78" t="n"/>
      <c r="U3102" s="92">
        <f>IF(ISBLANK(P3102),"",IF(C3102="Buy",Q3102-M3102+T3102, IF(C3102="Sell",M3102-Q3102-T3102, X)))</f>
        <v/>
      </c>
      <c r="V3102" s="81">
        <f>IF(ISBLANK(P3102),"",U3102/N3102)</f>
        <v/>
      </c>
      <c r="W3102" s="81">
        <f>IF(ISBLANK(P3102),"",IF(S3102=0,(365/0.5)*V3102,(365/S3102)*V3102))</f>
        <v/>
      </c>
      <c r="X3102" s="75" t="n"/>
      <c r="Y3102" s="77" t="n"/>
      <c r="Z3102" s="77" t="n"/>
      <c r="AA3102" s="75" t="n"/>
      <c r="AB3102" s="75" t="n"/>
      <c r="AC3102" s="6" t="n"/>
      <c r="AD3102" s="75" t="n"/>
      <c r="AE3102" s="75" t="n"/>
      <c r="AF3102" s="75" t="n"/>
    </row>
    <row r="3103" ht="15.75" customHeight="1" s="133">
      <c r="A3103" s="75" t="n"/>
      <c r="B3103" s="75" t="n"/>
      <c r="C3103" s="75" t="n"/>
      <c r="D3103" s="75" t="n"/>
      <c r="E3103" s="76" t="n"/>
      <c r="F3103" s="77" t="n"/>
      <c r="G3103" s="75" t="n"/>
      <c r="H3103" s="75">
        <f>IF(ISBLANK(E3103),"",IF(OR(D3103="Butterfly",D3103="Butterfly ",D3103="Iron Fly", D3103="Iron Fly "),LEN(E3103)-LEN(SUBSTITUTE(E3103,"/",""))+2,LEN(E3103)-LEN(SUBSTITUTE(E3103,"/",""))+1))</f>
        <v/>
      </c>
      <c r="I3103" s="78">
        <f>IF(ISBLANK(G3103),"",IF(D3103="Stock","0",Key!$A$3*H3103*G3103))</f>
        <v/>
      </c>
      <c r="J3103" s="78">
        <f>IF(ISBLANK(E3103),"",IF(ISNUMBER(SEARCH("/",E3103)), IF(LEN(E3103)-LEN(SUBSTITUTE(E3103,"/",""))=1,(RIGHT(E3103,LEN(E3103)-FIND("/",E3103)))-(LEFT(E3103,FIND("/",E3103)-1)),(MID(E3103, SEARCH("/",E3103) + 1, SEARCH("/",E3103, SEARCH("/",E3103)+1) - SEARCH("/",E3103) - 1))-(LEFT(E3103,FIND("/",E3103)-1))), "NA"))</f>
        <v/>
      </c>
      <c r="K3103" s="79">
        <f>IF(A3103&lt;&gt;"", IF(ISBLANK(L3103), TODAY(), K3103), "")</f>
        <v/>
      </c>
      <c r="L3103" s="78" t="n"/>
      <c r="M3103" s="78">
        <f>IF(ISBLANK(L3103),"",IF(D3103="Stock",IF(C3103="Buy",L3103*G3103,IF(C3103="Sell",(L3103*G3103)-I3103, X)),IF(C3103="Buy",(L3103*G3103*100)+I3103,IF(C3103="Sell",(L3103*G3103*100)-I3103, X))))</f>
        <v/>
      </c>
      <c r="N3103" s="78">
        <f>IF(ISBLANK(L3103),"",IF(AND(C3103="Sell",D3103="Stock"),M3103,IF(ISBLANK(L3103),"",IF(C3103="Buy",M3103, IF(AND(C3103="Sell",J3103="NA"),(E3103*G3103*100*0.1)+I3103, IF(C3103="Sell",(J3103-L3103)*(100*G3103)+I3103))))))</f>
        <v/>
      </c>
      <c r="O3103" s="75" t="n"/>
      <c r="P3103" s="75" t="n"/>
      <c r="Q3103" s="75">
        <f>IF(ISBLANK(P3103),"",IF(D3103="Stock",P3103*G3103,IF(P3103=0,"0",G3103*P3103*100-(G3103*$AF$14))))</f>
        <v/>
      </c>
      <c r="R3103" s="79">
        <f>IF(P3103&lt;&gt;"", TODAY(), "")</f>
        <v/>
      </c>
      <c r="S3103" s="78">
        <f>IF(AND(K3103&lt;&gt;"", R3103&lt;&gt;""), R3103-K3103, "")</f>
        <v/>
      </c>
      <c r="T3103" s="78" t="n"/>
      <c r="U3103" s="92">
        <f>IF(ISBLANK(P3103),"",IF(C3103="Buy",Q3103-M3103+T3103, IF(C3103="Sell",M3103-Q3103-T3103, X)))</f>
        <v/>
      </c>
      <c r="V3103" s="81">
        <f>IF(ISBLANK(P3103),"",U3103/N3103)</f>
        <v/>
      </c>
      <c r="W3103" s="81">
        <f>IF(ISBLANK(P3103),"",IF(S3103=0,(365/0.5)*V3103,(365/S3103)*V3103))</f>
        <v/>
      </c>
      <c r="X3103" s="75" t="n"/>
      <c r="Y3103" s="77" t="n"/>
      <c r="Z3103" s="77" t="n"/>
      <c r="AA3103" s="75" t="n"/>
      <c r="AB3103" s="75" t="n"/>
      <c r="AC3103" s="6" t="n"/>
      <c r="AD3103" s="75" t="n"/>
      <c r="AE3103" s="75" t="n"/>
      <c r="AF3103" s="75" t="n"/>
    </row>
    <row r="3104" ht="15.75" customHeight="1" s="133">
      <c r="A3104" s="75" t="n"/>
      <c r="B3104" s="75" t="n"/>
      <c r="C3104" s="75" t="n"/>
      <c r="D3104" s="75" t="n"/>
      <c r="E3104" s="76" t="n"/>
      <c r="F3104" s="77" t="n"/>
      <c r="G3104" s="75" t="n"/>
      <c r="H3104" s="75">
        <f>IF(ISBLANK(E3104),"",IF(OR(D3104="Butterfly",D3104="Butterfly ",D3104="Iron Fly", D3104="Iron Fly "),LEN(E3104)-LEN(SUBSTITUTE(E3104,"/",""))+2,LEN(E3104)-LEN(SUBSTITUTE(E3104,"/",""))+1))</f>
        <v/>
      </c>
      <c r="I3104" s="78">
        <f>IF(ISBLANK(G3104),"",IF(D3104="Stock","0",Key!$A$3*H3104*G3104))</f>
        <v/>
      </c>
      <c r="J3104" s="78">
        <f>IF(ISBLANK(E3104),"",IF(ISNUMBER(SEARCH("/",E3104)), IF(LEN(E3104)-LEN(SUBSTITUTE(E3104,"/",""))=1,(RIGHT(E3104,LEN(E3104)-FIND("/",E3104)))-(LEFT(E3104,FIND("/",E3104)-1)),(MID(E3104, SEARCH("/",E3104) + 1, SEARCH("/",E3104, SEARCH("/",E3104)+1) - SEARCH("/",E3104) - 1))-(LEFT(E3104,FIND("/",E3104)-1))), "NA"))</f>
        <v/>
      </c>
      <c r="K3104" s="79">
        <f>IF(A3104&lt;&gt;"", IF(ISBLANK(L3104), TODAY(), K3104), "")</f>
        <v/>
      </c>
      <c r="L3104" s="78" t="n"/>
      <c r="M3104" s="78">
        <f>IF(ISBLANK(L3104),"",IF(D3104="Stock",IF(C3104="Buy",L3104*G3104,IF(C3104="Sell",(L3104*G3104)-I3104, X)),IF(C3104="Buy",(L3104*G3104*100)+I3104,IF(C3104="Sell",(L3104*G3104*100)-I3104, X))))</f>
        <v/>
      </c>
      <c r="N3104" s="78">
        <f>IF(ISBLANK(L3104),"",IF(AND(C3104="Sell",D3104="Stock"),M3104,IF(ISBLANK(L3104),"",IF(C3104="Buy",M3104, IF(AND(C3104="Sell",J3104="NA"),(E3104*G3104*100*0.1)+I3104, IF(C3104="Sell",(J3104-L3104)*(100*G3104)+I3104))))))</f>
        <v/>
      </c>
      <c r="O3104" s="75" t="n"/>
      <c r="P3104" s="75" t="n"/>
      <c r="Q3104" s="75">
        <f>IF(ISBLANK(P3104),"",IF(D3104="Stock",P3104*G3104,IF(P3104=0,"0",G3104*P3104*100-(G3104*$AF$14))))</f>
        <v/>
      </c>
      <c r="R3104" s="79">
        <f>IF(P3104&lt;&gt;"", TODAY(), "")</f>
        <v/>
      </c>
      <c r="S3104" s="78">
        <f>IF(AND(K3104&lt;&gt;"", R3104&lt;&gt;""), R3104-K3104, "")</f>
        <v/>
      </c>
      <c r="T3104" s="78" t="n"/>
      <c r="U3104" s="92">
        <f>IF(ISBLANK(P3104),"",IF(C3104="Buy",Q3104-M3104+T3104, IF(C3104="Sell",M3104-Q3104-T3104, X)))</f>
        <v/>
      </c>
      <c r="V3104" s="81">
        <f>IF(ISBLANK(P3104),"",U3104/N3104)</f>
        <v/>
      </c>
      <c r="W3104" s="81">
        <f>IF(ISBLANK(P3104),"",IF(S3104=0,(365/0.5)*V3104,(365/S3104)*V3104))</f>
        <v/>
      </c>
      <c r="X3104" s="75" t="n"/>
      <c r="Y3104" s="77" t="n"/>
      <c r="Z3104" s="77" t="n"/>
      <c r="AA3104" s="75" t="n"/>
      <c r="AB3104" s="75" t="n"/>
      <c r="AC3104" s="6" t="n"/>
      <c r="AD3104" s="75" t="n"/>
      <c r="AE3104" s="75" t="n"/>
      <c r="AF3104" s="75" t="n"/>
    </row>
    <row r="3105" ht="15.75" customHeight="1" s="133">
      <c r="A3105" s="75" t="n"/>
      <c r="B3105" s="75" t="n"/>
      <c r="C3105" s="75" t="n"/>
      <c r="D3105" s="75" t="n"/>
      <c r="E3105" s="76" t="n"/>
      <c r="F3105" s="77" t="n"/>
      <c r="G3105" s="75" t="n"/>
      <c r="H3105" s="75">
        <f>IF(ISBLANK(E3105),"",IF(OR(D3105="Butterfly",D3105="Butterfly ",D3105="Iron Fly", D3105="Iron Fly "),LEN(E3105)-LEN(SUBSTITUTE(E3105,"/",""))+2,LEN(E3105)-LEN(SUBSTITUTE(E3105,"/",""))+1))</f>
        <v/>
      </c>
      <c r="I3105" s="78">
        <f>IF(ISBLANK(G3105),"",IF(D3105="Stock","0",Key!$A$3*H3105*G3105))</f>
        <v/>
      </c>
      <c r="J3105" s="78">
        <f>IF(ISBLANK(E3105),"",IF(ISNUMBER(SEARCH("/",E3105)), IF(LEN(E3105)-LEN(SUBSTITUTE(E3105,"/",""))=1,(RIGHT(E3105,LEN(E3105)-FIND("/",E3105)))-(LEFT(E3105,FIND("/",E3105)-1)),(MID(E3105, SEARCH("/",E3105) + 1, SEARCH("/",E3105, SEARCH("/",E3105)+1) - SEARCH("/",E3105) - 1))-(LEFT(E3105,FIND("/",E3105)-1))), "NA"))</f>
        <v/>
      </c>
      <c r="K3105" s="79">
        <f>IF(A3105&lt;&gt;"", IF(ISBLANK(L3105), TODAY(), K3105), "")</f>
        <v/>
      </c>
      <c r="L3105" s="78" t="n"/>
      <c r="M3105" s="78">
        <f>IF(ISBLANK(L3105),"",IF(D3105="Stock",IF(C3105="Buy",L3105*G3105,IF(C3105="Sell",(L3105*G3105)-I3105, X)),IF(C3105="Buy",(L3105*G3105*100)+I3105,IF(C3105="Sell",(L3105*G3105*100)-I3105, X))))</f>
        <v/>
      </c>
      <c r="N3105" s="78">
        <f>IF(ISBLANK(L3105),"",IF(AND(C3105="Sell",D3105="Stock"),M3105,IF(ISBLANK(L3105),"",IF(C3105="Buy",M3105, IF(AND(C3105="Sell",J3105="NA"),(E3105*G3105*100*0.1)+I3105, IF(C3105="Sell",(J3105-L3105)*(100*G3105)+I3105))))))</f>
        <v/>
      </c>
      <c r="O3105" s="75" t="n"/>
      <c r="P3105" s="75" t="n"/>
      <c r="Q3105" s="75">
        <f>IF(ISBLANK(P3105),"",IF(D3105="Stock",P3105*G3105,IF(P3105=0,"0",G3105*P3105*100-(G3105*$AF$14))))</f>
        <v/>
      </c>
      <c r="R3105" s="79">
        <f>IF(P3105&lt;&gt;"", TODAY(), "")</f>
        <v/>
      </c>
      <c r="S3105" s="78">
        <f>IF(AND(K3105&lt;&gt;"", R3105&lt;&gt;""), R3105-K3105, "")</f>
        <v/>
      </c>
      <c r="T3105" s="78" t="n"/>
      <c r="U3105" s="92">
        <f>IF(ISBLANK(P3105),"",IF(C3105="Buy",Q3105-M3105+T3105, IF(C3105="Sell",M3105-Q3105-T3105, X)))</f>
        <v/>
      </c>
      <c r="V3105" s="81">
        <f>IF(ISBLANK(P3105),"",U3105/N3105)</f>
        <v/>
      </c>
      <c r="W3105" s="81">
        <f>IF(ISBLANK(P3105),"",IF(S3105=0,(365/0.5)*V3105,(365/S3105)*V3105))</f>
        <v/>
      </c>
      <c r="X3105" s="75" t="n"/>
      <c r="Y3105" s="77" t="n"/>
      <c r="Z3105" s="77" t="n"/>
      <c r="AA3105" s="75" t="n"/>
      <c r="AB3105" s="75" t="n"/>
      <c r="AC3105" s="6" t="n"/>
      <c r="AD3105" s="75" t="n"/>
      <c r="AE3105" s="75" t="n"/>
      <c r="AF3105" s="75" t="n"/>
    </row>
    <row r="3106" ht="15.75" customHeight="1" s="133">
      <c r="A3106" s="75" t="n"/>
      <c r="B3106" s="75" t="n"/>
      <c r="C3106" s="75" t="n"/>
      <c r="D3106" s="75" t="n"/>
      <c r="E3106" s="76" t="n"/>
      <c r="F3106" s="77" t="n"/>
      <c r="G3106" s="75" t="n"/>
      <c r="H3106" s="75">
        <f>IF(ISBLANK(E3106),"",IF(OR(D3106="Butterfly",D3106="Butterfly ",D3106="Iron Fly", D3106="Iron Fly "),LEN(E3106)-LEN(SUBSTITUTE(E3106,"/",""))+2,LEN(E3106)-LEN(SUBSTITUTE(E3106,"/",""))+1))</f>
        <v/>
      </c>
      <c r="I3106" s="78">
        <f>IF(ISBLANK(G3106),"",IF(D3106="Stock","0",Key!$A$3*H3106*G3106))</f>
        <v/>
      </c>
      <c r="J3106" s="78">
        <f>IF(ISBLANK(E3106),"",IF(ISNUMBER(SEARCH("/",E3106)), IF(LEN(E3106)-LEN(SUBSTITUTE(E3106,"/",""))=1,(RIGHT(E3106,LEN(E3106)-FIND("/",E3106)))-(LEFT(E3106,FIND("/",E3106)-1)),(MID(E3106, SEARCH("/",E3106) + 1, SEARCH("/",E3106, SEARCH("/",E3106)+1) - SEARCH("/",E3106) - 1))-(LEFT(E3106,FIND("/",E3106)-1))), "NA"))</f>
        <v/>
      </c>
      <c r="K3106" s="79">
        <f>IF(A3106&lt;&gt;"", IF(ISBLANK(L3106), TODAY(), K3106), "")</f>
        <v/>
      </c>
      <c r="L3106" s="78" t="n"/>
      <c r="M3106" s="78">
        <f>IF(ISBLANK(L3106),"",IF(D3106="Stock",IF(C3106="Buy",L3106*G3106,IF(C3106="Sell",(L3106*G3106)-I3106, X)),IF(C3106="Buy",(L3106*G3106*100)+I3106,IF(C3106="Sell",(L3106*G3106*100)-I3106, X))))</f>
        <v/>
      </c>
      <c r="N3106" s="78">
        <f>IF(ISBLANK(L3106),"",IF(AND(C3106="Sell",D3106="Stock"),M3106,IF(ISBLANK(L3106),"",IF(C3106="Buy",M3106, IF(AND(C3106="Sell",J3106="NA"),(E3106*G3106*100*0.1)+I3106, IF(C3106="Sell",(J3106-L3106)*(100*G3106)+I3106))))))</f>
        <v/>
      </c>
      <c r="O3106" s="75" t="n"/>
      <c r="P3106" s="75" t="n"/>
      <c r="Q3106" s="75">
        <f>IF(ISBLANK(P3106),"",IF(D3106="Stock",P3106*G3106,IF(P3106=0,"0",G3106*P3106*100-(G3106*$AF$14))))</f>
        <v/>
      </c>
      <c r="R3106" s="79">
        <f>IF(P3106&lt;&gt;"", TODAY(), "")</f>
        <v/>
      </c>
      <c r="S3106" s="78">
        <f>IF(AND(K3106&lt;&gt;"", R3106&lt;&gt;""), R3106-K3106, "")</f>
        <v/>
      </c>
      <c r="T3106" s="78" t="n"/>
      <c r="U3106" s="92">
        <f>IF(ISBLANK(P3106),"",IF(C3106="Buy",Q3106-M3106+T3106, IF(C3106="Sell",M3106-Q3106-T3106, X)))</f>
        <v/>
      </c>
      <c r="V3106" s="81">
        <f>IF(ISBLANK(P3106),"",U3106/N3106)</f>
        <v/>
      </c>
      <c r="W3106" s="81">
        <f>IF(ISBLANK(P3106),"",IF(S3106=0,(365/0.5)*V3106,(365/S3106)*V3106))</f>
        <v/>
      </c>
      <c r="X3106" s="75" t="n"/>
      <c r="Y3106" s="77" t="n"/>
      <c r="Z3106" s="77" t="n"/>
      <c r="AA3106" s="75" t="n"/>
      <c r="AB3106" s="75" t="n"/>
      <c r="AC3106" s="6" t="n"/>
      <c r="AD3106" s="75" t="n"/>
      <c r="AE3106" s="75" t="n"/>
      <c r="AF3106" s="75" t="n"/>
    </row>
    <row r="3107" ht="15.75" customHeight="1" s="133">
      <c r="A3107" s="75" t="n"/>
      <c r="B3107" s="75" t="n"/>
      <c r="C3107" s="75" t="n"/>
      <c r="D3107" s="75" t="n"/>
      <c r="E3107" s="76" t="n"/>
      <c r="F3107" s="77" t="n"/>
      <c r="G3107" s="75" t="n"/>
      <c r="H3107" s="75">
        <f>IF(ISBLANK(E3107),"",IF(OR(D3107="Butterfly",D3107="Butterfly ",D3107="Iron Fly", D3107="Iron Fly "),LEN(E3107)-LEN(SUBSTITUTE(E3107,"/",""))+2,LEN(E3107)-LEN(SUBSTITUTE(E3107,"/",""))+1))</f>
        <v/>
      </c>
      <c r="I3107" s="78">
        <f>IF(ISBLANK(G3107),"",IF(D3107="Stock","0",Key!$A$3*H3107*G3107))</f>
        <v/>
      </c>
      <c r="J3107" s="78">
        <f>IF(ISBLANK(E3107),"",IF(ISNUMBER(SEARCH("/",E3107)), IF(LEN(E3107)-LEN(SUBSTITUTE(E3107,"/",""))=1,(RIGHT(E3107,LEN(E3107)-FIND("/",E3107)))-(LEFT(E3107,FIND("/",E3107)-1)),(MID(E3107, SEARCH("/",E3107) + 1, SEARCH("/",E3107, SEARCH("/",E3107)+1) - SEARCH("/",E3107) - 1))-(LEFT(E3107,FIND("/",E3107)-1))), "NA"))</f>
        <v/>
      </c>
      <c r="K3107" s="79">
        <f>IF(A3107&lt;&gt;"", IF(ISBLANK(L3107), TODAY(), K3107), "")</f>
        <v/>
      </c>
      <c r="L3107" s="78" t="n"/>
      <c r="M3107" s="78">
        <f>IF(ISBLANK(L3107),"",IF(D3107="Stock",IF(C3107="Buy",L3107*G3107,IF(C3107="Sell",(L3107*G3107)-I3107, X)),IF(C3107="Buy",(L3107*G3107*100)+I3107,IF(C3107="Sell",(L3107*G3107*100)-I3107, X))))</f>
        <v/>
      </c>
      <c r="N3107" s="78">
        <f>IF(ISBLANK(L3107),"",IF(AND(C3107="Sell",D3107="Stock"),M3107,IF(ISBLANK(L3107),"",IF(C3107="Buy",M3107, IF(AND(C3107="Sell",J3107="NA"),(E3107*G3107*100*0.1)+I3107, IF(C3107="Sell",(J3107-L3107)*(100*G3107)+I3107))))))</f>
        <v/>
      </c>
      <c r="O3107" s="75" t="n"/>
      <c r="P3107" s="75" t="n"/>
      <c r="Q3107" s="75">
        <f>IF(ISBLANK(P3107),"",IF(D3107="Stock",P3107*G3107,IF(P3107=0,"0",G3107*P3107*100-(G3107*$AF$14))))</f>
        <v/>
      </c>
      <c r="R3107" s="79">
        <f>IF(P3107&lt;&gt;"", TODAY(), "")</f>
        <v/>
      </c>
      <c r="S3107" s="78">
        <f>IF(AND(K3107&lt;&gt;"", R3107&lt;&gt;""), R3107-K3107, "")</f>
        <v/>
      </c>
      <c r="T3107" s="78" t="n"/>
      <c r="U3107" s="92">
        <f>IF(ISBLANK(P3107),"",IF(C3107="Buy",Q3107-M3107+T3107, IF(C3107="Sell",M3107-Q3107-T3107, X)))</f>
        <v/>
      </c>
      <c r="V3107" s="81">
        <f>IF(ISBLANK(P3107),"",U3107/N3107)</f>
        <v/>
      </c>
      <c r="W3107" s="81">
        <f>IF(ISBLANK(P3107),"",IF(S3107=0,(365/0.5)*V3107,(365/S3107)*V3107))</f>
        <v/>
      </c>
      <c r="X3107" s="75" t="n"/>
      <c r="Y3107" s="77" t="n"/>
      <c r="Z3107" s="77" t="n"/>
      <c r="AA3107" s="75" t="n"/>
      <c r="AB3107" s="75" t="n"/>
      <c r="AC3107" s="6" t="n"/>
      <c r="AD3107" s="75" t="n"/>
      <c r="AE3107" s="75" t="n"/>
      <c r="AF3107" s="75" t="n"/>
    </row>
    <row r="3108" ht="15.75" customHeight="1" s="133">
      <c r="A3108" s="75" t="n"/>
      <c r="B3108" s="75" t="n"/>
      <c r="C3108" s="75" t="n"/>
      <c r="D3108" s="75" t="n"/>
      <c r="E3108" s="76" t="n"/>
      <c r="F3108" s="77" t="n"/>
      <c r="G3108" s="75" t="n"/>
      <c r="H3108" s="75">
        <f>IF(ISBLANK(E3108),"",IF(OR(D3108="Butterfly",D3108="Butterfly ",D3108="Iron Fly", D3108="Iron Fly "),LEN(E3108)-LEN(SUBSTITUTE(E3108,"/",""))+2,LEN(E3108)-LEN(SUBSTITUTE(E3108,"/",""))+1))</f>
        <v/>
      </c>
      <c r="I3108" s="78">
        <f>IF(ISBLANK(G3108),"",IF(D3108="Stock","0",Key!$A$3*H3108*G3108))</f>
        <v/>
      </c>
      <c r="J3108" s="78">
        <f>IF(ISBLANK(E3108),"",IF(ISNUMBER(SEARCH("/",E3108)), IF(LEN(E3108)-LEN(SUBSTITUTE(E3108,"/",""))=1,(RIGHT(E3108,LEN(E3108)-FIND("/",E3108)))-(LEFT(E3108,FIND("/",E3108)-1)),(MID(E3108, SEARCH("/",E3108) + 1, SEARCH("/",E3108, SEARCH("/",E3108)+1) - SEARCH("/",E3108) - 1))-(LEFT(E3108,FIND("/",E3108)-1))), "NA"))</f>
        <v/>
      </c>
      <c r="K3108" s="79">
        <f>IF(A3108&lt;&gt;"", IF(ISBLANK(L3108), TODAY(), K3108), "")</f>
        <v/>
      </c>
      <c r="L3108" s="78" t="n"/>
      <c r="M3108" s="78">
        <f>IF(ISBLANK(L3108),"",IF(D3108="Stock",IF(C3108="Buy",L3108*G3108,IF(C3108="Sell",(L3108*G3108)-I3108, X)),IF(C3108="Buy",(L3108*G3108*100)+I3108,IF(C3108="Sell",(L3108*G3108*100)-I3108, X))))</f>
        <v/>
      </c>
      <c r="N3108" s="78">
        <f>IF(ISBLANK(L3108),"",IF(AND(C3108="Sell",D3108="Stock"),M3108,IF(ISBLANK(L3108),"",IF(C3108="Buy",M3108, IF(AND(C3108="Sell",J3108="NA"),(E3108*G3108*100*0.1)+I3108, IF(C3108="Sell",(J3108-L3108)*(100*G3108)+I3108))))))</f>
        <v/>
      </c>
      <c r="O3108" s="75" t="n"/>
      <c r="P3108" s="75" t="n"/>
      <c r="Q3108" s="75">
        <f>IF(ISBLANK(P3108),"",IF(D3108="Stock",P3108*G3108,IF(P3108=0,"0",G3108*P3108*100-(G3108*$AF$14))))</f>
        <v/>
      </c>
      <c r="R3108" s="79">
        <f>IF(P3108&lt;&gt;"", TODAY(), "")</f>
        <v/>
      </c>
      <c r="S3108" s="78">
        <f>IF(AND(K3108&lt;&gt;"", R3108&lt;&gt;""), R3108-K3108, "")</f>
        <v/>
      </c>
      <c r="T3108" s="78" t="n"/>
      <c r="U3108" s="92">
        <f>IF(ISBLANK(P3108),"",IF(C3108="Buy",Q3108-M3108+T3108, IF(C3108="Sell",M3108-Q3108-T3108, X)))</f>
        <v/>
      </c>
      <c r="V3108" s="81">
        <f>IF(ISBLANK(P3108),"",U3108/N3108)</f>
        <v/>
      </c>
      <c r="W3108" s="81">
        <f>IF(ISBLANK(P3108),"",IF(S3108=0,(365/0.5)*V3108,(365/S3108)*V3108))</f>
        <v/>
      </c>
      <c r="X3108" s="75" t="n"/>
      <c r="Y3108" s="77" t="n"/>
      <c r="Z3108" s="77" t="n"/>
      <c r="AA3108" s="75" t="n"/>
      <c r="AB3108" s="75" t="n"/>
      <c r="AC3108" s="6" t="n"/>
      <c r="AD3108" s="75" t="n"/>
      <c r="AE3108" s="75" t="n"/>
      <c r="AF3108" s="75" t="n"/>
    </row>
    <row r="3109" ht="15.75" customHeight="1" s="133">
      <c r="A3109" s="75" t="n"/>
      <c r="B3109" s="75" t="n"/>
      <c r="C3109" s="75" t="n"/>
      <c r="D3109" s="75" t="n"/>
      <c r="E3109" s="76" t="n"/>
      <c r="F3109" s="77" t="n"/>
      <c r="G3109" s="75" t="n"/>
      <c r="H3109" s="75">
        <f>IF(ISBLANK(E3109),"",IF(OR(D3109="Butterfly",D3109="Butterfly ",D3109="Iron Fly", D3109="Iron Fly "),LEN(E3109)-LEN(SUBSTITUTE(E3109,"/",""))+2,LEN(E3109)-LEN(SUBSTITUTE(E3109,"/",""))+1))</f>
        <v/>
      </c>
      <c r="I3109" s="78">
        <f>IF(ISBLANK(G3109),"",IF(D3109="Stock","0",Key!$A$3*H3109*G3109))</f>
        <v/>
      </c>
      <c r="J3109" s="78">
        <f>IF(ISBLANK(E3109),"",IF(ISNUMBER(SEARCH("/",E3109)), IF(LEN(E3109)-LEN(SUBSTITUTE(E3109,"/",""))=1,(RIGHT(E3109,LEN(E3109)-FIND("/",E3109)))-(LEFT(E3109,FIND("/",E3109)-1)),(MID(E3109, SEARCH("/",E3109) + 1, SEARCH("/",E3109, SEARCH("/",E3109)+1) - SEARCH("/",E3109) - 1))-(LEFT(E3109,FIND("/",E3109)-1))), "NA"))</f>
        <v/>
      </c>
      <c r="K3109" s="79">
        <f>IF(A3109&lt;&gt;"", IF(ISBLANK(L3109), TODAY(), K3109), "")</f>
        <v/>
      </c>
      <c r="L3109" s="78" t="n"/>
      <c r="M3109" s="78">
        <f>IF(ISBLANK(L3109),"",IF(D3109="Stock",IF(C3109="Buy",L3109*G3109,IF(C3109="Sell",(L3109*G3109)-I3109, X)),IF(C3109="Buy",(L3109*G3109*100)+I3109,IF(C3109="Sell",(L3109*G3109*100)-I3109, X))))</f>
        <v/>
      </c>
      <c r="N3109" s="78">
        <f>IF(ISBLANK(L3109),"",IF(AND(C3109="Sell",D3109="Stock"),M3109,IF(ISBLANK(L3109),"",IF(C3109="Buy",M3109, IF(AND(C3109="Sell",J3109="NA"),(E3109*G3109*100*0.1)+I3109, IF(C3109="Sell",(J3109-L3109)*(100*G3109)+I3109))))))</f>
        <v/>
      </c>
      <c r="O3109" s="75" t="n"/>
      <c r="P3109" s="75" t="n"/>
      <c r="Q3109" s="75">
        <f>IF(ISBLANK(P3109),"",IF(D3109="Stock",P3109*G3109,IF(P3109=0,"0",G3109*P3109*100-(G3109*$AF$14))))</f>
        <v/>
      </c>
      <c r="R3109" s="79">
        <f>IF(P3109&lt;&gt;"", TODAY(), "")</f>
        <v/>
      </c>
      <c r="S3109" s="78">
        <f>IF(AND(K3109&lt;&gt;"", R3109&lt;&gt;""), R3109-K3109, "")</f>
        <v/>
      </c>
      <c r="T3109" s="78" t="n"/>
      <c r="U3109" s="92">
        <f>IF(ISBLANK(P3109),"",IF(C3109="Buy",Q3109-M3109+T3109, IF(C3109="Sell",M3109-Q3109-T3109, X)))</f>
        <v/>
      </c>
      <c r="V3109" s="81">
        <f>IF(ISBLANK(P3109),"",U3109/N3109)</f>
        <v/>
      </c>
      <c r="W3109" s="81">
        <f>IF(ISBLANK(P3109),"",IF(S3109=0,(365/0.5)*V3109,(365/S3109)*V3109))</f>
        <v/>
      </c>
      <c r="X3109" s="75" t="n"/>
      <c r="Y3109" s="77" t="n"/>
      <c r="Z3109" s="77" t="n"/>
      <c r="AA3109" s="75" t="n"/>
      <c r="AB3109" s="75" t="n"/>
      <c r="AC3109" s="6" t="n"/>
      <c r="AD3109" s="75" t="n"/>
      <c r="AE3109" s="75" t="n"/>
      <c r="AF3109" s="75" t="n"/>
    </row>
    <row r="3110" ht="15.75" customHeight="1" s="133">
      <c r="A3110" s="75" t="n"/>
      <c r="B3110" s="75" t="n"/>
      <c r="C3110" s="75" t="n"/>
      <c r="D3110" s="75" t="n"/>
      <c r="E3110" s="76" t="n"/>
      <c r="F3110" s="77" t="n"/>
      <c r="G3110" s="75" t="n"/>
      <c r="H3110" s="75">
        <f>IF(ISBLANK(E3110),"",IF(OR(D3110="Butterfly",D3110="Butterfly ",D3110="Iron Fly", D3110="Iron Fly "),LEN(E3110)-LEN(SUBSTITUTE(E3110,"/",""))+2,LEN(E3110)-LEN(SUBSTITUTE(E3110,"/",""))+1))</f>
        <v/>
      </c>
      <c r="I3110" s="78">
        <f>IF(ISBLANK(G3110),"",IF(D3110="Stock","0",Key!$A$3*H3110*G3110))</f>
        <v/>
      </c>
      <c r="J3110" s="78">
        <f>IF(ISBLANK(E3110),"",IF(ISNUMBER(SEARCH("/",E3110)), IF(LEN(E3110)-LEN(SUBSTITUTE(E3110,"/",""))=1,(RIGHT(E3110,LEN(E3110)-FIND("/",E3110)))-(LEFT(E3110,FIND("/",E3110)-1)),(MID(E3110, SEARCH("/",E3110) + 1, SEARCH("/",E3110, SEARCH("/",E3110)+1) - SEARCH("/",E3110) - 1))-(LEFT(E3110,FIND("/",E3110)-1))), "NA"))</f>
        <v/>
      </c>
      <c r="K3110" s="79">
        <f>IF(A3110&lt;&gt;"", IF(ISBLANK(L3110), TODAY(), K3110), "")</f>
        <v/>
      </c>
      <c r="L3110" s="78" t="n"/>
      <c r="M3110" s="78">
        <f>IF(ISBLANK(L3110),"",IF(D3110="Stock",IF(C3110="Buy",L3110*G3110,IF(C3110="Sell",(L3110*G3110)-I3110, X)),IF(C3110="Buy",(L3110*G3110*100)+I3110,IF(C3110="Sell",(L3110*G3110*100)-I3110, X))))</f>
        <v/>
      </c>
      <c r="N3110" s="78">
        <f>IF(ISBLANK(L3110),"",IF(AND(C3110="Sell",D3110="Stock"),M3110,IF(ISBLANK(L3110),"",IF(C3110="Buy",M3110, IF(AND(C3110="Sell",J3110="NA"),(E3110*G3110*100*0.1)+I3110, IF(C3110="Sell",(J3110-L3110)*(100*G3110)+I3110))))))</f>
        <v/>
      </c>
      <c r="O3110" s="75" t="n"/>
      <c r="P3110" s="75" t="n"/>
      <c r="Q3110" s="75">
        <f>IF(ISBLANK(P3110),"",IF(D3110="Stock",P3110*G3110,IF(P3110=0,"0",G3110*P3110*100-(G3110*$AF$14))))</f>
        <v/>
      </c>
      <c r="R3110" s="79">
        <f>IF(P3110&lt;&gt;"", TODAY(), "")</f>
        <v/>
      </c>
      <c r="S3110" s="78">
        <f>IF(AND(K3110&lt;&gt;"", R3110&lt;&gt;""), R3110-K3110, "")</f>
        <v/>
      </c>
      <c r="T3110" s="78" t="n"/>
      <c r="U3110" s="92">
        <f>IF(ISBLANK(P3110),"",IF(C3110="Buy",Q3110-M3110+T3110, IF(C3110="Sell",M3110-Q3110-T3110, X)))</f>
        <v/>
      </c>
      <c r="V3110" s="81">
        <f>IF(ISBLANK(P3110),"",U3110/N3110)</f>
        <v/>
      </c>
      <c r="W3110" s="81">
        <f>IF(ISBLANK(P3110),"",IF(S3110=0,(365/0.5)*V3110,(365/S3110)*V3110))</f>
        <v/>
      </c>
      <c r="X3110" s="75" t="n"/>
      <c r="Y3110" s="77" t="n"/>
      <c r="Z3110" s="77" t="n"/>
      <c r="AA3110" s="75" t="n"/>
      <c r="AB3110" s="75" t="n"/>
      <c r="AC3110" s="6" t="n"/>
      <c r="AD3110" s="75" t="n"/>
      <c r="AE3110" s="75" t="n"/>
      <c r="AF3110" s="75" t="n"/>
    </row>
    <row r="3111" ht="15.75" customHeight="1" s="133">
      <c r="A3111" s="75" t="n"/>
      <c r="B3111" s="75" t="n"/>
      <c r="C3111" s="75" t="n"/>
      <c r="D3111" s="75" t="n"/>
      <c r="E3111" s="76" t="n"/>
      <c r="F3111" s="77" t="n"/>
      <c r="G3111" s="75" t="n"/>
      <c r="H3111" s="75">
        <f>IF(ISBLANK(E3111),"",IF(OR(D3111="Butterfly",D3111="Butterfly ",D3111="Iron Fly", D3111="Iron Fly "),LEN(E3111)-LEN(SUBSTITUTE(E3111,"/",""))+2,LEN(E3111)-LEN(SUBSTITUTE(E3111,"/",""))+1))</f>
        <v/>
      </c>
      <c r="I3111" s="78">
        <f>IF(ISBLANK(G3111),"",IF(D3111="Stock","0",Key!$A$3*H3111*G3111))</f>
        <v/>
      </c>
      <c r="J3111" s="78">
        <f>IF(ISBLANK(E3111),"",IF(ISNUMBER(SEARCH("/",E3111)), IF(LEN(E3111)-LEN(SUBSTITUTE(E3111,"/",""))=1,(RIGHT(E3111,LEN(E3111)-FIND("/",E3111)))-(LEFT(E3111,FIND("/",E3111)-1)),(MID(E3111, SEARCH("/",E3111) + 1, SEARCH("/",E3111, SEARCH("/",E3111)+1) - SEARCH("/",E3111) - 1))-(LEFT(E3111,FIND("/",E3111)-1))), "NA"))</f>
        <v/>
      </c>
      <c r="K3111" s="79">
        <f>IF(A3111&lt;&gt;"", IF(ISBLANK(L3111), TODAY(), K3111), "")</f>
        <v/>
      </c>
      <c r="L3111" s="78" t="n"/>
      <c r="M3111" s="78">
        <f>IF(ISBLANK(L3111),"",IF(D3111="Stock",IF(C3111="Buy",L3111*G3111,IF(C3111="Sell",(L3111*G3111)-I3111, X)),IF(C3111="Buy",(L3111*G3111*100)+I3111,IF(C3111="Sell",(L3111*G3111*100)-I3111, X))))</f>
        <v/>
      </c>
      <c r="N3111" s="78">
        <f>IF(ISBLANK(L3111),"",IF(AND(C3111="Sell",D3111="Stock"),M3111,IF(ISBLANK(L3111),"",IF(C3111="Buy",M3111, IF(AND(C3111="Sell",J3111="NA"),(E3111*G3111*100*0.1)+I3111, IF(C3111="Sell",(J3111-L3111)*(100*G3111)+I3111))))))</f>
        <v/>
      </c>
      <c r="O3111" s="75" t="n"/>
      <c r="P3111" s="75" t="n"/>
      <c r="Q3111" s="75">
        <f>IF(ISBLANK(P3111),"",IF(D3111="Stock",P3111*G3111,IF(P3111=0,"0",G3111*P3111*100-(G3111*$AF$14))))</f>
        <v/>
      </c>
      <c r="R3111" s="79">
        <f>IF(P3111&lt;&gt;"", TODAY(), "")</f>
        <v/>
      </c>
      <c r="S3111" s="78">
        <f>IF(AND(K3111&lt;&gt;"", R3111&lt;&gt;""), R3111-K3111, "")</f>
        <v/>
      </c>
      <c r="T3111" s="78" t="n"/>
      <c r="U3111" s="92">
        <f>IF(ISBLANK(P3111),"",IF(C3111="Buy",Q3111-M3111+T3111, IF(C3111="Sell",M3111-Q3111-T3111, X)))</f>
        <v/>
      </c>
      <c r="V3111" s="81">
        <f>IF(ISBLANK(P3111),"",U3111/N3111)</f>
        <v/>
      </c>
      <c r="W3111" s="81">
        <f>IF(ISBLANK(P3111),"",IF(S3111=0,(365/0.5)*V3111,(365/S3111)*V3111))</f>
        <v/>
      </c>
      <c r="X3111" s="75" t="n"/>
      <c r="Y3111" s="77" t="n"/>
      <c r="Z3111" s="77" t="n"/>
      <c r="AA3111" s="75" t="n"/>
      <c r="AB3111" s="75" t="n"/>
      <c r="AC3111" s="6" t="n"/>
      <c r="AD3111" s="75" t="n"/>
      <c r="AE3111" s="75" t="n"/>
      <c r="AF3111" s="75" t="n"/>
    </row>
    <row r="3112" ht="15.75" customHeight="1" s="133">
      <c r="A3112" s="75" t="n"/>
      <c r="B3112" s="75" t="n"/>
      <c r="C3112" s="75" t="n"/>
      <c r="D3112" s="75" t="n"/>
      <c r="E3112" s="76" t="n"/>
      <c r="F3112" s="77" t="n"/>
      <c r="G3112" s="75" t="n"/>
      <c r="H3112" s="75">
        <f>IF(ISBLANK(E3112),"",IF(OR(D3112="Butterfly",D3112="Butterfly ",D3112="Iron Fly", D3112="Iron Fly "),LEN(E3112)-LEN(SUBSTITUTE(E3112,"/",""))+2,LEN(E3112)-LEN(SUBSTITUTE(E3112,"/",""))+1))</f>
        <v/>
      </c>
      <c r="I3112" s="78">
        <f>IF(ISBLANK(G3112),"",IF(D3112="Stock","0",Key!$A$3*H3112*G3112))</f>
        <v/>
      </c>
      <c r="J3112" s="78">
        <f>IF(ISBLANK(E3112),"",IF(ISNUMBER(SEARCH("/",E3112)), IF(LEN(E3112)-LEN(SUBSTITUTE(E3112,"/",""))=1,(RIGHT(E3112,LEN(E3112)-FIND("/",E3112)))-(LEFT(E3112,FIND("/",E3112)-1)),(MID(E3112, SEARCH("/",E3112) + 1, SEARCH("/",E3112, SEARCH("/",E3112)+1) - SEARCH("/",E3112) - 1))-(LEFT(E3112,FIND("/",E3112)-1))), "NA"))</f>
        <v/>
      </c>
      <c r="K3112" s="79">
        <f>IF(A3112&lt;&gt;"", IF(ISBLANK(L3112), TODAY(), K3112), "")</f>
        <v/>
      </c>
      <c r="L3112" s="78" t="n"/>
      <c r="M3112" s="78">
        <f>IF(ISBLANK(L3112),"",IF(D3112="Stock",IF(C3112="Buy",L3112*G3112,IF(C3112="Sell",(L3112*G3112)-I3112, X)),IF(C3112="Buy",(L3112*G3112*100)+I3112,IF(C3112="Sell",(L3112*G3112*100)-I3112, X))))</f>
        <v/>
      </c>
      <c r="N3112" s="78">
        <f>IF(ISBLANK(L3112),"",IF(AND(C3112="Sell",D3112="Stock"),M3112,IF(ISBLANK(L3112),"",IF(C3112="Buy",M3112, IF(AND(C3112="Sell",J3112="NA"),(E3112*G3112*100*0.1)+I3112, IF(C3112="Sell",(J3112-L3112)*(100*G3112)+I3112))))))</f>
        <v/>
      </c>
      <c r="O3112" s="75" t="n"/>
      <c r="P3112" s="75" t="n"/>
      <c r="Q3112" s="75">
        <f>IF(ISBLANK(P3112),"",IF(D3112="Stock",P3112*G3112,IF(P3112=0,"0",G3112*P3112*100-(G3112*$AF$14))))</f>
        <v/>
      </c>
      <c r="R3112" s="79">
        <f>IF(P3112&lt;&gt;"", TODAY(), "")</f>
        <v/>
      </c>
      <c r="S3112" s="78">
        <f>IF(AND(K3112&lt;&gt;"", R3112&lt;&gt;""), R3112-K3112, "")</f>
        <v/>
      </c>
      <c r="T3112" s="78" t="n"/>
      <c r="U3112" s="92">
        <f>IF(ISBLANK(P3112),"",IF(C3112="Buy",Q3112-M3112+T3112, IF(C3112="Sell",M3112-Q3112-T3112, X)))</f>
        <v/>
      </c>
      <c r="V3112" s="81">
        <f>IF(ISBLANK(P3112),"",U3112/N3112)</f>
        <v/>
      </c>
      <c r="W3112" s="81">
        <f>IF(ISBLANK(P3112),"",IF(S3112=0,(365/0.5)*V3112,(365/S3112)*V3112))</f>
        <v/>
      </c>
      <c r="X3112" s="75" t="n"/>
      <c r="Y3112" s="77" t="n"/>
      <c r="Z3112" s="77" t="n"/>
      <c r="AA3112" s="75" t="n"/>
      <c r="AB3112" s="75" t="n"/>
      <c r="AC3112" s="6" t="n"/>
      <c r="AD3112" s="75" t="n"/>
      <c r="AE3112" s="75" t="n"/>
      <c r="AF3112" s="75" t="n"/>
    </row>
    <row r="3113" ht="15.75" customHeight="1" s="133">
      <c r="A3113" s="75" t="n"/>
      <c r="B3113" s="75" t="n"/>
      <c r="C3113" s="75" t="n"/>
      <c r="D3113" s="75" t="n"/>
      <c r="E3113" s="76" t="n"/>
      <c r="F3113" s="77" t="n"/>
      <c r="G3113" s="75" t="n"/>
      <c r="H3113" s="75">
        <f>IF(ISBLANK(E3113),"",IF(OR(D3113="Butterfly",D3113="Butterfly ",D3113="Iron Fly", D3113="Iron Fly "),LEN(E3113)-LEN(SUBSTITUTE(E3113,"/",""))+2,LEN(E3113)-LEN(SUBSTITUTE(E3113,"/",""))+1))</f>
        <v/>
      </c>
      <c r="I3113" s="78">
        <f>IF(ISBLANK(G3113),"",IF(D3113="Stock","0",Key!$A$3*H3113*G3113))</f>
        <v/>
      </c>
      <c r="J3113" s="78">
        <f>IF(ISBLANK(E3113),"",IF(ISNUMBER(SEARCH("/",E3113)), IF(LEN(E3113)-LEN(SUBSTITUTE(E3113,"/",""))=1,(RIGHT(E3113,LEN(E3113)-FIND("/",E3113)))-(LEFT(E3113,FIND("/",E3113)-1)),(MID(E3113, SEARCH("/",E3113) + 1, SEARCH("/",E3113, SEARCH("/",E3113)+1) - SEARCH("/",E3113) - 1))-(LEFT(E3113,FIND("/",E3113)-1))), "NA"))</f>
        <v/>
      </c>
      <c r="K3113" s="79">
        <f>IF(A3113&lt;&gt;"", IF(ISBLANK(L3113), TODAY(), K3113), "")</f>
        <v/>
      </c>
      <c r="L3113" s="78" t="n"/>
      <c r="M3113" s="78">
        <f>IF(ISBLANK(L3113),"",IF(D3113="Stock",IF(C3113="Buy",L3113*G3113,IF(C3113="Sell",(L3113*G3113)-I3113, X)),IF(C3113="Buy",(L3113*G3113*100)+I3113,IF(C3113="Sell",(L3113*G3113*100)-I3113, X))))</f>
        <v/>
      </c>
      <c r="N3113" s="78">
        <f>IF(ISBLANK(L3113),"",IF(AND(C3113="Sell",D3113="Stock"),M3113,IF(ISBLANK(L3113),"",IF(C3113="Buy",M3113, IF(AND(C3113="Sell",J3113="NA"),(E3113*G3113*100*0.1)+I3113, IF(C3113="Sell",(J3113-L3113)*(100*G3113)+I3113))))))</f>
        <v/>
      </c>
      <c r="O3113" s="75" t="n"/>
      <c r="P3113" s="75" t="n"/>
      <c r="Q3113" s="75">
        <f>IF(ISBLANK(P3113),"",IF(D3113="Stock",P3113*G3113,IF(P3113=0,"0",G3113*P3113*100-(G3113*$AF$14))))</f>
        <v/>
      </c>
      <c r="R3113" s="79">
        <f>IF(P3113&lt;&gt;"", TODAY(), "")</f>
        <v/>
      </c>
      <c r="S3113" s="78">
        <f>IF(AND(K3113&lt;&gt;"", R3113&lt;&gt;""), R3113-K3113, "")</f>
        <v/>
      </c>
      <c r="T3113" s="78" t="n"/>
      <c r="U3113" s="92">
        <f>IF(ISBLANK(P3113),"",IF(C3113="Buy",Q3113-M3113+T3113, IF(C3113="Sell",M3113-Q3113-T3113, X)))</f>
        <v/>
      </c>
      <c r="V3113" s="81">
        <f>IF(ISBLANK(P3113),"",U3113/N3113)</f>
        <v/>
      </c>
      <c r="W3113" s="81">
        <f>IF(ISBLANK(P3113),"",IF(S3113=0,(365/0.5)*V3113,(365/S3113)*V3113))</f>
        <v/>
      </c>
      <c r="X3113" s="75" t="n"/>
      <c r="Y3113" s="77" t="n"/>
      <c r="Z3113" s="77" t="n"/>
      <c r="AA3113" s="75" t="n"/>
      <c r="AB3113" s="75" t="n"/>
      <c r="AC3113" s="6" t="n"/>
      <c r="AD3113" s="75" t="n"/>
      <c r="AE3113" s="75" t="n"/>
      <c r="AF3113" s="75" t="n"/>
    </row>
    <row r="3114" ht="15.75" customHeight="1" s="133">
      <c r="A3114" s="75" t="n"/>
      <c r="B3114" s="75" t="n"/>
      <c r="C3114" s="75" t="n"/>
      <c r="D3114" s="75" t="n"/>
      <c r="E3114" s="76" t="n"/>
      <c r="F3114" s="77" t="n"/>
      <c r="G3114" s="75" t="n"/>
      <c r="H3114" s="75">
        <f>IF(ISBLANK(E3114),"",IF(OR(D3114="Butterfly",D3114="Butterfly ",D3114="Iron Fly", D3114="Iron Fly "),LEN(E3114)-LEN(SUBSTITUTE(E3114,"/",""))+2,LEN(E3114)-LEN(SUBSTITUTE(E3114,"/",""))+1))</f>
        <v/>
      </c>
      <c r="I3114" s="78">
        <f>IF(ISBLANK(G3114),"",IF(D3114="Stock","0",Key!$A$3*H3114*G3114))</f>
        <v/>
      </c>
      <c r="J3114" s="78">
        <f>IF(ISBLANK(E3114),"",IF(ISNUMBER(SEARCH("/",E3114)), IF(LEN(E3114)-LEN(SUBSTITUTE(E3114,"/",""))=1,(RIGHT(E3114,LEN(E3114)-FIND("/",E3114)))-(LEFT(E3114,FIND("/",E3114)-1)),(MID(E3114, SEARCH("/",E3114) + 1, SEARCH("/",E3114, SEARCH("/",E3114)+1) - SEARCH("/",E3114) - 1))-(LEFT(E3114,FIND("/",E3114)-1))), "NA"))</f>
        <v/>
      </c>
      <c r="K3114" s="79">
        <f>IF(A3114&lt;&gt;"", IF(ISBLANK(L3114), TODAY(), K3114), "")</f>
        <v/>
      </c>
      <c r="L3114" s="78" t="n"/>
      <c r="M3114" s="78">
        <f>IF(ISBLANK(L3114),"",IF(D3114="Stock",IF(C3114="Buy",L3114*G3114,IF(C3114="Sell",(L3114*G3114)-I3114, X)),IF(C3114="Buy",(L3114*G3114*100)+I3114,IF(C3114="Sell",(L3114*G3114*100)-I3114, X))))</f>
        <v/>
      </c>
      <c r="N3114" s="78">
        <f>IF(ISBLANK(L3114),"",IF(AND(C3114="Sell",D3114="Stock"),M3114,IF(ISBLANK(L3114),"",IF(C3114="Buy",M3114, IF(AND(C3114="Sell",J3114="NA"),(E3114*G3114*100*0.1)+I3114, IF(C3114="Sell",(J3114-L3114)*(100*G3114)+I3114))))))</f>
        <v/>
      </c>
      <c r="O3114" s="75" t="n"/>
      <c r="P3114" s="75" t="n"/>
      <c r="Q3114" s="75">
        <f>IF(ISBLANK(P3114),"",IF(D3114="Stock",P3114*G3114,IF(P3114=0,"0",G3114*P3114*100-(G3114*$AF$14))))</f>
        <v/>
      </c>
      <c r="R3114" s="79">
        <f>IF(P3114&lt;&gt;"", TODAY(), "")</f>
        <v/>
      </c>
      <c r="S3114" s="78">
        <f>IF(AND(K3114&lt;&gt;"", R3114&lt;&gt;""), R3114-K3114, "")</f>
        <v/>
      </c>
      <c r="T3114" s="78" t="n"/>
      <c r="U3114" s="92">
        <f>IF(ISBLANK(P3114),"",IF(C3114="Buy",Q3114-M3114+T3114, IF(C3114="Sell",M3114-Q3114-T3114, X)))</f>
        <v/>
      </c>
      <c r="V3114" s="81">
        <f>IF(ISBLANK(P3114),"",U3114/N3114)</f>
        <v/>
      </c>
      <c r="W3114" s="81">
        <f>IF(ISBLANK(P3114),"",IF(S3114=0,(365/0.5)*V3114,(365/S3114)*V3114))</f>
        <v/>
      </c>
      <c r="X3114" s="75" t="n"/>
      <c r="Y3114" s="77" t="n"/>
      <c r="Z3114" s="77" t="n"/>
      <c r="AA3114" s="75" t="n"/>
      <c r="AB3114" s="75" t="n"/>
      <c r="AC3114" s="6" t="n"/>
      <c r="AD3114" s="75" t="n"/>
      <c r="AE3114" s="75" t="n"/>
      <c r="AF3114" s="75" t="n"/>
    </row>
    <row r="3115" ht="15.75" customHeight="1" s="133">
      <c r="A3115" s="75" t="n"/>
      <c r="B3115" s="75" t="n"/>
      <c r="C3115" s="75" t="n"/>
      <c r="D3115" s="75" t="n"/>
      <c r="E3115" s="76" t="n"/>
      <c r="F3115" s="77" t="n"/>
      <c r="G3115" s="75" t="n"/>
      <c r="H3115" s="75">
        <f>IF(ISBLANK(E3115),"",IF(OR(D3115="Butterfly",D3115="Butterfly ",D3115="Iron Fly", D3115="Iron Fly "),LEN(E3115)-LEN(SUBSTITUTE(E3115,"/",""))+2,LEN(E3115)-LEN(SUBSTITUTE(E3115,"/",""))+1))</f>
        <v/>
      </c>
      <c r="I3115" s="78">
        <f>IF(ISBLANK(G3115),"",IF(D3115="Stock","0",Key!$A$3*H3115*G3115))</f>
        <v/>
      </c>
      <c r="J3115" s="78">
        <f>IF(ISBLANK(E3115),"",IF(ISNUMBER(SEARCH("/",E3115)), IF(LEN(E3115)-LEN(SUBSTITUTE(E3115,"/",""))=1,(RIGHT(E3115,LEN(E3115)-FIND("/",E3115)))-(LEFT(E3115,FIND("/",E3115)-1)),(MID(E3115, SEARCH("/",E3115) + 1, SEARCH("/",E3115, SEARCH("/",E3115)+1) - SEARCH("/",E3115) - 1))-(LEFT(E3115,FIND("/",E3115)-1))), "NA"))</f>
        <v/>
      </c>
      <c r="K3115" s="79">
        <f>IF(A3115&lt;&gt;"", IF(ISBLANK(L3115), TODAY(), K3115), "")</f>
        <v/>
      </c>
      <c r="L3115" s="78" t="n"/>
      <c r="M3115" s="78">
        <f>IF(ISBLANK(L3115),"",IF(D3115="Stock",IF(C3115="Buy",L3115*G3115,IF(C3115="Sell",(L3115*G3115)-I3115, X)),IF(C3115="Buy",(L3115*G3115*100)+I3115,IF(C3115="Sell",(L3115*G3115*100)-I3115, X))))</f>
        <v/>
      </c>
      <c r="N3115" s="78">
        <f>IF(ISBLANK(L3115),"",IF(AND(C3115="Sell",D3115="Stock"),M3115,IF(ISBLANK(L3115),"",IF(C3115="Buy",M3115, IF(AND(C3115="Sell",J3115="NA"),(E3115*G3115*100*0.1)+I3115, IF(C3115="Sell",(J3115-L3115)*(100*G3115)+I3115))))))</f>
        <v/>
      </c>
      <c r="O3115" s="75" t="n"/>
      <c r="P3115" s="75" t="n"/>
      <c r="Q3115" s="75">
        <f>IF(ISBLANK(P3115),"",IF(D3115="Stock",P3115*G3115,IF(P3115=0,"0",G3115*P3115*100-(G3115*$AF$14))))</f>
        <v/>
      </c>
      <c r="R3115" s="79">
        <f>IF(P3115&lt;&gt;"", TODAY(), "")</f>
        <v/>
      </c>
      <c r="S3115" s="78">
        <f>IF(AND(K3115&lt;&gt;"", R3115&lt;&gt;""), R3115-K3115, "")</f>
        <v/>
      </c>
      <c r="T3115" s="78" t="n"/>
      <c r="U3115" s="92">
        <f>IF(ISBLANK(P3115),"",IF(C3115="Buy",Q3115-M3115+T3115, IF(C3115="Sell",M3115-Q3115-T3115, X)))</f>
        <v/>
      </c>
      <c r="V3115" s="81">
        <f>IF(ISBLANK(P3115),"",U3115/N3115)</f>
        <v/>
      </c>
      <c r="W3115" s="81">
        <f>IF(ISBLANK(P3115),"",IF(S3115=0,(365/0.5)*V3115,(365/S3115)*V3115))</f>
        <v/>
      </c>
      <c r="X3115" s="75" t="n"/>
      <c r="Y3115" s="77" t="n"/>
      <c r="Z3115" s="77" t="n"/>
      <c r="AA3115" s="75" t="n"/>
      <c r="AB3115" s="75" t="n"/>
      <c r="AC3115" s="6" t="n"/>
      <c r="AD3115" s="75" t="n"/>
      <c r="AE3115" s="75" t="n"/>
      <c r="AF3115" s="75" t="n"/>
    </row>
    <row r="3116" ht="15.75" customHeight="1" s="133">
      <c r="A3116" s="75" t="n"/>
      <c r="B3116" s="75" t="n"/>
      <c r="C3116" s="75" t="n"/>
      <c r="D3116" s="75" t="n"/>
      <c r="E3116" s="76" t="n"/>
      <c r="F3116" s="77" t="n"/>
      <c r="G3116" s="75" t="n"/>
      <c r="H3116" s="75">
        <f>IF(ISBLANK(E3116),"",IF(OR(D3116="Butterfly",D3116="Butterfly ",D3116="Iron Fly", D3116="Iron Fly "),LEN(E3116)-LEN(SUBSTITUTE(E3116,"/",""))+2,LEN(E3116)-LEN(SUBSTITUTE(E3116,"/",""))+1))</f>
        <v/>
      </c>
      <c r="I3116" s="78">
        <f>IF(ISBLANK(G3116),"",IF(D3116="Stock","0",Key!$A$3*H3116*G3116))</f>
        <v/>
      </c>
      <c r="J3116" s="78">
        <f>IF(ISBLANK(E3116),"",IF(ISNUMBER(SEARCH("/",E3116)), IF(LEN(E3116)-LEN(SUBSTITUTE(E3116,"/",""))=1,(RIGHT(E3116,LEN(E3116)-FIND("/",E3116)))-(LEFT(E3116,FIND("/",E3116)-1)),(MID(E3116, SEARCH("/",E3116) + 1, SEARCH("/",E3116, SEARCH("/",E3116)+1) - SEARCH("/",E3116) - 1))-(LEFT(E3116,FIND("/",E3116)-1))), "NA"))</f>
        <v/>
      </c>
      <c r="K3116" s="79">
        <f>IF(A3116&lt;&gt;"", IF(ISBLANK(L3116), TODAY(), K3116), "")</f>
        <v/>
      </c>
      <c r="L3116" s="78" t="n"/>
      <c r="M3116" s="78">
        <f>IF(ISBLANK(L3116),"",IF(D3116="Stock",IF(C3116="Buy",L3116*G3116,IF(C3116="Sell",(L3116*G3116)-I3116, X)),IF(C3116="Buy",(L3116*G3116*100)+I3116,IF(C3116="Sell",(L3116*G3116*100)-I3116, X))))</f>
        <v/>
      </c>
      <c r="N3116" s="78">
        <f>IF(ISBLANK(L3116),"",IF(AND(C3116="Sell",D3116="Stock"),M3116,IF(ISBLANK(L3116),"",IF(C3116="Buy",M3116, IF(AND(C3116="Sell",J3116="NA"),(E3116*G3116*100*0.1)+I3116, IF(C3116="Sell",(J3116-L3116)*(100*G3116)+I3116))))))</f>
        <v/>
      </c>
      <c r="O3116" s="75" t="n"/>
      <c r="P3116" s="75" t="n"/>
      <c r="Q3116" s="75">
        <f>IF(ISBLANK(P3116),"",IF(D3116="Stock",P3116*G3116,IF(P3116=0,"0",G3116*P3116*100-(G3116*$AF$14))))</f>
        <v/>
      </c>
      <c r="R3116" s="79">
        <f>IF(P3116&lt;&gt;"", TODAY(), "")</f>
        <v/>
      </c>
      <c r="S3116" s="78">
        <f>IF(AND(K3116&lt;&gt;"", R3116&lt;&gt;""), R3116-K3116, "")</f>
        <v/>
      </c>
      <c r="T3116" s="78" t="n"/>
      <c r="U3116" s="92">
        <f>IF(ISBLANK(P3116),"",IF(C3116="Buy",Q3116-M3116+T3116, IF(C3116="Sell",M3116-Q3116-T3116, X)))</f>
        <v/>
      </c>
      <c r="V3116" s="81">
        <f>IF(ISBLANK(P3116),"",U3116/N3116)</f>
        <v/>
      </c>
      <c r="W3116" s="81">
        <f>IF(ISBLANK(P3116),"",IF(S3116=0,(365/0.5)*V3116,(365/S3116)*V3116))</f>
        <v/>
      </c>
      <c r="X3116" s="75" t="n"/>
      <c r="Y3116" s="77" t="n"/>
      <c r="Z3116" s="77" t="n"/>
      <c r="AA3116" s="75" t="n"/>
      <c r="AB3116" s="75" t="n"/>
      <c r="AC3116" s="6" t="n"/>
      <c r="AD3116" s="75" t="n"/>
      <c r="AE3116" s="75" t="n"/>
      <c r="AF3116" s="75" t="n"/>
    </row>
    <row r="3117" ht="15.75" customHeight="1" s="133">
      <c r="A3117" s="75" t="n"/>
      <c r="B3117" s="75" t="n"/>
      <c r="C3117" s="75" t="n"/>
      <c r="D3117" s="75" t="n"/>
      <c r="E3117" s="76" t="n"/>
      <c r="F3117" s="77" t="n"/>
      <c r="G3117" s="75" t="n"/>
      <c r="H3117" s="75">
        <f>IF(ISBLANK(E3117),"",IF(OR(D3117="Butterfly",D3117="Butterfly ",D3117="Iron Fly", D3117="Iron Fly "),LEN(E3117)-LEN(SUBSTITUTE(E3117,"/",""))+2,LEN(E3117)-LEN(SUBSTITUTE(E3117,"/",""))+1))</f>
        <v/>
      </c>
      <c r="I3117" s="78">
        <f>IF(ISBLANK(G3117),"",IF(D3117="Stock","0",Key!$A$3*H3117*G3117))</f>
        <v/>
      </c>
      <c r="J3117" s="78">
        <f>IF(ISBLANK(E3117),"",IF(ISNUMBER(SEARCH("/",E3117)), IF(LEN(E3117)-LEN(SUBSTITUTE(E3117,"/",""))=1,(RIGHT(E3117,LEN(E3117)-FIND("/",E3117)))-(LEFT(E3117,FIND("/",E3117)-1)),(MID(E3117, SEARCH("/",E3117) + 1, SEARCH("/",E3117, SEARCH("/",E3117)+1) - SEARCH("/",E3117) - 1))-(LEFT(E3117,FIND("/",E3117)-1))), "NA"))</f>
        <v/>
      </c>
      <c r="K3117" s="79">
        <f>IF(A3117&lt;&gt;"", IF(ISBLANK(L3117), TODAY(), K3117), "")</f>
        <v/>
      </c>
      <c r="L3117" s="78" t="n"/>
      <c r="M3117" s="78">
        <f>IF(ISBLANK(L3117),"",IF(D3117="Stock",IF(C3117="Buy",L3117*G3117,IF(C3117="Sell",(L3117*G3117)-I3117, X)),IF(C3117="Buy",(L3117*G3117*100)+I3117,IF(C3117="Sell",(L3117*G3117*100)-I3117, X))))</f>
        <v/>
      </c>
      <c r="N3117" s="78">
        <f>IF(ISBLANK(L3117),"",IF(AND(C3117="Sell",D3117="Stock"),M3117,IF(ISBLANK(L3117),"",IF(C3117="Buy",M3117, IF(AND(C3117="Sell",J3117="NA"),(E3117*G3117*100*0.1)+I3117, IF(C3117="Sell",(J3117-L3117)*(100*G3117)+I3117))))))</f>
        <v/>
      </c>
      <c r="O3117" s="75" t="n"/>
      <c r="P3117" s="75" t="n"/>
      <c r="Q3117" s="75">
        <f>IF(ISBLANK(P3117),"",IF(D3117="Stock",P3117*G3117,IF(P3117=0,"0",G3117*P3117*100-(G3117*$AF$14))))</f>
        <v/>
      </c>
      <c r="R3117" s="79">
        <f>IF(P3117&lt;&gt;"", TODAY(), "")</f>
        <v/>
      </c>
      <c r="S3117" s="78">
        <f>IF(AND(K3117&lt;&gt;"", R3117&lt;&gt;""), R3117-K3117, "")</f>
        <v/>
      </c>
      <c r="T3117" s="78" t="n"/>
      <c r="U3117" s="92">
        <f>IF(ISBLANK(P3117),"",IF(C3117="Buy",Q3117-M3117+T3117, IF(C3117="Sell",M3117-Q3117-T3117, X)))</f>
        <v/>
      </c>
      <c r="V3117" s="81">
        <f>IF(ISBLANK(P3117),"",U3117/N3117)</f>
        <v/>
      </c>
      <c r="W3117" s="81">
        <f>IF(ISBLANK(P3117),"",IF(S3117=0,(365/0.5)*V3117,(365/S3117)*V3117))</f>
        <v/>
      </c>
      <c r="X3117" s="75" t="n"/>
      <c r="Y3117" s="77" t="n"/>
      <c r="Z3117" s="77" t="n"/>
      <c r="AA3117" s="75" t="n"/>
      <c r="AB3117" s="75" t="n"/>
      <c r="AC3117" s="6" t="n"/>
      <c r="AD3117" s="75" t="n"/>
      <c r="AE3117" s="75" t="n"/>
      <c r="AF3117" s="75" t="n"/>
    </row>
    <row r="3118" ht="15.75" customHeight="1" s="133">
      <c r="A3118" s="75" t="n"/>
      <c r="B3118" s="75" t="n"/>
      <c r="C3118" s="75" t="n"/>
      <c r="D3118" s="75" t="n"/>
      <c r="E3118" s="76" t="n"/>
      <c r="F3118" s="77" t="n"/>
      <c r="G3118" s="75" t="n"/>
      <c r="H3118" s="75">
        <f>IF(ISBLANK(E3118),"",IF(OR(D3118="Butterfly",D3118="Butterfly ",D3118="Iron Fly", D3118="Iron Fly "),LEN(E3118)-LEN(SUBSTITUTE(E3118,"/",""))+2,LEN(E3118)-LEN(SUBSTITUTE(E3118,"/",""))+1))</f>
        <v/>
      </c>
      <c r="I3118" s="78">
        <f>IF(ISBLANK(G3118),"",IF(D3118="Stock","0",Key!$A$3*H3118*G3118))</f>
        <v/>
      </c>
      <c r="J3118" s="78">
        <f>IF(ISBLANK(E3118),"",IF(ISNUMBER(SEARCH("/",E3118)), IF(LEN(E3118)-LEN(SUBSTITUTE(E3118,"/",""))=1,(RIGHT(E3118,LEN(E3118)-FIND("/",E3118)))-(LEFT(E3118,FIND("/",E3118)-1)),(MID(E3118, SEARCH("/",E3118) + 1, SEARCH("/",E3118, SEARCH("/",E3118)+1) - SEARCH("/",E3118) - 1))-(LEFT(E3118,FIND("/",E3118)-1))), "NA"))</f>
        <v/>
      </c>
      <c r="K3118" s="79">
        <f>IF(A3118&lt;&gt;"", IF(ISBLANK(L3118), TODAY(), K3118), "")</f>
        <v/>
      </c>
      <c r="L3118" s="78" t="n"/>
      <c r="M3118" s="78">
        <f>IF(ISBLANK(L3118),"",IF(D3118="Stock",IF(C3118="Buy",L3118*G3118,IF(C3118="Sell",(L3118*G3118)-I3118, X)),IF(C3118="Buy",(L3118*G3118*100)+I3118,IF(C3118="Sell",(L3118*G3118*100)-I3118, X))))</f>
        <v/>
      </c>
      <c r="N3118" s="78">
        <f>IF(ISBLANK(L3118),"",IF(AND(C3118="Sell",D3118="Stock"),M3118,IF(ISBLANK(L3118),"",IF(C3118="Buy",M3118, IF(AND(C3118="Sell",J3118="NA"),(E3118*G3118*100*0.1)+I3118, IF(C3118="Sell",(J3118-L3118)*(100*G3118)+I3118))))))</f>
        <v/>
      </c>
      <c r="O3118" s="75" t="n"/>
      <c r="P3118" s="75" t="n"/>
      <c r="Q3118" s="75">
        <f>IF(ISBLANK(P3118),"",IF(D3118="Stock",P3118*G3118,IF(P3118=0,"0",G3118*P3118*100-(G3118*$AF$14))))</f>
        <v/>
      </c>
      <c r="R3118" s="79">
        <f>IF(P3118&lt;&gt;"", TODAY(), "")</f>
        <v/>
      </c>
      <c r="S3118" s="78">
        <f>IF(AND(K3118&lt;&gt;"", R3118&lt;&gt;""), R3118-K3118, "")</f>
        <v/>
      </c>
      <c r="T3118" s="78" t="n"/>
      <c r="U3118" s="92">
        <f>IF(ISBLANK(P3118),"",IF(C3118="Buy",Q3118-M3118+T3118, IF(C3118="Sell",M3118-Q3118-T3118, X)))</f>
        <v/>
      </c>
      <c r="V3118" s="81">
        <f>IF(ISBLANK(P3118),"",U3118/N3118)</f>
        <v/>
      </c>
      <c r="W3118" s="81">
        <f>IF(ISBLANK(P3118),"",IF(S3118=0,(365/0.5)*V3118,(365/S3118)*V3118))</f>
        <v/>
      </c>
      <c r="X3118" s="75" t="n"/>
      <c r="Y3118" s="77" t="n"/>
      <c r="Z3118" s="77" t="n"/>
      <c r="AA3118" s="75" t="n"/>
      <c r="AB3118" s="75" t="n"/>
      <c r="AC3118" s="6" t="n"/>
      <c r="AD3118" s="75" t="n"/>
      <c r="AE3118" s="75" t="n"/>
      <c r="AF3118" s="75" t="n"/>
    </row>
    <row r="3119" ht="15.75" customHeight="1" s="133">
      <c r="A3119" s="75" t="n"/>
      <c r="B3119" s="75" t="n"/>
      <c r="C3119" s="75" t="n"/>
      <c r="D3119" s="75" t="n"/>
      <c r="E3119" s="76" t="n"/>
      <c r="F3119" s="77" t="n"/>
      <c r="G3119" s="75" t="n"/>
      <c r="H3119" s="75">
        <f>IF(ISBLANK(E3119),"",IF(OR(D3119="Butterfly",D3119="Butterfly ",D3119="Iron Fly", D3119="Iron Fly "),LEN(E3119)-LEN(SUBSTITUTE(E3119,"/",""))+2,LEN(E3119)-LEN(SUBSTITUTE(E3119,"/",""))+1))</f>
        <v/>
      </c>
      <c r="I3119" s="78">
        <f>IF(ISBLANK(G3119),"",IF(D3119="Stock","0",Key!$A$3*H3119*G3119))</f>
        <v/>
      </c>
      <c r="J3119" s="78">
        <f>IF(ISBLANK(E3119),"",IF(ISNUMBER(SEARCH("/",E3119)), IF(LEN(E3119)-LEN(SUBSTITUTE(E3119,"/",""))=1,(RIGHT(E3119,LEN(E3119)-FIND("/",E3119)))-(LEFT(E3119,FIND("/",E3119)-1)),(MID(E3119, SEARCH("/",E3119) + 1, SEARCH("/",E3119, SEARCH("/",E3119)+1) - SEARCH("/",E3119) - 1))-(LEFT(E3119,FIND("/",E3119)-1))), "NA"))</f>
        <v/>
      </c>
      <c r="K3119" s="79">
        <f>IF(A3119&lt;&gt;"", IF(ISBLANK(L3119), TODAY(), K3119), "")</f>
        <v/>
      </c>
      <c r="L3119" s="78" t="n"/>
      <c r="M3119" s="78">
        <f>IF(ISBLANK(L3119),"",IF(D3119="Stock",IF(C3119="Buy",L3119*G3119,IF(C3119="Sell",(L3119*G3119)-I3119, X)),IF(C3119="Buy",(L3119*G3119*100)+I3119,IF(C3119="Sell",(L3119*G3119*100)-I3119, X))))</f>
        <v/>
      </c>
      <c r="N3119" s="78">
        <f>IF(ISBLANK(L3119),"",IF(AND(C3119="Sell",D3119="Stock"),M3119,IF(ISBLANK(L3119),"",IF(C3119="Buy",M3119, IF(AND(C3119="Sell",J3119="NA"),(E3119*G3119*100*0.1)+I3119, IF(C3119="Sell",(J3119-L3119)*(100*G3119)+I3119))))))</f>
        <v/>
      </c>
      <c r="O3119" s="75" t="n"/>
      <c r="P3119" s="75" t="n"/>
      <c r="Q3119" s="75">
        <f>IF(ISBLANK(P3119),"",IF(D3119="Stock",P3119*G3119,IF(P3119=0,"0",G3119*P3119*100-(G3119*$AF$14))))</f>
        <v/>
      </c>
      <c r="R3119" s="79">
        <f>IF(P3119&lt;&gt;"", TODAY(), "")</f>
        <v/>
      </c>
      <c r="S3119" s="78">
        <f>IF(AND(K3119&lt;&gt;"", R3119&lt;&gt;""), R3119-K3119, "")</f>
        <v/>
      </c>
      <c r="T3119" s="78" t="n"/>
      <c r="U3119" s="92">
        <f>IF(ISBLANK(P3119),"",IF(C3119="Buy",Q3119-M3119+T3119, IF(C3119="Sell",M3119-Q3119-T3119, X)))</f>
        <v/>
      </c>
      <c r="V3119" s="81">
        <f>IF(ISBLANK(P3119),"",U3119/N3119)</f>
        <v/>
      </c>
      <c r="W3119" s="81">
        <f>IF(ISBLANK(P3119),"",IF(S3119=0,(365/0.5)*V3119,(365/S3119)*V3119))</f>
        <v/>
      </c>
      <c r="X3119" s="75" t="n"/>
      <c r="Y3119" s="77" t="n"/>
      <c r="Z3119" s="77" t="n"/>
      <c r="AA3119" s="75" t="n"/>
      <c r="AB3119" s="75" t="n"/>
      <c r="AC3119" s="6" t="n"/>
      <c r="AD3119" s="75" t="n"/>
      <c r="AE3119" s="75" t="n"/>
      <c r="AF3119" s="75" t="n"/>
    </row>
    <row r="3120" ht="15.75" customHeight="1" s="133">
      <c r="A3120" s="75" t="n"/>
      <c r="B3120" s="75" t="n"/>
      <c r="C3120" s="75" t="n"/>
      <c r="D3120" s="75" t="n"/>
      <c r="E3120" s="76" t="n"/>
      <c r="F3120" s="77" t="n"/>
      <c r="G3120" s="75" t="n"/>
      <c r="H3120" s="75">
        <f>IF(ISBLANK(E3120),"",IF(OR(D3120="Butterfly",D3120="Butterfly ",D3120="Iron Fly", D3120="Iron Fly "),LEN(E3120)-LEN(SUBSTITUTE(E3120,"/",""))+2,LEN(E3120)-LEN(SUBSTITUTE(E3120,"/",""))+1))</f>
        <v/>
      </c>
      <c r="I3120" s="78">
        <f>IF(ISBLANK(G3120),"",IF(D3120="Stock","0",Key!$A$3*H3120*G3120))</f>
        <v/>
      </c>
      <c r="J3120" s="78">
        <f>IF(ISBLANK(E3120),"",IF(ISNUMBER(SEARCH("/",E3120)), IF(LEN(E3120)-LEN(SUBSTITUTE(E3120,"/",""))=1,(RIGHT(E3120,LEN(E3120)-FIND("/",E3120)))-(LEFT(E3120,FIND("/",E3120)-1)),(MID(E3120, SEARCH("/",E3120) + 1, SEARCH("/",E3120, SEARCH("/",E3120)+1) - SEARCH("/",E3120) - 1))-(LEFT(E3120,FIND("/",E3120)-1))), "NA"))</f>
        <v/>
      </c>
      <c r="K3120" s="79">
        <f>IF(A3120&lt;&gt;"", IF(ISBLANK(L3120), TODAY(), K3120), "")</f>
        <v/>
      </c>
      <c r="L3120" s="78" t="n"/>
      <c r="M3120" s="78">
        <f>IF(ISBLANK(L3120),"",IF(D3120="Stock",IF(C3120="Buy",L3120*G3120,IF(C3120="Sell",(L3120*G3120)-I3120, X)),IF(C3120="Buy",(L3120*G3120*100)+I3120,IF(C3120="Sell",(L3120*G3120*100)-I3120, X))))</f>
        <v/>
      </c>
      <c r="N3120" s="78">
        <f>IF(ISBLANK(L3120),"",IF(AND(C3120="Sell",D3120="Stock"),M3120,IF(ISBLANK(L3120),"",IF(C3120="Buy",M3120, IF(AND(C3120="Sell",J3120="NA"),(E3120*G3120*100*0.1)+I3120, IF(C3120="Sell",(J3120-L3120)*(100*G3120)+I3120))))))</f>
        <v/>
      </c>
      <c r="O3120" s="75" t="n"/>
      <c r="P3120" s="75" t="n"/>
      <c r="Q3120" s="75">
        <f>IF(ISBLANK(P3120),"",IF(D3120="Stock",P3120*G3120,IF(P3120=0,"0",G3120*P3120*100-(G3120*$AF$14))))</f>
        <v/>
      </c>
      <c r="R3120" s="79">
        <f>IF(P3120&lt;&gt;"", TODAY(), "")</f>
        <v/>
      </c>
      <c r="S3120" s="78">
        <f>IF(AND(K3120&lt;&gt;"", R3120&lt;&gt;""), R3120-K3120, "")</f>
        <v/>
      </c>
      <c r="T3120" s="78" t="n"/>
      <c r="U3120" s="92">
        <f>IF(ISBLANK(P3120),"",IF(C3120="Buy",Q3120-M3120+T3120, IF(C3120="Sell",M3120-Q3120-T3120, X)))</f>
        <v/>
      </c>
      <c r="V3120" s="81">
        <f>IF(ISBLANK(P3120),"",U3120/N3120)</f>
        <v/>
      </c>
      <c r="W3120" s="81">
        <f>IF(ISBLANK(P3120),"",IF(S3120=0,(365/0.5)*V3120,(365/S3120)*V3120))</f>
        <v/>
      </c>
      <c r="X3120" s="75" t="n"/>
      <c r="Y3120" s="77" t="n"/>
      <c r="Z3120" s="77" t="n"/>
      <c r="AA3120" s="75" t="n"/>
      <c r="AB3120" s="75" t="n"/>
      <c r="AC3120" s="6" t="n"/>
      <c r="AD3120" s="75" t="n"/>
      <c r="AE3120" s="75" t="n"/>
      <c r="AF3120" s="75" t="n"/>
    </row>
    <row r="3121" ht="15.75" customHeight="1" s="133">
      <c r="A3121" s="75" t="n"/>
      <c r="B3121" s="75" t="n"/>
      <c r="C3121" s="75" t="n"/>
      <c r="D3121" s="75" t="n"/>
      <c r="E3121" s="76" t="n"/>
      <c r="F3121" s="77" t="n"/>
      <c r="G3121" s="75" t="n"/>
      <c r="H3121" s="75">
        <f>IF(ISBLANK(E3121),"",IF(OR(D3121="Butterfly",D3121="Butterfly ",D3121="Iron Fly", D3121="Iron Fly "),LEN(E3121)-LEN(SUBSTITUTE(E3121,"/",""))+2,LEN(E3121)-LEN(SUBSTITUTE(E3121,"/",""))+1))</f>
        <v/>
      </c>
      <c r="I3121" s="78">
        <f>IF(ISBLANK(G3121),"",IF(D3121="Stock","0",Key!$A$3*H3121*G3121))</f>
        <v/>
      </c>
      <c r="J3121" s="78">
        <f>IF(ISBLANK(E3121),"",IF(ISNUMBER(SEARCH("/",E3121)), IF(LEN(E3121)-LEN(SUBSTITUTE(E3121,"/",""))=1,(RIGHT(E3121,LEN(E3121)-FIND("/",E3121)))-(LEFT(E3121,FIND("/",E3121)-1)),(MID(E3121, SEARCH("/",E3121) + 1, SEARCH("/",E3121, SEARCH("/",E3121)+1) - SEARCH("/",E3121) - 1))-(LEFT(E3121,FIND("/",E3121)-1))), "NA"))</f>
        <v/>
      </c>
      <c r="K3121" s="79">
        <f>IF(A3121&lt;&gt;"", IF(ISBLANK(L3121), TODAY(), K3121), "")</f>
        <v/>
      </c>
      <c r="L3121" s="78" t="n"/>
      <c r="M3121" s="78">
        <f>IF(ISBLANK(L3121),"",IF(D3121="Stock",IF(C3121="Buy",L3121*G3121,IF(C3121="Sell",(L3121*G3121)-I3121, X)),IF(C3121="Buy",(L3121*G3121*100)+I3121,IF(C3121="Sell",(L3121*G3121*100)-I3121, X))))</f>
        <v/>
      </c>
      <c r="N3121" s="78">
        <f>IF(ISBLANK(L3121),"",IF(AND(C3121="Sell",D3121="Stock"),M3121,IF(ISBLANK(L3121),"",IF(C3121="Buy",M3121, IF(AND(C3121="Sell",J3121="NA"),(E3121*G3121*100*0.1)+I3121, IF(C3121="Sell",(J3121-L3121)*(100*G3121)+I3121))))))</f>
        <v/>
      </c>
      <c r="O3121" s="75" t="n"/>
      <c r="P3121" s="75" t="n"/>
      <c r="Q3121" s="75">
        <f>IF(ISBLANK(P3121),"",IF(D3121="Stock",P3121*G3121,IF(P3121=0,"0",G3121*P3121*100-(G3121*$AF$14))))</f>
        <v/>
      </c>
      <c r="R3121" s="79">
        <f>IF(P3121&lt;&gt;"", TODAY(), "")</f>
        <v/>
      </c>
      <c r="S3121" s="78">
        <f>IF(AND(K3121&lt;&gt;"", R3121&lt;&gt;""), R3121-K3121, "")</f>
        <v/>
      </c>
      <c r="T3121" s="78" t="n"/>
      <c r="U3121" s="92">
        <f>IF(ISBLANK(P3121),"",IF(C3121="Buy",Q3121-M3121+T3121, IF(C3121="Sell",M3121-Q3121-T3121, X)))</f>
        <v/>
      </c>
      <c r="V3121" s="81">
        <f>IF(ISBLANK(P3121),"",U3121/N3121)</f>
        <v/>
      </c>
      <c r="W3121" s="81">
        <f>IF(ISBLANK(P3121),"",IF(S3121=0,(365/0.5)*V3121,(365/S3121)*V3121))</f>
        <v/>
      </c>
      <c r="X3121" s="75" t="n"/>
      <c r="Y3121" s="77" t="n"/>
      <c r="Z3121" s="77" t="n"/>
      <c r="AA3121" s="75" t="n"/>
      <c r="AB3121" s="75" t="n"/>
      <c r="AC3121" s="6" t="n"/>
      <c r="AD3121" s="75" t="n"/>
      <c r="AE3121" s="75" t="n"/>
      <c r="AF3121" s="75" t="n"/>
    </row>
    <row r="3122" ht="15.75" customHeight="1" s="133">
      <c r="A3122" s="75" t="n"/>
      <c r="B3122" s="75" t="n"/>
      <c r="C3122" s="75" t="n"/>
      <c r="D3122" s="75" t="n"/>
      <c r="E3122" s="76" t="n"/>
      <c r="F3122" s="77" t="n"/>
      <c r="G3122" s="75" t="n"/>
      <c r="H3122" s="75">
        <f>IF(ISBLANK(E3122),"",IF(OR(D3122="Butterfly",D3122="Butterfly ",D3122="Iron Fly", D3122="Iron Fly "),LEN(E3122)-LEN(SUBSTITUTE(E3122,"/",""))+2,LEN(E3122)-LEN(SUBSTITUTE(E3122,"/",""))+1))</f>
        <v/>
      </c>
      <c r="I3122" s="78">
        <f>IF(ISBLANK(G3122),"",IF(D3122="Stock","0",Key!$A$3*H3122*G3122))</f>
        <v/>
      </c>
      <c r="J3122" s="78">
        <f>IF(ISBLANK(E3122),"",IF(ISNUMBER(SEARCH("/",E3122)), IF(LEN(E3122)-LEN(SUBSTITUTE(E3122,"/",""))=1,(RIGHT(E3122,LEN(E3122)-FIND("/",E3122)))-(LEFT(E3122,FIND("/",E3122)-1)),(MID(E3122, SEARCH("/",E3122) + 1, SEARCH("/",E3122, SEARCH("/",E3122)+1) - SEARCH("/",E3122) - 1))-(LEFT(E3122,FIND("/",E3122)-1))), "NA"))</f>
        <v/>
      </c>
      <c r="K3122" s="79">
        <f>IF(A3122&lt;&gt;"", IF(ISBLANK(L3122), TODAY(), K3122), "")</f>
        <v/>
      </c>
      <c r="L3122" s="78" t="n"/>
      <c r="M3122" s="78">
        <f>IF(ISBLANK(L3122),"",IF(D3122="Stock",IF(C3122="Buy",L3122*G3122,IF(C3122="Sell",(L3122*G3122)-I3122, X)),IF(C3122="Buy",(L3122*G3122*100)+I3122,IF(C3122="Sell",(L3122*G3122*100)-I3122, X))))</f>
        <v/>
      </c>
      <c r="N3122" s="78">
        <f>IF(ISBLANK(L3122),"",IF(AND(C3122="Sell",D3122="Stock"),M3122,IF(ISBLANK(L3122),"",IF(C3122="Buy",M3122, IF(AND(C3122="Sell",J3122="NA"),(E3122*G3122*100*0.1)+I3122, IF(C3122="Sell",(J3122-L3122)*(100*G3122)+I3122))))))</f>
        <v/>
      </c>
      <c r="O3122" s="75" t="n"/>
      <c r="P3122" s="75" t="n"/>
      <c r="Q3122" s="75">
        <f>IF(ISBLANK(P3122),"",IF(D3122="Stock",P3122*G3122,IF(P3122=0,"0",G3122*P3122*100-(G3122*$AF$14))))</f>
        <v/>
      </c>
      <c r="R3122" s="79">
        <f>IF(P3122&lt;&gt;"", TODAY(), "")</f>
        <v/>
      </c>
      <c r="S3122" s="78">
        <f>IF(AND(K3122&lt;&gt;"", R3122&lt;&gt;""), R3122-K3122, "")</f>
        <v/>
      </c>
      <c r="T3122" s="78" t="n"/>
      <c r="U3122" s="92">
        <f>IF(ISBLANK(P3122),"",IF(C3122="Buy",Q3122-M3122+T3122, IF(C3122="Sell",M3122-Q3122-T3122, X)))</f>
        <v/>
      </c>
      <c r="V3122" s="81">
        <f>IF(ISBLANK(P3122),"",U3122/N3122)</f>
        <v/>
      </c>
      <c r="W3122" s="81">
        <f>IF(ISBLANK(P3122),"",IF(S3122=0,(365/0.5)*V3122,(365/S3122)*V3122))</f>
        <v/>
      </c>
      <c r="X3122" s="75" t="n"/>
      <c r="Y3122" s="77" t="n"/>
      <c r="Z3122" s="77" t="n"/>
      <c r="AA3122" s="75" t="n"/>
      <c r="AB3122" s="75" t="n"/>
      <c r="AC3122" s="6" t="n"/>
      <c r="AD3122" s="75" t="n"/>
      <c r="AE3122" s="75" t="n"/>
      <c r="AF3122" s="75" t="n"/>
    </row>
    <row r="3123" ht="15.75" customHeight="1" s="133">
      <c r="A3123" s="75" t="n"/>
      <c r="B3123" s="75" t="n"/>
      <c r="C3123" s="75" t="n"/>
      <c r="D3123" s="75" t="n"/>
      <c r="E3123" s="76" t="n"/>
      <c r="F3123" s="77" t="n"/>
      <c r="G3123" s="75" t="n"/>
      <c r="H3123" s="75">
        <f>IF(ISBLANK(E3123),"",IF(OR(D3123="Butterfly",D3123="Butterfly ",D3123="Iron Fly", D3123="Iron Fly "),LEN(E3123)-LEN(SUBSTITUTE(E3123,"/",""))+2,LEN(E3123)-LEN(SUBSTITUTE(E3123,"/",""))+1))</f>
        <v/>
      </c>
      <c r="I3123" s="78">
        <f>IF(ISBLANK(G3123),"",IF(D3123="Stock","0",Key!$A$3*H3123*G3123))</f>
        <v/>
      </c>
      <c r="J3123" s="78">
        <f>IF(ISBLANK(E3123),"",IF(ISNUMBER(SEARCH("/",E3123)), IF(LEN(E3123)-LEN(SUBSTITUTE(E3123,"/",""))=1,(RIGHT(E3123,LEN(E3123)-FIND("/",E3123)))-(LEFT(E3123,FIND("/",E3123)-1)),(MID(E3123, SEARCH("/",E3123) + 1, SEARCH("/",E3123, SEARCH("/",E3123)+1) - SEARCH("/",E3123) - 1))-(LEFT(E3123,FIND("/",E3123)-1))), "NA"))</f>
        <v/>
      </c>
      <c r="K3123" s="79">
        <f>IF(A3123&lt;&gt;"", IF(ISBLANK(L3123), TODAY(), K3123), "")</f>
        <v/>
      </c>
      <c r="L3123" s="78" t="n"/>
      <c r="M3123" s="78">
        <f>IF(ISBLANK(L3123),"",IF(D3123="Stock",IF(C3123="Buy",L3123*G3123,IF(C3123="Sell",(L3123*G3123)-I3123, X)),IF(C3123="Buy",(L3123*G3123*100)+I3123,IF(C3123="Sell",(L3123*G3123*100)-I3123, X))))</f>
        <v/>
      </c>
      <c r="N3123" s="78">
        <f>IF(ISBLANK(L3123),"",IF(AND(C3123="Sell",D3123="Stock"),M3123,IF(ISBLANK(L3123),"",IF(C3123="Buy",M3123, IF(AND(C3123="Sell",J3123="NA"),(E3123*G3123*100*0.1)+I3123, IF(C3123="Sell",(J3123-L3123)*(100*G3123)+I3123))))))</f>
        <v/>
      </c>
      <c r="O3123" s="75" t="n"/>
      <c r="P3123" s="75" t="n"/>
      <c r="Q3123" s="75">
        <f>IF(ISBLANK(P3123),"",IF(D3123="Stock",P3123*G3123,IF(P3123=0,"0",G3123*P3123*100-(G3123*$AF$14))))</f>
        <v/>
      </c>
      <c r="R3123" s="79">
        <f>IF(P3123&lt;&gt;"", TODAY(), "")</f>
        <v/>
      </c>
      <c r="S3123" s="78">
        <f>IF(AND(K3123&lt;&gt;"", R3123&lt;&gt;""), R3123-K3123, "")</f>
        <v/>
      </c>
      <c r="T3123" s="78" t="n"/>
      <c r="U3123" s="92">
        <f>IF(ISBLANK(P3123),"",IF(C3123="Buy",Q3123-M3123+T3123, IF(C3123="Sell",M3123-Q3123-T3123, X)))</f>
        <v/>
      </c>
      <c r="V3123" s="81">
        <f>IF(ISBLANK(P3123),"",U3123/N3123)</f>
        <v/>
      </c>
      <c r="W3123" s="81">
        <f>IF(ISBLANK(P3123),"",IF(S3123=0,(365/0.5)*V3123,(365/S3123)*V3123))</f>
        <v/>
      </c>
      <c r="X3123" s="75" t="n"/>
      <c r="Y3123" s="77" t="n"/>
      <c r="Z3123" s="77" t="n"/>
      <c r="AA3123" s="75" t="n"/>
      <c r="AB3123" s="75" t="n"/>
      <c r="AC3123" s="6" t="n"/>
      <c r="AD3123" s="75" t="n"/>
      <c r="AE3123" s="75" t="n"/>
      <c r="AF3123" s="75" t="n"/>
    </row>
    <row r="3124" ht="15.75" customHeight="1" s="133">
      <c r="A3124" s="75" t="n"/>
      <c r="B3124" s="75" t="n"/>
      <c r="C3124" s="75" t="n"/>
      <c r="D3124" s="75" t="n"/>
      <c r="E3124" s="76" t="n"/>
      <c r="F3124" s="77" t="n"/>
      <c r="G3124" s="75" t="n"/>
      <c r="H3124" s="75">
        <f>IF(ISBLANK(E3124),"",IF(OR(D3124="Butterfly",D3124="Butterfly ",D3124="Iron Fly", D3124="Iron Fly "),LEN(E3124)-LEN(SUBSTITUTE(E3124,"/",""))+2,LEN(E3124)-LEN(SUBSTITUTE(E3124,"/",""))+1))</f>
        <v/>
      </c>
      <c r="I3124" s="78">
        <f>IF(ISBLANK(G3124),"",IF(D3124="Stock","0",Key!$A$3*H3124*G3124))</f>
        <v/>
      </c>
      <c r="J3124" s="78">
        <f>IF(ISBLANK(E3124),"",IF(ISNUMBER(SEARCH("/",E3124)), IF(LEN(E3124)-LEN(SUBSTITUTE(E3124,"/",""))=1,(RIGHT(E3124,LEN(E3124)-FIND("/",E3124)))-(LEFT(E3124,FIND("/",E3124)-1)),(MID(E3124, SEARCH("/",E3124) + 1, SEARCH("/",E3124, SEARCH("/",E3124)+1) - SEARCH("/",E3124) - 1))-(LEFT(E3124,FIND("/",E3124)-1))), "NA"))</f>
        <v/>
      </c>
      <c r="K3124" s="79">
        <f>IF(A3124&lt;&gt;"", IF(ISBLANK(L3124), TODAY(), K3124), "")</f>
        <v/>
      </c>
      <c r="L3124" s="78" t="n"/>
      <c r="M3124" s="78">
        <f>IF(ISBLANK(L3124),"",IF(D3124="Stock",IF(C3124="Buy",L3124*G3124,IF(C3124="Sell",(L3124*G3124)-I3124, X)),IF(C3124="Buy",(L3124*G3124*100)+I3124,IF(C3124="Sell",(L3124*G3124*100)-I3124, X))))</f>
        <v/>
      </c>
      <c r="N3124" s="78">
        <f>IF(ISBLANK(L3124),"",IF(AND(C3124="Sell",D3124="Stock"),M3124,IF(ISBLANK(L3124),"",IF(C3124="Buy",M3124, IF(AND(C3124="Sell",J3124="NA"),(E3124*G3124*100*0.1)+I3124, IF(C3124="Sell",(J3124-L3124)*(100*G3124)+I3124))))))</f>
        <v/>
      </c>
      <c r="O3124" s="75" t="n"/>
      <c r="P3124" s="75" t="n"/>
      <c r="Q3124" s="75">
        <f>IF(ISBLANK(P3124),"",IF(D3124="Stock",P3124*G3124,IF(P3124=0,"0",G3124*P3124*100-(G3124*$AF$14))))</f>
        <v/>
      </c>
      <c r="R3124" s="79">
        <f>IF(P3124&lt;&gt;"", TODAY(), "")</f>
        <v/>
      </c>
      <c r="S3124" s="78">
        <f>IF(AND(K3124&lt;&gt;"", R3124&lt;&gt;""), R3124-K3124, "")</f>
        <v/>
      </c>
      <c r="T3124" s="78" t="n"/>
      <c r="U3124" s="92">
        <f>IF(ISBLANK(P3124),"",IF(C3124="Buy",Q3124-M3124+T3124, IF(C3124="Sell",M3124-Q3124-T3124, X)))</f>
        <v/>
      </c>
      <c r="V3124" s="81">
        <f>IF(ISBLANK(P3124),"",U3124/N3124)</f>
        <v/>
      </c>
      <c r="W3124" s="81">
        <f>IF(ISBLANK(P3124),"",IF(S3124=0,(365/0.5)*V3124,(365/S3124)*V3124))</f>
        <v/>
      </c>
      <c r="X3124" s="75" t="n"/>
      <c r="Y3124" s="77" t="n"/>
      <c r="Z3124" s="77" t="n"/>
      <c r="AA3124" s="75" t="n"/>
      <c r="AB3124" s="75" t="n"/>
      <c r="AC3124" s="6" t="n"/>
      <c r="AD3124" s="75" t="n"/>
      <c r="AE3124" s="75" t="n"/>
      <c r="AF3124" s="75" t="n"/>
    </row>
    <row r="3125" ht="15.75" customHeight="1" s="133">
      <c r="A3125" s="75" t="n"/>
      <c r="B3125" s="75" t="n"/>
      <c r="C3125" s="75" t="n"/>
      <c r="D3125" s="75" t="n"/>
      <c r="E3125" s="76" t="n"/>
      <c r="F3125" s="77" t="n"/>
      <c r="G3125" s="75" t="n"/>
      <c r="H3125" s="75">
        <f>IF(ISBLANK(E3125),"",IF(OR(D3125="Butterfly",D3125="Butterfly ",D3125="Iron Fly", D3125="Iron Fly "),LEN(E3125)-LEN(SUBSTITUTE(E3125,"/",""))+2,LEN(E3125)-LEN(SUBSTITUTE(E3125,"/",""))+1))</f>
        <v/>
      </c>
      <c r="I3125" s="78">
        <f>IF(ISBLANK(G3125),"",IF(D3125="Stock","0",Key!$A$3*H3125*G3125))</f>
        <v/>
      </c>
      <c r="J3125" s="78">
        <f>IF(ISBLANK(E3125),"",IF(ISNUMBER(SEARCH("/",E3125)), IF(LEN(E3125)-LEN(SUBSTITUTE(E3125,"/",""))=1,(RIGHT(E3125,LEN(E3125)-FIND("/",E3125)))-(LEFT(E3125,FIND("/",E3125)-1)),(MID(E3125, SEARCH("/",E3125) + 1, SEARCH("/",E3125, SEARCH("/",E3125)+1) - SEARCH("/",E3125) - 1))-(LEFT(E3125,FIND("/",E3125)-1))), "NA"))</f>
        <v/>
      </c>
      <c r="K3125" s="79">
        <f>IF(A3125&lt;&gt;"", IF(ISBLANK(L3125), TODAY(), K3125), "")</f>
        <v/>
      </c>
      <c r="L3125" s="78" t="n"/>
      <c r="M3125" s="78">
        <f>IF(ISBLANK(L3125),"",IF(D3125="Stock",IF(C3125="Buy",L3125*G3125,IF(C3125="Sell",(L3125*G3125)-I3125, X)),IF(C3125="Buy",(L3125*G3125*100)+I3125,IF(C3125="Sell",(L3125*G3125*100)-I3125, X))))</f>
        <v/>
      </c>
      <c r="N3125" s="78">
        <f>IF(ISBLANK(L3125),"",IF(AND(C3125="Sell",D3125="Stock"),M3125,IF(ISBLANK(L3125),"",IF(C3125="Buy",M3125, IF(AND(C3125="Sell",J3125="NA"),(E3125*G3125*100*0.1)+I3125, IF(C3125="Sell",(J3125-L3125)*(100*G3125)+I3125))))))</f>
        <v/>
      </c>
      <c r="O3125" s="75" t="n"/>
      <c r="P3125" s="75" t="n"/>
      <c r="Q3125" s="75">
        <f>IF(ISBLANK(P3125),"",IF(D3125="Stock",P3125*G3125,IF(P3125=0,"0",G3125*P3125*100-(G3125*$AF$14))))</f>
        <v/>
      </c>
      <c r="R3125" s="79">
        <f>IF(P3125&lt;&gt;"", TODAY(), "")</f>
        <v/>
      </c>
      <c r="S3125" s="78">
        <f>IF(AND(K3125&lt;&gt;"", R3125&lt;&gt;""), R3125-K3125, "")</f>
        <v/>
      </c>
      <c r="T3125" s="78" t="n"/>
      <c r="U3125" s="92">
        <f>IF(ISBLANK(P3125),"",IF(C3125="Buy",Q3125-M3125+T3125, IF(C3125="Sell",M3125-Q3125-T3125, X)))</f>
        <v/>
      </c>
      <c r="V3125" s="81">
        <f>IF(ISBLANK(P3125),"",U3125/N3125)</f>
        <v/>
      </c>
      <c r="W3125" s="81">
        <f>IF(ISBLANK(P3125),"",IF(S3125=0,(365/0.5)*V3125,(365/S3125)*V3125))</f>
        <v/>
      </c>
      <c r="X3125" s="75" t="n"/>
      <c r="Y3125" s="77" t="n"/>
      <c r="Z3125" s="77" t="n"/>
      <c r="AA3125" s="75" t="n"/>
      <c r="AB3125" s="75" t="n"/>
      <c r="AC3125" s="6" t="n"/>
      <c r="AD3125" s="75" t="n"/>
      <c r="AE3125" s="75" t="n"/>
      <c r="AF3125" s="75" t="n"/>
    </row>
    <row r="3126" ht="15.75" customHeight="1" s="133">
      <c r="A3126" s="75" t="n"/>
      <c r="B3126" s="75" t="n"/>
      <c r="C3126" s="75" t="n"/>
      <c r="D3126" s="75" t="n"/>
      <c r="E3126" s="76" t="n"/>
      <c r="F3126" s="77" t="n"/>
      <c r="G3126" s="75" t="n"/>
      <c r="H3126" s="75">
        <f>IF(ISBLANK(E3126),"",IF(OR(D3126="Butterfly",D3126="Butterfly ",D3126="Iron Fly", D3126="Iron Fly "),LEN(E3126)-LEN(SUBSTITUTE(E3126,"/",""))+2,LEN(E3126)-LEN(SUBSTITUTE(E3126,"/",""))+1))</f>
        <v/>
      </c>
      <c r="I3126" s="78">
        <f>IF(ISBLANK(G3126),"",IF(D3126="Stock","0",Key!$A$3*H3126*G3126))</f>
        <v/>
      </c>
      <c r="J3126" s="78">
        <f>IF(ISBLANK(E3126),"",IF(ISNUMBER(SEARCH("/",E3126)), IF(LEN(E3126)-LEN(SUBSTITUTE(E3126,"/",""))=1,(RIGHT(E3126,LEN(E3126)-FIND("/",E3126)))-(LEFT(E3126,FIND("/",E3126)-1)),(MID(E3126, SEARCH("/",E3126) + 1, SEARCH("/",E3126, SEARCH("/",E3126)+1) - SEARCH("/",E3126) - 1))-(LEFT(E3126,FIND("/",E3126)-1))), "NA"))</f>
        <v/>
      </c>
      <c r="K3126" s="79">
        <f>IF(A3126&lt;&gt;"", IF(ISBLANK(L3126), TODAY(), K3126), "")</f>
        <v/>
      </c>
      <c r="L3126" s="78" t="n"/>
      <c r="M3126" s="78">
        <f>IF(ISBLANK(L3126),"",IF(D3126="Stock",IF(C3126="Buy",L3126*G3126,IF(C3126="Sell",(L3126*G3126)-I3126, X)),IF(C3126="Buy",(L3126*G3126*100)+I3126,IF(C3126="Sell",(L3126*G3126*100)-I3126, X))))</f>
        <v/>
      </c>
      <c r="N3126" s="78">
        <f>IF(ISBLANK(L3126),"",IF(AND(C3126="Sell",D3126="Stock"),M3126,IF(ISBLANK(L3126),"",IF(C3126="Buy",M3126, IF(AND(C3126="Sell",J3126="NA"),(E3126*G3126*100*0.1)+I3126, IF(C3126="Sell",(J3126-L3126)*(100*G3126)+I3126))))))</f>
        <v/>
      </c>
      <c r="O3126" s="75" t="n"/>
      <c r="P3126" s="75" t="n"/>
      <c r="Q3126" s="75">
        <f>IF(ISBLANK(P3126),"",IF(D3126="Stock",P3126*G3126,IF(P3126=0,"0",G3126*P3126*100-(G3126*$AF$14))))</f>
        <v/>
      </c>
      <c r="R3126" s="79">
        <f>IF(P3126&lt;&gt;"", TODAY(), "")</f>
        <v/>
      </c>
      <c r="S3126" s="78">
        <f>IF(AND(K3126&lt;&gt;"", R3126&lt;&gt;""), R3126-K3126, "")</f>
        <v/>
      </c>
      <c r="T3126" s="78" t="n"/>
      <c r="U3126" s="92">
        <f>IF(ISBLANK(P3126),"",IF(C3126="Buy",Q3126-M3126+T3126, IF(C3126="Sell",M3126-Q3126-T3126, X)))</f>
        <v/>
      </c>
      <c r="V3126" s="81">
        <f>IF(ISBLANK(P3126),"",U3126/N3126)</f>
        <v/>
      </c>
      <c r="W3126" s="81">
        <f>IF(ISBLANK(P3126),"",IF(S3126=0,(365/0.5)*V3126,(365/S3126)*V3126))</f>
        <v/>
      </c>
      <c r="X3126" s="75" t="n"/>
      <c r="Y3126" s="77" t="n"/>
      <c r="Z3126" s="77" t="n"/>
      <c r="AA3126" s="75" t="n"/>
      <c r="AB3126" s="75" t="n"/>
      <c r="AC3126" s="6" t="n"/>
      <c r="AD3126" s="75" t="n"/>
      <c r="AE3126" s="75" t="n"/>
      <c r="AF3126" s="75" t="n"/>
    </row>
    <row r="3127" ht="15.75" customHeight="1" s="133">
      <c r="A3127" s="75" t="n"/>
      <c r="B3127" s="75" t="n"/>
      <c r="C3127" s="75" t="n"/>
      <c r="D3127" s="75" t="n"/>
      <c r="E3127" s="76" t="n"/>
      <c r="F3127" s="77" t="n"/>
      <c r="G3127" s="75" t="n"/>
      <c r="H3127" s="75">
        <f>IF(ISBLANK(E3127),"",IF(OR(D3127="Butterfly",D3127="Butterfly ",D3127="Iron Fly", D3127="Iron Fly "),LEN(E3127)-LEN(SUBSTITUTE(E3127,"/",""))+2,LEN(E3127)-LEN(SUBSTITUTE(E3127,"/",""))+1))</f>
        <v/>
      </c>
      <c r="I3127" s="78">
        <f>IF(ISBLANK(G3127),"",IF(D3127="Stock","0",Key!$A$3*H3127*G3127))</f>
        <v/>
      </c>
      <c r="J3127" s="78">
        <f>IF(ISBLANK(E3127),"",IF(ISNUMBER(SEARCH("/",E3127)), IF(LEN(E3127)-LEN(SUBSTITUTE(E3127,"/",""))=1,(RIGHT(E3127,LEN(E3127)-FIND("/",E3127)))-(LEFT(E3127,FIND("/",E3127)-1)),(MID(E3127, SEARCH("/",E3127) + 1, SEARCH("/",E3127, SEARCH("/",E3127)+1) - SEARCH("/",E3127) - 1))-(LEFT(E3127,FIND("/",E3127)-1))), "NA"))</f>
        <v/>
      </c>
      <c r="K3127" s="79">
        <f>IF(A3127&lt;&gt;"", IF(ISBLANK(L3127), TODAY(), K3127), "")</f>
        <v/>
      </c>
      <c r="L3127" s="78" t="n"/>
      <c r="M3127" s="78">
        <f>IF(ISBLANK(L3127),"",IF(D3127="Stock",IF(C3127="Buy",L3127*G3127,IF(C3127="Sell",(L3127*G3127)-I3127, X)),IF(C3127="Buy",(L3127*G3127*100)+I3127,IF(C3127="Sell",(L3127*G3127*100)-I3127, X))))</f>
        <v/>
      </c>
      <c r="N3127" s="78">
        <f>IF(ISBLANK(L3127),"",IF(AND(C3127="Sell",D3127="Stock"),M3127,IF(ISBLANK(L3127),"",IF(C3127="Buy",M3127, IF(AND(C3127="Sell",J3127="NA"),(E3127*G3127*100*0.1)+I3127, IF(C3127="Sell",(J3127-L3127)*(100*G3127)+I3127))))))</f>
        <v/>
      </c>
      <c r="O3127" s="75" t="n"/>
      <c r="P3127" s="75" t="n"/>
      <c r="Q3127" s="75">
        <f>IF(ISBLANK(P3127),"",IF(D3127="Stock",P3127*G3127,IF(P3127=0,"0",G3127*P3127*100-(G3127*$AF$14))))</f>
        <v/>
      </c>
      <c r="R3127" s="79">
        <f>IF(P3127&lt;&gt;"", TODAY(), "")</f>
        <v/>
      </c>
      <c r="S3127" s="78">
        <f>IF(AND(K3127&lt;&gt;"", R3127&lt;&gt;""), R3127-K3127, "")</f>
        <v/>
      </c>
      <c r="T3127" s="78" t="n"/>
      <c r="U3127" s="92">
        <f>IF(ISBLANK(P3127),"",IF(C3127="Buy",Q3127-M3127+T3127, IF(C3127="Sell",M3127-Q3127-T3127, X)))</f>
        <v/>
      </c>
      <c r="V3127" s="81">
        <f>IF(ISBLANK(P3127),"",U3127/N3127)</f>
        <v/>
      </c>
      <c r="W3127" s="81">
        <f>IF(ISBLANK(P3127),"",IF(S3127=0,(365/0.5)*V3127,(365/S3127)*V3127))</f>
        <v/>
      </c>
      <c r="X3127" s="75" t="n"/>
      <c r="Y3127" s="77" t="n"/>
      <c r="Z3127" s="77" t="n"/>
      <c r="AA3127" s="75" t="n"/>
      <c r="AB3127" s="75" t="n"/>
      <c r="AC3127" s="6" t="n"/>
      <c r="AD3127" s="75" t="n"/>
      <c r="AE3127" s="75" t="n"/>
      <c r="AF3127" s="75" t="n"/>
    </row>
    <row r="3128" ht="15.75" customHeight="1" s="133">
      <c r="A3128" s="75" t="n"/>
      <c r="B3128" s="75" t="n"/>
      <c r="C3128" s="75" t="n"/>
      <c r="D3128" s="75" t="n"/>
      <c r="E3128" s="76" t="n"/>
      <c r="F3128" s="77" t="n"/>
      <c r="G3128" s="75" t="n"/>
      <c r="H3128" s="75">
        <f>IF(ISBLANK(E3128),"",IF(OR(D3128="Butterfly",D3128="Butterfly ",D3128="Iron Fly", D3128="Iron Fly "),LEN(E3128)-LEN(SUBSTITUTE(E3128,"/",""))+2,LEN(E3128)-LEN(SUBSTITUTE(E3128,"/",""))+1))</f>
        <v/>
      </c>
      <c r="I3128" s="78">
        <f>IF(ISBLANK(G3128),"",IF(D3128="Stock","0",Key!$A$3*H3128*G3128))</f>
        <v/>
      </c>
      <c r="J3128" s="78">
        <f>IF(ISBLANK(E3128),"",IF(ISNUMBER(SEARCH("/",E3128)), IF(LEN(E3128)-LEN(SUBSTITUTE(E3128,"/",""))=1,(RIGHT(E3128,LEN(E3128)-FIND("/",E3128)))-(LEFT(E3128,FIND("/",E3128)-1)),(MID(E3128, SEARCH("/",E3128) + 1, SEARCH("/",E3128, SEARCH("/",E3128)+1) - SEARCH("/",E3128) - 1))-(LEFT(E3128,FIND("/",E3128)-1))), "NA"))</f>
        <v/>
      </c>
      <c r="K3128" s="79">
        <f>IF(A3128&lt;&gt;"", IF(ISBLANK(L3128), TODAY(), K3128), "")</f>
        <v/>
      </c>
      <c r="L3128" s="78" t="n"/>
      <c r="M3128" s="78">
        <f>IF(ISBLANK(L3128),"",IF(D3128="Stock",IF(C3128="Buy",L3128*G3128,IF(C3128="Sell",(L3128*G3128)-I3128, X)),IF(C3128="Buy",(L3128*G3128*100)+I3128,IF(C3128="Sell",(L3128*G3128*100)-I3128, X))))</f>
        <v/>
      </c>
      <c r="N3128" s="78">
        <f>IF(ISBLANK(L3128),"",IF(AND(C3128="Sell",D3128="Stock"),M3128,IF(ISBLANK(L3128),"",IF(C3128="Buy",M3128, IF(AND(C3128="Sell",J3128="NA"),(E3128*G3128*100*0.1)+I3128, IF(C3128="Sell",(J3128-L3128)*(100*G3128)+I3128))))))</f>
        <v/>
      </c>
      <c r="O3128" s="75" t="n"/>
      <c r="P3128" s="75" t="n"/>
      <c r="Q3128" s="75">
        <f>IF(ISBLANK(P3128),"",IF(D3128="Stock",P3128*G3128,IF(P3128=0,"0",G3128*P3128*100-(G3128*$AF$14))))</f>
        <v/>
      </c>
      <c r="R3128" s="79">
        <f>IF(P3128&lt;&gt;"", TODAY(), "")</f>
        <v/>
      </c>
      <c r="S3128" s="78">
        <f>IF(AND(K3128&lt;&gt;"", R3128&lt;&gt;""), R3128-K3128, "")</f>
        <v/>
      </c>
      <c r="T3128" s="78" t="n"/>
      <c r="U3128" s="92">
        <f>IF(ISBLANK(P3128),"",IF(C3128="Buy",Q3128-M3128+T3128, IF(C3128="Sell",M3128-Q3128-T3128, X)))</f>
        <v/>
      </c>
      <c r="V3128" s="81">
        <f>IF(ISBLANK(P3128),"",U3128/N3128)</f>
        <v/>
      </c>
      <c r="W3128" s="81">
        <f>IF(ISBLANK(P3128),"",IF(S3128=0,(365/0.5)*V3128,(365/S3128)*V3128))</f>
        <v/>
      </c>
      <c r="X3128" s="75" t="n"/>
      <c r="Y3128" s="77" t="n"/>
      <c r="Z3128" s="77" t="n"/>
      <c r="AA3128" s="75" t="n"/>
      <c r="AB3128" s="75" t="n"/>
      <c r="AC3128" s="6" t="n"/>
      <c r="AD3128" s="75" t="n"/>
      <c r="AE3128" s="75" t="n"/>
      <c r="AF3128" s="75" t="n"/>
    </row>
    <row r="3129" ht="15.75" customHeight="1" s="133">
      <c r="A3129" s="75" t="n"/>
      <c r="B3129" s="75" t="n"/>
      <c r="C3129" s="75" t="n"/>
      <c r="D3129" s="75" t="n"/>
      <c r="E3129" s="76" t="n"/>
      <c r="F3129" s="77" t="n"/>
      <c r="G3129" s="75" t="n"/>
      <c r="H3129" s="75">
        <f>IF(ISBLANK(E3129),"",IF(OR(D3129="Butterfly",D3129="Butterfly ",D3129="Iron Fly", D3129="Iron Fly "),LEN(E3129)-LEN(SUBSTITUTE(E3129,"/",""))+2,LEN(E3129)-LEN(SUBSTITUTE(E3129,"/",""))+1))</f>
        <v/>
      </c>
      <c r="I3129" s="78">
        <f>IF(ISBLANK(G3129),"",IF(D3129="Stock","0",Key!$A$3*H3129*G3129))</f>
        <v/>
      </c>
      <c r="J3129" s="78">
        <f>IF(ISBLANK(E3129),"",IF(ISNUMBER(SEARCH("/",E3129)), IF(LEN(E3129)-LEN(SUBSTITUTE(E3129,"/",""))=1,(RIGHT(E3129,LEN(E3129)-FIND("/",E3129)))-(LEFT(E3129,FIND("/",E3129)-1)),(MID(E3129, SEARCH("/",E3129) + 1, SEARCH("/",E3129, SEARCH("/",E3129)+1) - SEARCH("/",E3129) - 1))-(LEFT(E3129,FIND("/",E3129)-1))), "NA"))</f>
        <v/>
      </c>
      <c r="K3129" s="79">
        <f>IF(A3129&lt;&gt;"", IF(ISBLANK(L3129), TODAY(), K3129), "")</f>
        <v/>
      </c>
      <c r="L3129" s="78" t="n"/>
      <c r="M3129" s="78">
        <f>IF(ISBLANK(L3129),"",IF(D3129="Stock",IF(C3129="Buy",L3129*G3129,IF(C3129="Sell",(L3129*G3129)-I3129, X)),IF(C3129="Buy",(L3129*G3129*100)+I3129,IF(C3129="Sell",(L3129*G3129*100)-I3129, X))))</f>
        <v/>
      </c>
      <c r="N3129" s="78">
        <f>IF(ISBLANK(L3129),"",IF(AND(C3129="Sell",D3129="Stock"),M3129,IF(ISBLANK(L3129),"",IF(C3129="Buy",M3129, IF(AND(C3129="Sell",J3129="NA"),(E3129*G3129*100*0.1)+I3129, IF(C3129="Sell",(J3129-L3129)*(100*G3129)+I3129))))))</f>
        <v/>
      </c>
      <c r="O3129" s="75" t="n"/>
      <c r="P3129" s="75" t="n"/>
      <c r="Q3129" s="75">
        <f>IF(ISBLANK(P3129),"",IF(D3129="Stock",P3129*G3129,IF(P3129=0,"0",G3129*P3129*100-(G3129*$AF$14))))</f>
        <v/>
      </c>
      <c r="R3129" s="79">
        <f>IF(P3129&lt;&gt;"", TODAY(), "")</f>
        <v/>
      </c>
      <c r="S3129" s="78">
        <f>IF(AND(K3129&lt;&gt;"", R3129&lt;&gt;""), R3129-K3129, "")</f>
        <v/>
      </c>
      <c r="T3129" s="78" t="n"/>
      <c r="U3129" s="92">
        <f>IF(ISBLANK(P3129),"",IF(C3129="Buy",Q3129-M3129+T3129, IF(C3129="Sell",M3129-Q3129-T3129, X)))</f>
        <v/>
      </c>
      <c r="V3129" s="81">
        <f>IF(ISBLANK(P3129),"",U3129/N3129)</f>
        <v/>
      </c>
      <c r="W3129" s="81">
        <f>IF(ISBLANK(P3129),"",IF(S3129=0,(365/0.5)*V3129,(365/S3129)*V3129))</f>
        <v/>
      </c>
      <c r="X3129" s="75" t="n"/>
      <c r="Y3129" s="77" t="n"/>
      <c r="Z3129" s="77" t="n"/>
      <c r="AA3129" s="75" t="n"/>
      <c r="AB3129" s="75" t="n"/>
      <c r="AC3129" s="6" t="n"/>
      <c r="AD3129" s="75" t="n"/>
      <c r="AE3129" s="75" t="n"/>
      <c r="AF3129" s="75" t="n"/>
    </row>
    <row r="3130" ht="15.75" customHeight="1" s="133">
      <c r="A3130" s="75" t="n"/>
      <c r="B3130" s="75" t="n"/>
      <c r="C3130" s="75" t="n"/>
      <c r="D3130" s="75" t="n"/>
      <c r="E3130" s="76" t="n"/>
      <c r="F3130" s="77" t="n"/>
      <c r="G3130" s="75" t="n"/>
      <c r="H3130" s="75">
        <f>IF(ISBLANK(E3130),"",IF(OR(D3130="Butterfly",D3130="Butterfly ",D3130="Iron Fly", D3130="Iron Fly "),LEN(E3130)-LEN(SUBSTITUTE(E3130,"/",""))+2,LEN(E3130)-LEN(SUBSTITUTE(E3130,"/",""))+1))</f>
        <v/>
      </c>
      <c r="I3130" s="78">
        <f>IF(ISBLANK(G3130),"",IF(D3130="Stock","0",Key!$A$3*H3130*G3130))</f>
        <v/>
      </c>
      <c r="J3130" s="78">
        <f>IF(ISBLANK(E3130),"",IF(ISNUMBER(SEARCH("/",E3130)), IF(LEN(E3130)-LEN(SUBSTITUTE(E3130,"/",""))=1,(RIGHT(E3130,LEN(E3130)-FIND("/",E3130)))-(LEFT(E3130,FIND("/",E3130)-1)),(MID(E3130, SEARCH("/",E3130) + 1, SEARCH("/",E3130, SEARCH("/",E3130)+1) - SEARCH("/",E3130) - 1))-(LEFT(E3130,FIND("/",E3130)-1))), "NA"))</f>
        <v/>
      </c>
      <c r="K3130" s="79">
        <f>IF(A3130&lt;&gt;"", IF(ISBLANK(L3130), TODAY(), K3130), "")</f>
        <v/>
      </c>
      <c r="L3130" s="78" t="n"/>
      <c r="M3130" s="78">
        <f>IF(ISBLANK(L3130),"",IF(D3130="Stock",IF(C3130="Buy",L3130*G3130,IF(C3130="Sell",(L3130*G3130)-I3130, X)),IF(C3130="Buy",(L3130*G3130*100)+I3130,IF(C3130="Sell",(L3130*G3130*100)-I3130, X))))</f>
        <v/>
      </c>
      <c r="N3130" s="78">
        <f>IF(ISBLANK(L3130),"",IF(AND(C3130="Sell",D3130="Stock"),M3130,IF(ISBLANK(L3130),"",IF(C3130="Buy",M3130, IF(AND(C3130="Sell",J3130="NA"),(E3130*G3130*100*0.1)+I3130, IF(C3130="Sell",(J3130-L3130)*(100*G3130)+I3130))))))</f>
        <v/>
      </c>
      <c r="O3130" s="75" t="n"/>
      <c r="P3130" s="75" t="n"/>
      <c r="Q3130" s="75">
        <f>IF(ISBLANK(P3130),"",IF(D3130="Stock",P3130*G3130,IF(P3130=0,"0",G3130*P3130*100-(G3130*$AF$14))))</f>
        <v/>
      </c>
      <c r="R3130" s="79">
        <f>IF(P3130&lt;&gt;"", TODAY(), "")</f>
        <v/>
      </c>
      <c r="S3130" s="78">
        <f>IF(AND(K3130&lt;&gt;"", R3130&lt;&gt;""), R3130-K3130, "")</f>
        <v/>
      </c>
      <c r="T3130" s="78" t="n"/>
      <c r="U3130" s="92">
        <f>IF(ISBLANK(P3130),"",IF(C3130="Buy",Q3130-M3130+T3130, IF(C3130="Sell",M3130-Q3130-T3130, X)))</f>
        <v/>
      </c>
      <c r="V3130" s="81">
        <f>IF(ISBLANK(P3130),"",U3130/N3130)</f>
        <v/>
      </c>
      <c r="W3130" s="81">
        <f>IF(ISBLANK(P3130),"",IF(S3130=0,(365/0.5)*V3130,(365/S3130)*V3130))</f>
        <v/>
      </c>
      <c r="X3130" s="75" t="n"/>
      <c r="Y3130" s="77" t="n"/>
      <c r="Z3130" s="77" t="n"/>
      <c r="AA3130" s="75" t="n"/>
      <c r="AB3130" s="75" t="n"/>
      <c r="AC3130" s="6" t="n"/>
      <c r="AD3130" s="75" t="n"/>
      <c r="AE3130" s="75" t="n"/>
      <c r="AF3130" s="75" t="n"/>
    </row>
    <row r="3131" ht="15.75" customHeight="1" s="133">
      <c r="A3131" s="75" t="n"/>
      <c r="B3131" s="75" t="n"/>
      <c r="C3131" s="75" t="n"/>
      <c r="D3131" s="75" t="n"/>
      <c r="E3131" s="76" t="n"/>
      <c r="F3131" s="77" t="n"/>
      <c r="G3131" s="75" t="n"/>
      <c r="H3131" s="75">
        <f>IF(ISBLANK(E3131),"",IF(OR(D3131="Butterfly",D3131="Butterfly ",D3131="Iron Fly", D3131="Iron Fly "),LEN(E3131)-LEN(SUBSTITUTE(E3131,"/",""))+2,LEN(E3131)-LEN(SUBSTITUTE(E3131,"/",""))+1))</f>
        <v/>
      </c>
      <c r="I3131" s="78">
        <f>IF(ISBLANK(G3131),"",IF(D3131="Stock","0",Key!$A$3*H3131*G3131))</f>
        <v/>
      </c>
      <c r="J3131" s="78">
        <f>IF(ISBLANK(E3131),"",IF(ISNUMBER(SEARCH("/",E3131)), IF(LEN(E3131)-LEN(SUBSTITUTE(E3131,"/",""))=1,(RIGHT(E3131,LEN(E3131)-FIND("/",E3131)))-(LEFT(E3131,FIND("/",E3131)-1)),(MID(E3131, SEARCH("/",E3131) + 1, SEARCH("/",E3131, SEARCH("/",E3131)+1) - SEARCH("/",E3131) - 1))-(LEFT(E3131,FIND("/",E3131)-1))), "NA"))</f>
        <v/>
      </c>
      <c r="K3131" s="79">
        <f>IF(A3131&lt;&gt;"", IF(ISBLANK(L3131), TODAY(), K3131), "")</f>
        <v/>
      </c>
      <c r="L3131" s="78" t="n"/>
      <c r="M3131" s="78">
        <f>IF(ISBLANK(L3131),"",IF(D3131="Stock",IF(C3131="Buy",L3131*G3131,IF(C3131="Sell",(L3131*G3131)-I3131, X)),IF(C3131="Buy",(L3131*G3131*100)+I3131,IF(C3131="Sell",(L3131*G3131*100)-I3131, X))))</f>
        <v/>
      </c>
      <c r="N3131" s="78">
        <f>IF(ISBLANK(L3131),"",IF(AND(C3131="Sell",D3131="Stock"),M3131,IF(ISBLANK(L3131),"",IF(C3131="Buy",M3131, IF(AND(C3131="Sell",J3131="NA"),(E3131*G3131*100*0.1)+I3131, IF(C3131="Sell",(J3131-L3131)*(100*G3131)+I3131))))))</f>
        <v/>
      </c>
      <c r="O3131" s="75" t="n"/>
      <c r="P3131" s="75" t="n"/>
      <c r="Q3131" s="75">
        <f>IF(ISBLANK(P3131),"",IF(D3131="Stock",P3131*G3131,IF(P3131=0,"0",G3131*P3131*100-(G3131*$AF$14))))</f>
        <v/>
      </c>
      <c r="R3131" s="79">
        <f>IF(P3131&lt;&gt;"", TODAY(), "")</f>
        <v/>
      </c>
      <c r="S3131" s="78">
        <f>IF(AND(K3131&lt;&gt;"", R3131&lt;&gt;""), R3131-K3131, "")</f>
        <v/>
      </c>
      <c r="T3131" s="78" t="n"/>
      <c r="U3131" s="92">
        <f>IF(ISBLANK(P3131),"",IF(C3131="Buy",Q3131-M3131+T3131, IF(C3131="Sell",M3131-Q3131-T3131, X)))</f>
        <v/>
      </c>
      <c r="V3131" s="81">
        <f>IF(ISBLANK(P3131),"",U3131/N3131)</f>
        <v/>
      </c>
      <c r="W3131" s="81">
        <f>IF(ISBLANK(P3131),"",IF(S3131=0,(365/0.5)*V3131,(365/S3131)*V3131))</f>
        <v/>
      </c>
      <c r="X3131" s="75" t="n"/>
      <c r="Y3131" s="77" t="n"/>
      <c r="Z3131" s="77" t="n"/>
      <c r="AA3131" s="75" t="n"/>
      <c r="AB3131" s="75" t="n"/>
      <c r="AC3131" s="6" t="n"/>
      <c r="AD3131" s="75" t="n"/>
      <c r="AE3131" s="75" t="n"/>
      <c r="AF3131" s="75" t="n"/>
    </row>
    <row r="3132" ht="15.75" customHeight="1" s="133">
      <c r="A3132" s="75" t="n"/>
      <c r="B3132" s="75" t="n"/>
      <c r="C3132" s="75" t="n"/>
      <c r="D3132" s="75" t="n"/>
      <c r="E3132" s="76" t="n"/>
      <c r="F3132" s="77" t="n"/>
      <c r="G3132" s="75" t="n"/>
      <c r="H3132" s="75">
        <f>IF(ISBLANK(E3132),"",IF(OR(D3132="Butterfly",D3132="Butterfly ",D3132="Iron Fly", D3132="Iron Fly "),LEN(E3132)-LEN(SUBSTITUTE(E3132,"/",""))+2,LEN(E3132)-LEN(SUBSTITUTE(E3132,"/",""))+1))</f>
        <v/>
      </c>
      <c r="I3132" s="78">
        <f>IF(ISBLANK(G3132),"",IF(D3132="Stock","0",Key!$A$3*H3132*G3132))</f>
        <v/>
      </c>
      <c r="J3132" s="78">
        <f>IF(ISBLANK(E3132),"",IF(ISNUMBER(SEARCH("/",E3132)), IF(LEN(E3132)-LEN(SUBSTITUTE(E3132,"/",""))=1,(RIGHT(E3132,LEN(E3132)-FIND("/",E3132)))-(LEFT(E3132,FIND("/",E3132)-1)),(MID(E3132, SEARCH("/",E3132) + 1, SEARCH("/",E3132, SEARCH("/",E3132)+1) - SEARCH("/",E3132) - 1))-(LEFT(E3132,FIND("/",E3132)-1))), "NA"))</f>
        <v/>
      </c>
      <c r="K3132" s="79">
        <f>IF(A3132&lt;&gt;"", IF(ISBLANK(L3132), TODAY(), K3132), "")</f>
        <v/>
      </c>
      <c r="L3132" s="78" t="n"/>
      <c r="M3132" s="78">
        <f>IF(ISBLANK(L3132),"",IF(D3132="Stock",IF(C3132="Buy",L3132*G3132,IF(C3132="Sell",(L3132*G3132)-I3132, X)),IF(C3132="Buy",(L3132*G3132*100)+I3132,IF(C3132="Sell",(L3132*G3132*100)-I3132, X))))</f>
        <v/>
      </c>
      <c r="N3132" s="78">
        <f>IF(ISBLANK(L3132),"",IF(AND(C3132="Sell",D3132="Stock"),M3132,IF(ISBLANK(L3132),"",IF(C3132="Buy",M3132, IF(AND(C3132="Sell",J3132="NA"),(E3132*G3132*100*0.1)+I3132, IF(C3132="Sell",(J3132-L3132)*(100*G3132)+I3132))))))</f>
        <v/>
      </c>
      <c r="O3132" s="75" t="n"/>
      <c r="P3132" s="75" t="n"/>
      <c r="Q3132" s="75">
        <f>IF(ISBLANK(P3132),"",IF(D3132="Stock",P3132*G3132,IF(P3132=0,"0",G3132*P3132*100-(G3132*$AF$14))))</f>
        <v/>
      </c>
      <c r="R3132" s="79">
        <f>IF(P3132&lt;&gt;"", TODAY(), "")</f>
        <v/>
      </c>
      <c r="S3132" s="78">
        <f>IF(AND(K3132&lt;&gt;"", R3132&lt;&gt;""), R3132-K3132, "")</f>
        <v/>
      </c>
      <c r="T3132" s="78" t="n"/>
      <c r="U3132" s="92">
        <f>IF(ISBLANK(P3132),"",IF(C3132="Buy",Q3132-M3132+T3132, IF(C3132="Sell",M3132-Q3132-T3132, X)))</f>
        <v/>
      </c>
      <c r="V3132" s="81">
        <f>IF(ISBLANK(P3132),"",U3132/N3132)</f>
        <v/>
      </c>
      <c r="W3132" s="81">
        <f>IF(ISBLANK(P3132),"",IF(S3132=0,(365/0.5)*V3132,(365/S3132)*V3132))</f>
        <v/>
      </c>
      <c r="X3132" s="75" t="n"/>
      <c r="Y3132" s="77" t="n"/>
      <c r="Z3132" s="77" t="n"/>
      <c r="AA3132" s="75" t="n"/>
      <c r="AB3132" s="75" t="n"/>
      <c r="AC3132" s="6" t="n"/>
      <c r="AD3132" s="75" t="n"/>
      <c r="AE3132" s="75" t="n"/>
      <c r="AF3132" s="75" t="n"/>
    </row>
    <row r="3133" ht="15.75" customHeight="1" s="133">
      <c r="A3133" s="75" t="n"/>
      <c r="B3133" s="75" t="n"/>
      <c r="C3133" s="75" t="n"/>
      <c r="D3133" s="75" t="n"/>
      <c r="E3133" s="76" t="n"/>
      <c r="F3133" s="77" t="n"/>
      <c r="G3133" s="75" t="n"/>
      <c r="H3133" s="75">
        <f>IF(ISBLANK(E3133),"",IF(OR(D3133="Butterfly",D3133="Butterfly ",D3133="Iron Fly", D3133="Iron Fly "),LEN(E3133)-LEN(SUBSTITUTE(E3133,"/",""))+2,LEN(E3133)-LEN(SUBSTITUTE(E3133,"/",""))+1))</f>
        <v/>
      </c>
      <c r="I3133" s="78">
        <f>IF(ISBLANK(G3133),"",IF(D3133="Stock","0",Key!$A$3*H3133*G3133))</f>
        <v/>
      </c>
      <c r="J3133" s="78">
        <f>IF(ISBLANK(E3133),"",IF(ISNUMBER(SEARCH("/",E3133)), IF(LEN(E3133)-LEN(SUBSTITUTE(E3133,"/",""))=1,(RIGHT(E3133,LEN(E3133)-FIND("/",E3133)))-(LEFT(E3133,FIND("/",E3133)-1)),(MID(E3133, SEARCH("/",E3133) + 1, SEARCH("/",E3133, SEARCH("/",E3133)+1) - SEARCH("/",E3133) - 1))-(LEFT(E3133,FIND("/",E3133)-1))), "NA"))</f>
        <v/>
      </c>
      <c r="K3133" s="79">
        <f>IF(A3133&lt;&gt;"", IF(ISBLANK(L3133), TODAY(), K3133), "")</f>
        <v/>
      </c>
      <c r="L3133" s="78" t="n"/>
      <c r="M3133" s="78">
        <f>IF(ISBLANK(L3133),"",IF(D3133="Stock",IF(C3133="Buy",L3133*G3133,IF(C3133="Sell",(L3133*G3133)-I3133, X)),IF(C3133="Buy",(L3133*G3133*100)+I3133,IF(C3133="Sell",(L3133*G3133*100)-I3133, X))))</f>
        <v/>
      </c>
      <c r="N3133" s="78">
        <f>IF(ISBLANK(L3133),"",IF(AND(C3133="Sell",D3133="Stock"),M3133,IF(ISBLANK(L3133),"",IF(C3133="Buy",M3133, IF(AND(C3133="Sell",J3133="NA"),(E3133*G3133*100*0.1)+I3133, IF(C3133="Sell",(J3133-L3133)*(100*G3133)+I3133))))))</f>
        <v/>
      </c>
      <c r="O3133" s="75" t="n"/>
      <c r="P3133" s="75" t="n"/>
      <c r="Q3133" s="75">
        <f>IF(ISBLANK(P3133),"",IF(D3133="Stock",P3133*G3133,IF(P3133=0,"0",G3133*P3133*100-(G3133*$AF$14))))</f>
        <v/>
      </c>
      <c r="R3133" s="79">
        <f>IF(P3133&lt;&gt;"", TODAY(), "")</f>
        <v/>
      </c>
      <c r="S3133" s="78">
        <f>IF(AND(K3133&lt;&gt;"", R3133&lt;&gt;""), R3133-K3133, "")</f>
        <v/>
      </c>
      <c r="T3133" s="78" t="n"/>
      <c r="U3133" s="92">
        <f>IF(ISBLANK(P3133),"",IF(C3133="Buy",Q3133-M3133+T3133, IF(C3133="Sell",M3133-Q3133-T3133, X)))</f>
        <v/>
      </c>
      <c r="V3133" s="81">
        <f>IF(ISBLANK(P3133),"",U3133/N3133)</f>
        <v/>
      </c>
      <c r="W3133" s="81">
        <f>IF(ISBLANK(P3133),"",IF(S3133=0,(365/0.5)*V3133,(365/S3133)*V3133))</f>
        <v/>
      </c>
      <c r="X3133" s="75" t="n"/>
      <c r="Y3133" s="77" t="n"/>
      <c r="Z3133" s="77" t="n"/>
      <c r="AA3133" s="75" t="n"/>
      <c r="AB3133" s="75" t="n"/>
      <c r="AC3133" s="6" t="n"/>
      <c r="AD3133" s="75" t="n"/>
      <c r="AE3133" s="75" t="n"/>
      <c r="AF3133" s="75" t="n"/>
    </row>
    <row r="3134" ht="15.75" customHeight="1" s="133">
      <c r="A3134" s="75" t="n"/>
      <c r="B3134" s="75" t="n"/>
      <c r="C3134" s="75" t="n"/>
      <c r="D3134" s="75" t="n"/>
      <c r="E3134" s="76" t="n"/>
      <c r="F3134" s="77" t="n"/>
      <c r="G3134" s="75" t="n"/>
      <c r="H3134" s="75">
        <f>IF(ISBLANK(E3134),"",IF(OR(D3134="Butterfly",D3134="Butterfly ",D3134="Iron Fly", D3134="Iron Fly "),LEN(E3134)-LEN(SUBSTITUTE(E3134,"/",""))+2,LEN(E3134)-LEN(SUBSTITUTE(E3134,"/",""))+1))</f>
        <v/>
      </c>
      <c r="I3134" s="78">
        <f>IF(ISBLANK(G3134),"",IF(D3134="Stock","0",Key!$A$3*H3134*G3134))</f>
        <v/>
      </c>
      <c r="J3134" s="78">
        <f>IF(ISBLANK(E3134),"",IF(ISNUMBER(SEARCH("/",E3134)), IF(LEN(E3134)-LEN(SUBSTITUTE(E3134,"/",""))=1,(RIGHT(E3134,LEN(E3134)-FIND("/",E3134)))-(LEFT(E3134,FIND("/",E3134)-1)),(MID(E3134, SEARCH("/",E3134) + 1, SEARCH("/",E3134, SEARCH("/",E3134)+1) - SEARCH("/",E3134) - 1))-(LEFT(E3134,FIND("/",E3134)-1))), "NA"))</f>
        <v/>
      </c>
      <c r="K3134" s="79">
        <f>IF(A3134&lt;&gt;"", IF(ISBLANK(L3134), TODAY(), K3134), "")</f>
        <v/>
      </c>
      <c r="L3134" s="78" t="n"/>
      <c r="M3134" s="78">
        <f>IF(ISBLANK(L3134),"",IF(D3134="Stock",IF(C3134="Buy",L3134*G3134,IF(C3134="Sell",(L3134*G3134)-I3134, X)),IF(C3134="Buy",(L3134*G3134*100)+I3134,IF(C3134="Sell",(L3134*G3134*100)-I3134, X))))</f>
        <v/>
      </c>
      <c r="N3134" s="78">
        <f>IF(ISBLANK(L3134),"",IF(AND(C3134="Sell",D3134="Stock"),M3134,IF(ISBLANK(L3134),"",IF(C3134="Buy",M3134, IF(AND(C3134="Sell",J3134="NA"),(E3134*G3134*100*0.1)+I3134, IF(C3134="Sell",(J3134-L3134)*(100*G3134)+I3134))))))</f>
        <v/>
      </c>
      <c r="O3134" s="75" t="n"/>
      <c r="P3134" s="75" t="n"/>
      <c r="Q3134" s="75">
        <f>IF(ISBLANK(P3134),"",IF(D3134="Stock",P3134*G3134,IF(P3134=0,"0",G3134*P3134*100-(G3134*$AF$14))))</f>
        <v/>
      </c>
      <c r="R3134" s="79">
        <f>IF(P3134&lt;&gt;"", TODAY(), "")</f>
        <v/>
      </c>
      <c r="S3134" s="78">
        <f>IF(AND(K3134&lt;&gt;"", R3134&lt;&gt;""), R3134-K3134, "")</f>
        <v/>
      </c>
      <c r="T3134" s="78" t="n"/>
      <c r="U3134" s="92">
        <f>IF(ISBLANK(P3134),"",IF(C3134="Buy",Q3134-M3134+T3134, IF(C3134="Sell",M3134-Q3134-T3134, X)))</f>
        <v/>
      </c>
      <c r="V3134" s="81">
        <f>IF(ISBLANK(P3134),"",U3134/N3134)</f>
        <v/>
      </c>
      <c r="W3134" s="81">
        <f>IF(ISBLANK(P3134),"",IF(S3134=0,(365/0.5)*V3134,(365/S3134)*V3134))</f>
        <v/>
      </c>
      <c r="X3134" s="75" t="n"/>
      <c r="Y3134" s="77" t="n"/>
      <c r="Z3134" s="77" t="n"/>
      <c r="AA3134" s="75" t="n"/>
      <c r="AB3134" s="75" t="n"/>
      <c r="AC3134" s="6" t="n"/>
      <c r="AD3134" s="75" t="n"/>
      <c r="AE3134" s="75" t="n"/>
      <c r="AF3134" s="75" t="n"/>
    </row>
    <row r="3135" ht="15.75" customHeight="1" s="133">
      <c r="A3135" s="75" t="n"/>
      <c r="B3135" s="75" t="n"/>
      <c r="C3135" s="75" t="n"/>
      <c r="D3135" s="75" t="n"/>
      <c r="E3135" s="76" t="n"/>
      <c r="F3135" s="77" t="n"/>
      <c r="G3135" s="75" t="n"/>
      <c r="H3135" s="75">
        <f>IF(ISBLANK(E3135),"",IF(OR(D3135="Butterfly",D3135="Butterfly ",D3135="Iron Fly", D3135="Iron Fly "),LEN(E3135)-LEN(SUBSTITUTE(E3135,"/",""))+2,LEN(E3135)-LEN(SUBSTITUTE(E3135,"/",""))+1))</f>
        <v/>
      </c>
      <c r="I3135" s="78">
        <f>IF(ISBLANK(G3135),"",IF(D3135="Stock","0",Key!$A$3*H3135*G3135))</f>
        <v/>
      </c>
      <c r="J3135" s="78">
        <f>IF(ISBLANK(E3135),"",IF(ISNUMBER(SEARCH("/",E3135)), IF(LEN(E3135)-LEN(SUBSTITUTE(E3135,"/",""))=1,(RIGHT(E3135,LEN(E3135)-FIND("/",E3135)))-(LEFT(E3135,FIND("/",E3135)-1)),(MID(E3135, SEARCH("/",E3135) + 1, SEARCH("/",E3135, SEARCH("/",E3135)+1) - SEARCH("/",E3135) - 1))-(LEFT(E3135,FIND("/",E3135)-1))), "NA"))</f>
        <v/>
      </c>
      <c r="K3135" s="79">
        <f>IF(A3135&lt;&gt;"", IF(ISBLANK(L3135), TODAY(), K3135), "")</f>
        <v/>
      </c>
      <c r="L3135" s="78" t="n"/>
      <c r="M3135" s="78">
        <f>IF(ISBLANK(L3135),"",IF(D3135="Stock",IF(C3135="Buy",L3135*G3135,IF(C3135="Sell",(L3135*G3135)-I3135, X)),IF(C3135="Buy",(L3135*G3135*100)+I3135,IF(C3135="Sell",(L3135*G3135*100)-I3135, X))))</f>
        <v/>
      </c>
      <c r="N3135" s="78">
        <f>IF(ISBLANK(L3135),"",IF(AND(C3135="Sell",D3135="Stock"),M3135,IF(ISBLANK(L3135),"",IF(C3135="Buy",M3135, IF(AND(C3135="Sell",J3135="NA"),(E3135*G3135*100*0.1)+I3135, IF(C3135="Sell",(J3135-L3135)*(100*G3135)+I3135))))))</f>
        <v/>
      </c>
      <c r="O3135" s="75" t="n"/>
      <c r="P3135" s="75" t="n"/>
      <c r="Q3135" s="75">
        <f>IF(ISBLANK(P3135),"",IF(D3135="Stock",P3135*G3135,IF(P3135=0,"0",G3135*P3135*100-(G3135*$AF$14))))</f>
        <v/>
      </c>
      <c r="R3135" s="79">
        <f>IF(P3135&lt;&gt;"", TODAY(), "")</f>
        <v/>
      </c>
      <c r="S3135" s="78">
        <f>IF(AND(K3135&lt;&gt;"", R3135&lt;&gt;""), R3135-K3135, "")</f>
        <v/>
      </c>
      <c r="T3135" s="78" t="n"/>
      <c r="U3135" s="92">
        <f>IF(ISBLANK(P3135),"",IF(C3135="Buy",Q3135-M3135+T3135, IF(C3135="Sell",M3135-Q3135-T3135, X)))</f>
        <v/>
      </c>
      <c r="V3135" s="81">
        <f>IF(ISBLANK(P3135),"",U3135/N3135)</f>
        <v/>
      </c>
      <c r="W3135" s="81">
        <f>IF(ISBLANK(P3135),"",IF(S3135=0,(365/0.5)*V3135,(365/S3135)*V3135))</f>
        <v/>
      </c>
      <c r="X3135" s="75" t="n"/>
      <c r="Y3135" s="77" t="n"/>
      <c r="Z3135" s="77" t="n"/>
      <c r="AA3135" s="75" t="n"/>
      <c r="AB3135" s="75" t="n"/>
      <c r="AC3135" s="6" t="n"/>
      <c r="AD3135" s="75" t="n"/>
      <c r="AE3135" s="75" t="n"/>
      <c r="AF3135" s="75" t="n"/>
    </row>
    <row r="3136" ht="15.75" customHeight="1" s="133">
      <c r="A3136" s="75" t="n"/>
      <c r="B3136" s="75" t="n"/>
      <c r="C3136" s="75" t="n"/>
      <c r="D3136" s="75" t="n"/>
      <c r="E3136" s="76" t="n"/>
      <c r="F3136" s="77" t="n"/>
      <c r="G3136" s="75" t="n"/>
      <c r="H3136" s="75">
        <f>IF(ISBLANK(E3136),"",IF(OR(D3136="Butterfly",D3136="Butterfly ",D3136="Iron Fly", D3136="Iron Fly "),LEN(E3136)-LEN(SUBSTITUTE(E3136,"/",""))+2,LEN(E3136)-LEN(SUBSTITUTE(E3136,"/",""))+1))</f>
        <v/>
      </c>
      <c r="I3136" s="78">
        <f>IF(ISBLANK(G3136),"",IF(D3136="Stock","0",Key!$A$3*H3136*G3136))</f>
        <v/>
      </c>
      <c r="J3136" s="78">
        <f>IF(ISBLANK(E3136),"",IF(ISNUMBER(SEARCH("/",E3136)), IF(LEN(E3136)-LEN(SUBSTITUTE(E3136,"/",""))=1,(RIGHT(E3136,LEN(E3136)-FIND("/",E3136)))-(LEFT(E3136,FIND("/",E3136)-1)),(MID(E3136, SEARCH("/",E3136) + 1, SEARCH("/",E3136, SEARCH("/",E3136)+1) - SEARCH("/",E3136) - 1))-(LEFT(E3136,FIND("/",E3136)-1))), "NA"))</f>
        <v/>
      </c>
      <c r="K3136" s="79">
        <f>IF(A3136&lt;&gt;"", IF(ISBLANK(L3136), TODAY(), K3136), "")</f>
        <v/>
      </c>
      <c r="L3136" s="78" t="n"/>
      <c r="M3136" s="78">
        <f>IF(ISBLANK(L3136),"",IF(D3136="Stock",IF(C3136="Buy",L3136*G3136,IF(C3136="Sell",(L3136*G3136)-I3136, X)),IF(C3136="Buy",(L3136*G3136*100)+I3136,IF(C3136="Sell",(L3136*G3136*100)-I3136, X))))</f>
        <v/>
      </c>
      <c r="N3136" s="78">
        <f>IF(ISBLANK(L3136),"",IF(AND(C3136="Sell",D3136="Stock"),M3136,IF(ISBLANK(L3136),"",IF(C3136="Buy",M3136, IF(AND(C3136="Sell",J3136="NA"),(E3136*G3136*100*0.1)+I3136, IF(C3136="Sell",(J3136-L3136)*(100*G3136)+I3136))))))</f>
        <v/>
      </c>
      <c r="O3136" s="75" t="n"/>
      <c r="P3136" s="75" t="n"/>
      <c r="Q3136" s="75">
        <f>IF(ISBLANK(P3136),"",IF(D3136="Stock",P3136*G3136,IF(P3136=0,"0",G3136*P3136*100-(G3136*$AF$14))))</f>
        <v/>
      </c>
      <c r="R3136" s="79">
        <f>IF(P3136&lt;&gt;"", TODAY(), "")</f>
        <v/>
      </c>
      <c r="S3136" s="78">
        <f>IF(AND(K3136&lt;&gt;"", R3136&lt;&gt;""), R3136-K3136, "")</f>
        <v/>
      </c>
      <c r="T3136" s="78" t="n"/>
      <c r="U3136" s="92">
        <f>IF(ISBLANK(P3136),"",IF(C3136="Buy",Q3136-M3136+T3136, IF(C3136="Sell",M3136-Q3136-T3136, X)))</f>
        <v/>
      </c>
      <c r="V3136" s="81">
        <f>IF(ISBLANK(P3136),"",U3136/N3136)</f>
        <v/>
      </c>
      <c r="W3136" s="81">
        <f>IF(ISBLANK(P3136),"",IF(S3136=0,(365/0.5)*V3136,(365/S3136)*V3136))</f>
        <v/>
      </c>
      <c r="X3136" s="75" t="n"/>
      <c r="Y3136" s="77" t="n"/>
      <c r="Z3136" s="77" t="n"/>
      <c r="AA3136" s="75" t="n"/>
      <c r="AB3136" s="75" t="n"/>
      <c r="AC3136" s="6" t="n"/>
      <c r="AD3136" s="75" t="n"/>
      <c r="AE3136" s="75" t="n"/>
      <c r="AF3136" s="75" t="n"/>
    </row>
    <row r="3137" ht="15.75" customHeight="1" s="133">
      <c r="A3137" s="75" t="n"/>
      <c r="B3137" s="75" t="n"/>
      <c r="C3137" s="75" t="n"/>
      <c r="D3137" s="75" t="n"/>
      <c r="E3137" s="76" t="n"/>
      <c r="F3137" s="77" t="n"/>
      <c r="G3137" s="75" t="n"/>
      <c r="H3137" s="75">
        <f>IF(ISBLANK(E3137),"",IF(OR(D3137="Butterfly",D3137="Butterfly ",D3137="Iron Fly", D3137="Iron Fly "),LEN(E3137)-LEN(SUBSTITUTE(E3137,"/",""))+2,LEN(E3137)-LEN(SUBSTITUTE(E3137,"/",""))+1))</f>
        <v/>
      </c>
      <c r="I3137" s="78">
        <f>IF(ISBLANK(G3137),"",IF(D3137="Stock","0",Key!$A$3*H3137*G3137))</f>
        <v/>
      </c>
      <c r="J3137" s="78">
        <f>IF(ISBLANK(E3137),"",IF(ISNUMBER(SEARCH("/",E3137)), IF(LEN(E3137)-LEN(SUBSTITUTE(E3137,"/",""))=1,(RIGHT(E3137,LEN(E3137)-FIND("/",E3137)))-(LEFT(E3137,FIND("/",E3137)-1)),(MID(E3137, SEARCH("/",E3137) + 1, SEARCH("/",E3137, SEARCH("/",E3137)+1) - SEARCH("/",E3137) - 1))-(LEFT(E3137,FIND("/",E3137)-1))), "NA"))</f>
        <v/>
      </c>
      <c r="K3137" s="79">
        <f>IF(A3137&lt;&gt;"", IF(ISBLANK(L3137), TODAY(), K3137), "")</f>
        <v/>
      </c>
      <c r="L3137" s="78" t="n"/>
      <c r="M3137" s="78">
        <f>IF(ISBLANK(L3137),"",IF(D3137="Stock",IF(C3137="Buy",L3137*G3137,IF(C3137="Sell",(L3137*G3137)-I3137, X)),IF(C3137="Buy",(L3137*G3137*100)+I3137,IF(C3137="Sell",(L3137*G3137*100)-I3137, X))))</f>
        <v/>
      </c>
      <c r="N3137" s="78">
        <f>IF(ISBLANK(L3137),"",IF(AND(C3137="Sell",D3137="Stock"),M3137,IF(ISBLANK(L3137),"",IF(C3137="Buy",M3137, IF(AND(C3137="Sell",J3137="NA"),(E3137*G3137*100*0.1)+I3137, IF(C3137="Sell",(J3137-L3137)*(100*G3137)+I3137))))))</f>
        <v/>
      </c>
      <c r="O3137" s="75" t="n"/>
      <c r="P3137" s="75" t="n"/>
      <c r="Q3137" s="75">
        <f>IF(ISBLANK(P3137),"",IF(D3137="Stock",P3137*G3137,IF(P3137=0,"0",G3137*P3137*100-(G3137*$AF$14))))</f>
        <v/>
      </c>
      <c r="R3137" s="79">
        <f>IF(P3137&lt;&gt;"", TODAY(), "")</f>
        <v/>
      </c>
      <c r="S3137" s="78">
        <f>IF(AND(K3137&lt;&gt;"", R3137&lt;&gt;""), R3137-K3137, "")</f>
        <v/>
      </c>
      <c r="T3137" s="78" t="n"/>
      <c r="U3137" s="92">
        <f>IF(ISBLANK(P3137),"",IF(C3137="Buy",Q3137-M3137+T3137, IF(C3137="Sell",M3137-Q3137-T3137, X)))</f>
        <v/>
      </c>
      <c r="V3137" s="81">
        <f>IF(ISBLANK(P3137),"",U3137/N3137)</f>
        <v/>
      </c>
      <c r="W3137" s="81">
        <f>IF(ISBLANK(P3137),"",IF(S3137=0,(365/0.5)*V3137,(365/S3137)*V3137))</f>
        <v/>
      </c>
      <c r="X3137" s="75" t="n"/>
      <c r="Y3137" s="77" t="n"/>
      <c r="Z3137" s="77" t="n"/>
      <c r="AA3137" s="75" t="n"/>
      <c r="AB3137" s="75" t="n"/>
      <c r="AC3137" s="6" t="n"/>
      <c r="AD3137" s="75" t="n"/>
      <c r="AE3137" s="75" t="n"/>
      <c r="AF3137" s="75" t="n"/>
    </row>
    <row r="3138" ht="15.75" customHeight="1" s="133">
      <c r="A3138" s="75" t="n"/>
      <c r="B3138" s="75" t="n"/>
      <c r="C3138" s="75" t="n"/>
      <c r="D3138" s="75" t="n"/>
      <c r="E3138" s="76" t="n"/>
      <c r="F3138" s="77" t="n"/>
      <c r="G3138" s="75" t="n"/>
      <c r="H3138" s="75">
        <f>IF(ISBLANK(E3138),"",IF(OR(D3138="Butterfly",D3138="Butterfly ",D3138="Iron Fly", D3138="Iron Fly "),LEN(E3138)-LEN(SUBSTITUTE(E3138,"/",""))+2,LEN(E3138)-LEN(SUBSTITUTE(E3138,"/",""))+1))</f>
        <v/>
      </c>
      <c r="I3138" s="78">
        <f>IF(ISBLANK(G3138),"",IF(D3138="Stock","0",Key!$A$3*H3138*G3138))</f>
        <v/>
      </c>
      <c r="J3138" s="78">
        <f>IF(ISBLANK(E3138),"",IF(ISNUMBER(SEARCH("/",E3138)), IF(LEN(E3138)-LEN(SUBSTITUTE(E3138,"/",""))=1,(RIGHT(E3138,LEN(E3138)-FIND("/",E3138)))-(LEFT(E3138,FIND("/",E3138)-1)),(MID(E3138, SEARCH("/",E3138) + 1, SEARCH("/",E3138, SEARCH("/",E3138)+1) - SEARCH("/",E3138) - 1))-(LEFT(E3138,FIND("/",E3138)-1))), "NA"))</f>
        <v/>
      </c>
      <c r="K3138" s="79">
        <f>IF(A3138&lt;&gt;"", IF(ISBLANK(L3138), TODAY(), K3138), "")</f>
        <v/>
      </c>
      <c r="L3138" s="78" t="n"/>
      <c r="M3138" s="78">
        <f>IF(ISBLANK(L3138),"",IF(D3138="Stock",IF(C3138="Buy",L3138*G3138,IF(C3138="Sell",(L3138*G3138)-I3138, X)),IF(C3138="Buy",(L3138*G3138*100)+I3138,IF(C3138="Sell",(L3138*G3138*100)-I3138, X))))</f>
        <v/>
      </c>
      <c r="N3138" s="78">
        <f>IF(ISBLANK(L3138),"",IF(AND(C3138="Sell",D3138="Stock"),M3138,IF(ISBLANK(L3138),"",IF(C3138="Buy",M3138, IF(AND(C3138="Sell",J3138="NA"),(E3138*G3138*100*0.1)+I3138, IF(C3138="Sell",(J3138-L3138)*(100*G3138)+I3138))))))</f>
        <v/>
      </c>
      <c r="O3138" s="75" t="n"/>
      <c r="P3138" s="75" t="n"/>
      <c r="Q3138" s="75">
        <f>IF(ISBLANK(P3138),"",IF(D3138="Stock",P3138*G3138,IF(P3138=0,"0",G3138*P3138*100-(G3138*$AF$14))))</f>
        <v/>
      </c>
      <c r="R3138" s="79">
        <f>IF(P3138&lt;&gt;"", TODAY(), "")</f>
        <v/>
      </c>
      <c r="S3138" s="78">
        <f>IF(AND(K3138&lt;&gt;"", R3138&lt;&gt;""), R3138-K3138, "")</f>
        <v/>
      </c>
      <c r="T3138" s="78" t="n"/>
      <c r="U3138" s="92">
        <f>IF(ISBLANK(P3138),"",IF(C3138="Buy",Q3138-M3138+T3138, IF(C3138="Sell",M3138-Q3138-T3138, X)))</f>
        <v/>
      </c>
      <c r="V3138" s="81">
        <f>IF(ISBLANK(P3138),"",U3138/N3138)</f>
        <v/>
      </c>
      <c r="W3138" s="81">
        <f>IF(ISBLANK(P3138),"",IF(S3138=0,(365/0.5)*V3138,(365/S3138)*V3138))</f>
        <v/>
      </c>
      <c r="X3138" s="75" t="n"/>
      <c r="Y3138" s="77" t="n"/>
      <c r="Z3138" s="77" t="n"/>
      <c r="AA3138" s="75" t="n"/>
      <c r="AB3138" s="75" t="n"/>
      <c r="AC3138" s="6" t="n"/>
      <c r="AD3138" s="75" t="n"/>
      <c r="AE3138" s="75" t="n"/>
      <c r="AF3138" s="75" t="n"/>
    </row>
    <row r="3139" ht="15.75" customHeight="1" s="133">
      <c r="A3139" s="75" t="n"/>
      <c r="B3139" s="75" t="n"/>
      <c r="C3139" s="75" t="n"/>
      <c r="D3139" s="75" t="n"/>
      <c r="E3139" s="76" t="n"/>
      <c r="F3139" s="77" t="n"/>
      <c r="G3139" s="75" t="n"/>
      <c r="H3139" s="75">
        <f>IF(ISBLANK(E3139),"",IF(OR(D3139="Butterfly",D3139="Butterfly ",D3139="Iron Fly", D3139="Iron Fly "),LEN(E3139)-LEN(SUBSTITUTE(E3139,"/",""))+2,LEN(E3139)-LEN(SUBSTITUTE(E3139,"/",""))+1))</f>
        <v/>
      </c>
      <c r="I3139" s="78">
        <f>IF(ISBLANK(G3139),"",IF(D3139="Stock","0",Key!$A$3*H3139*G3139))</f>
        <v/>
      </c>
      <c r="J3139" s="78">
        <f>IF(ISBLANK(E3139),"",IF(ISNUMBER(SEARCH("/",E3139)), IF(LEN(E3139)-LEN(SUBSTITUTE(E3139,"/",""))=1,(RIGHT(E3139,LEN(E3139)-FIND("/",E3139)))-(LEFT(E3139,FIND("/",E3139)-1)),(MID(E3139, SEARCH("/",E3139) + 1, SEARCH("/",E3139, SEARCH("/",E3139)+1) - SEARCH("/",E3139) - 1))-(LEFT(E3139,FIND("/",E3139)-1))), "NA"))</f>
        <v/>
      </c>
      <c r="K3139" s="79">
        <f>IF(A3139&lt;&gt;"", IF(ISBLANK(L3139), TODAY(), K3139), "")</f>
        <v/>
      </c>
      <c r="L3139" s="78" t="n"/>
      <c r="M3139" s="78">
        <f>IF(ISBLANK(L3139),"",IF(D3139="Stock",IF(C3139="Buy",L3139*G3139,IF(C3139="Sell",(L3139*G3139)-I3139, X)),IF(C3139="Buy",(L3139*G3139*100)+I3139,IF(C3139="Sell",(L3139*G3139*100)-I3139, X))))</f>
        <v/>
      </c>
      <c r="N3139" s="78">
        <f>IF(ISBLANK(L3139),"",IF(AND(C3139="Sell",D3139="Stock"),M3139,IF(ISBLANK(L3139),"",IF(C3139="Buy",M3139, IF(AND(C3139="Sell",J3139="NA"),(E3139*G3139*100*0.1)+I3139, IF(C3139="Sell",(J3139-L3139)*(100*G3139)+I3139))))))</f>
        <v/>
      </c>
      <c r="O3139" s="75" t="n"/>
      <c r="P3139" s="75" t="n"/>
      <c r="Q3139" s="75">
        <f>IF(ISBLANK(P3139),"",IF(D3139="Stock",P3139*G3139,IF(P3139=0,"0",G3139*P3139*100-(G3139*$AF$14))))</f>
        <v/>
      </c>
      <c r="R3139" s="79">
        <f>IF(P3139&lt;&gt;"", TODAY(), "")</f>
        <v/>
      </c>
      <c r="S3139" s="78">
        <f>IF(AND(K3139&lt;&gt;"", R3139&lt;&gt;""), R3139-K3139, "")</f>
        <v/>
      </c>
      <c r="T3139" s="78" t="n"/>
      <c r="U3139" s="92">
        <f>IF(ISBLANK(P3139),"",IF(C3139="Buy",Q3139-M3139+T3139, IF(C3139="Sell",M3139-Q3139-T3139, X)))</f>
        <v/>
      </c>
      <c r="V3139" s="81">
        <f>IF(ISBLANK(P3139),"",U3139/N3139)</f>
        <v/>
      </c>
      <c r="W3139" s="81">
        <f>IF(ISBLANK(P3139),"",IF(S3139=0,(365/0.5)*V3139,(365/S3139)*V3139))</f>
        <v/>
      </c>
      <c r="X3139" s="75" t="n"/>
      <c r="Y3139" s="77" t="n"/>
      <c r="Z3139" s="77" t="n"/>
      <c r="AA3139" s="75" t="n"/>
      <c r="AB3139" s="75" t="n"/>
      <c r="AC3139" s="6" t="n"/>
      <c r="AD3139" s="75" t="n"/>
      <c r="AE3139" s="75" t="n"/>
      <c r="AF3139" s="75" t="n"/>
    </row>
    <row r="3140" ht="15.75" customHeight="1" s="133">
      <c r="A3140" s="75" t="n"/>
      <c r="B3140" s="75" t="n"/>
      <c r="C3140" s="75" t="n"/>
      <c r="D3140" s="75" t="n"/>
      <c r="E3140" s="76" t="n"/>
      <c r="F3140" s="77" t="n"/>
      <c r="G3140" s="75" t="n"/>
      <c r="H3140" s="75">
        <f>IF(ISBLANK(E3140),"",IF(OR(D3140="Butterfly",D3140="Butterfly ",D3140="Iron Fly", D3140="Iron Fly "),LEN(E3140)-LEN(SUBSTITUTE(E3140,"/",""))+2,LEN(E3140)-LEN(SUBSTITUTE(E3140,"/",""))+1))</f>
        <v/>
      </c>
      <c r="I3140" s="78">
        <f>IF(ISBLANK(G3140),"",IF(D3140="Stock","0",Key!$A$3*H3140*G3140))</f>
        <v/>
      </c>
      <c r="J3140" s="78">
        <f>IF(ISBLANK(E3140),"",IF(ISNUMBER(SEARCH("/",E3140)), IF(LEN(E3140)-LEN(SUBSTITUTE(E3140,"/",""))=1,(RIGHT(E3140,LEN(E3140)-FIND("/",E3140)))-(LEFT(E3140,FIND("/",E3140)-1)),(MID(E3140, SEARCH("/",E3140) + 1, SEARCH("/",E3140, SEARCH("/",E3140)+1) - SEARCH("/",E3140) - 1))-(LEFT(E3140,FIND("/",E3140)-1))), "NA"))</f>
        <v/>
      </c>
      <c r="K3140" s="79">
        <f>IF(A3140&lt;&gt;"", IF(ISBLANK(L3140), TODAY(), K3140), "")</f>
        <v/>
      </c>
      <c r="L3140" s="78" t="n"/>
      <c r="M3140" s="78">
        <f>IF(ISBLANK(L3140),"",IF(D3140="Stock",IF(C3140="Buy",L3140*G3140,IF(C3140="Sell",(L3140*G3140)-I3140, X)),IF(C3140="Buy",(L3140*G3140*100)+I3140,IF(C3140="Sell",(L3140*G3140*100)-I3140, X))))</f>
        <v/>
      </c>
      <c r="N3140" s="78">
        <f>IF(ISBLANK(L3140),"",IF(AND(C3140="Sell",D3140="Stock"),M3140,IF(ISBLANK(L3140),"",IF(C3140="Buy",M3140, IF(AND(C3140="Sell",J3140="NA"),(E3140*G3140*100*0.1)+I3140, IF(C3140="Sell",(J3140-L3140)*(100*G3140)+I3140))))))</f>
        <v/>
      </c>
      <c r="O3140" s="75" t="n"/>
      <c r="P3140" s="75" t="n"/>
      <c r="Q3140" s="75">
        <f>IF(ISBLANK(P3140),"",IF(D3140="Stock",P3140*G3140,IF(P3140=0,"0",G3140*P3140*100-(G3140*$AF$14))))</f>
        <v/>
      </c>
      <c r="R3140" s="79">
        <f>IF(P3140&lt;&gt;"", TODAY(), "")</f>
        <v/>
      </c>
      <c r="S3140" s="78">
        <f>IF(AND(K3140&lt;&gt;"", R3140&lt;&gt;""), R3140-K3140, "")</f>
        <v/>
      </c>
      <c r="T3140" s="78" t="n"/>
      <c r="U3140" s="92">
        <f>IF(ISBLANK(P3140),"",IF(C3140="Buy",Q3140-M3140+T3140, IF(C3140="Sell",M3140-Q3140-T3140, X)))</f>
        <v/>
      </c>
      <c r="V3140" s="81">
        <f>IF(ISBLANK(P3140),"",U3140/N3140)</f>
        <v/>
      </c>
      <c r="W3140" s="81">
        <f>IF(ISBLANK(P3140),"",IF(S3140=0,(365/0.5)*V3140,(365/S3140)*V3140))</f>
        <v/>
      </c>
      <c r="X3140" s="75" t="n"/>
      <c r="Y3140" s="77" t="n"/>
      <c r="Z3140" s="77" t="n"/>
      <c r="AA3140" s="75" t="n"/>
      <c r="AB3140" s="75" t="n"/>
      <c r="AC3140" s="6" t="n"/>
      <c r="AD3140" s="75" t="n"/>
      <c r="AE3140" s="75" t="n"/>
      <c r="AF3140" s="75" t="n"/>
    </row>
    <row r="3141" ht="15.75" customHeight="1" s="133">
      <c r="A3141" s="75" t="n"/>
      <c r="B3141" s="75" t="n"/>
      <c r="C3141" s="75" t="n"/>
      <c r="D3141" s="75" t="n"/>
      <c r="E3141" s="76" t="n"/>
      <c r="F3141" s="77" t="n"/>
      <c r="G3141" s="75" t="n"/>
      <c r="H3141" s="75">
        <f>IF(ISBLANK(E3141),"",IF(OR(D3141="Butterfly",D3141="Butterfly ",D3141="Iron Fly", D3141="Iron Fly "),LEN(E3141)-LEN(SUBSTITUTE(E3141,"/",""))+2,LEN(E3141)-LEN(SUBSTITUTE(E3141,"/",""))+1))</f>
        <v/>
      </c>
      <c r="I3141" s="78">
        <f>IF(ISBLANK(G3141),"",IF(D3141="Stock","0",Key!$A$3*H3141*G3141))</f>
        <v/>
      </c>
      <c r="J3141" s="78">
        <f>IF(ISBLANK(E3141),"",IF(ISNUMBER(SEARCH("/",E3141)), IF(LEN(E3141)-LEN(SUBSTITUTE(E3141,"/",""))=1,(RIGHT(E3141,LEN(E3141)-FIND("/",E3141)))-(LEFT(E3141,FIND("/",E3141)-1)),(MID(E3141, SEARCH("/",E3141) + 1, SEARCH("/",E3141, SEARCH("/",E3141)+1) - SEARCH("/",E3141) - 1))-(LEFT(E3141,FIND("/",E3141)-1))), "NA"))</f>
        <v/>
      </c>
      <c r="K3141" s="79">
        <f>IF(A3141&lt;&gt;"", IF(ISBLANK(L3141), TODAY(), K3141), "")</f>
        <v/>
      </c>
      <c r="L3141" s="78" t="n"/>
      <c r="M3141" s="78">
        <f>IF(ISBLANK(L3141),"",IF(D3141="Stock",IF(C3141="Buy",L3141*G3141,IF(C3141="Sell",(L3141*G3141)-I3141, X)),IF(C3141="Buy",(L3141*G3141*100)+I3141,IF(C3141="Sell",(L3141*G3141*100)-I3141, X))))</f>
        <v/>
      </c>
      <c r="N3141" s="78">
        <f>IF(ISBLANK(L3141),"",IF(AND(C3141="Sell",D3141="Stock"),M3141,IF(ISBLANK(L3141),"",IF(C3141="Buy",M3141, IF(AND(C3141="Sell",J3141="NA"),(E3141*G3141*100*0.1)+I3141, IF(C3141="Sell",(J3141-L3141)*(100*G3141)+I3141))))))</f>
        <v/>
      </c>
      <c r="O3141" s="75" t="n"/>
      <c r="P3141" s="75" t="n"/>
      <c r="Q3141" s="75">
        <f>IF(ISBLANK(P3141),"",IF(D3141="Stock",P3141*G3141,IF(P3141=0,"0",G3141*P3141*100-(G3141*$AF$14))))</f>
        <v/>
      </c>
      <c r="R3141" s="79">
        <f>IF(P3141&lt;&gt;"", TODAY(), "")</f>
        <v/>
      </c>
      <c r="S3141" s="78">
        <f>IF(AND(K3141&lt;&gt;"", R3141&lt;&gt;""), R3141-K3141, "")</f>
        <v/>
      </c>
      <c r="T3141" s="78" t="n"/>
      <c r="U3141" s="92">
        <f>IF(ISBLANK(P3141),"",IF(C3141="Buy",Q3141-M3141+T3141, IF(C3141="Sell",M3141-Q3141-T3141, X)))</f>
        <v/>
      </c>
      <c r="V3141" s="81">
        <f>IF(ISBLANK(P3141),"",U3141/N3141)</f>
        <v/>
      </c>
      <c r="W3141" s="81">
        <f>IF(ISBLANK(P3141),"",IF(S3141=0,(365/0.5)*V3141,(365/S3141)*V3141))</f>
        <v/>
      </c>
      <c r="X3141" s="75" t="n"/>
      <c r="Y3141" s="77" t="n"/>
      <c r="Z3141" s="77" t="n"/>
      <c r="AA3141" s="75" t="n"/>
      <c r="AB3141" s="75" t="n"/>
      <c r="AC3141" s="6" t="n"/>
      <c r="AD3141" s="75" t="n"/>
      <c r="AE3141" s="75" t="n"/>
      <c r="AF3141" s="75" t="n"/>
    </row>
    <row r="3142" ht="15.75" customHeight="1" s="133">
      <c r="A3142" s="75" t="n"/>
      <c r="B3142" s="75" t="n"/>
      <c r="C3142" s="75" t="n"/>
      <c r="D3142" s="75" t="n"/>
      <c r="E3142" s="76" t="n"/>
      <c r="F3142" s="77" t="n"/>
      <c r="G3142" s="75" t="n"/>
      <c r="H3142" s="75">
        <f>IF(ISBLANK(E3142),"",IF(OR(D3142="Butterfly",D3142="Butterfly ",D3142="Iron Fly", D3142="Iron Fly "),LEN(E3142)-LEN(SUBSTITUTE(E3142,"/",""))+2,LEN(E3142)-LEN(SUBSTITUTE(E3142,"/",""))+1))</f>
        <v/>
      </c>
      <c r="I3142" s="78">
        <f>IF(ISBLANK(G3142),"",IF(D3142="Stock","0",Key!$A$3*H3142*G3142))</f>
        <v/>
      </c>
      <c r="J3142" s="78">
        <f>IF(ISBLANK(E3142),"",IF(ISNUMBER(SEARCH("/",E3142)), IF(LEN(E3142)-LEN(SUBSTITUTE(E3142,"/",""))=1,(RIGHT(E3142,LEN(E3142)-FIND("/",E3142)))-(LEFT(E3142,FIND("/",E3142)-1)),(MID(E3142, SEARCH("/",E3142) + 1, SEARCH("/",E3142, SEARCH("/",E3142)+1) - SEARCH("/",E3142) - 1))-(LEFT(E3142,FIND("/",E3142)-1))), "NA"))</f>
        <v/>
      </c>
      <c r="K3142" s="79">
        <f>IF(A3142&lt;&gt;"", IF(ISBLANK(L3142), TODAY(), K3142), "")</f>
        <v/>
      </c>
      <c r="L3142" s="78" t="n"/>
      <c r="M3142" s="78">
        <f>IF(ISBLANK(L3142),"",IF(D3142="Stock",IF(C3142="Buy",L3142*G3142,IF(C3142="Sell",(L3142*G3142)-I3142, X)),IF(C3142="Buy",(L3142*G3142*100)+I3142,IF(C3142="Sell",(L3142*G3142*100)-I3142, X))))</f>
        <v/>
      </c>
      <c r="N3142" s="78">
        <f>IF(ISBLANK(L3142),"",IF(AND(C3142="Sell",D3142="Stock"),M3142,IF(ISBLANK(L3142),"",IF(C3142="Buy",M3142, IF(AND(C3142="Sell",J3142="NA"),(E3142*G3142*100*0.1)+I3142, IF(C3142="Sell",(J3142-L3142)*(100*G3142)+I3142))))))</f>
        <v/>
      </c>
      <c r="O3142" s="75" t="n"/>
      <c r="P3142" s="75" t="n"/>
      <c r="Q3142" s="75">
        <f>IF(ISBLANK(P3142),"",IF(D3142="Stock",P3142*G3142,IF(P3142=0,"0",G3142*P3142*100-(G3142*$AF$14))))</f>
        <v/>
      </c>
      <c r="R3142" s="79">
        <f>IF(P3142&lt;&gt;"", TODAY(), "")</f>
        <v/>
      </c>
      <c r="S3142" s="78">
        <f>IF(AND(K3142&lt;&gt;"", R3142&lt;&gt;""), R3142-K3142, "")</f>
        <v/>
      </c>
      <c r="T3142" s="78" t="n"/>
      <c r="U3142" s="92">
        <f>IF(ISBLANK(P3142),"",IF(C3142="Buy",Q3142-M3142+T3142, IF(C3142="Sell",M3142-Q3142-T3142, X)))</f>
        <v/>
      </c>
      <c r="V3142" s="81">
        <f>IF(ISBLANK(P3142),"",U3142/N3142)</f>
        <v/>
      </c>
      <c r="W3142" s="81">
        <f>IF(ISBLANK(P3142),"",IF(S3142=0,(365/0.5)*V3142,(365/S3142)*V3142))</f>
        <v/>
      </c>
      <c r="X3142" s="75" t="n"/>
      <c r="Y3142" s="77" t="n"/>
      <c r="Z3142" s="77" t="n"/>
      <c r="AA3142" s="75" t="n"/>
      <c r="AB3142" s="75" t="n"/>
      <c r="AC3142" s="6" t="n"/>
      <c r="AD3142" s="75" t="n"/>
      <c r="AE3142" s="75" t="n"/>
      <c r="AF3142" s="75" t="n"/>
    </row>
    <row r="3143" ht="15.75" customHeight="1" s="133">
      <c r="A3143" s="75" t="n"/>
      <c r="B3143" s="75" t="n"/>
      <c r="C3143" s="75" t="n"/>
      <c r="D3143" s="75" t="n"/>
      <c r="E3143" s="76" t="n"/>
      <c r="F3143" s="77" t="n"/>
      <c r="G3143" s="75" t="n"/>
      <c r="H3143" s="75">
        <f>IF(ISBLANK(E3143),"",IF(OR(D3143="Butterfly",D3143="Butterfly ",D3143="Iron Fly", D3143="Iron Fly "),LEN(E3143)-LEN(SUBSTITUTE(E3143,"/",""))+2,LEN(E3143)-LEN(SUBSTITUTE(E3143,"/",""))+1))</f>
        <v/>
      </c>
      <c r="I3143" s="78">
        <f>IF(ISBLANK(G3143),"",IF(D3143="Stock","0",Key!$A$3*H3143*G3143))</f>
        <v/>
      </c>
      <c r="J3143" s="78">
        <f>IF(ISBLANK(E3143),"",IF(ISNUMBER(SEARCH("/",E3143)), IF(LEN(E3143)-LEN(SUBSTITUTE(E3143,"/",""))=1,(RIGHT(E3143,LEN(E3143)-FIND("/",E3143)))-(LEFT(E3143,FIND("/",E3143)-1)),(MID(E3143, SEARCH("/",E3143) + 1, SEARCH("/",E3143, SEARCH("/",E3143)+1) - SEARCH("/",E3143) - 1))-(LEFT(E3143,FIND("/",E3143)-1))), "NA"))</f>
        <v/>
      </c>
      <c r="K3143" s="79">
        <f>IF(A3143&lt;&gt;"", IF(ISBLANK(L3143), TODAY(), K3143), "")</f>
        <v/>
      </c>
      <c r="L3143" s="78" t="n"/>
      <c r="M3143" s="78">
        <f>IF(ISBLANK(L3143),"",IF(D3143="Stock",IF(C3143="Buy",L3143*G3143,IF(C3143="Sell",(L3143*G3143)-I3143, X)),IF(C3143="Buy",(L3143*G3143*100)+I3143,IF(C3143="Sell",(L3143*G3143*100)-I3143, X))))</f>
        <v/>
      </c>
      <c r="N3143" s="78">
        <f>IF(ISBLANK(L3143),"",IF(AND(C3143="Sell",D3143="Stock"),M3143,IF(ISBLANK(L3143),"",IF(C3143="Buy",M3143, IF(AND(C3143="Sell",J3143="NA"),(E3143*G3143*100*0.1)+I3143, IF(C3143="Sell",(J3143-L3143)*(100*G3143)+I3143))))))</f>
        <v/>
      </c>
      <c r="O3143" s="75" t="n"/>
      <c r="P3143" s="75" t="n"/>
      <c r="Q3143" s="75">
        <f>IF(ISBLANK(P3143),"",IF(D3143="Stock",P3143*G3143,IF(P3143=0,"0",G3143*P3143*100-(G3143*$AF$14))))</f>
        <v/>
      </c>
      <c r="R3143" s="79">
        <f>IF(P3143&lt;&gt;"", TODAY(), "")</f>
        <v/>
      </c>
      <c r="S3143" s="78">
        <f>IF(AND(K3143&lt;&gt;"", R3143&lt;&gt;""), R3143-K3143, "")</f>
        <v/>
      </c>
      <c r="T3143" s="78" t="n"/>
      <c r="U3143" s="92">
        <f>IF(ISBLANK(P3143),"",IF(C3143="Buy",Q3143-M3143+T3143, IF(C3143="Sell",M3143-Q3143-T3143, X)))</f>
        <v/>
      </c>
      <c r="V3143" s="81">
        <f>IF(ISBLANK(P3143),"",U3143/N3143)</f>
        <v/>
      </c>
      <c r="W3143" s="81">
        <f>IF(ISBLANK(P3143),"",IF(S3143=0,(365/0.5)*V3143,(365/S3143)*V3143))</f>
        <v/>
      </c>
      <c r="X3143" s="75" t="n"/>
      <c r="Y3143" s="77" t="n"/>
      <c r="Z3143" s="77" t="n"/>
      <c r="AA3143" s="75" t="n"/>
      <c r="AB3143" s="75" t="n"/>
      <c r="AC3143" s="6" t="n"/>
      <c r="AD3143" s="75" t="n"/>
      <c r="AE3143" s="75" t="n"/>
      <c r="AF3143" s="75" t="n"/>
    </row>
    <row r="3144" ht="15.75" customHeight="1" s="133">
      <c r="A3144" s="75" t="n"/>
      <c r="B3144" s="75" t="n"/>
      <c r="C3144" s="75" t="n"/>
      <c r="D3144" s="75" t="n"/>
      <c r="E3144" s="76" t="n"/>
      <c r="F3144" s="77" t="n"/>
      <c r="G3144" s="75" t="n"/>
      <c r="H3144" s="75">
        <f>IF(ISBLANK(E3144),"",IF(OR(D3144="Butterfly",D3144="Butterfly ",D3144="Iron Fly", D3144="Iron Fly "),LEN(E3144)-LEN(SUBSTITUTE(E3144,"/",""))+2,LEN(E3144)-LEN(SUBSTITUTE(E3144,"/",""))+1))</f>
        <v/>
      </c>
      <c r="I3144" s="78">
        <f>IF(ISBLANK(G3144),"",IF(D3144="Stock","0",Key!$A$3*H3144*G3144))</f>
        <v/>
      </c>
      <c r="J3144" s="78">
        <f>IF(ISBLANK(E3144),"",IF(ISNUMBER(SEARCH("/",E3144)), IF(LEN(E3144)-LEN(SUBSTITUTE(E3144,"/",""))=1,(RIGHT(E3144,LEN(E3144)-FIND("/",E3144)))-(LEFT(E3144,FIND("/",E3144)-1)),(MID(E3144, SEARCH("/",E3144) + 1, SEARCH("/",E3144, SEARCH("/",E3144)+1) - SEARCH("/",E3144) - 1))-(LEFT(E3144,FIND("/",E3144)-1))), "NA"))</f>
        <v/>
      </c>
      <c r="K3144" s="79">
        <f>IF(A3144&lt;&gt;"", IF(ISBLANK(L3144), TODAY(), K3144), "")</f>
        <v/>
      </c>
      <c r="L3144" s="78" t="n"/>
      <c r="M3144" s="78">
        <f>IF(ISBLANK(L3144),"",IF(D3144="Stock",IF(C3144="Buy",L3144*G3144,IF(C3144="Sell",(L3144*G3144)-I3144, X)),IF(C3144="Buy",(L3144*G3144*100)+I3144,IF(C3144="Sell",(L3144*G3144*100)-I3144, X))))</f>
        <v/>
      </c>
      <c r="N3144" s="78">
        <f>IF(ISBLANK(L3144),"",IF(AND(C3144="Sell",D3144="Stock"),M3144,IF(ISBLANK(L3144),"",IF(C3144="Buy",M3144, IF(AND(C3144="Sell",J3144="NA"),(E3144*G3144*100*0.1)+I3144, IF(C3144="Sell",(J3144-L3144)*(100*G3144)+I3144))))))</f>
        <v/>
      </c>
      <c r="O3144" s="75" t="n"/>
      <c r="P3144" s="75" t="n"/>
      <c r="Q3144" s="75">
        <f>IF(ISBLANK(P3144),"",IF(D3144="Stock",P3144*G3144,IF(P3144=0,"0",G3144*P3144*100-(G3144*$AF$14))))</f>
        <v/>
      </c>
      <c r="R3144" s="79">
        <f>IF(P3144&lt;&gt;"", TODAY(), "")</f>
        <v/>
      </c>
      <c r="S3144" s="78">
        <f>IF(AND(K3144&lt;&gt;"", R3144&lt;&gt;""), R3144-K3144, "")</f>
        <v/>
      </c>
      <c r="T3144" s="78" t="n"/>
      <c r="U3144" s="92">
        <f>IF(ISBLANK(P3144),"",IF(C3144="Buy",Q3144-M3144+T3144, IF(C3144="Sell",M3144-Q3144-T3144, X)))</f>
        <v/>
      </c>
      <c r="V3144" s="81">
        <f>IF(ISBLANK(P3144),"",U3144/N3144)</f>
        <v/>
      </c>
      <c r="W3144" s="81">
        <f>IF(ISBLANK(P3144),"",IF(S3144=0,(365/0.5)*V3144,(365/S3144)*V3144))</f>
        <v/>
      </c>
      <c r="X3144" s="75" t="n"/>
      <c r="Y3144" s="77" t="n"/>
      <c r="Z3144" s="77" t="n"/>
      <c r="AA3144" s="75" t="n"/>
      <c r="AB3144" s="75" t="n"/>
      <c r="AC3144" s="6" t="n"/>
      <c r="AD3144" s="75" t="n"/>
      <c r="AE3144" s="75" t="n"/>
      <c r="AF3144" s="75" t="n"/>
    </row>
    <row r="3145" ht="15.75" customHeight="1" s="133">
      <c r="A3145" s="75" t="n"/>
      <c r="B3145" s="75" t="n"/>
      <c r="C3145" s="75" t="n"/>
      <c r="D3145" s="75" t="n"/>
      <c r="E3145" s="76" t="n"/>
      <c r="F3145" s="77" t="n"/>
      <c r="G3145" s="75" t="n"/>
      <c r="H3145" s="75">
        <f>IF(ISBLANK(E3145),"",IF(OR(D3145="Butterfly",D3145="Butterfly ",D3145="Iron Fly", D3145="Iron Fly "),LEN(E3145)-LEN(SUBSTITUTE(E3145,"/",""))+2,LEN(E3145)-LEN(SUBSTITUTE(E3145,"/",""))+1))</f>
        <v/>
      </c>
      <c r="I3145" s="78">
        <f>IF(ISBLANK(G3145),"",IF(D3145="Stock","0",Key!$A$3*H3145*G3145))</f>
        <v/>
      </c>
      <c r="J3145" s="78">
        <f>IF(ISBLANK(E3145),"",IF(ISNUMBER(SEARCH("/",E3145)), IF(LEN(E3145)-LEN(SUBSTITUTE(E3145,"/",""))=1,(RIGHT(E3145,LEN(E3145)-FIND("/",E3145)))-(LEFT(E3145,FIND("/",E3145)-1)),(MID(E3145, SEARCH("/",E3145) + 1, SEARCH("/",E3145, SEARCH("/",E3145)+1) - SEARCH("/",E3145) - 1))-(LEFT(E3145,FIND("/",E3145)-1))), "NA"))</f>
        <v/>
      </c>
      <c r="K3145" s="79">
        <f>IF(A3145&lt;&gt;"", IF(ISBLANK(L3145), TODAY(), K3145), "")</f>
        <v/>
      </c>
      <c r="L3145" s="78" t="n"/>
      <c r="M3145" s="78">
        <f>IF(ISBLANK(L3145),"",IF(D3145="Stock",IF(C3145="Buy",L3145*G3145,IF(C3145="Sell",(L3145*G3145)-I3145, X)),IF(C3145="Buy",(L3145*G3145*100)+I3145,IF(C3145="Sell",(L3145*G3145*100)-I3145, X))))</f>
        <v/>
      </c>
      <c r="N3145" s="78">
        <f>IF(ISBLANK(L3145),"",IF(AND(C3145="Sell",D3145="Stock"),M3145,IF(ISBLANK(L3145),"",IF(C3145="Buy",M3145, IF(AND(C3145="Sell",J3145="NA"),(E3145*G3145*100*0.1)+I3145, IF(C3145="Sell",(J3145-L3145)*(100*G3145)+I3145))))))</f>
        <v/>
      </c>
      <c r="O3145" s="75" t="n"/>
      <c r="P3145" s="75" t="n"/>
      <c r="Q3145" s="75">
        <f>IF(ISBLANK(P3145),"",IF(D3145="Stock",P3145*G3145,IF(P3145=0,"0",G3145*P3145*100-(G3145*$AF$14))))</f>
        <v/>
      </c>
      <c r="R3145" s="79">
        <f>IF(P3145&lt;&gt;"", TODAY(), "")</f>
        <v/>
      </c>
      <c r="S3145" s="78">
        <f>IF(AND(K3145&lt;&gt;"", R3145&lt;&gt;""), R3145-K3145, "")</f>
        <v/>
      </c>
      <c r="T3145" s="78" t="n"/>
      <c r="U3145" s="92">
        <f>IF(ISBLANK(P3145),"",IF(C3145="Buy",Q3145-M3145+T3145, IF(C3145="Sell",M3145-Q3145-T3145, X)))</f>
        <v/>
      </c>
      <c r="V3145" s="81">
        <f>IF(ISBLANK(P3145),"",U3145/N3145)</f>
        <v/>
      </c>
      <c r="W3145" s="81">
        <f>IF(ISBLANK(P3145),"",IF(S3145=0,(365/0.5)*V3145,(365/S3145)*V3145))</f>
        <v/>
      </c>
      <c r="X3145" s="75" t="n"/>
      <c r="Y3145" s="77" t="n"/>
      <c r="Z3145" s="77" t="n"/>
      <c r="AA3145" s="75" t="n"/>
      <c r="AB3145" s="75" t="n"/>
      <c r="AC3145" s="6" t="n"/>
      <c r="AD3145" s="75" t="n"/>
      <c r="AE3145" s="75" t="n"/>
      <c r="AF3145" s="75" t="n"/>
    </row>
    <row r="3146" ht="15.75" customHeight="1" s="133">
      <c r="A3146" s="75" t="n"/>
      <c r="B3146" s="75" t="n"/>
      <c r="C3146" s="75" t="n"/>
      <c r="D3146" s="75" t="n"/>
      <c r="E3146" s="76" t="n"/>
      <c r="F3146" s="77" t="n"/>
      <c r="G3146" s="75" t="n"/>
      <c r="H3146" s="75">
        <f>IF(ISBLANK(E3146),"",IF(OR(D3146="Butterfly",D3146="Butterfly ",D3146="Iron Fly", D3146="Iron Fly "),LEN(E3146)-LEN(SUBSTITUTE(E3146,"/",""))+2,LEN(E3146)-LEN(SUBSTITUTE(E3146,"/",""))+1))</f>
        <v/>
      </c>
      <c r="I3146" s="78">
        <f>IF(ISBLANK(G3146),"",IF(D3146="Stock","0",Key!$A$3*H3146*G3146))</f>
        <v/>
      </c>
      <c r="J3146" s="78">
        <f>IF(ISBLANK(E3146),"",IF(ISNUMBER(SEARCH("/",E3146)), IF(LEN(E3146)-LEN(SUBSTITUTE(E3146,"/",""))=1,(RIGHT(E3146,LEN(E3146)-FIND("/",E3146)))-(LEFT(E3146,FIND("/",E3146)-1)),(MID(E3146, SEARCH("/",E3146) + 1, SEARCH("/",E3146, SEARCH("/",E3146)+1) - SEARCH("/",E3146) - 1))-(LEFT(E3146,FIND("/",E3146)-1))), "NA"))</f>
        <v/>
      </c>
      <c r="K3146" s="79">
        <f>IF(A3146&lt;&gt;"", IF(ISBLANK(L3146), TODAY(), K3146), "")</f>
        <v/>
      </c>
      <c r="L3146" s="78" t="n"/>
      <c r="M3146" s="78">
        <f>IF(ISBLANK(L3146),"",IF(D3146="Stock",IF(C3146="Buy",L3146*G3146,IF(C3146="Sell",(L3146*G3146)-I3146, X)),IF(C3146="Buy",(L3146*G3146*100)+I3146,IF(C3146="Sell",(L3146*G3146*100)-I3146, X))))</f>
        <v/>
      </c>
      <c r="N3146" s="78">
        <f>IF(ISBLANK(L3146),"",IF(AND(C3146="Sell",D3146="Stock"),M3146,IF(ISBLANK(L3146),"",IF(C3146="Buy",M3146, IF(AND(C3146="Sell",J3146="NA"),(E3146*G3146*100*0.1)+I3146, IF(C3146="Sell",(J3146-L3146)*(100*G3146)+I3146))))))</f>
        <v/>
      </c>
      <c r="O3146" s="75" t="n"/>
      <c r="P3146" s="75" t="n"/>
      <c r="Q3146" s="75">
        <f>IF(ISBLANK(P3146),"",IF(D3146="Stock",P3146*G3146,IF(P3146=0,"0",G3146*P3146*100-(G3146*$AF$14))))</f>
        <v/>
      </c>
      <c r="R3146" s="79">
        <f>IF(P3146&lt;&gt;"", TODAY(), "")</f>
        <v/>
      </c>
      <c r="S3146" s="78">
        <f>IF(AND(K3146&lt;&gt;"", R3146&lt;&gt;""), R3146-K3146, "")</f>
        <v/>
      </c>
      <c r="T3146" s="78" t="n"/>
      <c r="U3146" s="92">
        <f>IF(ISBLANK(P3146),"",IF(C3146="Buy",Q3146-M3146+T3146, IF(C3146="Sell",M3146-Q3146-T3146, X)))</f>
        <v/>
      </c>
      <c r="V3146" s="81">
        <f>IF(ISBLANK(P3146),"",U3146/N3146)</f>
        <v/>
      </c>
      <c r="W3146" s="81">
        <f>IF(ISBLANK(P3146),"",IF(S3146=0,(365/0.5)*V3146,(365/S3146)*V3146))</f>
        <v/>
      </c>
      <c r="X3146" s="75" t="n"/>
      <c r="Y3146" s="77" t="n"/>
      <c r="Z3146" s="77" t="n"/>
      <c r="AA3146" s="75" t="n"/>
      <c r="AB3146" s="75" t="n"/>
      <c r="AC3146" s="6" t="n"/>
      <c r="AD3146" s="75" t="n"/>
      <c r="AE3146" s="75" t="n"/>
      <c r="AF3146" s="75" t="n"/>
    </row>
    <row r="3147" ht="15.75" customHeight="1" s="133">
      <c r="A3147" s="75" t="n"/>
      <c r="B3147" s="75" t="n"/>
      <c r="C3147" s="75" t="n"/>
      <c r="D3147" s="75" t="n"/>
      <c r="E3147" s="76" t="n"/>
      <c r="F3147" s="77" t="n"/>
      <c r="G3147" s="75" t="n"/>
      <c r="H3147" s="75">
        <f>IF(ISBLANK(E3147),"",IF(OR(D3147="Butterfly",D3147="Butterfly ",D3147="Iron Fly", D3147="Iron Fly "),LEN(E3147)-LEN(SUBSTITUTE(E3147,"/",""))+2,LEN(E3147)-LEN(SUBSTITUTE(E3147,"/",""))+1))</f>
        <v/>
      </c>
      <c r="I3147" s="78">
        <f>IF(ISBLANK(G3147),"",IF(D3147="Stock","0",Key!$A$3*H3147*G3147))</f>
        <v/>
      </c>
      <c r="J3147" s="78">
        <f>IF(ISBLANK(E3147),"",IF(ISNUMBER(SEARCH("/",E3147)), IF(LEN(E3147)-LEN(SUBSTITUTE(E3147,"/",""))=1,(RIGHT(E3147,LEN(E3147)-FIND("/",E3147)))-(LEFT(E3147,FIND("/",E3147)-1)),(MID(E3147, SEARCH("/",E3147) + 1, SEARCH("/",E3147, SEARCH("/",E3147)+1) - SEARCH("/",E3147) - 1))-(LEFT(E3147,FIND("/",E3147)-1))), "NA"))</f>
        <v/>
      </c>
      <c r="K3147" s="79">
        <f>IF(A3147&lt;&gt;"", IF(ISBLANK(L3147), TODAY(), K3147), "")</f>
        <v/>
      </c>
      <c r="L3147" s="78" t="n"/>
      <c r="M3147" s="78">
        <f>IF(ISBLANK(L3147),"",IF(D3147="Stock",IF(C3147="Buy",L3147*G3147,IF(C3147="Sell",(L3147*G3147)-I3147, X)),IF(C3147="Buy",(L3147*G3147*100)+I3147,IF(C3147="Sell",(L3147*G3147*100)-I3147, X))))</f>
        <v/>
      </c>
      <c r="N3147" s="78">
        <f>IF(ISBLANK(L3147),"",IF(AND(C3147="Sell",D3147="Stock"),M3147,IF(ISBLANK(L3147),"",IF(C3147="Buy",M3147, IF(AND(C3147="Sell",J3147="NA"),(E3147*G3147*100*0.1)+I3147, IF(C3147="Sell",(J3147-L3147)*(100*G3147)+I3147))))))</f>
        <v/>
      </c>
      <c r="O3147" s="75" t="n"/>
      <c r="P3147" s="75" t="n"/>
      <c r="Q3147" s="75">
        <f>IF(ISBLANK(P3147),"",IF(D3147="Stock",P3147*G3147,IF(P3147=0,"0",G3147*P3147*100-(G3147*$AF$14))))</f>
        <v/>
      </c>
      <c r="R3147" s="79">
        <f>IF(P3147&lt;&gt;"", TODAY(), "")</f>
        <v/>
      </c>
      <c r="S3147" s="78">
        <f>IF(AND(K3147&lt;&gt;"", R3147&lt;&gt;""), R3147-K3147, "")</f>
        <v/>
      </c>
      <c r="T3147" s="78" t="n"/>
      <c r="U3147" s="92">
        <f>IF(ISBLANK(P3147),"",IF(C3147="Buy",Q3147-M3147+T3147, IF(C3147="Sell",M3147-Q3147-T3147, X)))</f>
        <v/>
      </c>
      <c r="V3147" s="81">
        <f>IF(ISBLANK(P3147),"",U3147/N3147)</f>
        <v/>
      </c>
      <c r="W3147" s="81">
        <f>IF(ISBLANK(P3147),"",IF(S3147=0,(365/0.5)*V3147,(365/S3147)*V3147))</f>
        <v/>
      </c>
      <c r="X3147" s="75" t="n"/>
      <c r="Y3147" s="77" t="n"/>
      <c r="Z3147" s="77" t="n"/>
      <c r="AA3147" s="75" t="n"/>
      <c r="AB3147" s="75" t="n"/>
      <c r="AC3147" s="6" t="n"/>
      <c r="AD3147" s="75" t="n"/>
      <c r="AE3147" s="75" t="n"/>
      <c r="AF3147" s="75" t="n"/>
    </row>
    <row r="3148" ht="15.75" customHeight="1" s="133">
      <c r="A3148" s="75" t="n"/>
      <c r="B3148" s="75" t="n"/>
      <c r="C3148" s="75" t="n"/>
      <c r="D3148" s="75" t="n"/>
      <c r="E3148" s="76" t="n"/>
      <c r="F3148" s="77" t="n"/>
      <c r="G3148" s="75" t="n"/>
      <c r="H3148" s="75">
        <f>IF(ISBLANK(E3148),"",IF(OR(D3148="Butterfly",D3148="Butterfly ",D3148="Iron Fly", D3148="Iron Fly "),LEN(E3148)-LEN(SUBSTITUTE(E3148,"/",""))+2,LEN(E3148)-LEN(SUBSTITUTE(E3148,"/",""))+1))</f>
        <v/>
      </c>
      <c r="I3148" s="78">
        <f>IF(ISBLANK(G3148),"",IF(D3148="Stock","0",Key!$A$3*H3148*G3148))</f>
        <v/>
      </c>
      <c r="J3148" s="78">
        <f>IF(ISBLANK(E3148),"",IF(ISNUMBER(SEARCH("/",E3148)), IF(LEN(E3148)-LEN(SUBSTITUTE(E3148,"/",""))=1,(RIGHT(E3148,LEN(E3148)-FIND("/",E3148)))-(LEFT(E3148,FIND("/",E3148)-1)),(MID(E3148, SEARCH("/",E3148) + 1, SEARCH("/",E3148, SEARCH("/",E3148)+1) - SEARCH("/",E3148) - 1))-(LEFT(E3148,FIND("/",E3148)-1))), "NA"))</f>
        <v/>
      </c>
      <c r="K3148" s="79">
        <f>IF(A3148&lt;&gt;"", IF(ISBLANK(L3148), TODAY(), K3148), "")</f>
        <v/>
      </c>
      <c r="L3148" s="78" t="n"/>
      <c r="M3148" s="78">
        <f>IF(ISBLANK(L3148),"",IF(D3148="Stock",IF(C3148="Buy",L3148*G3148,IF(C3148="Sell",(L3148*G3148)-I3148, X)),IF(C3148="Buy",(L3148*G3148*100)+I3148,IF(C3148="Sell",(L3148*G3148*100)-I3148, X))))</f>
        <v/>
      </c>
      <c r="N3148" s="78">
        <f>IF(ISBLANK(L3148),"",IF(AND(C3148="Sell",D3148="Stock"),M3148,IF(ISBLANK(L3148),"",IF(C3148="Buy",M3148, IF(AND(C3148="Sell",J3148="NA"),(E3148*G3148*100*0.1)+I3148, IF(C3148="Sell",(J3148-L3148)*(100*G3148)+I3148))))))</f>
        <v/>
      </c>
      <c r="O3148" s="75" t="n"/>
      <c r="P3148" s="75" t="n"/>
      <c r="Q3148" s="75">
        <f>IF(ISBLANK(P3148),"",IF(D3148="Stock",P3148*G3148,IF(P3148=0,"0",G3148*P3148*100-(G3148*$AF$14))))</f>
        <v/>
      </c>
      <c r="R3148" s="79">
        <f>IF(P3148&lt;&gt;"", TODAY(), "")</f>
        <v/>
      </c>
      <c r="S3148" s="78">
        <f>IF(AND(K3148&lt;&gt;"", R3148&lt;&gt;""), R3148-K3148, "")</f>
        <v/>
      </c>
      <c r="T3148" s="78" t="n"/>
      <c r="U3148" s="92">
        <f>IF(ISBLANK(P3148),"",IF(C3148="Buy",Q3148-M3148+T3148, IF(C3148="Sell",M3148-Q3148-T3148, X)))</f>
        <v/>
      </c>
      <c r="V3148" s="81">
        <f>IF(ISBLANK(P3148),"",U3148/N3148)</f>
        <v/>
      </c>
      <c r="W3148" s="81">
        <f>IF(ISBLANK(P3148),"",IF(S3148=0,(365/0.5)*V3148,(365/S3148)*V3148))</f>
        <v/>
      </c>
      <c r="X3148" s="75" t="n"/>
      <c r="Y3148" s="77" t="n"/>
      <c r="Z3148" s="77" t="n"/>
      <c r="AA3148" s="75" t="n"/>
      <c r="AB3148" s="75" t="n"/>
      <c r="AC3148" s="6" t="n"/>
      <c r="AD3148" s="75" t="n"/>
      <c r="AE3148" s="75" t="n"/>
      <c r="AF3148" s="75" t="n"/>
    </row>
    <row r="3149" ht="15.75" customHeight="1" s="133">
      <c r="A3149" s="75" t="n"/>
      <c r="B3149" s="75" t="n"/>
      <c r="C3149" s="75" t="n"/>
      <c r="D3149" s="75" t="n"/>
      <c r="E3149" s="76" t="n"/>
      <c r="F3149" s="77" t="n"/>
      <c r="G3149" s="75" t="n"/>
      <c r="H3149" s="75">
        <f>IF(ISBLANK(E3149),"",IF(OR(D3149="Butterfly",D3149="Butterfly ",D3149="Iron Fly", D3149="Iron Fly "),LEN(E3149)-LEN(SUBSTITUTE(E3149,"/",""))+2,LEN(E3149)-LEN(SUBSTITUTE(E3149,"/",""))+1))</f>
        <v/>
      </c>
      <c r="I3149" s="78">
        <f>IF(ISBLANK(G3149),"",IF(D3149="Stock","0",Key!$A$3*H3149*G3149))</f>
        <v/>
      </c>
      <c r="J3149" s="78">
        <f>IF(ISBLANK(E3149),"",IF(ISNUMBER(SEARCH("/",E3149)), IF(LEN(E3149)-LEN(SUBSTITUTE(E3149,"/",""))=1,(RIGHT(E3149,LEN(E3149)-FIND("/",E3149)))-(LEFT(E3149,FIND("/",E3149)-1)),(MID(E3149, SEARCH("/",E3149) + 1, SEARCH("/",E3149, SEARCH("/",E3149)+1) - SEARCH("/",E3149) - 1))-(LEFT(E3149,FIND("/",E3149)-1))), "NA"))</f>
        <v/>
      </c>
      <c r="K3149" s="79">
        <f>IF(A3149&lt;&gt;"", IF(ISBLANK(L3149), TODAY(), K3149), "")</f>
        <v/>
      </c>
      <c r="L3149" s="78" t="n"/>
      <c r="M3149" s="78">
        <f>IF(ISBLANK(L3149),"",IF(D3149="Stock",IF(C3149="Buy",L3149*G3149,IF(C3149="Sell",(L3149*G3149)-I3149, X)),IF(C3149="Buy",(L3149*G3149*100)+I3149,IF(C3149="Sell",(L3149*G3149*100)-I3149, X))))</f>
        <v/>
      </c>
      <c r="N3149" s="78">
        <f>IF(ISBLANK(L3149),"",IF(AND(C3149="Sell",D3149="Stock"),M3149,IF(ISBLANK(L3149),"",IF(C3149="Buy",M3149, IF(AND(C3149="Sell",J3149="NA"),(E3149*G3149*100*0.1)+I3149, IF(C3149="Sell",(J3149-L3149)*(100*G3149)+I3149))))))</f>
        <v/>
      </c>
      <c r="O3149" s="75" t="n"/>
      <c r="P3149" s="75" t="n"/>
      <c r="Q3149" s="75">
        <f>IF(ISBLANK(P3149),"",IF(D3149="Stock",P3149*G3149,IF(P3149=0,"0",G3149*P3149*100-(G3149*$AF$14))))</f>
        <v/>
      </c>
      <c r="R3149" s="79">
        <f>IF(P3149&lt;&gt;"", TODAY(), "")</f>
        <v/>
      </c>
      <c r="S3149" s="78">
        <f>IF(AND(K3149&lt;&gt;"", R3149&lt;&gt;""), R3149-K3149, "")</f>
        <v/>
      </c>
      <c r="T3149" s="78" t="n"/>
      <c r="U3149" s="92">
        <f>IF(ISBLANK(P3149),"",IF(C3149="Buy",Q3149-M3149+T3149, IF(C3149="Sell",M3149-Q3149-T3149, X)))</f>
        <v/>
      </c>
      <c r="V3149" s="81">
        <f>IF(ISBLANK(P3149),"",U3149/N3149)</f>
        <v/>
      </c>
      <c r="W3149" s="81">
        <f>IF(ISBLANK(P3149),"",IF(S3149=0,(365/0.5)*V3149,(365/S3149)*V3149))</f>
        <v/>
      </c>
      <c r="X3149" s="75" t="n"/>
      <c r="Y3149" s="77" t="n"/>
      <c r="Z3149" s="77" t="n"/>
      <c r="AA3149" s="75" t="n"/>
      <c r="AB3149" s="75" t="n"/>
      <c r="AC3149" s="6" t="n"/>
      <c r="AD3149" s="75" t="n"/>
      <c r="AE3149" s="75" t="n"/>
      <c r="AF3149" s="75" t="n"/>
    </row>
    <row r="3150" ht="15.75" customHeight="1" s="133">
      <c r="A3150" s="75" t="n"/>
      <c r="B3150" s="75" t="n"/>
      <c r="C3150" s="75" t="n"/>
      <c r="D3150" s="75" t="n"/>
      <c r="E3150" s="76" t="n"/>
      <c r="F3150" s="77" t="n"/>
      <c r="G3150" s="75" t="n"/>
      <c r="H3150" s="75">
        <f>IF(ISBLANK(E3150),"",IF(OR(D3150="Butterfly",D3150="Butterfly ",D3150="Iron Fly", D3150="Iron Fly "),LEN(E3150)-LEN(SUBSTITUTE(E3150,"/",""))+2,LEN(E3150)-LEN(SUBSTITUTE(E3150,"/",""))+1))</f>
        <v/>
      </c>
      <c r="I3150" s="78">
        <f>IF(ISBLANK(G3150),"",IF(D3150="Stock","0",Key!$A$3*H3150*G3150))</f>
        <v/>
      </c>
      <c r="J3150" s="78">
        <f>IF(ISBLANK(E3150),"",IF(ISNUMBER(SEARCH("/",E3150)), IF(LEN(E3150)-LEN(SUBSTITUTE(E3150,"/",""))=1,(RIGHT(E3150,LEN(E3150)-FIND("/",E3150)))-(LEFT(E3150,FIND("/",E3150)-1)),(MID(E3150, SEARCH("/",E3150) + 1, SEARCH("/",E3150, SEARCH("/",E3150)+1) - SEARCH("/",E3150) - 1))-(LEFT(E3150,FIND("/",E3150)-1))), "NA"))</f>
        <v/>
      </c>
      <c r="K3150" s="79">
        <f>IF(A3150&lt;&gt;"", IF(ISBLANK(L3150), TODAY(), K3150), "")</f>
        <v/>
      </c>
      <c r="L3150" s="78" t="n"/>
      <c r="M3150" s="78">
        <f>IF(ISBLANK(L3150),"",IF(D3150="Stock",IF(C3150="Buy",L3150*G3150,IF(C3150="Sell",(L3150*G3150)-I3150, X)),IF(C3150="Buy",(L3150*G3150*100)+I3150,IF(C3150="Sell",(L3150*G3150*100)-I3150, X))))</f>
        <v/>
      </c>
      <c r="N3150" s="78">
        <f>IF(ISBLANK(L3150),"",IF(AND(C3150="Sell",D3150="Stock"),M3150,IF(ISBLANK(L3150),"",IF(C3150="Buy",M3150, IF(AND(C3150="Sell",J3150="NA"),(E3150*G3150*100*0.1)+I3150, IF(C3150="Sell",(J3150-L3150)*(100*G3150)+I3150))))))</f>
        <v/>
      </c>
      <c r="O3150" s="75" t="n"/>
      <c r="P3150" s="75" t="n"/>
      <c r="Q3150" s="75">
        <f>IF(ISBLANK(P3150),"",IF(D3150="Stock",P3150*G3150,IF(P3150=0,"0",G3150*P3150*100-(G3150*$AF$14))))</f>
        <v/>
      </c>
      <c r="R3150" s="79">
        <f>IF(P3150&lt;&gt;"", TODAY(), "")</f>
        <v/>
      </c>
      <c r="S3150" s="78">
        <f>IF(AND(K3150&lt;&gt;"", R3150&lt;&gt;""), R3150-K3150, "")</f>
        <v/>
      </c>
      <c r="T3150" s="78" t="n"/>
      <c r="U3150" s="92">
        <f>IF(ISBLANK(P3150),"",IF(C3150="Buy",Q3150-M3150+T3150, IF(C3150="Sell",M3150-Q3150-T3150, X)))</f>
        <v/>
      </c>
      <c r="V3150" s="81">
        <f>IF(ISBLANK(P3150),"",U3150/N3150)</f>
        <v/>
      </c>
      <c r="W3150" s="81">
        <f>IF(ISBLANK(P3150),"",IF(S3150=0,(365/0.5)*V3150,(365/S3150)*V3150))</f>
        <v/>
      </c>
      <c r="X3150" s="75" t="n"/>
      <c r="Y3150" s="77" t="n"/>
      <c r="Z3150" s="77" t="n"/>
      <c r="AA3150" s="75" t="n"/>
      <c r="AB3150" s="75" t="n"/>
      <c r="AC3150" s="6" t="n"/>
      <c r="AD3150" s="75" t="n"/>
      <c r="AE3150" s="75" t="n"/>
      <c r="AF3150" s="75" t="n"/>
    </row>
    <row r="3151" ht="15.75" customHeight="1" s="133">
      <c r="A3151" s="75" t="n"/>
      <c r="B3151" s="75" t="n"/>
      <c r="C3151" s="75" t="n"/>
      <c r="D3151" s="75" t="n"/>
      <c r="E3151" s="76" t="n"/>
      <c r="F3151" s="77" t="n"/>
      <c r="G3151" s="75" t="n"/>
      <c r="H3151" s="75">
        <f>IF(ISBLANK(E3151),"",IF(OR(D3151="Butterfly",D3151="Butterfly ",D3151="Iron Fly", D3151="Iron Fly "),LEN(E3151)-LEN(SUBSTITUTE(E3151,"/",""))+2,LEN(E3151)-LEN(SUBSTITUTE(E3151,"/",""))+1))</f>
        <v/>
      </c>
      <c r="I3151" s="78">
        <f>IF(ISBLANK(G3151),"",IF(D3151="Stock","0",Key!$A$3*H3151*G3151))</f>
        <v/>
      </c>
      <c r="J3151" s="78">
        <f>IF(ISBLANK(E3151),"",IF(ISNUMBER(SEARCH("/",E3151)), IF(LEN(E3151)-LEN(SUBSTITUTE(E3151,"/",""))=1,(RIGHT(E3151,LEN(E3151)-FIND("/",E3151)))-(LEFT(E3151,FIND("/",E3151)-1)),(MID(E3151, SEARCH("/",E3151) + 1, SEARCH("/",E3151, SEARCH("/",E3151)+1) - SEARCH("/",E3151) - 1))-(LEFT(E3151,FIND("/",E3151)-1))), "NA"))</f>
        <v/>
      </c>
      <c r="K3151" s="79">
        <f>IF(A3151&lt;&gt;"", IF(ISBLANK(L3151), TODAY(), K3151), "")</f>
        <v/>
      </c>
      <c r="L3151" s="78" t="n"/>
      <c r="M3151" s="78">
        <f>IF(ISBLANK(L3151),"",IF(D3151="Stock",IF(C3151="Buy",L3151*G3151,IF(C3151="Sell",(L3151*G3151)-I3151, X)),IF(C3151="Buy",(L3151*G3151*100)+I3151,IF(C3151="Sell",(L3151*G3151*100)-I3151, X))))</f>
        <v/>
      </c>
      <c r="N3151" s="78">
        <f>IF(ISBLANK(L3151),"",IF(AND(C3151="Sell",D3151="Stock"),M3151,IF(ISBLANK(L3151),"",IF(C3151="Buy",M3151, IF(AND(C3151="Sell",J3151="NA"),(E3151*G3151*100*0.1)+I3151, IF(C3151="Sell",(J3151-L3151)*(100*G3151)+I3151))))))</f>
        <v/>
      </c>
      <c r="O3151" s="75" t="n"/>
      <c r="P3151" s="75" t="n"/>
      <c r="Q3151" s="75">
        <f>IF(ISBLANK(P3151),"",IF(D3151="Stock",P3151*G3151,IF(P3151=0,"0",G3151*P3151*100-(G3151*$AF$14))))</f>
        <v/>
      </c>
      <c r="R3151" s="79">
        <f>IF(P3151&lt;&gt;"", TODAY(), "")</f>
        <v/>
      </c>
      <c r="S3151" s="78">
        <f>IF(AND(K3151&lt;&gt;"", R3151&lt;&gt;""), R3151-K3151, "")</f>
        <v/>
      </c>
      <c r="T3151" s="78" t="n"/>
      <c r="U3151" s="92">
        <f>IF(ISBLANK(P3151),"",IF(C3151="Buy",Q3151-M3151+T3151, IF(C3151="Sell",M3151-Q3151-T3151, X)))</f>
        <v/>
      </c>
      <c r="V3151" s="81">
        <f>IF(ISBLANK(P3151),"",U3151/N3151)</f>
        <v/>
      </c>
      <c r="W3151" s="81">
        <f>IF(ISBLANK(P3151),"",IF(S3151=0,(365/0.5)*V3151,(365/S3151)*V3151))</f>
        <v/>
      </c>
      <c r="X3151" s="75" t="n"/>
      <c r="Y3151" s="77" t="n"/>
      <c r="Z3151" s="77" t="n"/>
      <c r="AA3151" s="75" t="n"/>
      <c r="AB3151" s="75" t="n"/>
      <c r="AC3151" s="6" t="n"/>
      <c r="AD3151" s="75" t="n"/>
      <c r="AE3151" s="75" t="n"/>
      <c r="AF3151" s="75" t="n"/>
    </row>
    <row r="3152" ht="15.75" customHeight="1" s="133">
      <c r="A3152" s="75" t="n"/>
      <c r="B3152" s="75" t="n"/>
      <c r="C3152" s="75" t="n"/>
      <c r="D3152" s="75" t="n"/>
      <c r="E3152" s="76" t="n"/>
      <c r="F3152" s="77" t="n"/>
      <c r="G3152" s="75" t="n"/>
      <c r="H3152" s="75">
        <f>IF(ISBLANK(E3152),"",IF(OR(D3152="Butterfly",D3152="Butterfly ",D3152="Iron Fly", D3152="Iron Fly "),LEN(E3152)-LEN(SUBSTITUTE(E3152,"/",""))+2,LEN(E3152)-LEN(SUBSTITUTE(E3152,"/",""))+1))</f>
        <v/>
      </c>
      <c r="I3152" s="78">
        <f>IF(ISBLANK(G3152),"",IF(D3152="Stock","0",Key!$A$3*H3152*G3152))</f>
        <v/>
      </c>
      <c r="J3152" s="78">
        <f>IF(ISBLANK(E3152),"",IF(ISNUMBER(SEARCH("/",E3152)), IF(LEN(E3152)-LEN(SUBSTITUTE(E3152,"/",""))=1,(RIGHT(E3152,LEN(E3152)-FIND("/",E3152)))-(LEFT(E3152,FIND("/",E3152)-1)),(MID(E3152, SEARCH("/",E3152) + 1, SEARCH("/",E3152, SEARCH("/",E3152)+1) - SEARCH("/",E3152) - 1))-(LEFT(E3152,FIND("/",E3152)-1))), "NA"))</f>
        <v/>
      </c>
      <c r="K3152" s="79">
        <f>IF(A3152&lt;&gt;"", IF(ISBLANK(L3152), TODAY(), K3152), "")</f>
        <v/>
      </c>
      <c r="L3152" s="78" t="n"/>
      <c r="M3152" s="78">
        <f>IF(ISBLANK(L3152),"",IF(D3152="Stock",IF(C3152="Buy",L3152*G3152,IF(C3152="Sell",(L3152*G3152)-I3152, X)),IF(C3152="Buy",(L3152*G3152*100)+I3152,IF(C3152="Sell",(L3152*G3152*100)-I3152, X))))</f>
        <v/>
      </c>
      <c r="N3152" s="78">
        <f>IF(ISBLANK(L3152),"",IF(AND(C3152="Sell",D3152="Stock"),M3152,IF(ISBLANK(L3152),"",IF(C3152="Buy",M3152, IF(AND(C3152="Sell",J3152="NA"),(E3152*G3152*100*0.1)+I3152, IF(C3152="Sell",(J3152-L3152)*(100*G3152)+I3152))))))</f>
        <v/>
      </c>
      <c r="O3152" s="75" t="n"/>
      <c r="P3152" s="75" t="n"/>
      <c r="Q3152" s="75">
        <f>IF(ISBLANK(P3152),"",IF(D3152="Stock",P3152*G3152,IF(P3152=0,"0",G3152*P3152*100-(G3152*$AF$14))))</f>
        <v/>
      </c>
      <c r="R3152" s="79">
        <f>IF(P3152&lt;&gt;"", TODAY(), "")</f>
        <v/>
      </c>
      <c r="S3152" s="78">
        <f>IF(AND(K3152&lt;&gt;"", R3152&lt;&gt;""), R3152-K3152, "")</f>
        <v/>
      </c>
      <c r="T3152" s="78" t="n"/>
      <c r="U3152" s="92">
        <f>IF(ISBLANK(P3152),"",IF(C3152="Buy",Q3152-M3152+T3152, IF(C3152="Sell",M3152-Q3152-T3152, X)))</f>
        <v/>
      </c>
      <c r="V3152" s="81">
        <f>IF(ISBLANK(P3152),"",U3152/N3152)</f>
        <v/>
      </c>
      <c r="W3152" s="81">
        <f>IF(ISBLANK(P3152),"",IF(S3152=0,(365/0.5)*V3152,(365/S3152)*V3152))</f>
        <v/>
      </c>
      <c r="X3152" s="75" t="n"/>
      <c r="Y3152" s="77" t="n"/>
      <c r="Z3152" s="77" t="n"/>
      <c r="AA3152" s="75" t="n"/>
      <c r="AB3152" s="75" t="n"/>
      <c r="AC3152" s="6" t="n"/>
      <c r="AD3152" s="75" t="n"/>
      <c r="AE3152" s="75" t="n"/>
      <c r="AF3152" s="75" t="n"/>
    </row>
    <row r="3153" ht="15.75" customHeight="1" s="133">
      <c r="A3153" s="75" t="n"/>
      <c r="B3153" s="75" t="n"/>
      <c r="C3153" s="75" t="n"/>
      <c r="D3153" s="75" t="n"/>
      <c r="E3153" s="76" t="n"/>
      <c r="F3153" s="77" t="n"/>
      <c r="G3153" s="75" t="n"/>
      <c r="H3153" s="75">
        <f>IF(ISBLANK(E3153),"",IF(OR(D3153="Butterfly",D3153="Butterfly ",D3153="Iron Fly", D3153="Iron Fly "),LEN(E3153)-LEN(SUBSTITUTE(E3153,"/",""))+2,LEN(E3153)-LEN(SUBSTITUTE(E3153,"/",""))+1))</f>
        <v/>
      </c>
      <c r="I3153" s="78">
        <f>IF(ISBLANK(G3153),"",IF(D3153="Stock","0",Key!$A$3*H3153*G3153))</f>
        <v/>
      </c>
      <c r="J3153" s="78">
        <f>IF(ISBLANK(E3153),"",IF(ISNUMBER(SEARCH("/",E3153)), IF(LEN(E3153)-LEN(SUBSTITUTE(E3153,"/",""))=1,(RIGHT(E3153,LEN(E3153)-FIND("/",E3153)))-(LEFT(E3153,FIND("/",E3153)-1)),(MID(E3153, SEARCH("/",E3153) + 1, SEARCH("/",E3153, SEARCH("/",E3153)+1) - SEARCH("/",E3153) - 1))-(LEFT(E3153,FIND("/",E3153)-1))), "NA"))</f>
        <v/>
      </c>
      <c r="K3153" s="79">
        <f>IF(A3153&lt;&gt;"", IF(ISBLANK(L3153), TODAY(), K3153), "")</f>
        <v/>
      </c>
      <c r="L3153" s="78" t="n"/>
      <c r="M3153" s="78">
        <f>IF(ISBLANK(L3153),"",IF(D3153="Stock",IF(C3153="Buy",L3153*G3153,IF(C3153="Sell",(L3153*G3153)-I3153, X)),IF(C3153="Buy",(L3153*G3153*100)+I3153,IF(C3153="Sell",(L3153*G3153*100)-I3153, X))))</f>
        <v/>
      </c>
      <c r="N3153" s="78">
        <f>IF(ISBLANK(L3153),"",IF(AND(C3153="Sell",D3153="Stock"),M3153,IF(ISBLANK(L3153),"",IF(C3153="Buy",M3153, IF(AND(C3153="Sell",J3153="NA"),(E3153*G3153*100*0.1)+I3153, IF(C3153="Sell",(J3153-L3153)*(100*G3153)+I3153))))))</f>
        <v/>
      </c>
      <c r="O3153" s="75" t="n"/>
      <c r="P3153" s="75" t="n"/>
      <c r="Q3153" s="75">
        <f>IF(ISBLANK(P3153),"",IF(D3153="Stock",P3153*G3153,IF(P3153=0,"0",G3153*P3153*100-(G3153*$AF$14))))</f>
        <v/>
      </c>
      <c r="R3153" s="79">
        <f>IF(P3153&lt;&gt;"", TODAY(), "")</f>
        <v/>
      </c>
      <c r="S3153" s="78">
        <f>IF(AND(K3153&lt;&gt;"", R3153&lt;&gt;""), R3153-K3153, "")</f>
        <v/>
      </c>
      <c r="T3153" s="78" t="n"/>
      <c r="U3153" s="92">
        <f>IF(ISBLANK(P3153),"",IF(C3153="Buy",Q3153-M3153+T3153, IF(C3153="Sell",M3153-Q3153-T3153, X)))</f>
        <v/>
      </c>
      <c r="V3153" s="81">
        <f>IF(ISBLANK(P3153),"",U3153/N3153)</f>
        <v/>
      </c>
      <c r="W3153" s="81">
        <f>IF(ISBLANK(P3153),"",IF(S3153=0,(365/0.5)*V3153,(365/S3153)*V3153))</f>
        <v/>
      </c>
      <c r="X3153" s="75" t="n"/>
      <c r="Y3153" s="77" t="n"/>
      <c r="Z3153" s="77" t="n"/>
      <c r="AA3153" s="75" t="n"/>
      <c r="AB3153" s="75" t="n"/>
      <c r="AC3153" s="6" t="n"/>
      <c r="AD3153" s="75" t="n"/>
      <c r="AE3153" s="75" t="n"/>
      <c r="AF3153" s="75" t="n"/>
    </row>
    <row r="3154" ht="15.75" customHeight="1" s="133">
      <c r="A3154" s="75" t="n"/>
      <c r="B3154" s="75" t="n"/>
      <c r="C3154" s="75" t="n"/>
      <c r="D3154" s="75" t="n"/>
      <c r="E3154" s="76" t="n"/>
      <c r="F3154" s="77" t="n"/>
      <c r="G3154" s="75" t="n"/>
      <c r="H3154" s="75">
        <f>IF(ISBLANK(E3154),"",IF(OR(D3154="Butterfly",D3154="Butterfly ",D3154="Iron Fly", D3154="Iron Fly "),LEN(E3154)-LEN(SUBSTITUTE(E3154,"/",""))+2,LEN(E3154)-LEN(SUBSTITUTE(E3154,"/",""))+1))</f>
        <v/>
      </c>
      <c r="I3154" s="78">
        <f>IF(ISBLANK(G3154),"",IF(D3154="Stock","0",Key!$A$3*H3154*G3154))</f>
        <v/>
      </c>
      <c r="J3154" s="78">
        <f>IF(ISBLANK(E3154),"",IF(ISNUMBER(SEARCH("/",E3154)), IF(LEN(E3154)-LEN(SUBSTITUTE(E3154,"/",""))=1,(RIGHT(E3154,LEN(E3154)-FIND("/",E3154)))-(LEFT(E3154,FIND("/",E3154)-1)),(MID(E3154, SEARCH("/",E3154) + 1, SEARCH("/",E3154, SEARCH("/",E3154)+1) - SEARCH("/",E3154) - 1))-(LEFT(E3154,FIND("/",E3154)-1))), "NA"))</f>
        <v/>
      </c>
      <c r="K3154" s="79">
        <f>IF(A3154&lt;&gt;"", IF(ISBLANK(L3154), TODAY(), K3154), "")</f>
        <v/>
      </c>
      <c r="L3154" s="78" t="n"/>
      <c r="M3154" s="78">
        <f>IF(ISBLANK(L3154),"",IF(D3154="Stock",IF(C3154="Buy",L3154*G3154,IF(C3154="Sell",(L3154*G3154)-I3154, X)),IF(C3154="Buy",(L3154*G3154*100)+I3154,IF(C3154="Sell",(L3154*G3154*100)-I3154, X))))</f>
        <v/>
      </c>
      <c r="N3154" s="78">
        <f>IF(ISBLANK(L3154),"",IF(AND(C3154="Sell",D3154="Stock"),M3154,IF(ISBLANK(L3154),"",IF(C3154="Buy",M3154, IF(AND(C3154="Sell",J3154="NA"),(E3154*G3154*100*0.1)+I3154, IF(C3154="Sell",(J3154-L3154)*(100*G3154)+I3154))))))</f>
        <v/>
      </c>
      <c r="O3154" s="75" t="n"/>
      <c r="P3154" s="75" t="n"/>
      <c r="Q3154" s="75">
        <f>IF(ISBLANK(P3154),"",IF(D3154="Stock",P3154*G3154,IF(P3154=0,"0",G3154*P3154*100-(G3154*$AF$14))))</f>
        <v/>
      </c>
      <c r="R3154" s="79">
        <f>IF(P3154&lt;&gt;"", TODAY(), "")</f>
        <v/>
      </c>
      <c r="S3154" s="78">
        <f>IF(AND(K3154&lt;&gt;"", R3154&lt;&gt;""), R3154-K3154, "")</f>
        <v/>
      </c>
      <c r="T3154" s="78" t="n"/>
      <c r="U3154" s="92">
        <f>IF(ISBLANK(P3154),"",IF(C3154="Buy",Q3154-M3154+T3154, IF(C3154="Sell",M3154-Q3154-T3154, X)))</f>
        <v/>
      </c>
      <c r="V3154" s="81">
        <f>IF(ISBLANK(P3154),"",U3154/N3154)</f>
        <v/>
      </c>
      <c r="W3154" s="81">
        <f>IF(ISBLANK(P3154),"",IF(S3154=0,(365/0.5)*V3154,(365/S3154)*V3154))</f>
        <v/>
      </c>
      <c r="X3154" s="75" t="n"/>
      <c r="Y3154" s="77" t="n"/>
      <c r="Z3154" s="77" t="n"/>
      <c r="AA3154" s="75" t="n"/>
      <c r="AB3154" s="75" t="n"/>
      <c r="AC3154" s="6" t="n"/>
      <c r="AD3154" s="75" t="n"/>
      <c r="AE3154" s="75" t="n"/>
      <c r="AF3154" s="75" t="n"/>
    </row>
    <row r="3155" ht="15.75" customHeight="1" s="133">
      <c r="A3155" s="75" t="n"/>
      <c r="B3155" s="75" t="n"/>
      <c r="C3155" s="75" t="n"/>
      <c r="D3155" s="75" t="n"/>
      <c r="E3155" s="76" t="n"/>
      <c r="F3155" s="77" t="n"/>
      <c r="G3155" s="75" t="n"/>
      <c r="H3155" s="75">
        <f>IF(ISBLANK(E3155),"",IF(OR(D3155="Butterfly",D3155="Butterfly ",D3155="Iron Fly", D3155="Iron Fly "),LEN(E3155)-LEN(SUBSTITUTE(E3155,"/",""))+2,LEN(E3155)-LEN(SUBSTITUTE(E3155,"/",""))+1))</f>
        <v/>
      </c>
      <c r="I3155" s="78">
        <f>IF(ISBLANK(G3155),"",IF(D3155="Stock","0",Key!$A$3*H3155*G3155))</f>
        <v/>
      </c>
      <c r="J3155" s="78">
        <f>IF(ISBLANK(E3155),"",IF(ISNUMBER(SEARCH("/",E3155)), IF(LEN(E3155)-LEN(SUBSTITUTE(E3155,"/",""))=1,(RIGHT(E3155,LEN(E3155)-FIND("/",E3155)))-(LEFT(E3155,FIND("/",E3155)-1)),(MID(E3155, SEARCH("/",E3155) + 1, SEARCH("/",E3155, SEARCH("/",E3155)+1) - SEARCH("/",E3155) - 1))-(LEFT(E3155,FIND("/",E3155)-1))), "NA"))</f>
        <v/>
      </c>
      <c r="K3155" s="79">
        <f>IF(A3155&lt;&gt;"", IF(ISBLANK(L3155), TODAY(), K3155), "")</f>
        <v/>
      </c>
      <c r="L3155" s="78" t="n"/>
      <c r="M3155" s="78">
        <f>IF(ISBLANK(L3155),"",IF(D3155="Stock",IF(C3155="Buy",L3155*G3155,IF(C3155="Sell",(L3155*G3155)-I3155, X)),IF(C3155="Buy",(L3155*G3155*100)+I3155,IF(C3155="Sell",(L3155*G3155*100)-I3155, X))))</f>
        <v/>
      </c>
      <c r="N3155" s="78">
        <f>IF(ISBLANK(L3155),"",IF(AND(C3155="Sell",D3155="Stock"),M3155,IF(ISBLANK(L3155),"",IF(C3155="Buy",M3155, IF(AND(C3155="Sell",J3155="NA"),(E3155*G3155*100*0.1)+I3155, IF(C3155="Sell",(J3155-L3155)*(100*G3155)+I3155))))))</f>
        <v/>
      </c>
      <c r="O3155" s="75" t="n"/>
      <c r="P3155" s="75" t="n"/>
      <c r="Q3155" s="75">
        <f>IF(ISBLANK(P3155),"",IF(D3155="Stock",P3155*G3155,IF(P3155=0,"0",G3155*P3155*100-(G3155*$AF$14))))</f>
        <v/>
      </c>
      <c r="R3155" s="79">
        <f>IF(P3155&lt;&gt;"", TODAY(), "")</f>
        <v/>
      </c>
      <c r="S3155" s="78">
        <f>IF(AND(K3155&lt;&gt;"", R3155&lt;&gt;""), R3155-K3155, "")</f>
        <v/>
      </c>
      <c r="T3155" s="78" t="n"/>
      <c r="U3155" s="92">
        <f>IF(ISBLANK(P3155),"",IF(C3155="Buy",Q3155-M3155+T3155, IF(C3155="Sell",M3155-Q3155-T3155, X)))</f>
        <v/>
      </c>
      <c r="V3155" s="81">
        <f>IF(ISBLANK(P3155),"",U3155/N3155)</f>
        <v/>
      </c>
      <c r="W3155" s="81">
        <f>IF(ISBLANK(P3155),"",IF(S3155=0,(365/0.5)*V3155,(365/S3155)*V3155))</f>
        <v/>
      </c>
      <c r="X3155" s="75" t="n"/>
      <c r="Y3155" s="77" t="n"/>
      <c r="Z3155" s="77" t="n"/>
      <c r="AA3155" s="75" t="n"/>
      <c r="AB3155" s="75" t="n"/>
      <c r="AC3155" s="6" t="n"/>
      <c r="AD3155" s="75" t="n"/>
      <c r="AE3155" s="75" t="n"/>
      <c r="AF3155" s="75" t="n"/>
    </row>
    <row r="3156" ht="15.75" customHeight="1" s="133">
      <c r="A3156" s="75" t="n"/>
      <c r="B3156" s="75" t="n"/>
      <c r="C3156" s="75" t="n"/>
      <c r="D3156" s="75" t="n"/>
      <c r="E3156" s="76" t="n"/>
      <c r="F3156" s="77" t="n"/>
      <c r="G3156" s="75" t="n"/>
      <c r="H3156" s="75">
        <f>IF(ISBLANK(E3156),"",IF(OR(D3156="Butterfly",D3156="Butterfly ",D3156="Iron Fly", D3156="Iron Fly "),LEN(E3156)-LEN(SUBSTITUTE(E3156,"/",""))+2,LEN(E3156)-LEN(SUBSTITUTE(E3156,"/",""))+1))</f>
        <v/>
      </c>
      <c r="I3156" s="78">
        <f>IF(ISBLANK(G3156),"",IF(D3156="Stock","0",Key!$A$3*H3156*G3156))</f>
        <v/>
      </c>
      <c r="J3156" s="78">
        <f>IF(ISBLANK(E3156),"",IF(ISNUMBER(SEARCH("/",E3156)), IF(LEN(E3156)-LEN(SUBSTITUTE(E3156,"/",""))=1,(RIGHT(E3156,LEN(E3156)-FIND("/",E3156)))-(LEFT(E3156,FIND("/",E3156)-1)),(MID(E3156, SEARCH("/",E3156) + 1, SEARCH("/",E3156, SEARCH("/",E3156)+1) - SEARCH("/",E3156) - 1))-(LEFT(E3156,FIND("/",E3156)-1))), "NA"))</f>
        <v/>
      </c>
      <c r="K3156" s="79">
        <f>IF(A3156&lt;&gt;"", IF(ISBLANK(L3156), TODAY(), K3156), "")</f>
        <v/>
      </c>
      <c r="L3156" s="78" t="n"/>
      <c r="M3156" s="78">
        <f>IF(ISBLANK(L3156),"",IF(D3156="Stock",IF(C3156="Buy",L3156*G3156,IF(C3156="Sell",(L3156*G3156)-I3156, X)),IF(C3156="Buy",(L3156*G3156*100)+I3156,IF(C3156="Sell",(L3156*G3156*100)-I3156, X))))</f>
        <v/>
      </c>
      <c r="N3156" s="78">
        <f>IF(ISBLANK(L3156),"",IF(AND(C3156="Sell",D3156="Stock"),M3156,IF(ISBLANK(L3156),"",IF(C3156="Buy",M3156, IF(AND(C3156="Sell",J3156="NA"),(E3156*G3156*100*0.1)+I3156, IF(C3156="Sell",(J3156-L3156)*(100*G3156)+I3156))))))</f>
        <v/>
      </c>
      <c r="O3156" s="75" t="n"/>
      <c r="P3156" s="75" t="n"/>
      <c r="Q3156" s="75">
        <f>IF(ISBLANK(P3156),"",IF(D3156="Stock",P3156*G3156,IF(P3156=0,"0",G3156*P3156*100-(G3156*$AF$14))))</f>
        <v/>
      </c>
      <c r="R3156" s="79">
        <f>IF(P3156&lt;&gt;"", TODAY(), "")</f>
        <v/>
      </c>
      <c r="S3156" s="78">
        <f>IF(AND(K3156&lt;&gt;"", R3156&lt;&gt;""), R3156-K3156, "")</f>
        <v/>
      </c>
      <c r="T3156" s="78" t="n"/>
      <c r="U3156" s="92">
        <f>IF(ISBLANK(P3156),"",IF(C3156="Buy",Q3156-M3156+T3156, IF(C3156="Sell",M3156-Q3156-T3156, X)))</f>
        <v/>
      </c>
      <c r="V3156" s="81">
        <f>IF(ISBLANK(P3156),"",U3156/N3156)</f>
        <v/>
      </c>
      <c r="W3156" s="81">
        <f>IF(ISBLANK(P3156),"",IF(S3156=0,(365/0.5)*V3156,(365/S3156)*V3156))</f>
        <v/>
      </c>
      <c r="X3156" s="75" t="n"/>
      <c r="Y3156" s="77" t="n"/>
      <c r="Z3156" s="77" t="n"/>
      <c r="AA3156" s="75" t="n"/>
      <c r="AB3156" s="75" t="n"/>
      <c r="AC3156" s="6" t="n"/>
      <c r="AD3156" s="75" t="n"/>
      <c r="AE3156" s="75" t="n"/>
      <c r="AF3156" s="75" t="n"/>
    </row>
    <row r="3157" ht="15.75" customHeight="1" s="133">
      <c r="A3157" s="75" t="n"/>
      <c r="B3157" s="75" t="n"/>
      <c r="C3157" s="75" t="n"/>
      <c r="D3157" s="75" t="n"/>
      <c r="E3157" s="76" t="n"/>
      <c r="F3157" s="77" t="n"/>
      <c r="G3157" s="75" t="n"/>
      <c r="H3157" s="75">
        <f>IF(ISBLANK(E3157),"",IF(OR(D3157="Butterfly",D3157="Butterfly ",D3157="Iron Fly", D3157="Iron Fly "),LEN(E3157)-LEN(SUBSTITUTE(E3157,"/",""))+2,LEN(E3157)-LEN(SUBSTITUTE(E3157,"/",""))+1))</f>
        <v/>
      </c>
      <c r="I3157" s="78">
        <f>IF(ISBLANK(G3157),"",IF(D3157="Stock","0",Key!$A$3*H3157*G3157))</f>
        <v/>
      </c>
      <c r="J3157" s="78">
        <f>IF(ISBLANK(E3157),"",IF(ISNUMBER(SEARCH("/",E3157)), IF(LEN(E3157)-LEN(SUBSTITUTE(E3157,"/",""))=1,(RIGHT(E3157,LEN(E3157)-FIND("/",E3157)))-(LEFT(E3157,FIND("/",E3157)-1)),(MID(E3157, SEARCH("/",E3157) + 1, SEARCH("/",E3157, SEARCH("/",E3157)+1) - SEARCH("/",E3157) - 1))-(LEFT(E3157,FIND("/",E3157)-1))), "NA"))</f>
        <v/>
      </c>
      <c r="K3157" s="79">
        <f>IF(A3157&lt;&gt;"", IF(ISBLANK(L3157), TODAY(), K3157), "")</f>
        <v/>
      </c>
      <c r="L3157" s="78" t="n"/>
      <c r="M3157" s="78">
        <f>IF(ISBLANK(L3157),"",IF(D3157="Stock",IF(C3157="Buy",L3157*G3157,IF(C3157="Sell",(L3157*G3157)-I3157, X)),IF(C3157="Buy",(L3157*G3157*100)+I3157,IF(C3157="Sell",(L3157*G3157*100)-I3157, X))))</f>
        <v/>
      </c>
      <c r="N3157" s="78">
        <f>IF(ISBLANK(L3157),"",IF(AND(C3157="Sell",D3157="Stock"),M3157,IF(ISBLANK(L3157),"",IF(C3157="Buy",M3157, IF(AND(C3157="Sell",J3157="NA"),(E3157*G3157*100*0.1)+I3157, IF(C3157="Sell",(J3157-L3157)*(100*G3157)+I3157))))))</f>
        <v/>
      </c>
      <c r="O3157" s="75" t="n"/>
      <c r="P3157" s="75" t="n"/>
      <c r="Q3157" s="75">
        <f>IF(ISBLANK(P3157),"",IF(D3157="Stock",P3157*G3157,IF(P3157=0,"0",G3157*P3157*100-(G3157*$AF$14))))</f>
        <v/>
      </c>
      <c r="R3157" s="79">
        <f>IF(P3157&lt;&gt;"", TODAY(), "")</f>
        <v/>
      </c>
      <c r="S3157" s="78">
        <f>IF(AND(K3157&lt;&gt;"", R3157&lt;&gt;""), R3157-K3157, "")</f>
        <v/>
      </c>
      <c r="T3157" s="78" t="n"/>
      <c r="U3157" s="92">
        <f>IF(ISBLANK(P3157),"",IF(C3157="Buy",Q3157-M3157+T3157, IF(C3157="Sell",M3157-Q3157-T3157, X)))</f>
        <v/>
      </c>
      <c r="V3157" s="81">
        <f>IF(ISBLANK(P3157),"",U3157/N3157)</f>
        <v/>
      </c>
      <c r="W3157" s="81">
        <f>IF(ISBLANK(P3157),"",IF(S3157=0,(365/0.5)*V3157,(365/S3157)*V3157))</f>
        <v/>
      </c>
      <c r="X3157" s="75" t="n"/>
      <c r="Y3157" s="77" t="n"/>
      <c r="Z3157" s="77" t="n"/>
      <c r="AA3157" s="75" t="n"/>
      <c r="AB3157" s="75" t="n"/>
      <c r="AC3157" s="6" t="n"/>
      <c r="AD3157" s="75" t="n"/>
      <c r="AE3157" s="75" t="n"/>
      <c r="AF3157" s="75" t="n"/>
    </row>
    <row r="3158" ht="15.75" customHeight="1" s="133">
      <c r="A3158" s="75" t="n"/>
      <c r="B3158" s="75" t="n"/>
      <c r="C3158" s="75" t="n"/>
      <c r="D3158" s="75" t="n"/>
      <c r="E3158" s="76" t="n"/>
      <c r="F3158" s="77" t="n"/>
      <c r="G3158" s="75" t="n"/>
      <c r="H3158" s="75">
        <f>IF(ISBLANK(E3158),"",IF(OR(D3158="Butterfly",D3158="Butterfly ",D3158="Iron Fly", D3158="Iron Fly "),LEN(E3158)-LEN(SUBSTITUTE(E3158,"/",""))+2,LEN(E3158)-LEN(SUBSTITUTE(E3158,"/",""))+1))</f>
        <v/>
      </c>
      <c r="I3158" s="78">
        <f>IF(ISBLANK(G3158),"",IF(D3158="Stock","0",Key!$A$3*H3158*G3158))</f>
        <v/>
      </c>
      <c r="J3158" s="78">
        <f>IF(ISBLANK(E3158),"",IF(ISNUMBER(SEARCH("/",E3158)), IF(LEN(E3158)-LEN(SUBSTITUTE(E3158,"/",""))=1,(RIGHT(E3158,LEN(E3158)-FIND("/",E3158)))-(LEFT(E3158,FIND("/",E3158)-1)),(MID(E3158, SEARCH("/",E3158) + 1, SEARCH("/",E3158, SEARCH("/",E3158)+1) - SEARCH("/",E3158) - 1))-(LEFT(E3158,FIND("/",E3158)-1))), "NA"))</f>
        <v/>
      </c>
      <c r="K3158" s="79">
        <f>IF(A3158&lt;&gt;"", IF(ISBLANK(L3158), TODAY(), K3158), "")</f>
        <v/>
      </c>
      <c r="L3158" s="78" t="n"/>
      <c r="M3158" s="78">
        <f>IF(ISBLANK(L3158),"",IF(D3158="Stock",IF(C3158="Buy",L3158*G3158,IF(C3158="Sell",(L3158*G3158)-I3158, X)),IF(C3158="Buy",(L3158*G3158*100)+I3158,IF(C3158="Sell",(L3158*G3158*100)-I3158, X))))</f>
        <v/>
      </c>
      <c r="N3158" s="78">
        <f>IF(ISBLANK(L3158),"",IF(AND(C3158="Sell",D3158="Stock"),M3158,IF(ISBLANK(L3158),"",IF(C3158="Buy",M3158, IF(AND(C3158="Sell",J3158="NA"),(E3158*G3158*100*0.1)+I3158, IF(C3158="Sell",(J3158-L3158)*(100*G3158)+I3158))))))</f>
        <v/>
      </c>
      <c r="O3158" s="75" t="n"/>
      <c r="P3158" s="75" t="n"/>
      <c r="Q3158" s="75">
        <f>IF(ISBLANK(P3158),"",IF(D3158="Stock",P3158*G3158,IF(P3158=0,"0",G3158*P3158*100-(G3158*$AF$14))))</f>
        <v/>
      </c>
      <c r="R3158" s="79">
        <f>IF(P3158&lt;&gt;"", TODAY(), "")</f>
        <v/>
      </c>
      <c r="S3158" s="78">
        <f>IF(AND(K3158&lt;&gt;"", R3158&lt;&gt;""), R3158-K3158, "")</f>
        <v/>
      </c>
      <c r="T3158" s="78" t="n"/>
      <c r="U3158" s="92">
        <f>IF(ISBLANK(P3158),"",IF(C3158="Buy",Q3158-M3158+T3158, IF(C3158="Sell",M3158-Q3158-T3158, X)))</f>
        <v/>
      </c>
      <c r="V3158" s="81">
        <f>IF(ISBLANK(P3158),"",U3158/N3158)</f>
        <v/>
      </c>
      <c r="W3158" s="81">
        <f>IF(ISBLANK(P3158),"",IF(S3158=0,(365/0.5)*V3158,(365/S3158)*V3158))</f>
        <v/>
      </c>
      <c r="X3158" s="75" t="n"/>
      <c r="Y3158" s="77" t="n"/>
      <c r="Z3158" s="77" t="n"/>
      <c r="AA3158" s="75" t="n"/>
      <c r="AB3158" s="75" t="n"/>
      <c r="AC3158" s="6" t="n"/>
      <c r="AD3158" s="75" t="n"/>
      <c r="AE3158" s="75" t="n"/>
      <c r="AF3158" s="75" t="n"/>
    </row>
    <row r="3159" ht="15.75" customHeight="1" s="133">
      <c r="A3159" s="75" t="n"/>
      <c r="B3159" s="75" t="n"/>
      <c r="C3159" s="75" t="n"/>
      <c r="D3159" s="75" t="n"/>
      <c r="E3159" s="76" t="n"/>
      <c r="F3159" s="77" t="n"/>
      <c r="G3159" s="75" t="n"/>
      <c r="H3159" s="75">
        <f>IF(ISBLANK(E3159),"",IF(OR(D3159="Butterfly",D3159="Butterfly ",D3159="Iron Fly", D3159="Iron Fly "),LEN(E3159)-LEN(SUBSTITUTE(E3159,"/",""))+2,LEN(E3159)-LEN(SUBSTITUTE(E3159,"/",""))+1))</f>
        <v/>
      </c>
      <c r="I3159" s="78">
        <f>IF(ISBLANK(G3159),"",IF(D3159="Stock","0",Key!$A$3*H3159*G3159))</f>
        <v/>
      </c>
      <c r="J3159" s="78">
        <f>IF(ISBLANK(E3159),"",IF(ISNUMBER(SEARCH("/",E3159)), IF(LEN(E3159)-LEN(SUBSTITUTE(E3159,"/",""))=1,(RIGHT(E3159,LEN(E3159)-FIND("/",E3159)))-(LEFT(E3159,FIND("/",E3159)-1)),(MID(E3159, SEARCH("/",E3159) + 1, SEARCH("/",E3159, SEARCH("/",E3159)+1) - SEARCH("/",E3159) - 1))-(LEFT(E3159,FIND("/",E3159)-1))), "NA"))</f>
        <v/>
      </c>
      <c r="K3159" s="79">
        <f>IF(A3159&lt;&gt;"", IF(ISBLANK(L3159), TODAY(), K3159), "")</f>
        <v/>
      </c>
      <c r="L3159" s="78" t="n"/>
      <c r="M3159" s="78">
        <f>IF(ISBLANK(L3159),"",IF(D3159="Stock",IF(C3159="Buy",L3159*G3159,IF(C3159="Sell",(L3159*G3159)-I3159, X)),IF(C3159="Buy",(L3159*G3159*100)+I3159,IF(C3159="Sell",(L3159*G3159*100)-I3159, X))))</f>
        <v/>
      </c>
      <c r="N3159" s="78">
        <f>IF(ISBLANK(L3159),"",IF(AND(C3159="Sell",D3159="Stock"),M3159,IF(ISBLANK(L3159),"",IF(C3159="Buy",M3159, IF(AND(C3159="Sell",J3159="NA"),(E3159*G3159*100*0.1)+I3159, IF(C3159="Sell",(J3159-L3159)*(100*G3159)+I3159))))))</f>
        <v/>
      </c>
      <c r="O3159" s="75" t="n"/>
      <c r="P3159" s="75" t="n"/>
      <c r="Q3159" s="75">
        <f>IF(ISBLANK(P3159),"",IF(D3159="Stock",P3159*G3159,IF(P3159=0,"0",G3159*P3159*100-(G3159*$AF$14))))</f>
        <v/>
      </c>
      <c r="R3159" s="79">
        <f>IF(P3159&lt;&gt;"", TODAY(), "")</f>
        <v/>
      </c>
      <c r="S3159" s="78">
        <f>IF(AND(K3159&lt;&gt;"", R3159&lt;&gt;""), R3159-K3159, "")</f>
        <v/>
      </c>
      <c r="T3159" s="78" t="n"/>
      <c r="U3159" s="92">
        <f>IF(ISBLANK(P3159),"",IF(C3159="Buy",Q3159-M3159+T3159, IF(C3159="Sell",M3159-Q3159-T3159, X)))</f>
        <v/>
      </c>
      <c r="V3159" s="81">
        <f>IF(ISBLANK(P3159),"",U3159/N3159)</f>
        <v/>
      </c>
      <c r="W3159" s="81">
        <f>IF(ISBLANK(P3159),"",IF(S3159=0,(365/0.5)*V3159,(365/S3159)*V3159))</f>
        <v/>
      </c>
      <c r="X3159" s="75" t="n"/>
      <c r="Y3159" s="77" t="n"/>
      <c r="Z3159" s="77" t="n"/>
      <c r="AA3159" s="75" t="n"/>
      <c r="AB3159" s="75" t="n"/>
      <c r="AC3159" s="6" t="n"/>
      <c r="AD3159" s="75" t="n"/>
      <c r="AE3159" s="75" t="n"/>
      <c r="AF3159" s="75" t="n"/>
    </row>
    <row r="3160" ht="15.75" customHeight="1" s="133">
      <c r="A3160" s="75" t="n"/>
      <c r="B3160" s="75" t="n"/>
      <c r="C3160" s="75" t="n"/>
      <c r="D3160" s="75" t="n"/>
      <c r="E3160" s="76" t="n"/>
      <c r="F3160" s="77" t="n"/>
      <c r="G3160" s="75" t="n"/>
      <c r="H3160" s="75">
        <f>IF(ISBLANK(E3160),"",IF(OR(D3160="Butterfly",D3160="Butterfly ",D3160="Iron Fly", D3160="Iron Fly "),LEN(E3160)-LEN(SUBSTITUTE(E3160,"/",""))+2,LEN(E3160)-LEN(SUBSTITUTE(E3160,"/",""))+1))</f>
        <v/>
      </c>
      <c r="I3160" s="78">
        <f>IF(ISBLANK(G3160),"",IF(D3160="Stock","0",Key!$A$3*H3160*G3160))</f>
        <v/>
      </c>
      <c r="J3160" s="78">
        <f>IF(ISBLANK(E3160),"",IF(ISNUMBER(SEARCH("/",E3160)), IF(LEN(E3160)-LEN(SUBSTITUTE(E3160,"/",""))=1,(RIGHT(E3160,LEN(E3160)-FIND("/",E3160)))-(LEFT(E3160,FIND("/",E3160)-1)),(MID(E3160, SEARCH("/",E3160) + 1, SEARCH("/",E3160, SEARCH("/",E3160)+1) - SEARCH("/",E3160) - 1))-(LEFT(E3160,FIND("/",E3160)-1))), "NA"))</f>
        <v/>
      </c>
      <c r="K3160" s="79">
        <f>IF(A3160&lt;&gt;"", IF(ISBLANK(L3160), TODAY(), K3160), "")</f>
        <v/>
      </c>
      <c r="L3160" s="78" t="n"/>
      <c r="M3160" s="78">
        <f>IF(ISBLANK(L3160),"",IF(D3160="Stock",IF(C3160="Buy",L3160*G3160,IF(C3160="Sell",(L3160*G3160)-I3160, X)),IF(C3160="Buy",(L3160*G3160*100)+I3160,IF(C3160="Sell",(L3160*G3160*100)-I3160, X))))</f>
        <v/>
      </c>
      <c r="N3160" s="78">
        <f>IF(ISBLANK(L3160),"",IF(AND(C3160="Sell",D3160="Stock"),M3160,IF(ISBLANK(L3160),"",IF(C3160="Buy",M3160, IF(AND(C3160="Sell",J3160="NA"),(E3160*G3160*100*0.1)+I3160, IF(C3160="Sell",(J3160-L3160)*(100*G3160)+I3160))))))</f>
        <v/>
      </c>
      <c r="O3160" s="75" t="n"/>
      <c r="P3160" s="75" t="n"/>
      <c r="Q3160" s="75">
        <f>IF(ISBLANK(P3160),"",IF(D3160="Stock",P3160*G3160,IF(P3160=0,"0",G3160*P3160*100-(G3160*$AF$14))))</f>
        <v/>
      </c>
      <c r="R3160" s="79">
        <f>IF(P3160&lt;&gt;"", TODAY(), "")</f>
        <v/>
      </c>
      <c r="S3160" s="78">
        <f>IF(AND(K3160&lt;&gt;"", R3160&lt;&gt;""), R3160-K3160, "")</f>
        <v/>
      </c>
      <c r="T3160" s="78" t="n"/>
      <c r="U3160" s="92">
        <f>IF(ISBLANK(P3160),"",IF(C3160="Buy",Q3160-M3160+T3160, IF(C3160="Sell",M3160-Q3160-T3160, X)))</f>
        <v/>
      </c>
      <c r="V3160" s="81">
        <f>IF(ISBLANK(P3160),"",U3160/N3160)</f>
        <v/>
      </c>
      <c r="W3160" s="81">
        <f>IF(ISBLANK(P3160),"",IF(S3160=0,(365/0.5)*V3160,(365/S3160)*V3160))</f>
        <v/>
      </c>
      <c r="X3160" s="75" t="n"/>
      <c r="Y3160" s="77" t="n"/>
      <c r="Z3160" s="77" t="n"/>
      <c r="AA3160" s="75" t="n"/>
      <c r="AB3160" s="75" t="n"/>
      <c r="AC3160" s="6" t="n"/>
      <c r="AD3160" s="75" t="n"/>
      <c r="AE3160" s="75" t="n"/>
      <c r="AF3160" s="75" t="n"/>
    </row>
    <row r="3161" ht="15.75" customHeight="1" s="133">
      <c r="A3161" s="75" t="n"/>
      <c r="B3161" s="75" t="n"/>
      <c r="C3161" s="75" t="n"/>
      <c r="D3161" s="75" t="n"/>
      <c r="E3161" s="76" t="n"/>
      <c r="F3161" s="77" t="n"/>
      <c r="G3161" s="75" t="n"/>
      <c r="H3161" s="75">
        <f>IF(ISBLANK(E3161),"",IF(OR(D3161="Butterfly",D3161="Butterfly ",D3161="Iron Fly", D3161="Iron Fly "),LEN(E3161)-LEN(SUBSTITUTE(E3161,"/",""))+2,LEN(E3161)-LEN(SUBSTITUTE(E3161,"/",""))+1))</f>
        <v/>
      </c>
      <c r="I3161" s="78">
        <f>IF(ISBLANK(G3161),"",IF(D3161="Stock","0",Key!$A$3*H3161*G3161))</f>
        <v/>
      </c>
      <c r="J3161" s="78">
        <f>IF(ISBLANK(E3161),"",IF(ISNUMBER(SEARCH("/",E3161)), IF(LEN(E3161)-LEN(SUBSTITUTE(E3161,"/",""))=1,(RIGHT(E3161,LEN(E3161)-FIND("/",E3161)))-(LEFT(E3161,FIND("/",E3161)-1)),(MID(E3161, SEARCH("/",E3161) + 1, SEARCH("/",E3161, SEARCH("/",E3161)+1) - SEARCH("/",E3161) - 1))-(LEFT(E3161,FIND("/",E3161)-1))), "NA"))</f>
        <v/>
      </c>
      <c r="K3161" s="79">
        <f>IF(A3161&lt;&gt;"", IF(ISBLANK(L3161), TODAY(), K3161), "")</f>
        <v/>
      </c>
      <c r="L3161" s="78" t="n"/>
      <c r="M3161" s="78">
        <f>IF(ISBLANK(L3161),"",IF(D3161="Stock",IF(C3161="Buy",L3161*G3161,IF(C3161="Sell",(L3161*G3161)-I3161, X)),IF(C3161="Buy",(L3161*G3161*100)+I3161,IF(C3161="Sell",(L3161*G3161*100)-I3161, X))))</f>
        <v/>
      </c>
      <c r="N3161" s="78">
        <f>IF(ISBLANK(L3161),"",IF(AND(C3161="Sell",D3161="Stock"),M3161,IF(ISBLANK(L3161),"",IF(C3161="Buy",M3161, IF(AND(C3161="Sell",J3161="NA"),(E3161*G3161*100*0.1)+I3161, IF(C3161="Sell",(J3161-L3161)*(100*G3161)+I3161))))))</f>
        <v/>
      </c>
      <c r="O3161" s="75" t="n"/>
      <c r="P3161" s="75" t="n"/>
      <c r="Q3161" s="75">
        <f>IF(ISBLANK(P3161),"",IF(D3161="Stock",P3161*G3161,IF(P3161=0,"0",G3161*P3161*100-(G3161*$AF$14))))</f>
        <v/>
      </c>
      <c r="R3161" s="79">
        <f>IF(P3161&lt;&gt;"", TODAY(), "")</f>
        <v/>
      </c>
      <c r="S3161" s="78">
        <f>IF(AND(K3161&lt;&gt;"", R3161&lt;&gt;""), R3161-K3161, "")</f>
        <v/>
      </c>
      <c r="T3161" s="78" t="n"/>
      <c r="U3161" s="92">
        <f>IF(ISBLANK(P3161),"",IF(C3161="Buy",Q3161-M3161+T3161, IF(C3161="Sell",M3161-Q3161-T3161, X)))</f>
        <v/>
      </c>
      <c r="V3161" s="81">
        <f>IF(ISBLANK(P3161),"",U3161/N3161)</f>
        <v/>
      </c>
      <c r="W3161" s="81">
        <f>IF(ISBLANK(P3161),"",IF(S3161=0,(365/0.5)*V3161,(365/S3161)*V3161))</f>
        <v/>
      </c>
      <c r="X3161" s="75" t="n"/>
      <c r="Y3161" s="77" t="n"/>
      <c r="Z3161" s="77" t="n"/>
      <c r="AA3161" s="75" t="n"/>
      <c r="AB3161" s="75" t="n"/>
      <c r="AC3161" s="6" t="n"/>
      <c r="AD3161" s="75" t="n"/>
      <c r="AE3161" s="75" t="n"/>
      <c r="AF3161" s="75" t="n"/>
    </row>
    <row r="3162" ht="15.75" customHeight="1" s="133">
      <c r="A3162" s="75" t="n"/>
      <c r="B3162" s="75" t="n"/>
      <c r="C3162" s="75" t="n"/>
      <c r="D3162" s="75" t="n"/>
      <c r="E3162" s="76" t="n"/>
      <c r="F3162" s="77" t="n"/>
      <c r="G3162" s="75" t="n"/>
      <c r="H3162" s="75">
        <f>IF(ISBLANK(E3162),"",IF(OR(D3162="Butterfly",D3162="Butterfly ",D3162="Iron Fly", D3162="Iron Fly "),LEN(E3162)-LEN(SUBSTITUTE(E3162,"/",""))+2,LEN(E3162)-LEN(SUBSTITUTE(E3162,"/",""))+1))</f>
        <v/>
      </c>
      <c r="I3162" s="78">
        <f>IF(ISBLANK(G3162),"",IF(D3162="Stock","0",Key!$A$3*H3162*G3162))</f>
        <v/>
      </c>
      <c r="J3162" s="78">
        <f>IF(ISBLANK(E3162),"",IF(ISNUMBER(SEARCH("/",E3162)), IF(LEN(E3162)-LEN(SUBSTITUTE(E3162,"/",""))=1,(RIGHT(E3162,LEN(E3162)-FIND("/",E3162)))-(LEFT(E3162,FIND("/",E3162)-1)),(MID(E3162, SEARCH("/",E3162) + 1, SEARCH("/",E3162, SEARCH("/",E3162)+1) - SEARCH("/",E3162) - 1))-(LEFT(E3162,FIND("/",E3162)-1))), "NA"))</f>
        <v/>
      </c>
      <c r="K3162" s="79">
        <f>IF(A3162&lt;&gt;"", IF(ISBLANK(L3162), TODAY(), K3162), "")</f>
        <v/>
      </c>
      <c r="L3162" s="78" t="n"/>
      <c r="M3162" s="78">
        <f>IF(ISBLANK(L3162),"",IF(D3162="Stock",IF(C3162="Buy",L3162*G3162,IF(C3162="Sell",(L3162*G3162)-I3162, X)),IF(C3162="Buy",(L3162*G3162*100)+I3162,IF(C3162="Sell",(L3162*G3162*100)-I3162, X))))</f>
        <v/>
      </c>
      <c r="N3162" s="78">
        <f>IF(ISBLANK(L3162),"",IF(AND(C3162="Sell",D3162="Stock"),M3162,IF(ISBLANK(L3162),"",IF(C3162="Buy",M3162, IF(AND(C3162="Sell",J3162="NA"),(E3162*G3162*100*0.1)+I3162, IF(C3162="Sell",(J3162-L3162)*(100*G3162)+I3162))))))</f>
        <v/>
      </c>
      <c r="O3162" s="75" t="n"/>
      <c r="P3162" s="75" t="n"/>
      <c r="Q3162" s="75">
        <f>IF(ISBLANK(P3162),"",IF(D3162="Stock",P3162*G3162,IF(P3162=0,"0",G3162*P3162*100-(G3162*$AF$14))))</f>
        <v/>
      </c>
      <c r="R3162" s="79">
        <f>IF(P3162&lt;&gt;"", TODAY(), "")</f>
        <v/>
      </c>
      <c r="S3162" s="78">
        <f>IF(AND(K3162&lt;&gt;"", R3162&lt;&gt;""), R3162-K3162, "")</f>
        <v/>
      </c>
      <c r="T3162" s="78" t="n"/>
      <c r="U3162" s="92">
        <f>IF(ISBLANK(P3162),"",IF(C3162="Buy",Q3162-M3162+T3162, IF(C3162="Sell",M3162-Q3162-T3162, X)))</f>
        <v/>
      </c>
      <c r="V3162" s="81">
        <f>IF(ISBLANK(P3162),"",U3162/N3162)</f>
        <v/>
      </c>
      <c r="W3162" s="81">
        <f>IF(ISBLANK(P3162),"",IF(S3162=0,(365/0.5)*V3162,(365/S3162)*V3162))</f>
        <v/>
      </c>
      <c r="X3162" s="75" t="n"/>
      <c r="Y3162" s="77" t="n"/>
      <c r="Z3162" s="77" t="n"/>
      <c r="AA3162" s="75" t="n"/>
      <c r="AB3162" s="75" t="n"/>
      <c r="AC3162" s="6" t="n"/>
      <c r="AD3162" s="75" t="n"/>
      <c r="AE3162" s="75" t="n"/>
      <c r="AF3162" s="75" t="n"/>
    </row>
    <row r="3163" ht="15.75" customHeight="1" s="133">
      <c r="A3163" s="75" t="n"/>
      <c r="B3163" s="75" t="n"/>
      <c r="C3163" s="75" t="n"/>
      <c r="D3163" s="75" t="n"/>
      <c r="E3163" s="76" t="n"/>
      <c r="F3163" s="77" t="n"/>
      <c r="G3163" s="75" t="n"/>
      <c r="H3163" s="75">
        <f>IF(ISBLANK(E3163),"",IF(OR(D3163="Butterfly",D3163="Butterfly ",D3163="Iron Fly", D3163="Iron Fly "),LEN(E3163)-LEN(SUBSTITUTE(E3163,"/",""))+2,LEN(E3163)-LEN(SUBSTITUTE(E3163,"/",""))+1))</f>
        <v/>
      </c>
      <c r="I3163" s="78">
        <f>IF(ISBLANK(G3163),"",IF(D3163="Stock","0",Key!$A$3*H3163*G3163))</f>
        <v/>
      </c>
      <c r="J3163" s="78">
        <f>IF(ISBLANK(E3163),"",IF(ISNUMBER(SEARCH("/",E3163)), IF(LEN(E3163)-LEN(SUBSTITUTE(E3163,"/",""))=1,(RIGHT(E3163,LEN(E3163)-FIND("/",E3163)))-(LEFT(E3163,FIND("/",E3163)-1)),(MID(E3163, SEARCH("/",E3163) + 1, SEARCH("/",E3163, SEARCH("/",E3163)+1) - SEARCH("/",E3163) - 1))-(LEFT(E3163,FIND("/",E3163)-1))), "NA"))</f>
        <v/>
      </c>
      <c r="K3163" s="79">
        <f>IF(A3163&lt;&gt;"", IF(ISBLANK(L3163), TODAY(), K3163), "")</f>
        <v/>
      </c>
      <c r="L3163" s="78" t="n"/>
      <c r="M3163" s="78">
        <f>IF(ISBLANK(L3163),"",IF(D3163="Stock",IF(C3163="Buy",L3163*G3163,IF(C3163="Sell",(L3163*G3163)-I3163, X)),IF(C3163="Buy",(L3163*G3163*100)+I3163,IF(C3163="Sell",(L3163*G3163*100)-I3163, X))))</f>
        <v/>
      </c>
      <c r="N3163" s="78">
        <f>IF(ISBLANK(L3163),"",IF(AND(C3163="Sell",D3163="Stock"),M3163,IF(ISBLANK(L3163),"",IF(C3163="Buy",M3163, IF(AND(C3163="Sell",J3163="NA"),(E3163*G3163*100*0.1)+I3163, IF(C3163="Sell",(J3163-L3163)*(100*G3163)+I3163))))))</f>
        <v/>
      </c>
      <c r="O3163" s="75" t="n"/>
      <c r="P3163" s="75" t="n"/>
      <c r="Q3163" s="75">
        <f>IF(ISBLANK(P3163),"",IF(D3163="Stock",P3163*G3163,IF(P3163=0,"0",G3163*P3163*100-(G3163*$AF$14))))</f>
        <v/>
      </c>
      <c r="R3163" s="79">
        <f>IF(P3163&lt;&gt;"", TODAY(), "")</f>
        <v/>
      </c>
      <c r="S3163" s="78">
        <f>IF(AND(K3163&lt;&gt;"", R3163&lt;&gt;""), R3163-K3163, "")</f>
        <v/>
      </c>
      <c r="T3163" s="78" t="n"/>
      <c r="U3163" s="92">
        <f>IF(ISBLANK(P3163),"",IF(C3163="Buy",Q3163-M3163+T3163, IF(C3163="Sell",M3163-Q3163-T3163, X)))</f>
        <v/>
      </c>
      <c r="V3163" s="81">
        <f>IF(ISBLANK(P3163),"",U3163/N3163)</f>
        <v/>
      </c>
      <c r="W3163" s="81">
        <f>IF(ISBLANK(P3163),"",IF(S3163=0,(365/0.5)*V3163,(365/S3163)*V3163))</f>
        <v/>
      </c>
      <c r="X3163" s="75" t="n"/>
      <c r="Y3163" s="77" t="n"/>
      <c r="Z3163" s="77" t="n"/>
      <c r="AA3163" s="75" t="n"/>
      <c r="AB3163" s="75" t="n"/>
      <c r="AC3163" s="6" t="n"/>
      <c r="AD3163" s="75" t="n"/>
      <c r="AE3163" s="75" t="n"/>
      <c r="AF3163" s="75" t="n"/>
    </row>
    <row r="3164" ht="15.75" customHeight="1" s="133">
      <c r="A3164" s="75" t="n"/>
      <c r="B3164" s="75" t="n"/>
      <c r="C3164" s="75" t="n"/>
      <c r="D3164" s="75" t="n"/>
      <c r="E3164" s="76" t="n"/>
      <c r="F3164" s="77" t="n"/>
      <c r="G3164" s="75" t="n"/>
      <c r="H3164" s="75">
        <f>IF(ISBLANK(E3164),"",IF(OR(D3164="Butterfly",D3164="Butterfly ",D3164="Iron Fly", D3164="Iron Fly "),LEN(E3164)-LEN(SUBSTITUTE(E3164,"/",""))+2,LEN(E3164)-LEN(SUBSTITUTE(E3164,"/",""))+1))</f>
        <v/>
      </c>
      <c r="I3164" s="78">
        <f>IF(ISBLANK(G3164),"",IF(D3164="Stock","0",Key!$A$3*H3164*G3164))</f>
        <v/>
      </c>
      <c r="J3164" s="78">
        <f>IF(ISBLANK(E3164),"",IF(ISNUMBER(SEARCH("/",E3164)), IF(LEN(E3164)-LEN(SUBSTITUTE(E3164,"/",""))=1,(RIGHT(E3164,LEN(E3164)-FIND("/",E3164)))-(LEFT(E3164,FIND("/",E3164)-1)),(MID(E3164, SEARCH("/",E3164) + 1, SEARCH("/",E3164, SEARCH("/",E3164)+1) - SEARCH("/",E3164) - 1))-(LEFT(E3164,FIND("/",E3164)-1))), "NA"))</f>
        <v/>
      </c>
      <c r="K3164" s="79">
        <f>IF(A3164&lt;&gt;"", IF(ISBLANK(L3164), TODAY(), K3164), "")</f>
        <v/>
      </c>
      <c r="L3164" s="78" t="n"/>
      <c r="M3164" s="78">
        <f>IF(ISBLANK(L3164),"",IF(D3164="Stock",IF(C3164="Buy",L3164*G3164,IF(C3164="Sell",(L3164*G3164)-I3164, X)),IF(C3164="Buy",(L3164*G3164*100)+I3164,IF(C3164="Sell",(L3164*G3164*100)-I3164, X))))</f>
        <v/>
      </c>
      <c r="N3164" s="78">
        <f>IF(ISBLANK(L3164),"",IF(AND(C3164="Sell",D3164="Stock"),M3164,IF(ISBLANK(L3164),"",IF(C3164="Buy",M3164, IF(AND(C3164="Sell",J3164="NA"),(E3164*G3164*100*0.1)+I3164, IF(C3164="Sell",(J3164-L3164)*(100*G3164)+I3164))))))</f>
        <v/>
      </c>
      <c r="O3164" s="75" t="n"/>
      <c r="P3164" s="75" t="n"/>
      <c r="Q3164" s="75">
        <f>IF(ISBLANK(P3164),"",IF(D3164="Stock",P3164*G3164,IF(P3164=0,"0",G3164*P3164*100-(G3164*$AF$14))))</f>
        <v/>
      </c>
      <c r="R3164" s="79">
        <f>IF(P3164&lt;&gt;"", TODAY(), "")</f>
        <v/>
      </c>
      <c r="S3164" s="78">
        <f>IF(AND(K3164&lt;&gt;"", R3164&lt;&gt;""), R3164-K3164, "")</f>
        <v/>
      </c>
      <c r="T3164" s="78" t="n"/>
      <c r="U3164" s="92">
        <f>IF(ISBLANK(P3164),"",IF(C3164="Buy",Q3164-M3164+T3164, IF(C3164="Sell",M3164-Q3164-T3164, X)))</f>
        <v/>
      </c>
      <c r="V3164" s="81">
        <f>IF(ISBLANK(P3164),"",U3164/N3164)</f>
        <v/>
      </c>
      <c r="W3164" s="81">
        <f>IF(ISBLANK(P3164),"",IF(S3164=0,(365/0.5)*V3164,(365/S3164)*V3164))</f>
        <v/>
      </c>
      <c r="X3164" s="75" t="n"/>
      <c r="Y3164" s="77" t="n"/>
      <c r="Z3164" s="77" t="n"/>
      <c r="AA3164" s="75" t="n"/>
      <c r="AB3164" s="75" t="n"/>
      <c r="AC3164" s="6" t="n"/>
      <c r="AD3164" s="75" t="n"/>
      <c r="AE3164" s="75" t="n"/>
      <c r="AF3164" s="75" t="n"/>
    </row>
    <row r="3165" ht="15.75" customHeight="1" s="133">
      <c r="A3165" s="75" t="n"/>
      <c r="B3165" s="75" t="n"/>
      <c r="C3165" s="75" t="n"/>
      <c r="D3165" s="75" t="n"/>
      <c r="E3165" s="76" t="n"/>
      <c r="F3165" s="77" t="n"/>
      <c r="G3165" s="75" t="n"/>
      <c r="H3165" s="75">
        <f>IF(ISBLANK(E3165),"",IF(OR(D3165="Butterfly",D3165="Butterfly ",D3165="Iron Fly", D3165="Iron Fly "),LEN(E3165)-LEN(SUBSTITUTE(E3165,"/",""))+2,LEN(E3165)-LEN(SUBSTITUTE(E3165,"/",""))+1))</f>
        <v/>
      </c>
      <c r="I3165" s="78">
        <f>IF(ISBLANK(G3165),"",IF(D3165="Stock","0",Key!$A$3*H3165*G3165))</f>
        <v/>
      </c>
      <c r="J3165" s="78">
        <f>IF(ISBLANK(E3165),"",IF(ISNUMBER(SEARCH("/",E3165)), IF(LEN(E3165)-LEN(SUBSTITUTE(E3165,"/",""))=1,(RIGHT(E3165,LEN(E3165)-FIND("/",E3165)))-(LEFT(E3165,FIND("/",E3165)-1)),(MID(E3165, SEARCH("/",E3165) + 1, SEARCH("/",E3165, SEARCH("/",E3165)+1) - SEARCH("/",E3165) - 1))-(LEFT(E3165,FIND("/",E3165)-1))), "NA"))</f>
        <v/>
      </c>
      <c r="K3165" s="79">
        <f>IF(A3165&lt;&gt;"", IF(ISBLANK(L3165), TODAY(), K3165), "")</f>
        <v/>
      </c>
      <c r="L3165" s="78" t="n"/>
      <c r="M3165" s="78">
        <f>IF(ISBLANK(L3165),"",IF(D3165="Stock",IF(C3165="Buy",L3165*G3165,IF(C3165="Sell",(L3165*G3165)-I3165, X)),IF(C3165="Buy",(L3165*G3165*100)+I3165,IF(C3165="Sell",(L3165*G3165*100)-I3165, X))))</f>
        <v/>
      </c>
      <c r="N3165" s="78">
        <f>IF(ISBLANK(L3165),"",IF(AND(C3165="Sell",D3165="Stock"),M3165,IF(ISBLANK(L3165),"",IF(C3165="Buy",M3165, IF(AND(C3165="Sell",J3165="NA"),(E3165*G3165*100*0.1)+I3165, IF(C3165="Sell",(J3165-L3165)*(100*G3165)+I3165))))))</f>
        <v/>
      </c>
      <c r="O3165" s="75" t="n"/>
      <c r="P3165" s="75" t="n"/>
      <c r="Q3165" s="75">
        <f>IF(ISBLANK(P3165),"",IF(D3165="Stock",P3165*G3165,IF(P3165=0,"0",G3165*P3165*100-(G3165*$AF$14))))</f>
        <v/>
      </c>
      <c r="R3165" s="79">
        <f>IF(P3165&lt;&gt;"", TODAY(), "")</f>
        <v/>
      </c>
      <c r="S3165" s="78">
        <f>IF(AND(K3165&lt;&gt;"", R3165&lt;&gt;""), R3165-K3165, "")</f>
        <v/>
      </c>
      <c r="T3165" s="78" t="n"/>
      <c r="U3165" s="92">
        <f>IF(ISBLANK(P3165),"",IF(C3165="Buy",Q3165-M3165+T3165, IF(C3165="Sell",M3165-Q3165-T3165, X)))</f>
        <v/>
      </c>
      <c r="V3165" s="81">
        <f>IF(ISBLANK(P3165),"",U3165/N3165)</f>
        <v/>
      </c>
      <c r="W3165" s="81">
        <f>IF(ISBLANK(P3165),"",IF(S3165=0,(365/0.5)*V3165,(365/S3165)*V3165))</f>
        <v/>
      </c>
      <c r="X3165" s="75" t="n"/>
      <c r="Y3165" s="77" t="n"/>
      <c r="Z3165" s="77" t="n"/>
      <c r="AA3165" s="75" t="n"/>
      <c r="AB3165" s="75" t="n"/>
      <c r="AC3165" s="6" t="n"/>
      <c r="AD3165" s="75" t="n"/>
      <c r="AE3165" s="75" t="n"/>
      <c r="AF3165" s="75" t="n"/>
    </row>
    <row r="3166" ht="15.75" customHeight="1" s="133">
      <c r="A3166" s="75" t="n"/>
      <c r="B3166" s="75" t="n"/>
      <c r="C3166" s="75" t="n"/>
      <c r="D3166" s="75" t="n"/>
      <c r="E3166" s="76" t="n"/>
      <c r="F3166" s="77" t="n"/>
      <c r="G3166" s="75" t="n"/>
      <c r="H3166" s="75">
        <f>IF(ISBLANK(E3166),"",IF(OR(D3166="Butterfly",D3166="Butterfly ",D3166="Iron Fly", D3166="Iron Fly "),LEN(E3166)-LEN(SUBSTITUTE(E3166,"/",""))+2,LEN(E3166)-LEN(SUBSTITUTE(E3166,"/",""))+1))</f>
        <v/>
      </c>
      <c r="I3166" s="78">
        <f>IF(ISBLANK(G3166),"",IF(D3166="Stock","0",Key!$A$3*H3166*G3166))</f>
        <v/>
      </c>
      <c r="J3166" s="78">
        <f>IF(ISBLANK(E3166),"",IF(ISNUMBER(SEARCH("/",E3166)), IF(LEN(E3166)-LEN(SUBSTITUTE(E3166,"/",""))=1,(RIGHT(E3166,LEN(E3166)-FIND("/",E3166)))-(LEFT(E3166,FIND("/",E3166)-1)),(MID(E3166, SEARCH("/",E3166) + 1, SEARCH("/",E3166, SEARCH("/",E3166)+1) - SEARCH("/",E3166) - 1))-(LEFT(E3166,FIND("/",E3166)-1))), "NA"))</f>
        <v/>
      </c>
      <c r="K3166" s="79">
        <f>IF(A3166&lt;&gt;"", IF(ISBLANK(L3166), TODAY(), K3166), "")</f>
        <v/>
      </c>
      <c r="L3166" s="78" t="n"/>
      <c r="M3166" s="78">
        <f>IF(ISBLANK(L3166),"",IF(D3166="Stock",IF(C3166="Buy",L3166*G3166,IF(C3166="Sell",(L3166*G3166)-I3166, X)),IF(C3166="Buy",(L3166*G3166*100)+I3166,IF(C3166="Sell",(L3166*G3166*100)-I3166, X))))</f>
        <v/>
      </c>
      <c r="N3166" s="78">
        <f>IF(ISBLANK(L3166),"",IF(AND(C3166="Sell",D3166="Stock"),M3166,IF(ISBLANK(L3166),"",IF(C3166="Buy",M3166, IF(AND(C3166="Sell",J3166="NA"),(E3166*G3166*100*0.1)+I3166, IF(C3166="Sell",(J3166-L3166)*(100*G3166)+I3166))))))</f>
        <v/>
      </c>
      <c r="O3166" s="75" t="n"/>
      <c r="P3166" s="75" t="n"/>
      <c r="Q3166" s="75">
        <f>IF(ISBLANK(P3166),"",IF(D3166="Stock",P3166*G3166,IF(P3166=0,"0",G3166*P3166*100-(G3166*$AF$14))))</f>
        <v/>
      </c>
      <c r="R3166" s="79">
        <f>IF(P3166&lt;&gt;"", TODAY(), "")</f>
        <v/>
      </c>
      <c r="S3166" s="78">
        <f>IF(AND(K3166&lt;&gt;"", R3166&lt;&gt;""), R3166-K3166, "")</f>
        <v/>
      </c>
      <c r="T3166" s="78" t="n"/>
      <c r="U3166" s="92">
        <f>IF(ISBLANK(P3166),"",IF(C3166="Buy",Q3166-M3166+T3166, IF(C3166="Sell",M3166-Q3166-T3166, X)))</f>
        <v/>
      </c>
      <c r="V3166" s="81">
        <f>IF(ISBLANK(P3166),"",U3166/N3166)</f>
        <v/>
      </c>
      <c r="W3166" s="81">
        <f>IF(ISBLANK(P3166),"",IF(S3166=0,(365/0.5)*V3166,(365/S3166)*V3166))</f>
        <v/>
      </c>
      <c r="X3166" s="75" t="n"/>
      <c r="Y3166" s="77" t="n"/>
      <c r="Z3166" s="77" t="n"/>
      <c r="AA3166" s="75" t="n"/>
      <c r="AB3166" s="75" t="n"/>
      <c r="AC3166" s="6" t="n"/>
      <c r="AD3166" s="75" t="n"/>
      <c r="AE3166" s="75" t="n"/>
      <c r="AF3166" s="75" t="n"/>
    </row>
    <row r="3167" ht="15.75" customHeight="1" s="133">
      <c r="A3167" s="75" t="n"/>
      <c r="B3167" s="75" t="n"/>
      <c r="C3167" s="75" t="n"/>
      <c r="D3167" s="75" t="n"/>
      <c r="E3167" s="76" t="n"/>
      <c r="F3167" s="77" t="n"/>
      <c r="G3167" s="75" t="n"/>
      <c r="H3167" s="75">
        <f>IF(ISBLANK(E3167),"",IF(OR(D3167="Butterfly",D3167="Butterfly ",D3167="Iron Fly", D3167="Iron Fly "),LEN(E3167)-LEN(SUBSTITUTE(E3167,"/",""))+2,LEN(E3167)-LEN(SUBSTITUTE(E3167,"/",""))+1))</f>
        <v/>
      </c>
      <c r="I3167" s="78">
        <f>IF(ISBLANK(G3167),"",IF(D3167="Stock","0",Key!$A$3*H3167*G3167))</f>
        <v/>
      </c>
      <c r="J3167" s="78">
        <f>IF(ISBLANK(E3167),"",IF(ISNUMBER(SEARCH("/",E3167)), IF(LEN(E3167)-LEN(SUBSTITUTE(E3167,"/",""))=1,(RIGHT(E3167,LEN(E3167)-FIND("/",E3167)))-(LEFT(E3167,FIND("/",E3167)-1)),(MID(E3167, SEARCH("/",E3167) + 1, SEARCH("/",E3167, SEARCH("/",E3167)+1) - SEARCH("/",E3167) - 1))-(LEFT(E3167,FIND("/",E3167)-1))), "NA"))</f>
        <v/>
      </c>
      <c r="K3167" s="79">
        <f>IF(A3167&lt;&gt;"", IF(ISBLANK(L3167), TODAY(), K3167), "")</f>
        <v/>
      </c>
      <c r="L3167" s="78" t="n"/>
      <c r="M3167" s="78">
        <f>IF(ISBLANK(L3167),"",IF(D3167="Stock",IF(C3167="Buy",L3167*G3167,IF(C3167="Sell",(L3167*G3167)-I3167, X)),IF(C3167="Buy",(L3167*G3167*100)+I3167,IF(C3167="Sell",(L3167*G3167*100)-I3167, X))))</f>
        <v/>
      </c>
      <c r="N3167" s="78">
        <f>IF(ISBLANK(L3167),"",IF(AND(C3167="Sell",D3167="Stock"),M3167,IF(ISBLANK(L3167),"",IF(C3167="Buy",M3167, IF(AND(C3167="Sell",J3167="NA"),(E3167*G3167*100*0.1)+I3167, IF(C3167="Sell",(J3167-L3167)*(100*G3167)+I3167))))))</f>
        <v/>
      </c>
      <c r="O3167" s="75" t="n"/>
      <c r="P3167" s="75" t="n"/>
      <c r="Q3167" s="75">
        <f>IF(ISBLANK(P3167),"",IF(D3167="Stock",P3167*G3167,IF(P3167=0,"0",G3167*P3167*100-(G3167*$AF$14))))</f>
        <v/>
      </c>
      <c r="R3167" s="79">
        <f>IF(P3167&lt;&gt;"", TODAY(), "")</f>
        <v/>
      </c>
      <c r="S3167" s="78">
        <f>IF(AND(K3167&lt;&gt;"", R3167&lt;&gt;""), R3167-K3167, "")</f>
        <v/>
      </c>
      <c r="T3167" s="78" t="n"/>
      <c r="U3167" s="92">
        <f>IF(ISBLANK(P3167),"",IF(C3167="Buy",Q3167-M3167+T3167, IF(C3167="Sell",M3167-Q3167-T3167, X)))</f>
        <v/>
      </c>
      <c r="V3167" s="81">
        <f>IF(ISBLANK(P3167),"",U3167/N3167)</f>
        <v/>
      </c>
      <c r="W3167" s="81">
        <f>IF(ISBLANK(P3167),"",IF(S3167=0,(365/0.5)*V3167,(365/S3167)*V3167))</f>
        <v/>
      </c>
      <c r="X3167" s="75" t="n"/>
      <c r="Y3167" s="77" t="n"/>
      <c r="Z3167" s="77" t="n"/>
      <c r="AA3167" s="75" t="n"/>
      <c r="AB3167" s="75" t="n"/>
      <c r="AC3167" s="6" t="n"/>
      <c r="AD3167" s="75" t="n"/>
      <c r="AE3167" s="75" t="n"/>
      <c r="AF3167" s="75" t="n"/>
    </row>
    <row r="3168" ht="15.75" customHeight="1" s="133">
      <c r="A3168" s="75" t="n"/>
      <c r="B3168" s="75" t="n"/>
      <c r="C3168" s="75" t="n"/>
      <c r="D3168" s="75" t="n"/>
      <c r="E3168" s="76" t="n"/>
      <c r="F3168" s="77" t="n"/>
      <c r="G3168" s="75" t="n"/>
      <c r="H3168" s="75">
        <f>IF(ISBLANK(E3168),"",IF(OR(D3168="Butterfly",D3168="Butterfly ",D3168="Iron Fly", D3168="Iron Fly "),LEN(E3168)-LEN(SUBSTITUTE(E3168,"/",""))+2,LEN(E3168)-LEN(SUBSTITUTE(E3168,"/",""))+1))</f>
        <v/>
      </c>
      <c r="I3168" s="78">
        <f>IF(ISBLANK(G3168),"",IF(D3168="Stock","0",Key!$A$3*H3168*G3168))</f>
        <v/>
      </c>
      <c r="J3168" s="78">
        <f>IF(ISBLANK(E3168),"",IF(ISNUMBER(SEARCH("/",E3168)), IF(LEN(E3168)-LEN(SUBSTITUTE(E3168,"/",""))=1,(RIGHT(E3168,LEN(E3168)-FIND("/",E3168)))-(LEFT(E3168,FIND("/",E3168)-1)),(MID(E3168, SEARCH("/",E3168) + 1, SEARCH("/",E3168, SEARCH("/",E3168)+1) - SEARCH("/",E3168) - 1))-(LEFT(E3168,FIND("/",E3168)-1))), "NA"))</f>
        <v/>
      </c>
      <c r="K3168" s="79">
        <f>IF(A3168&lt;&gt;"", IF(ISBLANK(L3168), TODAY(), K3168), "")</f>
        <v/>
      </c>
      <c r="L3168" s="78" t="n"/>
      <c r="M3168" s="78">
        <f>IF(ISBLANK(L3168),"",IF(D3168="Stock",IF(C3168="Buy",L3168*G3168,IF(C3168="Sell",(L3168*G3168)-I3168, X)),IF(C3168="Buy",(L3168*G3168*100)+I3168,IF(C3168="Sell",(L3168*G3168*100)-I3168, X))))</f>
        <v/>
      </c>
      <c r="N3168" s="78">
        <f>IF(ISBLANK(L3168),"",IF(AND(C3168="Sell",D3168="Stock"),M3168,IF(ISBLANK(L3168),"",IF(C3168="Buy",M3168, IF(AND(C3168="Sell",J3168="NA"),(E3168*G3168*100*0.1)+I3168, IF(C3168="Sell",(J3168-L3168)*(100*G3168)+I3168))))))</f>
        <v/>
      </c>
      <c r="O3168" s="75" t="n"/>
      <c r="P3168" s="75" t="n"/>
      <c r="Q3168" s="75">
        <f>IF(ISBLANK(P3168),"",IF(D3168="Stock",P3168*G3168,IF(P3168=0,"0",G3168*P3168*100-(G3168*$AF$14))))</f>
        <v/>
      </c>
      <c r="R3168" s="79">
        <f>IF(P3168&lt;&gt;"", TODAY(), "")</f>
        <v/>
      </c>
      <c r="S3168" s="78">
        <f>IF(AND(K3168&lt;&gt;"", R3168&lt;&gt;""), R3168-K3168, "")</f>
        <v/>
      </c>
      <c r="T3168" s="78" t="n"/>
      <c r="U3168" s="92">
        <f>IF(ISBLANK(P3168),"",IF(C3168="Buy",Q3168-M3168+T3168, IF(C3168="Sell",M3168-Q3168-T3168, X)))</f>
        <v/>
      </c>
      <c r="V3168" s="81">
        <f>IF(ISBLANK(P3168),"",U3168/N3168)</f>
        <v/>
      </c>
      <c r="W3168" s="81">
        <f>IF(ISBLANK(P3168),"",IF(S3168=0,(365/0.5)*V3168,(365/S3168)*V3168))</f>
        <v/>
      </c>
      <c r="X3168" s="75" t="n"/>
      <c r="Y3168" s="77" t="n"/>
      <c r="Z3168" s="77" t="n"/>
      <c r="AA3168" s="75" t="n"/>
      <c r="AB3168" s="75" t="n"/>
      <c r="AC3168" s="6" t="n"/>
      <c r="AD3168" s="75" t="n"/>
      <c r="AE3168" s="75" t="n"/>
      <c r="AF3168" s="75" t="n"/>
    </row>
    <row r="3169" ht="15.75" customHeight="1" s="133">
      <c r="A3169" s="75" t="n"/>
      <c r="B3169" s="75" t="n"/>
      <c r="C3169" s="75" t="n"/>
      <c r="D3169" s="75" t="n"/>
      <c r="E3169" s="76" t="n"/>
      <c r="F3169" s="77" t="n"/>
      <c r="G3169" s="75" t="n"/>
      <c r="H3169" s="75">
        <f>IF(ISBLANK(E3169),"",IF(OR(D3169="Butterfly",D3169="Butterfly ",D3169="Iron Fly", D3169="Iron Fly "),LEN(E3169)-LEN(SUBSTITUTE(E3169,"/",""))+2,LEN(E3169)-LEN(SUBSTITUTE(E3169,"/",""))+1))</f>
        <v/>
      </c>
      <c r="I3169" s="78">
        <f>IF(ISBLANK(G3169),"",IF(D3169="Stock","0",Key!$A$3*H3169*G3169))</f>
        <v/>
      </c>
      <c r="J3169" s="78">
        <f>IF(ISBLANK(E3169),"",IF(ISNUMBER(SEARCH("/",E3169)), IF(LEN(E3169)-LEN(SUBSTITUTE(E3169,"/",""))=1,(RIGHT(E3169,LEN(E3169)-FIND("/",E3169)))-(LEFT(E3169,FIND("/",E3169)-1)),(MID(E3169, SEARCH("/",E3169) + 1, SEARCH("/",E3169, SEARCH("/",E3169)+1) - SEARCH("/",E3169) - 1))-(LEFT(E3169,FIND("/",E3169)-1))), "NA"))</f>
        <v/>
      </c>
      <c r="K3169" s="79">
        <f>IF(A3169&lt;&gt;"", IF(ISBLANK(L3169), TODAY(), K3169), "")</f>
        <v/>
      </c>
      <c r="L3169" s="78" t="n"/>
      <c r="M3169" s="78">
        <f>IF(ISBLANK(L3169),"",IF(D3169="Stock",IF(C3169="Buy",L3169*G3169,IF(C3169="Sell",(L3169*G3169)-I3169, X)),IF(C3169="Buy",(L3169*G3169*100)+I3169,IF(C3169="Sell",(L3169*G3169*100)-I3169, X))))</f>
        <v/>
      </c>
      <c r="N3169" s="78">
        <f>IF(ISBLANK(L3169),"",IF(AND(C3169="Sell",D3169="Stock"),M3169,IF(ISBLANK(L3169),"",IF(C3169="Buy",M3169, IF(AND(C3169="Sell",J3169="NA"),(E3169*G3169*100*0.1)+I3169, IF(C3169="Sell",(J3169-L3169)*(100*G3169)+I3169))))))</f>
        <v/>
      </c>
      <c r="O3169" s="75" t="n"/>
      <c r="P3169" s="75" t="n"/>
      <c r="Q3169" s="75">
        <f>IF(ISBLANK(P3169),"",IF(D3169="Stock",P3169*G3169,IF(P3169=0,"0",G3169*P3169*100-(G3169*$AF$14))))</f>
        <v/>
      </c>
      <c r="R3169" s="79">
        <f>IF(P3169&lt;&gt;"", TODAY(), "")</f>
        <v/>
      </c>
      <c r="S3169" s="78">
        <f>IF(AND(K3169&lt;&gt;"", R3169&lt;&gt;""), R3169-K3169, "")</f>
        <v/>
      </c>
      <c r="T3169" s="78" t="n"/>
      <c r="U3169" s="92">
        <f>IF(ISBLANK(P3169),"",IF(C3169="Buy",Q3169-M3169+T3169, IF(C3169="Sell",M3169-Q3169-T3169, X)))</f>
        <v/>
      </c>
      <c r="V3169" s="81">
        <f>IF(ISBLANK(P3169),"",U3169/N3169)</f>
        <v/>
      </c>
      <c r="W3169" s="81">
        <f>IF(ISBLANK(P3169),"",IF(S3169=0,(365/0.5)*V3169,(365/S3169)*V3169))</f>
        <v/>
      </c>
      <c r="X3169" s="75" t="n"/>
      <c r="Y3169" s="77" t="n"/>
      <c r="Z3169" s="77" t="n"/>
      <c r="AA3169" s="75" t="n"/>
      <c r="AB3169" s="75" t="n"/>
      <c r="AC3169" s="6" t="n"/>
      <c r="AD3169" s="75" t="n"/>
      <c r="AE3169" s="75" t="n"/>
      <c r="AF3169" s="75" t="n"/>
    </row>
    <row r="3170" ht="15.75" customHeight="1" s="133">
      <c r="A3170" s="75" t="n"/>
      <c r="B3170" s="75" t="n"/>
      <c r="C3170" s="75" t="n"/>
      <c r="D3170" s="75" t="n"/>
      <c r="E3170" s="76" t="n"/>
      <c r="F3170" s="77" t="n"/>
      <c r="G3170" s="75" t="n"/>
      <c r="H3170" s="75">
        <f>IF(ISBLANK(E3170),"",IF(OR(D3170="Butterfly",D3170="Butterfly ",D3170="Iron Fly", D3170="Iron Fly "),LEN(E3170)-LEN(SUBSTITUTE(E3170,"/",""))+2,LEN(E3170)-LEN(SUBSTITUTE(E3170,"/",""))+1))</f>
        <v/>
      </c>
      <c r="I3170" s="78">
        <f>IF(ISBLANK(G3170),"",IF(D3170="Stock","0",Key!$A$3*H3170*G3170))</f>
        <v/>
      </c>
      <c r="J3170" s="78">
        <f>IF(ISBLANK(E3170),"",IF(ISNUMBER(SEARCH("/",E3170)), IF(LEN(E3170)-LEN(SUBSTITUTE(E3170,"/",""))=1,(RIGHT(E3170,LEN(E3170)-FIND("/",E3170)))-(LEFT(E3170,FIND("/",E3170)-1)),(MID(E3170, SEARCH("/",E3170) + 1, SEARCH("/",E3170, SEARCH("/",E3170)+1) - SEARCH("/",E3170) - 1))-(LEFT(E3170,FIND("/",E3170)-1))), "NA"))</f>
        <v/>
      </c>
      <c r="K3170" s="79">
        <f>IF(A3170&lt;&gt;"", IF(ISBLANK(L3170), TODAY(), K3170), "")</f>
        <v/>
      </c>
      <c r="L3170" s="78" t="n"/>
      <c r="M3170" s="78">
        <f>IF(ISBLANK(L3170),"",IF(D3170="Stock",IF(C3170="Buy",L3170*G3170,IF(C3170="Sell",(L3170*G3170)-I3170, X)),IF(C3170="Buy",(L3170*G3170*100)+I3170,IF(C3170="Sell",(L3170*G3170*100)-I3170, X))))</f>
        <v/>
      </c>
      <c r="N3170" s="78">
        <f>IF(ISBLANK(L3170),"",IF(AND(C3170="Sell",D3170="Stock"),M3170,IF(ISBLANK(L3170),"",IF(C3170="Buy",M3170, IF(AND(C3170="Sell",J3170="NA"),(E3170*G3170*100*0.1)+I3170, IF(C3170="Sell",(J3170-L3170)*(100*G3170)+I3170))))))</f>
        <v/>
      </c>
      <c r="O3170" s="75" t="n"/>
      <c r="P3170" s="75" t="n"/>
      <c r="Q3170" s="75">
        <f>IF(ISBLANK(P3170),"",IF(D3170="Stock",P3170*G3170,IF(P3170=0,"0",G3170*P3170*100-(G3170*$AF$14))))</f>
        <v/>
      </c>
      <c r="R3170" s="79">
        <f>IF(P3170&lt;&gt;"", TODAY(), "")</f>
        <v/>
      </c>
      <c r="S3170" s="78">
        <f>IF(AND(K3170&lt;&gt;"", R3170&lt;&gt;""), R3170-K3170, "")</f>
        <v/>
      </c>
      <c r="T3170" s="78" t="n"/>
      <c r="U3170" s="92">
        <f>IF(ISBLANK(P3170),"",IF(C3170="Buy",Q3170-M3170+T3170, IF(C3170="Sell",M3170-Q3170-T3170, X)))</f>
        <v/>
      </c>
      <c r="V3170" s="81">
        <f>IF(ISBLANK(P3170),"",U3170/N3170)</f>
        <v/>
      </c>
      <c r="W3170" s="81">
        <f>IF(ISBLANK(P3170),"",IF(S3170=0,(365/0.5)*V3170,(365/S3170)*V3170))</f>
        <v/>
      </c>
      <c r="X3170" s="75" t="n"/>
      <c r="Y3170" s="77" t="n"/>
      <c r="Z3170" s="77" t="n"/>
      <c r="AA3170" s="75" t="n"/>
      <c r="AB3170" s="75" t="n"/>
      <c r="AC3170" s="6" t="n"/>
      <c r="AD3170" s="75" t="n"/>
      <c r="AE3170" s="75" t="n"/>
      <c r="AF3170" s="75" t="n"/>
    </row>
    <row r="3171" ht="15.75" customHeight="1" s="133">
      <c r="A3171" s="75" t="n"/>
      <c r="B3171" s="75" t="n"/>
      <c r="C3171" s="75" t="n"/>
      <c r="D3171" s="75" t="n"/>
      <c r="E3171" s="76" t="n"/>
      <c r="F3171" s="77" t="n"/>
      <c r="G3171" s="75" t="n"/>
      <c r="H3171" s="75">
        <f>IF(ISBLANK(E3171),"",IF(OR(D3171="Butterfly",D3171="Butterfly ",D3171="Iron Fly", D3171="Iron Fly "),LEN(E3171)-LEN(SUBSTITUTE(E3171,"/",""))+2,LEN(E3171)-LEN(SUBSTITUTE(E3171,"/",""))+1))</f>
        <v/>
      </c>
      <c r="I3171" s="78">
        <f>IF(ISBLANK(G3171),"",IF(D3171="Stock","0",Key!$A$3*H3171*G3171))</f>
        <v/>
      </c>
      <c r="J3171" s="78">
        <f>IF(ISBLANK(E3171),"",IF(ISNUMBER(SEARCH("/",E3171)), IF(LEN(E3171)-LEN(SUBSTITUTE(E3171,"/",""))=1,(RIGHT(E3171,LEN(E3171)-FIND("/",E3171)))-(LEFT(E3171,FIND("/",E3171)-1)),(MID(E3171, SEARCH("/",E3171) + 1, SEARCH("/",E3171, SEARCH("/",E3171)+1) - SEARCH("/",E3171) - 1))-(LEFT(E3171,FIND("/",E3171)-1))), "NA"))</f>
        <v/>
      </c>
      <c r="K3171" s="79">
        <f>IF(A3171&lt;&gt;"", IF(ISBLANK(L3171), TODAY(), K3171), "")</f>
        <v/>
      </c>
      <c r="L3171" s="78" t="n"/>
      <c r="M3171" s="78">
        <f>IF(ISBLANK(L3171),"",IF(D3171="Stock",IF(C3171="Buy",L3171*G3171,IF(C3171="Sell",(L3171*G3171)-I3171, X)),IF(C3171="Buy",(L3171*G3171*100)+I3171,IF(C3171="Sell",(L3171*G3171*100)-I3171, X))))</f>
        <v/>
      </c>
      <c r="N3171" s="78">
        <f>IF(ISBLANK(L3171),"",IF(AND(C3171="Sell",D3171="Stock"),M3171,IF(ISBLANK(L3171),"",IF(C3171="Buy",M3171, IF(AND(C3171="Sell",J3171="NA"),(E3171*G3171*100*0.1)+I3171, IF(C3171="Sell",(J3171-L3171)*(100*G3171)+I3171))))))</f>
        <v/>
      </c>
      <c r="O3171" s="75" t="n"/>
      <c r="P3171" s="75" t="n"/>
      <c r="Q3171" s="75">
        <f>IF(ISBLANK(P3171),"",IF(D3171="Stock",P3171*G3171,IF(P3171=0,"0",G3171*P3171*100-(G3171*$AF$14))))</f>
        <v/>
      </c>
      <c r="R3171" s="79">
        <f>IF(P3171&lt;&gt;"", TODAY(), "")</f>
        <v/>
      </c>
      <c r="S3171" s="78">
        <f>IF(AND(K3171&lt;&gt;"", R3171&lt;&gt;""), R3171-K3171, "")</f>
        <v/>
      </c>
      <c r="T3171" s="78" t="n"/>
      <c r="U3171" s="92">
        <f>IF(ISBLANK(P3171),"",IF(C3171="Buy",Q3171-M3171+T3171, IF(C3171="Sell",M3171-Q3171-T3171, X)))</f>
        <v/>
      </c>
      <c r="V3171" s="81">
        <f>IF(ISBLANK(P3171),"",U3171/N3171)</f>
        <v/>
      </c>
      <c r="W3171" s="81">
        <f>IF(ISBLANK(P3171),"",IF(S3171=0,(365/0.5)*V3171,(365/S3171)*V3171))</f>
        <v/>
      </c>
      <c r="X3171" s="75" t="n"/>
      <c r="Y3171" s="77" t="n"/>
      <c r="Z3171" s="77" t="n"/>
      <c r="AA3171" s="75" t="n"/>
      <c r="AB3171" s="75" t="n"/>
      <c r="AC3171" s="6" t="n"/>
      <c r="AD3171" s="75" t="n"/>
      <c r="AE3171" s="75" t="n"/>
      <c r="AF3171" s="75" t="n"/>
    </row>
    <row r="3172" ht="15.75" customHeight="1" s="133">
      <c r="A3172" s="75" t="n"/>
      <c r="B3172" s="75" t="n"/>
      <c r="C3172" s="75" t="n"/>
      <c r="D3172" s="75" t="n"/>
      <c r="E3172" s="76" t="n"/>
      <c r="F3172" s="77" t="n"/>
      <c r="G3172" s="75" t="n"/>
      <c r="H3172" s="75">
        <f>IF(ISBLANK(E3172),"",IF(OR(D3172="Butterfly",D3172="Butterfly ",D3172="Iron Fly", D3172="Iron Fly "),LEN(E3172)-LEN(SUBSTITUTE(E3172,"/",""))+2,LEN(E3172)-LEN(SUBSTITUTE(E3172,"/",""))+1))</f>
        <v/>
      </c>
      <c r="I3172" s="78">
        <f>IF(ISBLANK(G3172),"",IF(D3172="Stock","0",Key!$A$3*H3172*G3172))</f>
        <v/>
      </c>
      <c r="J3172" s="78">
        <f>IF(ISBLANK(E3172),"",IF(ISNUMBER(SEARCH("/",E3172)), IF(LEN(E3172)-LEN(SUBSTITUTE(E3172,"/",""))=1,(RIGHT(E3172,LEN(E3172)-FIND("/",E3172)))-(LEFT(E3172,FIND("/",E3172)-1)),(MID(E3172, SEARCH("/",E3172) + 1, SEARCH("/",E3172, SEARCH("/",E3172)+1) - SEARCH("/",E3172) - 1))-(LEFT(E3172,FIND("/",E3172)-1))), "NA"))</f>
        <v/>
      </c>
      <c r="K3172" s="79">
        <f>IF(A3172&lt;&gt;"", IF(ISBLANK(L3172), TODAY(), K3172), "")</f>
        <v/>
      </c>
      <c r="L3172" s="78" t="n"/>
      <c r="M3172" s="78">
        <f>IF(ISBLANK(L3172),"",IF(D3172="Stock",IF(C3172="Buy",L3172*G3172,IF(C3172="Sell",(L3172*G3172)-I3172, X)),IF(C3172="Buy",(L3172*G3172*100)+I3172,IF(C3172="Sell",(L3172*G3172*100)-I3172, X))))</f>
        <v/>
      </c>
      <c r="N3172" s="78">
        <f>IF(ISBLANK(L3172),"",IF(AND(C3172="Sell",D3172="Stock"),M3172,IF(ISBLANK(L3172),"",IF(C3172="Buy",M3172, IF(AND(C3172="Sell",J3172="NA"),(E3172*G3172*100*0.1)+I3172, IF(C3172="Sell",(J3172-L3172)*(100*G3172)+I3172))))))</f>
        <v/>
      </c>
      <c r="O3172" s="75" t="n"/>
      <c r="P3172" s="75" t="n"/>
      <c r="Q3172" s="75">
        <f>IF(ISBLANK(P3172),"",IF(D3172="Stock",P3172*G3172,IF(P3172=0,"0",G3172*P3172*100-(G3172*$AF$14))))</f>
        <v/>
      </c>
      <c r="R3172" s="79">
        <f>IF(P3172&lt;&gt;"", TODAY(), "")</f>
        <v/>
      </c>
      <c r="S3172" s="78">
        <f>IF(AND(K3172&lt;&gt;"", R3172&lt;&gt;""), R3172-K3172, "")</f>
        <v/>
      </c>
      <c r="T3172" s="78" t="n"/>
      <c r="U3172" s="92">
        <f>IF(ISBLANK(P3172),"",IF(C3172="Buy",Q3172-M3172+T3172, IF(C3172="Sell",M3172-Q3172-T3172, X)))</f>
        <v/>
      </c>
      <c r="V3172" s="81">
        <f>IF(ISBLANK(P3172),"",U3172/N3172)</f>
        <v/>
      </c>
      <c r="W3172" s="81">
        <f>IF(ISBLANK(P3172),"",IF(S3172=0,(365/0.5)*V3172,(365/S3172)*V3172))</f>
        <v/>
      </c>
      <c r="X3172" s="75" t="n"/>
      <c r="Y3172" s="77" t="n"/>
      <c r="Z3172" s="77" t="n"/>
      <c r="AA3172" s="75" t="n"/>
      <c r="AB3172" s="75" t="n"/>
      <c r="AC3172" s="6" t="n"/>
      <c r="AD3172" s="75" t="n"/>
      <c r="AE3172" s="75" t="n"/>
      <c r="AF3172" s="75" t="n"/>
    </row>
    <row r="3173" ht="15.75" customHeight="1" s="133">
      <c r="A3173" s="75" t="n"/>
      <c r="B3173" s="75" t="n"/>
      <c r="C3173" s="75" t="n"/>
      <c r="D3173" s="75" t="n"/>
      <c r="E3173" s="76" t="n"/>
      <c r="F3173" s="77" t="n"/>
      <c r="G3173" s="75" t="n"/>
      <c r="H3173" s="75">
        <f>IF(ISBLANK(E3173),"",IF(OR(D3173="Butterfly",D3173="Butterfly ",D3173="Iron Fly", D3173="Iron Fly "),LEN(E3173)-LEN(SUBSTITUTE(E3173,"/",""))+2,LEN(E3173)-LEN(SUBSTITUTE(E3173,"/",""))+1))</f>
        <v/>
      </c>
      <c r="I3173" s="78">
        <f>IF(ISBLANK(G3173),"",IF(D3173="Stock","0",Key!$A$3*H3173*G3173))</f>
        <v/>
      </c>
      <c r="J3173" s="78">
        <f>IF(ISBLANK(E3173),"",IF(ISNUMBER(SEARCH("/",E3173)), IF(LEN(E3173)-LEN(SUBSTITUTE(E3173,"/",""))=1,(RIGHT(E3173,LEN(E3173)-FIND("/",E3173)))-(LEFT(E3173,FIND("/",E3173)-1)),(MID(E3173, SEARCH("/",E3173) + 1, SEARCH("/",E3173, SEARCH("/",E3173)+1) - SEARCH("/",E3173) - 1))-(LEFT(E3173,FIND("/",E3173)-1))), "NA"))</f>
        <v/>
      </c>
      <c r="K3173" s="79">
        <f>IF(A3173&lt;&gt;"", IF(ISBLANK(L3173), TODAY(), K3173), "")</f>
        <v/>
      </c>
      <c r="L3173" s="78" t="n"/>
      <c r="M3173" s="78">
        <f>IF(ISBLANK(L3173),"",IF(D3173="Stock",IF(C3173="Buy",L3173*G3173,IF(C3173="Sell",(L3173*G3173)-I3173, X)),IF(C3173="Buy",(L3173*G3173*100)+I3173,IF(C3173="Sell",(L3173*G3173*100)-I3173, X))))</f>
        <v/>
      </c>
      <c r="N3173" s="78">
        <f>IF(ISBLANK(L3173),"",IF(AND(C3173="Sell",D3173="Stock"),M3173,IF(ISBLANK(L3173),"",IF(C3173="Buy",M3173, IF(AND(C3173="Sell",J3173="NA"),(E3173*G3173*100*0.1)+I3173, IF(C3173="Sell",(J3173-L3173)*(100*G3173)+I3173))))))</f>
        <v/>
      </c>
      <c r="O3173" s="75" t="n"/>
      <c r="P3173" s="75" t="n"/>
      <c r="Q3173" s="75">
        <f>IF(ISBLANK(P3173),"",IF(D3173="Stock",P3173*G3173,IF(P3173=0,"0",G3173*P3173*100-(G3173*$AF$14))))</f>
        <v/>
      </c>
      <c r="R3173" s="79">
        <f>IF(P3173&lt;&gt;"", TODAY(), "")</f>
        <v/>
      </c>
      <c r="S3173" s="78">
        <f>IF(AND(K3173&lt;&gt;"", R3173&lt;&gt;""), R3173-K3173, "")</f>
        <v/>
      </c>
      <c r="T3173" s="78" t="n"/>
      <c r="U3173" s="92">
        <f>IF(ISBLANK(P3173),"",IF(C3173="Buy",Q3173-M3173+T3173, IF(C3173="Sell",M3173-Q3173-T3173, X)))</f>
        <v/>
      </c>
      <c r="V3173" s="81">
        <f>IF(ISBLANK(P3173),"",U3173/N3173)</f>
        <v/>
      </c>
      <c r="W3173" s="81">
        <f>IF(ISBLANK(P3173),"",IF(S3173=0,(365/0.5)*V3173,(365/S3173)*V3173))</f>
        <v/>
      </c>
      <c r="X3173" s="75" t="n"/>
      <c r="Y3173" s="77" t="n"/>
      <c r="Z3173" s="77" t="n"/>
      <c r="AA3173" s="75" t="n"/>
      <c r="AB3173" s="75" t="n"/>
      <c r="AC3173" s="6" t="n"/>
      <c r="AD3173" s="75" t="n"/>
      <c r="AE3173" s="75" t="n"/>
      <c r="AF3173" s="75" t="n"/>
    </row>
    <row r="3174" ht="15.75" customHeight="1" s="133">
      <c r="A3174" s="75" t="n"/>
      <c r="B3174" s="75" t="n"/>
      <c r="C3174" s="75" t="n"/>
      <c r="D3174" s="75" t="n"/>
      <c r="E3174" s="76" t="n"/>
      <c r="F3174" s="77" t="n"/>
      <c r="G3174" s="75" t="n"/>
      <c r="H3174" s="75">
        <f>IF(ISBLANK(E3174),"",IF(OR(D3174="Butterfly",D3174="Butterfly ",D3174="Iron Fly", D3174="Iron Fly "),LEN(E3174)-LEN(SUBSTITUTE(E3174,"/",""))+2,LEN(E3174)-LEN(SUBSTITUTE(E3174,"/",""))+1))</f>
        <v/>
      </c>
      <c r="I3174" s="78">
        <f>IF(ISBLANK(G3174),"",IF(D3174="Stock","0",Key!$A$3*H3174*G3174))</f>
        <v/>
      </c>
      <c r="J3174" s="78">
        <f>IF(ISBLANK(E3174),"",IF(ISNUMBER(SEARCH("/",E3174)), IF(LEN(E3174)-LEN(SUBSTITUTE(E3174,"/",""))=1,(RIGHT(E3174,LEN(E3174)-FIND("/",E3174)))-(LEFT(E3174,FIND("/",E3174)-1)),(MID(E3174, SEARCH("/",E3174) + 1, SEARCH("/",E3174, SEARCH("/",E3174)+1) - SEARCH("/",E3174) - 1))-(LEFT(E3174,FIND("/",E3174)-1))), "NA"))</f>
        <v/>
      </c>
      <c r="K3174" s="79">
        <f>IF(A3174&lt;&gt;"", IF(ISBLANK(L3174), TODAY(), K3174), "")</f>
        <v/>
      </c>
      <c r="L3174" s="78" t="n"/>
      <c r="M3174" s="78">
        <f>IF(ISBLANK(L3174),"",IF(D3174="Stock",IF(C3174="Buy",L3174*G3174,IF(C3174="Sell",(L3174*G3174)-I3174, X)),IF(C3174="Buy",(L3174*G3174*100)+I3174,IF(C3174="Sell",(L3174*G3174*100)-I3174, X))))</f>
        <v/>
      </c>
      <c r="N3174" s="78">
        <f>IF(ISBLANK(L3174),"",IF(AND(C3174="Sell",D3174="Stock"),M3174,IF(ISBLANK(L3174),"",IF(C3174="Buy",M3174, IF(AND(C3174="Sell",J3174="NA"),(E3174*G3174*100*0.1)+I3174, IF(C3174="Sell",(J3174-L3174)*(100*G3174)+I3174))))))</f>
        <v/>
      </c>
      <c r="O3174" s="75" t="n"/>
      <c r="P3174" s="75" t="n"/>
      <c r="Q3174" s="75">
        <f>IF(ISBLANK(P3174),"",IF(D3174="Stock",P3174*G3174,IF(P3174=0,"0",G3174*P3174*100-(G3174*$AF$14))))</f>
        <v/>
      </c>
      <c r="R3174" s="79">
        <f>IF(P3174&lt;&gt;"", TODAY(), "")</f>
        <v/>
      </c>
      <c r="S3174" s="78">
        <f>IF(AND(K3174&lt;&gt;"", R3174&lt;&gt;""), R3174-K3174, "")</f>
        <v/>
      </c>
      <c r="T3174" s="78" t="n"/>
      <c r="U3174" s="92">
        <f>IF(ISBLANK(P3174),"",IF(C3174="Buy",Q3174-M3174+T3174, IF(C3174="Sell",M3174-Q3174-T3174, X)))</f>
        <v/>
      </c>
      <c r="V3174" s="81">
        <f>IF(ISBLANK(P3174),"",U3174/N3174)</f>
        <v/>
      </c>
      <c r="W3174" s="81">
        <f>IF(ISBLANK(P3174),"",IF(S3174=0,(365/0.5)*V3174,(365/S3174)*V3174))</f>
        <v/>
      </c>
      <c r="X3174" s="75" t="n"/>
      <c r="Y3174" s="77" t="n"/>
      <c r="Z3174" s="77" t="n"/>
      <c r="AA3174" s="75" t="n"/>
      <c r="AB3174" s="75" t="n"/>
      <c r="AC3174" s="6" t="n"/>
      <c r="AD3174" s="75" t="n"/>
      <c r="AE3174" s="75" t="n"/>
      <c r="AF3174" s="75" t="n"/>
    </row>
    <row r="3175" ht="15.75" customHeight="1" s="133">
      <c r="A3175" s="75" t="n"/>
      <c r="B3175" s="75" t="n"/>
      <c r="C3175" s="75" t="n"/>
      <c r="D3175" s="75" t="n"/>
      <c r="E3175" s="76" t="n"/>
      <c r="F3175" s="77" t="n"/>
      <c r="G3175" s="75" t="n"/>
      <c r="H3175" s="75">
        <f>IF(ISBLANK(E3175),"",IF(OR(D3175="Butterfly",D3175="Butterfly ",D3175="Iron Fly", D3175="Iron Fly "),LEN(E3175)-LEN(SUBSTITUTE(E3175,"/",""))+2,LEN(E3175)-LEN(SUBSTITUTE(E3175,"/",""))+1))</f>
        <v/>
      </c>
      <c r="I3175" s="78">
        <f>IF(ISBLANK(G3175),"",IF(D3175="Stock","0",Key!$A$3*H3175*G3175))</f>
        <v/>
      </c>
      <c r="J3175" s="78">
        <f>IF(ISBLANK(E3175),"",IF(ISNUMBER(SEARCH("/",E3175)), IF(LEN(E3175)-LEN(SUBSTITUTE(E3175,"/",""))=1,(RIGHT(E3175,LEN(E3175)-FIND("/",E3175)))-(LEFT(E3175,FIND("/",E3175)-1)),(MID(E3175, SEARCH("/",E3175) + 1, SEARCH("/",E3175, SEARCH("/",E3175)+1) - SEARCH("/",E3175) - 1))-(LEFT(E3175,FIND("/",E3175)-1))), "NA"))</f>
        <v/>
      </c>
      <c r="K3175" s="79">
        <f>IF(A3175&lt;&gt;"", IF(ISBLANK(L3175), TODAY(), K3175), "")</f>
        <v/>
      </c>
      <c r="L3175" s="78" t="n"/>
      <c r="M3175" s="78">
        <f>IF(ISBLANK(L3175),"",IF(D3175="Stock",IF(C3175="Buy",L3175*G3175,IF(C3175="Sell",(L3175*G3175)-I3175, X)),IF(C3175="Buy",(L3175*G3175*100)+I3175,IF(C3175="Sell",(L3175*G3175*100)-I3175, X))))</f>
        <v/>
      </c>
      <c r="N3175" s="78">
        <f>IF(ISBLANK(L3175),"",IF(AND(C3175="Sell",D3175="Stock"),M3175,IF(ISBLANK(L3175),"",IF(C3175="Buy",M3175, IF(AND(C3175="Sell",J3175="NA"),(E3175*G3175*100*0.1)+I3175, IF(C3175="Sell",(J3175-L3175)*(100*G3175)+I3175))))))</f>
        <v/>
      </c>
      <c r="O3175" s="75" t="n"/>
      <c r="P3175" s="75" t="n"/>
      <c r="Q3175" s="75">
        <f>IF(ISBLANK(P3175),"",IF(D3175="Stock",P3175*G3175,IF(P3175=0,"0",G3175*P3175*100-(G3175*$AF$14))))</f>
        <v/>
      </c>
      <c r="R3175" s="79">
        <f>IF(P3175&lt;&gt;"", TODAY(), "")</f>
        <v/>
      </c>
      <c r="S3175" s="78">
        <f>IF(AND(K3175&lt;&gt;"", R3175&lt;&gt;""), R3175-K3175, "")</f>
        <v/>
      </c>
      <c r="T3175" s="78" t="n"/>
      <c r="U3175" s="92">
        <f>IF(ISBLANK(P3175),"",IF(C3175="Buy",Q3175-M3175+T3175, IF(C3175="Sell",M3175-Q3175-T3175, X)))</f>
        <v/>
      </c>
      <c r="V3175" s="81">
        <f>IF(ISBLANK(P3175),"",U3175/N3175)</f>
        <v/>
      </c>
      <c r="W3175" s="81">
        <f>IF(ISBLANK(P3175),"",IF(S3175=0,(365/0.5)*V3175,(365/S3175)*V3175))</f>
        <v/>
      </c>
      <c r="X3175" s="75" t="n"/>
      <c r="Y3175" s="77" t="n"/>
      <c r="Z3175" s="77" t="n"/>
      <c r="AA3175" s="75" t="n"/>
      <c r="AB3175" s="75" t="n"/>
      <c r="AC3175" s="6" t="n"/>
      <c r="AD3175" s="75" t="n"/>
      <c r="AE3175" s="75" t="n"/>
      <c r="AF3175" s="75" t="n"/>
    </row>
    <row r="3176" ht="15.75" customHeight="1" s="133">
      <c r="A3176" s="75" t="n"/>
      <c r="B3176" s="75" t="n"/>
      <c r="C3176" s="75" t="n"/>
      <c r="D3176" s="75" t="n"/>
      <c r="E3176" s="76" t="n"/>
      <c r="F3176" s="77" t="n"/>
      <c r="G3176" s="75" t="n"/>
      <c r="H3176" s="75">
        <f>IF(ISBLANK(E3176),"",IF(OR(D3176="Butterfly",D3176="Butterfly ",D3176="Iron Fly", D3176="Iron Fly "),LEN(E3176)-LEN(SUBSTITUTE(E3176,"/",""))+2,LEN(E3176)-LEN(SUBSTITUTE(E3176,"/",""))+1))</f>
        <v/>
      </c>
      <c r="I3176" s="78">
        <f>IF(ISBLANK(G3176),"",IF(D3176="Stock","0",Key!$A$3*H3176*G3176))</f>
        <v/>
      </c>
      <c r="J3176" s="78">
        <f>IF(ISBLANK(E3176),"",IF(ISNUMBER(SEARCH("/",E3176)), IF(LEN(E3176)-LEN(SUBSTITUTE(E3176,"/",""))=1,(RIGHT(E3176,LEN(E3176)-FIND("/",E3176)))-(LEFT(E3176,FIND("/",E3176)-1)),(MID(E3176, SEARCH("/",E3176) + 1, SEARCH("/",E3176, SEARCH("/",E3176)+1) - SEARCH("/",E3176) - 1))-(LEFT(E3176,FIND("/",E3176)-1))), "NA"))</f>
        <v/>
      </c>
      <c r="K3176" s="79">
        <f>IF(A3176&lt;&gt;"", IF(ISBLANK(L3176), TODAY(), K3176), "")</f>
        <v/>
      </c>
      <c r="L3176" s="78" t="n"/>
      <c r="M3176" s="78">
        <f>IF(ISBLANK(L3176),"",IF(D3176="Stock",IF(C3176="Buy",L3176*G3176,IF(C3176="Sell",(L3176*G3176)-I3176, X)),IF(C3176="Buy",(L3176*G3176*100)+I3176,IF(C3176="Sell",(L3176*G3176*100)-I3176, X))))</f>
        <v/>
      </c>
      <c r="N3176" s="78">
        <f>IF(ISBLANK(L3176),"",IF(AND(C3176="Sell",D3176="Stock"),M3176,IF(ISBLANK(L3176),"",IF(C3176="Buy",M3176, IF(AND(C3176="Sell",J3176="NA"),(E3176*G3176*100*0.1)+I3176, IF(C3176="Sell",(J3176-L3176)*(100*G3176)+I3176))))))</f>
        <v/>
      </c>
      <c r="O3176" s="75" t="n"/>
      <c r="P3176" s="75" t="n"/>
      <c r="Q3176" s="75">
        <f>IF(ISBLANK(P3176),"",IF(D3176="Stock",P3176*G3176,IF(P3176=0,"0",G3176*P3176*100-(G3176*$AF$14))))</f>
        <v/>
      </c>
      <c r="R3176" s="79">
        <f>IF(P3176&lt;&gt;"", TODAY(), "")</f>
        <v/>
      </c>
      <c r="S3176" s="78">
        <f>IF(AND(K3176&lt;&gt;"", R3176&lt;&gt;""), R3176-K3176, "")</f>
        <v/>
      </c>
      <c r="T3176" s="78" t="n"/>
      <c r="U3176" s="92">
        <f>IF(ISBLANK(P3176),"",IF(C3176="Buy",Q3176-M3176+T3176, IF(C3176="Sell",M3176-Q3176-T3176, X)))</f>
        <v/>
      </c>
      <c r="V3176" s="81">
        <f>IF(ISBLANK(P3176),"",U3176/N3176)</f>
        <v/>
      </c>
      <c r="W3176" s="81">
        <f>IF(ISBLANK(P3176),"",IF(S3176=0,(365/0.5)*V3176,(365/S3176)*V3176))</f>
        <v/>
      </c>
      <c r="X3176" s="75" t="n"/>
      <c r="Y3176" s="77" t="n"/>
      <c r="Z3176" s="77" t="n"/>
      <c r="AA3176" s="75" t="n"/>
      <c r="AB3176" s="75" t="n"/>
      <c r="AC3176" s="6" t="n"/>
      <c r="AD3176" s="75" t="n"/>
      <c r="AE3176" s="75" t="n"/>
      <c r="AF3176" s="75" t="n"/>
    </row>
    <row r="3177" ht="15.75" customHeight="1" s="133">
      <c r="A3177" s="75" t="n"/>
      <c r="B3177" s="75" t="n"/>
      <c r="C3177" s="75" t="n"/>
      <c r="D3177" s="75" t="n"/>
      <c r="E3177" s="76" t="n"/>
      <c r="F3177" s="77" t="n"/>
      <c r="G3177" s="75" t="n"/>
      <c r="H3177" s="75">
        <f>IF(ISBLANK(E3177),"",IF(OR(D3177="Butterfly",D3177="Butterfly ",D3177="Iron Fly", D3177="Iron Fly "),LEN(E3177)-LEN(SUBSTITUTE(E3177,"/",""))+2,LEN(E3177)-LEN(SUBSTITUTE(E3177,"/",""))+1))</f>
        <v/>
      </c>
      <c r="I3177" s="78">
        <f>IF(ISBLANK(G3177),"",IF(D3177="Stock","0",Key!$A$3*H3177*G3177))</f>
        <v/>
      </c>
      <c r="J3177" s="78">
        <f>IF(ISBLANK(E3177),"",IF(ISNUMBER(SEARCH("/",E3177)), IF(LEN(E3177)-LEN(SUBSTITUTE(E3177,"/",""))=1,(RIGHT(E3177,LEN(E3177)-FIND("/",E3177)))-(LEFT(E3177,FIND("/",E3177)-1)),(MID(E3177, SEARCH("/",E3177) + 1, SEARCH("/",E3177, SEARCH("/",E3177)+1) - SEARCH("/",E3177) - 1))-(LEFT(E3177,FIND("/",E3177)-1))), "NA"))</f>
        <v/>
      </c>
      <c r="K3177" s="79">
        <f>IF(A3177&lt;&gt;"", IF(ISBLANK(L3177), TODAY(), K3177), "")</f>
        <v/>
      </c>
      <c r="L3177" s="78" t="n"/>
      <c r="M3177" s="78">
        <f>IF(ISBLANK(L3177),"",IF(D3177="Stock",IF(C3177="Buy",L3177*G3177,IF(C3177="Sell",(L3177*G3177)-I3177, X)),IF(C3177="Buy",(L3177*G3177*100)+I3177,IF(C3177="Sell",(L3177*G3177*100)-I3177, X))))</f>
        <v/>
      </c>
      <c r="N3177" s="78">
        <f>IF(ISBLANK(L3177),"",IF(AND(C3177="Sell",D3177="Stock"),M3177,IF(ISBLANK(L3177),"",IF(C3177="Buy",M3177, IF(AND(C3177="Sell",J3177="NA"),(E3177*G3177*100*0.1)+I3177, IF(C3177="Sell",(J3177-L3177)*(100*G3177)+I3177))))))</f>
        <v/>
      </c>
      <c r="O3177" s="75" t="n"/>
      <c r="P3177" s="75" t="n"/>
      <c r="Q3177" s="75">
        <f>IF(ISBLANK(P3177),"",IF(D3177="Stock",P3177*G3177,IF(P3177=0,"0",G3177*P3177*100-(G3177*$AF$14))))</f>
        <v/>
      </c>
      <c r="R3177" s="79">
        <f>IF(P3177&lt;&gt;"", TODAY(), "")</f>
        <v/>
      </c>
      <c r="S3177" s="78">
        <f>IF(AND(K3177&lt;&gt;"", R3177&lt;&gt;""), R3177-K3177, "")</f>
        <v/>
      </c>
      <c r="T3177" s="78" t="n"/>
      <c r="U3177" s="92">
        <f>IF(ISBLANK(P3177),"",IF(C3177="Buy",Q3177-M3177+T3177, IF(C3177="Sell",M3177-Q3177-T3177, X)))</f>
        <v/>
      </c>
      <c r="V3177" s="81">
        <f>IF(ISBLANK(P3177),"",U3177/N3177)</f>
        <v/>
      </c>
      <c r="W3177" s="81">
        <f>IF(ISBLANK(P3177),"",IF(S3177=0,(365/0.5)*V3177,(365/S3177)*V3177))</f>
        <v/>
      </c>
      <c r="X3177" s="75" t="n"/>
      <c r="Y3177" s="77" t="n"/>
      <c r="Z3177" s="77" t="n"/>
      <c r="AA3177" s="75" t="n"/>
      <c r="AB3177" s="75" t="n"/>
      <c r="AC3177" s="6" t="n"/>
      <c r="AD3177" s="75" t="n"/>
      <c r="AE3177" s="75" t="n"/>
      <c r="AF3177" s="75" t="n"/>
    </row>
    <row r="3178" ht="15.75" customHeight="1" s="133">
      <c r="A3178" s="75" t="n"/>
      <c r="B3178" s="75" t="n"/>
      <c r="C3178" s="75" t="n"/>
      <c r="D3178" s="75" t="n"/>
      <c r="E3178" s="76" t="n"/>
      <c r="F3178" s="77" t="n"/>
      <c r="G3178" s="75" t="n"/>
      <c r="H3178" s="75">
        <f>IF(ISBLANK(E3178),"",IF(OR(D3178="Butterfly",D3178="Butterfly ",D3178="Iron Fly", D3178="Iron Fly "),LEN(E3178)-LEN(SUBSTITUTE(E3178,"/",""))+2,LEN(E3178)-LEN(SUBSTITUTE(E3178,"/",""))+1))</f>
        <v/>
      </c>
      <c r="I3178" s="78">
        <f>IF(ISBLANK(G3178),"",IF(D3178="Stock","0",Key!$A$3*H3178*G3178))</f>
        <v/>
      </c>
      <c r="J3178" s="78">
        <f>IF(ISBLANK(E3178),"",IF(ISNUMBER(SEARCH("/",E3178)), IF(LEN(E3178)-LEN(SUBSTITUTE(E3178,"/",""))=1,(RIGHT(E3178,LEN(E3178)-FIND("/",E3178)))-(LEFT(E3178,FIND("/",E3178)-1)),(MID(E3178, SEARCH("/",E3178) + 1, SEARCH("/",E3178, SEARCH("/",E3178)+1) - SEARCH("/",E3178) - 1))-(LEFT(E3178,FIND("/",E3178)-1))), "NA"))</f>
        <v/>
      </c>
      <c r="K3178" s="79">
        <f>IF(A3178&lt;&gt;"", IF(ISBLANK(L3178), TODAY(), K3178), "")</f>
        <v/>
      </c>
      <c r="L3178" s="78" t="n"/>
      <c r="M3178" s="78">
        <f>IF(ISBLANK(L3178),"",IF(D3178="Stock",IF(C3178="Buy",L3178*G3178,IF(C3178="Sell",(L3178*G3178)-I3178, X)),IF(C3178="Buy",(L3178*G3178*100)+I3178,IF(C3178="Sell",(L3178*G3178*100)-I3178, X))))</f>
        <v/>
      </c>
      <c r="N3178" s="78">
        <f>IF(ISBLANK(L3178),"",IF(AND(C3178="Sell",D3178="Stock"),M3178,IF(ISBLANK(L3178),"",IF(C3178="Buy",M3178, IF(AND(C3178="Sell",J3178="NA"),(E3178*G3178*100*0.1)+I3178, IF(C3178="Sell",(J3178-L3178)*(100*G3178)+I3178))))))</f>
        <v/>
      </c>
      <c r="O3178" s="75" t="n"/>
      <c r="P3178" s="75" t="n"/>
      <c r="Q3178" s="75">
        <f>IF(ISBLANK(P3178),"",IF(D3178="Stock",P3178*G3178,IF(P3178=0,"0",G3178*P3178*100-(G3178*$AF$14))))</f>
        <v/>
      </c>
      <c r="R3178" s="79">
        <f>IF(P3178&lt;&gt;"", TODAY(), "")</f>
        <v/>
      </c>
      <c r="S3178" s="78">
        <f>IF(AND(K3178&lt;&gt;"", R3178&lt;&gt;""), R3178-K3178, "")</f>
        <v/>
      </c>
      <c r="T3178" s="78" t="n"/>
      <c r="U3178" s="92">
        <f>IF(ISBLANK(P3178),"",IF(C3178="Buy",Q3178-M3178+T3178, IF(C3178="Sell",M3178-Q3178-T3178, X)))</f>
        <v/>
      </c>
      <c r="V3178" s="81">
        <f>IF(ISBLANK(P3178),"",U3178/N3178)</f>
        <v/>
      </c>
      <c r="W3178" s="81">
        <f>IF(ISBLANK(P3178),"",IF(S3178=0,(365/0.5)*V3178,(365/S3178)*V3178))</f>
        <v/>
      </c>
      <c r="X3178" s="75" t="n"/>
      <c r="Y3178" s="77" t="n"/>
      <c r="Z3178" s="77" t="n"/>
      <c r="AA3178" s="75" t="n"/>
      <c r="AB3178" s="75" t="n"/>
      <c r="AC3178" s="6" t="n"/>
      <c r="AD3178" s="75" t="n"/>
      <c r="AE3178" s="75" t="n"/>
      <c r="AF3178" s="75" t="n"/>
    </row>
    <row r="3179" ht="15.75" customHeight="1" s="133">
      <c r="A3179" s="75" t="n"/>
      <c r="B3179" s="75" t="n"/>
      <c r="C3179" s="75" t="n"/>
      <c r="D3179" s="75" t="n"/>
      <c r="E3179" s="76" t="n"/>
      <c r="F3179" s="77" t="n"/>
      <c r="G3179" s="75" t="n"/>
      <c r="H3179" s="75">
        <f>IF(ISBLANK(E3179),"",IF(OR(D3179="Butterfly",D3179="Butterfly ",D3179="Iron Fly", D3179="Iron Fly "),LEN(E3179)-LEN(SUBSTITUTE(E3179,"/",""))+2,LEN(E3179)-LEN(SUBSTITUTE(E3179,"/",""))+1))</f>
        <v/>
      </c>
      <c r="I3179" s="78">
        <f>IF(ISBLANK(G3179),"",IF(D3179="Stock","0",Key!$A$3*H3179*G3179))</f>
        <v/>
      </c>
      <c r="J3179" s="78">
        <f>IF(ISBLANK(E3179),"",IF(ISNUMBER(SEARCH("/",E3179)), IF(LEN(E3179)-LEN(SUBSTITUTE(E3179,"/",""))=1,(RIGHT(E3179,LEN(E3179)-FIND("/",E3179)))-(LEFT(E3179,FIND("/",E3179)-1)),(MID(E3179, SEARCH("/",E3179) + 1, SEARCH("/",E3179, SEARCH("/",E3179)+1) - SEARCH("/",E3179) - 1))-(LEFT(E3179,FIND("/",E3179)-1))), "NA"))</f>
        <v/>
      </c>
      <c r="K3179" s="79">
        <f>IF(A3179&lt;&gt;"", IF(ISBLANK(L3179), TODAY(), K3179), "")</f>
        <v/>
      </c>
      <c r="L3179" s="78" t="n"/>
      <c r="M3179" s="78">
        <f>IF(ISBLANK(L3179),"",IF(D3179="Stock",IF(C3179="Buy",L3179*G3179,IF(C3179="Sell",(L3179*G3179)-I3179, X)),IF(C3179="Buy",(L3179*G3179*100)+I3179,IF(C3179="Sell",(L3179*G3179*100)-I3179, X))))</f>
        <v/>
      </c>
      <c r="N3179" s="78">
        <f>IF(ISBLANK(L3179),"",IF(AND(C3179="Sell",D3179="Stock"),M3179,IF(ISBLANK(L3179),"",IF(C3179="Buy",M3179, IF(AND(C3179="Sell",J3179="NA"),(E3179*G3179*100*0.1)+I3179, IF(C3179="Sell",(J3179-L3179)*(100*G3179)+I3179))))))</f>
        <v/>
      </c>
      <c r="O3179" s="75" t="n"/>
      <c r="P3179" s="75" t="n"/>
      <c r="Q3179" s="75">
        <f>IF(ISBLANK(P3179),"",IF(D3179="Stock",P3179*G3179,IF(P3179=0,"0",G3179*P3179*100-(G3179*$AF$14))))</f>
        <v/>
      </c>
      <c r="R3179" s="79">
        <f>IF(P3179&lt;&gt;"", TODAY(), "")</f>
        <v/>
      </c>
      <c r="S3179" s="78">
        <f>IF(AND(K3179&lt;&gt;"", R3179&lt;&gt;""), R3179-K3179, "")</f>
        <v/>
      </c>
      <c r="T3179" s="78" t="n"/>
      <c r="U3179" s="92">
        <f>IF(ISBLANK(P3179),"",IF(C3179="Buy",Q3179-M3179+T3179, IF(C3179="Sell",M3179-Q3179-T3179, X)))</f>
        <v/>
      </c>
      <c r="V3179" s="81">
        <f>IF(ISBLANK(P3179),"",U3179/N3179)</f>
        <v/>
      </c>
      <c r="W3179" s="81">
        <f>IF(ISBLANK(P3179),"",IF(S3179=0,(365/0.5)*V3179,(365/S3179)*V3179))</f>
        <v/>
      </c>
      <c r="X3179" s="75" t="n"/>
      <c r="Y3179" s="77" t="n"/>
      <c r="Z3179" s="77" t="n"/>
      <c r="AA3179" s="75" t="n"/>
      <c r="AB3179" s="75" t="n"/>
      <c r="AC3179" s="6" t="n"/>
      <c r="AD3179" s="75" t="n"/>
      <c r="AE3179" s="75" t="n"/>
      <c r="AF3179" s="75" t="n"/>
    </row>
    <row r="3180" ht="15.75" customHeight="1" s="133">
      <c r="A3180" s="75" t="n"/>
      <c r="B3180" s="75" t="n"/>
      <c r="C3180" s="75" t="n"/>
      <c r="D3180" s="75" t="n"/>
      <c r="E3180" s="76" t="n"/>
      <c r="F3180" s="77" t="n"/>
      <c r="G3180" s="75" t="n"/>
      <c r="H3180" s="75">
        <f>IF(ISBLANK(E3180),"",IF(OR(D3180="Butterfly",D3180="Butterfly ",D3180="Iron Fly", D3180="Iron Fly "),LEN(E3180)-LEN(SUBSTITUTE(E3180,"/",""))+2,LEN(E3180)-LEN(SUBSTITUTE(E3180,"/",""))+1))</f>
        <v/>
      </c>
      <c r="I3180" s="78">
        <f>IF(ISBLANK(G3180),"",IF(D3180="Stock","0",Key!$A$3*H3180*G3180))</f>
        <v/>
      </c>
      <c r="J3180" s="78">
        <f>IF(ISBLANK(E3180),"",IF(ISNUMBER(SEARCH("/",E3180)), IF(LEN(E3180)-LEN(SUBSTITUTE(E3180,"/",""))=1,(RIGHT(E3180,LEN(E3180)-FIND("/",E3180)))-(LEFT(E3180,FIND("/",E3180)-1)),(MID(E3180, SEARCH("/",E3180) + 1, SEARCH("/",E3180, SEARCH("/",E3180)+1) - SEARCH("/",E3180) - 1))-(LEFT(E3180,FIND("/",E3180)-1))), "NA"))</f>
        <v/>
      </c>
      <c r="K3180" s="79">
        <f>IF(A3180&lt;&gt;"", IF(ISBLANK(L3180), TODAY(), K3180), "")</f>
        <v/>
      </c>
      <c r="L3180" s="78" t="n"/>
      <c r="M3180" s="78">
        <f>IF(ISBLANK(L3180),"",IF(D3180="Stock",IF(C3180="Buy",L3180*G3180,IF(C3180="Sell",(L3180*G3180)-I3180, X)),IF(C3180="Buy",(L3180*G3180*100)+I3180,IF(C3180="Sell",(L3180*G3180*100)-I3180, X))))</f>
        <v/>
      </c>
      <c r="N3180" s="78">
        <f>IF(ISBLANK(L3180),"",IF(AND(C3180="Sell",D3180="Stock"),M3180,IF(ISBLANK(L3180),"",IF(C3180="Buy",M3180, IF(AND(C3180="Sell",J3180="NA"),(E3180*G3180*100*0.1)+I3180, IF(C3180="Sell",(J3180-L3180)*(100*G3180)+I3180))))))</f>
        <v/>
      </c>
      <c r="O3180" s="75" t="n"/>
      <c r="P3180" s="75" t="n"/>
      <c r="Q3180" s="75">
        <f>IF(ISBLANK(P3180),"",IF(D3180="Stock",P3180*G3180,IF(P3180=0,"0",G3180*P3180*100-(G3180*$AF$14))))</f>
        <v/>
      </c>
      <c r="R3180" s="79">
        <f>IF(P3180&lt;&gt;"", TODAY(), "")</f>
        <v/>
      </c>
      <c r="S3180" s="78">
        <f>IF(AND(K3180&lt;&gt;"", R3180&lt;&gt;""), R3180-K3180, "")</f>
        <v/>
      </c>
      <c r="T3180" s="78" t="n"/>
      <c r="U3180" s="92">
        <f>IF(ISBLANK(P3180),"",IF(C3180="Buy",Q3180-M3180+T3180, IF(C3180="Sell",M3180-Q3180-T3180, X)))</f>
        <v/>
      </c>
      <c r="V3180" s="81">
        <f>IF(ISBLANK(P3180),"",U3180/N3180)</f>
        <v/>
      </c>
      <c r="W3180" s="81">
        <f>IF(ISBLANK(P3180),"",IF(S3180=0,(365/0.5)*V3180,(365/S3180)*V3180))</f>
        <v/>
      </c>
      <c r="X3180" s="75" t="n"/>
      <c r="Y3180" s="77" t="n"/>
      <c r="Z3180" s="77" t="n"/>
      <c r="AA3180" s="75" t="n"/>
      <c r="AB3180" s="75" t="n"/>
      <c r="AC3180" s="6" t="n"/>
      <c r="AD3180" s="75" t="n"/>
      <c r="AE3180" s="75" t="n"/>
      <c r="AF3180" s="75" t="n"/>
    </row>
    <row r="3181" ht="15.75" customHeight="1" s="133">
      <c r="A3181" s="75" t="n"/>
      <c r="B3181" s="75" t="n"/>
      <c r="C3181" s="75" t="n"/>
      <c r="D3181" s="75" t="n"/>
      <c r="E3181" s="76" t="n"/>
      <c r="F3181" s="77" t="n"/>
      <c r="G3181" s="75" t="n"/>
      <c r="H3181" s="75">
        <f>IF(ISBLANK(E3181),"",IF(OR(D3181="Butterfly",D3181="Butterfly ",D3181="Iron Fly", D3181="Iron Fly "),LEN(E3181)-LEN(SUBSTITUTE(E3181,"/",""))+2,LEN(E3181)-LEN(SUBSTITUTE(E3181,"/",""))+1))</f>
        <v/>
      </c>
      <c r="I3181" s="78">
        <f>IF(ISBLANK(G3181),"",IF(D3181="Stock","0",Key!$A$3*H3181*G3181))</f>
        <v/>
      </c>
      <c r="J3181" s="78">
        <f>IF(ISBLANK(E3181),"",IF(ISNUMBER(SEARCH("/",E3181)), IF(LEN(E3181)-LEN(SUBSTITUTE(E3181,"/",""))=1,(RIGHT(E3181,LEN(E3181)-FIND("/",E3181)))-(LEFT(E3181,FIND("/",E3181)-1)),(MID(E3181, SEARCH("/",E3181) + 1, SEARCH("/",E3181, SEARCH("/",E3181)+1) - SEARCH("/",E3181) - 1))-(LEFT(E3181,FIND("/",E3181)-1))), "NA"))</f>
        <v/>
      </c>
      <c r="K3181" s="79">
        <f>IF(A3181&lt;&gt;"", IF(ISBLANK(L3181), TODAY(), K3181), "")</f>
        <v/>
      </c>
      <c r="L3181" s="78" t="n"/>
      <c r="M3181" s="78">
        <f>IF(ISBLANK(L3181),"",IF(D3181="Stock",IF(C3181="Buy",L3181*G3181,IF(C3181="Sell",(L3181*G3181)-I3181, X)),IF(C3181="Buy",(L3181*G3181*100)+I3181,IF(C3181="Sell",(L3181*G3181*100)-I3181, X))))</f>
        <v/>
      </c>
      <c r="N3181" s="78">
        <f>IF(ISBLANK(L3181),"",IF(AND(C3181="Sell",D3181="Stock"),M3181,IF(ISBLANK(L3181),"",IF(C3181="Buy",M3181, IF(AND(C3181="Sell",J3181="NA"),(E3181*G3181*100*0.1)+I3181, IF(C3181="Sell",(J3181-L3181)*(100*G3181)+I3181))))))</f>
        <v/>
      </c>
      <c r="O3181" s="75" t="n"/>
      <c r="P3181" s="75" t="n"/>
      <c r="Q3181" s="75">
        <f>IF(ISBLANK(P3181),"",IF(D3181="Stock",P3181*G3181,IF(P3181=0,"0",G3181*P3181*100-(G3181*$AF$14))))</f>
        <v/>
      </c>
      <c r="R3181" s="79">
        <f>IF(P3181&lt;&gt;"", TODAY(), "")</f>
        <v/>
      </c>
      <c r="S3181" s="78">
        <f>IF(AND(K3181&lt;&gt;"", R3181&lt;&gt;""), R3181-K3181, "")</f>
        <v/>
      </c>
      <c r="T3181" s="78" t="n"/>
      <c r="U3181" s="92">
        <f>IF(ISBLANK(P3181),"",IF(C3181="Buy",Q3181-M3181+T3181, IF(C3181="Sell",M3181-Q3181-T3181, X)))</f>
        <v/>
      </c>
      <c r="V3181" s="81">
        <f>IF(ISBLANK(P3181),"",U3181/N3181)</f>
        <v/>
      </c>
      <c r="W3181" s="81">
        <f>IF(ISBLANK(P3181),"",IF(S3181=0,(365/0.5)*V3181,(365/S3181)*V3181))</f>
        <v/>
      </c>
      <c r="X3181" s="75" t="n"/>
      <c r="Y3181" s="77" t="n"/>
      <c r="Z3181" s="77" t="n"/>
      <c r="AA3181" s="75" t="n"/>
      <c r="AB3181" s="75" t="n"/>
      <c r="AC3181" s="6" t="n"/>
      <c r="AD3181" s="75" t="n"/>
      <c r="AE3181" s="75" t="n"/>
      <c r="AF3181" s="75" t="n"/>
    </row>
    <row r="3182" ht="15.75" customHeight="1" s="133">
      <c r="A3182" s="75" t="n"/>
      <c r="B3182" s="75" t="n"/>
      <c r="C3182" s="75" t="n"/>
      <c r="D3182" s="75" t="n"/>
      <c r="E3182" s="76" t="n"/>
      <c r="F3182" s="77" t="n"/>
      <c r="G3182" s="75" t="n"/>
      <c r="H3182" s="75">
        <f>IF(ISBLANK(E3182),"",IF(OR(D3182="Butterfly",D3182="Butterfly ",D3182="Iron Fly", D3182="Iron Fly "),LEN(E3182)-LEN(SUBSTITUTE(E3182,"/",""))+2,LEN(E3182)-LEN(SUBSTITUTE(E3182,"/",""))+1))</f>
        <v/>
      </c>
      <c r="I3182" s="78">
        <f>IF(ISBLANK(G3182),"",IF(D3182="Stock","0",Key!$A$3*H3182*G3182))</f>
        <v/>
      </c>
      <c r="J3182" s="78">
        <f>IF(ISBLANK(E3182),"",IF(ISNUMBER(SEARCH("/",E3182)), IF(LEN(E3182)-LEN(SUBSTITUTE(E3182,"/",""))=1,(RIGHT(E3182,LEN(E3182)-FIND("/",E3182)))-(LEFT(E3182,FIND("/",E3182)-1)),(MID(E3182, SEARCH("/",E3182) + 1, SEARCH("/",E3182, SEARCH("/",E3182)+1) - SEARCH("/",E3182) - 1))-(LEFT(E3182,FIND("/",E3182)-1))), "NA"))</f>
        <v/>
      </c>
      <c r="K3182" s="79">
        <f>IF(A3182&lt;&gt;"", IF(ISBLANK(L3182), TODAY(), K3182), "")</f>
        <v/>
      </c>
      <c r="L3182" s="78" t="n"/>
      <c r="M3182" s="78">
        <f>IF(ISBLANK(L3182),"",IF(D3182="Stock",IF(C3182="Buy",L3182*G3182,IF(C3182="Sell",(L3182*G3182)-I3182, X)),IF(C3182="Buy",(L3182*G3182*100)+I3182,IF(C3182="Sell",(L3182*G3182*100)-I3182, X))))</f>
        <v/>
      </c>
      <c r="N3182" s="78">
        <f>IF(ISBLANK(L3182),"",IF(AND(C3182="Sell",D3182="Stock"),M3182,IF(ISBLANK(L3182),"",IF(C3182="Buy",M3182, IF(AND(C3182="Sell",J3182="NA"),(E3182*G3182*100*0.1)+I3182, IF(C3182="Sell",(J3182-L3182)*(100*G3182)+I3182))))))</f>
        <v/>
      </c>
      <c r="O3182" s="75" t="n"/>
      <c r="P3182" s="75" t="n"/>
      <c r="Q3182" s="75">
        <f>IF(ISBLANK(P3182),"",IF(D3182="Stock",P3182*G3182,IF(P3182=0,"0",G3182*P3182*100-(G3182*$AF$14))))</f>
        <v/>
      </c>
      <c r="R3182" s="79">
        <f>IF(P3182&lt;&gt;"", TODAY(), "")</f>
        <v/>
      </c>
      <c r="S3182" s="78">
        <f>IF(AND(K3182&lt;&gt;"", R3182&lt;&gt;""), R3182-K3182, "")</f>
        <v/>
      </c>
      <c r="T3182" s="78" t="n"/>
      <c r="U3182" s="92">
        <f>IF(ISBLANK(P3182),"",IF(C3182="Buy",Q3182-M3182+T3182, IF(C3182="Sell",M3182-Q3182-T3182, X)))</f>
        <v/>
      </c>
      <c r="V3182" s="81">
        <f>IF(ISBLANK(P3182),"",U3182/N3182)</f>
        <v/>
      </c>
      <c r="W3182" s="81">
        <f>IF(ISBLANK(P3182),"",IF(S3182=0,(365/0.5)*V3182,(365/S3182)*V3182))</f>
        <v/>
      </c>
      <c r="X3182" s="75" t="n"/>
      <c r="Y3182" s="77" t="n"/>
      <c r="Z3182" s="77" t="n"/>
      <c r="AA3182" s="75" t="n"/>
      <c r="AB3182" s="75" t="n"/>
      <c r="AC3182" s="6" t="n"/>
      <c r="AD3182" s="75" t="n"/>
      <c r="AE3182" s="75" t="n"/>
      <c r="AF3182" s="75" t="n"/>
    </row>
    <row r="3183" ht="15.75" customHeight="1" s="133">
      <c r="A3183" s="75" t="n"/>
      <c r="B3183" s="75" t="n"/>
      <c r="C3183" s="75" t="n"/>
      <c r="D3183" s="75" t="n"/>
      <c r="E3183" s="76" t="n"/>
      <c r="F3183" s="77" t="n"/>
      <c r="G3183" s="75" t="n"/>
      <c r="H3183" s="75">
        <f>IF(ISBLANK(E3183),"",IF(OR(D3183="Butterfly",D3183="Butterfly ",D3183="Iron Fly", D3183="Iron Fly "),LEN(E3183)-LEN(SUBSTITUTE(E3183,"/",""))+2,LEN(E3183)-LEN(SUBSTITUTE(E3183,"/",""))+1))</f>
        <v/>
      </c>
      <c r="I3183" s="78">
        <f>IF(ISBLANK(G3183),"",IF(D3183="Stock","0",Key!$A$3*H3183*G3183))</f>
        <v/>
      </c>
      <c r="J3183" s="78">
        <f>IF(ISBLANK(E3183),"",IF(ISNUMBER(SEARCH("/",E3183)), IF(LEN(E3183)-LEN(SUBSTITUTE(E3183,"/",""))=1,(RIGHT(E3183,LEN(E3183)-FIND("/",E3183)))-(LEFT(E3183,FIND("/",E3183)-1)),(MID(E3183, SEARCH("/",E3183) + 1, SEARCH("/",E3183, SEARCH("/",E3183)+1) - SEARCH("/",E3183) - 1))-(LEFT(E3183,FIND("/",E3183)-1))), "NA"))</f>
        <v/>
      </c>
      <c r="K3183" s="79">
        <f>IF(A3183&lt;&gt;"", IF(ISBLANK(L3183), TODAY(), K3183), "")</f>
        <v/>
      </c>
      <c r="L3183" s="78" t="n"/>
      <c r="M3183" s="78">
        <f>IF(ISBLANK(L3183),"",IF(D3183="Stock",IF(C3183="Buy",L3183*G3183,IF(C3183="Sell",(L3183*G3183)-I3183, X)),IF(C3183="Buy",(L3183*G3183*100)+I3183,IF(C3183="Sell",(L3183*G3183*100)-I3183, X))))</f>
        <v/>
      </c>
      <c r="N3183" s="78">
        <f>IF(ISBLANK(L3183),"",IF(AND(C3183="Sell",D3183="Stock"),M3183,IF(ISBLANK(L3183),"",IF(C3183="Buy",M3183, IF(AND(C3183="Sell",J3183="NA"),(E3183*G3183*100*0.1)+I3183, IF(C3183="Sell",(J3183-L3183)*(100*G3183)+I3183))))))</f>
        <v/>
      </c>
      <c r="O3183" s="75" t="n"/>
      <c r="P3183" s="75" t="n"/>
      <c r="Q3183" s="75">
        <f>IF(ISBLANK(P3183),"",IF(D3183="Stock",P3183*G3183,IF(P3183=0,"0",G3183*P3183*100-(G3183*$AF$14))))</f>
        <v/>
      </c>
      <c r="R3183" s="79">
        <f>IF(P3183&lt;&gt;"", TODAY(), "")</f>
        <v/>
      </c>
      <c r="S3183" s="78">
        <f>IF(AND(K3183&lt;&gt;"", R3183&lt;&gt;""), R3183-K3183, "")</f>
        <v/>
      </c>
      <c r="T3183" s="78" t="n"/>
      <c r="U3183" s="92">
        <f>IF(ISBLANK(P3183),"",IF(C3183="Buy",Q3183-M3183+T3183, IF(C3183="Sell",M3183-Q3183-T3183, X)))</f>
        <v/>
      </c>
      <c r="V3183" s="81">
        <f>IF(ISBLANK(P3183),"",U3183/N3183)</f>
        <v/>
      </c>
      <c r="W3183" s="81">
        <f>IF(ISBLANK(P3183),"",IF(S3183=0,(365/0.5)*V3183,(365/S3183)*V3183))</f>
        <v/>
      </c>
      <c r="X3183" s="75" t="n"/>
      <c r="Y3183" s="77" t="n"/>
      <c r="Z3183" s="77" t="n"/>
      <c r="AA3183" s="75" t="n"/>
      <c r="AB3183" s="75" t="n"/>
      <c r="AC3183" s="6" t="n"/>
      <c r="AD3183" s="75" t="n"/>
      <c r="AE3183" s="75" t="n"/>
      <c r="AF3183" s="75" t="n"/>
    </row>
    <row r="3184" ht="15.75" customHeight="1" s="133">
      <c r="A3184" s="75" t="n"/>
      <c r="B3184" s="75" t="n"/>
      <c r="C3184" s="75" t="n"/>
      <c r="D3184" s="75" t="n"/>
      <c r="E3184" s="76" t="n"/>
      <c r="F3184" s="77" t="n"/>
      <c r="G3184" s="75" t="n"/>
      <c r="H3184" s="75">
        <f>IF(ISBLANK(E3184),"",IF(OR(D3184="Butterfly",D3184="Butterfly ",D3184="Iron Fly", D3184="Iron Fly "),LEN(E3184)-LEN(SUBSTITUTE(E3184,"/",""))+2,LEN(E3184)-LEN(SUBSTITUTE(E3184,"/",""))+1))</f>
        <v/>
      </c>
      <c r="I3184" s="78">
        <f>IF(ISBLANK(G3184),"",IF(D3184="Stock","0",Key!$A$3*H3184*G3184))</f>
        <v/>
      </c>
      <c r="J3184" s="78">
        <f>IF(ISBLANK(E3184),"",IF(ISNUMBER(SEARCH("/",E3184)), IF(LEN(E3184)-LEN(SUBSTITUTE(E3184,"/",""))=1,(RIGHT(E3184,LEN(E3184)-FIND("/",E3184)))-(LEFT(E3184,FIND("/",E3184)-1)),(MID(E3184, SEARCH("/",E3184) + 1, SEARCH("/",E3184, SEARCH("/",E3184)+1) - SEARCH("/",E3184) - 1))-(LEFT(E3184,FIND("/",E3184)-1))), "NA"))</f>
        <v/>
      </c>
      <c r="K3184" s="79">
        <f>IF(A3184&lt;&gt;"", IF(ISBLANK(L3184), TODAY(), K3184), "")</f>
        <v/>
      </c>
      <c r="L3184" s="78" t="n"/>
      <c r="M3184" s="78">
        <f>IF(ISBLANK(L3184),"",IF(D3184="Stock",IF(C3184="Buy",L3184*G3184,IF(C3184="Sell",(L3184*G3184)-I3184, X)),IF(C3184="Buy",(L3184*G3184*100)+I3184,IF(C3184="Sell",(L3184*G3184*100)-I3184, X))))</f>
        <v/>
      </c>
      <c r="N3184" s="78">
        <f>IF(ISBLANK(L3184),"",IF(AND(C3184="Sell",D3184="Stock"),M3184,IF(ISBLANK(L3184),"",IF(C3184="Buy",M3184, IF(AND(C3184="Sell",J3184="NA"),(E3184*G3184*100*0.1)+I3184, IF(C3184="Sell",(J3184-L3184)*(100*G3184)+I3184))))))</f>
        <v/>
      </c>
      <c r="O3184" s="75" t="n"/>
      <c r="P3184" s="75" t="n"/>
      <c r="Q3184" s="75">
        <f>IF(ISBLANK(P3184),"",IF(D3184="Stock",P3184*G3184,IF(P3184=0,"0",G3184*P3184*100-(G3184*$AF$14))))</f>
        <v/>
      </c>
      <c r="R3184" s="79">
        <f>IF(P3184&lt;&gt;"", TODAY(), "")</f>
        <v/>
      </c>
      <c r="S3184" s="78">
        <f>IF(AND(K3184&lt;&gt;"", R3184&lt;&gt;""), R3184-K3184, "")</f>
        <v/>
      </c>
      <c r="T3184" s="78" t="n"/>
      <c r="U3184" s="92">
        <f>IF(ISBLANK(P3184),"",IF(C3184="Buy",Q3184-M3184+T3184, IF(C3184="Sell",M3184-Q3184-T3184, X)))</f>
        <v/>
      </c>
      <c r="V3184" s="81">
        <f>IF(ISBLANK(P3184),"",U3184/N3184)</f>
        <v/>
      </c>
      <c r="W3184" s="81">
        <f>IF(ISBLANK(P3184),"",IF(S3184=0,(365/0.5)*V3184,(365/S3184)*V3184))</f>
        <v/>
      </c>
      <c r="X3184" s="75" t="n"/>
      <c r="Y3184" s="77" t="n"/>
      <c r="Z3184" s="77" t="n"/>
      <c r="AA3184" s="75" t="n"/>
      <c r="AB3184" s="75" t="n"/>
      <c r="AC3184" s="6" t="n"/>
      <c r="AD3184" s="75" t="n"/>
      <c r="AE3184" s="75" t="n"/>
      <c r="AF3184" s="75" t="n"/>
    </row>
    <row r="3185" ht="15.75" customHeight="1" s="133">
      <c r="A3185" s="75" t="n"/>
      <c r="B3185" s="75" t="n"/>
      <c r="C3185" s="75" t="n"/>
      <c r="D3185" s="75" t="n"/>
      <c r="E3185" s="76" t="n"/>
      <c r="F3185" s="77" t="n"/>
      <c r="G3185" s="75" t="n"/>
      <c r="H3185" s="75">
        <f>IF(ISBLANK(E3185),"",IF(OR(D3185="Butterfly",D3185="Butterfly ",D3185="Iron Fly", D3185="Iron Fly "),LEN(E3185)-LEN(SUBSTITUTE(E3185,"/",""))+2,LEN(E3185)-LEN(SUBSTITUTE(E3185,"/",""))+1))</f>
        <v/>
      </c>
      <c r="I3185" s="78">
        <f>IF(ISBLANK(G3185),"",IF(D3185="Stock","0",Key!$A$3*H3185*G3185))</f>
        <v/>
      </c>
      <c r="J3185" s="78">
        <f>IF(ISBLANK(E3185),"",IF(ISNUMBER(SEARCH("/",E3185)), IF(LEN(E3185)-LEN(SUBSTITUTE(E3185,"/",""))=1,(RIGHT(E3185,LEN(E3185)-FIND("/",E3185)))-(LEFT(E3185,FIND("/",E3185)-1)),(MID(E3185, SEARCH("/",E3185) + 1, SEARCH("/",E3185, SEARCH("/",E3185)+1) - SEARCH("/",E3185) - 1))-(LEFT(E3185,FIND("/",E3185)-1))), "NA"))</f>
        <v/>
      </c>
      <c r="K3185" s="79">
        <f>IF(A3185&lt;&gt;"", IF(ISBLANK(L3185), TODAY(), K3185), "")</f>
        <v/>
      </c>
      <c r="L3185" s="78" t="n"/>
      <c r="M3185" s="78">
        <f>IF(ISBLANK(L3185),"",IF(D3185="Stock",IF(C3185="Buy",L3185*G3185,IF(C3185="Sell",(L3185*G3185)-I3185, X)),IF(C3185="Buy",(L3185*G3185*100)+I3185,IF(C3185="Sell",(L3185*G3185*100)-I3185, X))))</f>
        <v/>
      </c>
      <c r="N3185" s="78">
        <f>IF(ISBLANK(L3185),"",IF(AND(C3185="Sell",D3185="Stock"),M3185,IF(ISBLANK(L3185),"",IF(C3185="Buy",M3185, IF(AND(C3185="Sell",J3185="NA"),(E3185*G3185*100*0.1)+I3185, IF(C3185="Sell",(J3185-L3185)*(100*G3185)+I3185))))))</f>
        <v/>
      </c>
      <c r="O3185" s="75" t="n"/>
      <c r="P3185" s="75" t="n"/>
      <c r="Q3185" s="75">
        <f>IF(ISBLANK(P3185),"",IF(D3185="Stock",P3185*G3185,IF(P3185=0,"0",G3185*P3185*100-(G3185*$AF$14))))</f>
        <v/>
      </c>
      <c r="R3185" s="79">
        <f>IF(P3185&lt;&gt;"", TODAY(), "")</f>
        <v/>
      </c>
      <c r="S3185" s="78">
        <f>IF(AND(K3185&lt;&gt;"", R3185&lt;&gt;""), R3185-K3185, "")</f>
        <v/>
      </c>
      <c r="T3185" s="78" t="n"/>
      <c r="U3185" s="92">
        <f>IF(ISBLANK(P3185),"",IF(C3185="Buy",Q3185-M3185+T3185, IF(C3185="Sell",M3185-Q3185-T3185, X)))</f>
        <v/>
      </c>
      <c r="V3185" s="81">
        <f>IF(ISBLANK(P3185),"",U3185/N3185)</f>
        <v/>
      </c>
      <c r="W3185" s="81">
        <f>IF(ISBLANK(P3185),"",IF(S3185=0,(365/0.5)*V3185,(365/S3185)*V3185))</f>
        <v/>
      </c>
      <c r="X3185" s="75" t="n"/>
      <c r="Y3185" s="77" t="n"/>
      <c r="Z3185" s="77" t="n"/>
      <c r="AA3185" s="75" t="n"/>
      <c r="AB3185" s="75" t="n"/>
      <c r="AC3185" s="6" t="n"/>
      <c r="AD3185" s="75" t="n"/>
      <c r="AE3185" s="75" t="n"/>
      <c r="AF3185" s="75" t="n"/>
    </row>
    <row r="3186" ht="15.75" customHeight="1" s="133">
      <c r="A3186" s="75" t="n"/>
      <c r="B3186" s="75" t="n"/>
      <c r="C3186" s="75" t="n"/>
      <c r="D3186" s="75" t="n"/>
      <c r="E3186" s="76" t="n"/>
      <c r="F3186" s="77" t="n"/>
      <c r="G3186" s="75" t="n"/>
      <c r="H3186" s="75">
        <f>IF(ISBLANK(E3186),"",IF(OR(D3186="Butterfly",D3186="Butterfly ",D3186="Iron Fly", D3186="Iron Fly "),LEN(E3186)-LEN(SUBSTITUTE(E3186,"/",""))+2,LEN(E3186)-LEN(SUBSTITUTE(E3186,"/",""))+1))</f>
        <v/>
      </c>
      <c r="I3186" s="78">
        <f>IF(ISBLANK(G3186),"",IF(D3186="Stock","0",Key!$A$3*H3186*G3186))</f>
        <v/>
      </c>
      <c r="J3186" s="78">
        <f>IF(ISBLANK(E3186),"",IF(ISNUMBER(SEARCH("/",E3186)), IF(LEN(E3186)-LEN(SUBSTITUTE(E3186,"/",""))=1,(RIGHT(E3186,LEN(E3186)-FIND("/",E3186)))-(LEFT(E3186,FIND("/",E3186)-1)),(MID(E3186, SEARCH("/",E3186) + 1, SEARCH("/",E3186, SEARCH("/",E3186)+1) - SEARCH("/",E3186) - 1))-(LEFT(E3186,FIND("/",E3186)-1))), "NA"))</f>
        <v/>
      </c>
      <c r="K3186" s="79">
        <f>IF(A3186&lt;&gt;"", IF(ISBLANK(L3186), TODAY(), K3186), "")</f>
        <v/>
      </c>
      <c r="L3186" s="78" t="n"/>
      <c r="M3186" s="78">
        <f>IF(ISBLANK(L3186),"",IF(D3186="Stock",IF(C3186="Buy",L3186*G3186,IF(C3186="Sell",(L3186*G3186)-I3186, X)),IF(C3186="Buy",(L3186*G3186*100)+I3186,IF(C3186="Sell",(L3186*G3186*100)-I3186, X))))</f>
        <v/>
      </c>
      <c r="N3186" s="78">
        <f>IF(ISBLANK(L3186),"",IF(AND(C3186="Sell",D3186="Stock"),M3186,IF(ISBLANK(L3186),"",IF(C3186="Buy",M3186, IF(AND(C3186="Sell",J3186="NA"),(E3186*G3186*100*0.1)+I3186, IF(C3186="Sell",(J3186-L3186)*(100*G3186)+I3186))))))</f>
        <v/>
      </c>
      <c r="O3186" s="75" t="n"/>
      <c r="P3186" s="75" t="n"/>
      <c r="Q3186" s="75">
        <f>IF(ISBLANK(P3186),"",IF(D3186="Stock",P3186*G3186,IF(P3186=0,"0",G3186*P3186*100-(G3186*$AF$14))))</f>
        <v/>
      </c>
      <c r="R3186" s="79">
        <f>IF(P3186&lt;&gt;"", TODAY(), "")</f>
        <v/>
      </c>
      <c r="S3186" s="78">
        <f>IF(AND(K3186&lt;&gt;"", R3186&lt;&gt;""), R3186-K3186, "")</f>
        <v/>
      </c>
      <c r="T3186" s="78" t="n"/>
      <c r="U3186" s="92">
        <f>IF(ISBLANK(P3186),"",IF(C3186="Buy",Q3186-M3186+T3186, IF(C3186="Sell",M3186-Q3186-T3186, X)))</f>
        <v/>
      </c>
      <c r="V3186" s="81">
        <f>IF(ISBLANK(P3186),"",U3186/N3186)</f>
        <v/>
      </c>
      <c r="W3186" s="81">
        <f>IF(ISBLANK(P3186),"",IF(S3186=0,(365/0.5)*V3186,(365/S3186)*V3186))</f>
        <v/>
      </c>
      <c r="X3186" s="75" t="n"/>
      <c r="Y3186" s="77" t="n"/>
      <c r="Z3186" s="77" t="n"/>
      <c r="AA3186" s="75" t="n"/>
      <c r="AB3186" s="75" t="n"/>
      <c r="AC3186" s="6" t="n"/>
      <c r="AD3186" s="75" t="n"/>
      <c r="AE3186" s="75" t="n"/>
      <c r="AF3186" s="75" t="n"/>
    </row>
    <row r="3187" ht="15.75" customHeight="1" s="133">
      <c r="A3187" s="75" t="n"/>
      <c r="B3187" s="75" t="n"/>
      <c r="C3187" s="75" t="n"/>
      <c r="D3187" s="75" t="n"/>
      <c r="E3187" s="76" t="n"/>
      <c r="F3187" s="77" t="n"/>
      <c r="G3187" s="75" t="n"/>
      <c r="H3187" s="75">
        <f>IF(ISBLANK(E3187),"",IF(OR(D3187="Butterfly",D3187="Butterfly ",D3187="Iron Fly", D3187="Iron Fly "),LEN(E3187)-LEN(SUBSTITUTE(E3187,"/",""))+2,LEN(E3187)-LEN(SUBSTITUTE(E3187,"/",""))+1))</f>
        <v/>
      </c>
      <c r="I3187" s="78">
        <f>IF(ISBLANK(G3187),"",IF(D3187="Stock","0",Key!$A$3*H3187*G3187))</f>
        <v/>
      </c>
      <c r="J3187" s="78">
        <f>IF(ISBLANK(E3187),"",IF(ISNUMBER(SEARCH("/",E3187)), IF(LEN(E3187)-LEN(SUBSTITUTE(E3187,"/",""))=1,(RIGHT(E3187,LEN(E3187)-FIND("/",E3187)))-(LEFT(E3187,FIND("/",E3187)-1)),(MID(E3187, SEARCH("/",E3187) + 1, SEARCH("/",E3187, SEARCH("/",E3187)+1) - SEARCH("/",E3187) - 1))-(LEFT(E3187,FIND("/",E3187)-1))), "NA"))</f>
        <v/>
      </c>
      <c r="K3187" s="79">
        <f>IF(A3187&lt;&gt;"", IF(ISBLANK(L3187), TODAY(), K3187), "")</f>
        <v/>
      </c>
      <c r="L3187" s="78" t="n"/>
      <c r="M3187" s="78">
        <f>IF(ISBLANK(L3187),"",IF(D3187="Stock",IF(C3187="Buy",L3187*G3187,IF(C3187="Sell",(L3187*G3187)-I3187, X)),IF(C3187="Buy",(L3187*G3187*100)+I3187,IF(C3187="Sell",(L3187*G3187*100)-I3187, X))))</f>
        <v/>
      </c>
      <c r="N3187" s="78">
        <f>IF(ISBLANK(L3187),"",IF(AND(C3187="Sell",D3187="Stock"),M3187,IF(ISBLANK(L3187),"",IF(C3187="Buy",M3187, IF(AND(C3187="Sell",J3187="NA"),(E3187*G3187*100*0.1)+I3187, IF(C3187="Sell",(J3187-L3187)*(100*G3187)+I3187))))))</f>
        <v/>
      </c>
      <c r="O3187" s="75" t="n"/>
      <c r="P3187" s="75" t="n"/>
      <c r="Q3187" s="75">
        <f>IF(ISBLANK(P3187),"",IF(D3187="Stock",P3187*G3187,IF(P3187=0,"0",G3187*P3187*100-(G3187*$AF$14))))</f>
        <v/>
      </c>
      <c r="R3187" s="79">
        <f>IF(P3187&lt;&gt;"", TODAY(), "")</f>
        <v/>
      </c>
      <c r="S3187" s="78">
        <f>IF(AND(K3187&lt;&gt;"", R3187&lt;&gt;""), R3187-K3187, "")</f>
        <v/>
      </c>
      <c r="T3187" s="78" t="n"/>
      <c r="U3187" s="92">
        <f>IF(ISBLANK(P3187),"",IF(C3187="Buy",Q3187-M3187+T3187, IF(C3187="Sell",M3187-Q3187-T3187, X)))</f>
        <v/>
      </c>
      <c r="V3187" s="81">
        <f>IF(ISBLANK(P3187),"",U3187/N3187)</f>
        <v/>
      </c>
      <c r="W3187" s="81">
        <f>IF(ISBLANK(P3187),"",IF(S3187=0,(365/0.5)*V3187,(365/S3187)*V3187))</f>
        <v/>
      </c>
      <c r="X3187" s="75" t="n"/>
      <c r="Y3187" s="77" t="n"/>
      <c r="Z3187" s="77" t="n"/>
      <c r="AA3187" s="75" t="n"/>
      <c r="AB3187" s="75" t="n"/>
      <c r="AC3187" s="6" t="n"/>
      <c r="AD3187" s="75" t="n"/>
      <c r="AE3187" s="75" t="n"/>
      <c r="AF3187" s="75" t="n"/>
    </row>
    <row r="3188" ht="15.75" customHeight="1" s="133">
      <c r="A3188" s="75" t="n"/>
      <c r="B3188" s="75" t="n"/>
      <c r="C3188" s="75" t="n"/>
      <c r="D3188" s="75" t="n"/>
      <c r="E3188" s="76" t="n"/>
      <c r="F3188" s="77" t="n"/>
      <c r="G3188" s="75" t="n"/>
      <c r="H3188" s="75">
        <f>IF(ISBLANK(E3188),"",IF(OR(D3188="Butterfly",D3188="Butterfly ",D3188="Iron Fly", D3188="Iron Fly "),LEN(E3188)-LEN(SUBSTITUTE(E3188,"/",""))+2,LEN(E3188)-LEN(SUBSTITUTE(E3188,"/",""))+1))</f>
        <v/>
      </c>
      <c r="I3188" s="78">
        <f>IF(ISBLANK(G3188),"",IF(D3188="Stock","0",Key!$A$3*H3188*G3188))</f>
        <v/>
      </c>
      <c r="J3188" s="78">
        <f>IF(ISBLANK(E3188),"",IF(ISNUMBER(SEARCH("/",E3188)), IF(LEN(E3188)-LEN(SUBSTITUTE(E3188,"/",""))=1,(RIGHT(E3188,LEN(E3188)-FIND("/",E3188)))-(LEFT(E3188,FIND("/",E3188)-1)),(MID(E3188, SEARCH("/",E3188) + 1, SEARCH("/",E3188, SEARCH("/",E3188)+1) - SEARCH("/",E3188) - 1))-(LEFT(E3188,FIND("/",E3188)-1))), "NA"))</f>
        <v/>
      </c>
      <c r="K3188" s="79">
        <f>IF(A3188&lt;&gt;"", IF(ISBLANK(L3188), TODAY(), K3188), "")</f>
        <v/>
      </c>
      <c r="L3188" s="78" t="n"/>
      <c r="M3188" s="78">
        <f>IF(ISBLANK(L3188),"",IF(D3188="Stock",IF(C3188="Buy",L3188*G3188,IF(C3188="Sell",(L3188*G3188)-I3188, X)),IF(C3188="Buy",(L3188*G3188*100)+I3188,IF(C3188="Sell",(L3188*G3188*100)-I3188, X))))</f>
        <v/>
      </c>
      <c r="N3188" s="78">
        <f>IF(ISBLANK(L3188),"",IF(AND(C3188="Sell",D3188="Stock"),M3188,IF(ISBLANK(L3188),"",IF(C3188="Buy",M3188, IF(AND(C3188="Sell",J3188="NA"),(E3188*G3188*100*0.1)+I3188, IF(C3188="Sell",(J3188-L3188)*(100*G3188)+I3188))))))</f>
        <v/>
      </c>
      <c r="O3188" s="75" t="n"/>
      <c r="P3188" s="75" t="n"/>
      <c r="Q3188" s="75">
        <f>IF(ISBLANK(P3188),"",IF(D3188="Stock",P3188*G3188,IF(P3188=0,"0",G3188*P3188*100-(G3188*$AF$14))))</f>
        <v/>
      </c>
      <c r="R3188" s="79">
        <f>IF(P3188&lt;&gt;"", TODAY(), "")</f>
        <v/>
      </c>
      <c r="S3188" s="78">
        <f>IF(AND(K3188&lt;&gt;"", R3188&lt;&gt;""), R3188-K3188, "")</f>
        <v/>
      </c>
      <c r="T3188" s="78" t="n"/>
      <c r="U3188" s="92">
        <f>IF(ISBLANK(P3188),"",IF(C3188="Buy",Q3188-M3188+T3188, IF(C3188="Sell",M3188-Q3188-T3188, X)))</f>
        <v/>
      </c>
      <c r="V3188" s="81">
        <f>IF(ISBLANK(P3188),"",U3188/N3188)</f>
        <v/>
      </c>
      <c r="W3188" s="81">
        <f>IF(ISBLANK(P3188),"",IF(S3188=0,(365/0.5)*V3188,(365/S3188)*V3188))</f>
        <v/>
      </c>
      <c r="X3188" s="75" t="n"/>
      <c r="Y3188" s="77" t="n"/>
      <c r="Z3188" s="77" t="n"/>
      <c r="AA3188" s="75" t="n"/>
      <c r="AB3188" s="75" t="n"/>
      <c r="AC3188" s="6" t="n"/>
      <c r="AD3188" s="75" t="n"/>
      <c r="AE3188" s="75" t="n"/>
      <c r="AF3188" s="75" t="n"/>
    </row>
    <row r="3189" ht="15.75" customHeight="1" s="133">
      <c r="A3189" s="75" t="n"/>
      <c r="B3189" s="75" t="n"/>
      <c r="C3189" s="75" t="n"/>
      <c r="D3189" s="75" t="n"/>
      <c r="E3189" s="76" t="n"/>
      <c r="F3189" s="77" t="n"/>
      <c r="G3189" s="75" t="n"/>
      <c r="H3189" s="75">
        <f>IF(ISBLANK(E3189),"",IF(OR(D3189="Butterfly",D3189="Butterfly ",D3189="Iron Fly", D3189="Iron Fly "),LEN(E3189)-LEN(SUBSTITUTE(E3189,"/",""))+2,LEN(E3189)-LEN(SUBSTITUTE(E3189,"/",""))+1))</f>
        <v/>
      </c>
      <c r="I3189" s="78">
        <f>IF(ISBLANK(G3189),"",IF(D3189="Stock","0",Key!$A$3*H3189*G3189))</f>
        <v/>
      </c>
      <c r="J3189" s="78">
        <f>IF(ISBLANK(E3189),"",IF(ISNUMBER(SEARCH("/",E3189)), IF(LEN(E3189)-LEN(SUBSTITUTE(E3189,"/",""))=1,(RIGHT(E3189,LEN(E3189)-FIND("/",E3189)))-(LEFT(E3189,FIND("/",E3189)-1)),(MID(E3189, SEARCH("/",E3189) + 1, SEARCH("/",E3189, SEARCH("/",E3189)+1) - SEARCH("/",E3189) - 1))-(LEFT(E3189,FIND("/",E3189)-1))), "NA"))</f>
        <v/>
      </c>
      <c r="K3189" s="79">
        <f>IF(A3189&lt;&gt;"", IF(ISBLANK(L3189), TODAY(), K3189), "")</f>
        <v/>
      </c>
      <c r="L3189" s="78" t="n"/>
      <c r="M3189" s="78">
        <f>IF(ISBLANK(L3189),"",IF(D3189="Stock",IF(C3189="Buy",L3189*G3189,IF(C3189="Sell",(L3189*G3189)-I3189, X)),IF(C3189="Buy",(L3189*G3189*100)+I3189,IF(C3189="Sell",(L3189*G3189*100)-I3189, X))))</f>
        <v/>
      </c>
      <c r="N3189" s="78">
        <f>IF(ISBLANK(L3189),"",IF(AND(C3189="Sell",D3189="Stock"),M3189,IF(ISBLANK(L3189),"",IF(C3189="Buy",M3189, IF(AND(C3189="Sell",J3189="NA"),(E3189*G3189*100*0.1)+I3189, IF(C3189="Sell",(J3189-L3189)*(100*G3189)+I3189))))))</f>
        <v/>
      </c>
      <c r="O3189" s="75" t="n"/>
      <c r="P3189" s="75" t="n"/>
      <c r="Q3189" s="75">
        <f>IF(ISBLANK(P3189),"",IF(D3189="Stock",P3189*G3189,IF(P3189=0,"0",G3189*P3189*100-(G3189*$AF$14))))</f>
        <v/>
      </c>
      <c r="R3189" s="79">
        <f>IF(P3189&lt;&gt;"", TODAY(), "")</f>
        <v/>
      </c>
      <c r="S3189" s="78">
        <f>IF(AND(K3189&lt;&gt;"", R3189&lt;&gt;""), R3189-K3189, "")</f>
        <v/>
      </c>
      <c r="T3189" s="78" t="n"/>
      <c r="U3189" s="92">
        <f>IF(ISBLANK(P3189),"",IF(C3189="Buy",Q3189-M3189+T3189, IF(C3189="Sell",M3189-Q3189-T3189, X)))</f>
        <v/>
      </c>
      <c r="V3189" s="81">
        <f>IF(ISBLANK(P3189),"",U3189/N3189)</f>
        <v/>
      </c>
      <c r="W3189" s="81">
        <f>IF(ISBLANK(P3189),"",IF(S3189=0,(365/0.5)*V3189,(365/S3189)*V3189))</f>
        <v/>
      </c>
      <c r="X3189" s="75" t="n"/>
      <c r="Y3189" s="77" t="n"/>
      <c r="Z3189" s="77" t="n"/>
      <c r="AA3189" s="75" t="n"/>
      <c r="AB3189" s="75" t="n"/>
      <c r="AC3189" s="6" t="n"/>
      <c r="AD3189" s="75" t="n"/>
      <c r="AE3189" s="75" t="n"/>
      <c r="AF3189" s="75" t="n"/>
    </row>
    <row r="3190" ht="15.75" customHeight="1" s="133">
      <c r="A3190" s="75" t="n"/>
      <c r="B3190" s="75" t="n"/>
      <c r="C3190" s="75" t="n"/>
      <c r="D3190" s="75" t="n"/>
      <c r="E3190" s="76" t="n"/>
      <c r="F3190" s="77" t="n"/>
      <c r="G3190" s="75" t="n"/>
      <c r="H3190" s="75">
        <f>IF(ISBLANK(E3190),"",IF(OR(D3190="Butterfly",D3190="Butterfly ",D3190="Iron Fly", D3190="Iron Fly "),LEN(E3190)-LEN(SUBSTITUTE(E3190,"/",""))+2,LEN(E3190)-LEN(SUBSTITUTE(E3190,"/",""))+1))</f>
        <v/>
      </c>
      <c r="I3190" s="78">
        <f>IF(ISBLANK(G3190),"",IF(D3190="Stock","0",Key!$A$3*H3190*G3190))</f>
        <v/>
      </c>
      <c r="J3190" s="78">
        <f>IF(ISBLANK(E3190),"",IF(ISNUMBER(SEARCH("/",E3190)), IF(LEN(E3190)-LEN(SUBSTITUTE(E3190,"/",""))=1,(RIGHT(E3190,LEN(E3190)-FIND("/",E3190)))-(LEFT(E3190,FIND("/",E3190)-1)),(MID(E3190, SEARCH("/",E3190) + 1, SEARCH("/",E3190, SEARCH("/",E3190)+1) - SEARCH("/",E3190) - 1))-(LEFT(E3190,FIND("/",E3190)-1))), "NA"))</f>
        <v/>
      </c>
      <c r="K3190" s="79">
        <f>IF(A3190&lt;&gt;"", IF(ISBLANK(L3190), TODAY(), K3190), "")</f>
        <v/>
      </c>
      <c r="L3190" s="78" t="n"/>
      <c r="M3190" s="78">
        <f>IF(ISBLANK(L3190),"",IF(D3190="Stock",IF(C3190="Buy",L3190*G3190,IF(C3190="Sell",(L3190*G3190)-I3190, X)),IF(C3190="Buy",(L3190*G3190*100)+I3190,IF(C3190="Sell",(L3190*G3190*100)-I3190, X))))</f>
        <v/>
      </c>
      <c r="N3190" s="78">
        <f>IF(ISBLANK(L3190),"",IF(AND(C3190="Sell",D3190="Stock"),M3190,IF(ISBLANK(L3190),"",IF(C3190="Buy",M3190, IF(AND(C3190="Sell",J3190="NA"),(E3190*G3190*100*0.1)+I3190, IF(C3190="Sell",(J3190-L3190)*(100*G3190)+I3190))))))</f>
        <v/>
      </c>
      <c r="O3190" s="75" t="n"/>
      <c r="P3190" s="75" t="n"/>
      <c r="Q3190" s="75">
        <f>IF(ISBLANK(P3190),"",IF(D3190="Stock",P3190*G3190,IF(P3190=0,"0",G3190*P3190*100-(G3190*$AF$14))))</f>
        <v/>
      </c>
      <c r="R3190" s="79">
        <f>IF(P3190&lt;&gt;"", TODAY(), "")</f>
        <v/>
      </c>
      <c r="S3190" s="78">
        <f>IF(AND(K3190&lt;&gt;"", R3190&lt;&gt;""), R3190-K3190, "")</f>
        <v/>
      </c>
      <c r="T3190" s="78" t="n"/>
      <c r="U3190" s="92">
        <f>IF(ISBLANK(P3190),"",IF(C3190="Buy",Q3190-M3190+T3190, IF(C3190="Sell",M3190-Q3190-T3190, X)))</f>
        <v/>
      </c>
      <c r="V3190" s="81">
        <f>IF(ISBLANK(P3190),"",U3190/N3190)</f>
        <v/>
      </c>
      <c r="W3190" s="81">
        <f>IF(ISBLANK(P3190),"",IF(S3190=0,(365/0.5)*V3190,(365/S3190)*V3190))</f>
        <v/>
      </c>
      <c r="X3190" s="75" t="n"/>
      <c r="Y3190" s="77" t="n"/>
      <c r="Z3190" s="77" t="n"/>
      <c r="AA3190" s="75" t="n"/>
      <c r="AB3190" s="75" t="n"/>
      <c r="AC3190" s="6" t="n"/>
      <c r="AD3190" s="75" t="n"/>
      <c r="AE3190" s="75" t="n"/>
      <c r="AF3190" s="75" t="n"/>
    </row>
    <row r="3191" ht="15.75" customHeight="1" s="133">
      <c r="A3191" s="75" t="n"/>
      <c r="B3191" s="75" t="n"/>
      <c r="C3191" s="75" t="n"/>
      <c r="D3191" s="75" t="n"/>
      <c r="E3191" s="76" t="n"/>
      <c r="F3191" s="77" t="n"/>
      <c r="G3191" s="75" t="n"/>
      <c r="H3191" s="75">
        <f>IF(ISBLANK(E3191),"",IF(OR(D3191="Butterfly",D3191="Butterfly ",D3191="Iron Fly", D3191="Iron Fly "),LEN(E3191)-LEN(SUBSTITUTE(E3191,"/",""))+2,LEN(E3191)-LEN(SUBSTITUTE(E3191,"/",""))+1))</f>
        <v/>
      </c>
      <c r="I3191" s="78">
        <f>IF(ISBLANK(G3191),"",IF(D3191="Stock","0",Key!$A$3*H3191*G3191))</f>
        <v/>
      </c>
      <c r="J3191" s="78">
        <f>IF(ISBLANK(E3191),"",IF(ISNUMBER(SEARCH("/",E3191)), IF(LEN(E3191)-LEN(SUBSTITUTE(E3191,"/",""))=1,(RIGHT(E3191,LEN(E3191)-FIND("/",E3191)))-(LEFT(E3191,FIND("/",E3191)-1)),(MID(E3191, SEARCH("/",E3191) + 1, SEARCH("/",E3191, SEARCH("/",E3191)+1) - SEARCH("/",E3191) - 1))-(LEFT(E3191,FIND("/",E3191)-1))), "NA"))</f>
        <v/>
      </c>
      <c r="K3191" s="79">
        <f>IF(A3191&lt;&gt;"", IF(ISBLANK(L3191), TODAY(), K3191), "")</f>
        <v/>
      </c>
      <c r="L3191" s="78" t="n"/>
      <c r="M3191" s="78">
        <f>IF(ISBLANK(L3191),"",IF(D3191="Stock",IF(C3191="Buy",L3191*G3191,IF(C3191="Sell",(L3191*G3191)-I3191, X)),IF(C3191="Buy",(L3191*G3191*100)+I3191,IF(C3191="Sell",(L3191*G3191*100)-I3191, X))))</f>
        <v/>
      </c>
      <c r="N3191" s="78">
        <f>IF(ISBLANK(L3191),"",IF(AND(C3191="Sell",D3191="Stock"),M3191,IF(ISBLANK(L3191),"",IF(C3191="Buy",M3191, IF(AND(C3191="Sell",J3191="NA"),(E3191*G3191*100*0.1)+I3191, IF(C3191="Sell",(J3191-L3191)*(100*G3191)+I3191))))))</f>
        <v/>
      </c>
      <c r="O3191" s="75" t="n"/>
      <c r="P3191" s="75" t="n"/>
      <c r="Q3191" s="75">
        <f>IF(ISBLANK(P3191),"",IF(D3191="Stock",P3191*G3191,IF(P3191=0,"0",G3191*P3191*100-(G3191*$AF$14))))</f>
        <v/>
      </c>
      <c r="R3191" s="79">
        <f>IF(P3191&lt;&gt;"", TODAY(), "")</f>
        <v/>
      </c>
      <c r="S3191" s="78">
        <f>IF(AND(K3191&lt;&gt;"", R3191&lt;&gt;""), R3191-K3191, "")</f>
        <v/>
      </c>
      <c r="T3191" s="78" t="n"/>
      <c r="U3191" s="92">
        <f>IF(ISBLANK(P3191),"",IF(C3191="Buy",Q3191-M3191+T3191, IF(C3191="Sell",M3191-Q3191-T3191, X)))</f>
        <v/>
      </c>
      <c r="V3191" s="81">
        <f>IF(ISBLANK(P3191),"",U3191/N3191)</f>
        <v/>
      </c>
      <c r="W3191" s="81">
        <f>IF(ISBLANK(P3191),"",IF(S3191=0,(365/0.5)*V3191,(365/S3191)*V3191))</f>
        <v/>
      </c>
      <c r="X3191" s="75" t="n"/>
      <c r="Y3191" s="77" t="n"/>
      <c r="Z3191" s="77" t="n"/>
      <c r="AA3191" s="75" t="n"/>
      <c r="AB3191" s="75" t="n"/>
      <c r="AC3191" s="6" t="n"/>
      <c r="AD3191" s="75" t="n"/>
      <c r="AE3191" s="75" t="n"/>
      <c r="AF3191" s="75" t="n"/>
    </row>
    <row r="3192" ht="15.75" customHeight="1" s="133">
      <c r="A3192" s="75" t="n"/>
      <c r="B3192" s="75" t="n"/>
      <c r="C3192" s="75" t="n"/>
      <c r="D3192" s="75" t="n"/>
      <c r="E3192" s="76" t="n"/>
      <c r="F3192" s="77" t="n"/>
      <c r="G3192" s="75" t="n"/>
      <c r="H3192" s="75">
        <f>IF(ISBLANK(E3192),"",IF(OR(D3192="Butterfly",D3192="Butterfly ",D3192="Iron Fly", D3192="Iron Fly "),LEN(E3192)-LEN(SUBSTITUTE(E3192,"/",""))+2,LEN(E3192)-LEN(SUBSTITUTE(E3192,"/",""))+1))</f>
        <v/>
      </c>
      <c r="I3192" s="78">
        <f>IF(ISBLANK(G3192),"",IF(D3192="Stock","0",Key!$A$3*H3192*G3192))</f>
        <v/>
      </c>
      <c r="J3192" s="78">
        <f>IF(ISBLANK(E3192),"",IF(ISNUMBER(SEARCH("/",E3192)), IF(LEN(E3192)-LEN(SUBSTITUTE(E3192,"/",""))=1,(RIGHT(E3192,LEN(E3192)-FIND("/",E3192)))-(LEFT(E3192,FIND("/",E3192)-1)),(MID(E3192, SEARCH("/",E3192) + 1, SEARCH("/",E3192, SEARCH("/",E3192)+1) - SEARCH("/",E3192) - 1))-(LEFT(E3192,FIND("/",E3192)-1))), "NA"))</f>
        <v/>
      </c>
      <c r="K3192" s="79">
        <f>IF(A3192&lt;&gt;"", IF(ISBLANK(L3192), TODAY(), K3192), "")</f>
        <v/>
      </c>
      <c r="L3192" s="78" t="n"/>
      <c r="M3192" s="78">
        <f>IF(ISBLANK(L3192),"",IF(D3192="Stock",IF(C3192="Buy",L3192*G3192,IF(C3192="Sell",(L3192*G3192)-I3192, X)),IF(C3192="Buy",(L3192*G3192*100)+I3192,IF(C3192="Sell",(L3192*G3192*100)-I3192, X))))</f>
        <v/>
      </c>
      <c r="N3192" s="78">
        <f>IF(ISBLANK(L3192),"",IF(AND(C3192="Sell",D3192="Stock"),M3192,IF(ISBLANK(L3192),"",IF(C3192="Buy",M3192, IF(AND(C3192="Sell",J3192="NA"),(E3192*G3192*100*0.1)+I3192, IF(C3192="Sell",(J3192-L3192)*(100*G3192)+I3192))))))</f>
        <v/>
      </c>
      <c r="O3192" s="75" t="n"/>
      <c r="P3192" s="75" t="n"/>
      <c r="Q3192" s="75">
        <f>IF(ISBLANK(P3192),"",IF(D3192="Stock",P3192*G3192,IF(P3192=0,"0",G3192*P3192*100-(G3192*$AF$14))))</f>
        <v/>
      </c>
      <c r="R3192" s="79">
        <f>IF(P3192&lt;&gt;"", TODAY(), "")</f>
        <v/>
      </c>
      <c r="S3192" s="78">
        <f>IF(AND(K3192&lt;&gt;"", R3192&lt;&gt;""), R3192-K3192, "")</f>
        <v/>
      </c>
      <c r="T3192" s="78" t="n"/>
      <c r="U3192" s="92">
        <f>IF(ISBLANK(P3192),"",IF(C3192="Buy",Q3192-M3192+T3192, IF(C3192="Sell",M3192-Q3192-T3192, X)))</f>
        <v/>
      </c>
      <c r="V3192" s="81">
        <f>IF(ISBLANK(P3192),"",U3192/N3192)</f>
        <v/>
      </c>
      <c r="W3192" s="81">
        <f>IF(ISBLANK(P3192),"",IF(S3192=0,(365/0.5)*V3192,(365/S3192)*V3192))</f>
        <v/>
      </c>
      <c r="X3192" s="75" t="n"/>
      <c r="Y3192" s="77" t="n"/>
      <c r="Z3192" s="77" t="n"/>
      <c r="AA3192" s="75" t="n"/>
      <c r="AB3192" s="75" t="n"/>
      <c r="AC3192" s="6" t="n"/>
      <c r="AD3192" s="75" t="n"/>
      <c r="AE3192" s="75" t="n"/>
      <c r="AF3192" s="75" t="n"/>
    </row>
    <row r="3193" ht="15.75" customHeight="1" s="133">
      <c r="A3193" s="75" t="n"/>
      <c r="B3193" s="75" t="n"/>
      <c r="C3193" s="75" t="n"/>
      <c r="D3193" s="75" t="n"/>
      <c r="E3193" s="76" t="n"/>
      <c r="F3193" s="77" t="n"/>
      <c r="G3193" s="75" t="n"/>
      <c r="H3193" s="75">
        <f>IF(ISBLANK(E3193),"",IF(OR(D3193="Butterfly",D3193="Butterfly ",D3193="Iron Fly", D3193="Iron Fly "),LEN(E3193)-LEN(SUBSTITUTE(E3193,"/",""))+2,LEN(E3193)-LEN(SUBSTITUTE(E3193,"/",""))+1))</f>
        <v/>
      </c>
      <c r="I3193" s="78">
        <f>IF(ISBLANK(G3193),"",IF(D3193="Stock","0",Key!$A$3*H3193*G3193))</f>
        <v/>
      </c>
      <c r="J3193" s="78">
        <f>IF(ISBLANK(E3193),"",IF(ISNUMBER(SEARCH("/",E3193)), IF(LEN(E3193)-LEN(SUBSTITUTE(E3193,"/",""))=1,(RIGHT(E3193,LEN(E3193)-FIND("/",E3193)))-(LEFT(E3193,FIND("/",E3193)-1)),(MID(E3193, SEARCH("/",E3193) + 1, SEARCH("/",E3193, SEARCH("/",E3193)+1) - SEARCH("/",E3193) - 1))-(LEFT(E3193,FIND("/",E3193)-1))), "NA"))</f>
        <v/>
      </c>
      <c r="K3193" s="79">
        <f>IF(A3193&lt;&gt;"", IF(ISBLANK(L3193), TODAY(), K3193), "")</f>
        <v/>
      </c>
      <c r="L3193" s="78" t="n"/>
      <c r="M3193" s="78">
        <f>IF(ISBLANK(L3193),"",IF(D3193="Stock",IF(C3193="Buy",L3193*G3193,IF(C3193="Sell",(L3193*G3193)-I3193, X)),IF(C3193="Buy",(L3193*G3193*100)+I3193,IF(C3193="Sell",(L3193*G3193*100)-I3193, X))))</f>
        <v/>
      </c>
      <c r="N3193" s="78">
        <f>IF(ISBLANK(L3193),"",IF(AND(C3193="Sell",D3193="Stock"),M3193,IF(ISBLANK(L3193),"",IF(C3193="Buy",M3193, IF(AND(C3193="Sell",J3193="NA"),(E3193*G3193*100*0.1)+I3193, IF(C3193="Sell",(J3193-L3193)*(100*G3193)+I3193))))))</f>
        <v/>
      </c>
      <c r="O3193" s="75" t="n"/>
      <c r="P3193" s="75" t="n"/>
      <c r="Q3193" s="75">
        <f>IF(ISBLANK(P3193),"",IF(D3193="Stock",P3193*G3193,IF(P3193=0,"0",G3193*P3193*100-(G3193*$AF$14))))</f>
        <v/>
      </c>
      <c r="R3193" s="79">
        <f>IF(P3193&lt;&gt;"", TODAY(), "")</f>
        <v/>
      </c>
      <c r="S3193" s="78">
        <f>IF(AND(K3193&lt;&gt;"", R3193&lt;&gt;""), R3193-K3193, "")</f>
        <v/>
      </c>
      <c r="T3193" s="78" t="n"/>
      <c r="U3193" s="92">
        <f>IF(ISBLANK(P3193),"",IF(C3193="Buy",Q3193-M3193+T3193, IF(C3193="Sell",M3193-Q3193-T3193, X)))</f>
        <v/>
      </c>
      <c r="V3193" s="81">
        <f>IF(ISBLANK(P3193),"",U3193/N3193)</f>
        <v/>
      </c>
      <c r="W3193" s="81">
        <f>IF(ISBLANK(P3193),"",IF(S3193=0,(365/0.5)*V3193,(365/S3193)*V3193))</f>
        <v/>
      </c>
      <c r="X3193" s="75" t="n"/>
      <c r="Y3193" s="77" t="n"/>
      <c r="Z3193" s="77" t="n"/>
      <c r="AA3193" s="75" t="n"/>
      <c r="AB3193" s="75" t="n"/>
      <c r="AC3193" s="6" t="n"/>
      <c r="AD3193" s="75" t="n"/>
      <c r="AE3193" s="75" t="n"/>
      <c r="AF3193" s="75" t="n"/>
    </row>
    <row r="3194" ht="15.75" customHeight="1" s="133">
      <c r="A3194" s="75" t="n"/>
      <c r="B3194" s="75" t="n"/>
      <c r="C3194" s="75" t="n"/>
      <c r="D3194" s="75" t="n"/>
      <c r="E3194" s="76" t="n"/>
      <c r="F3194" s="77" t="n"/>
      <c r="G3194" s="75" t="n"/>
      <c r="H3194" s="75">
        <f>IF(ISBLANK(E3194),"",IF(OR(D3194="Butterfly",D3194="Butterfly ",D3194="Iron Fly", D3194="Iron Fly "),LEN(E3194)-LEN(SUBSTITUTE(E3194,"/",""))+2,LEN(E3194)-LEN(SUBSTITUTE(E3194,"/",""))+1))</f>
        <v/>
      </c>
      <c r="I3194" s="78">
        <f>IF(ISBLANK(G3194),"",IF(D3194="Stock","0",Key!$A$3*H3194*G3194))</f>
        <v/>
      </c>
      <c r="J3194" s="78">
        <f>IF(ISBLANK(E3194),"",IF(ISNUMBER(SEARCH("/",E3194)), IF(LEN(E3194)-LEN(SUBSTITUTE(E3194,"/",""))=1,(RIGHT(E3194,LEN(E3194)-FIND("/",E3194)))-(LEFT(E3194,FIND("/",E3194)-1)),(MID(E3194, SEARCH("/",E3194) + 1, SEARCH("/",E3194, SEARCH("/",E3194)+1) - SEARCH("/",E3194) - 1))-(LEFT(E3194,FIND("/",E3194)-1))), "NA"))</f>
        <v/>
      </c>
      <c r="K3194" s="79">
        <f>IF(A3194&lt;&gt;"", IF(ISBLANK(L3194), TODAY(), K3194), "")</f>
        <v/>
      </c>
      <c r="L3194" s="78" t="n"/>
      <c r="M3194" s="78">
        <f>IF(ISBLANK(L3194),"",IF(D3194="Stock",IF(C3194="Buy",L3194*G3194,IF(C3194="Sell",(L3194*G3194)-I3194, X)),IF(C3194="Buy",(L3194*G3194*100)+I3194,IF(C3194="Sell",(L3194*G3194*100)-I3194, X))))</f>
        <v/>
      </c>
      <c r="N3194" s="78">
        <f>IF(ISBLANK(L3194),"",IF(AND(C3194="Sell",D3194="Stock"),M3194,IF(ISBLANK(L3194),"",IF(C3194="Buy",M3194, IF(AND(C3194="Sell",J3194="NA"),(E3194*G3194*100*0.1)+I3194, IF(C3194="Sell",(J3194-L3194)*(100*G3194)+I3194))))))</f>
        <v/>
      </c>
      <c r="O3194" s="75" t="n"/>
      <c r="P3194" s="75" t="n"/>
      <c r="Q3194" s="75">
        <f>IF(ISBLANK(P3194),"",IF(D3194="Stock",P3194*G3194,IF(P3194=0,"0",G3194*P3194*100-(G3194*$AF$14))))</f>
        <v/>
      </c>
      <c r="R3194" s="79">
        <f>IF(P3194&lt;&gt;"", TODAY(), "")</f>
        <v/>
      </c>
      <c r="S3194" s="78">
        <f>IF(AND(K3194&lt;&gt;"", R3194&lt;&gt;""), R3194-K3194, "")</f>
        <v/>
      </c>
      <c r="T3194" s="78" t="n"/>
      <c r="U3194" s="92">
        <f>IF(ISBLANK(P3194),"",IF(C3194="Buy",Q3194-M3194+T3194, IF(C3194="Sell",M3194-Q3194-T3194, X)))</f>
        <v/>
      </c>
      <c r="V3194" s="81">
        <f>IF(ISBLANK(P3194),"",U3194/N3194)</f>
        <v/>
      </c>
      <c r="W3194" s="81">
        <f>IF(ISBLANK(P3194),"",IF(S3194=0,(365/0.5)*V3194,(365/S3194)*V3194))</f>
        <v/>
      </c>
      <c r="X3194" s="75" t="n"/>
      <c r="Y3194" s="77" t="n"/>
      <c r="Z3194" s="77" t="n"/>
      <c r="AA3194" s="75" t="n"/>
      <c r="AB3194" s="75" t="n"/>
      <c r="AC3194" s="6" t="n"/>
      <c r="AD3194" s="75" t="n"/>
      <c r="AE3194" s="75" t="n"/>
      <c r="AF3194" s="75" t="n"/>
    </row>
    <row r="3195" ht="15.75" customHeight="1" s="133">
      <c r="A3195" s="75" t="n"/>
      <c r="B3195" s="75" t="n"/>
      <c r="C3195" s="75" t="n"/>
      <c r="D3195" s="75" t="n"/>
      <c r="E3195" s="76" t="n"/>
      <c r="F3195" s="77" t="n"/>
      <c r="G3195" s="75" t="n"/>
      <c r="H3195" s="75">
        <f>IF(ISBLANK(E3195),"",IF(OR(D3195="Butterfly",D3195="Butterfly ",D3195="Iron Fly", D3195="Iron Fly "),LEN(E3195)-LEN(SUBSTITUTE(E3195,"/",""))+2,LEN(E3195)-LEN(SUBSTITUTE(E3195,"/",""))+1))</f>
        <v/>
      </c>
      <c r="I3195" s="78">
        <f>IF(ISBLANK(G3195),"",IF(D3195="Stock","0",Key!$A$3*H3195*G3195))</f>
        <v/>
      </c>
      <c r="J3195" s="78">
        <f>IF(ISBLANK(E3195),"",IF(ISNUMBER(SEARCH("/",E3195)), IF(LEN(E3195)-LEN(SUBSTITUTE(E3195,"/",""))=1,(RIGHT(E3195,LEN(E3195)-FIND("/",E3195)))-(LEFT(E3195,FIND("/",E3195)-1)),(MID(E3195, SEARCH("/",E3195) + 1, SEARCH("/",E3195, SEARCH("/",E3195)+1) - SEARCH("/",E3195) - 1))-(LEFT(E3195,FIND("/",E3195)-1))), "NA"))</f>
        <v/>
      </c>
      <c r="K3195" s="79">
        <f>IF(A3195&lt;&gt;"", IF(ISBLANK(L3195), TODAY(), K3195), "")</f>
        <v/>
      </c>
      <c r="L3195" s="78" t="n"/>
      <c r="M3195" s="78">
        <f>IF(ISBLANK(L3195),"",IF(D3195="Stock",IF(C3195="Buy",L3195*G3195,IF(C3195="Sell",(L3195*G3195)-I3195, X)),IF(C3195="Buy",(L3195*G3195*100)+I3195,IF(C3195="Sell",(L3195*G3195*100)-I3195, X))))</f>
        <v/>
      </c>
      <c r="N3195" s="78">
        <f>IF(ISBLANK(L3195),"",IF(AND(C3195="Sell",D3195="Stock"),M3195,IF(ISBLANK(L3195),"",IF(C3195="Buy",M3195, IF(AND(C3195="Sell",J3195="NA"),(E3195*G3195*100*0.1)+I3195, IF(C3195="Sell",(J3195-L3195)*(100*G3195)+I3195))))))</f>
        <v/>
      </c>
      <c r="O3195" s="75" t="n"/>
      <c r="P3195" s="75" t="n"/>
      <c r="Q3195" s="75">
        <f>IF(ISBLANK(P3195),"",IF(D3195="Stock",P3195*G3195,IF(P3195=0,"0",G3195*P3195*100-(G3195*$AF$14))))</f>
        <v/>
      </c>
      <c r="R3195" s="79">
        <f>IF(P3195&lt;&gt;"", TODAY(), "")</f>
        <v/>
      </c>
      <c r="S3195" s="78">
        <f>IF(AND(K3195&lt;&gt;"", R3195&lt;&gt;""), R3195-K3195, "")</f>
        <v/>
      </c>
      <c r="T3195" s="78" t="n"/>
      <c r="U3195" s="92">
        <f>IF(ISBLANK(P3195),"",IF(C3195="Buy",Q3195-M3195+T3195, IF(C3195="Sell",M3195-Q3195-T3195, X)))</f>
        <v/>
      </c>
      <c r="V3195" s="81">
        <f>IF(ISBLANK(P3195),"",U3195/N3195)</f>
        <v/>
      </c>
      <c r="W3195" s="81">
        <f>IF(ISBLANK(P3195),"",IF(S3195=0,(365/0.5)*V3195,(365/S3195)*V3195))</f>
        <v/>
      </c>
      <c r="X3195" s="75" t="n"/>
      <c r="Y3195" s="77" t="n"/>
      <c r="Z3195" s="77" t="n"/>
      <c r="AA3195" s="75" t="n"/>
      <c r="AB3195" s="75" t="n"/>
      <c r="AC3195" s="6" t="n"/>
      <c r="AD3195" s="75" t="n"/>
      <c r="AE3195" s="75" t="n"/>
      <c r="AF3195" s="75" t="n"/>
    </row>
    <row r="3196" ht="15.75" customHeight="1" s="133">
      <c r="A3196" s="75" t="n"/>
      <c r="B3196" s="75" t="n"/>
      <c r="C3196" s="75" t="n"/>
      <c r="D3196" s="75" t="n"/>
      <c r="E3196" s="76" t="n"/>
      <c r="F3196" s="77" t="n"/>
      <c r="G3196" s="75" t="n"/>
      <c r="H3196" s="75">
        <f>IF(ISBLANK(E3196),"",IF(OR(D3196="Butterfly",D3196="Butterfly ",D3196="Iron Fly", D3196="Iron Fly "),LEN(E3196)-LEN(SUBSTITUTE(E3196,"/",""))+2,LEN(E3196)-LEN(SUBSTITUTE(E3196,"/",""))+1))</f>
        <v/>
      </c>
      <c r="I3196" s="78">
        <f>IF(ISBLANK(G3196),"",IF(D3196="Stock","0",Key!$A$3*H3196*G3196))</f>
        <v/>
      </c>
      <c r="J3196" s="78">
        <f>IF(ISBLANK(E3196),"",IF(ISNUMBER(SEARCH("/",E3196)), IF(LEN(E3196)-LEN(SUBSTITUTE(E3196,"/",""))=1,(RIGHT(E3196,LEN(E3196)-FIND("/",E3196)))-(LEFT(E3196,FIND("/",E3196)-1)),(MID(E3196, SEARCH("/",E3196) + 1, SEARCH("/",E3196, SEARCH("/",E3196)+1) - SEARCH("/",E3196) - 1))-(LEFT(E3196,FIND("/",E3196)-1))), "NA"))</f>
        <v/>
      </c>
      <c r="K3196" s="79">
        <f>IF(A3196&lt;&gt;"", IF(ISBLANK(L3196), TODAY(), K3196), "")</f>
        <v/>
      </c>
      <c r="L3196" s="78" t="n"/>
      <c r="M3196" s="78">
        <f>IF(ISBLANK(L3196),"",IF(D3196="Stock",IF(C3196="Buy",L3196*G3196,IF(C3196="Sell",(L3196*G3196)-I3196, X)),IF(C3196="Buy",(L3196*G3196*100)+I3196,IF(C3196="Sell",(L3196*G3196*100)-I3196, X))))</f>
        <v/>
      </c>
      <c r="N3196" s="78">
        <f>IF(ISBLANK(L3196),"",IF(AND(C3196="Sell",D3196="Stock"),M3196,IF(ISBLANK(L3196),"",IF(C3196="Buy",M3196, IF(AND(C3196="Sell",J3196="NA"),(E3196*G3196*100*0.1)+I3196, IF(C3196="Sell",(J3196-L3196)*(100*G3196)+I3196))))))</f>
        <v/>
      </c>
      <c r="O3196" s="75" t="n"/>
      <c r="P3196" s="75" t="n"/>
      <c r="Q3196" s="75">
        <f>IF(ISBLANK(P3196),"",IF(D3196="Stock",P3196*G3196,IF(P3196=0,"0",G3196*P3196*100-(G3196*$AF$14))))</f>
        <v/>
      </c>
      <c r="R3196" s="79">
        <f>IF(P3196&lt;&gt;"", TODAY(), "")</f>
        <v/>
      </c>
      <c r="S3196" s="78">
        <f>IF(AND(K3196&lt;&gt;"", R3196&lt;&gt;""), R3196-K3196, "")</f>
        <v/>
      </c>
      <c r="T3196" s="78" t="n"/>
      <c r="U3196" s="92">
        <f>IF(ISBLANK(P3196),"",IF(C3196="Buy",Q3196-M3196+T3196, IF(C3196="Sell",M3196-Q3196-T3196, X)))</f>
        <v/>
      </c>
      <c r="V3196" s="81">
        <f>IF(ISBLANK(P3196),"",U3196/N3196)</f>
        <v/>
      </c>
      <c r="W3196" s="81">
        <f>IF(ISBLANK(P3196),"",IF(S3196=0,(365/0.5)*V3196,(365/S3196)*V3196))</f>
        <v/>
      </c>
      <c r="X3196" s="75" t="n"/>
      <c r="Y3196" s="77" t="n"/>
      <c r="Z3196" s="77" t="n"/>
      <c r="AA3196" s="75" t="n"/>
      <c r="AB3196" s="75" t="n"/>
      <c r="AC3196" s="6" t="n"/>
      <c r="AD3196" s="75" t="n"/>
      <c r="AE3196" s="75" t="n"/>
      <c r="AF3196" s="75" t="n"/>
    </row>
    <row r="3197" ht="15.75" customHeight="1" s="133">
      <c r="A3197" s="75" t="n"/>
      <c r="B3197" s="75" t="n"/>
      <c r="C3197" s="75" t="n"/>
      <c r="D3197" s="75" t="n"/>
      <c r="E3197" s="76" t="n"/>
      <c r="F3197" s="77" t="n"/>
      <c r="G3197" s="75" t="n"/>
      <c r="H3197" s="75">
        <f>IF(ISBLANK(E3197),"",IF(OR(D3197="Butterfly",D3197="Butterfly ",D3197="Iron Fly", D3197="Iron Fly "),LEN(E3197)-LEN(SUBSTITUTE(E3197,"/",""))+2,LEN(E3197)-LEN(SUBSTITUTE(E3197,"/",""))+1))</f>
        <v/>
      </c>
      <c r="I3197" s="78">
        <f>IF(ISBLANK(G3197),"",IF(D3197="Stock","0",Key!$A$3*H3197*G3197))</f>
        <v/>
      </c>
      <c r="J3197" s="78">
        <f>IF(ISBLANK(E3197),"",IF(ISNUMBER(SEARCH("/",E3197)), IF(LEN(E3197)-LEN(SUBSTITUTE(E3197,"/",""))=1,(RIGHT(E3197,LEN(E3197)-FIND("/",E3197)))-(LEFT(E3197,FIND("/",E3197)-1)),(MID(E3197, SEARCH("/",E3197) + 1, SEARCH("/",E3197, SEARCH("/",E3197)+1) - SEARCH("/",E3197) - 1))-(LEFT(E3197,FIND("/",E3197)-1))), "NA"))</f>
        <v/>
      </c>
      <c r="K3197" s="79">
        <f>IF(A3197&lt;&gt;"", IF(ISBLANK(L3197), TODAY(), K3197), "")</f>
        <v/>
      </c>
      <c r="L3197" s="78" t="n"/>
      <c r="M3197" s="78">
        <f>IF(ISBLANK(L3197),"",IF(D3197="Stock",IF(C3197="Buy",L3197*G3197,IF(C3197="Sell",(L3197*G3197)-I3197, X)),IF(C3197="Buy",(L3197*G3197*100)+I3197,IF(C3197="Sell",(L3197*G3197*100)-I3197, X))))</f>
        <v/>
      </c>
      <c r="N3197" s="78">
        <f>IF(ISBLANK(L3197),"",IF(AND(C3197="Sell",D3197="Stock"),M3197,IF(ISBLANK(L3197),"",IF(C3197="Buy",M3197, IF(AND(C3197="Sell",J3197="NA"),(E3197*G3197*100*0.1)+I3197, IF(C3197="Sell",(J3197-L3197)*(100*G3197)+I3197))))))</f>
        <v/>
      </c>
      <c r="O3197" s="75" t="n"/>
      <c r="P3197" s="75" t="n"/>
      <c r="Q3197" s="75">
        <f>IF(ISBLANK(P3197),"",IF(D3197="Stock",P3197*G3197,IF(P3197=0,"0",G3197*P3197*100-(G3197*$AF$14))))</f>
        <v/>
      </c>
      <c r="R3197" s="79">
        <f>IF(P3197&lt;&gt;"", TODAY(), "")</f>
        <v/>
      </c>
      <c r="S3197" s="78">
        <f>IF(AND(K3197&lt;&gt;"", R3197&lt;&gt;""), R3197-K3197, "")</f>
        <v/>
      </c>
      <c r="T3197" s="78" t="n"/>
      <c r="U3197" s="92">
        <f>IF(ISBLANK(P3197),"",IF(C3197="Buy",Q3197-M3197+T3197, IF(C3197="Sell",M3197-Q3197-T3197, X)))</f>
        <v/>
      </c>
      <c r="V3197" s="81">
        <f>IF(ISBLANK(P3197),"",U3197/N3197)</f>
        <v/>
      </c>
      <c r="W3197" s="81">
        <f>IF(ISBLANK(P3197),"",IF(S3197=0,(365/0.5)*V3197,(365/S3197)*V3197))</f>
        <v/>
      </c>
      <c r="X3197" s="75" t="n"/>
      <c r="Y3197" s="77" t="n"/>
      <c r="Z3197" s="77" t="n"/>
      <c r="AA3197" s="75" t="n"/>
      <c r="AB3197" s="75" t="n"/>
      <c r="AC3197" s="6" t="n"/>
      <c r="AD3197" s="75" t="n"/>
      <c r="AE3197" s="75" t="n"/>
      <c r="AF3197" s="75" t="n"/>
    </row>
    <row r="3198" ht="15.75" customHeight="1" s="133">
      <c r="A3198" s="75" t="n"/>
      <c r="B3198" s="75" t="n"/>
      <c r="C3198" s="75" t="n"/>
      <c r="D3198" s="75" t="n"/>
      <c r="E3198" s="76" t="n"/>
      <c r="F3198" s="77" t="n"/>
      <c r="G3198" s="75" t="n"/>
      <c r="H3198" s="75">
        <f>IF(ISBLANK(E3198),"",IF(OR(D3198="Butterfly",D3198="Butterfly ",D3198="Iron Fly", D3198="Iron Fly "),LEN(E3198)-LEN(SUBSTITUTE(E3198,"/",""))+2,LEN(E3198)-LEN(SUBSTITUTE(E3198,"/",""))+1))</f>
        <v/>
      </c>
      <c r="I3198" s="78">
        <f>IF(ISBLANK(G3198),"",IF(D3198="Stock","0",Key!$A$3*H3198*G3198))</f>
        <v/>
      </c>
      <c r="J3198" s="78">
        <f>IF(ISBLANK(E3198),"",IF(ISNUMBER(SEARCH("/",E3198)), IF(LEN(E3198)-LEN(SUBSTITUTE(E3198,"/",""))=1,(RIGHT(E3198,LEN(E3198)-FIND("/",E3198)))-(LEFT(E3198,FIND("/",E3198)-1)),(MID(E3198, SEARCH("/",E3198) + 1, SEARCH("/",E3198, SEARCH("/",E3198)+1) - SEARCH("/",E3198) - 1))-(LEFT(E3198,FIND("/",E3198)-1))), "NA"))</f>
        <v/>
      </c>
      <c r="K3198" s="79">
        <f>IF(A3198&lt;&gt;"", IF(ISBLANK(L3198), TODAY(), K3198), "")</f>
        <v/>
      </c>
      <c r="L3198" s="78" t="n"/>
      <c r="M3198" s="78">
        <f>IF(ISBLANK(L3198),"",IF(D3198="Stock",IF(C3198="Buy",L3198*G3198,IF(C3198="Sell",(L3198*G3198)-I3198, X)),IF(C3198="Buy",(L3198*G3198*100)+I3198,IF(C3198="Sell",(L3198*G3198*100)-I3198, X))))</f>
        <v/>
      </c>
      <c r="N3198" s="78">
        <f>IF(ISBLANK(L3198),"",IF(AND(C3198="Sell",D3198="Stock"),M3198,IF(ISBLANK(L3198),"",IF(C3198="Buy",M3198, IF(AND(C3198="Sell",J3198="NA"),(E3198*G3198*100*0.1)+I3198, IF(C3198="Sell",(J3198-L3198)*(100*G3198)+I3198))))))</f>
        <v/>
      </c>
      <c r="O3198" s="75" t="n"/>
      <c r="P3198" s="75" t="n"/>
      <c r="Q3198" s="75">
        <f>IF(ISBLANK(P3198),"",IF(D3198="Stock",P3198*G3198,IF(P3198=0,"0",G3198*P3198*100-(G3198*$AF$14))))</f>
        <v/>
      </c>
      <c r="R3198" s="79">
        <f>IF(P3198&lt;&gt;"", TODAY(), "")</f>
        <v/>
      </c>
      <c r="S3198" s="78">
        <f>IF(AND(K3198&lt;&gt;"", R3198&lt;&gt;""), R3198-K3198, "")</f>
        <v/>
      </c>
      <c r="T3198" s="78" t="n"/>
      <c r="U3198" s="92">
        <f>IF(ISBLANK(P3198),"",IF(C3198="Buy",Q3198-M3198+T3198, IF(C3198="Sell",M3198-Q3198-T3198, X)))</f>
        <v/>
      </c>
      <c r="V3198" s="81">
        <f>IF(ISBLANK(P3198),"",U3198/N3198)</f>
        <v/>
      </c>
      <c r="W3198" s="81">
        <f>IF(ISBLANK(P3198),"",IF(S3198=0,(365/0.5)*V3198,(365/S3198)*V3198))</f>
        <v/>
      </c>
      <c r="X3198" s="75" t="n"/>
      <c r="Y3198" s="77" t="n"/>
      <c r="Z3198" s="77" t="n"/>
      <c r="AA3198" s="75" t="n"/>
      <c r="AB3198" s="75" t="n"/>
      <c r="AC3198" s="6" t="n"/>
      <c r="AD3198" s="75" t="n"/>
      <c r="AE3198" s="75" t="n"/>
      <c r="AF3198" s="75" t="n"/>
    </row>
    <row r="3199" ht="15.75" customHeight="1" s="133">
      <c r="A3199" s="75" t="n"/>
      <c r="B3199" s="75" t="n"/>
      <c r="C3199" s="75" t="n"/>
      <c r="D3199" s="75" t="n"/>
      <c r="E3199" s="76" t="n"/>
      <c r="F3199" s="77" t="n"/>
      <c r="G3199" s="75" t="n"/>
      <c r="H3199" s="75">
        <f>IF(ISBLANK(E3199),"",IF(OR(D3199="Butterfly",D3199="Butterfly ",D3199="Iron Fly", D3199="Iron Fly "),LEN(E3199)-LEN(SUBSTITUTE(E3199,"/",""))+2,LEN(E3199)-LEN(SUBSTITUTE(E3199,"/",""))+1))</f>
        <v/>
      </c>
      <c r="I3199" s="78">
        <f>IF(ISBLANK(G3199),"",IF(D3199="Stock","0",Key!$A$3*H3199*G3199))</f>
        <v/>
      </c>
      <c r="J3199" s="78">
        <f>IF(ISBLANK(E3199),"",IF(ISNUMBER(SEARCH("/",E3199)), IF(LEN(E3199)-LEN(SUBSTITUTE(E3199,"/",""))=1,(RIGHT(E3199,LEN(E3199)-FIND("/",E3199)))-(LEFT(E3199,FIND("/",E3199)-1)),(MID(E3199, SEARCH("/",E3199) + 1, SEARCH("/",E3199, SEARCH("/",E3199)+1) - SEARCH("/",E3199) - 1))-(LEFT(E3199,FIND("/",E3199)-1))), "NA"))</f>
        <v/>
      </c>
      <c r="K3199" s="79">
        <f>IF(A3199&lt;&gt;"", IF(ISBLANK(L3199), TODAY(), K3199), "")</f>
        <v/>
      </c>
      <c r="L3199" s="78" t="n"/>
      <c r="M3199" s="78">
        <f>IF(ISBLANK(L3199),"",IF(D3199="Stock",IF(C3199="Buy",L3199*G3199,IF(C3199="Sell",(L3199*G3199)-I3199, X)),IF(C3199="Buy",(L3199*G3199*100)+I3199,IF(C3199="Sell",(L3199*G3199*100)-I3199, X))))</f>
        <v/>
      </c>
      <c r="N3199" s="78">
        <f>IF(ISBLANK(L3199),"",IF(AND(C3199="Sell",D3199="Stock"),M3199,IF(ISBLANK(L3199),"",IF(C3199="Buy",M3199, IF(AND(C3199="Sell",J3199="NA"),(E3199*G3199*100*0.1)+I3199, IF(C3199="Sell",(J3199-L3199)*(100*G3199)+I3199))))))</f>
        <v/>
      </c>
      <c r="O3199" s="75" t="n"/>
      <c r="P3199" s="75" t="n"/>
      <c r="Q3199" s="75">
        <f>IF(ISBLANK(P3199),"",IF(D3199="Stock",P3199*G3199,IF(P3199=0,"0",G3199*P3199*100-(G3199*$AF$14))))</f>
        <v/>
      </c>
      <c r="R3199" s="79">
        <f>IF(P3199&lt;&gt;"", TODAY(), "")</f>
        <v/>
      </c>
      <c r="S3199" s="78">
        <f>IF(AND(K3199&lt;&gt;"", R3199&lt;&gt;""), R3199-K3199, "")</f>
        <v/>
      </c>
      <c r="T3199" s="78" t="n"/>
      <c r="U3199" s="92">
        <f>IF(ISBLANK(P3199),"",IF(C3199="Buy",Q3199-M3199+T3199, IF(C3199="Sell",M3199-Q3199-T3199, X)))</f>
        <v/>
      </c>
      <c r="V3199" s="81">
        <f>IF(ISBLANK(P3199),"",U3199/N3199)</f>
        <v/>
      </c>
      <c r="W3199" s="81">
        <f>IF(ISBLANK(P3199),"",IF(S3199=0,(365/0.5)*V3199,(365/S3199)*V3199))</f>
        <v/>
      </c>
      <c r="X3199" s="75" t="n"/>
      <c r="Y3199" s="77" t="n"/>
      <c r="Z3199" s="77" t="n"/>
      <c r="AA3199" s="75" t="n"/>
      <c r="AB3199" s="75" t="n"/>
      <c r="AC3199" s="6" t="n"/>
      <c r="AD3199" s="75" t="n"/>
      <c r="AE3199" s="75" t="n"/>
      <c r="AF3199" s="75" t="n"/>
    </row>
    <row r="3200" ht="15.75" customHeight="1" s="133">
      <c r="A3200" s="75" t="n"/>
      <c r="B3200" s="75" t="n"/>
      <c r="C3200" s="75" t="n"/>
      <c r="D3200" s="75" t="n"/>
      <c r="E3200" s="76" t="n"/>
      <c r="F3200" s="77" t="n"/>
      <c r="G3200" s="75" t="n"/>
      <c r="H3200" s="75">
        <f>IF(ISBLANK(E3200),"",IF(OR(D3200="Butterfly",D3200="Butterfly ",D3200="Iron Fly", D3200="Iron Fly "),LEN(E3200)-LEN(SUBSTITUTE(E3200,"/",""))+2,LEN(E3200)-LEN(SUBSTITUTE(E3200,"/",""))+1))</f>
        <v/>
      </c>
      <c r="I3200" s="78">
        <f>IF(ISBLANK(G3200),"",IF(D3200="Stock","0",Key!$A$3*H3200*G3200))</f>
        <v/>
      </c>
      <c r="J3200" s="78">
        <f>IF(ISBLANK(E3200),"",IF(ISNUMBER(SEARCH("/",E3200)), IF(LEN(E3200)-LEN(SUBSTITUTE(E3200,"/",""))=1,(RIGHT(E3200,LEN(E3200)-FIND("/",E3200)))-(LEFT(E3200,FIND("/",E3200)-1)),(MID(E3200, SEARCH("/",E3200) + 1, SEARCH("/",E3200, SEARCH("/",E3200)+1) - SEARCH("/",E3200) - 1))-(LEFT(E3200,FIND("/",E3200)-1))), "NA"))</f>
        <v/>
      </c>
      <c r="K3200" s="79">
        <f>IF(A3200&lt;&gt;"", IF(ISBLANK(L3200), TODAY(), K3200), "")</f>
        <v/>
      </c>
      <c r="L3200" s="78" t="n"/>
      <c r="M3200" s="78">
        <f>IF(ISBLANK(L3200),"",IF(D3200="Stock",IF(C3200="Buy",L3200*G3200,IF(C3200="Sell",(L3200*G3200)-I3200, X)),IF(C3200="Buy",(L3200*G3200*100)+I3200,IF(C3200="Sell",(L3200*G3200*100)-I3200, X))))</f>
        <v/>
      </c>
      <c r="N3200" s="78">
        <f>IF(ISBLANK(L3200),"",IF(AND(C3200="Sell",D3200="Stock"),M3200,IF(ISBLANK(L3200),"",IF(C3200="Buy",M3200, IF(AND(C3200="Sell",J3200="NA"),(E3200*G3200*100*0.1)+I3200, IF(C3200="Sell",(J3200-L3200)*(100*G3200)+I3200))))))</f>
        <v/>
      </c>
      <c r="O3200" s="75" t="n"/>
      <c r="P3200" s="75" t="n"/>
      <c r="Q3200" s="75">
        <f>IF(ISBLANK(P3200),"",IF(D3200="Stock",P3200*G3200,IF(P3200=0,"0",G3200*P3200*100-(G3200*$AF$14))))</f>
        <v/>
      </c>
      <c r="R3200" s="79">
        <f>IF(P3200&lt;&gt;"", TODAY(), "")</f>
        <v/>
      </c>
      <c r="S3200" s="78">
        <f>IF(AND(K3200&lt;&gt;"", R3200&lt;&gt;""), R3200-K3200, "")</f>
        <v/>
      </c>
      <c r="T3200" s="78" t="n"/>
      <c r="U3200" s="92">
        <f>IF(ISBLANK(P3200),"",IF(C3200="Buy",Q3200-M3200+T3200, IF(C3200="Sell",M3200-Q3200-T3200, X)))</f>
        <v/>
      </c>
      <c r="V3200" s="81">
        <f>IF(ISBLANK(P3200),"",U3200/N3200)</f>
        <v/>
      </c>
      <c r="W3200" s="81">
        <f>IF(ISBLANK(P3200),"",IF(S3200=0,(365/0.5)*V3200,(365/S3200)*V3200))</f>
        <v/>
      </c>
      <c r="X3200" s="75" t="n"/>
      <c r="Y3200" s="77" t="n"/>
      <c r="Z3200" s="77" t="n"/>
      <c r="AA3200" s="75" t="n"/>
      <c r="AB3200" s="75" t="n"/>
      <c r="AC3200" s="6" t="n"/>
      <c r="AD3200" s="75" t="n"/>
      <c r="AE3200" s="75" t="n"/>
      <c r="AF3200" s="75" t="n"/>
    </row>
    <row r="3201" ht="15.75" customHeight="1" s="133">
      <c r="A3201" s="75" t="n"/>
      <c r="B3201" s="75" t="n"/>
      <c r="C3201" s="75" t="n"/>
      <c r="D3201" s="75" t="n"/>
      <c r="E3201" s="76" t="n"/>
      <c r="F3201" s="77" t="n"/>
      <c r="G3201" s="75" t="n"/>
      <c r="H3201" s="75">
        <f>IF(ISBLANK(E3201),"",IF(OR(D3201="Butterfly",D3201="Butterfly ",D3201="Iron Fly", D3201="Iron Fly "),LEN(E3201)-LEN(SUBSTITUTE(E3201,"/",""))+2,LEN(E3201)-LEN(SUBSTITUTE(E3201,"/",""))+1))</f>
        <v/>
      </c>
      <c r="I3201" s="78">
        <f>IF(ISBLANK(G3201),"",IF(D3201="Stock","0",Key!$A$3*H3201*G3201))</f>
        <v/>
      </c>
      <c r="J3201" s="78">
        <f>IF(ISBLANK(E3201),"",IF(ISNUMBER(SEARCH("/",E3201)), IF(LEN(E3201)-LEN(SUBSTITUTE(E3201,"/",""))=1,(RIGHT(E3201,LEN(E3201)-FIND("/",E3201)))-(LEFT(E3201,FIND("/",E3201)-1)),(MID(E3201, SEARCH("/",E3201) + 1, SEARCH("/",E3201, SEARCH("/",E3201)+1) - SEARCH("/",E3201) - 1))-(LEFT(E3201,FIND("/",E3201)-1))), "NA"))</f>
        <v/>
      </c>
      <c r="K3201" s="79">
        <f>IF(A3201&lt;&gt;"", IF(ISBLANK(L3201), TODAY(), K3201), "")</f>
        <v/>
      </c>
      <c r="L3201" s="78" t="n"/>
      <c r="M3201" s="78">
        <f>IF(ISBLANK(L3201),"",IF(D3201="Stock",IF(C3201="Buy",L3201*G3201,IF(C3201="Sell",(L3201*G3201)-I3201, X)),IF(C3201="Buy",(L3201*G3201*100)+I3201,IF(C3201="Sell",(L3201*G3201*100)-I3201, X))))</f>
        <v/>
      </c>
      <c r="N3201" s="78">
        <f>IF(ISBLANK(L3201),"",IF(AND(C3201="Sell",D3201="Stock"),M3201,IF(ISBLANK(L3201),"",IF(C3201="Buy",M3201, IF(AND(C3201="Sell",J3201="NA"),(E3201*G3201*100*0.1)+I3201, IF(C3201="Sell",(J3201-L3201)*(100*G3201)+I3201))))))</f>
        <v/>
      </c>
      <c r="O3201" s="75" t="n"/>
      <c r="P3201" s="75" t="n"/>
      <c r="Q3201" s="75">
        <f>IF(ISBLANK(P3201),"",IF(D3201="Stock",P3201*G3201,IF(P3201=0,"0",G3201*P3201*100-(G3201*$AF$14))))</f>
        <v/>
      </c>
      <c r="R3201" s="79">
        <f>IF(P3201&lt;&gt;"", TODAY(), "")</f>
        <v/>
      </c>
      <c r="S3201" s="78">
        <f>IF(AND(K3201&lt;&gt;"", R3201&lt;&gt;""), R3201-K3201, "")</f>
        <v/>
      </c>
      <c r="T3201" s="78" t="n"/>
      <c r="U3201" s="92">
        <f>IF(ISBLANK(P3201),"",IF(C3201="Buy",Q3201-M3201+T3201, IF(C3201="Sell",M3201-Q3201-T3201, X)))</f>
        <v/>
      </c>
      <c r="V3201" s="81">
        <f>IF(ISBLANK(P3201),"",U3201/N3201)</f>
        <v/>
      </c>
      <c r="W3201" s="81">
        <f>IF(ISBLANK(P3201),"",IF(S3201=0,(365/0.5)*V3201,(365/S3201)*V3201))</f>
        <v/>
      </c>
      <c r="X3201" s="75" t="n"/>
      <c r="Y3201" s="77" t="n"/>
      <c r="Z3201" s="77" t="n"/>
      <c r="AA3201" s="75" t="n"/>
      <c r="AB3201" s="75" t="n"/>
      <c r="AC3201" s="6" t="n"/>
      <c r="AD3201" s="75" t="n"/>
      <c r="AE3201" s="75" t="n"/>
      <c r="AF3201" s="75" t="n"/>
    </row>
    <row r="3202" ht="15.75" customHeight="1" s="133">
      <c r="A3202" s="75" t="n"/>
      <c r="B3202" s="75" t="n"/>
      <c r="C3202" s="75" t="n"/>
      <c r="D3202" s="75" t="n"/>
      <c r="E3202" s="76" t="n"/>
      <c r="F3202" s="77" t="n"/>
      <c r="G3202" s="75" t="n"/>
      <c r="H3202" s="75">
        <f>IF(ISBLANK(E3202),"",IF(OR(D3202="Butterfly",D3202="Butterfly ",D3202="Iron Fly", D3202="Iron Fly "),LEN(E3202)-LEN(SUBSTITUTE(E3202,"/",""))+2,LEN(E3202)-LEN(SUBSTITUTE(E3202,"/",""))+1))</f>
        <v/>
      </c>
      <c r="I3202" s="78">
        <f>IF(ISBLANK(G3202),"",IF(D3202="Stock","0",Key!$A$3*H3202*G3202))</f>
        <v/>
      </c>
      <c r="J3202" s="78">
        <f>IF(ISBLANK(E3202),"",IF(ISNUMBER(SEARCH("/",E3202)), IF(LEN(E3202)-LEN(SUBSTITUTE(E3202,"/",""))=1,(RIGHT(E3202,LEN(E3202)-FIND("/",E3202)))-(LEFT(E3202,FIND("/",E3202)-1)),(MID(E3202, SEARCH("/",E3202) + 1, SEARCH("/",E3202, SEARCH("/",E3202)+1) - SEARCH("/",E3202) - 1))-(LEFT(E3202,FIND("/",E3202)-1))), "NA"))</f>
        <v/>
      </c>
      <c r="K3202" s="79">
        <f>IF(A3202&lt;&gt;"", IF(ISBLANK(L3202), TODAY(), K3202), "")</f>
        <v/>
      </c>
      <c r="L3202" s="78" t="n"/>
      <c r="M3202" s="78">
        <f>IF(ISBLANK(L3202),"",IF(D3202="Stock",IF(C3202="Buy",L3202*G3202,IF(C3202="Sell",(L3202*G3202)-I3202, X)),IF(C3202="Buy",(L3202*G3202*100)+I3202,IF(C3202="Sell",(L3202*G3202*100)-I3202, X))))</f>
        <v/>
      </c>
      <c r="N3202" s="78">
        <f>IF(ISBLANK(L3202),"",IF(AND(C3202="Sell",D3202="Stock"),M3202,IF(ISBLANK(L3202),"",IF(C3202="Buy",M3202, IF(AND(C3202="Sell",J3202="NA"),(E3202*G3202*100*0.1)+I3202, IF(C3202="Sell",(J3202-L3202)*(100*G3202)+I3202))))))</f>
        <v/>
      </c>
      <c r="O3202" s="75" t="n"/>
      <c r="P3202" s="75" t="n"/>
      <c r="Q3202" s="75">
        <f>IF(ISBLANK(P3202),"",IF(D3202="Stock",P3202*G3202,IF(P3202=0,"0",G3202*P3202*100-(G3202*$AF$14))))</f>
        <v/>
      </c>
      <c r="R3202" s="79">
        <f>IF(P3202&lt;&gt;"", TODAY(), "")</f>
        <v/>
      </c>
      <c r="S3202" s="78">
        <f>IF(AND(K3202&lt;&gt;"", R3202&lt;&gt;""), R3202-K3202, "")</f>
        <v/>
      </c>
      <c r="T3202" s="78" t="n"/>
      <c r="U3202" s="92">
        <f>IF(ISBLANK(P3202),"",IF(C3202="Buy",Q3202-M3202+T3202, IF(C3202="Sell",M3202-Q3202-T3202, X)))</f>
        <v/>
      </c>
      <c r="V3202" s="81">
        <f>IF(ISBLANK(P3202),"",U3202/N3202)</f>
        <v/>
      </c>
      <c r="W3202" s="81">
        <f>IF(ISBLANK(P3202),"",IF(S3202=0,(365/0.5)*V3202,(365/S3202)*V3202))</f>
        <v/>
      </c>
      <c r="X3202" s="75" t="n"/>
      <c r="Y3202" s="77" t="n"/>
      <c r="Z3202" s="77" t="n"/>
      <c r="AA3202" s="75" t="n"/>
      <c r="AB3202" s="75" t="n"/>
      <c r="AC3202" s="6" t="n"/>
      <c r="AD3202" s="75" t="n"/>
      <c r="AE3202" s="75" t="n"/>
      <c r="AF3202" s="75" t="n"/>
    </row>
    <row r="3203" ht="15.75" customHeight="1" s="133">
      <c r="A3203" s="75" t="n"/>
      <c r="B3203" s="75" t="n"/>
      <c r="C3203" s="75" t="n"/>
      <c r="D3203" s="75" t="n"/>
      <c r="E3203" s="76" t="n"/>
      <c r="F3203" s="77" t="n"/>
      <c r="G3203" s="75" t="n"/>
      <c r="H3203" s="75">
        <f>IF(ISBLANK(E3203),"",IF(OR(D3203="Butterfly",D3203="Butterfly ",D3203="Iron Fly", D3203="Iron Fly "),LEN(E3203)-LEN(SUBSTITUTE(E3203,"/",""))+2,LEN(E3203)-LEN(SUBSTITUTE(E3203,"/",""))+1))</f>
        <v/>
      </c>
      <c r="I3203" s="78">
        <f>IF(ISBLANK(G3203),"",IF(D3203="Stock","0",Key!$A$3*H3203*G3203))</f>
        <v/>
      </c>
      <c r="J3203" s="78">
        <f>IF(ISBLANK(E3203),"",IF(ISNUMBER(SEARCH("/",E3203)), IF(LEN(E3203)-LEN(SUBSTITUTE(E3203,"/",""))=1,(RIGHT(E3203,LEN(E3203)-FIND("/",E3203)))-(LEFT(E3203,FIND("/",E3203)-1)),(MID(E3203, SEARCH("/",E3203) + 1, SEARCH("/",E3203, SEARCH("/",E3203)+1) - SEARCH("/",E3203) - 1))-(LEFT(E3203,FIND("/",E3203)-1))), "NA"))</f>
        <v/>
      </c>
      <c r="K3203" s="79">
        <f>IF(A3203&lt;&gt;"", IF(ISBLANK(L3203), TODAY(), K3203), "")</f>
        <v/>
      </c>
      <c r="L3203" s="78" t="n"/>
      <c r="M3203" s="78">
        <f>IF(ISBLANK(L3203),"",IF(D3203="Stock",IF(C3203="Buy",L3203*G3203,IF(C3203="Sell",(L3203*G3203)-I3203, X)),IF(C3203="Buy",(L3203*G3203*100)+I3203,IF(C3203="Sell",(L3203*G3203*100)-I3203, X))))</f>
        <v/>
      </c>
      <c r="N3203" s="78">
        <f>IF(ISBLANK(L3203),"",IF(AND(C3203="Sell",D3203="Stock"),M3203,IF(ISBLANK(L3203),"",IF(C3203="Buy",M3203, IF(AND(C3203="Sell",J3203="NA"),(E3203*G3203*100*0.1)+I3203, IF(C3203="Sell",(J3203-L3203)*(100*G3203)+I3203))))))</f>
        <v/>
      </c>
      <c r="O3203" s="75" t="n"/>
      <c r="P3203" s="75" t="n"/>
      <c r="Q3203" s="75">
        <f>IF(ISBLANK(P3203),"",IF(D3203="Stock",P3203*G3203,IF(P3203=0,"0",G3203*P3203*100-(G3203*$AF$14))))</f>
        <v/>
      </c>
      <c r="R3203" s="79">
        <f>IF(P3203&lt;&gt;"", TODAY(), "")</f>
        <v/>
      </c>
      <c r="S3203" s="78">
        <f>IF(AND(K3203&lt;&gt;"", R3203&lt;&gt;""), R3203-K3203, "")</f>
        <v/>
      </c>
      <c r="T3203" s="78" t="n"/>
      <c r="U3203" s="92">
        <f>IF(ISBLANK(P3203),"",IF(C3203="Buy",Q3203-M3203+T3203, IF(C3203="Sell",M3203-Q3203-T3203, X)))</f>
        <v/>
      </c>
      <c r="V3203" s="81">
        <f>IF(ISBLANK(P3203),"",U3203/N3203)</f>
        <v/>
      </c>
      <c r="W3203" s="81">
        <f>IF(ISBLANK(P3203),"",IF(S3203=0,(365/0.5)*V3203,(365/S3203)*V3203))</f>
        <v/>
      </c>
      <c r="X3203" s="75" t="n"/>
      <c r="Y3203" s="77" t="n"/>
      <c r="Z3203" s="77" t="n"/>
      <c r="AA3203" s="75" t="n"/>
      <c r="AB3203" s="75" t="n"/>
      <c r="AC3203" s="6" t="n"/>
      <c r="AD3203" s="75" t="n"/>
      <c r="AE3203" s="75" t="n"/>
      <c r="AF3203" s="75" t="n"/>
    </row>
    <row r="3204" ht="15.75" customHeight="1" s="133">
      <c r="A3204" s="75" t="n"/>
      <c r="B3204" s="75" t="n"/>
      <c r="C3204" s="75" t="n"/>
      <c r="D3204" s="75" t="n"/>
      <c r="E3204" s="76" t="n"/>
      <c r="F3204" s="77" t="n"/>
      <c r="G3204" s="75" t="n"/>
      <c r="H3204" s="75">
        <f>IF(ISBLANK(E3204),"",IF(OR(D3204="Butterfly",D3204="Butterfly ",D3204="Iron Fly", D3204="Iron Fly "),LEN(E3204)-LEN(SUBSTITUTE(E3204,"/",""))+2,LEN(E3204)-LEN(SUBSTITUTE(E3204,"/",""))+1))</f>
        <v/>
      </c>
      <c r="I3204" s="78">
        <f>IF(ISBLANK(G3204),"",IF(D3204="Stock","0",Key!$A$3*H3204*G3204))</f>
        <v/>
      </c>
      <c r="J3204" s="78">
        <f>IF(ISBLANK(E3204),"",IF(ISNUMBER(SEARCH("/",E3204)), IF(LEN(E3204)-LEN(SUBSTITUTE(E3204,"/",""))=1,(RIGHT(E3204,LEN(E3204)-FIND("/",E3204)))-(LEFT(E3204,FIND("/",E3204)-1)),(MID(E3204, SEARCH("/",E3204) + 1, SEARCH("/",E3204, SEARCH("/",E3204)+1) - SEARCH("/",E3204) - 1))-(LEFT(E3204,FIND("/",E3204)-1))), "NA"))</f>
        <v/>
      </c>
      <c r="K3204" s="79">
        <f>IF(A3204&lt;&gt;"", IF(ISBLANK(L3204), TODAY(), K3204), "")</f>
        <v/>
      </c>
      <c r="L3204" s="78" t="n"/>
      <c r="M3204" s="78">
        <f>IF(ISBLANK(L3204),"",IF(D3204="Stock",IF(C3204="Buy",L3204*G3204,IF(C3204="Sell",(L3204*G3204)-I3204, X)),IF(C3204="Buy",(L3204*G3204*100)+I3204,IF(C3204="Sell",(L3204*G3204*100)-I3204, X))))</f>
        <v/>
      </c>
      <c r="N3204" s="78">
        <f>IF(ISBLANK(L3204),"",IF(AND(C3204="Sell",D3204="Stock"),M3204,IF(ISBLANK(L3204),"",IF(C3204="Buy",M3204, IF(AND(C3204="Sell",J3204="NA"),(E3204*G3204*100*0.1)+I3204, IF(C3204="Sell",(J3204-L3204)*(100*G3204)+I3204))))))</f>
        <v/>
      </c>
      <c r="O3204" s="75" t="n"/>
      <c r="P3204" s="75" t="n"/>
      <c r="Q3204" s="75">
        <f>IF(ISBLANK(P3204),"",IF(D3204="Stock",P3204*G3204,IF(P3204=0,"0",G3204*P3204*100-(G3204*$AF$14))))</f>
        <v/>
      </c>
      <c r="R3204" s="79">
        <f>IF(P3204&lt;&gt;"", TODAY(), "")</f>
        <v/>
      </c>
      <c r="S3204" s="78">
        <f>IF(AND(K3204&lt;&gt;"", R3204&lt;&gt;""), R3204-K3204, "")</f>
        <v/>
      </c>
      <c r="T3204" s="78" t="n"/>
      <c r="U3204" s="92">
        <f>IF(ISBLANK(P3204),"",IF(C3204="Buy",Q3204-M3204+T3204, IF(C3204="Sell",M3204-Q3204-T3204, X)))</f>
        <v/>
      </c>
      <c r="V3204" s="81">
        <f>IF(ISBLANK(P3204),"",U3204/N3204)</f>
        <v/>
      </c>
      <c r="W3204" s="81">
        <f>IF(ISBLANK(P3204),"",IF(S3204=0,(365/0.5)*V3204,(365/S3204)*V3204))</f>
        <v/>
      </c>
      <c r="X3204" s="75" t="n"/>
      <c r="Y3204" s="77" t="n"/>
      <c r="Z3204" s="77" t="n"/>
      <c r="AA3204" s="75" t="n"/>
      <c r="AB3204" s="75" t="n"/>
      <c r="AC3204" s="6" t="n"/>
      <c r="AD3204" s="75" t="n"/>
      <c r="AE3204" s="75" t="n"/>
      <c r="AF3204" s="75" t="n"/>
    </row>
    <row r="3205" ht="15.75" customHeight="1" s="133">
      <c r="A3205" s="75" t="n"/>
      <c r="B3205" s="75" t="n"/>
      <c r="C3205" s="75" t="n"/>
      <c r="D3205" s="75" t="n"/>
      <c r="E3205" s="76" t="n"/>
      <c r="F3205" s="77" t="n"/>
      <c r="G3205" s="75" t="n"/>
      <c r="H3205" s="75">
        <f>IF(ISBLANK(E3205),"",IF(OR(D3205="Butterfly",D3205="Butterfly ",D3205="Iron Fly", D3205="Iron Fly "),LEN(E3205)-LEN(SUBSTITUTE(E3205,"/",""))+2,LEN(E3205)-LEN(SUBSTITUTE(E3205,"/",""))+1))</f>
        <v/>
      </c>
      <c r="I3205" s="78">
        <f>IF(ISBLANK(G3205),"",IF(D3205="Stock","0",Key!$A$3*H3205*G3205))</f>
        <v/>
      </c>
      <c r="J3205" s="78">
        <f>IF(ISBLANK(E3205),"",IF(ISNUMBER(SEARCH("/",E3205)), IF(LEN(E3205)-LEN(SUBSTITUTE(E3205,"/",""))=1,(RIGHT(E3205,LEN(E3205)-FIND("/",E3205)))-(LEFT(E3205,FIND("/",E3205)-1)),(MID(E3205, SEARCH("/",E3205) + 1, SEARCH("/",E3205, SEARCH("/",E3205)+1) - SEARCH("/",E3205) - 1))-(LEFT(E3205,FIND("/",E3205)-1))), "NA"))</f>
        <v/>
      </c>
      <c r="K3205" s="79">
        <f>IF(A3205&lt;&gt;"", IF(ISBLANK(L3205), TODAY(), K3205), "")</f>
        <v/>
      </c>
      <c r="L3205" s="78" t="n"/>
      <c r="M3205" s="78">
        <f>IF(ISBLANK(L3205),"",IF(D3205="Stock",IF(C3205="Buy",L3205*G3205,IF(C3205="Sell",(L3205*G3205)-I3205, X)),IF(C3205="Buy",(L3205*G3205*100)+I3205,IF(C3205="Sell",(L3205*G3205*100)-I3205, X))))</f>
        <v/>
      </c>
      <c r="N3205" s="78">
        <f>IF(ISBLANK(L3205),"",IF(AND(C3205="Sell",D3205="Stock"),M3205,IF(ISBLANK(L3205),"",IF(C3205="Buy",M3205, IF(AND(C3205="Sell",J3205="NA"),(E3205*G3205*100*0.1)+I3205, IF(C3205="Sell",(J3205-L3205)*(100*G3205)+I3205))))))</f>
        <v/>
      </c>
      <c r="O3205" s="75" t="n"/>
      <c r="P3205" s="75" t="n"/>
      <c r="Q3205" s="75">
        <f>IF(ISBLANK(P3205),"",IF(D3205="Stock",P3205*G3205,IF(P3205=0,"0",G3205*P3205*100-(G3205*$AF$14))))</f>
        <v/>
      </c>
      <c r="R3205" s="79">
        <f>IF(P3205&lt;&gt;"", TODAY(), "")</f>
        <v/>
      </c>
      <c r="S3205" s="78">
        <f>IF(AND(K3205&lt;&gt;"", R3205&lt;&gt;""), R3205-K3205, "")</f>
        <v/>
      </c>
      <c r="T3205" s="78" t="n"/>
      <c r="U3205" s="92">
        <f>IF(ISBLANK(P3205),"",IF(C3205="Buy",Q3205-M3205+T3205, IF(C3205="Sell",M3205-Q3205-T3205, X)))</f>
        <v/>
      </c>
      <c r="V3205" s="81">
        <f>IF(ISBLANK(P3205),"",U3205/N3205)</f>
        <v/>
      </c>
      <c r="W3205" s="81">
        <f>IF(ISBLANK(P3205),"",IF(S3205=0,(365/0.5)*V3205,(365/S3205)*V3205))</f>
        <v/>
      </c>
      <c r="X3205" s="75" t="n"/>
      <c r="Y3205" s="77" t="n"/>
      <c r="Z3205" s="77" t="n"/>
      <c r="AA3205" s="75" t="n"/>
      <c r="AB3205" s="75" t="n"/>
      <c r="AC3205" s="6" t="n"/>
      <c r="AD3205" s="75" t="n"/>
      <c r="AE3205" s="75" t="n"/>
      <c r="AF3205" s="75" t="n"/>
    </row>
    <row r="3206" ht="15.75" customHeight="1" s="133">
      <c r="A3206" s="75" t="n"/>
      <c r="B3206" s="75" t="n"/>
      <c r="C3206" s="75" t="n"/>
      <c r="D3206" s="75" t="n"/>
      <c r="E3206" s="76" t="n"/>
      <c r="F3206" s="77" t="n"/>
      <c r="G3206" s="75" t="n"/>
      <c r="H3206" s="75">
        <f>IF(ISBLANK(E3206),"",IF(OR(D3206="Butterfly",D3206="Butterfly ",D3206="Iron Fly", D3206="Iron Fly "),LEN(E3206)-LEN(SUBSTITUTE(E3206,"/",""))+2,LEN(E3206)-LEN(SUBSTITUTE(E3206,"/",""))+1))</f>
        <v/>
      </c>
      <c r="I3206" s="78">
        <f>IF(ISBLANK(G3206),"",IF(D3206="Stock","0",Key!$A$3*H3206*G3206))</f>
        <v/>
      </c>
      <c r="J3206" s="78">
        <f>IF(ISBLANK(E3206),"",IF(ISNUMBER(SEARCH("/",E3206)), IF(LEN(E3206)-LEN(SUBSTITUTE(E3206,"/",""))=1,(RIGHT(E3206,LEN(E3206)-FIND("/",E3206)))-(LEFT(E3206,FIND("/",E3206)-1)),(MID(E3206, SEARCH("/",E3206) + 1, SEARCH("/",E3206, SEARCH("/",E3206)+1) - SEARCH("/",E3206) - 1))-(LEFT(E3206,FIND("/",E3206)-1))), "NA"))</f>
        <v/>
      </c>
      <c r="K3206" s="79">
        <f>IF(A3206&lt;&gt;"", IF(ISBLANK(L3206), TODAY(), K3206), "")</f>
        <v/>
      </c>
      <c r="L3206" s="78" t="n"/>
      <c r="M3206" s="78">
        <f>IF(ISBLANK(L3206),"",IF(D3206="Stock",IF(C3206="Buy",L3206*G3206,IF(C3206="Sell",(L3206*G3206)-I3206, X)),IF(C3206="Buy",(L3206*G3206*100)+I3206,IF(C3206="Sell",(L3206*G3206*100)-I3206, X))))</f>
        <v/>
      </c>
      <c r="N3206" s="78">
        <f>IF(ISBLANK(L3206),"",IF(AND(C3206="Sell",D3206="Stock"),M3206,IF(ISBLANK(L3206),"",IF(C3206="Buy",M3206, IF(AND(C3206="Sell",J3206="NA"),(E3206*G3206*100*0.1)+I3206, IF(C3206="Sell",(J3206-L3206)*(100*G3206)+I3206))))))</f>
        <v/>
      </c>
      <c r="O3206" s="75" t="n"/>
      <c r="P3206" s="75" t="n"/>
      <c r="Q3206" s="75">
        <f>IF(ISBLANK(P3206),"",IF(D3206="Stock",P3206*G3206,IF(P3206=0,"0",G3206*P3206*100-(G3206*$AF$14))))</f>
        <v/>
      </c>
      <c r="R3206" s="79">
        <f>IF(P3206&lt;&gt;"", TODAY(), "")</f>
        <v/>
      </c>
      <c r="S3206" s="78">
        <f>IF(AND(K3206&lt;&gt;"", R3206&lt;&gt;""), R3206-K3206, "")</f>
        <v/>
      </c>
      <c r="T3206" s="78" t="n"/>
      <c r="U3206" s="92">
        <f>IF(ISBLANK(P3206),"",IF(C3206="Buy",Q3206-M3206+T3206, IF(C3206="Sell",M3206-Q3206-T3206, X)))</f>
        <v/>
      </c>
      <c r="V3206" s="81">
        <f>IF(ISBLANK(P3206),"",U3206/N3206)</f>
        <v/>
      </c>
      <c r="W3206" s="81">
        <f>IF(ISBLANK(P3206),"",IF(S3206=0,(365/0.5)*V3206,(365/S3206)*V3206))</f>
        <v/>
      </c>
      <c r="X3206" s="75" t="n"/>
      <c r="Y3206" s="77" t="n"/>
      <c r="Z3206" s="77" t="n"/>
      <c r="AA3206" s="75" t="n"/>
      <c r="AB3206" s="75" t="n"/>
      <c r="AC3206" s="6" t="n"/>
      <c r="AD3206" s="75" t="n"/>
      <c r="AE3206" s="75" t="n"/>
      <c r="AF3206" s="75" t="n"/>
    </row>
    <row r="3207" ht="15.75" customHeight="1" s="133">
      <c r="A3207" s="75" t="n"/>
      <c r="B3207" s="75" t="n"/>
      <c r="C3207" s="75" t="n"/>
      <c r="D3207" s="75" t="n"/>
      <c r="E3207" s="76" t="n"/>
      <c r="F3207" s="77" t="n"/>
      <c r="G3207" s="75" t="n"/>
      <c r="H3207" s="75">
        <f>IF(ISBLANK(E3207),"",IF(OR(D3207="Butterfly",D3207="Butterfly ",D3207="Iron Fly", D3207="Iron Fly "),LEN(E3207)-LEN(SUBSTITUTE(E3207,"/",""))+2,LEN(E3207)-LEN(SUBSTITUTE(E3207,"/",""))+1))</f>
        <v/>
      </c>
      <c r="I3207" s="78">
        <f>IF(ISBLANK(G3207),"",IF(D3207="Stock","0",Key!$A$3*H3207*G3207))</f>
        <v/>
      </c>
      <c r="J3207" s="78">
        <f>IF(ISBLANK(E3207),"",IF(ISNUMBER(SEARCH("/",E3207)), IF(LEN(E3207)-LEN(SUBSTITUTE(E3207,"/",""))=1,(RIGHT(E3207,LEN(E3207)-FIND("/",E3207)))-(LEFT(E3207,FIND("/",E3207)-1)),(MID(E3207, SEARCH("/",E3207) + 1, SEARCH("/",E3207, SEARCH("/",E3207)+1) - SEARCH("/",E3207) - 1))-(LEFT(E3207,FIND("/",E3207)-1))), "NA"))</f>
        <v/>
      </c>
      <c r="K3207" s="79">
        <f>IF(A3207&lt;&gt;"", IF(ISBLANK(L3207), TODAY(), K3207), "")</f>
        <v/>
      </c>
      <c r="L3207" s="78" t="n"/>
      <c r="M3207" s="78">
        <f>IF(ISBLANK(L3207),"",IF(D3207="Stock",IF(C3207="Buy",L3207*G3207,IF(C3207="Sell",(L3207*G3207)-I3207, X)),IF(C3207="Buy",(L3207*G3207*100)+I3207,IF(C3207="Sell",(L3207*G3207*100)-I3207, X))))</f>
        <v/>
      </c>
      <c r="N3207" s="78">
        <f>IF(ISBLANK(L3207),"",IF(AND(C3207="Sell",D3207="Stock"),M3207,IF(ISBLANK(L3207),"",IF(C3207="Buy",M3207, IF(AND(C3207="Sell",J3207="NA"),(E3207*G3207*100*0.1)+I3207, IF(C3207="Sell",(J3207-L3207)*(100*G3207)+I3207))))))</f>
        <v/>
      </c>
      <c r="O3207" s="75" t="n"/>
      <c r="P3207" s="75" t="n"/>
      <c r="Q3207" s="75">
        <f>IF(ISBLANK(P3207),"",IF(D3207="Stock",P3207*G3207,IF(P3207=0,"0",G3207*P3207*100-(G3207*$AF$14))))</f>
        <v/>
      </c>
      <c r="R3207" s="79">
        <f>IF(P3207&lt;&gt;"", TODAY(), "")</f>
        <v/>
      </c>
      <c r="S3207" s="78">
        <f>IF(AND(K3207&lt;&gt;"", R3207&lt;&gt;""), R3207-K3207, "")</f>
        <v/>
      </c>
      <c r="T3207" s="78" t="n"/>
      <c r="U3207" s="92">
        <f>IF(ISBLANK(P3207),"",IF(C3207="Buy",Q3207-M3207+T3207, IF(C3207="Sell",M3207-Q3207-T3207, X)))</f>
        <v/>
      </c>
      <c r="V3207" s="81">
        <f>IF(ISBLANK(P3207),"",U3207/N3207)</f>
        <v/>
      </c>
      <c r="W3207" s="81">
        <f>IF(ISBLANK(P3207),"",IF(S3207=0,(365/0.5)*V3207,(365/S3207)*V3207))</f>
        <v/>
      </c>
      <c r="X3207" s="75" t="n"/>
      <c r="Y3207" s="77" t="n"/>
      <c r="Z3207" s="77" t="n"/>
      <c r="AA3207" s="75" t="n"/>
      <c r="AB3207" s="75" t="n"/>
      <c r="AC3207" s="6" t="n"/>
      <c r="AD3207" s="75" t="n"/>
      <c r="AE3207" s="75" t="n"/>
      <c r="AF3207" s="75" t="n"/>
    </row>
    <row r="3208" ht="15.75" customHeight="1" s="133">
      <c r="A3208" s="75" t="n"/>
      <c r="B3208" s="75" t="n"/>
      <c r="C3208" s="75" t="n"/>
      <c r="D3208" s="75" t="n"/>
      <c r="E3208" s="76" t="n"/>
      <c r="F3208" s="77" t="n"/>
      <c r="G3208" s="75" t="n"/>
      <c r="H3208" s="75">
        <f>IF(ISBLANK(E3208),"",IF(OR(D3208="Butterfly",D3208="Butterfly ",D3208="Iron Fly", D3208="Iron Fly "),LEN(E3208)-LEN(SUBSTITUTE(E3208,"/",""))+2,LEN(E3208)-LEN(SUBSTITUTE(E3208,"/",""))+1))</f>
        <v/>
      </c>
      <c r="I3208" s="78">
        <f>IF(ISBLANK(G3208),"",IF(D3208="Stock","0",Key!$A$3*H3208*G3208))</f>
        <v/>
      </c>
      <c r="J3208" s="78">
        <f>IF(ISBLANK(E3208),"",IF(ISNUMBER(SEARCH("/",E3208)), IF(LEN(E3208)-LEN(SUBSTITUTE(E3208,"/",""))=1,(RIGHT(E3208,LEN(E3208)-FIND("/",E3208)))-(LEFT(E3208,FIND("/",E3208)-1)),(MID(E3208, SEARCH("/",E3208) + 1, SEARCH("/",E3208, SEARCH("/",E3208)+1) - SEARCH("/",E3208) - 1))-(LEFT(E3208,FIND("/",E3208)-1))), "NA"))</f>
        <v/>
      </c>
      <c r="K3208" s="79">
        <f>IF(A3208&lt;&gt;"", IF(ISBLANK(L3208), TODAY(), K3208), "")</f>
        <v/>
      </c>
      <c r="L3208" s="78" t="n"/>
      <c r="M3208" s="78">
        <f>IF(ISBLANK(L3208),"",IF(D3208="Stock",IF(C3208="Buy",L3208*G3208,IF(C3208="Sell",(L3208*G3208)-I3208, X)),IF(C3208="Buy",(L3208*G3208*100)+I3208,IF(C3208="Sell",(L3208*G3208*100)-I3208, X))))</f>
        <v/>
      </c>
      <c r="N3208" s="78">
        <f>IF(ISBLANK(L3208),"",IF(AND(C3208="Sell",D3208="Stock"),M3208,IF(ISBLANK(L3208),"",IF(C3208="Buy",M3208, IF(AND(C3208="Sell",J3208="NA"),(E3208*G3208*100*0.1)+I3208, IF(C3208="Sell",(J3208-L3208)*(100*G3208)+I3208))))))</f>
        <v/>
      </c>
      <c r="O3208" s="75" t="n"/>
      <c r="P3208" s="75" t="n"/>
      <c r="Q3208" s="75">
        <f>IF(ISBLANK(P3208),"",IF(D3208="Stock",P3208*G3208,IF(P3208=0,"0",G3208*P3208*100-(G3208*$AF$14))))</f>
        <v/>
      </c>
      <c r="R3208" s="79">
        <f>IF(P3208&lt;&gt;"", TODAY(), "")</f>
        <v/>
      </c>
      <c r="S3208" s="78">
        <f>IF(AND(K3208&lt;&gt;"", R3208&lt;&gt;""), R3208-K3208, "")</f>
        <v/>
      </c>
      <c r="T3208" s="78" t="n"/>
      <c r="U3208" s="92">
        <f>IF(ISBLANK(P3208),"",IF(C3208="Buy",Q3208-M3208+T3208, IF(C3208="Sell",M3208-Q3208-T3208, X)))</f>
        <v/>
      </c>
      <c r="V3208" s="81">
        <f>IF(ISBLANK(P3208),"",U3208/N3208)</f>
        <v/>
      </c>
      <c r="W3208" s="81">
        <f>IF(ISBLANK(P3208),"",IF(S3208=0,(365/0.5)*V3208,(365/S3208)*V3208))</f>
        <v/>
      </c>
      <c r="X3208" s="75" t="n"/>
      <c r="Y3208" s="77" t="n"/>
      <c r="Z3208" s="77" t="n"/>
      <c r="AA3208" s="75" t="n"/>
      <c r="AB3208" s="75" t="n"/>
      <c r="AC3208" s="6" t="n"/>
      <c r="AD3208" s="75" t="n"/>
      <c r="AE3208" s="75" t="n"/>
      <c r="AF3208" s="75" t="n"/>
    </row>
    <row r="3209" ht="15.75" customHeight="1" s="133">
      <c r="A3209" s="75" t="n"/>
      <c r="B3209" s="75" t="n"/>
      <c r="C3209" s="75" t="n"/>
      <c r="D3209" s="75" t="n"/>
      <c r="E3209" s="76" t="n"/>
      <c r="F3209" s="77" t="n"/>
      <c r="G3209" s="75" t="n"/>
      <c r="H3209" s="75">
        <f>IF(ISBLANK(E3209),"",IF(OR(D3209="Butterfly",D3209="Butterfly ",D3209="Iron Fly", D3209="Iron Fly "),LEN(E3209)-LEN(SUBSTITUTE(E3209,"/",""))+2,LEN(E3209)-LEN(SUBSTITUTE(E3209,"/",""))+1))</f>
        <v/>
      </c>
      <c r="I3209" s="78">
        <f>IF(ISBLANK(G3209),"",IF(D3209="Stock","0",Key!$A$3*H3209*G3209))</f>
        <v/>
      </c>
      <c r="J3209" s="78">
        <f>IF(ISBLANK(E3209),"",IF(ISNUMBER(SEARCH("/",E3209)), IF(LEN(E3209)-LEN(SUBSTITUTE(E3209,"/",""))=1,(RIGHT(E3209,LEN(E3209)-FIND("/",E3209)))-(LEFT(E3209,FIND("/",E3209)-1)),(MID(E3209, SEARCH("/",E3209) + 1, SEARCH("/",E3209, SEARCH("/",E3209)+1) - SEARCH("/",E3209) - 1))-(LEFT(E3209,FIND("/",E3209)-1))), "NA"))</f>
        <v/>
      </c>
      <c r="K3209" s="79">
        <f>IF(A3209&lt;&gt;"", IF(ISBLANK(L3209), TODAY(), K3209), "")</f>
        <v/>
      </c>
      <c r="L3209" s="78" t="n"/>
      <c r="M3209" s="78">
        <f>IF(ISBLANK(L3209),"",IF(D3209="Stock",IF(C3209="Buy",L3209*G3209,IF(C3209="Sell",(L3209*G3209)-I3209, X)),IF(C3209="Buy",(L3209*G3209*100)+I3209,IF(C3209="Sell",(L3209*G3209*100)-I3209, X))))</f>
        <v/>
      </c>
      <c r="N3209" s="78">
        <f>IF(ISBLANK(L3209),"",IF(AND(C3209="Sell",D3209="Stock"),M3209,IF(ISBLANK(L3209),"",IF(C3209="Buy",M3209, IF(AND(C3209="Sell",J3209="NA"),(E3209*G3209*100*0.1)+I3209, IF(C3209="Sell",(J3209-L3209)*(100*G3209)+I3209))))))</f>
        <v/>
      </c>
      <c r="O3209" s="75" t="n"/>
      <c r="P3209" s="75" t="n"/>
      <c r="Q3209" s="75">
        <f>IF(ISBLANK(P3209),"",IF(D3209="Stock",P3209*G3209,IF(P3209=0,"0",G3209*P3209*100-(G3209*$AF$14))))</f>
        <v/>
      </c>
      <c r="R3209" s="79">
        <f>IF(P3209&lt;&gt;"", TODAY(), "")</f>
        <v/>
      </c>
      <c r="S3209" s="78">
        <f>IF(AND(K3209&lt;&gt;"", R3209&lt;&gt;""), R3209-K3209, "")</f>
        <v/>
      </c>
      <c r="T3209" s="78" t="n"/>
      <c r="U3209" s="92">
        <f>IF(ISBLANK(P3209),"",IF(C3209="Buy",Q3209-M3209+T3209, IF(C3209="Sell",M3209-Q3209-T3209, X)))</f>
        <v/>
      </c>
      <c r="V3209" s="81">
        <f>IF(ISBLANK(P3209),"",U3209/N3209)</f>
        <v/>
      </c>
      <c r="W3209" s="81">
        <f>IF(ISBLANK(P3209),"",IF(S3209=0,(365/0.5)*V3209,(365/S3209)*V3209))</f>
        <v/>
      </c>
      <c r="X3209" s="75" t="n"/>
      <c r="Y3209" s="77" t="n"/>
      <c r="Z3209" s="77" t="n"/>
      <c r="AA3209" s="75" t="n"/>
      <c r="AB3209" s="75" t="n"/>
      <c r="AC3209" s="6" t="n"/>
      <c r="AD3209" s="75" t="n"/>
      <c r="AE3209" s="75" t="n"/>
      <c r="AF3209" s="75" t="n"/>
    </row>
    <row r="3210" ht="15.75" customHeight="1" s="133">
      <c r="A3210" s="75" t="n"/>
      <c r="B3210" s="75" t="n"/>
      <c r="C3210" s="75" t="n"/>
      <c r="D3210" s="75" t="n"/>
      <c r="E3210" s="76" t="n"/>
      <c r="F3210" s="77" t="n"/>
      <c r="G3210" s="75" t="n"/>
      <c r="H3210" s="75">
        <f>IF(ISBLANK(E3210),"",IF(OR(D3210="Butterfly",D3210="Butterfly ",D3210="Iron Fly", D3210="Iron Fly "),LEN(E3210)-LEN(SUBSTITUTE(E3210,"/",""))+2,LEN(E3210)-LEN(SUBSTITUTE(E3210,"/",""))+1))</f>
        <v/>
      </c>
      <c r="I3210" s="78">
        <f>IF(ISBLANK(G3210),"",IF(D3210="Stock","0",Key!$A$3*H3210*G3210))</f>
        <v/>
      </c>
      <c r="J3210" s="78">
        <f>IF(ISBLANK(E3210),"",IF(ISNUMBER(SEARCH("/",E3210)), IF(LEN(E3210)-LEN(SUBSTITUTE(E3210,"/",""))=1,(RIGHT(E3210,LEN(E3210)-FIND("/",E3210)))-(LEFT(E3210,FIND("/",E3210)-1)),(MID(E3210, SEARCH("/",E3210) + 1, SEARCH("/",E3210, SEARCH("/",E3210)+1) - SEARCH("/",E3210) - 1))-(LEFT(E3210,FIND("/",E3210)-1))), "NA"))</f>
        <v/>
      </c>
      <c r="K3210" s="79">
        <f>IF(A3210&lt;&gt;"", IF(ISBLANK(L3210), TODAY(), K3210), "")</f>
        <v/>
      </c>
      <c r="L3210" s="78" t="n"/>
      <c r="M3210" s="78">
        <f>IF(ISBLANK(L3210),"",IF(D3210="Stock",IF(C3210="Buy",L3210*G3210,IF(C3210="Sell",(L3210*G3210)-I3210, X)),IF(C3210="Buy",(L3210*G3210*100)+I3210,IF(C3210="Sell",(L3210*G3210*100)-I3210, X))))</f>
        <v/>
      </c>
      <c r="N3210" s="78">
        <f>IF(ISBLANK(L3210),"",IF(AND(C3210="Sell",D3210="Stock"),M3210,IF(ISBLANK(L3210),"",IF(C3210="Buy",M3210, IF(AND(C3210="Sell",J3210="NA"),(E3210*G3210*100*0.1)+I3210, IF(C3210="Sell",(J3210-L3210)*(100*G3210)+I3210))))))</f>
        <v/>
      </c>
      <c r="O3210" s="75" t="n"/>
      <c r="P3210" s="75" t="n"/>
      <c r="Q3210" s="75">
        <f>IF(ISBLANK(P3210),"",IF(D3210="Stock",P3210*G3210,IF(P3210=0,"0",G3210*P3210*100-(G3210*$AF$14))))</f>
        <v/>
      </c>
      <c r="R3210" s="79">
        <f>IF(P3210&lt;&gt;"", TODAY(), "")</f>
        <v/>
      </c>
      <c r="S3210" s="78">
        <f>IF(AND(K3210&lt;&gt;"", R3210&lt;&gt;""), R3210-K3210, "")</f>
        <v/>
      </c>
      <c r="T3210" s="78" t="n"/>
      <c r="U3210" s="92">
        <f>IF(ISBLANK(P3210),"",IF(C3210="Buy",Q3210-M3210+T3210, IF(C3210="Sell",M3210-Q3210-T3210, X)))</f>
        <v/>
      </c>
      <c r="V3210" s="81">
        <f>IF(ISBLANK(P3210),"",U3210/N3210)</f>
        <v/>
      </c>
      <c r="W3210" s="81">
        <f>IF(ISBLANK(P3210),"",IF(S3210=0,(365/0.5)*V3210,(365/S3210)*V3210))</f>
        <v/>
      </c>
      <c r="X3210" s="75" t="n"/>
      <c r="Y3210" s="77" t="n"/>
      <c r="Z3210" s="77" t="n"/>
      <c r="AA3210" s="75" t="n"/>
      <c r="AB3210" s="75" t="n"/>
      <c r="AC3210" s="6" t="n"/>
      <c r="AD3210" s="75" t="n"/>
      <c r="AE3210" s="75" t="n"/>
      <c r="AF3210" s="75" t="n"/>
    </row>
    <row r="3211" ht="15.75" customHeight="1" s="133">
      <c r="A3211" s="75" t="n"/>
      <c r="B3211" s="75" t="n"/>
      <c r="C3211" s="75" t="n"/>
      <c r="D3211" s="75" t="n"/>
      <c r="E3211" s="76" t="n"/>
      <c r="F3211" s="77" t="n"/>
      <c r="G3211" s="75" t="n"/>
      <c r="H3211" s="75">
        <f>IF(ISBLANK(E3211),"",IF(OR(D3211="Butterfly",D3211="Butterfly ",D3211="Iron Fly", D3211="Iron Fly "),LEN(E3211)-LEN(SUBSTITUTE(E3211,"/",""))+2,LEN(E3211)-LEN(SUBSTITUTE(E3211,"/",""))+1))</f>
        <v/>
      </c>
      <c r="I3211" s="78">
        <f>IF(ISBLANK(G3211),"",IF(D3211="Stock","0",Key!$A$3*H3211*G3211))</f>
        <v/>
      </c>
      <c r="J3211" s="78">
        <f>IF(ISBLANK(E3211),"",IF(ISNUMBER(SEARCH("/",E3211)), IF(LEN(E3211)-LEN(SUBSTITUTE(E3211,"/",""))=1,(RIGHT(E3211,LEN(E3211)-FIND("/",E3211)))-(LEFT(E3211,FIND("/",E3211)-1)),(MID(E3211, SEARCH("/",E3211) + 1, SEARCH("/",E3211, SEARCH("/",E3211)+1) - SEARCH("/",E3211) - 1))-(LEFT(E3211,FIND("/",E3211)-1))), "NA"))</f>
        <v/>
      </c>
      <c r="K3211" s="79">
        <f>IF(A3211&lt;&gt;"", IF(ISBLANK(L3211), TODAY(), K3211), "")</f>
        <v/>
      </c>
      <c r="L3211" s="78" t="n"/>
      <c r="M3211" s="78">
        <f>IF(ISBLANK(L3211),"",IF(D3211="Stock",IF(C3211="Buy",L3211*G3211,IF(C3211="Sell",(L3211*G3211)-I3211, X)),IF(C3211="Buy",(L3211*G3211*100)+I3211,IF(C3211="Sell",(L3211*G3211*100)-I3211, X))))</f>
        <v/>
      </c>
      <c r="N3211" s="78">
        <f>IF(ISBLANK(L3211),"",IF(AND(C3211="Sell",D3211="Stock"),M3211,IF(ISBLANK(L3211),"",IF(C3211="Buy",M3211, IF(AND(C3211="Sell",J3211="NA"),(E3211*G3211*100*0.1)+I3211, IF(C3211="Sell",(J3211-L3211)*(100*G3211)+I3211))))))</f>
        <v/>
      </c>
      <c r="O3211" s="75" t="n"/>
      <c r="P3211" s="75" t="n"/>
      <c r="Q3211" s="75">
        <f>IF(ISBLANK(P3211),"",IF(D3211="Stock",P3211*G3211,IF(P3211=0,"0",G3211*P3211*100-(G3211*$AF$14))))</f>
        <v/>
      </c>
      <c r="R3211" s="79">
        <f>IF(P3211&lt;&gt;"", TODAY(), "")</f>
        <v/>
      </c>
      <c r="S3211" s="78">
        <f>IF(AND(K3211&lt;&gt;"", R3211&lt;&gt;""), R3211-K3211, "")</f>
        <v/>
      </c>
      <c r="T3211" s="78" t="n"/>
      <c r="U3211" s="92">
        <f>IF(ISBLANK(P3211),"",IF(C3211="Buy",Q3211-M3211+T3211, IF(C3211="Sell",M3211-Q3211-T3211, X)))</f>
        <v/>
      </c>
      <c r="V3211" s="81">
        <f>IF(ISBLANK(P3211),"",U3211/N3211)</f>
        <v/>
      </c>
      <c r="W3211" s="81">
        <f>IF(ISBLANK(P3211),"",IF(S3211=0,(365/0.5)*V3211,(365/S3211)*V3211))</f>
        <v/>
      </c>
      <c r="X3211" s="75" t="n"/>
      <c r="Y3211" s="77" t="n"/>
      <c r="Z3211" s="77" t="n"/>
      <c r="AA3211" s="75" t="n"/>
      <c r="AB3211" s="75" t="n"/>
      <c r="AC3211" s="6" t="n"/>
      <c r="AD3211" s="75" t="n"/>
      <c r="AE3211" s="75" t="n"/>
      <c r="AF3211" s="75" t="n"/>
    </row>
    <row r="3212" ht="15.75" customHeight="1" s="133">
      <c r="A3212" s="75" t="n"/>
      <c r="B3212" s="75" t="n"/>
      <c r="C3212" s="75" t="n"/>
      <c r="D3212" s="75" t="n"/>
      <c r="E3212" s="76" t="n"/>
      <c r="F3212" s="77" t="n"/>
      <c r="G3212" s="75" t="n"/>
      <c r="H3212" s="75">
        <f>IF(ISBLANK(E3212),"",IF(OR(D3212="Butterfly",D3212="Butterfly ",D3212="Iron Fly", D3212="Iron Fly "),LEN(E3212)-LEN(SUBSTITUTE(E3212,"/",""))+2,LEN(E3212)-LEN(SUBSTITUTE(E3212,"/",""))+1))</f>
        <v/>
      </c>
      <c r="I3212" s="78">
        <f>IF(ISBLANK(G3212),"",IF(D3212="Stock","0",Key!$A$3*H3212*G3212))</f>
        <v/>
      </c>
      <c r="J3212" s="78">
        <f>IF(ISBLANK(E3212),"",IF(ISNUMBER(SEARCH("/",E3212)), IF(LEN(E3212)-LEN(SUBSTITUTE(E3212,"/",""))=1,(RIGHT(E3212,LEN(E3212)-FIND("/",E3212)))-(LEFT(E3212,FIND("/",E3212)-1)),(MID(E3212, SEARCH("/",E3212) + 1, SEARCH("/",E3212, SEARCH("/",E3212)+1) - SEARCH("/",E3212) - 1))-(LEFT(E3212,FIND("/",E3212)-1))), "NA"))</f>
        <v/>
      </c>
      <c r="K3212" s="79">
        <f>IF(A3212&lt;&gt;"", IF(ISBLANK(L3212), TODAY(), K3212), "")</f>
        <v/>
      </c>
      <c r="L3212" s="78" t="n"/>
      <c r="M3212" s="78">
        <f>IF(ISBLANK(L3212),"",IF(D3212="Stock",IF(C3212="Buy",L3212*G3212,IF(C3212="Sell",(L3212*G3212)-I3212, X)),IF(C3212="Buy",(L3212*G3212*100)+I3212,IF(C3212="Sell",(L3212*G3212*100)-I3212, X))))</f>
        <v/>
      </c>
      <c r="N3212" s="78">
        <f>IF(ISBLANK(L3212),"",IF(AND(C3212="Sell",D3212="Stock"),M3212,IF(ISBLANK(L3212),"",IF(C3212="Buy",M3212, IF(AND(C3212="Sell",J3212="NA"),(E3212*G3212*100*0.1)+I3212, IF(C3212="Sell",(J3212-L3212)*(100*G3212)+I3212))))))</f>
        <v/>
      </c>
      <c r="O3212" s="75" t="n"/>
      <c r="P3212" s="75" t="n"/>
      <c r="Q3212" s="75">
        <f>IF(ISBLANK(P3212),"",IF(D3212="Stock",P3212*G3212,IF(P3212=0,"0",G3212*P3212*100-(G3212*$AF$14))))</f>
        <v/>
      </c>
      <c r="R3212" s="79">
        <f>IF(P3212&lt;&gt;"", TODAY(), "")</f>
        <v/>
      </c>
      <c r="S3212" s="78">
        <f>IF(AND(K3212&lt;&gt;"", R3212&lt;&gt;""), R3212-K3212, "")</f>
        <v/>
      </c>
      <c r="T3212" s="78" t="n"/>
      <c r="U3212" s="92">
        <f>IF(ISBLANK(P3212),"",IF(C3212="Buy",Q3212-M3212+T3212, IF(C3212="Sell",M3212-Q3212-T3212, X)))</f>
        <v/>
      </c>
      <c r="V3212" s="81">
        <f>IF(ISBLANK(P3212),"",U3212/N3212)</f>
        <v/>
      </c>
      <c r="W3212" s="81">
        <f>IF(ISBLANK(P3212),"",IF(S3212=0,(365/0.5)*V3212,(365/S3212)*V3212))</f>
        <v/>
      </c>
      <c r="X3212" s="75" t="n"/>
      <c r="Y3212" s="77" t="n"/>
      <c r="Z3212" s="77" t="n"/>
      <c r="AA3212" s="75" t="n"/>
      <c r="AB3212" s="75" t="n"/>
      <c r="AC3212" s="6" t="n"/>
      <c r="AD3212" s="75" t="n"/>
      <c r="AE3212" s="75" t="n"/>
      <c r="AF3212" s="75" t="n"/>
    </row>
    <row r="3213" ht="15.75" customHeight="1" s="133">
      <c r="A3213" s="75" t="n"/>
      <c r="B3213" s="75" t="n"/>
      <c r="C3213" s="75" t="n"/>
      <c r="D3213" s="75" t="n"/>
      <c r="E3213" s="76" t="n"/>
      <c r="F3213" s="77" t="n"/>
      <c r="G3213" s="75" t="n"/>
      <c r="H3213" s="75">
        <f>IF(ISBLANK(E3213),"",IF(OR(D3213="Butterfly",D3213="Butterfly ",D3213="Iron Fly", D3213="Iron Fly "),LEN(E3213)-LEN(SUBSTITUTE(E3213,"/",""))+2,LEN(E3213)-LEN(SUBSTITUTE(E3213,"/",""))+1))</f>
        <v/>
      </c>
      <c r="I3213" s="78">
        <f>IF(ISBLANK(G3213),"",IF(D3213="Stock","0",Key!$A$3*H3213*G3213))</f>
        <v/>
      </c>
      <c r="J3213" s="78">
        <f>IF(ISBLANK(E3213),"",IF(ISNUMBER(SEARCH("/",E3213)), IF(LEN(E3213)-LEN(SUBSTITUTE(E3213,"/",""))=1,(RIGHT(E3213,LEN(E3213)-FIND("/",E3213)))-(LEFT(E3213,FIND("/",E3213)-1)),(MID(E3213, SEARCH("/",E3213) + 1, SEARCH("/",E3213, SEARCH("/",E3213)+1) - SEARCH("/",E3213) - 1))-(LEFT(E3213,FIND("/",E3213)-1))), "NA"))</f>
        <v/>
      </c>
      <c r="K3213" s="79">
        <f>IF(A3213&lt;&gt;"", IF(ISBLANK(L3213), TODAY(), K3213), "")</f>
        <v/>
      </c>
      <c r="L3213" s="78" t="n"/>
      <c r="M3213" s="78">
        <f>IF(ISBLANK(L3213),"",IF(D3213="Stock",IF(C3213="Buy",L3213*G3213,IF(C3213="Sell",(L3213*G3213)-I3213, X)),IF(C3213="Buy",(L3213*G3213*100)+I3213,IF(C3213="Sell",(L3213*G3213*100)-I3213, X))))</f>
        <v/>
      </c>
      <c r="N3213" s="78">
        <f>IF(ISBLANK(L3213),"",IF(AND(C3213="Sell",D3213="Stock"),M3213,IF(ISBLANK(L3213),"",IF(C3213="Buy",M3213, IF(AND(C3213="Sell",J3213="NA"),(E3213*G3213*100*0.1)+I3213, IF(C3213="Sell",(J3213-L3213)*(100*G3213)+I3213))))))</f>
        <v/>
      </c>
      <c r="O3213" s="75" t="n"/>
      <c r="P3213" s="75" t="n"/>
      <c r="Q3213" s="75">
        <f>IF(ISBLANK(P3213),"",IF(D3213="Stock",P3213*G3213,IF(P3213=0,"0",G3213*P3213*100-(G3213*$AF$14))))</f>
        <v/>
      </c>
      <c r="R3213" s="79">
        <f>IF(P3213&lt;&gt;"", TODAY(), "")</f>
        <v/>
      </c>
      <c r="S3213" s="78">
        <f>IF(AND(K3213&lt;&gt;"", R3213&lt;&gt;""), R3213-K3213, "")</f>
        <v/>
      </c>
      <c r="T3213" s="78" t="n"/>
      <c r="U3213" s="92">
        <f>IF(ISBLANK(P3213),"",IF(C3213="Buy",Q3213-M3213+T3213, IF(C3213="Sell",M3213-Q3213-T3213, X)))</f>
        <v/>
      </c>
      <c r="V3213" s="81">
        <f>IF(ISBLANK(P3213),"",U3213/N3213)</f>
        <v/>
      </c>
      <c r="W3213" s="81">
        <f>IF(ISBLANK(P3213),"",IF(S3213=0,(365/0.5)*V3213,(365/S3213)*V3213))</f>
        <v/>
      </c>
      <c r="X3213" s="75" t="n"/>
      <c r="Y3213" s="77" t="n"/>
      <c r="Z3213" s="77" t="n"/>
      <c r="AA3213" s="75" t="n"/>
      <c r="AB3213" s="75" t="n"/>
      <c r="AC3213" s="6" t="n"/>
      <c r="AD3213" s="75" t="n"/>
      <c r="AE3213" s="75" t="n"/>
      <c r="AF3213" s="75" t="n"/>
    </row>
    <row r="3214" ht="15.75" customHeight="1" s="133">
      <c r="A3214" s="75" t="n"/>
      <c r="B3214" s="75" t="n"/>
      <c r="C3214" s="75" t="n"/>
      <c r="D3214" s="75" t="n"/>
      <c r="E3214" s="76" t="n"/>
      <c r="F3214" s="77" t="n"/>
      <c r="G3214" s="75" t="n"/>
      <c r="H3214" s="75">
        <f>IF(ISBLANK(E3214),"",IF(OR(D3214="Butterfly",D3214="Butterfly ",D3214="Iron Fly", D3214="Iron Fly "),LEN(E3214)-LEN(SUBSTITUTE(E3214,"/",""))+2,LEN(E3214)-LEN(SUBSTITUTE(E3214,"/",""))+1))</f>
        <v/>
      </c>
      <c r="I3214" s="78">
        <f>IF(ISBLANK(G3214),"",IF(D3214="Stock","0",Key!$A$3*H3214*G3214))</f>
        <v/>
      </c>
      <c r="J3214" s="78">
        <f>IF(ISBLANK(E3214),"",IF(ISNUMBER(SEARCH("/",E3214)), IF(LEN(E3214)-LEN(SUBSTITUTE(E3214,"/",""))=1,(RIGHT(E3214,LEN(E3214)-FIND("/",E3214)))-(LEFT(E3214,FIND("/",E3214)-1)),(MID(E3214, SEARCH("/",E3214) + 1, SEARCH("/",E3214, SEARCH("/",E3214)+1) - SEARCH("/",E3214) - 1))-(LEFT(E3214,FIND("/",E3214)-1))), "NA"))</f>
        <v/>
      </c>
      <c r="K3214" s="79">
        <f>IF(A3214&lt;&gt;"", IF(ISBLANK(L3214), TODAY(), K3214), "")</f>
        <v/>
      </c>
      <c r="L3214" s="78" t="n"/>
      <c r="M3214" s="78">
        <f>IF(ISBLANK(L3214),"",IF(D3214="Stock",IF(C3214="Buy",L3214*G3214,IF(C3214="Sell",(L3214*G3214)-I3214, X)),IF(C3214="Buy",(L3214*G3214*100)+I3214,IF(C3214="Sell",(L3214*G3214*100)-I3214, X))))</f>
        <v/>
      </c>
      <c r="N3214" s="78">
        <f>IF(ISBLANK(L3214),"",IF(AND(C3214="Sell",D3214="Stock"),M3214,IF(ISBLANK(L3214),"",IF(C3214="Buy",M3214, IF(AND(C3214="Sell",J3214="NA"),(E3214*G3214*100*0.1)+I3214, IF(C3214="Sell",(J3214-L3214)*(100*G3214)+I3214))))))</f>
        <v/>
      </c>
      <c r="O3214" s="75" t="n"/>
      <c r="P3214" s="75" t="n"/>
      <c r="Q3214" s="75">
        <f>IF(ISBLANK(P3214),"",IF(D3214="Stock",P3214*G3214,IF(P3214=0,"0",G3214*P3214*100-(G3214*$AF$14))))</f>
        <v/>
      </c>
      <c r="R3214" s="79">
        <f>IF(P3214&lt;&gt;"", TODAY(), "")</f>
        <v/>
      </c>
      <c r="S3214" s="78">
        <f>IF(AND(K3214&lt;&gt;"", R3214&lt;&gt;""), R3214-K3214, "")</f>
        <v/>
      </c>
      <c r="T3214" s="78" t="n"/>
      <c r="U3214" s="92">
        <f>IF(ISBLANK(P3214),"",IF(C3214="Buy",Q3214-M3214+T3214, IF(C3214="Sell",M3214-Q3214-T3214, X)))</f>
        <v/>
      </c>
      <c r="V3214" s="81">
        <f>IF(ISBLANK(P3214),"",U3214/N3214)</f>
        <v/>
      </c>
      <c r="W3214" s="81">
        <f>IF(ISBLANK(P3214),"",IF(S3214=0,(365/0.5)*V3214,(365/S3214)*V3214))</f>
        <v/>
      </c>
      <c r="X3214" s="75" t="n"/>
      <c r="Y3214" s="77" t="n"/>
      <c r="Z3214" s="77" t="n"/>
      <c r="AA3214" s="75" t="n"/>
      <c r="AB3214" s="75" t="n"/>
      <c r="AC3214" s="6" t="n"/>
      <c r="AD3214" s="75" t="n"/>
      <c r="AE3214" s="75" t="n"/>
      <c r="AF3214" s="75" t="n"/>
    </row>
    <row r="3215" ht="15.75" customHeight="1" s="133">
      <c r="A3215" s="75" t="n"/>
      <c r="B3215" s="75" t="n"/>
      <c r="C3215" s="75" t="n"/>
      <c r="D3215" s="75" t="n"/>
      <c r="E3215" s="76" t="n"/>
      <c r="F3215" s="77" t="n"/>
      <c r="G3215" s="75" t="n"/>
      <c r="H3215" s="75">
        <f>IF(ISBLANK(E3215),"",IF(OR(D3215="Butterfly",D3215="Butterfly ",D3215="Iron Fly", D3215="Iron Fly "),LEN(E3215)-LEN(SUBSTITUTE(E3215,"/",""))+2,LEN(E3215)-LEN(SUBSTITUTE(E3215,"/",""))+1))</f>
        <v/>
      </c>
      <c r="I3215" s="78">
        <f>IF(ISBLANK(G3215),"",IF(D3215="Stock","0",Key!$A$3*H3215*G3215))</f>
        <v/>
      </c>
      <c r="J3215" s="78">
        <f>IF(ISBLANK(E3215),"",IF(ISNUMBER(SEARCH("/",E3215)), IF(LEN(E3215)-LEN(SUBSTITUTE(E3215,"/",""))=1,(RIGHT(E3215,LEN(E3215)-FIND("/",E3215)))-(LEFT(E3215,FIND("/",E3215)-1)),(MID(E3215, SEARCH("/",E3215) + 1, SEARCH("/",E3215, SEARCH("/",E3215)+1) - SEARCH("/",E3215) - 1))-(LEFT(E3215,FIND("/",E3215)-1))), "NA"))</f>
        <v/>
      </c>
      <c r="K3215" s="79">
        <f>IF(A3215&lt;&gt;"", IF(ISBLANK(L3215), TODAY(), K3215), "")</f>
        <v/>
      </c>
      <c r="L3215" s="78" t="n"/>
      <c r="M3215" s="78">
        <f>IF(ISBLANK(L3215),"",IF(D3215="Stock",IF(C3215="Buy",L3215*G3215,IF(C3215="Sell",(L3215*G3215)-I3215, X)),IF(C3215="Buy",(L3215*G3215*100)+I3215,IF(C3215="Sell",(L3215*G3215*100)-I3215, X))))</f>
        <v/>
      </c>
      <c r="N3215" s="78">
        <f>IF(ISBLANK(L3215),"",IF(AND(C3215="Sell",D3215="Stock"),M3215,IF(ISBLANK(L3215),"",IF(C3215="Buy",M3215, IF(AND(C3215="Sell",J3215="NA"),(E3215*G3215*100*0.1)+I3215, IF(C3215="Sell",(J3215-L3215)*(100*G3215)+I3215))))))</f>
        <v/>
      </c>
      <c r="O3215" s="75" t="n"/>
      <c r="P3215" s="75" t="n"/>
      <c r="Q3215" s="75">
        <f>IF(ISBLANK(P3215),"",IF(D3215="Stock",P3215*G3215,IF(P3215=0,"0",G3215*P3215*100-(G3215*$AF$14))))</f>
        <v/>
      </c>
      <c r="R3215" s="79">
        <f>IF(P3215&lt;&gt;"", TODAY(), "")</f>
        <v/>
      </c>
      <c r="S3215" s="78">
        <f>IF(AND(K3215&lt;&gt;"", R3215&lt;&gt;""), R3215-K3215, "")</f>
        <v/>
      </c>
      <c r="T3215" s="78" t="n"/>
      <c r="U3215" s="92">
        <f>IF(ISBLANK(P3215),"",IF(C3215="Buy",Q3215-M3215+T3215, IF(C3215="Sell",M3215-Q3215-T3215, X)))</f>
        <v/>
      </c>
      <c r="V3215" s="81">
        <f>IF(ISBLANK(P3215),"",U3215/N3215)</f>
        <v/>
      </c>
      <c r="W3215" s="81">
        <f>IF(ISBLANK(P3215),"",IF(S3215=0,(365/0.5)*V3215,(365/S3215)*V3215))</f>
        <v/>
      </c>
      <c r="X3215" s="75" t="n"/>
      <c r="Y3215" s="77" t="n"/>
      <c r="Z3215" s="77" t="n"/>
      <c r="AA3215" s="75" t="n"/>
      <c r="AB3215" s="75" t="n"/>
      <c r="AC3215" s="6" t="n"/>
      <c r="AD3215" s="75" t="n"/>
      <c r="AE3215" s="75" t="n"/>
      <c r="AF3215" s="75" t="n"/>
    </row>
    <row r="3216" ht="15.75" customHeight="1" s="133">
      <c r="A3216" s="75" t="n"/>
      <c r="B3216" s="75" t="n"/>
      <c r="C3216" s="75" t="n"/>
      <c r="D3216" s="75" t="n"/>
      <c r="E3216" s="76" t="n"/>
      <c r="F3216" s="77" t="n"/>
      <c r="G3216" s="75" t="n"/>
      <c r="H3216" s="75">
        <f>IF(ISBLANK(E3216),"",IF(OR(D3216="Butterfly",D3216="Butterfly ",D3216="Iron Fly", D3216="Iron Fly "),LEN(E3216)-LEN(SUBSTITUTE(E3216,"/",""))+2,LEN(E3216)-LEN(SUBSTITUTE(E3216,"/",""))+1))</f>
        <v/>
      </c>
      <c r="I3216" s="78">
        <f>IF(ISBLANK(G3216),"",IF(D3216="Stock","0",Key!$A$3*H3216*G3216))</f>
        <v/>
      </c>
      <c r="J3216" s="78">
        <f>IF(ISBLANK(E3216),"",IF(ISNUMBER(SEARCH("/",E3216)), IF(LEN(E3216)-LEN(SUBSTITUTE(E3216,"/",""))=1,(RIGHT(E3216,LEN(E3216)-FIND("/",E3216)))-(LEFT(E3216,FIND("/",E3216)-1)),(MID(E3216, SEARCH("/",E3216) + 1, SEARCH("/",E3216, SEARCH("/",E3216)+1) - SEARCH("/",E3216) - 1))-(LEFT(E3216,FIND("/",E3216)-1))), "NA"))</f>
        <v/>
      </c>
      <c r="K3216" s="79">
        <f>IF(A3216&lt;&gt;"", IF(ISBLANK(L3216), TODAY(), K3216), "")</f>
        <v/>
      </c>
      <c r="L3216" s="78" t="n"/>
      <c r="M3216" s="78">
        <f>IF(ISBLANK(L3216),"",IF(D3216="Stock",IF(C3216="Buy",L3216*G3216,IF(C3216="Sell",(L3216*G3216)-I3216, X)),IF(C3216="Buy",(L3216*G3216*100)+I3216,IF(C3216="Sell",(L3216*G3216*100)-I3216, X))))</f>
        <v/>
      </c>
      <c r="N3216" s="78">
        <f>IF(ISBLANK(L3216),"",IF(AND(C3216="Sell",D3216="Stock"),M3216,IF(ISBLANK(L3216),"",IF(C3216="Buy",M3216, IF(AND(C3216="Sell",J3216="NA"),(E3216*G3216*100*0.1)+I3216, IF(C3216="Sell",(J3216-L3216)*(100*G3216)+I3216))))))</f>
        <v/>
      </c>
      <c r="O3216" s="75" t="n"/>
      <c r="P3216" s="75" t="n"/>
      <c r="Q3216" s="75">
        <f>IF(ISBLANK(P3216),"",IF(D3216="Stock",P3216*G3216,IF(P3216=0,"0",G3216*P3216*100-(G3216*$AF$14))))</f>
        <v/>
      </c>
      <c r="R3216" s="79">
        <f>IF(P3216&lt;&gt;"", TODAY(), "")</f>
        <v/>
      </c>
      <c r="S3216" s="78">
        <f>IF(AND(K3216&lt;&gt;"", R3216&lt;&gt;""), R3216-K3216, "")</f>
        <v/>
      </c>
      <c r="T3216" s="78" t="n"/>
      <c r="U3216" s="92">
        <f>IF(ISBLANK(P3216),"",IF(C3216="Buy",Q3216-M3216+T3216, IF(C3216="Sell",M3216-Q3216-T3216, X)))</f>
        <v/>
      </c>
      <c r="V3216" s="81">
        <f>IF(ISBLANK(P3216),"",U3216/N3216)</f>
        <v/>
      </c>
      <c r="W3216" s="81">
        <f>IF(ISBLANK(P3216),"",IF(S3216=0,(365/0.5)*V3216,(365/S3216)*V3216))</f>
        <v/>
      </c>
      <c r="X3216" s="75" t="n"/>
      <c r="Y3216" s="77" t="n"/>
      <c r="Z3216" s="77" t="n"/>
      <c r="AA3216" s="75" t="n"/>
      <c r="AB3216" s="75" t="n"/>
      <c r="AC3216" s="6" t="n"/>
      <c r="AD3216" s="75" t="n"/>
      <c r="AE3216" s="75" t="n"/>
      <c r="AF3216" s="75" t="n"/>
    </row>
    <row r="3217" ht="15.75" customHeight="1" s="133">
      <c r="A3217" s="75" t="n"/>
      <c r="B3217" s="75" t="n"/>
      <c r="C3217" s="75" t="n"/>
      <c r="D3217" s="75" t="n"/>
      <c r="E3217" s="76" t="n"/>
      <c r="F3217" s="77" t="n"/>
      <c r="G3217" s="75" t="n"/>
      <c r="H3217" s="75">
        <f>IF(ISBLANK(E3217),"",IF(OR(D3217="Butterfly",D3217="Butterfly ",D3217="Iron Fly", D3217="Iron Fly "),LEN(E3217)-LEN(SUBSTITUTE(E3217,"/",""))+2,LEN(E3217)-LEN(SUBSTITUTE(E3217,"/",""))+1))</f>
        <v/>
      </c>
      <c r="I3217" s="78">
        <f>IF(ISBLANK(G3217),"",IF(D3217="Stock","0",Key!$A$3*H3217*G3217))</f>
        <v/>
      </c>
      <c r="J3217" s="78">
        <f>IF(ISBLANK(E3217),"",IF(ISNUMBER(SEARCH("/",E3217)), IF(LEN(E3217)-LEN(SUBSTITUTE(E3217,"/",""))=1,(RIGHT(E3217,LEN(E3217)-FIND("/",E3217)))-(LEFT(E3217,FIND("/",E3217)-1)),(MID(E3217, SEARCH("/",E3217) + 1, SEARCH("/",E3217, SEARCH("/",E3217)+1) - SEARCH("/",E3217) - 1))-(LEFT(E3217,FIND("/",E3217)-1))), "NA"))</f>
        <v/>
      </c>
      <c r="K3217" s="79">
        <f>IF(A3217&lt;&gt;"", IF(ISBLANK(L3217), TODAY(), K3217), "")</f>
        <v/>
      </c>
      <c r="L3217" s="78" t="n"/>
      <c r="M3217" s="78">
        <f>IF(ISBLANK(L3217),"",IF(D3217="Stock",IF(C3217="Buy",L3217*G3217,IF(C3217="Sell",(L3217*G3217)-I3217, X)),IF(C3217="Buy",(L3217*G3217*100)+I3217,IF(C3217="Sell",(L3217*G3217*100)-I3217, X))))</f>
        <v/>
      </c>
      <c r="N3217" s="78">
        <f>IF(ISBLANK(L3217),"",IF(AND(C3217="Sell",D3217="Stock"),M3217,IF(ISBLANK(L3217),"",IF(C3217="Buy",M3217, IF(AND(C3217="Sell",J3217="NA"),(E3217*G3217*100*0.1)+I3217, IF(C3217="Sell",(J3217-L3217)*(100*G3217)+I3217))))))</f>
        <v/>
      </c>
      <c r="O3217" s="75" t="n"/>
      <c r="P3217" s="75" t="n"/>
      <c r="Q3217" s="75">
        <f>IF(ISBLANK(P3217),"",IF(D3217="Stock",P3217*G3217,IF(P3217=0,"0",G3217*P3217*100-(G3217*$AF$14))))</f>
        <v/>
      </c>
      <c r="R3217" s="79">
        <f>IF(P3217&lt;&gt;"", TODAY(), "")</f>
        <v/>
      </c>
      <c r="S3217" s="78">
        <f>IF(AND(K3217&lt;&gt;"", R3217&lt;&gt;""), R3217-K3217, "")</f>
        <v/>
      </c>
      <c r="T3217" s="78" t="n"/>
      <c r="U3217" s="92">
        <f>IF(ISBLANK(P3217),"",IF(C3217="Buy",Q3217-M3217+T3217, IF(C3217="Sell",M3217-Q3217-T3217, X)))</f>
        <v/>
      </c>
      <c r="V3217" s="81">
        <f>IF(ISBLANK(P3217),"",U3217/N3217)</f>
        <v/>
      </c>
      <c r="W3217" s="81">
        <f>IF(ISBLANK(P3217),"",IF(S3217=0,(365/0.5)*V3217,(365/S3217)*V3217))</f>
        <v/>
      </c>
      <c r="X3217" s="75" t="n"/>
      <c r="Y3217" s="77" t="n"/>
      <c r="Z3217" s="77" t="n"/>
      <c r="AA3217" s="75" t="n"/>
      <c r="AB3217" s="75" t="n"/>
      <c r="AC3217" s="6" t="n"/>
      <c r="AD3217" s="75" t="n"/>
      <c r="AE3217" s="75" t="n"/>
      <c r="AF3217" s="75" t="n"/>
    </row>
    <row r="3218" ht="15.75" customHeight="1" s="133">
      <c r="A3218" s="75" t="n"/>
      <c r="B3218" s="75" t="n"/>
      <c r="C3218" s="75" t="n"/>
      <c r="D3218" s="75" t="n"/>
      <c r="E3218" s="76" t="n"/>
      <c r="F3218" s="77" t="n"/>
      <c r="G3218" s="75" t="n"/>
      <c r="H3218" s="75">
        <f>IF(ISBLANK(E3218),"",IF(OR(D3218="Butterfly",D3218="Butterfly ",D3218="Iron Fly", D3218="Iron Fly "),LEN(E3218)-LEN(SUBSTITUTE(E3218,"/",""))+2,LEN(E3218)-LEN(SUBSTITUTE(E3218,"/",""))+1))</f>
        <v/>
      </c>
      <c r="I3218" s="78">
        <f>IF(ISBLANK(G3218),"",IF(D3218="Stock","0",Key!$A$3*H3218*G3218))</f>
        <v/>
      </c>
      <c r="J3218" s="78">
        <f>IF(ISBLANK(E3218),"",IF(ISNUMBER(SEARCH("/",E3218)), IF(LEN(E3218)-LEN(SUBSTITUTE(E3218,"/",""))=1,(RIGHT(E3218,LEN(E3218)-FIND("/",E3218)))-(LEFT(E3218,FIND("/",E3218)-1)),(MID(E3218, SEARCH("/",E3218) + 1, SEARCH("/",E3218, SEARCH("/",E3218)+1) - SEARCH("/",E3218) - 1))-(LEFT(E3218,FIND("/",E3218)-1))), "NA"))</f>
        <v/>
      </c>
      <c r="K3218" s="79">
        <f>IF(A3218&lt;&gt;"", IF(ISBLANK(L3218), TODAY(), K3218), "")</f>
        <v/>
      </c>
      <c r="L3218" s="78" t="n"/>
      <c r="M3218" s="78">
        <f>IF(ISBLANK(L3218),"",IF(D3218="Stock",IF(C3218="Buy",L3218*G3218,IF(C3218="Sell",(L3218*G3218)-I3218, X)),IF(C3218="Buy",(L3218*G3218*100)+I3218,IF(C3218="Sell",(L3218*G3218*100)-I3218, X))))</f>
        <v/>
      </c>
      <c r="N3218" s="78">
        <f>IF(ISBLANK(L3218),"",IF(AND(C3218="Sell",D3218="Stock"),M3218,IF(ISBLANK(L3218),"",IF(C3218="Buy",M3218, IF(AND(C3218="Sell",J3218="NA"),(E3218*G3218*100*0.1)+I3218, IF(C3218="Sell",(J3218-L3218)*(100*G3218)+I3218))))))</f>
        <v/>
      </c>
      <c r="O3218" s="75" t="n"/>
      <c r="P3218" s="75" t="n"/>
      <c r="Q3218" s="75">
        <f>IF(ISBLANK(P3218),"",IF(D3218="Stock",P3218*G3218,IF(P3218=0,"0",G3218*P3218*100-(G3218*$AF$14))))</f>
        <v/>
      </c>
      <c r="R3218" s="79">
        <f>IF(P3218&lt;&gt;"", TODAY(), "")</f>
        <v/>
      </c>
      <c r="S3218" s="78">
        <f>IF(AND(K3218&lt;&gt;"", R3218&lt;&gt;""), R3218-K3218, "")</f>
        <v/>
      </c>
      <c r="T3218" s="78" t="n"/>
      <c r="U3218" s="92">
        <f>IF(ISBLANK(P3218),"",IF(C3218="Buy",Q3218-M3218+T3218, IF(C3218="Sell",M3218-Q3218-T3218, X)))</f>
        <v/>
      </c>
      <c r="V3218" s="81">
        <f>IF(ISBLANK(P3218),"",U3218/N3218)</f>
        <v/>
      </c>
      <c r="W3218" s="81">
        <f>IF(ISBLANK(P3218),"",IF(S3218=0,(365/0.5)*V3218,(365/S3218)*V3218))</f>
        <v/>
      </c>
      <c r="X3218" s="75" t="n"/>
      <c r="Y3218" s="77" t="n"/>
      <c r="Z3218" s="77" t="n"/>
      <c r="AA3218" s="75" t="n"/>
      <c r="AB3218" s="75" t="n"/>
      <c r="AC3218" s="6" t="n"/>
      <c r="AD3218" s="75" t="n"/>
      <c r="AE3218" s="75" t="n"/>
      <c r="AF3218" s="75" t="n"/>
    </row>
    <row r="3219" ht="15.75" customHeight="1" s="133">
      <c r="A3219" s="75" t="n"/>
      <c r="B3219" s="75" t="n"/>
      <c r="C3219" s="75" t="n"/>
      <c r="D3219" s="75" t="n"/>
      <c r="E3219" s="76" t="n"/>
      <c r="F3219" s="77" t="n"/>
      <c r="G3219" s="75" t="n"/>
      <c r="H3219" s="75">
        <f>IF(ISBLANK(E3219),"",IF(OR(D3219="Butterfly",D3219="Butterfly ",D3219="Iron Fly", D3219="Iron Fly "),LEN(E3219)-LEN(SUBSTITUTE(E3219,"/",""))+2,LEN(E3219)-LEN(SUBSTITUTE(E3219,"/",""))+1))</f>
        <v/>
      </c>
      <c r="I3219" s="78">
        <f>IF(ISBLANK(G3219),"",IF(D3219="Stock","0",Key!$A$3*H3219*G3219))</f>
        <v/>
      </c>
      <c r="J3219" s="78">
        <f>IF(ISBLANK(E3219),"",IF(ISNUMBER(SEARCH("/",E3219)), IF(LEN(E3219)-LEN(SUBSTITUTE(E3219,"/",""))=1,(RIGHT(E3219,LEN(E3219)-FIND("/",E3219)))-(LEFT(E3219,FIND("/",E3219)-1)),(MID(E3219, SEARCH("/",E3219) + 1, SEARCH("/",E3219, SEARCH("/",E3219)+1) - SEARCH("/",E3219) - 1))-(LEFT(E3219,FIND("/",E3219)-1))), "NA"))</f>
        <v/>
      </c>
      <c r="K3219" s="79">
        <f>IF(A3219&lt;&gt;"", IF(ISBLANK(L3219), TODAY(), K3219), "")</f>
        <v/>
      </c>
      <c r="L3219" s="78" t="n"/>
      <c r="M3219" s="78">
        <f>IF(ISBLANK(L3219),"",IF(D3219="Stock",IF(C3219="Buy",L3219*G3219,IF(C3219="Sell",(L3219*G3219)-I3219, X)),IF(C3219="Buy",(L3219*G3219*100)+I3219,IF(C3219="Sell",(L3219*G3219*100)-I3219, X))))</f>
        <v/>
      </c>
      <c r="N3219" s="78">
        <f>IF(ISBLANK(L3219),"",IF(AND(C3219="Sell",D3219="Stock"),M3219,IF(ISBLANK(L3219),"",IF(C3219="Buy",M3219, IF(AND(C3219="Sell",J3219="NA"),(E3219*G3219*100*0.1)+I3219, IF(C3219="Sell",(J3219-L3219)*(100*G3219)+I3219))))))</f>
        <v/>
      </c>
      <c r="O3219" s="75" t="n"/>
      <c r="P3219" s="75" t="n"/>
      <c r="Q3219" s="75">
        <f>IF(ISBLANK(P3219),"",IF(D3219="Stock",P3219*G3219,IF(P3219=0,"0",G3219*P3219*100-(G3219*$AF$14))))</f>
        <v/>
      </c>
      <c r="R3219" s="79">
        <f>IF(P3219&lt;&gt;"", TODAY(), "")</f>
        <v/>
      </c>
      <c r="S3219" s="78">
        <f>IF(AND(K3219&lt;&gt;"", R3219&lt;&gt;""), R3219-K3219, "")</f>
        <v/>
      </c>
      <c r="T3219" s="78" t="n"/>
      <c r="U3219" s="92">
        <f>IF(ISBLANK(P3219),"",IF(C3219="Buy",Q3219-M3219+T3219, IF(C3219="Sell",M3219-Q3219-T3219, X)))</f>
        <v/>
      </c>
      <c r="V3219" s="81">
        <f>IF(ISBLANK(P3219),"",U3219/N3219)</f>
        <v/>
      </c>
      <c r="W3219" s="81">
        <f>IF(ISBLANK(P3219),"",IF(S3219=0,(365/0.5)*V3219,(365/S3219)*V3219))</f>
        <v/>
      </c>
      <c r="X3219" s="75" t="n"/>
      <c r="Y3219" s="77" t="n"/>
      <c r="Z3219" s="77" t="n"/>
      <c r="AA3219" s="75" t="n"/>
      <c r="AB3219" s="75" t="n"/>
      <c r="AC3219" s="6" t="n"/>
      <c r="AD3219" s="75" t="n"/>
      <c r="AE3219" s="75" t="n"/>
      <c r="AF3219" s="75" t="n"/>
    </row>
    <row r="3220" ht="15.75" customHeight="1" s="133">
      <c r="A3220" s="75" t="n"/>
      <c r="B3220" s="75" t="n"/>
      <c r="C3220" s="75" t="n"/>
      <c r="D3220" s="75" t="n"/>
      <c r="E3220" s="76" t="n"/>
      <c r="F3220" s="77" t="n"/>
      <c r="G3220" s="75" t="n"/>
      <c r="H3220" s="75">
        <f>IF(ISBLANK(E3220),"",IF(OR(D3220="Butterfly",D3220="Butterfly ",D3220="Iron Fly", D3220="Iron Fly "),LEN(E3220)-LEN(SUBSTITUTE(E3220,"/",""))+2,LEN(E3220)-LEN(SUBSTITUTE(E3220,"/",""))+1))</f>
        <v/>
      </c>
      <c r="I3220" s="78">
        <f>IF(ISBLANK(G3220),"",IF(D3220="Stock","0",Key!$A$3*H3220*G3220))</f>
        <v/>
      </c>
      <c r="J3220" s="78">
        <f>IF(ISBLANK(E3220),"",IF(ISNUMBER(SEARCH("/",E3220)), IF(LEN(E3220)-LEN(SUBSTITUTE(E3220,"/",""))=1,(RIGHT(E3220,LEN(E3220)-FIND("/",E3220)))-(LEFT(E3220,FIND("/",E3220)-1)),(MID(E3220, SEARCH("/",E3220) + 1, SEARCH("/",E3220, SEARCH("/",E3220)+1) - SEARCH("/",E3220) - 1))-(LEFT(E3220,FIND("/",E3220)-1))), "NA"))</f>
        <v/>
      </c>
      <c r="K3220" s="79">
        <f>IF(A3220&lt;&gt;"", IF(ISBLANK(L3220), TODAY(), K3220), "")</f>
        <v/>
      </c>
      <c r="L3220" s="78" t="n"/>
      <c r="M3220" s="78">
        <f>IF(ISBLANK(L3220),"",IF(D3220="Stock",IF(C3220="Buy",L3220*G3220,IF(C3220="Sell",(L3220*G3220)-I3220, X)),IF(C3220="Buy",(L3220*G3220*100)+I3220,IF(C3220="Sell",(L3220*G3220*100)-I3220, X))))</f>
        <v/>
      </c>
      <c r="N3220" s="78">
        <f>IF(ISBLANK(L3220),"",IF(AND(C3220="Sell",D3220="Stock"),M3220,IF(ISBLANK(L3220),"",IF(C3220="Buy",M3220, IF(AND(C3220="Sell",J3220="NA"),(E3220*G3220*100*0.1)+I3220, IF(C3220="Sell",(J3220-L3220)*(100*G3220)+I3220))))))</f>
        <v/>
      </c>
      <c r="O3220" s="75" t="n"/>
      <c r="P3220" s="75" t="n"/>
      <c r="Q3220" s="75">
        <f>IF(ISBLANK(P3220),"",IF(D3220="Stock",P3220*G3220,IF(P3220=0,"0",G3220*P3220*100-(G3220*$AF$14))))</f>
        <v/>
      </c>
      <c r="R3220" s="79">
        <f>IF(P3220&lt;&gt;"", TODAY(), "")</f>
        <v/>
      </c>
      <c r="S3220" s="78">
        <f>IF(AND(K3220&lt;&gt;"", R3220&lt;&gt;""), R3220-K3220, "")</f>
        <v/>
      </c>
      <c r="T3220" s="78" t="n"/>
      <c r="U3220" s="92">
        <f>IF(ISBLANK(P3220),"",IF(C3220="Buy",Q3220-M3220+T3220, IF(C3220="Sell",M3220-Q3220-T3220, X)))</f>
        <v/>
      </c>
      <c r="V3220" s="81">
        <f>IF(ISBLANK(P3220),"",U3220/N3220)</f>
        <v/>
      </c>
      <c r="W3220" s="81">
        <f>IF(ISBLANK(P3220),"",IF(S3220=0,(365/0.5)*V3220,(365/S3220)*V3220))</f>
        <v/>
      </c>
      <c r="X3220" s="75" t="n"/>
      <c r="Y3220" s="77" t="n"/>
      <c r="Z3220" s="77" t="n"/>
      <c r="AA3220" s="75" t="n"/>
      <c r="AB3220" s="75" t="n"/>
      <c r="AC3220" s="6" t="n"/>
      <c r="AD3220" s="75" t="n"/>
      <c r="AE3220" s="75" t="n"/>
      <c r="AF3220" s="75" t="n"/>
    </row>
    <row r="3221" ht="15.75" customHeight="1" s="133">
      <c r="A3221" s="75" t="n"/>
      <c r="B3221" s="75" t="n"/>
      <c r="C3221" s="75" t="n"/>
      <c r="D3221" s="75" t="n"/>
      <c r="E3221" s="76" t="n"/>
      <c r="F3221" s="77" t="n"/>
      <c r="G3221" s="75" t="n"/>
      <c r="H3221" s="75">
        <f>IF(ISBLANK(E3221),"",IF(OR(D3221="Butterfly",D3221="Butterfly ",D3221="Iron Fly", D3221="Iron Fly "),LEN(E3221)-LEN(SUBSTITUTE(E3221,"/",""))+2,LEN(E3221)-LEN(SUBSTITUTE(E3221,"/",""))+1))</f>
        <v/>
      </c>
      <c r="I3221" s="78">
        <f>IF(ISBLANK(G3221),"",IF(D3221="Stock","0",Key!$A$3*H3221*G3221))</f>
        <v/>
      </c>
      <c r="J3221" s="78">
        <f>IF(ISBLANK(E3221),"",IF(ISNUMBER(SEARCH("/",E3221)), IF(LEN(E3221)-LEN(SUBSTITUTE(E3221,"/",""))=1,(RIGHT(E3221,LEN(E3221)-FIND("/",E3221)))-(LEFT(E3221,FIND("/",E3221)-1)),(MID(E3221, SEARCH("/",E3221) + 1, SEARCH("/",E3221, SEARCH("/",E3221)+1) - SEARCH("/",E3221) - 1))-(LEFT(E3221,FIND("/",E3221)-1))), "NA"))</f>
        <v/>
      </c>
      <c r="K3221" s="79">
        <f>IF(A3221&lt;&gt;"", IF(ISBLANK(L3221), TODAY(), K3221), "")</f>
        <v/>
      </c>
      <c r="L3221" s="78" t="n"/>
      <c r="M3221" s="78">
        <f>IF(ISBLANK(L3221),"",IF(D3221="Stock",IF(C3221="Buy",L3221*G3221,IF(C3221="Sell",(L3221*G3221)-I3221, X)),IF(C3221="Buy",(L3221*G3221*100)+I3221,IF(C3221="Sell",(L3221*G3221*100)-I3221, X))))</f>
        <v/>
      </c>
      <c r="N3221" s="78">
        <f>IF(ISBLANK(L3221),"",IF(AND(C3221="Sell",D3221="Stock"),M3221,IF(ISBLANK(L3221),"",IF(C3221="Buy",M3221, IF(AND(C3221="Sell",J3221="NA"),(E3221*G3221*100*0.1)+I3221, IF(C3221="Sell",(J3221-L3221)*(100*G3221)+I3221))))))</f>
        <v/>
      </c>
      <c r="O3221" s="75" t="n"/>
      <c r="P3221" s="75" t="n"/>
      <c r="Q3221" s="75">
        <f>IF(ISBLANK(P3221),"",IF(D3221="Stock",P3221*G3221,IF(P3221=0,"0",G3221*P3221*100-(G3221*$AF$14))))</f>
        <v/>
      </c>
      <c r="R3221" s="79">
        <f>IF(P3221&lt;&gt;"", TODAY(), "")</f>
        <v/>
      </c>
      <c r="S3221" s="78">
        <f>IF(AND(K3221&lt;&gt;"", R3221&lt;&gt;""), R3221-K3221, "")</f>
        <v/>
      </c>
      <c r="T3221" s="78" t="n"/>
      <c r="U3221" s="92">
        <f>IF(ISBLANK(P3221),"",IF(C3221="Buy",Q3221-M3221+T3221, IF(C3221="Sell",M3221-Q3221-T3221, X)))</f>
        <v/>
      </c>
      <c r="V3221" s="81">
        <f>IF(ISBLANK(P3221),"",U3221/N3221)</f>
        <v/>
      </c>
      <c r="W3221" s="81">
        <f>IF(ISBLANK(P3221),"",IF(S3221=0,(365/0.5)*V3221,(365/S3221)*V3221))</f>
        <v/>
      </c>
      <c r="X3221" s="75" t="n"/>
      <c r="Y3221" s="77" t="n"/>
      <c r="Z3221" s="77" t="n"/>
      <c r="AA3221" s="75" t="n"/>
      <c r="AB3221" s="75" t="n"/>
      <c r="AC3221" s="6" t="n"/>
      <c r="AD3221" s="75" t="n"/>
      <c r="AE3221" s="75" t="n"/>
      <c r="AF3221" s="75" t="n"/>
    </row>
    <row r="3222" ht="15.75" customHeight="1" s="133">
      <c r="A3222" s="75" t="n"/>
      <c r="B3222" s="75" t="n"/>
      <c r="C3222" s="75" t="n"/>
      <c r="D3222" s="75" t="n"/>
      <c r="E3222" s="76" t="n"/>
      <c r="F3222" s="77" t="n"/>
      <c r="G3222" s="75" t="n"/>
      <c r="H3222" s="75">
        <f>IF(ISBLANK(E3222),"",IF(OR(D3222="Butterfly",D3222="Butterfly ",D3222="Iron Fly", D3222="Iron Fly "),LEN(E3222)-LEN(SUBSTITUTE(E3222,"/",""))+2,LEN(E3222)-LEN(SUBSTITUTE(E3222,"/",""))+1))</f>
        <v/>
      </c>
      <c r="I3222" s="78">
        <f>IF(ISBLANK(G3222),"",IF(D3222="Stock","0",Key!$A$3*H3222*G3222))</f>
        <v/>
      </c>
      <c r="J3222" s="78">
        <f>IF(ISBLANK(E3222),"",IF(ISNUMBER(SEARCH("/",E3222)), IF(LEN(E3222)-LEN(SUBSTITUTE(E3222,"/",""))=1,(RIGHT(E3222,LEN(E3222)-FIND("/",E3222)))-(LEFT(E3222,FIND("/",E3222)-1)),(MID(E3222, SEARCH("/",E3222) + 1, SEARCH("/",E3222, SEARCH("/",E3222)+1) - SEARCH("/",E3222) - 1))-(LEFT(E3222,FIND("/",E3222)-1))), "NA"))</f>
        <v/>
      </c>
      <c r="K3222" s="79">
        <f>IF(A3222&lt;&gt;"", IF(ISBLANK(L3222), TODAY(), K3222), "")</f>
        <v/>
      </c>
      <c r="L3222" s="78" t="n"/>
      <c r="M3222" s="78">
        <f>IF(ISBLANK(L3222),"",IF(D3222="Stock",IF(C3222="Buy",L3222*G3222,IF(C3222="Sell",(L3222*G3222)-I3222, X)),IF(C3222="Buy",(L3222*G3222*100)+I3222,IF(C3222="Sell",(L3222*G3222*100)-I3222, X))))</f>
        <v/>
      </c>
      <c r="N3222" s="78">
        <f>IF(ISBLANK(L3222),"",IF(AND(C3222="Sell",D3222="Stock"),M3222,IF(ISBLANK(L3222),"",IF(C3222="Buy",M3222, IF(AND(C3222="Sell",J3222="NA"),(E3222*G3222*100*0.1)+I3222, IF(C3222="Sell",(J3222-L3222)*(100*G3222)+I3222))))))</f>
        <v/>
      </c>
      <c r="O3222" s="75" t="n"/>
      <c r="P3222" s="75" t="n"/>
      <c r="Q3222" s="75">
        <f>IF(ISBLANK(P3222),"",IF(D3222="Stock",P3222*G3222,IF(P3222=0,"0",G3222*P3222*100-(G3222*$AF$14))))</f>
        <v/>
      </c>
      <c r="R3222" s="79">
        <f>IF(P3222&lt;&gt;"", TODAY(), "")</f>
        <v/>
      </c>
      <c r="S3222" s="78">
        <f>IF(AND(K3222&lt;&gt;"", R3222&lt;&gt;""), R3222-K3222, "")</f>
        <v/>
      </c>
      <c r="T3222" s="78" t="n"/>
      <c r="U3222" s="92">
        <f>IF(ISBLANK(P3222),"",IF(C3222="Buy",Q3222-M3222+T3222, IF(C3222="Sell",M3222-Q3222-T3222, X)))</f>
        <v/>
      </c>
      <c r="V3222" s="81">
        <f>IF(ISBLANK(P3222),"",U3222/N3222)</f>
        <v/>
      </c>
      <c r="W3222" s="81">
        <f>IF(ISBLANK(P3222),"",IF(S3222=0,(365/0.5)*V3222,(365/S3222)*V3222))</f>
        <v/>
      </c>
      <c r="X3222" s="75" t="n"/>
      <c r="Y3222" s="77" t="n"/>
      <c r="Z3222" s="77" t="n"/>
      <c r="AA3222" s="75" t="n"/>
      <c r="AB3222" s="75" t="n"/>
      <c r="AC3222" s="6" t="n"/>
      <c r="AD3222" s="75" t="n"/>
      <c r="AE3222" s="75" t="n"/>
      <c r="AF3222" s="75" t="n"/>
    </row>
    <row r="3223" ht="15.75" customHeight="1" s="133">
      <c r="A3223" s="75" t="n"/>
      <c r="B3223" s="75" t="n"/>
      <c r="C3223" s="75" t="n"/>
      <c r="D3223" s="75" t="n"/>
      <c r="E3223" s="76" t="n"/>
      <c r="F3223" s="77" t="n"/>
      <c r="G3223" s="75" t="n"/>
      <c r="H3223" s="75">
        <f>IF(ISBLANK(E3223),"",IF(OR(D3223="Butterfly",D3223="Butterfly ",D3223="Iron Fly", D3223="Iron Fly "),LEN(E3223)-LEN(SUBSTITUTE(E3223,"/",""))+2,LEN(E3223)-LEN(SUBSTITUTE(E3223,"/",""))+1))</f>
        <v/>
      </c>
      <c r="I3223" s="78">
        <f>IF(ISBLANK(G3223),"",IF(D3223="Stock","0",Key!$A$3*H3223*G3223))</f>
        <v/>
      </c>
      <c r="J3223" s="78">
        <f>IF(ISBLANK(E3223),"",IF(ISNUMBER(SEARCH("/",E3223)), IF(LEN(E3223)-LEN(SUBSTITUTE(E3223,"/",""))=1,(RIGHT(E3223,LEN(E3223)-FIND("/",E3223)))-(LEFT(E3223,FIND("/",E3223)-1)),(MID(E3223, SEARCH("/",E3223) + 1, SEARCH("/",E3223, SEARCH("/",E3223)+1) - SEARCH("/",E3223) - 1))-(LEFT(E3223,FIND("/",E3223)-1))), "NA"))</f>
        <v/>
      </c>
      <c r="K3223" s="79">
        <f>IF(A3223&lt;&gt;"", IF(ISBLANK(L3223), TODAY(), K3223), "")</f>
        <v/>
      </c>
      <c r="L3223" s="78" t="n"/>
      <c r="M3223" s="78">
        <f>IF(ISBLANK(L3223),"",IF(D3223="Stock",IF(C3223="Buy",L3223*G3223,IF(C3223="Sell",(L3223*G3223)-I3223, X)),IF(C3223="Buy",(L3223*G3223*100)+I3223,IF(C3223="Sell",(L3223*G3223*100)-I3223, X))))</f>
        <v/>
      </c>
      <c r="N3223" s="78">
        <f>IF(ISBLANK(L3223),"",IF(AND(C3223="Sell",D3223="Stock"),M3223,IF(ISBLANK(L3223),"",IF(C3223="Buy",M3223, IF(AND(C3223="Sell",J3223="NA"),(E3223*G3223*100*0.1)+I3223, IF(C3223="Sell",(J3223-L3223)*(100*G3223)+I3223))))))</f>
        <v/>
      </c>
      <c r="O3223" s="75" t="n"/>
      <c r="P3223" s="75" t="n"/>
      <c r="Q3223" s="75">
        <f>IF(ISBLANK(P3223),"",IF(D3223="Stock",P3223*G3223,IF(P3223=0,"0",G3223*P3223*100-(G3223*$AF$14))))</f>
        <v/>
      </c>
      <c r="R3223" s="79">
        <f>IF(P3223&lt;&gt;"", TODAY(), "")</f>
        <v/>
      </c>
      <c r="S3223" s="78">
        <f>IF(AND(K3223&lt;&gt;"", R3223&lt;&gt;""), R3223-K3223, "")</f>
        <v/>
      </c>
      <c r="T3223" s="78" t="n"/>
      <c r="U3223" s="92">
        <f>IF(ISBLANK(P3223),"",IF(C3223="Buy",Q3223-M3223+T3223, IF(C3223="Sell",M3223-Q3223-T3223, X)))</f>
        <v/>
      </c>
      <c r="V3223" s="81">
        <f>IF(ISBLANK(P3223),"",U3223/N3223)</f>
        <v/>
      </c>
      <c r="W3223" s="81">
        <f>IF(ISBLANK(P3223),"",IF(S3223=0,(365/0.5)*V3223,(365/S3223)*V3223))</f>
        <v/>
      </c>
      <c r="X3223" s="75" t="n"/>
      <c r="Y3223" s="77" t="n"/>
      <c r="Z3223" s="77" t="n"/>
      <c r="AA3223" s="75" t="n"/>
      <c r="AB3223" s="75" t="n"/>
      <c r="AC3223" s="6" t="n"/>
      <c r="AD3223" s="75" t="n"/>
      <c r="AE3223" s="75" t="n"/>
      <c r="AF3223" s="75" t="n"/>
    </row>
    <row r="3224" ht="15.75" customHeight="1" s="133">
      <c r="A3224" s="75" t="n"/>
      <c r="B3224" s="75" t="n"/>
      <c r="C3224" s="75" t="n"/>
      <c r="D3224" s="75" t="n"/>
      <c r="E3224" s="76" t="n"/>
      <c r="F3224" s="77" t="n"/>
      <c r="G3224" s="75" t="n"/>
      <c r="H3224" s="75">
        <f>IF(ISBLANK(E3224),"",IF(OR(D3224="Butterfly",D3224="Butterfly ",D3224="Iron Fly", D3224="Iron Fly "),LEN(E3224)-LEN(SUBSTITUTE(E3224,"/",""))+2,LEN(E3224)-LEN(SUBSTITUTE(E3224,"/",""))+1))</f>
        <v/>
      </c>
      <c r="I3224" s="78">
        <f>IF(ISBLANK(G3224),"",IF(D3224="Stock","0",Key!$A$3*H3224*G3224))</f>
        <v/>
      </c>
      <c r="J3224" s="78">
        <f>IF(ISBLANK(E3224),"",IF(ISNUMBER(SEARCH("/",E3224)), IF(LEN(E3224)-LEN(SUBSTITUTE(E3224,"/",""))=1,(RIGHT(E3224,LEN(E3224)-FIND("/",E3224)))-(LEFT(E3224,FIND("/",E3224)-1)),(MID(E3224, SEARCH("/",E3224) + 1, SEARCH("/",E3224, SEARCH("/",E3224)+1) - SEARCH("/",E3224) - 1))-(LEFT(E3224,FIND("/",E3224)-1))), "NA"))</f>
        <v/>
      </c>
      <c r="K3224" s="79">
        <f>IF(A3224&lt;&gt;"", IF(ISBLANK(L3224), TODAY(), K3224), "")</f>
        <v/>
      </c>
      <c r="L3224" s="78" t="n"/>
      <c r="M3224" s="78">
        <f>IF(ISBLANK(L3224),"",IF(D3224="Stock",IF(C3224="Buy",L3224*G3224,IF(C3224="Sell",(L3224*G3224)-I3224, X)),IF(C3224="Buy",(L3224*G3224*100)+I3224,IF(C3224="Sell",(L3224*G3224*100)-I3224, X))))</f>
        <v/>
      </c>
      <c r="N3224" s="78">
        <f>IF(ISBLANK(L3224),"",IF(AND(C3224="Sell",D3224="Stock"),M3224,IF(ISBLANK(L3224),"",IF(C3224="Buy",M3224, IF(AND(C3224="Sell",J3224="NA"),(E3224*G3224*100*0.1)+I3224, IF(C3224="Sell",(J3224-L3224)*(100*G3224)+I3224))))))</f>
        <v/>
      </c>
      <c r="O3224" s="75" t="n"/>
      <c r="P3224" s="75" t="n"/>
      <c r="Q3224" s="75">
        <f>IF(ISBLANK(P3224),"",IF(D3224="Stock",P3224*G3224,IF(P3224=0,"0",G3224*P3224*100-(G3224*$AF$14))))</f>
        <v/>
      </c>
      <c r="R3224" s="79">
        <f>IF(P3224&lt;&gt;"", TODAY(), "")</f>
        <v/>
      </c>
      <c r="S3224" s="78">
        <f>IF(AND(K3224&lt;&gt;"", R3224&lt;&gt;""), R3224-K3224, "")</f>
        <v/>
      </c>
      <c r="T3224" s="78" t="n"/>
      <c r="U3224" s="92">
        <f>IF(ISBLANK(P3224),"",IF(C3224="Buy",Q3224-M3224+T3224, IF(C3224="Sell",M3224-Q3224-T3224, X)))</f>
        <v/>
      </c>
      <c r="V3224" s="81">
        <f>IF(ISBLANK(P3224),"",U3224/N3224)</f>
        <v/>
      </c>
      <c r="W3224" s="81">
        <f>IF(ISBLANK(P3224),"",IF(S3224=0,(365/0.5)*V3224,(365/S3224)*V3224))</f>
        <v/>
      </c>
      <c r="X3224" s="75" t="n"/>
      <c r="Y3224" s="77" t="n"/>
      <c r="Z3224" s="77" t="n"/>
      <c r="AA3224" s="75" t="n"/>
      <c r="AB3224" s="75" t="n"/>
      <c r="AC3224" s="6" t="n"/>
      <c r="AD3224" s="75" t="n"/>
      <c r="AE3224" s="75" t="n"/>
      <c r="AF3224" s="75" t="n"/>
    </row>
    <row r="3225" ht="15.75" customHeight="1" s="133">
      <c r="A3225" s="75" t="n"/>
      <c r="B3225" s="75" t="n"/>
      <c r="C3225" s="75" t="n"/>
      <c r="D3225" s="75" t="n"/>
      <c r="E3225" s="76" t="n"/>
      <c r="F3225" s="77" t="n"/>
      <c r="G3225" s="75" t="n"/>
      <c r="H3225" s="75">
        <f>IF(ISBLANK(E3225),"",IF(OR(D3225="Butterfly",D3225="Butterfly ",D3225="Iron Fly", D3225="Iron Fly "),LEN(E3225)-LEN(SUBSTITUTE(E3225,"/",""))+2,LEN(E3225)-LEN(SUBSTITUTE(E3225,"/",""))+1))</f>
        <v/>
      </c>
      <c r="I3225" s="78">
        <f>IF(ISBLANK(G3225),"",IF(D3225="Stock","0",Key!$A$3*H3225*G3225))</f>
        <v/>
      </c>
      <c r="J3225" s="78">
        <f>IF(ISBLANK(E3225),"",IF(ISNUMBER(SEARCH("/",E3225)), IF(LEN(E3225)-LEN(SUBSTITUTE(E3225,"/",""))=1,(RIGHT(E3225,LEN(E3225)-FIND("/",E3225)))-(LEFT(E3225,FIND("/",E3225)-1)),(MID(E3225, SEARCH("/",E3225) + 1, SEARCH("/",E3225, SEARCH("/",E3225)+1) - SEARCH("/",E3225) - 1))-(LEFT(E3225,FIND("/",E3225)-1))), "NA"))</f>
        <v/>
      </c>
      <c r="K3225" s="79">
        <f>IF(A3225&lt;&gt;"", IF(ISBLANK(L3225), TODAY(), K3225), "")</f>
        <v/>
      </c>
      <c r="L3225" s="78" t="n"/>
      <c r="M3225" s="78">
        <f>IF(ISBLANK(L3225),"",IF(D3225="Stock",IF(C3225="Buy",L3225*G3225,IF(C3225="Sell",(L3225*G3225)-I3225, X)),IF(C3225="Buy",(L3225*G3225*100)+I3225,IF(C3225="Sell",(L3225*G3225*100)-I3225, X))))</f>
        <v/>
      </c>
      <c r="N3225" s="78">
        <f>IF(ISBLANK(L3225),"",IF(AND(C3225="Sell",D3225="Stock"),M3225,IF(ISBLANK(L3225),"",IF(C3225="Buy",M3225, IF(AND(C3225="Sell",J3225="NA"),(E3225*G3225*100*0.1)+I3225, IF(C3225="Sell",(J3225-L3225)*(100*G3225)+I3225))))))</f>
        <v/>
      </c>
      <c r="O3225" s="75" t="n"/>
      <c r="P3225" s="75" t="n"/>
      <c r="Q3225" s="75">
        <f>IF(ISBLANK(P3225),"",IF(D3225="Stock",P3225*G3225,IF(P3225=0,"0",G3225*P3225*100-(G3225*$AF$14))))</f>
        <v/>
      </c>
      <c r="R3225" s="79">
        <f>IF(P3225&lt;&gt;"", TODAY(), "")</f>
        <v/>
      </c>
      <c r="S3225" s="78">
        <f>IF(AND(K3225&lt;&gt;"", R3225&lt;&gt;""), R3225-K3225, "")</f>
        <v/>
      </c>
      <c r="T3225" s="78" t="n"/>
      <c r="U3225" s="92">
        <f>IF(ISBLANK(P3225),"",IF(C3225="Buy",Q3225-M3225+T3225, IF(C3225="Sell",M3225-Q3225-T3225, X)))</f>
        <v/>
      </c>
      <c r="V3225" s="81">
        <f>IF(ISBLANK(P3225),"",U3225/N3225)</f>
        <v/>
      </c>
      <c r="W3225" s="81">
        <f>IF(ISBLANK(P3225),"",IF(S3225=0,(365/0.5)*V3225,(365/S3225)*V3225))</f>
        <v/>
      </c>
      <c r="X3225" s="75" t="n"/>
      <c r="Y3225" s="77" t="n"/>
      <c r="Z3225" s="77" t="n"/>
      <c r="AA3225" s="75" t="n"/>
      <c r="AB3225" s="75" t="n"/>
      <c r="AC3225" s="6" t="n"/>
      <c r="AD3225" s="75" t="n"/>
      <c r="AE3225" s="75" t="n"/>
      <c r="AF3225" s="75" t="n"/>
    </row>
    <row r="3226" ht="15.75" customHeight="1" s="133">
      <c r="A3226" s="75" t="n"/>
      <c r="B3226" s="75" t="n"/>
      <c r="C3226" s="75" t="n"/>
      <c r="D3226" s="75" t="n"/>
      <c r="E3226" s="76" t="n"/>
      <c r="F3226" s="77" t="n"/>
      <c r="G3226" s="75" t="n"/>
      <c r="H3226" s="75">
        <f>IF(ISBLANK(E3226),"",IF(OR(D3226="Butterfly",D3226="Butterfly ",D3226="Iron Fly", D3226="Iron Fly "),LEN(E3226)-LEN(SUBSTITUTE(E3226,"/",""))+2,LEN(E3226)-LEN(SUBSTITUTE(E3226,"/",""))+1))</f>
        <v/>
      </c>
      <c r="I3226" s="78">
        <f>IF(ISBLANK(G3226),"",IF(D3226="Stock","0",Key!$A$3*H3226*G3226))</f>
        <v/>
      </c>
      <c r="J3226" s="78">
        <f>IF(ISBLANK(E3226),"",IF(ISNUMBER(SEARCH("/",E3226)), IF(LEN(E3226)-LEN(SUBSTITUTE(E3226,"/",""))=1,(RIGHT(E3226,LEN(E3226)-FIND("/",E3226)))-(LEFT(E3226,FIND("/",E3226)-1)),(MID(E3226, SEARCH("/",E3226) + 1, SEARCH("/",E3226, SEARCH("/",E3226)+1) - SEARCH("/",E3226) - 1))-(LEFT(E3226,FIND("/",E3226)-1))), "NA"))</f>
        <v/>
      </c>
      <c r="K3226" s="79">
        <f>IF(A3226&lt;&gt;"", IF(ISBLANK(L3226), TODAY(), K3226), "")</f>
        <v/>
      </c>
      <c r="L3226" s="78" t="n"/>
      <c r="M3226" s="78">
        <f>IF(ISBLANK(L3226),"",IF(D3226="Stock",IF(C3226="Buy",L3226*G3226,IF(C3226="Sell",(L3226*G3226)-I3226, X)),IF(C3226="Buy",(L3226*G3226*100)+I3226,IF(C3226="Sell",(L3226*G3226*100)-I3226, X))))</f>
        <v/>
      </c>
      <c r="N3226" s="78">
        <f>IF(ISBLANK(L3226),"",IF(AND(C3226="Sell",D3226="Stock"),M3226,IF(ISBLANK(L3226),"",IF(C3226="Buy",M3226, IF(AND(C3226="Sell",J3226="NA"),(E3226*G3226*100*0.1)+I3226, IF(C3226="Sell",(J3226-L3226)*(100*G3226)+I3226))))))</f>
        <v/>
      </c>
      <c r="O3226" s="75" t="n"/>
      <c r="P3226" s="75" t="n"/>
      <c r="Q3226" s="75">
        <f>IF(ISBLANK(P3226),"",IF(D3226="Stock",P3226*G3226,IF(P3226=0,"0",G3226*P3226*100-(G3226*$AF$14))))</f>
        <v/>
      </c>
      <c r="R3226" s="79">
        <f>IF(P3226&lt;&gt;"", TODAY(), "")</f>
        <v/>
      </c>
      <c r="S3226" s="78">
        <f>IF(AND(K3226&lt;&gt;"", R3226&lt;&gt;""), R3226-K3226, "")</f>
        <v/>
      </c>
      <c r="T3226" s="78" t="n"/>
      <c r="U3226" s="92">
        <f>IF(ISBLANK(P3226),"",IF(C3226="Buy",Q3226-M3226+T3226, IF(C3226="Sell",M3226-Q3226-T3226, X)))</f>
        <v/>
      </c>
      <c r="V3226" s="81">
        <f>IF(ISBLANK(P3226),"",U3226/N3226)</f>
        <v/>
      </c>
      <c r="W3226" s="81">
        <f>IF(ISBLANK(P3226),"",IF(S3226=0,(365/0.5)*V3226,(365/S3226)*V3226))</f>
        <v/>
      </c>
      <c r="X3226" s="75" t="n"/>
      <c r="Y3226" s="77" t="n"/>
      <c r="Z3226" s="77" t="n"/>
      <c r="AA3226" s="75" t="n"/>
      <c r="AB3226" s="75" t="n"/>
      <c r="AC3226" s="6" t="n"/>
      <c r="AD3226" s="75" t="n"/>
      <c r="AE3226" s="75" t="n"/>
      <c r="AF3226" s="75" t="n"/>
    </row>
    <row r="3227" ht="15.75" customHeight="1" s="133">
      <c r="A3227" s="75" t="n"/>
      <c r="B3227" s="75" t="n"/>
      <c r="C3227" s="75" t="n"/>
      <c r="D3227" s="75" t="n"/>
      <c r="E3227" s="76" t="n"/>
      <c r="F3227" s="77" t="n"/>
      <c r="G3227" s="75" t="n"/>
      <c r="H3227" s="75">
        <f>IF(ISBLANK(E3227),"",IF(OR(D3227="Butterfly",D3227="Butterfly ",D3227="Iron Fly", D3227="Iron Fly "),LEN(E3227)-LEN(SUBSTITUTE(E3227,"/",""))+2,LEN(E3227)-LEN(SUBSTITUTE(E3227,"/",""))+1))</f>
        <v/>
      </c>
      <c r="I3227" s="78">
        <f>IF(ISBLANK(G3227),"",IF(D3227="Stock","0",Key!$A$3*H3227*G3227))</f>
        <v/>
      </c>
      <c r="J3227" s="78">
        <f>IF(ISBLANK(E3227),"",IF(ISNUMBER(SEARCH("/",E3227)), IF(LEN(E3227)-LEN(SUBSTITUTE(E3227,"/",""))=1,(RIGHT(E3227,LEN(E3227)-FIND("/",E3227)))-(LEFT(E3227,FIND("/",E3227)-1)),(MID(E3227, SEARCH("/",E3227) + 1, SEARCH("/",E3227, SEARCH("/",E3227)+1) - SEARCH("/",E3227) - 1))-(LEFT(E3227,FIND("/",E3227)-1))), "NA"))</f>
        <v/>
      </c>
      <c r="K3227" s="79">
        <f>IF(A3227&lt;&gt;"", IF(ISBLANK(L3227), TODAY(), K3227), "")</f>
        <v/>
      </c>
      <c r="L3227" s="78" t="n"/>
      <c r="M3227" s="78">
        <f>IF(ISBLANK(L3227),"",IF(D3227="Stock",IF(C3227="Buy",L3227*G3227,IF(C3227="Sell",(L3227*G3227)-I3227, X)),IF(C3227="Buy",(L3227*G3227*100)+I3227,IF(C3227="Sell",(L3227*G3227*100)-I3227, X))))</f>
        <v/>
      </c>
      <c r="N3227" s="78">
        <f>IF(ISBLANK(L3227),"",IF(AND(C3227="Sell",D3227="Stock"),M3227,IF(ISBLANK(L3227),"",IF(C3227="Buy",M3227, IF(AND(C3227="Sell",J3227="NA"),(E3227*G3227*100*0.1)+I3227, IF(C3227="Sell",(J3227-L3227)*(100*G3227)+I3227))))))</f>
        <v/>
      </c>
      <c r="O3227" s="75" t="n"/>
      <c r="P3227" s="75" t="n"/>
      <c r="Q3227" s="75">
        <f>IF(ISBLANK(P3227),"",IF(D3227="Stock",P3227*G3227,IF(P3227=0,"0",G3227*P3227*100-(G3227*$AF$14))))</f>
        <v/>
      </c>
      <c r="R3227" s="79">
        <f>IF(P3227&lt;&gt;"", TODAY(), "")</f>
        <v/>
      </c>
      <c r="S3227" s="78">
        <f>IF(AND(K3227&lt;&gt;"", R3227&lt;&gt;""), R3227-K3227, "")</f>
        <v/>
      </c>
      <c r="T3227" s="78" t="n"/>
      <c r="U3227" s="92">
        <f>IF(ISBLANK(P3227),"",IF(C3227="Buy",Q3227-M3227+T3227, IF(C3227="Sell",M3227-Q3227-T3227, X)))</f>
        <v/>
      </c>
      <c r="V3227" s="81">
        <f>IF(ISBLANK(P3227),"",U3227/N3227)</f>
        <v/>
      </c>
      <c r="W3227" s="81">
        <f>IF(ISBLANK(P3227),"",IF(S3227=0,(365/0.5)*V3227,(365/S3227)*V3227))</f>
        <v/>
      </c>
      <c r="X3227" s="75" t="n"/>
      <c r="Y3227" s="77" t="n"/>
      <c r="Z3227" s="77" t="n"/>
      <c r="AA3227" s="75" t="n"/>
      <c r="AB3227" s="75" t="n"/>
      <c r="AC3227" s="6" t="n"/>
      <c r="AD3227" s="75" t="n"/>
      <c r="AE3227" s="75" t="n"/>
      <c r="AF3227" s="75" t="n"/>
    </row>
    <row r="3228" ht="15.75" customHeight="1" s="133">
      <c r="A3228" s="75" t="n"/>
      <c r="B3228" s="75" t="n"/>
      <c r="C3228" s="75" t="n"/>
      <c r="D3228" s="75" t="n"/>
      <c r="E3228" s="76" t="n"/>
      <c r="F3228" s="77" t="n"/>
      <c r="G3228" s="75" t="n"/>
      <c r="H3228" s="75">
        <f>IF(ISBLANK(E3228),"",IF(OR(D3228="Butterfly",D3228="Butterfly ",D3228="Iron Fly", D3228="Iron Fly "),LEN(E3228)-LEN(SUBSTITUTE(E3228,"/",""))+2,LEN(E3228)-LEN(SUBSTITUTE(E3228,"/",""))+1))</f>
        <v/>
      </c>
      <c r="I3228" s="78">
        <f>IF(ISBLANK(G3228),"",IF(D3228="Stock","0",Key!$A$3*H3228*G3228))</f>
        <v/>
      </c>
      <c r="J3228" s="78">
        <f>IF(ISBLANK(E3228),"",IF(ISNUMBER(SEARCH("/",E3228)), IF(LEN(E3228)-LEN(SUBSTITUTE(E3228,"/",""))=1,(RIGHT(E3228,LEN(E3228)-FIND("/",E3228)))-(LEFT(E3228,FIND("/",E3228)-1)),(MID(E3228, SEARCH("/",E3228) + 1, SEARCH("/",E3228, SEARCH("/",E3228)+1) - SEARCH("/",E3228) - 1))-(LEFT(E3228,FIND("/",E3228)-1))), "NA"))</f>
        <v/>
      </c>
      <c r="K3228" s="79">
        <f>IF(A3228&lt;&gt;"", IF(ISBLANK(L3228), TODAY(), K3228), "")</f>
        <v/>
      </c>
      <c r="L3228" s="78" t="n"/>
      <c r="M3228" s="78">
        <f>IF(ISBLANK(L3228),"",IF(D3228="Stock",IF(C3228="Buy",L3228*G3228,IF(C3228="Sell",(L3228*G3228)-I3228, X)),IF(C3228="Buy",(L3228*G3228*100)+I3228,IF(C3228="Sell",(L3228*G3228*100)-I3228, X))))</f>
        <v/>
      </c>
      <c r="N3228" s="78">
        <f>IF(ISBLANK(L3228),"",IF(AND(C3228="Sell",D3228="Stock"),M3228,IF(ISBLANK(L3228),"",IF(C3228="Buy",M3228, IF(AND(C3228="Sell",J3228="NA"),(E3228*G3228*100*0.1)+I3228, IF(C3228="Sell",(J3228-L3228)*(100*G3228)+I3228))))))</f>
        <v/>
      </c>
      <c r="O3228" s="75" t="n"/>
      <c r="P3228" s="75" t="n"/>
      <c r="Q3228" s="75">
        <f>IF(ISBLANK(P3228),"",IF(D3228="Stock",P3228*G3228,IF(P3228=0,"0",G3228*P3228*100-(G3228*$AF$14))))</f>
        <v/>
      </c>
      <c r="R3228" s="79">
        <f>IF(P3228&lt;&gt;"", TODAY(), "")</f>
        <v/>
      </c>
      <c r="S3228" s="78">
        <f>IF(AND(K3228&lt;&gt;"", R3228&lt;&gt;""), R3228-K3228, "")</f>
        <v/>
      </c>
      <c r="T3228" s="78" t="n"/>
      <c r="U3228" s="92">
        <f>IF(ISBLANK(P3228),"",IF(C3228="Buy",Q3228-M3228+T3228, IF(C3228="Sell",M3228-Q3228-T3228, X)))</f>
        <v/>
      </c>
      <c r="V3228" s="81">
        <f>IF(ISBLANK(P3228),"",U3228/N3228)</f>
        <v/>
      </c>
      <c r="W3228" s="81">
        <f>IF(ISBLANK(P3228),"",IF(S3228=0,(365/0.5)*V3228,(365/S3228)*V3228))</f>
        <v/>
      </c>
      <c r="X3228" s="75" t="n"/>
      <c r="Y3228" s="77" t="n"/>
      <c r="Z3228" s="77" t="n"/>
      <c r="AA3228" s="75" t="n"/>
      <c r="AB3228" s="75" t="n"/>
      <c r="AC3228" s="6" t="n"/>
      <c r="AD3228" s="75" t="n"/>
      <c r="AE3228" s="75" t="n"/>
      <c r="AF3228" s="75" t="n"/>
    </row>
    <row r="3229" ht="15.75" customHeight="1" s="133">
      <c r="A3229" s="75" t="n"/>
      <c r="B3229" s="75" t="n"/>
      <c r="C3229" s="75" t="n"/>
      <c r="D3229" s="75" t="n"/>
      <c r="E3229" s="76" t="n"/>
      <c r="F3229" s="77" t="n"/>
      <c r="G3229" s="75" t="n"/>
      <c r="H3229" s="75">
        <f>IF(ISBLANK(E3229),"",IF(OR(D3229="Butterfly",D3229="Butterfly ",D3229="Iron Fly", D3229="Iron Fly "),LEN(E3229)-LEN(SUBSTITUTE(E3229,"/",""))+2,LEN(E3229)-LEN(SUBSTITUTE(E3229,"/",""))+1))</f>
        <v/>
      </c>
      <c r="I3229" s="78">
        <f>IF(ISBLANK(G3229),"",IF(D3229="Stock","0",Key!$A$3*H3229*G3229))</f>
        <v/>
      </c>
      <c r="J3229" s="78">
        <f>IF(ISBLANK(E3229),"",IF(ISNUMBER(SEARCH("/",E3229)), IF(LEN(E3229)-LEN(SUBSTITUTE(E3229,"/",""))=1,(RIGHT(E3229,LEN(E3229)-FIND("/",E3229)))-(LEFT(E3229,FIND("/",E3229)-1)),(MID(E3229, SEARCH("/",E3229) + 1, SEARCH("/",E3229, SEARCH("/",E3229)+1) - SEARCH("/",E3229) - 1))-(LEFT(E3229,FIND("/",E3229)-1))), "NA"))</f>
        <v/>
      </c>
      <c r="K3229" s="79">
        <f>IF(A3229&lt;&gt;"", IF(ISBLANK(L3229), TODAY(), K3229), "")</f>
        <v/>
      </c>
      <c r="L3229" s="78" t="n"/>
      <c r="M3229" s="78">
        <f>IF(ISBLANK(L3229),"",IF(D3229="Stock",IF(C3229="Buy",L3229*G3229,IF(C3229="Sell",(L3229*G3229)-I3229, X)),IF(C3229="Buy",(L3229*G3229*100)+I3229,IF(C3229="Sell",(L3229*G3229*100)-I3229, X))))</f>
        <v/>
      </c>
      <c r="N3229" s="78">
        <f>IF(ISBLANK(L3229),"",IF(AND(C3229="Sell",D3229="Stock"),M3229,IF(ISBLANK(L3229),"",IF(C3229="Buy",M3229, IF(AND(C3229="Sell",J3229="NA"),(E3229*G3229*100*0.1)+I3229, IF(C3229="Sell",(J3229-L3229)*(100*G3229)+I3229))))))</f>
        <v/>
      </c>
      <c r="O3229" s="75" t="n"/>
      <c r="P3229" s="75" t="n"/>
      <c r="Q3229" s="75">
        <f>IF(ISBLANK(P3229),"",IF(D3229="Stock",P3229*G3229,IF(P3229=0,"0",G3229*P3229*100-(G3229*$AF$14))))</f>
        <v/>
      </c>
      <c r="R3229" s="79">
        <f>IF(P3229&lt;&gt;"", TODAY(), "")</f>
        <v/>
      </c>
      <c r="S3229" s="78">
        <f>IF(AND(K3229&lt;&gt;"", R3229&lt;&gt;""), R3229-K3229, "")</f>
        <v/>
      </c>
      <c r="T3229" s="78" t="n"/>
      <c r="U3229" s="92">
        <f>IF(ISBLANK(P3229),"",IF(C3229="Buy",Q3229-M3229+T3229, IF(C3229="Sell",M3229-Q3229-T3229, X)))</f>
        <v/>
      </c>
      <c r="V3229" s="81">
        <f>IF(ISBLANK(P3229),"",U3229/N3229)</f>
        <v/>
      </c>
      <c r="W3229" s="81">
        <f>IF(ISBLANK(P3229),"",IF(S3229=0,(365/0.5)*V3229,(365/S3229)*V3229))</f>
        <v/>
      </c>
      <c r="X3229" s="75" t="n"/>
      <c r="Y3229" s="77" t="n"/>
      <c r="Z3229" s="77" t="n"/>
      <c r="AA3229" s="75" t="n"/>
      <c r="AB3229" s="75" t="n"/>
      <c r="AC3229" s="6" t="n"/>
      <c r="AD3229" s="75" t="n"/>
      <c r="AE3229" s="75" t="n"/>
      <c r="AF3229" s="75" t="n"/>
    </row>
    <row r="3230" ht="15.75" customHeight="1" s="133">
      <c r="A3230" s="75" t="n"/>
      <c r="B3230" s="75" t="n"/>
      <c r="C3230" s="75" t="n"/>
      <c r="D3230" s="75" t="n"/>
      <c r="E3230" s="76" t="n"/>
      <c r="F3230" s="77" t="n"/>
      <c r="G3230" s="75" t="n"/>
      <c r="H3230" s="75">
        <f>IF(ISBLANK(E3230),"",IF(OR(D3230="Butterfly",D3230="Butterfly ",D3230="Iron Fly", D3230="Iron Fly "),LEN(E3230)-LEN(SUBSTITUTE(E3230,"/",""))+2,LEN(E3230)-LEN(SUBSTITUTE(E3230,"/",""))+1))</f>
        <v/>
      </c>
      <c r="I3230" s="78">
        <f>IF(ISBLANK(G3230),"",IF(D3230="Stock","0",Key!$A$3*H3230*G3230))</f>
        <v/>
      </c>
      <c r="J3230" s="78">
        <f>IF(ISBLANK(E3230),"",IF(ISNUMBER(SEARCH("/",E3230)), IF(LEN(E3230)-LEN(SUBSTITUTE(E3230,"/",""))=1,(RIGHT(E3230,LEN(E3230)-FIND("/",E3230)))-(LEFT(E3230,FIND("/",E3230)-1)),(MID(E3230, SEARCH("/",E3230) + 1, SEARCH("/",E3230, SEARCH("/",E3230)+1) - SEARCH("/",E3230) - 1))-(LEFT(E3230,FIND("/",E3230)-1))), "NA"))</f>
        <v/>
      </c>
      <c r="K3230" s="79">
        <f>IF(A3230&lt;&gt;"", IF(ISBLANK(L3230), TODAY(), K3230), "")</f>
        <v/>
      </c>
      <c r="L3230" s="78" t="n"/>
      <c r="M3230" s="78">
        <f>IF(ISBLANK(L3230),"",IF(D3230="Stock",IF(C3230="Buy",L3230*G3230,IF(C3230="Sell",(L3230*G3230)-I3230, X)),IF(C3230="Buy",(L3230*G3230*100)+I3230,IF(C3230="Sell",(L3230*G3230*100)-I3230, X))))</f>
        <v/>
      </c>
      <c r="N3230" s="78">
        <f>IF(ISBLANK(L3230),"",IF(AND(C3230="Sell",D3230="Stock"),M3230,IF(ISBLANK(L3230),"",IF(C3230="Buy",M3230, IF(AND(C3230="Sell",J3230="NA"),(E3230*G3230*100*0.1)+I3230, IF(C3230="Sell",(J3230-L3230)*(100*G3230)+I3230))))))</f>
        <v/>
      </c>
      <c r="O3230" s="75" t="n"/>
      <c r="P3230" s="75" t="n"/>
      <c r="Q3230" s="75">
        <f>IF(ISBLANK(P3230),"",IF(D3230="Stock",P3230*G3230,IF(P3230=0,"0",G3230*P3230*100-(G3230*$AF$14))))</f>
        <v/>
      </c>
      <c r="R3230" s="79">
        <f>IF(P3230&lt;&gt;"", TODAY(), "")</f>
        <v/>
      </c>
      <c r="S3230" s="78">
        <f>IF(AND(K3230&lt;&gt;"", R3230&lt;&gt;""), R3230-K3230, "")</f>
        <v/>
      </c>
      <c r="T3230" s="78" t="n"/>
      <c r="U3230" s="92">
        <f>IF(ISBLANK(P3230),"",IF(C3230="Buy",Q3230-M3230+T3230, IF(C3230="Sell",M3230-Q3230-T3230, X)))</f>
        <v/>
      </c>
      <c r="V3230" s="81">
        <f>IF(ISBLANK(P3230),"",U3230/N3230)</f>
        <v/>
      </c>
      <c r="W3230" s="81">
        <f>IF(ISBLANK(P3230),"",IF(S3230=0,(365/0.5)*V3230,(365/S3230)*V3230))</f>
        <v/>
      </c>
      <c r="X3230" s="75" t="n"/>
      <c r="Y3230" s="77" t="n"/>
      <c r="Z3230" s="77" t="n"/>
      <c r="AA3230" s="75" t="n"/>
      <c r="AB3230" s="75" t="n"/>
      <c r="AC3230" s="6" t="n"/>
      <c r="AD3230" s="75" t="n"/>
      <c r="AE3230" s="75" t="n"/>
      <c r="AF3230" s="75" t="n"/>
    </row>
    <row r="3231" ht="15.75" customHeight="1" s="133">
      <c r="A3231" s="75" t="n"/>
      <c r="B3231" s="75" t="n"/>
      <c r="C3231" s="75" t="n"/>
      <c r="D3231" s="75" t="n"/>
      <c r="E3231" s="76" t="n"/>
      <c r="F3231" s="77" t="n"/>
      <c r="G3231" s="75" t="n"/>
      <c r="H3231" s="75">
        <f>IF(ISBLANK(E3231),"",IF(OR(D3231="Butterfly",D3231="Butterfly ",D3231="Iron Fly", D3231="Iron Fly "),LEN(E3231)-LEN(SUBSTITUTE(E3231,"/",""))+2,LEN(E3231)-LEN(SUBSTITUTE(E3231,"/",""))+1))</f>
        <v/>
      </c>
      <c r="I3231" s="78">
        <f>IF(ISBLANK(G3231),"",IF(D3231="Stock","0",Key!$A$3*H3231*G3231))</f>
        <v/>
      </c>
      <c r="J3231" s="78">
        <f>IF(ISBLANK(E3231),"",IF(ISNUMBER(SEARCH("/",E3231)), IF(LEN(E3231)-LEN(SUBSTITUTE(E3231,"/",""))=1,(RIGHT(E3231,LEN(E3231)-FIND("/",E3231)))-(LEFT(E3231,FIND("/",E3231)-1)),(MID(E3231, SEARCH("/",E3231) + 1, SEARCH("/",E3231, SEARCH("/",E3231)+1) - SEARCH("/",E3231) - 1))-(LEFT(E3231,FIND("/",E3231)-1))), "NA"))</f>
        <v/>
      </c>
      <c r="K3231" s="79">
        <f>IF(A3231&lt;&gt;"", IF(ISBLANK(L3231), TODAY(), K3231), "")</f>
        <v/>
      </c>
      <c r="L3231" s="78" t="n"/>
      <c r="M3231" s="78">
        <f>IF(ISBLANK(L3231),"",IF(D3231="Stock",IF(C3231="Buy",L3231*G3231,IF(C3231="Sell",(L3231*G3231)-I3231, X)),IF(C3231="Buy",(L3231*G3231*100)+I3231,IF(C3231="Sell",(L3231*G3231*100)-I3231, X))))</f>
        <v/>
      </c>
      <c r="N3231" s="78">
        <f>IF(ISBLANK(L3231),"",IF(AND(C3231="Sell",D3231="Stock"),M3231,IF(ISBLANK(L3231),"",IF(C3231="Buy",M3231, IF(AND(C3231="Sell",J3231="NA"),(E3231*G3231*100*0.1)+I3231, IF(C3231="Sell",(J3231-L3231)*(100*G3231)+I3231))))))</f>
        <v/>
      </c>
      <c r="O3231" s="75" t="n"/>
      <c r="P3231" s="75" t="n"/>
      <c r="Q3231" s="75">
        <f>IF(ISBLANK(P3231),"",IF(D3231="Stock",P3231*G3231,IF(P3231=0,"0",G3231*P3231*100-(G3231*$AF$14))))</f>
        <v/>
      </c>
      <c r="R3231" s="79">
        <f>IF(P3231&lt;&gt;"", TODAY(), "")</f>
        <v/>
      </c>
      <c r="S3231" s="78">
        <f>IF(AND(K3231&lt;&gt;"", R3231&lt;&gt;""), R3231-K3231, "")</f>
        <v/>
      </c>
      <c r="T3231" s="78" t="n"/>
      <c r="U3231" s="92">
        <f>IF(ISBLANK(P3231),"",IF(C3231="Buy",Q3231-M3231+T3231, IF(C3231="Sell",M3231-Q3231-T3231, X)))</f>
        <v/>
      </c>
      <c r="V3231" s="81">
        <f>IF(ISBLANK(P3231),"",U3231/N3231)</f>
        <v/>
      </c>
      <c r="W3231" s="81">
        <f>IF(ISBLANK(P3231),"",IF(S3231=0,(365/0.5)*V3231,(365/S3231)*V3231))</f>
        <v/>
      </c>
      <c r="X3231" s="75" t="n"/>
      <c r="Y3231" s="77" t="n"/>
      <c r="Z3231" s="77" t="n"/>
      <c r="AA3231" s="75" t="n"/>
      <c r="AB3231" s="75" t="n"/>
      <c r="AC3231" s="6" t="n"/>
      <c r="AD3231" s="75" t="n"/>
      <c r="AE3231" s="75" t="n"/>
      <c r="AF3231" s="75" t="n"/>
    </row>
    <row r="3232" ht="15.75" customHeight="1" s="133">
      <c r="A3232" s="75" t="n"/>
      <c r="B3232" s="75" t="n"/>
      <c r="C3232" s="75" t="n"/>
      <c r="D3232" s="75" t="n"/>
      <c r="E3232" s="76" t="n"/>
      <c r="F3232" s="77" t="n"/>
      <c r="G3232" s="75" t="n"/>
      <c r="H3232" s="75">
        <f>IF(ISBLANK(E3232),"",IF(OR(D3232="Butterfly",D3232="Butterfly ",D3232="Iron Fly", D3232="Iron Fly "),LEN(E3232)-LEN(SUBSTITUTE(E3232,"/",""))+2,LEN(E3232)-LEN(SUBSTITUTE(E3232,"/",""))+1))</f>
        <v/>
      </c>
      <c r="I3232" s="78">
        <f>IF(ISBLANK(G3232),"",IF(D3232="Stock","0",Key!$A$3*H3232*G3232))</f>
        <v/>
      </c>
      <c r="J3232" s="78">
        <f>IF(ISBLANK(E3232),"",IF(ISNUMBER(SEARCH("/",E3232)), IF(LEN(E3232)-LEN(SUBSTITUTE(E3232,"/",""))=1,(RIGHT(E3232,LEN(E3232)-FIND("/",E3232)))-(LEFT(E3232,FIND("/",E3232)-1)),(MID(E3232, SEARCH("/",E3232) + 1, SEARCH("/",E3232, SEARCH("/",E3232)+1) - SEARCH("/",E3232) - 1))-(LEFT(E3232,FIND("/",E3232)-1))), "NA"))</f>
        <v/>
      </c>
      <c r="K3232" s="79">
        <f>IF(A3232&lt;&gt;"", IF(ISBLANK(L3232), TODAY(), K3232), "")</f>
        <v/>
      </c>
      <c r="L3232" s="78" t="n"/>
      <c r="M3232" s="78">
        <f>IF(ISBLANK(L3232),"",IF(D3232="Stock",IF(C3232="Buy",L3232*G3232,IF(C3232="Sell",(L3232*G3232)-I3232, X)),IF(C3232="Buy",(L3232*G3232*100)+I3232,IF(C3232="Sell",(L3232*G3232*100)-I3232, X))))</f>
        <v/>
      </c>
      <c r="N3232" s="78">
        <f>IF(ISBLANK(L3232),"",IF(AND(C3232="Sell",D3232="Stock"),M3232,IF(ISBLANK(L3232),"",IF(C3232="Buy",M3232, IF(AND(C3232="Sell",J3232="NA"),(E3232*G3232*100*0.1)+I3232, IF(C3232="Sell",(J3232-L3232)*(100*G3232)+I3232))))))</f>
        <v/>
      </c>
      <c r="O3232" s="75" t="n"/>
      <c r="P3232" s="75" t="n"/>
      <c r="Q3232" s="75">
        <f>IF(ISBLANK(P3232),"",IF(D3232="Stock",P3232*G3232,IF(P3232=0,"0",G3232*P3232*100-(G3232*$AF$14))))</f>
        <v/>
      </c>
      <c r="R3232" s="79">
        <f>IF(P3232&lt;&gt;"", TODAY(), "")</f>
        <v/>
      </c>
      <c r="S3232" s="78">
        <f>IF(AND(K3232&lt;&gt;"", R3232&lt;&gt;""), R3232-K3232, "")</f>
        <v/>
      </c>
      <c r="T3232" s="78" t="n"/>
      <c r="U3232" s="92">
        <f>IF(ISBLANK(P3232),"",IF(C3232="Buy",Q3232-M3232+T3232, IF(C3232="Sell",M3232-Q3232-T3232, X)))</f>
        <v/>
      </c>
      <c r="V3232" s="81">
        <f>IF(ISBLANK(P3232),"",U3232/N3232)</f>
        <v/>
      </c>
      <c r="W3232" s="81">
        <f>IF(ISBLANK(P3232),"",IF(S3232=0,(365/0.5)*V3232,(365/S3232)*V3232))</f>
        <v/>
      </c>
      <c r="X3232" s="75" t="n"/>
      <c r="Y3232" s="77" t="n"/>
      <c r="Z3232" s="77" t="n"/>
      <c r="AA3232" s="75" t="n"/>
      <c r="AB3232" s="75" t="n"/>
      <c r="AC3232" s="6" t="n"/>
      <c r="AD3232" s="75" t="n"/>
      <c r="AE3232" s="75" t="n"/>
      <c r="AF3232" s="75" t="n"/>
    </row>
    <row r="3233" ht="15.75" customHeight="1" s="133">
      <c r="A3233" s="75" t="n"/>
      <c r="B3233" s="75" t="n"/>
      <c r="C3233" s="75" t="n"/>
      <c r="D3233" s="75" t="n"/>
      <c r="E3233" s="76" t="n"/>
      <c r="F3233" s="77" t="n"/>
      <c r="G3233" s="75" t="n"/>
      <c r="H3233" s="75">
        <f>IF(ISBLANK(E3233),"",IF(OR(D3233="Butterfly",D3233="Butterfly ",D3233="Iron Fly", D3233="Iron Fly "),LEN(E3233)-LEN(SUBSTITUTE(E3233,"/",""))+2,LEN(E3233)-LEN(SUBSTITUTE(E3233,"/",""))+1))</f>
        <v/>
      </c>
      <c r="I3233" s="78">
        <f>IF(ISBLANK(G3233),"",IF(D3233="Stock","0",Key!$A$3*H3233*G3233))</f>
        <v/>
      </c>
      <c r="J3233" s="78">
        <f>IF(ISBLANK(E3233),"",IF(ISNUMBER(SEARCH("/",E3233)), IF(LEN(E3233)-LEN(SUBSTITUTE(E3233,"/",""))=1,(RIGHT(E3233,LEN(E3233)-FIND("/",E3233)))-(LEFT(E3233,FIND("/",E3233)-1)),(MID(E3233, SEARCH("/",E3233) + 1, SEARCH("/",E3233, SEARCH("/",E3233)+1) - SEARCH("/",E3233) - 1))-(LEFT(E3233,FIND("/",E3233)-1))), "NA"))</f>
        <v/>
      </c>
      <c r="K3233" s="79">
        <f>IF(A3233&lt;&gt;"", IF(ISBLANK(L3233), TODAY(), K3233), "")</f>
        <v/>
      </c>
      <c r="L3233" s="78" t="n"/>
      <c r="M3233" s="78">
        <f>IF(ISBLANK(L3233),"",IF(D3233="Stock",IF(C3233="Buy",L3233*G3233,IF(C3233="Sell",(L3233*G3233)-I3233, X)),IF(C3233="Buy",(L3233*G3233*100)+I3233,IF(C3233="Sell",(L3233*G3233*100)-I3233, X))))</f>
        <v/>
      </c>
      <c r="N3233" s="78">
        <f>IF(ISBLANK(L3233),"",IF(AND(C3233="Sell",D3233="Stock"),M3233,IF(ISBLANK(L3233),"",IF(C3233="Buy",M3233, IF(AND(C3233="Sell",J3233="NA"),(E3233*G3233*100*0.1)+I3233, IF(C3233="Sell",(J3233-L3233)*(100*G3233)+I3233))))))</f>
        <v/>
      </c>
      <c r="O3233" s="75" t="n"/>
      <c r="P3233" s="75" t="n"/>
      <c r="Q3233" s="75">
        <f>IF(ISBLANK(P3233),"",IF(D3233="Stock",P3233*G3233,IF(P3233=0,"0",G3233*P3233*100-(G3233*$AF$14))))</f>
        <v/>
      </c>
      <c r="R3233" s="79">
        <f>IF(P3233&lt;&gt;"", TODAY(), "")</f>
        <v/>
      </c>
      <c r="S3233" s="78">
        <f>IF(AND(K3233&lt;&gt;"", R3233&lt;&gt;""), R3233-K3233, "")</f>
        <v/>
      </c>
      <c r="T3233" s="78" t="n"/>
      <c r="U3233" s="92">
        <f>IF(ISBLANK(P3233),"",IF(C3233="Buy",Q3233-M3233+T3233, IF(C3233="Sell",M3233-Q3233-T3233, X)))</f>
        <v/>
      </c>
      <c r="V3233" s="81">
        <f>IF(ISBLANK(P3233),"",U3233/N3233)</f>
        <v/>
      </c>
      <c r="W3233" s="81">
        <f>IF(ISBLANK(P3233),"",IF(S3233=0,(365/0.5)*V3233,(365/S3233)*V3233))</f>
        <v/>
      </c>
      <c r="X3233" s="75" t="n"/>
      <c r="Y3233" s="77" t="n"/>
      <c r="Z3233" s="77" t="n"/>
      <c r="AA3233" s="75" t="n"/>
      <c r="AB3233" s="75" t="n"/>
      <c r="AC3233" s="6" t="n"/>
      <c r="AD3233" s="75" t="n"/>
      <c r="AE3233" s="75" t="n"/>
      <c r="AF3233" s="75" t="n"/>
    </row>
    <row r="3234" ht="15.75" customHeight="1" s="133">
      <c r="A3234" s="75" t="n"/>
      <c r="B3234" s="75" t="n"/>
      <c r="C3234" s="75" t="n"/>
      <c r="D3234" s="75" t="n"/>
      <c r="E3234" s="76" t="n"/>
      <c r="F3234" s="77" t="n"/>
      <c r="G3234" s="75" t="n"/>
      <c r="H3234" s="75">
        <f>IF(ISBLANK(E3234),"",IF(OR(D3234="Butterfly",D3234="Butterfly ",D3234="Iron Fly", D3234="Iron Fly "),LEN(E3234)-LEN(SUBSTITUTE(E3234,"/",""))+2,LEN(E3234)-LEN(SUBSTITUTE(E3234,"/",""))+1))</f>
        <v/>
      </c>
      <c r="I3234" s="78">
        <f>IF(ISBLANK(G3234),"",IF(D3234="Stock","0",Key!$A$3*H3234*G3234))</f>
        <v/>
      </c>
      <c r="J3234" s="78">
        <f>IF(ISBLANK(E3234),"",IF(ISNUMBER(SEARCH("/",E3234)), IF(LEN(E3234)-LEN(SUBSTITUTE(E3234,"/",""))=1,(RIGHT(E3234,LEN(E3234)-FIND("/",E3234)))-(LEFT(E3234,FIND("/",E3234)-1)),(MID(E3234, SEARCH("/",E3234) + 1, SEARCH("/",E3234, SEARCH("/",E3234)+1) - SEARCH("/",E3234) - 1))-(LEFT(E3234,FIND("/",E3234)-1))), "NA"))</f>
        <v/>
      </c>
      <c r="K3234" s="79">
        <f>IF(A3234&lt;&gt;"", IF(ISBLANK(L3234), TODAY(), K3234), "")</f>
        <v/>
      </c>
      <c r="L3234" s="78" t="n"/>
      <c r="M3234" s="78">
        <f>IF(ISBLANK(L3234),"",IF(D3234="Stock",IF(C3234="Buy",L3234*G3234,IF(C3234="Sell",(L3234*G3234)-I3234, X)),IF(C3234="Buy",(L3234*G3234*100)+I3234,IF(C3234="Sell",(L3234*G3234*100)-I3234, X))))</f>
        <v/>
      </c>
      <c r="N3234" s="78">
        <f>IF(ISBLANK(L3234),"",IF(AND(C3234="Sell",D3234="Stock"),M3234,IF(ISBLANK(L3234),"",IF(C3234="Buy",M3234, IF(AND(C3234="Sell",J3234="NA"),(E3234*G3234*100*0.1)+I3234, IF(C3234="Sell",(J3234-L3234)*(100*G3234)+I3234))))))</f>
        <v/>
      </c>
      <c r="O3234" s="75" t="n"/>
      <c r="P3234" s="75" t="n"/>
      <c r="Q3234" s="75">
        <f>IF(ISBLANK(P3234),"",IF(D3234="Stock",P3234*G3234,IF(P3234=0,"0",G3234*P3234*100-(G3234*$AF$14))))</f>
        <v/>
      </c>
      <c r="R3234" s="79">
        <f>IF(P3234&lt;&gt;"", TODAY(), "")</f>
        <v/>
      </c>
      <c r="S3234" s="78">
        <f>IF(AND(K3234&lt;&gt;"", R3234&lt;&gt;""), R3234-K3234, "")</f>
        <v/>
      </c>
      <c r="T3234" s="78" t="n"/>
      <c r="U3234" s="92">
        <f>IF(ISBLANK(P3234),"",IF(C3234="Buy",Q3234-M3234+T3234, IF(C3234="Sell",M3234-Q3234-T3234, X)))</f>
        <v/>
      </c>
      <c r="V3234" s="81">
        <f>IF(ISBLANK(P3234),"",U3234/N3234)</f>
        <v/>
      </c>
      <c r="W3234" s="81">
        <f>IF(ISBLANK(P3234),"",IF(S3234=0,(365/0.5)*V3234,(365/S3234)*V3234))</f>
        <v/>
      </c>
      <c r="X3234" s="75" t="n"/>
      <c r="Y3234" s="77" t="n"/>
      <c r="Z3234" s="77" t="n"/>
      <c r="AA3234" s="75" t="n"/>
      <c r="AB3234" s="75" t="n"/>
      <c r="AC3234" s="6" t="n"/>
      <c r="AD3234" s="75" t="n"/>
      <c r="AE3234" s="75" t="n"/>
      <c r="AF3234" s="75" t="n"/>
    </row>
    <row r="3235" ht="15.75" customHeight="1" s="133">
      <c r="A3235" s="75" t="n"/>
      <c r="B3235" s="75" t="n"/>
      <c r="C3235" s="75" t="n"/>
      <c r="D3235" s="75" t="n"/>
      <c r="E3235" s="76" t="n"/>
      <c r="F3235" s="77" t="n"/>
      <c r="G3235" s="75" t="n"/>
      <c r="H3235" s="75">
        <f>IF(ISBLANK(E3235),"",IF(OR(D3235="Butterfly",D3235="Butterfly ",D3235="Iron Fly", D3235="Iron Fly "),LEN(E3235)-LEN(SUBSTITUTE(E3235,"/",""))+2,LEN(E3235)-LEN(SUBSTITUTE(E3235,"/",""))+1))</f>
        <v/>
      </c>
      <c r="I3235" s="78">
        <f>IF(ISBLANK(G3235),"",IF(D3235="Stock","0",Key!$A$3*H3235*G3235))</f>
        <v/>
      </c>
      <c r="J3235" s="78">
        <f>IF(ISBLANK(E3235),"",IF(ISNUMBER(SEARCH("/",E3235)), IF(LEN(E3235)-LEN(SUBSTITUTE(E3235,"/",""))=1,(RIGHT(E3235,LEN(E3235)-FIND("/",E3235)))-(LEFT(E3235,FIND("/",E3235)-1)),(MID(E3235, SEARCH("/",E3235) + 1, SEARCH("/",E3235, SEARCH("/",E3235)+1) - SEARCH("/",E3235) - 1))-(LEFT(E3235,FIND("/",E3235)-1))), "NA"))</f>
        <v/>
      </c>
      <c r="K3235" s="79">
        <f>IF(A3235&lt;&gt;"", IF(ISBLANK(L3235), TODAY(), K3235), "")</f>
        <v/>
      </c>
      <c r="L3235" s="78" t="n"/>
      <c r="M3235" s="78">
        <f>IF(ISBLANK(L3235),"",IF(D3235="Stock",IF(C3235="Buy",L3235*G3235,IF(C3235="Sell",(L3235*G3235)-I3235, X)),IF(C3235="Buy",(L3235*G3235*100)+I3235,IF(C3235="Sell",(L3235*G3235*100)-I3235, X))))</f>
        <v/>
      </c>
      <c r="N3235" s="78">
        <f>IF(ISBLANK(L3235),"",IF(AND(C3235="Sell",D3235="Stock"),M3235,IF(ISBLANK(L3235),"",IF(C3235="Buy",M3235, IF(AND(C3235="Sell",J3235="NA"),(E3235*G3235*100*0.1)+I3235, IF(C3235="Sell",(J3235-L3235)*(100*G3235)+I3235))))))</f>
        <v/>
      </c>
      <c r="O3235" s="75" t="n"/>
      <c r="P3235" s="75" t="n"/>
      <c r="Q3235" s="75">
        <f>IF(ISBLANK(P3235),"",IF(D3235="Stock",P3235*G3235,IF(P3235=0,"0",G3235*P3235*100-(G3235*$AF$14))))</f>
        <v/>
      </c>
      <c r="R3235" s="79">
        <f>IF(P3235&lt;&gt;"", TODAY(), "")</f>
        <v/>
      </c>
      <c r="S3235" s="78">
        <f>IF(AND(K3235&lt;&gt;"", R3235&lt;&gt;""), R3235-K3235, "")</f>
        <v/>
      </c>
      <c r="T3235" s="78" t="n"/>
      <c r="U3235" s="92">
        <f>IF(ISBLANK(P3235),"",IF(C3235="Buy",Q3235-M3235+T3235, IF(C3235="Sell",M3235-Q3235-T3235, X)))</f>
        <v/>
      </c>
      <c r="V3235" s="81">
        <f>IF(ISBLANK(P3235),"",U3235/N3235)</f>
        <v/>
      </c>
      <c r="W3235" s="81">
        <f>IF(ISBLANK(P3235),"",IF(S3235=0,(365/0.5)*V3235,(365/S3235)*V3235))</f>
        <v/>
      </c>
      <c r="X3235" s="75" t="n"/>
      <c r="Y3235" s="77" t="n"/>
      <c r="Z3235" s="77" t="n"/>
      <c r="AA3235" s="75" t="n"/>
      <c r="AB3235" s="75" t="n"/>
      <c r="AC3235" s="6" t="n"/>
      <c r="AD3235" s="75" t="n"/>
      <c r="AE3235" s="75" t="n"/>
      <c r="AF3235" s="75" t="n"/>
    </row>
    <row r="3236" ht="15.75" customHeight="1" s="133">
      <c r="A3236" s="75" t="n"/>
      <c r="B3236" s="75" t="n"/>
      <c r="C3236" s="75" t="n"/>
      <c r="D3236" s="75" t="n"/>
      <c r="E3236" s="76" t="n"/>
      <c r="F3236" s="77" t="n"/>
      <c r="G3236" s="75" t="n"/>
      <c r="H3236" s="75">
        <f>IF(ISBLANK(E3236),"",IF(OR(D3236="Butterfly",D3236="Butterfly ",D3236="Iron Fly", D3236="Iron Fly "),LEN(E3236)-LEN(SUBSTITUTE(E3236,"/",""))+2,LEN(E3236)-LEN(SUBSTITUTE(E3236,"/",""))+1))</f>
        <v/>
      </c>
      <c r="I3236" s="78">
        <f>IF(ISBLANK(G3236),"",IF(D3236="Stock","0",Key!$A$3*H3236*G3236))</f>
        <v/>
      </c>
      <c r="J3236" s="78">
        <f>IF(ISBLANK(E3236),"",IF(ISNUMBER(SEARCH("/",E3236)), IF(LEN(E3236)-LEN(SUBSTITUTE(E3236,"/",""))=1,(RIGHT(E3236,LEN(E3236)-FIND("/",E3236)))-(LEFT(E3236,FIND("/",E3236)-1)),(MID(E3236, SEARCH("/",E3236) + 1, SEARCH("/",E3236, SEARCH("/",E3236)+1) - SEARCH("/",E3236) - 1))-(LEFT(E3236,FIND("/",E3236)-1))), "NA"))</f>
        <v/>
      </c>
      <c r="K3236" s="79">
        <f>IF(A3236&lt;&gt;"", IF(ISBLANK(L3236), TODAY(), K3236), "")</f>
        <v/>
      </c>
      <c r="L3236" s="78" t="n"/>
      <c r="M3236" s="78">
        <f>IF(ISBLANK(L3236),"",IF(D3236="Stock",IF(C3236="Buy",L3236*G3236,IF(C3236="Sell",(L3236*G3236)-I3236, X)),IF(C3236="Buy",(L3236*G3236*100)+I3236,IF(C3236="Sell",(L3236*G3236*100)-I3236, X))))</f>
        <v/>
      </c>
      <c r="N3236" s="78">
        <f>IF(ISBLANK(L3236),"",IF(AND(C3236="Sell",D3236="Stock"),M3236,IF(ISBLANK(L3236),"",IF(C3236="Buy",M3236, IF(AND(C3236="Sell",J3236="NA"),(E3236*G3236*100*0.1)+I3236, IF(C3236="Sell",(J3236-L3236)*(100*G3236)+I3236))))))</f>
        <v/>
      </c>
      <c r="O3236" s="75" t="n"/>
      <c r="P3236" s="75" t="n"/>
      <c r="Q3236" s="75">
        <f>IF(ISBLANK(P3236),"",IF(D3236="Stock",P3236*G3236,IF(P3236=0,"0",G3236*P3236*100-(G3236*$AF$14))))</f>
        <v/>
      </c>
      <c r="R3236" s="79">
        <f>IF(P3236&lt;&gt;"", TODAY(), "")</f>
        <v/>
      </c>
      <c r="S3236" s="78">
        <f>IF(AND(K3236&lt;&gt;"", R3236&lt;&gt;""), R3236-K3236, "")</f>
        <v/>
      </c>
      <c r="T3236" s="78" t="n"/>
      <c r="U3236" s="92">
        <f>IF(ISBLANK(P3236),"",IF(C3236="Buy",Q3236-M3236+T3236, IF(C3236="Sell",M3236-Q3236-T3236, X)))</f>
        <v/>
      </c>
      <c r="V3236" s="81">
        <f>IF(ISBLANK(P3236),"",U3236/N3236)</f>
        <v/>
      </c>
      <c r="W3236" s="81">
        <f>IF(ISBLANK(P3236),"",IF(S3236=0,(365/0.5)*V3236,(365/S3236)*V3236))</f>
        <v/>
      </c>
      <c r="X3236" s="75" t="n"/>
      <c r="Y3236" s="77" t="n"/>
      <c r="Z3236" s="77" t="n"/>
      <c r="AA3236" s="75" t="n"/>
      <c r="AB3236" s="75" t="n"/>
      <c r="AC3236" s="6" t="n"/>
      <c r="AD3236" s="75" t="n"/>
      <c r="AE3236" s="75" t="n"/>
      <c r="AF3236" s="75" t="n"/>
    </row>
    <row r="3237" ht="15.75" customHeight="1" s="133">
      <c r="A3237" s="75" t="n"/>
      <c r="B3237" s="75" t="n"/>
      <c r="C3237" s="75" t="n"/>
      <c r="D3237" s="75" t="n"/>
      <c r="E3237" s="76" t="n"/>
      <c r="F3237" s="77" t="n"/>
      <c r="G3237" s="75" t="n"/>
      <c r="H3237" s="75">
        <f>IF(ISBLANK(E3237),"",IF(OR(D3237="Butterfly",D3237="Butterfly ",D3237="Iron Fly", D3237="Iron Fly "),LEN(E3237)-LEN(SUBSTITUTE(E3237,"/",""))+2,LEN(E3237)-LEN(SUBSTITUTE(E3237,"/",""))+1))</f>
        <v/>
      </c>
      <c r="I3237" s="78">
        <f>IF(ISBLANK(G3237),"",IF(D3237="Stock","0",Key!$A$3*H3237*G3237))</f>
        <v/>
      </c>
      <c r="J3237" s="78">
        <f>IF(ISBLANK(E3237),"",IF(ISNUMBER(SEARCH("/",E3237)), IF(LEN(E3237)-LEN(SUBSTITUTE(E3237,"/",""))=1,(RIGHT(E3237,LEN(E3237)-FIND("/",E3237)))-(LEFT(E3237,FIND("/",E3237)-1)),(MID(E3237, SEARCH("/",E3237) + 1, SEARCH("/",E3237, SEARCH("/",E3237)+1) - SEARCH("/",E3237) - 1))-(LEFT(E3237,FIND("/",E3237)-1))), "NA"))</f>
        <v/>
      </c>
      <c r="K3237" s="79">
        <f>IF(A3237&lt;&gt;"", IF(ISBLANK(L3237), TODAY(), K3237), "")</f>
        <v/>
      </c>
      <c r="L3237" s="78" t="n"/>
      <c r="M3237" s="78">
        <f>IF(ISBLANK(L3237),"",IF(D3237="Stock",IF(C3237="Buy",L3237*G3237,IF(C3237="Sell",(L3237*G3237)-I3237, X)),IF(C3237="Buy",(L3237*G3237*100)+I3237,IF(C3237="Sell",(L3237*G3237*100)-I3237, X))))</f>
        <v/>
      </c>
      <c r="N3237" s="78">
        <f>IF(ISBLANK(L3237),"",IF(AND(C3237="Sell",D3237="Stock"),M3237,IF(ISBLANK(L3237),"",IF(C3237="Buy",M3237, IF(AND(C3237="Sell",J3237="NA"),(E3237*G3237*100*0.1)+I3237, IF(C3237="Sell",(J3237-L3237)*(100*G3237)+I3237))))))</f>
        <v/>
      </c>
      <c r="O3237" s="75" t="n"/>
      <c r="P3237" s="75" t="n"/>
      <c r="Q3237" s="75">
        <f>IF(ISBLANK(P3237),"",IF(D3237="Stock",P3237*G3237,IF(P3237=0,"0",G3237*P3237*100-(G3237*$AF$14))))</f>
        <v/>
      </c>
      <c r="R3237" s="79">
        <f>IF(P3237&lt;&gt;"", TODAY(), "")</f>
        <v/>
      </c>
      <c r="S3237" s="78">
        <f>IF(AND(K3237&lt;&gt;"", R3237&lt;&gt;""), R3237-K3237, "")</f>
        <v/>
      </c>
      <c r="T3237" s="78" t="n"/>
      <c r="U3237" s="92">
        <f>IF(ISBLANK(P3237),"",IF(C3237="Buy",Q3237-M3237+T3237, IF(C3237="Sell",M3237-Q3237-T3237, X)))</f>
        <v/>
      </c>
      <c r="V3237" s="81">
        <f>IF(ISBLANK(P3237),"",U3237/N3237)</f>
        <v/>
      </c>
      <c r="W3237" s="81">
        <f>IF(ISBLANK(P3237),"",IF(S3237=0,(365/0.5)*V3237,(365/S3237)*V3237))</f>
        <v/>
      </c>
      <c r="X3237" s="75" t="n"/>
      <c r="Y3237" s="77" t="n"/>
      <c r="Z3237" s="77" t="n"/>
      <c r="AA3237" s="75" t="n"/>
      <c r="AB3237" s="75" t="n"/>
      <c r="AC3237" s="6" t="n"/>
      <c r="AD3237" s="75" t="n"/>
      <c r="AE3237" s="75" t="n"/>
      <c r="AF3237" s="75" t="n"/>
    </row>
    <row r="3238" ht="15.75" customHeight="1" s="133">
      <c r="A3238" s="75" t="n"/>
      <c r="B3238" s="75" t="n"/>
      <c r="C3238" s="75" t="n"/>
      <c r="D3238" s="75" t="n"/>
      <c r="E3238" s="76" t="n"/>
      <c r="F3238" s="77" t="n"/>
      <c r="G3238" s="75" t="n"/>
      <c r="H3238" s="75">
        <f>IF(ISBLANK(E3238),"",IF(OR(D3238="Butterfly",D3238="Butterfly ",D3238="Iron Fly", D3238="Iron Fly "),LEN(E3238)-LEN(SUBSTITUTE(E3238,"/",""))+2,LEN(E3238)-LEN(SUBSTITUTE(E3238,"/",""))+1))</f>
        <v/>
      </c>
      <c r="I3238" s="78">
        <f>IF(ISBLANK(G3238),"",IF(D3238="Stock","0",Key!$A$3*H3238*G3238))</f>
        <v/>
      </c>
      <c r="J3238" s="78">
        <f>IF(ISBLANK(E3238),"",IF(ISNUMBER(SEARCH("/",E3238)), IF(LEN(E3238)-LEN(SUBSTITUTE(E3238,"/",""))=1,(RIGHT(E3238,LEN(E3238)-FIND("/",E3238)))-(LEFT(E3238,FIND("/",E3238)-1)),(MID(E3238, SEARCH("/",E3238) + 1, SEARCH("/",E3238, SEARCH("/",E3238)+1) - SEARCH("/",E3238) - 1))-(LEFT(E3238,FIND("/",E3238)-1))), "NA"))</f>
        <v/>
      </c>
      <c r="K3238" s="79">
        <f>IF(A3238&lt;&gt;"", IF(ISBLANK(L3238), TODAY(), K3238), "")</f>
        <v/>
      </c>
      <c r="L3238" s="78" t="n"/>
      <c r="M3238" s="78">
        <f>IF(ISBLANK(L3238),"",IF(D3238="Stock",IF(C3238="Buy",L3238*G3238,IF(C3238="Sell",(L3238*G3238)-I3238, X)),IF(C3238="Buy",(L3238*G3238*100)+I3238,IF(C3238="Sell",(L3238*G3238*100)-I3238, X))))</f>
        <v/>
      </c>
      <c r="N3238" s="78">
        <f>IF(ISBLANK(L3238),"",IF(AND(C3238="Sell",D3238="Stock"),M3238,IF(ISBLANK(L3238),"",IF(C3238="Buy",M3238, IF(AND(C3238="Sell",J3238="NA"),(E3238*G3238*100*0.1)+I3238, IF(C3238="Sell",(J3238-L3238)*(100*G3238)+I3238))))))</f>
        <v/>
      </c>
      <c r="O3238" s="75" t="n"/>
      <c r="P3238" s="75" t="n"/>
      <c r="Q3238" s="75">
        <f>IF(ISBLANK(P3238),"",IF(D3238="Stock",P3238*G3238,IF(P3238=0,"0",G3238*P3238*100-(G3238*$AF$14))))</f>
        <v/>
      </c>
      <c r="R3238" s="79">
        <f>IF(P3238&lt;&gt;"", TODAY(), "")</f>
        <v/>
      </c>
      <c r="S3238" s="78">
        <f>IF(AND(K3238&lt;&gt;"", R3238&lt;&gt;""), R3238-K3238, "")</f>
        <v/>
      </c>
      <c r="T3238" s="78" t="n"/>
      <c r="U3238" s="92">
        <f>IF(ISBLANK(P3238),"",IF(C3238="Buy",Q3238-M3238+T3238, IF(C3238="Sell",M3238-Q3238-T3238, X)))</f>
        <v/>
      </c>
      <c r="V3238" s="81">
        <f>IF(ISBLANK(P3238),"",U3238/N3238)</f>
        <v/>
      </c>
      <c r="W3238" s="81">
        <f>IF(ISBLANK(P3238),"",IF(S3238=0,(365/0.5)*V3238,(365/S3238)*V3238))</f>
        <v/>
      </c>
      <c r="X3238" s="75" t="n"/>
      <c r="Y3238" s="77" t="n"/>
      <c r="Z3238" s="77" t="n"/>
      <c r="AA3238" s="75" t="n"/>
      <c r="AB3238" s="75" t="n"/>
      <c r="AC3238" s="6" t="n"/>
      <c r="AD3238" s="75" t="n"/>
      <c r="AE3238" s="75" t="n"/>
      <c r="AF3238" s="75" t="n"/>
    </row>
    <row r="3239" ht="15.75" customHeight="1" s="133">
      <c r="A3239" s="75" t="n"/>
      <c r="B3239" s="75" t="n"/>
      <c r="C3239" s="75" t="n"/>
      <c r="D3239" s="75" t="n"/>
      <c r="E3239" s="76" t="n"/>
      <c r="F3239" s="77" t="n"/>
      <c r="G3239" s="75" t="n"/>
      <c r="H3239" s="75">
        <f>IF(ISBLANK(E3239),"",IF(OR(D3239="Butterfly",D3239="Butterfly ",D3239="Iron Fly", D3239="Iron Fly "),LEN(E3239)-LEN(SUBSTITUTE(E3239,"/",""))+2,LEN(E3239)-LEN(SUBSTITUTE(E3239,"/",""))+1))</f>
        <v/>
      </c>
      <c r="I3239" s="78">
        <f>IF(ISBLANK(G3239),"",IF(D3239="Stock","0",Key!$A$3*H3239*G3239))</f>
        <v/>
      </c>
      <c r="J3239" s="78">
        <f>IF(ISBLANK(E3239),"",IF(ISNUMBER(SEARCH("/",E3239)), IF(LEN(E3239)-LEN(SUBSTITUTE(E3239,"/",""))=1,(RIGHT(E3239,LEN(E3239)-FIND("/",E3239)))-(LEFT(E3239,FIND("/",E3239)-1)),(MID(E3239, SEARCH("/",E3239) + 1, SEARCH("/",E3239, SEARCH("/",E3239)+1) - SEARCH("/",E3239) - 1))-(LEFT(E3239,FIND("/",E3239)-1))), "NA"))</f>
        <v/>
      </c>
      <c r="K3239" s="79">
        <f>IF(A3239&lt;&gt;"", IF(ISBLANK(L3239), TODAY(), K3239), "")</f>
        <v/>
      </c>
      <c r="L3239" s="78" t="n"/>
      <c r="M3239" s="78">
        <f>IF(ISBLANK(L3239),"",IF(D3239="Stock",IF(C3239="Buy",L3239*G3239,IF(C3239="Sell",(L3239*G3239)-I3239, X)),IF(C3239="Buy",(L3239*G3239*100)+I3239,IF(C3239="Sell",(L3239*G3239*100)-I3239, X))))</f>
        <v/>
      </c>
      <c r="N3239" s="78">
        <f>IF(ISBLANK(L3239),"",IF(AND(C3239="Sell",D3239="Stock"),M3239,IF(ISBLANK(L3239),"",IF(C3239="Buy",M3239, IF(AND(C3239="Sell",J3239="NA"),(E3239*G3239*100*0.1)+I3239, IF(C3239="Sell",(J3239-L3239)*(100*G3239)+I3239))))))</f>
        <v/>
      </c>
      <c r="O3239" s="75" t="n"/>
      <c r="P3239" s="75" t="n"/>
      <c r="Q3239" s="75">
        <f>IF(ISBLANK(P3239),"",IF(D3239="Stock",P3239*G3239,IF(P3239=0,"0",G3239*P3239*100-(G3239*$AF$14))))</f>
        <v/>
      </c>
      <c r="R3239" s="79">
        <f>IF(P3239&lt;&gt;"", TODAY(), "")</f>
        <v/>
      </c>
      <c r="S3239" s="78">
        <f>IF(AND(K3239&lt;&gt;"", R3239&lt;&gt;""), R3239-K3239, "")</f>
        <v/>
      </c>
      <c r="T3239" s="78" t="n"/>
      <c r="U3239" s="92">
        <f>IF(ISBLANK(P3239),"",IF(C3239="Buy",Q3239-M3239+T3239, IF(C3239="Sell",M3239-Q3239-T3239, X)))</f>
        <v/>
      </c>
      <c r="V3239" s="81">
        <f>IF(ISBLANK(P3239),"",U3239/N3239)</f>
        <v/>
      </c>
      <c r="W3239" s="81">
        <f>IF(ISBLANK(P3239),"",IF(S3239=0,(365/0.5)*V3239,(365/S3239)*V3239))</f>
        <v/>
      </c>
      <c r="X3239" s="75" t="n"/>
      <c r="Y3239" s="77" t="n"/>
      <c r="Z3239" s="77" t="n"/>
      <c r="AA3239" s="75" t="n"/>
      <c r="AB3239" s="75" t="n"/>
      <c r="AC3239" s="6" t="n"/>
      <c r="AD3239" s="75" t="n"/>
      <c r="AE3239" s="75" t="n"/>
      <c r="AF3239" s="75" t="n"/>
    </row>
    <row r="3240" ht="15.75" customHeight="1" s="133">
      <c r="A3240" s="75" t="n"/>
      <c r="B3240" s="75" t="n"/>
      <c r="C3240" s="75" t="n"/>
      <c r="D3240" s="75" t="n"/>
      <c r="E3240" s="76" t="n"/>
      <c r="F3240" s="77" t="n"/>
      <c r="G3240" s="75" t="n"/>
      <c r="H3240" s="75">
        <f>IF(ISBLANK(E3240),"",IF(OR(D3240="Butterfly",D3240="Butterfly ",D3240="Iron Fly", D3240="Iron Fly "),LEN(E3240)-LEN(SUBSTITUTE(E3240,"/",""))+2,LEN(E3240)-LEN(SUBSTITUTE(E3240,"/",""))+1))</f>
        <v/>
      </c>
      <c r="I3240" s="78">
        <f>IF(ISBLANK(G3240),"",IF(D3240="Stock","0",Key!$A$3*H3240*G3240))</f>
        <v/>
      </c>
      <c r="J3240" s="78">
        <f>IF(ISBLANK(E3240),"",IF(ISNUMBER(SEARCH("/",E3240)), IF(LEN(E3240)-LEN(SUBSTITUTE(E3240,"/",""))=1,(RIGHT(E3240,LEN(E3240)-FIND("/",E3240)))-(LEFT(E3240,FIND("/",E3240)-1)),(MID(E3240, SEARCH("/",E3240) + 1, SEARCH("/",E3240, SEARCH("/",E3240)+1) - SEARCH("/",E3240) - 1))-(LEFT(E3240,FIND("/",E3240)-1))), "NA"))</f>
        <v/>
      </c>
      <c r="K3240" s="79">
        <f>IF(A3240&lt;&gt;"", IF(ISBLANK(L3240), TODAY(), K3240), "")</f>
        <v/>
      </c>
      <c r="L3240" s="78" t="n"/>
      <c r="M3240" s="78">
        <f>IF(ISBLANK(L3240),"",IF(D3240="Stock",IF(C3240="Buy",L3240*G3240,IF(C3240="Sell",(L3240*G3240)-I3240, X)),IF(C3240="Buy",(L3240*G3240*100)+I3240,IF(C3240="Sell",(L3240*G3240*100)-I3240, X))))</f>
        <v/>
      </c>
      <c r="N3240" s="78">
        <f>IF(ISBLANK(L3240),"",IF(AND(C3240="Sell",D3240="Stock"),M3240,IF(ISBLANK(L3240),"",IF(C3240="Buy",M3240, IF(AND(C3240="Sell",J3240="NA"),(E3240*G3240*100*0.1)+I3240, IF(C3240="Sell",(J3240-L3240)*(100*G3240)+I3240))))))</f>
        <v/>
      </c>
      <c r="O3240" s="75" t="n"/>
      <c r="P3240" s="75" t="n"/>
      <c r="Q3240" s="75">
        <f>IF(ISBLANK(P3240),"",IF(D3240="Stock",P3240*G3240,IF(P3240=0,"0",G3240*P3240*100-(G3240*$AF$14))))</f>
        <v/>
      </c>
      <c r="R3240" s="79">
        <f>IF(P3240&lt;&gt;"", TODAY(), "")</f>
        <v/>
      </c>
      <c r="S3240" s="78">
        <f>IF(AND(K3240&lt;&gt;"", R3240&lt;&gt;""), R3240-K3240, "")</f>
        <v/>
      </c>
      <c r="T3240" s="78" t="n"/>
      <c r="U3240" s="92">
        <f>IF(ISBLANK(P3240),"",IF(C3240="Buy",Q3240-M3240+T3240, IF(C3240="Sell",M3240-Q3240-T3240, X)))</f>
        <v/>
      </c>
      <c r="V3240" s="81">
        <f>IF(ISBLANK(P3240),"",U3240/N3240)</f>
        <v/>
      </c>
      <c r="W3240" s="81">
        <f>IF(ISBLANK(P3240),"",IF(S3240=0,(365/0.5)*V3240,(365/S3240)*V3240))</f>
        <v/>
      </c>
      <c r="X3240" s="75" t="n"/>
      <c r="Y3240" s="77" t="n"/>
      <c r="Z3240" s="77" t="n"/>
      <c r="AA3240" s="75" t="n"/>
      <c r="AB3240" s="75" t="n"/>
      <c r="AC3240" s="6" t="n"/>
      <c r="AD3240" s="75" t="n"/>
      <c r="AE3240" s="75" t="n"/>
      <c r="AF3240" s="75" t="n"/>
    </row>
    <row r="3241" ht="15.75" customHeight="1" s="133">
      <c r="A3241" s="75" t="n"/>
      <c r="B3241" s="75" t="n"/>
      <c r="C3241" s="75" t="n"/>
      <c r="D3241" s="75" t="n"/>
      <c r="E3241" s="76" t="n"/>
      <c r="F3241" s="77" t="n"/>
      <c r="G3241" s="75" t="n"/>
      <c r="H3241" s="75">
        <f>IF(ISBLANK(E3241),"",IF(OR(D3241="Butterfly",D3241="Butterfly ",D3241="Iron Fly", D3241="Iron Fly "),LEN(E3241)-LEN(SUBSTITUTE(E3241,"/",""))+2,LEN(E3241)-LEN(SUBSTITUTE(E3241,"/",""))+1))</f>
        <v/>
      </c>
      <c r="I3241" s="78">
        <f>IF(ISBLANK(G3241),"",IF(D3241="Stock","0",Key!$A$3*H3241*G3241))</f>
        <v/>
      </c>
      <c r="J3241" s="78">
        <f>IF(ISBLANK(E3241),"",IF(ISNUMBER(SEARCH("/",E3241)), IF(LEN(E3241)-LEN(SUBSTITUTE(E3241,"/",""))=1,(RIGHT(E3241,LEN(E3241)-FIND("/",E3241)))-(LEFT(E3241,FIND("/",E3241)-1)),(MID(E3241, SEARCH("/",E3241) + 1, SEARCH("/",E3241, SEARCH("/",E3241)+1) - SEARCH("/",E3241) - 1))-(LEFT(E3241,FIND("/",E3241)-1))), "NA"))</f>
        <v/>
      </c>
      <c r="K3241" s="79">
        <f>IF(A3241&lt;&gt;"", IF(ISBLANK(L3241), TODAY(), K3241), "")</f>
        <v/>
      </c>
      <c r="L3241" s="78" t="n"/>
      <c r="M3241" s="78">
        <f>IF(ISBLANK(L3241),"",IF(D3241="Stock",IF(C3241="Buy",L3241*G3241,IF(C3241="Sell",(L3241*G3241)-I3241, X)),IF(C3241="Buy",(L3241*G3241*100)+I3241,IF(C3241="Sell",(L3241*G3241*100)-I3241, X))))</f>
        <v/>
      </c>
      <c r="N3241" s="78">
        <f>IF(ISBLANK(L3241),"",IF(AND(C3241="Sell",D3241="Stock"),M3241,IF(ISBLANK(L3241),"",IF(C3241="Buy",M3241, IF(AND(C3241="Sell",J3241="NA"),(E3241*G3241*100*0.1)+I3241, IF(C3241="Sell",(J3241-L3241)*(100*G3241)+I3241))))))</f>
        <v/>
      </c>
      <c r="O3241" s="75" t="n"/>
      <c r="P3241" s="75" t="n"/>
      <c r="Q3241" s="75">
        <f>IF(ISBLANK(P3241),"",IF(D3241="Stock",P3241*G3241,IF(P3241=0,"0",G3241*P3241*100-(G3241*$AF$14))))</f>
        <v/>
      </c>
      <c r="R3241" s="79">
        <f>IF(P3241&lt;&gt;"", TODAY(), "")</f>
        <v/>
      </c>
      <c r="S3241" s="78">
        <f>IF(AND(K3241&lt;&gt;"", R3241&lt;&gt;""), R3241-K3241, "")</f>
        <v/>
      </c>
      <c r="T3241" s="78" t="n"/>
      <c r="U3241" s="92">
        <f>IF(ISBLANK(P3241),"",IF(C3241="Buy",Q3241-M3241+T3241, IF(C3241="Sell",M3241-Q3241-T3241, X)))</f>
        <v/>
      </c>
      <c r="V3241" s="81">
        <f>IF(ISBLANK(P3241),"",U3241/N3241)</f>
        <v/>
      </c>
      <c r="W3241" s="81">
        <f>IF(ISBLANK(P3241),"",IF(S3241=0,(365/0.5)*V3241,(365/S3241)*V3241))</f>
        <v/>
      </c>
      <c r="X3241" s="75" t="n"/>
      <c r="Y3241" s="77" t="n"/>
      <c r="Z3241" s="77" t="n"/>
      <c r="AA3241" s="75" t="n"/>
      <c r="AB3241" s="75" t="n"/>
      <c r="AC3241" s="6" t="n"/>
      <c r="AD3241" s="75" t="n"/>
      <c r="AE3241" s="75" t="n"/>
      <c r="AF3241" s="75" t="n"/>
    </row>
    <row r="3242" ht="15.75" customHeight="1" s="133">
      <c r="A3242" s="75" t="n"/>
      <c r="B3242" s="75" t="n"/>
      <c r="C3242" s="75" t="n"/>
      <c r="D3242" s="75" t="n"/>
      <c r="E3242" s="76" t="n"/>
      <c r="F3242" s="77" t="n"/>
      <c r="G3242" s="75" t="n"/>
      <c r="H3242" s="75">
        <f>IF(ISBLANK(E3242),"",IF(OR(D3242="Butterfly",D3242="Butterfly ",D3242="Iron Fly", D3242="Iron Fly "),LEN(E3242)-LEN(SUBSTITUTE(E3242,"/",""))+2,LEN(E3242)-LEN(SUBSTITUTE(E3242,"/",""))+1))</f>
        <v/>
      </c>
      <c r="I3242" s="78">
        <f>IF(ISBLANK(G3242),"",IF(D3242="Stock","0",Key!$A$3*H3242*G3242))</f>
        <v/>
      </c>
      <c r="J3242" s="78">
        <f>IF(ISBLANK(E3242),"",IF(ISNUMBER(SEARCH("/",E3242)), IF(LEN(E3242)-LEN(SUBSTITUTE(E3242,"/",""))=1,(RIGHT(E3242,LEN(E3242)-FIND("/",E3242)))-(LEFT(E3242,FIND("/",E3242)-1)),(MID(E3242, SEARCH("/",E3242) + 1, SEARCH("/",E3242, SEARCH("/",E3242)+1) - SEARCH("/",E3242) - 1))-(LEFT(E3242,FIND("/",E3242)-1))), "NA"))</f>
        <v/>
      </c>
      <c r="K3242" s="79">
        <f>IF(A3242&lt;&gt;"", IF(ISBLANK(L3242), TODAY(), K3242), "")</f>
        <v/>
      </c>
      <c r="L3242" s="78" t="n"/>
      <c r="M3242" s="78">
        <f>IF(ISBLANK(L3242),"",IF(D3242="Stock",IF(C3242="Buy",L3242*G3242,IF(C3242="Sell",(L3242*G3242)-I3242, X)),IF(C3242="Buy",(L3242*G3242*100)+I3242,IF(C3242="Sell",(L3242*G3242*100)-I3242, X))))</f>
        <v/>
      </c>
      <c r="N3242" s="78">
        <f>IF(ISBLANK(L3242),"",IF(AND(C3242="Sell",D3242="Stock"),M3242,IF(ISBLANK(L3242),"",IF(C3242="Buy",M3242, IF(AND(C3242="Sell",J3242="NA"),(E3242*G3242*100*0.1)+I3242, IF(C3242="Sell",(J3242-L3242)*(100*G3242)+I3242))))))</f>
        <v/>
      </c>
      <c r="O3242" s="75" t="n"/>
      <c r="P3242" s="75" t="n"/>
      <c r="Q3242" s="75">
        <f>IF(ISBLANK(P3242),"",IF(D3242="Stock",P3242*G3242,IF(P3242=0,"0",G3242*P3242*100-(G3242*$AF$14))))</f>
        <v/>
      </c>
      <c r="R3242" s="79">
        <f>IF(P3242&lt;&gt;"", TODAY(), "")</f>
        <v/>
      </c>
      <c r="S3242" s="78">
        <f>IF(AND(K3242&lt;&gt;"", R3242&lt;&gt;""), R3242-K3242, "")</f>
        <v/>
      </c>
      <c r="T3242" s="78" t="n"/>
      <c r="U3242" s="92">
        <f>IF(ISBLANK(P3242),"",IF(C3242="Buy",Q3242-M3242+T3242, IF(C3242="Sell",M3242-Q3242-T3242, X)))</f>
        <v/>
      </c>
      <c r="V3242" s="81">
        <f>IF(ISBLANK(P3242),"",U3242/N3242)</f>
        <v/>
      </c>
      <c r="W3242" s="81">
        <f>IF(ISBLANK(P3242),"",IF(S3242=0,(365/0.5)*V3242,(365/S3242)*V3242))</f>
        <v/>
      </c>
      <c r="X3242" s="75" t="n"/>
      <c r="Y3242" s="77" t="n"/>
      <c r="Z3242" s="77" t="n"/>
      <c r="AA3242" s="75" t="n"/>
      <c r="AB3242" s="75" t="n"/>
      <c r="AC3242" s="6" t="n"/>
      <c r="AD3242" s="75" t="n"/>
      <c r="AE3242" s="75" t="n"/>
      <c r="AF3242" s="75" t="n"/>
    </row>
    <row r="3243" ht="15.75" customHeight="1" s="133">
      <c r="A3243" s="75" t="n"/>
      <c r="B3243" s="75" t="n"/>
      <c r="C3243" s="75" t="n"/>
      <c r="D3243" s="75" t="n"/>
      <c r="E3243" s="76" t="n"/>
      <c r="F3243" s="77" t="n"/>
      <c r="G3243" s="75" t="n"/>
      <c r="H3243" s="75">
        <f>IF(ISBLANK(E3243),"",IF(OR(D3243="Butterfly",D3243="Butterfly ",D3243="Iron Fly", D3243="Iron Fly "),LEN(E3243)-LEN(SUBSTITUTE(E3243,"/",""))+2,LEN(E3243)-LEN(SUBSTITUTE(E3243,"/",""))+1))</f>
        <v/>
      </c>
      <c r="I3243" s="78">
        <f>IF(ISBLANK(G3243),"",IF(D3243="Stock","0",Key!$A$3*H3243*G3243))</f>
        <v/>
      </c>
      <c r="J3243" s="78">
        <f>IF(ISBLANK(E3243),"",IF(ISNUMBER(SEARCH("/",E3243)), IF(LEN(E3243)-LEN(SUBSTITUTE(E3243,"/",""))=1,(RIGHT(E3243,LEN(E3243)-FIND("/",E3243)))-(LEFT(E3243,FIND("/",E3243)-1)),(MID(E3243, SEARCH("/",E3243) + 1, SEARCH("/",E3243, SEARCH("/",E3243)+1) - SEARCH("/",E3243) - 1))-(LEFT(E3243,FIND("/",E3243)-1))), "NA"))</f>
        <v/>
      </c>
      <c r="K3243" s="79">
        <f>IF(A3243&lt;&gt;"", IF(ISBLANK(L3243), TODAY(), K3243), "")</f>
        <v/>
      </c>
      <c r="L3243" s="78" t="n"/>
      <c r="M3243" s="78">
        <f>IF(ISBLANK(L3243),"",IF(D3243="Stock",IF(C3243="Buy",L3243*G3243,IF(C3243="Sell",(L3243*G3243)-I3243, X)),IF(C3243="Buy",(L3243*G3243*100)+I3243,IF(C3243="Sell",(L3243*G3243*100)-I3243, X))))</f>
        <v/>
      </c>
      <c r="N3243" s="78">
        <f>IF(ISBLANK(L3243),"",IF(AND(C3243="Sell",D3243="Stock"),M3243,IF(ISBLANK(L3243),"",IF(C3243="Buy",M3243, IF(AND(C3243="Sell",J3243="NA"),(E3243*G3243*100*0.1)+I3243, IF(C3243="Sell",(J3243-L3243)*(100*G3243)+I3243))))))</f>
        <v/>
      </c>
      <c r="O3243" s="75" t="n"/>
      <c r="P3243" s="75" t="n"/>
      <c r="Q3243" s="75">
        <f>IF(ISBLANK(P3243),"",IF(D3243="Stock",P3243*G3243,IF(P3243=0,"0",G3243*P3243*100-(G3243*$AF$14))))</f>
        <v/>
      </c>
      <c r="R3243" s="79">
        <f>IF(P3243&lt;&gt;"", TODAY(), "")</f>
        <v/>
      </c>
      <c r="S3243" s="78">
        <f>IF(AND(K3243&lt;&gt;"", R3243&lt;&gt;""), R3243-K3243, "")</f>
        <v/>
      </c>
      <c r="T3243" s="78" t="n"/>
      <c r="U3243" s="92">
        <f>IF(ISBLANK(P3243),"",IF(C3243="Buy",Q3243-M3243+T3243, IF(C3243="Sell",M3243-Q3243-T3243, X)))</f>
        <v/>
      </c>
      <c r="V3243" s="81">
        <f>IF(ISBLANK(P3243),"",U3243/N3243)</f>
        <v/>
      </c>
      <c r="W3243" s="81">
        <f>IF(ISBLANK(P3243),"",IF(S3243=0,(365/0.5)*V3243,(365/S3243)*V3243))</f>
        <v/>
      </c>
      <c r="X3243" s="75" t="n"/>
      <c r="Y3243" s="77" t="n"/>
      <c r="Z3243" s="77" t="n"/>
      <c r="AA3243" s="75" t="n"/>
      <c r="AB3243" s="75" t="n"/>
      <c r="AC3243" s="6" t="n"/>
      <c r="AD3243" s="75" t="n"/>
      <c r="AE3243" s="75" t="n"/>
      <c r="AF3243" s="75" t="n"/>
    </row>
    <row r="3244" ht="15.75" customHeight="1" s="133">
      <c r="A3244" s="75" t="n"/>
      <c r="B3244" s="75" t="n"/>
      <c r="C3244" s="75" t="n"/>
      <c r="D3244" s="75" t="n"/>
      <c r="E3244" s="76" t="n"/>
      <c r="F3244" s="77" t="n"/>
      <c r="G3244" s="75" t="n"/>
      <c r="H3244" s="75">
        <f>IF(ISBLANK(E3244),"",IF(OR(D3244="Butterfly",D3244="Butterfly ",D3244="Iron Fly", D3244="Iron Fly "),LEN(E3244)-LEN(SUBSTITUTE(E3244,"/",""))+2,LEN(E3244)-LEN(SUBSTITUTE(E3244,"/",""))+1))</f>
        <v/>
      </c>
      <c r="I3244" s="78">
        <f>IF(ISBLANK(G3244),"",IF(D3244="Stock","0",Key!$A$3*H3244*G3244))</f>
        <v/>
      </c>
      <c r="J3244" s="78">
        <f>IF(ISBLANK(E3244),"",IF(ISNUMBER(SEARCH("/",E3244)), IF(LEN(E3244)-LEN(SUBSTITUTE(E3244,"/",""))=1,(RIGHT(E3244,LEN(E3244)-FIND("/",E3244)))-(LEFT(E3244,FIND("/",E3244)-1)),(MID(E3244, SEARCH("/",E3244) + 1, SEARCH("/",E3244, SEARCH("/",E3244)+1) - SEARCH("/",E3244) - 1))-(LEFT(E3244,FIND("/",E3244)-1))), "NA"))</f>
        <v/>
      </c>
      <c r="K3244" s="79">
        <f>IF(A3244&lt;&gt;"", IF(ISBLANK(L3244), TODAY(), K3244), "")</f>
        <v/>
      </c>
      <c r="L3244" s="78" t="n"/>
      <c r="M3244" s="78">
        <f>IF(ISBLANK(L3244),"",IF(D3244="Stock",IF(C3244="Buy",L3244*G3244,IF(C3244="Sell",(L3244*G3244)-I3244, X)),IF(C3244="Buy",(L3244*G3244*100)+I3244,IF(C3244="Sell",(L3244*G3244*100)-I3244, X))))</f>
        <v/>
      </c>
      <c r="N3244" s="78">
        <f>IF(ISBLANK(L3244),"",IF(AND(C3244="Sell",D3244="Stock"),M3244,IF(ISBLANK(L3244),"",IF(C3244="Buy",M3244, IF(AND(C3244="Sell",J3244="NA"),(E3244*G3244*100*0.1)+I3244, IF(C3244="Sell",(J3244-L3244)*(100*G3244)+I3244))))))</f>
        <v/>
      </c>
      <c r="O3244" s="75" t="n"/>
      <c r="P3244" s="75" t="n"/>
      <c r="Q3244" s="75">
        <f>IF(ISBLANK(P3244),"",IF(D3244="Stock",P3244*G3244,IF(P3244=0,"0",G3244*P3244*100-(G3244*$AF$14))))</f>
        <v/>
      </c>
      <c r="R3244" s="79">
        <f>IF(P3244&lt;&gt;"", TODAY(), "")</f>
        <v/>
      </c>
      <c r="S3244" s="78">
        <f>IF(AND(K3244&lt;&gt;"", R3244&lt;&gt;""), R3244-K3244, "")</f>
        <v/>
      </c>
      <c r="T3244" s="78" t="n"/>
      <c r="U3244" s="92">
        <f>IF(ISBLANK(P3244),"",IF(C3244="Buy",Q3244-M3244+T3244, IF(C3244="Sell",M3244-Q3244-T3244, X)))</f>
        <v/>
      </c>
      <c r="V3244" s="81">
        <f>IF(ISBLANK(P3244),"",U3244/N3244)</f>
        <v/>
      </c>
      <c r="W3244" s="81">
        <f>IF(ISBLANK(P3244),"",IF(S3244=0,(365/0.5)*V3244,(365/S3244)*V3244))</f>
        <v/>
      </c>
      <c r="X3244" s="75" t="n"/>
      <c r="Y3244" s="77" t="n"/>
      <c r="Z3244" s="77" t="n"/>
      <c r="AA3244" s="75" t="n"/>
      <c r="AB3244" s="75" t="n"/>
      <c r="AC3244" s="6" t="n"/>
      <c r="AD3244" s="75" t="n"/>
      <c r="AE3244" s="75" t="n"/>
      <c r="AF3244" s="75" t="n"/>
    </row>
    <row r="3245" ht="15.75" customHeight="1" s="133">
      <c r="A3245" s="75" t="n"/>
      <c r="B3245" s="75" t="n"/>
      <c r="C3245" s="75" t="n"/>
      <c r="D3245" s="75" t="n"/>
      <c r="E3245" s="76" t="n"/>
      <c r="F3245" s="77" t="n"/>
      <c r="G3245" s="75" t="n"/>
      <c r="H3245" s="75">
        <f>IF(ISBLANK(E3245),"",IF(OR(D3245="Butterfly",D3245="Butterfly ",D3245="Iron Fly", D3245="Iron Fly "),LEN(E3245)-LEN(SUBSTITUTE(E3245,"/",""))+2,LEN(E3245)-LEN(SUBSTITUTE(E3245,"/",""))+1))</f>
        <v/>
      </c>
      <c r="I3245" s="78">
        <f>IF(ISBLANK(G3245),"",IF(D3245="Stock","0",Key!$A$3*H3245*G3245))</f>
        <v/>
      </c>
      <c r="J3245" s="78">
        <f>IF(ISBLANK(E3245),"",IF(ISNUMBER(SEARCH("/",E3245)), IF(LEN(E3245)-LEN(SUBSTITUTE(E3245,"/",""))=1,(RIGHT(E3245,LEN(E3245)-FIND("/",E3245)))-(LEFT(E3245,FIND("/",E3245)-1)),(MID(E3245, SEARCH("/",E3245) + 1, SEARCH("/",E3245, SEARCH("/",E3245)+1) - SEARCH("/",E3245) - 1))-(LEFT(E3245,FIND("/",E3245)-1))), "NA"))</f>
        <v/>
      </c>
      <c r="K3245" s="79">
        <f>IF(A3245&lt;&gt;"", IF(ISBLANK(L3245), TODAY(), K3245), "")</f>
        <v/>
      </c>
      <c r="L3245" s="78" t="n"/>
      <c r="M3245" s="78">
        <f>IF(ISBLANK(L3245),"",IF(D3245="Stock",IF(C3245="Buy",L3245*G3245,IF(C3245="Sell",(L3245*G3245)-I3245, X)),IF(C3245="Buy",(L3245*G3245*100)+I3245,IF(C3245="Sell",(L3245*G3245*100)-I3245, X))))</f>
        <v/>
      </c>
      <c r="N3245" s="78">
        <f>IF(ISBLANK(L3245),"",IF(AND(C3245="Sell",D3245="Stock"),M3245,IF(ISBLANK(L3245),"",IF(C3245="Buy",M3245, IF(AND(C3245="Sell",J3245="NA"),(E3245*G3245*100*0.1)+I3245, IF(C3245="Sell",(J3245-L3245)*(100*G3245)+I3245))))))</f>
        <v/>
      </c>
      <c r="O3245" s="75" t="n"/>
      <c r="P3245" s="75" t="n"/>
      <c r="Q3245" s="75">
        <f>IF(ISBLANK(P3245),"",IF(D3245="Stock",P3245*G3245,IF(P3245=0,"0",G3245*P3245*100-(G3245*$AF$14))))</f>
        <v/>
      </c>
      <c r="R3245" s="79">
        <f>IF(P3245&lt;&gt;"", TODAY(), "")</f>
        <v/>
      </c>
      <c r="S3245" s="78">
        <f>IF(AND(K3245&lt;&gt;"", R3245&lt;&gt;""), R3245-K3245, "")</f>
        <v/>
      </c>
      <c r="T3245" s="78" t="n"/>
      <c r="U3245" s="92">
        <f>IF(ISBLANK(P3245),"",IF(C3245="Buy",Q3245-M3245+T3245, IF(C3245="Sell",M3245-Q3245-T3245, X)))</f>
        <v/>
      </c>
      <c r="V3245" s="81">
        <f>IF(ISBLANK(P3245),"",U3245/N3245)</f>
        <v/>
      </c>
      <c r="W3245" s="81">
        <f>IF(ISBLANK(P3245),"",IF(S3245=0,(365/0.5)*V3245,(365/S3245)*V3245))</f>
        <v/>
      </c>
      <c r="X3245" s="75" t="n"/>
      <c r="Y3245" s="77" t="n"/>
      <c r="Z3245" s="77" t="n"/>
      <c r="AA3245" s="75" t="n"/>
      <c r="AB3245" s="75" t="n"/>
      <c r="AC3245" s="6" t="n"/>
      <c r="AD3245" s="75" t="n"/>
      <c r="AE3245" s="75" t="n"/>
      <c r="AF3245" s="75" t="n"/>
    </row>
    <row r="3246" ht="15.75" customHeight="1" s="133">
      <c r="A3246" s="75" t="n"/>
      <c r="B3246" s="75" t="n"/>
      <c r="C3246" s="75" t="n"/>
      <c r="D3246" s="75" t="n"/>
      <c r="E3246" s="76" t="n"/>
      <c r="F3246" s="77" t="n"/>
      <c r="G3246" s="75" t="n"/>
      <c r="H3246" s="75">
        <f>IF(ISBLANK(E3246),"",IF(OR(D3246="Butterfly",D3246="Butterfly ",D3246="Iron Fly", D3246="Iron Fly "),LEN(E3246)-LEN(SUBSTITUTE(E3246,"/",""))+2,LEN(E3246)-LEN(SUBSTITUTE(E3246,"/",""))+1))</f>
        <v/>
      </c>
      <c r="I3246" s="78">
        <f>IF(ISBLANK(G3246),"",IF(D3246="Stock","0",Key!$A$3*H3246*G3246))</f>
        <v/>
      </c>
      <c r="J3246" s="78">
        <f>IF(ISBLANK(E3246),"",IF(ISNUMBER(SEARCH("/",E3246)), IF(LEN(E3246)-LEN(SUBSTITUTE(E3246,"/",""))=1,(RIGHT(E3246,LEN(E3246)-FIND("/",E3246)))-(LEFT(E3246,FIND("/",E3246)-1)),(MID(E3246, SEARCH("/",E3246) + 1, SEARCH("/",E3246, SEARCH("/",E3246)+1) - SEARCH("/",E3246) - 1))-(LEFT(E3246,FIND("/",E3246)-1))), "NA"))</f>
        <v/>
      </c>
      <c r="K3246" s="79">
        <f>IF(A3246&lt;&gt;"", IF(ISBLANK(L3246), TODAY(), K3246), "")</f>
        <v/>
      </c>
      <c r="L3246" s="78" t="n"/>
      <c r="M3246" s="78">
        <f>IF(ISBLANK(L3246),"",IF(D3246="Stock",IF(C3246="Buy",L3246*G3246,IF(C3246="Sell",(L3246*G3246)-I3246, X)),IF(C3246="Buy",(L3246*G3246*100)+I3246,IF(C3246="Sell",(L3246*G3246*100)-I3246, X))))</f>
        <v/>
      </c>
      <c r="N3246" s="78">
        <f>IF(ISBLANK(L3246),"",IF(AND(C3246="Sell",D3246="Stock"),M3246,IF(ISBLANK(L3246),"",IF(C3246="Buy",M3246, IF(AND(C3246="Sell",J3246="NA"),(E3246*G3246*100*0.1)+I3246, IF(C3246="Sell",(J3246-L3246)*(100*G3246)+I3246))))))</f>
        <v/>
      </c>
      <c r="O3246" s="75" t="n"/>
      <c r="P3246" s="75" t="n"/>
      <c r="Q3246" s="75">
        <f>IF(ISBLANK(P3246),"",IF(D3246="Stock",P3246*G3246,IF(P3246=0,"0",G3246*P3246*100-(G3246*$AF$14))))</f>
        <v/>
      </c>
      <c r="R3246" s="79">
        <f>IF(P3246&lt;&gt;"", TODAY(), "")</f>
        <v/>
      </c>
      <c r="S3246" s="78">
        <f>IF(AND(K3246&lt;&gt;"", R3246&lt;&gt;""), R3246-K3246, "")</f>
        <v/>
      </c>
      <c r="T3246" s="78" t="n"/>
      <c r="U3246" s="92">
        <f>IF(ISBLANK(P3246),"",IF(C3246="Buy",Q3246-M3246+T3246, IF(C3246="Sell",M3246-Q3246-T3246, X)))</f>
        <v/>
      </c>
      <c r="V3246" s="81">
        <f>IF(ISBLANK(P3246),"",U3246/N3246)</f>
        <v/>
      </c>
      <c r="W3246" s="81">
        <f>IF(ISBLANK(P3246),"",IF(S3246=0,(365/0.5)*V3246,(365/S3246)*V3246))</f>
        <v/>
      </c>
      <c r="X3246" s="75" t="n"/>
      <c r="Y3246" s="77" t="n"/>
      <c r="Z3246" s="77" t="n"/>
      <c r="AA3246" s="75" t="n"/>
      <c r="AB3246" s="75" t="n"/>
      <c r="AC3246" s="6" t="n"/>
      <c r="AD3246" s="75" t="n"/>
      <c r="AE3246" s="75" t="n"/>
      <c r="AF3246" s="75" t="n"/>
    </row>
    <row r="3247" ht="15.75" customHeight="1" s="133">
      <c r="A3247" s="75" t="n"/>
      <c r="B3247" s="75" t="n"/>
      <c r="C3247" s="75" t="n"/>
      <c r="D3247" s="75" t="n"/>
      <c r="E3247" s="76" t="n"/>
      <c r="F3247" s="77" t="n"/>
      <c r="G3247" s="75" t="n"/>
      <c r="H3247" s="75">
        <f>IF(ISBLANK(E3247),"",IF(OR(D3247="Butterfly",D3247="Butterfly ",D3247="Iron Fly", D3247="Iron Fly "),LEN(E3247)-LEN(SUBSTITUTE(E3247,"/",""))+2,LEN(E3247)-LEN(SUBSTITUTE(E3247,"/",""))+1))</f>
        <v/>
      </c>
      <c r="I3247" s="78">
        <f>IF(ISBLANK(G3247),"",IF(D3247="Stock","0",Key!$A$3*H3247*G3247))</f>
        <v/>
      </c>
      <c r="J3247" s="78">
        <f>IF(ISBLANK(E3247),"",IF(ISNUMBER(SEARCH("/",E3247)), IF(LEN(E3247)-LEN(SUBSTITUTE(E3247,"/",""))=1,(RIGHT(E3247,LEN(E3247)-FIND("/",E3247)))-(LEFT(E3247,FIND("/",E3247)-1)),(MID(E3247, SEARCH("/",E3247) + 1, SEARCH("/",E3247, SEARCH("/",E3247)+1) - SEARCH("/",E3247) - 1))-(LEFT(E3247,FIND("/",E3247)-1))), "NA"))</f>
        <v/>
      </c>
      <c r="K3247" s="79">
        <f>IF(A3247&lt;&gt;"", IF(ISBLANK(L3247), TODAY(), K3247), "")</f>
        <v/>
      </c>
      <c r="L3247" s="78" t="n"/>
      <c r="M3247" s="78">
        <f>IF(ISBLANK(L3247),"",IF(D3247="Stock",IF(C3247="Buy",L3247*G3247,IF(C3247="Sell",(L3247*G3247)-I3247, X)),IF(C3247="Buy",(L3247*G3247*100)+I3247,IF(C3247="Sell",(L3247*G3247*100)-I3247, X))))</f>
        <v/>
      </c>
      <c r="N3247" s="78">
        <f>IF(ISBLANK(L3247),"",IF(AND(C3247="Sell",D3247="Stock"),M3247,IF(ISBLANK(L3247),"",IF(C3247="Buy",M3247, IF(AND(C3247="Sell",J3247="NA"),(E3247*G3247*100*0.1)+I3247, IF(C3247="Sell",(J3247-L3247)*(100*G3247)+I3247))))))</f>
        <v/>
      </c>
      <c r="O3247" s="75" t="n"/>
      <c r="P3247" s="75" t="n"/>
      <c r="Q3247" s="75">
        <f>IF(ISBLANK(P3247),"",IF(D3247="Stock",P3247*G3247,IF(P3247=0,"0",G3247*P3247*100-(G3247*$AF$14))))</f>
        <v/>
      </c>
      <c r="R3247" s="79">
        <f>IF(P3247&lt;&gt;"", TODAY(), "")</f>
        <v/>
      </c>
      <c r="S3247" s="78">
        <f>IF(AND(K3247&lt;&gt;"", R3247&lt;&gt;""), R3247-K3247, "")</f>
        <v/>
      </c>
      <c r="T3247" s="78" t="n"/>
      <c r="U3247" s="92">
        <f>IF(ISBLANK(P3247),"",IF(C3247="Buy",Q3247-M3247+T3247, IF(C3247="Sell",M3247-Q3247-T3247, X)))</f>
        <v/>
      </c>
      <c r="V3247" s="81">
        <f>IF(ISBLANK(P3247),"",U3247/N3247)</f>
        <v/>
      </c>
      <c r="W3247" s="81">
        <f>IF(ISBLANK(P3247),"",IF(S3247=0,(365/0.5)*V3247,(365/S3247)*V3247))</f>
        <v/>
      </c>
      <c r="X3247" s="75" t="n"/>
      <c r="Y3247" s="77" t="n"/>
      <c r="Z3247" s="77" t="n"/>
      <c r="AA3247" s="75" t="n"/>
      <c r="AB3247" s="75" t="n"/>
      <c r="AC3247" s="6" t="n"/>
      <c r="AD3247" s="75" t="n"/>
      <c r="AE3247" s="75" t="n"/>
      <c r="AF3247" s="75" t="n"/>
    </row>
    <row r="3248" ht="15.75" customHeight="1" s="133">
      <c r="A3248" s="75" t="n"/>
      <c r="B3248" s="75" t="n"/>
      <c r="C3248" s="75" t="n"/>
      <c r="D3248" s="75" t="n"/>
      <c r="E3248" s="76" t="n"/>
      <c r="F3248" s="77" t="n"/>
      <c r="G3248" s="75" t="n"/>
      <c r="H3248" s="75">
        <f>IF(ISBLANK(E3248),"",IF(OR(D3248="Butterfly",D3248="Butterfly ",D3248="Iron Fly", D3248="Iron Fly "),LEN(E3248)-LEN(SUBSTITUTE(E3248,"/",""))+2,LEN(E3248)-LEN(SUBSTITUTE(E3248,"/",""))+1))</f>
        <v/>
      </c>
      <c r="I3248" s="78">
        <f>IF(ISBLANK(G3248),"",IF(D3248="Stock","0",Key!$A$3*H3248*G3248))</f>
        <v/>
      </c>
      <c r="J3248" s="78">
        <f>IF(ISBLANK(E3248),"",IF(ISNUMBER(SEARCH("/",E3248)), IF(LEN(E3248)-LEN(SUBSTITUTE(E3248,"/",""))=1,(RIGHT(E3248,LEN(E3248)-FIND("/",E3248)))-(LEFT(E3248,FIND("/",E3248)-1)),(MID(E3248, SEARCH("/",E3248) + 1, SEARCH("/",E3248, SEARCH("/",E3248)+1) - SEARCH("/",E3248) - 1))-(LEFT(E3248,FIND("/",E3248)-1))), "NA"))</f>
        <v/>
      </c>
      <c r="K3248" s="79">
        <f>IF(A3248&lt;&gt;"", IF(ISBLANK(L3248), TODAY(), K3248), "")</f>
        <v/>
      </c>
      <c r="L3248" s="78" t="n"/>
      <c r="M3248" s="78">
        <f>IF(ISBLANK(L3248),"",IF(D3248="Stock",IF(C3248="Buy",L3248*G3248,IF(C3248="Sell",(L3248*G3248)-I3248, X)),IF(C3248="Buy",(L3248*G3248*100)+I3248,IF(C3248="Sell",(L3248*G3248*100)-I3248, X))))</f>
        <v/>
      </c>
      <c r="N3248" s="78">
        <f>IF(ISBLANK(L3248),"",IF(AND(C3248="Sell",D3248="Stock"),M3248,IF(ISBLANK(L3248),"",IF(C3248="Buy",M3248, IF(AND(C3248="Sell",J3248="NA"),(E3248*G3248*100*0.1)+I3248, IF(C3248="Sell",(J3248-L3248)*(100*G3248)+I3248))))))</f>
        <v/>
      </c>
      <c r="O3248" s="75" t="n"/>
      <c r="P3248" s="75" t="n"/>
      <c r="Q3248" s="75">
        <f>IF(ISBLANK(P3248),"",IF(D3248="Stock",P3248*G3248,IF(P3248=0,"0",G3248*P3248*100-(G3248*$AF$14))))</f>
        <v/>
      </c>
      <c r="R3248" s="79">
        <f>IF(P3248&lt;&gt;"", TODAY(), "")</f>
        <v/>
      </c>
      <c r="S3248" s="78">
        <f>IF(AND(K3248&lt;&gt;"", R3248&lt;&gt;""), R3248-K3248, "")</f>
        <v/>
      </c>
      <c r="T3248" s="78" t="n"/>
      <c r="U3248" s="92">
        <f>IF(ISBLANK(P3248),"",IF(C3248="Buy",Q3248-M3248+T3248, IF(C3248="Sell",M3248-Q3248-T3248, X)))</f>
        <v/>
      </c>
      <c r="V3248" s="81">
        <f>IF(ISBLANK(P3248),"",U3248/N3248)</f>
        <v/>
      </c>
      <c r="W3248" s="81">
        <f>IF(ISBLANK(P3248),"",IF(S3248=0,(365/0.5)*V3248,(365/S3248)*V3248))</f>
        <v/>
      </c>
      <c r="X3248" s="75" t="n"/>
      <c r="Y3248" s="77" t="n"/>
      <c r="Z3248" s="77" t="n"/>
      <c r="AA3248" s="75" t="n"/>
      <c r="AB3248" s="75" t="n"/>
      <c r="AC3248" s="6" t="n"/>
      <c r="AD3248" s="75" t="n"/>
      <c r="AE3248" s="75" t="n"/>
      <c r="AF3248" s="75" t="n"/>
    </row>
    <row r="3249" ht="15.75" customHeight="1" s="133">
      <c r="A3249" s="75" t="n"/>
      <c r="B3249" s="75" t="n"/>
      <c r="C3249" s="75" t="n"/>
      <c r="D3249" s="75" t="n"/>
      <c r="E3249" s="76" t="n"/>
      <c r="F3249" s="77" t="n"/>
      <c r="G3249" s="75" t="n"/>
      <c r="H3249" s="75">
        <f>IF(ISBLANK(E3249),"",IF(OR(D3249="Butterfly",D3249="Butterfly ",D3249="Iron Fly", D3249="Iron Fly "),LEN(E3249)-LEN(SUBSTITUTE(E3249,"/",""))+2,LEN(E3249)-LEN(SUBSTITUTE(E3249,"/",""))+1))</f>
        <v/>
      </c>
      <c r="I3249" s="78">
        <f>IF(ISBLANK(G3249),"",IF(D3249="Stock","0",Key!$A$3*H3249*G3249))</f>
        <v/>
      </c>
      <c r="J3249" s="78">
        <f>IF(ISBLANK(E3249),"",IF(ISNUMBER(SEARCH("/",E3249)), IF(LEN(E3249)-LEN(SUBSTITUTE(E3249,"/",""))=1,(RIGHT(E3249,LEN(E3249)-FIND("/",E3249)))-(LEFT(E3249,FIND("/",E3249)-1)),(MID(E3249, SEARCH("/",E3249) + 1, SEARCH("/",E3249, SEARCH("/",E3249)+1) - SEARCH("/",E3249) - 1))-(LEFT(E3249,FIND("/",E3249)-1))), "NA"))</f>
        <v/>
      </c>
      <c r="K3249" s="79">
        <f>IF(A3249&lt;&gt;"", IF(ISBLANK(L3249), TODAY(), K3249), "")</f>
        <v/>
      </c>
      <c r="L3249" s="78" t="n"/>
      <c r="M3249" s="78">
        <f>IF(ISBLANK(L3249),"",IF(D3249="Stock",IF(C3249="Buy",L3249*G3249,IF(C3249="Sell",(L3249*G3249)-I3249, X)),IF(C3249="Buy",(L3249*G3249*100)+I3249,IF(C3249="Sell",(L3249*G3249*100)-I3249, X))))</f>
        <v/>
      </c>
      <c r="N3249" s="78">
        <f>IF(ISBLANK(L3249),"",IF(AND(C3249="Sell",D3249="Stock"),M3249,IF(ISBLANK(L3249),"",IF(C3249="Buy",M3249, IF(AND(C3249="Sell",J3249="NA"),(E3249*G3249*100*0.1)+I3249, IF(C3249="Sell",(J3249-L3249)*(100*G3249)+I3249))))))</f>
        <v/>
      </c>
      <c r="O3249" s="75" t="n"/>
      <c r="P3249" s="75" t="n"/>
      <c r="Q3249" s="75">
        <f>IF(ISBLANK(P3249),"",IF(D3249="Stock",P3249*G3249,IF(P3249=0,"0",G3249*P3249*100-(G3249*$AF$14))))</f>
        <v/>
      </c>
      <c r="R3249" s="79">
        <f>IF(P3249&lt;&gt;"", TODAY(), "")</f>
        <v/>
      </c>
      <c r="S3249" s="78">
        <f>IF(AND(K3249&lt;&gt;"", R3249&lt;&gt;""), R3249-K3249, "")</f>
        <v/>
      </c>
      <c r="T3249" s="78" t="n"/>
      <c r="U3249" s="92">
        <f>IF(ISBLANK(P3249),"",IF(C3249="Buy",Q3249-M3249+T3249, IF(C3249="Sell",M3249-Q3249-T3249, X)))</f>
        <v/>
      </c>
      <c r="V3249" s="81">
        <f>IF(ISBLANK(P3249),"",U3249/N3249)</f>
        <v/>
      </c>
      <c r="W3249" s="81">
        <f>IF(ISBLANK(P3249),"",IF(S3249=0,(365/0.5)*V3249,(365/S3249)*V3249))</f>
        <v/>
      </c>
      <c r="X3249" s="75" t="n"/>
      <c r="Y3249" s="77" t="n"/>
      <c r="Z3249" s="77" t="n"/>
      <c r="AA3249" s="75" t="n"/>
      <c r="AB3249" s="75" t="n"/>
      <c r="AC3249" s="6" t="n"/>
      <c r="AD3249" s="75" t="n"/>
      <c r="AE3249" s="75" t="n"/>
      <c r="AF3249" s="75" t="n"/>
    </row>
    <row r="3250" ht="15.75" customHeight="1" s="133">
      <c r="A3250" s="75" t="n"/>
      <c r="B3250" s="75" t="n"/>
      <c r="C3250" s="75" t="n"/>
      <c r="D3250" s="75" t="n"/>
      <c r="E3250" s="76" t="n"/>
      <c r="F3250" s="77" t="n"/>
      <c r="G3250" s="75" t="n"/>
      <c r="H3250" s="75">
        <f>IF(ISBLANK(E3250),"",IF(OR(D3250="Butterfly",D3250="Butterfly ",D3250="Iron Fly", D3250="Iron Fly "),LEN(E3250)-LEN(SUBSTITUTE(E3250,"/",""))+2,LEN(E3250)-LEN(SUBSTITUTE(E3250,"/",""))+1))</f>
        <v/>
      </c>
      <c r="I3250" s="78">
        <f>IF(ISBLANK(G3250),"",IF(D3250="Stock","0",Key!$A$3*H3250*G3250))</f>
        <v/>
      </c>
      <c r="J3250" s="78">
        <f>IF(ISBLANK(E3250),"",IF(ISNUMBER(SEARCH("/",E3250)), IF(LEN(E3250)-LEN(SUBSTITUTE(E3250,"/",""))=1,(RIGHT(E3250,LEN(E3250)-FIND("/",E3250)))-(LEFT(E3250,FIND("/",E3250)-1)),(MID(E3250, SEARCH("/",E3250) + 1, SEARCH("/",E3250, SEARCH("/",E3250)+1) - SEARCH("/",E3250) - 1))-(LEFT(E3250,FIND("/",E3250)-1))), "NA"))</f>
        <v/>
      </c>
      <c r="K3250" s="79">
        <f>IF(A3250&lt;&gt;"", IF(ISBLANK(L3250), TODAY(), K3250), "")</f>
        <v/>
      </c>
      <c r="L3250" s="78" t="n"/>
      <c r="M3250" s="78">
        <f>IF(ISBLANK(L3250),"",IF(D3250="Stock",IF(C3250="Buy",L3250*G3250,IF(C3250="Sell",(L3250*G3250)-I3250, X)),IF(C3250="Buy",(L3250*G3250*100)+I3250,IF(C3250="Sell",(L3250*G3250*100)-I3250, X))))</f>
        <v/>
      </c>
      <c r="N3250" s="78">
        <f>IF(ISBLANK(L3250),"",IF(AND(C3250="Sell",D3250="Stock"),M3250,IF(ISBLANK(L3250),"",IF(C3250="Buy",M3250, IF(AND(C3250="Sell",J3250="NA"),(E3250*G3250*100*0.1)+I3250, IF(C3250="Sell",(J3250-L3250)*(100*G3250)+I3250))))))</f>
        <v/>
      </c>
      <c r="O3250" s="75" t="n"/>
      <c r="P3250" s="75" t="n"/>
      <c r="Q3250" s="75">
        <f>IF(ISBLANK(P3250),"",IF(D3250="Stock",P3250*G3250,IF(P3250=0,"0",G3250*P3250*100-(G3250*$AF$14))))</f>
        <v/>
      </c>
      <c r="R3250" s="79">
        <f>IF(P3250&lt;&gt;"", TODAY(), "")</f>
        <v/>
      </c>
      <c r="S3250" s="78">
        <f>IF(AND(K3250&lt;&gt;"", R3250&lt;&gt;""), R3250-K3250, "")</f>
        <v/>
      </c>
      <c r="T3250" s="78" t="n"/>
      <c r="U3250" s="92">
        <f>IF(ISBLANK(P3250),"",IF(C3250="Buy",Q3250-M3250+T3250, IF(C3250="Sell",M3250-Q3250-T3250, X)))</f>
        <v/>
      </c>
      <c r="V3250" s="81">
        <f>IF(ISBLANK(P3250),"",U3250/N3250)</f>
        <v/>
      </c>
      <c r="W3250" s="81">
        <f>IF(ISBLANK(P3250),"",IF(S3250=0,(365/0.5)*V3250,(365/S3250)*V3250))</f>
        <v/>
      </c>
      <c r="X3250" s="75" t="n"/>
      <c r="Y3250" s="77" t="n"/>
      <c r="Z3250" s="77" t="n"/>
      <c r="AA3250" s="75" t="n"/>
      <c r="AB3250" s="75" t="n"/>
      <c r="AC3250" s="6" t="n"/>
      <c r="AD3250" s="75" t="n"/>
      <c r="AE3250" s="75" t="n"/>
      <c r="AF3250" s="75" t="n"/>
    </row>
    <row r="3251" ht="15.75" customHeight="1" s="133">
      <c r="A3251" s="75" t="n"/>
      <c r="B3251" s="75" t="n"/>
      <c r="C3251" s="75" t="n"/>
      <c r="D3251" s="75" t="n"/>
      <c r="E3251" s="76" t="n"/>
      <c r="F3251" s="77" t="n"/>
      <c r="G3251" s="75" t="n"/>
      <c r="H3251" s="75">
        <f>IF(ISBLANK(E3251),"",IF(OR(D3251="Butterfly",D3251="Butterfly ",D3251="Iron Fly", D3251="Iron Fly "),LEN(E3251)-LEN(SUBSTITUTE(E3251,"/",""))+2,LEN(E3251)-LEN(SUBSTITUTE(E3251,"/",""))+1))</f>
        <v/>
      </c>
      <c r="I3251" s="78">
        <f>IF(ISBLANK(G3251),"",IF(D3251="Stock","0",Key!$A$3*H3251*G3251))</f>
        <v/>
      </c>
      <c r="J3251" s="78">
        <f>IF(ISBLANK(E3251),"",IF(ISNUMBER(SEARCH("/",E3251)), IF(LEN(E3251)-LEN(SUBSTITUTE(E3251,"/",""))=1,(RIGHT(E3251,LEN(E3251)-FIND("/",E3251)))-(LEFT(E3251,FIND("/",E3251)-1)),(MID(E3251, SEARCH("/",E3251) + 1, SEARCH("/",E3251, SEARCH("/",E3251)+1) - SEARCH("/",E3251) - 1))-(LEFT(E3251,FIND("/",E3251)-1))), "NA"))</f>
        <v/>
      </c>
      <c r="K3251" s="79">
        <f>IF(A3251&lt;&gt;"", IF(ISBLANK(L3251), TODAY(), K3251), "")</f>
        <v/>
      </c>
      <c r="L3251" s="78" t="n"/>
      <c r="M3251" s="78">
        <f>IF(ISBLANK(L3251),"",IF(D3251="Stock",IF(C3251="Buy",L3251*G3251,IF(C3251="Sell",(L3251*G3251)-I3251, X)),IF(C3251="Buy",(L3251*G3251*100)+I3251,IF(C3251="Sell",(L3251*G3251*100)-I3251, X))))</f>
        <v/>
      </c>
      <c r="N3251" s="78">
        <f>IF(ISBLANK(L3251),"",IF(AND(C3251="Sell",D3251="Stock"),M3251,IF(ISBLANK(L3251),"",IF(C3251="Buy",M3251, IF(AND(C3251="Sell",J3251="NA"),(E3251*G3251*100*0.1)+I3251, IF(C3251="Sell",(J3251-L3251)*(100*G3251)+I3251))))))</f>
        <v/>
      </c>
      <c r="O3251" s="75" t="n"/>
      <c r="P3251" s="75" t="n"/>
      <c r="Q3251" s="75">
        <f>IF(ISBLANK(P3251),"",IF(D3251="Stock",P3251*G3251,IF(P3251=0,"0",G3251*P3251*100-(G3251*$AF$14))))</f>
        <v/>
      </c>
      <c r="R3251" s="79">
        <f>IF(P3251&lt;&gt;"", TODAY(), "")</f>
        <v/>
      </c>
      <c r="S3251" s="78">
        <f>IF(AND(K3251&lt;&gt;"", R3251&lt;&gt;""), R3251-K3251, "")</f>
        <v/>
      </c>
      <c r="T3251" s="78" t="n"/>
      <c r="U3251" s="92">
        <f>IF(ISBLANK(P3251),"",IF(C3251="Buy",Q3251-M3251+T3251, IF(C3251="Sell",M3251-Q3251-T3251, X)))</f>
        <v/>
      </c>
      <c r="V3251" s="81">
        <f>IF(ISBLANK(P3251),"",U3251/N3251)</f>
        <v/>
      </c>
      <c r="W3251" s="81">
        <f>IF(ISBLANK(P3251),"",IF(S3251=0,(365/0.5)*V3251,(365/S3251)*V3251))</f>
        <v/>
      </c>
      <c r="X3251" s="75" t="n"/>
      <c r="Y3251" s="77" t="n"/>
      <c r="Z3251" s="77" t="n"/>
      <c r="AA3251" s="75" t="n"/>
      <c r="AB3251" s="75" t="n"/>
      <c r="AC3251" s="6" t="n"/>
      <c r="AD3251" s="75" t="n"/>
      <c r="AE3251" s="75" t="n"/>
      <c r="AF3251" s="75" t="n"/>
    </row>
    <row r="3252" ht="15.75" customHeight="1" s="133">
      <c r="A3252" s="75" t="n"/>
      <c r="B3252" s="75" t="n"/>
      <c r="C3252" s="75" t="n"/>
      <c r="D3252" s="75" t="n"/>
      <c r="E3252" s="76" t="n"/>
      <c r="F3252" s="77" t="n"/>
      <c r="G3252" s="75" t="n"/>
      <c r="H3252" s="75">
        <f>IF(ISBLANK(E3252),"",IF(OR(D3252="Butterfly",D3252="Butterfly ",D3252="Iron Fly", D3252="Iron Fly "),LEN(E3252)-LEN(SUBSTITUTE(E3252,"/",""))+2,LEN(E3252)-LEN(SUBSTITUTE(E3252,"/",""))+1))</f>
        <v/>
      </c>
      <c r="I3252" s="78">
        <f>IF(ISBLANK(G3252),"",IF(D3252="Stock","0",Key!$A$3*H3252*G3252))</f>
        <v/>
      </c>
      <c r="J3252" s="78">
        <f>IF(ISBLANK(E3252),"",IF(ISNUMBER(SEARCH("/",E3252)), IF(LEN(E3252)-LEN(SUBSTITUTE(E3252,"/",""))=1,(RIGHT(E3252,LEN(E3252)-FIND("/",E3252)))-(LEFT(E3252,FIND("/",E3252)-1)),(MID(E3252, SEARCH("/",E3252) + 1, SEARCH("/",E3252, SEARCH("/",E3252)+1) - SEARCH("/",E3252) - 1))-(LEFT(E3252,FIND("/",E3252)-1))), "NA"))</f>
        <v/>
      </c>
      <c r="K3252" s="79">
        <f>IF(A3252&lt;&gt;"", IF(ISBLANK(L3252), TODAY(), K3252), "")</f>
        <v/>
      </c>
      <c r="L3252" s="78" t="n"/>
      <c r="M3252" s="78">
        <f>IF(ISBLANK(L3252),"",IF(D3252="Stock",IF(C3252="Buy",L3252*G3252,IF(C3252="Sell",(L3252*G3252)-I3252, X)),IF(C3252="Buy",(L3252*G3252*100)+I3252,IF(C3252="Sell",(L3252*G3252*100)-I3252, X))))</f>
        <v/>
      </c>
      <c r="N3252" s="78">
        <f>IF(ISBLANK(L3252),"",IF(AND(C3252="Sell",D3252="Stock"),M3252,IF(ISBLANK(L3252),"",IF(C3252="Buy",M3252, IF(AND(C3252="Sell",J3252="NA"),(E3252*G3252*100*0.1)+I3252, IF(C3252="Sell",(J3252-L3252)*(100*G3252)+I3252))))))</f>
        <v/>
      </c>
      <c r="O3252" s="75" t="n"/>
      <c r="P3252" s="75" t="n"/>
      <c r="Q3252" s="75">
        <f>IF(ISBLANK(P3252),"",IF(D3252="Stock",P3252*G3252,IF(P3252=0,"0",G3252*P3252*100-(G3252*$AF$14))))</f>
        <v/>
      </c>
      <c r="R3252" s="79">
        <f>IF(P3252&lt;&gt;"", TODAY(), "")</f>
        <v/>
      </c>
      <c r="S3252" s="78">
        <f>IF(AND(K3252&lt;&gt;"", R3252&lt;&gt;""), R3252-K3252, "")</f>
        <v/>
      </c>
      <c r="T3252" s="78" t="n"/>
      <c r="U3252" s="92">
        <f>IF(ISBLANK(P3252),"",IF(C3252="Buy",Q3252-M3252+T3252, IF(C3252="Sell",M3252-Q3252-T3252, X)))</f>
        <v/>
      </c>
      <c r="V3252" s="81">
        <f>IF(ISBLANK(P3252),"",U3252/N3252)</f>
        <v/>
      </c>
      <c r="W3252" s="81">
        <f>IF(ISBLANK(P3252),"",IF(S3252=0,(365/0.5)*V3252,(365/S3252)*V3252))</f>
        <v/>
      </c>
      <c r="X3252" s="75" t="n"/>
      <c r="Y3252" s="77" t="n"/>
      <c r="Z3252" s="77" t="n"/>
      <c r="AA3252" s="75" t="n"/>
      <c r="AB3252" s="75" t="n"/>
      <c r="AC3252" s="6" t="n"/>
      <c r="AD3252" s="75" t="n"/>
      <c r="AE3252" s="75" t="n"/>
      <c r="AF3252" s="75" t="n"/>
    </row>
    <row r="3253" ht="15.75" customHeight="1" s="133">
      <c r="A3253" s="75" t="n"/>
      <c r="B3253" s="75" t="n"/>
      <c r="C3253" s="75" t="n"/>
      <c r="D3253" s="75" t="n"/>
      <c r="E3253" s="76" t="n"/>
      <c r="F3253" s="77" t="n"/>
      <c r="G3253" s="75" t="n"/>
      <c r="H3253" s="75">
        <f>IF(ISBLANK(E3253),"",IF(OR(D3253="Butterfly",D3253="Butterfly ",D3253="Iron Fly", D3253="Iron Fly "),LEN(E3253)-LEN(SUBSTITUTE(E3253,"/",""))+2,LEN(E3253)-LEN(SUBSTITUTE(E3253,"/",""))+1))</f>
        <v/>
      </c>
      <c r="I3253" s="78">
        <f>IF(ISBLANK(G3253),"",IF(D3253="Stock","0",Key!$A$3*H3253*G3253))</f>
        <v/>
      </c>
      <c r="J3253" s="78">
        <f>IF(ISBLANK(E3253),"",IF(ISNUMBER(SEARCH("/",E3253)), IF(LEN(E3253)-LEN(SUBSTITUTE(E3253,"/",""))=1,(RIGHT(E3253,LEN(E3253)-FIND("/",E3253)))-(LEFT(E3253,FIND("/",E3253)-1)),(MID(E3253, SEARCH("/",E3253) + 1, SEARCH("/",E3253, SEARCH("/",E3253)+1) - SEARCH("/",E3253) - 1))-(LEFT(E3253,FIND("/",E3253)-1))), "NA"))</f>
        <v/>
      </c>
      <c r="K3253" s="79">
        <f>IF(A3253&lt;&gt;"", IF(ISBLANK(L3253), TODAY(), K3253), "")</f>
        <v/>
      </c>
      <c r="L3253" s="78" t="n"/>
      <c r="M3253" s="78">
        <f>IF(ISBLANK(L3253),"",IF(D3253="Stock",IF(C3253="Buy",L3253*G3253,IF(C3253="Sell",(L3253*G3253)-I3253, X)),IF(C3253="Buy",(L3253*G3253*100)+I3253,IF(C3253="Sell",(L3253*G3253*100)-I3253, X))))</f>
        <v/>
      </c>
      <c r="N3253" s="78">
        <f>IF(ISBLANK(L3253),"",IF(AND(C3253="Sell",D3253="Stock"),M3253,IF(ISBLANK(L3253),"",IF(C3253="Buy",M3253, IF(AND(C3253="Sell",J3253="NA"),(E3253*G3253*100*0.1)+I3253, IF(C3253="Sell",(J3253-L3253)*(100*G3253)+I3253))))))</f>
        <v/>
      </c>
      <c r="O3253" s="75" t="n"/>
      <c r="P3253" s="75" t="n"/>
      <c r="Q3253" s="75">
        <f>IF(ISBLANK(P3253),"",IF(D3253="Stock",P3253*G3253,IF(P3253=0,"0",G3253*P3253*100-(G3253*$AF$14))))</f>
        <v/>
      </c>
      <c r="R3253" s="79">
        <f>IF(P3253&lt;&gt;"", TODAY(), "")</f>
        <v/>
      </c>
      <c r="S3253" s="78">
        <f>IF(AND(K3253&lt;&gt;"", R3253&lt;&gt;""), R3253-K3253, "")</f>
        <v/>
      </c>
      <c r="T3253" s="78" t="n"/>
      <c r="U3253" s="92">
        <f>IF(ISBLANK(P3253),"",IF(C3253="Buy",Q3253-M3253+T3253, IF(C3253="Sell",M3253-Q3253-T3253, X)))</f>
        <v/>
      </c>
      <c r="V3253" s="81">
        <f>IF(ISBLANK(P3253),"",U3253/N3253)</f>
        <v/>
      </c>
      <c r="W3253" s="81">
        <f>IF(ISBLANK(P3253),"",IF(S3253=0,(365/0.5)*V3253,(365/S3253)*V3253))</f>
        <v/>
      </c>
      <c r="X3253" s="75" t="n"/>
      <c r="Y3253" s="77" t="n"/>
      <c r="Z3253" s="77" t="n"/>
      <c r="AA3253" s="75" t="n"/>
      <c r="AB3253" s="75" t="n"/>
      <c r="AC3253" s="6" t="n"/>
      <c r="AD3253" s="75" t="n"/>
      <c r="AE3253" s="75" t="n"/>
      <c r="AF3253" s="75" t="n"/>
    </row>
    <row r="3254" ht="15.75" customHeight="1" s="133">
      <c r="A3254" s="75" t="n"/>
      <c r="B3254" s="75" t="n"/>
      <c r="C3254" s="75" t="n"/>
      <c r="D3254" s="75" t="n"/>
      <c r="E3254" s="76" t="n"/>
      <c r="F3254" s="77" t="n"/>
      <c r="G3254" s="75" t="n"/>
      <c r="H3254" s="75">
        <f>IF(ISBLANK(E3254),"",IF(OR(D3254="Butterfly",D3254="Butterfly ",D3254="Iron Fly", D3254="Iron Fly "),LEN(E3254)-LEN(SUBSTITUTE(E3254,"/",""))+2,LEN(E3254)-LEN(SUBSTITUTE(E3254,"/",""))+1))</f>
        <v/>
      </c>
      <c r="I3254" s="78">
        <f>IF(ISBLANK(G3254),"",IF(D3254="Stock","0",Key!$A$3*H3254*G3254))</f>
        <v/>
      </c>
      <c r="J3254" s="78">
        <f>IF(ISBLANK(E3254),"",IF(ISNUMBER(SEARCH("/",E3254)), IF(LEN(E3254)-LEN(SUBSTITUTE(E3254,"/",""))=1,(RIGHT(E3254,LEN(E3254)-FIND("/",E3254)))-(LEFT(E3254,FIND("/",E3254)-1)),(MID(E3254, SEARCH("/",E3254) + 1, SEARCH("/",E3254, SEARCH("/",E3254)+1) - SEARCH("/",E3254) - 1))-(LEFT(E3254,FIND("/",E3254)-1))), "NA"))</f>
        <v/>
      </c>
      <c r="K3254" s="79">
        <f>IF(A3254&lt;&gt;"", IF(ISBLANK(L3254), TODAY(), K3254), "")</f>
        <v/>
      </c>
      <c r="L3254" s="78" t="n"/>
      <c r="M3254" s="78">
        <f>IF(ISBLANK(L3254),"",IF(D3254="Stock",IF(C3254="Buy",L3254*G3254,IF(C3254="Sell",(L3254*G3254)-I3254, X)),IF(C3254="Buy",(L3254*G3254*100)+I3254,IF(C3254="Sell",(L3254*G3254*100)-I3254, X))))</f>
        <v/>
      </c>
      <c r="N3254" s="78">
        <f>IF(ISBLANK(L3254),"",IF(AND(C3254="Sell",D3254="Stock"),M3254,IF(ISBLANK(L3254),"",IF(C3254="Buy",M3254, IF(AND(C3254="Sell",J3254="NA"),(E3254*G3254*100*0.1)+I3254, IF(C3254="Sell",(J3254-L3254)*(100*G3254)+I3254))))))</f>
        <v/>
      </c>
      <c r="O3254" s="75" t="n"/>
      <c r="P3254" s="75" t="n"/>
      <c r="Q3254" s="75">
        <f>IF(ISBLANK(P3254),"",IF(D3254="Stock",P3254*G3254,IF(P3254=0,"0",G3254*P3254*100-(G3254*$AF$14))))</f>
        <v/>
      </c>
      <c r="R3254" s="79">
        <f>IF(P3254&lt;&gt;"", TODAY(), "")</f>
        <v/>
      </c>
      <c r="S3254" s="78">
        <f>IF(AND(K3254&lt;&gt;"", R3254&lt;&gt;""), R3254-K3254, "")</f>
        <v/>
      </c>
      <c r="T3254" s="78" t="n"/>
      <c r="U3254" s="92">
        <f>IF(ISBLANK(P3254),"",IF(C3254="Buy",Q3254-M3254+T3254, IF(C3254="Sell",M3254-Q3254-T3254, X)))</f>
        <v/>
      </c>
      <c r="V3254" s="81">
        <f>IF(ISBLANK(P3254),"",U3254/N3254)</f>
        <v/>
      </c>
      <c r="W3254" s="81">
        <f>IF(ISBLANK(P3254),"",IF(S3254=0,(365/0.5)*V3254,(365/S3254)*V3254))</f>
        <v/>
      </c>
      <c r="X3254" s="75" t="n"/>
      <c r="Y3254" s="77" t="n"/>
      <c r="Z3254" s="77" t="n"/>
      <c r="AA3254" s="75" t="n"/>
      <c r="AB3254" s="75" t="n"/>
      <c r="AC3254" s="6" t="n"/>
      <c r="AD3254" s="75" t="n"/>
      <c r="AE3254" s="75" t="n"/>
      <c r="AF3254" s="75" t="n"/>
    </row>
    <row r="3255" ht="15.75" customHeight="1" s="133">
      <c r="A3255" s="75" t="n"/>
      <c r="B3255" s="75" t="n"/>
      <c r="C3255" s="75" t="n"/>
      <c r="D3255" s="75" t="n"/>
      <c r="E3255" s="76" t="n"/>
      <c r="F3255" s="77" t="n"/>
      <c r="G3255" s="75" t="n"/>
      <c r="H3255" s="75">
        <f>IF(ISBLANK(E3255),"",IF(OR(D3255="Butterfly",D3255="Butterfly ",D3255="Iron Fly", D3255="Iron Fly "),LEN(E3255)-LEN(SUBSTITUTE(E3255,"/",""))+2,LEN(E3255)-LEN(SUBSTITUTE(E3255,"/",""))+1))</f>
        <v/>
      </c>
      <c r="I3255" s="78">
        <f>IF(ISBLANK(G3255),"",IF(D3255="Stock","0",Key!$A$3*H3255*G3255))</f>
        <v/>
      </c>
      <c r="J3255" s="78">
        <f>IF(ISBLANK(E3255),"",IF(ISNUMBER(SEARCH("/",E3255)), IF(LEN(E3255)-LEN(SUBSTITUTE(E3255,"/",""))=1,(RIGHT(E3255,LEN(E3255)-FIND("/",E3255)))-(LEFT(E3255,FIND("/",E3255)-1)),(MID(E3255, SEARCH("/",E3255) + 1, SEARCH("/",E3255, SEARCH("/",E3255)+1) - SEARCH("/",E3255) - 1))-(LEFT(E3255,FIND("/",E3255)-1))), "NA"))</f>
        <v/>
      </c>
      <c r="K3255" s="79">
        <f>IF(A3255&lt;&gt;"", IF(ISBLANK(L3255), TODAY(), K3255), "")</f>
        <v/>
      </c>
      <c r="L3255" s="78" t="n"/>
      <c r="M3255" s="78">
        <f>IF(ISBLANK(L3255),"",IF(D3255="Stock",IF(C3255="Buy",L3255*G3255,IF(C3255="Sell",(L3255*G3255)-I3255, X)),IF(C3255="Buy",(L3255*G3255*100)+I3255,IF(C3255="Sell",(L3255*G3255*100)-I3255, X))))</f>
        <v/>
      </c>
      <c r="N3255" s="78">
        <f>IF(ISBLANK(L3255),"",IF(AND(C3255="Sell",D3255="Stock"),M3255,IF(ISBLANK(L3255),"",IF(C3255="Buy",M3255, IF(AND(C3255="Sell",J3255="NA"),(E3255*G3255*100*0.1)+I3255, IF(C3255="Sell",(J3255-L3255)*(100*G3255)+I3255))))))</f>
        <v/>
      </c>
      <c r="O3255" s="75" t="n"/>
      <c r="P3255" s="75" t="n"/>
      <c r="Q3255" s="75">
        <f>IF(ISBLANK(P3255),"",IF(D3255="Stock",P3255*G3255,IF(P3255=0,"0",G3255*P3255*100-(G3255*$AF$14))))</f>
        <v/>
      </c>
      <c r="R3255" s="79">
        <f>IF(P3255&lt;&gt;"", TODAY(), "")</f>
        <v/>
      </c>
      <c r="S3255" s="78">
        <f>IF(AND(K3255&lt;&gt;"", R3255&lt;&gt;""), R3255-K3255, "")</f>
        <v/>
      </c>
      <c r="T3255" s="78" t="n"/>
      <c r="U3255" s="92">
        <f>IF(ISBLANK(P3255),"",IF(C3255="Buy",Q3255-M3255+T3255, IF(C3255="Sell",M3255-Q3255-T3255, X)))</f>
        <v/>
      </c>
      <c r="V3255" s="81">
        <f>IF(ISBLANK(P3255),"",U3255/N3255)</f>
        <v/>
      </c>
      <c r="W3255" s="81">
        <f>IF(ISBLANK(P3255),"",IF(S3255=0,(365/0.5)*V3255,(365/S3255)*V3255))</f>
        <v/>
      </c>
      <c r="X3255" s="75" t="n"/>
      <c r="Y3255" s="77" t="n"/>
      <c r="Z3255" s="77" t="n"/>
      <c r="AA3255" s="75" t="n"/>
      <c r="AB3255" s="75" t="n"/>
      <c r="AC3255" s="6" t="n"/>
      <c r="AD3255" s="75" t="n"/>
      <c r="AE3255" s="75" t="n"/>
      <c r="AF3255" s="75" t="n"/>
    </row>
    <row r="3256" ht="15.75" customHeight="1" s="133">
      <c r="A3256" s="75" t="n"/>
      <c r="B3256" s="75" t="n"/>
      <c r="C3256" s="75" t="n"/>
      <c r="D3256" s="75" t="n"/>
      <c r="E3256" s="76" t="n"/>
      <c r="F3256" s="77" t="n"/>
      <c r="G3256" s="75" t="n"/>
      <c r="H3256" s="75">
        <f>IF(ISBLANK(E3256),"",IF(OR(D3256="Butterfly",D3256="Butterfly ",D3256="Iron Fly", D3256="Iron Fly "),LEN(E3256)-LEN(SUBSTITUTE(E3256,"/",""))+2,LEN(E3256)-LEN(SUBSTITUTE(E3256,"/",""))+1))</f>
        <v/>
      </c>
      <c r="I3256" s="78">
        <f>IF(ISBLANK(G3256),"",IF(D3256="Stock","0",Key!$A$3*H3256*G3256))</f>
        <v/>
      </c>
      <c r="J3256" s="78">
        <f>IF(ISBLANK(E3256),"",IF(ISNUMBER(SEARCH("/",E3256)), IF(LEN(E3256)-LEN(SUBSTITUTE(E3256,"/",""))=1,(RIGHT(E3256,LEN(E3256)-FIND("/",E3256)))-(LEFT(E3256,FIND("/",E3256)-1)),(MID(E3256, SEARCH("/",E3256) + 1, SEARCH("/",E3256, SEARCH("/",E3256)+1) - SEARCH("/",E3256) - 1))-(LEFT(E3256,FIND("/",E3256)-1))), "NA"))</f>
        <v/>
      </c>
      <c r="K3256" s="79">
        <f>IF(A3256&lt;&gt;"", IF(ISBLANK(L3256), TODAY(), K3256), "")</f>
        <v/>
      </c>
      <c r="L3256" s="78" t="n"/>
      <c r="M3256" s="78">
        <f>IF(ISBLANK(L3256),"",IF(D3256="Stock",IF(C3256="Buy",L3256*G3256,IF(C3256="Sell",(L3256*G3256)-I3256, X)),IF(C3256="Buy",(L3256*G3256*100)+I3256,IF(C3256="Sell",(L3256*G3256*100)-I3256, X))))</f>
        <v/>
      </c>
      <c r="N3256" s="78">
        <f>IF(ISBLANK(L3256),"",IF(AND(C3256="Sell",D3256="Stock"),M3256,IF(ISBLANK(L3256),"",IF(C3256="Buy",M3256, IF(AND(C3256="Sell",J3256="NA"),(E3256*G3256*100*0.1)+I3256, IF(C3256="Sell",(J3256-L3256)*(100*G3256)+I3256))))))</f>
        <v/>
      </c>
      <c r="O3256" s="75" t="n"/>
      <c r="P3256" s="75" t="n"/>
      <c r="Q3256" s="75">
        <f>IF(ISBLANK(P3256),"",IF(D3256="Stock",P3256*G3256,IF(P3256=0,"0",G3256*P3256*100-(G3256*$AF$14))))</f>
        <v/>
      </c>
      <c r="R3256" s="79">
        <f>IF(P3256&lt;&gt;"", TODAY(), "")</f>
        <v/>
      </c>
      <c r="S3256" s="78">
        <f>IF(AND(K3256&lt;&gt;"", R3256&lt;&gt;""), R3256-K3256, "")</f>
        <v/>
      </c>
      <c r="T3256" s="78" t="n"/>
      <c r="U3256" s="92">
        <f>IF(ISBLANK(P3256),"",IF(C3256="Buy",Q3256-M3256+T3256, IF(C3256="Sell",M3256-Q3256-T3256, X)))</f>
        <v/>
      </c>
      <c r="V3256" s="81">
        <f>IF(ISBLANK(P3256),"",U3256/N3256)</f>
        <v/>
      </c>
      <c r="W3256" s="81">
        <f>IF(ISBLANK(P3256),"",IF(S3256=0,(365/0.5)*V3256,(365/S3256)*V3256))</f>
        <v/>
      </c>
      <c r="X3256" s="75" t="n"/>
      <c r="Y3256" s="77" t="n"/>
      <c r="Z3256" s="77" t="n"/>
      <c r="AA3256" s="75" t="n"/>
      <c r="AB3256" s="75" t="n"/>
      <c r="AC3256" s="6" t="n"/>
      <c r="AD3256" s="75" t="n"/>
      <c r="AE3256" s="75" t="n"/>
      <c r="AF3256" s="75" t="n"/>
    </row>
    <row r="3257" ht="15.75" customHeight="1" s="133">
      <c r="A3257" s="75" t="n"/>
      <c r="B3257" s="75" t="n"/>
      <c r="C3257" s="75" t="n"/>
      <c r="D3257" s="75" t="n"/>
      <c r="E3257" s="76" t="n"/>
      <c r="F3257" s="77" t="n"/>
      <c r="G3257" s="75" t="n"/>
      <c r="H3257" s="75">
        <f>IF(ISBLANK(E3257),"",IF(OR(D3257="Butterfly",D3257="Butterfly ",D3257="Iron Fly", D3257="Iron Fly "),LEN(E3257)-LEN(SUBSTITUTE(E3257,"/",""))+2,LEN(E3257)-LEN(SUBSTITUTE(E3257,"/",""))+1))</f>
        <v/>
      </c>
      <c r="I3257" s="78">
        <f>IF(ISBLANK(G3257),"",IF(D3257="Stock","0",Key!$A$3*H3257*G3257))</f>
        <v/>
      </c>
      <c r="J3257" s="78">
        <f>IF(ISBLANK(E3257),"",IF(ISNUMBER(SEARCH("/",E3257)), IF(LEN(E3257)-LEN(SUBSTITUTE(E3257,"/",""))=1,(RIGHT(E3257,LEN(E3257)-FIND("/",E3257)))-(LEFT(E3257,FIND("/",E3257)-1)),(MID(E3257, SEARCH("/",E3257) + 1, SEARCH("/",E3257, SEARCH("/",E3257)+1) - SEARCH("/",E3257) - 1))-(LEFT(E3257,FIND("/",E3257)-1))), "NA"))</f>
        <v/>
      </c>
      <c r="K3257" s="79">
        <f>IF(A3257&lt;&gt;"", IF(ISBLANK(L3257), TODAY(), K3257), "")</f>
        <v/>
      </c>
      <c r="L3257" s="78" t="n"/>
      <c r="M3257" s="78">
        <f>IF(ISBLANK(L3257),"",IF(D3257="Stock",IF(C3257="Buy",L3257*G3257,IF(C3257="Sell",(L3257*G3257)-I3257, X)),IF(C3257="Buy",(L3257*G3257*100)+I3257,IF(C3257="Sell",(L3257*G3257*100)-I3257, X))))</f>
        <v/>
      </c>
      <c r="N3257" s="78">
        <f>IF(ISBLANK(L3257),"",IF(AND(C3257="Sell",D3257="Stock"),M3257,IF(ISBLANK(L3257),"",IF(C3257="Buy",M3257, IF(AND(C3257="Sell",J3257="NA"),(E3257*G3257*100*0.1)+I3257, IF(C3257="Sell",(J3257-L3257)*(100*G3257)+I3257))))))</f>
        <v/>
      </c>
      <c r="O3257" s="75" t="n"/>
      <c r="P3257" s="75" t="n"/>
      <c r="Q3257" s="75">
        <f>IF(ISBLANK(P3257),"",IF(D3257="Stock",P3257*G3257,IF(P3257=0,"0",G3257*P3257*100-(G3257*$AF$14))))</f>
        <v/>
      </c>
      <c r="R3257" s="79">
        <f>IF(P3257&lt;&gt;"", TODAY(), "")</f>
        <v/>
      </c>
      <c r="S3257" s="78">
        <f>IF(AND(K3257&lt;&gt;"", R3257&lt;&gt;""), R3257-K3257, "")</f>
        <v/>
      </c>
      <c r="T3257" s="78" t="n"/>
      <c r="U3257" s="92">
        <f>IF(ISBLANK(P3257),"",IF(C3257="Buy",Q3257-M3257+T3257, IF(C3257="Sell",M3257-Q3257-T3257, X)))</f>
        <v/>
      </c>
      <c r="V3257" s="81">
        <f>IF(ISBLANK(P3257),"",U3257/N3257)</f>
        <v/>
      </c>
      <c r="W3257" s="81">
        <f>IF(ISBLANK(P3257),"",IF(S3257=0,(365/0.5)*V3257,(365/S3257)*V3257))</f>
        <v/>
      </c>
      <c r="X3257" s="75" t="n"/>
      <c r="Y3257" s="77" t="n"/>
      <c r="Z3257" s="77" t="n"/>
      <c r="AA3257" s="75" t="n"/>
      <c r="AB3257" s="75" t="n"/>
      <c r="AC3257" s="6" t="n"/>
      <c r="AD3257" s="75" t="n"/>
      <c r="AE3257" s="75" t="n"/>
      <c r="AF3257" s="75" t="n"/>
    </row>
    <row r="3258" ht="15.75" customHeight="1" s="133">
      <c r="A3258" s="75" t="n"/>
      <c r="B3258" s="75" t="n"/>
      <c r="C3258" s="75" t="n"/>
      <c r="D3258" s="75" t="n"/>
      <c r="E3258" s="76" t="n"/>
      <c r="F3258" s="77" t="n"/>
      <c r="G3258" s="75" t="n"/>
      <c r="H3258" s="75">
        <f>IF(ISBLANK(E3258),"",IF(OR(D3258="Butterfly",D3258="Butterfly ",D3258="Iron Fly", D3258="Iron Fly "),LEN(E3258)-LEN(SUBSTITUTE(E3258,"/",""))+2,LEN(E3258)-LEN(SUBSTITUTE(E3258,"/",""))+1))</f>
        <v/>
      </c>
      <c r="I3258" s="78">
        <f>IF(ISBLANK(G3258),"",IF(D3258="Stock","0",Key!$A$3*H3258*G3258))</f>
        <v/>
      </c>
      <c r="J3258" s="78">
        <f>IF(ISBLANK(E3258),"",IF(ISNUMBER(SEARCH("/",E3258)), IF(LEN(E3258)-LEN(SUBSTITUTE(E3258,"/",""))=1,(RIGHT(E3258,LEN(E3258)-FIND("/",E3258)))-(LEFT(E3258,FIND("/",E3258)-1)),(MID(E3258, SEARCH("/",E3258) + 1, SEARCH("/",E3258, SEARCH("/",E3258)+1) - SEARCH("/",E3258) - 1))-(LEFT(E3258,FIND("/",E3258)-1))), "NA"))</f>
        <v/>
      </c>
      <c r="K3258" s="79">
        <f>IF(A3258&lt;&gt;"", IF(ISBLANK(L3258), TODAY(), K3258), "")</f>
        <v/>
      </c>
      <c r="L3258" s="78" t="n"/>
      <c r="M3258" s="78">
        <f>IF(ISBLANK(L3258),"",IF(D3258="Stock",IF(C3258="Buy",L3258*G3258,IF(C3258="Sell",(L3258*G3258)-I3258, X)),IF(C3258="Buy",(L3258*G3258*100)+I3258,IF(C3258="Sell",(L3258*G3258*100)-I3258, X))))</f>
        <v/>
      </c>
      <c r="N3258" s="78">
        <f>IF(ISBLANK(L3258),"",IF(AND(C3258="Sell",D3258="Stock"),M3258,IF(ISBLANK(L3258),"",IF(C3258="Buy",M3258, IF(AND(C3258="Sell",J3258="NA"),(E3258*G3258*100*0.1)+I3258, IF(C3258="Sell",(J3258-L3258)*(100*G3258)+I3258))))))</f>
        <v/>
      </c>
      <c r="O3258" s="75" t="n"/>
      <c r="P3258" s="75" t="n"/>
      <c r="Q3258" s="75">
        <f>IF(ISBLANK(P3258),"",IF(D3258="Stock",P3258*G3258,IF(P3258=0,"0",G3258*P3258*100-(G3258*$AF$14))))</f>
        <v/>
      </c>
      <c r="R3258" s="79">
        <f>IF(P3258&lt;&gt;"", TODAY(), "")</f>
        <v/>
      </c>
      <c r="S3258" s="78">
        <f>IF(AND(K3258&lt;&gt;"", R3258&lt;&gt;""), R3258-K3258, "")</f>
        <v/>
      </c>
      <c r="T3258" s="78" t="n"/>
      <c r="U3258" s="92">
        <f>IF(ISBLANK(P3258),"",IF(C3258="Buy",Q3258-M3258+T3258, IF(C3258="Sell",M3258-Q3258-T3258, X)))</f>
        <v/>
      </c>
      <c r="V3258" s="81">
        <f>IF(ISBLANK(P3258),"",U3258/N3258)</f>
        <v/>
      </c>
      <c r="W3258" s="81">
        <f>IF(ISBLANK(P3258),"",IF(S3258=0,(365/0.5)*V3258,(365/S3258)*V3258))</f>
        <v/>
      </c>
      <c r="X3258" s="75" t="n"/>
      <c r="Y3258" s="77" t="n"/>
      <c r="Z3258" s="77" t="n"/>
      <c r="AA3258" s="75" t="n"/>
      <c r="AB3258" s="75" t="n"/>
      <c r="AC3258" s="6" t="n"/>
      <c r="AD3258" s="75" t="n"/>
      <c r="AE3258" s="75" t="n"/>
      <c r="AF3258" s="75" t="n"/>
    </row>
    <row r="3259" ht="15.75" customHeight="1" s="133">
      <c r="A3259" s="75" t="n"/>
      <c r="B3259" s="75" t="n"/>
      <c r="C3259" s="75" t="n"/>
      <c r="D3259" s="75" t="n"/>
      <c r="E3259" s="76" t="n"/>
      <c r="F3259" s="77" t="n"/>
      <c r="G3259" s="75" t="n"/>
      <c r="H3259" s="75">
        <f>IF(ISBLANK(E3259),"",IF(OR(D3259="Butterfly",D3259="Butterfly ",D3259="Iron Fly", D3259="Iron Fly "),LEN(E3259)-LEN(SUBSTITUTE(E3259,"/",""))+2,LEN(E3259)-LEN(SUBSTITUTE(E3259,"/",""))+1))</f>
        <v/>
      </c>
      <c r="I3259" s="78">
        <f>IF(ISBLANK(G3259),"",IF(D3259="Stock","0",Key!$A$3*H3259*G3259))</f>
        <v/>
      </c>
      <c r="J3259" s="78">
        <f>IF(ISBLANK(E3259),"",IF(ISNUMBER(SEARCH("/",E3259)), IF(LEN(E3259)-LEN(SUBSTITUTE(E3259,"/",""))=1,(RIGHT(E3259,LEN(E3259)-FIND("/",E3259)))-(LEFT(E3259,FIND("/",E3259)-1)),(MID(E3259, SEARCH("/",E3259) + 1, SEARCH("/",E3259, SEARCH("/",E3259)+1) - SEARCH("/",E3259) - 1))-(LEFT(E3259,FIND("/",E3259)-1))), "NA"))</f>
        <v/>
      </c>
      <c r="K3259" s="79">
        <f>IF(A3259&lt;&gt;"", IF(ISBLANK(L3259), TODAY(), K3259), "")</f>
        <v/>
      </c>
      <c r="L3259" s="78" t="n"/>
      <c r="M3259" s="78">
        <f>IF(ISBLANK(L3259),"",IF(D3259="Stock",IF(C3259="Buy",L3259*G3259,IF(C3259="Sell",(L3259*G3259)-I3259, X)),IF(C3259="Buy",(L3259*G3259*100)+I3259,IF(C3259="Sell",(L3259*G3259*100)-I3259, X))))</f>
        <v/>
      </c>
      <c r="N3259" s="78">
        <f>IF(ISBLANK(L3259),"",IF(AND(C3259="Sell",D3259="Stock"),M3259,IF(ISBLANK(L3259),"",IF(C3259="Buy",M3259, IF(AND(C3259="Sell",J3259="NA"),(E3259*G3259*100*0.1)+I3259, IF(C3259="Sell",(J3259-L3259)*(100*G3259)+I3259))))))</f>
        <v/>
      </c>
      <c r="O3259" s="75" t="n"/>
      <c r="P3259" s="75" t="n"/>
      <c r="Q3259" s="75">
        <f>IF(ISBLANK(P3259),"",IF(D3259="Stock",P3259*G3259,IF(P3259=0,"0",G3259*P3259*100-(G3259*$AF$14))))</f>
        <v/>
      </c>
      <c r="R3259" s="79">
        <f>IF(P3259&lt;&gt;"", TODAY(), "")</f>
        <v/>
      </c>
      <c r="S3259" s="78">
        <f>IF(AND(K3259&lt;&gt;"", R3259&lt;&gt;""), R3259-K3259, "")</f>
        <v/>
      </c>
      <c r="T3259" s="78" t="n"/>
      <c r="U3259" s="92">
        <f>IF(ISBLANK(P3259),"",IF(C3259="Buy",Q3259-M3259+T3259, IF(C3259="Sell",M3259-Q3259-T3259, X)))</f>
        <v/>
      </c>
      <c r="V3259" s="81">
        <f>IF(ISBLANK(P3259),"",U3259/N3259)</f>
        <v/>
      </c>
      <c r="W3259" s="81">
        <f>IF(ISBLANK(P3259),"",IF(S3259=0,(365/0.5)*V3259,(365/S3259)*V3259))</f>
        <v/>
      </c>
      <c r="X3259" s="75" t="n"/>
      <c r="Y3259" s="77" t="n"/>
      <c r="Z3259" s="77" t="n"/>
      <c r="AA3259" s="75" t="n"/>
      <c r="AB3259" s="75" t="n"/>
      <c r="AC3259" s="6" t="n"/>
      <c r="AD3259" s="75" t="n"/>
      <c r="AE3259" s="75" t="n"/>
      <c r="AF3259" s="75" t="n"/>
    </row>
    <row r="3260" ht="15.75" customHeight="1" s="133">
      <c r="A3260" s="75" t="n"/>
      <c r="B3260" s="75" t="n"/>
      <c r="C3260" s="75" t="n"/>
      <c r="D3260" s="75" t="n"/>
      <c r="E3260" s="76" t="n"/>
      <c r="F3260" s="77" t="n"/>
      <c r="G3260" s="75" t="n"/>
      <c r="H3260" s="75">
        <f>IF(ISBLANK(E3260),"",IF(OR(D3260="Butterfly",D3260="Butterfly ",D3260="Iron Fly", D3260="Iron Fly "),LEN(E3260)-LEN(SUBSTITUTE(E3260,"/",""))+2,LEN(E3260)-LEN(SUBSTITUTE(E3260,"/",""))+1))</f>
        <v/>
      </c>
      <c r="I3260" s="78">
        <f>IF(ISBLANK(G3260),"",IF(D3260="Stock","0",Key!$A$3*H3260*G3260))</f>
        <v/>
      </c>
      <c r="J3260" s="78">
        <f>IF(ISBLANK(E3260),"",IF(ISNUMBER(SEARCH("/",E3260)), IF(LEN(E3260)-LEN(SUBSTITUTE(E3260,"/",""))=1,(RIGHT(E3260,LEN(E3260)-FIND("/",E3260)))-(LEFT(E3260,FIND("/",E3260)-1)),(MID(E3260, SEARCH("/",E3260) + 1, SEARCH("/",E3260, SEARCH("/",E3260)+1) - SEARCH("/",E3260) - 1))-(LEFT(E3260,FIND("/",E3260)-1))), "NA"))</f>
        <v/>
      </c>
      <c r="K3260" s="79">
        <f>IF(A3260&lt;&gt;"", IF(ISBLANK(L3260), TODAY(), K3260), "")</f>
        <v/>
      </c>
      <c r="L3260" s="78" t="n"/>
      <c r="M3260" s="78">
        <f>IF(ISBLANK(L3260),"",IF(D3260="Stock",IF(C3260="Buy",L3260*G3260,IF(C3260="Sell",(L3260*G3260)-I3260, X)),IF(C3260="Buy",(L3260*G3260*100)+I3260,IF(C3260="Sell",(L3260*G3260*100)-I3260, X))))</f>
        <v/>
      </c>
      <c r="N3260" s="78">
        <f>IF(ISBLANK(L3260),"",IF(AND(C3260="Sell",D3260="Stock"),M3260,IF(ISBLANK(L3260),"",IF(C3260="Buy",M3260, IF(AND(C3260="Sell",J3260="NA"),(E3260*G3260*100*0.1)+I3260, IF(C3260="Sell",(J3260-L3260)*(100*G3260)+I3260))))))</f>
        <v/>
      </c>
      <c r="O3260" s="75" t="n"/>
      <c r="P3260" s="75" t="n"/>
      <c r="Q3260" s="75">
        <f>IF(ISBLANK(P3260),"",IF(D3260="Stock",P3260*G3260,IF(P3260=0,"0",G3260*P3260*100-(G3260*$AF$14))))</f>
        <v/>
      </c>
      <c r="R3260" s="79">
        <f>IF(P3260&lt;&gt;"", TODAY(), "")</f>
        <v/>
      </c>
      <c r="S3260" s="78">
        <f>IF(AND(K3260&lt;&gt;"", R3260&lt;&gt;""), R3260-K3260, "")</f>
        <v/>
      </c>
      <c r="T3260" s="78" t="n"/>
      <c r="U3260" s="92">
        <f>IF(ISBLANK(P3260),"",IF(C3260="Buy",Q3260-M3260+T3260, IF(C3260="Sell",M3260-Q3260-T3260, X)))</f>
        <v/>
      </c>
      <c r="V3260" s="81">
        <f>IF(ISBLANK(P3260),"",U3260/N3260)</f>
        <v/>
      </c>
      <c r="W3260" s="81">
        <f>IF(ISBLANK(P3260),"",IF(S3260=0,(365/0.5)*V3260,(365/S3260)*V3260))</f>
        <v/>
      </c>
      <c r="X3260" s="75" t="n"/>
      <c r="Y3260" s="77" t="n"/>
      <c r="Z3260" s="77" t="n"/>
      <c r="AA3260" s="75" t="n"/>
      <c r="AB3260" s="75" t="n"/>
      <c r="AC3260" s="6" t="n"/>
      <c r="AD3260" s="75" t="n"/>
      <c r="AE3260" s="75" t="n"/>
      <c r="AF3260" s="75" t="n"/>
    </row>
    <row r="3261" ht="15.75" customHeight="1" s="133">
      <c r="A3261" s="75" t="n"/>
      <c r="B3261" s="75" t="n"/>
      <c r="C3261" s="75" t="n"/>
      <c r="D3261" s="75" t="n"/>
      <c r="E3261" s="76" t="n"/>
      <c r="F3261" s="77" t="n"/>
      <c r="G3261" s="75" t="n"/>
      <c r="H3261" s="75">
        <f>IF(ISBLANK(E3261),"",IF(OR(D3261="Butterfly",D3261="Butterfly ",D3261="Iron Fly", D3261="Iron Fly "),LEN(E3261)-LEN(SUBSTITUTE(E3261,"/",""))+2,LEN(E3261)-LEN(SUBSTITUTE(E3261,"/",""))+1))</f>
        <v/>
      </c>
      <c r="I3261" s="78">
        <f>IF(ISBLANK(G3261),"",IF(D3261="Stock","0",Key!$A$3*H3261*G3261))</f>
        <v/>
      </c>
      <c r="J3261" s="78">
        <f>IF(ISBLANK(E3261),"",IF(ISNUMBER(SEARCH("/",E3261)), IF(LEN(E3261)-LEN(SUBSTITUTE(E3261,"/",""))=1,(RIGHT(E3261,LEN(E3261)-FIND("/",E3261)))-(LEFT(E3261,FIND("/",E3261)-1)),(MID(E3261, SEARCH("/",E3261) + 1, SEARCH("/",E3261, SEARCH("/",E3261)+1) - SEARCH("/",E3261) - 1))-(LEFT(E3261,FIND("/",E3261)-1))), "NA"))</f>
        <v/>
      </c>
      <c r="K3261" s="79">
        <f>IF(A3261&lt;&gt;"", IF(ISBLANK(L3261), TODAY(), K3261), "")</f>
        <v/>
      </c>
      <c r="L3261" s="78" t="n"/>
      <c r="M3261" s="78">
        <f>IF(ISBLANK(L3261),"",IF(D3261="Stock",IF(C3261="Buy",L3261*G3261,IF(C3261="Sell",(L3261*G3261)-I3261, X)),IF(C3261="Buy",(L3261*G3261*100)+I3261,IF(C3261="Sell",(L3261*G3261*100)-I3261, X))))</f>
        <v/>
      </c>
      <c r="N3261" s="78">
        <f>IF(ISBLANK(L3261),"",IF(AND(C3261="Sell",D3261="Stock"),M3261,IF(ISBLANK(L3261),"",IF(C3261="Buy",M3261, IF(AND(C3261="Sell",J3261="NA"),(E3261*G3261*100*0.1)+I3261, IF(C3261="Sell",(J3261-L3261)*(100*G3261)+I3261))))))</f>
        <v/>
      </c>
      <c r="O3261" s="75" t="n"/>
      <c r="P3261" s="75" t="n"/>
      <c r="Q3261" s="75">
        <f>IF(ISBLANK(P3261),"",IF(D3261="Stock",P3261*G3261,IF(P3261=0,"0",G3261*P3261*100-(G3261*$AF$14))))</f>
        <v/>
      </c>
      <c r="R3261" s="79">
        <f>IF(P3261&lt;&gt;"", TODAY(), "")</f>
        <v/>
      </c>
      <c r="S3261" s="78">
        <f>IF(AND(K3261&lt;&gt;"", R3261&lt;&gt;""), R3261-K3261, "")</f>
        <v/>
      </c>
      <c r="T3261" s="78" t="n"/>
      <c r="U3261" s="92">
        <f>IF(ISBLANK(P3261),"",IF(C3261="Buy",Q3261-M3261+T3261, IF(C3261="Sell",M3261-Q3261-T3261, X)))</f>
        <v/>
      </c>
      <c r="V3261" s="81">
        <f>IF(ISBLANK(P3261),"",U3261/N3261)</f>
        <v/>
      </c>
      <c r="W3261" s="81">
        <f>IF(ISBLANK(P3261),"",IF(S3261=0,(365/0.5)*V3261,(365/S3261)*V3261))</f>
        <v/>
      </c>
      <c r="X3261" s="75" t="n"/>
      <c r="Y3261" s="77" t="n"/>
      <c r="Z3261" s="77" t="n"/>
      <c r="AA3261" s="75" t="n"/>
      <c r="AB3261" s="75" t="n"/>
      <c r="AC3261" s="6" t="n"/>
      <c r="AD3261" s="75" t="n"/>
      <c r="AE3261" s="75" t="n"/>
      <c r="AF3261" s="75" t="n"/>
    </row>
    <row r="3262" ht="15.75" customHeight="1" s="133">
      <c r="A3262" s="75" t="n"/>
      <c r="B3262" s="75" t="n"/>
      <c r="C3262" s="75" t="n"/>
      <c r="D3262" s="75" t="n"/>
      <c r="E3262" s="76" t="n"/>
      <c r="F3262" s="77" t="n"/>
      <c r="G3262" s="75" t="n"/>
      <c r="H3262" s="75">
        <f>IF(ISBLANK(E3262),"",IF(OR(D3262="Butterfly",D3262="Butterfly ",D3262="Iron Fly", D3262="Iron Fly "),LEN(E3262)-LEN(SUBSTITUTE(E3262,"/",""))+2,LEN(E3262)-LEN(SUBSTITUTE(E3262,"/",""))+1))</f>
        <v/>
      </c>
      <c r="I3262" s="78">
        <f>IF(ISBLANK(G3262),"",IF(D3262="Stock","0",Key!$A$3*H3262*G3262))</f>
        <v/>
      </c>
      <c r="J3262" s="78">
        <f>IF(ISBLANK(E3262),"",IF(ISNUMBER(SEARCH("/",E3262)), IF(LEN(E3262)-LEN(SUBSTITUTE(E3262,"/",""))=1,(RIGHT(E3262,LEN(E3262)-FIND("/",E3262)))-(LEFT(E3262,FIND("/",E3262)-1)),(MID(E3262, SEARCH("/",E3262) + 1, SEARCH("/",E3262, SEARCH("/",E3262)+1) - SEARCH("/",E3262) - 1))-(LEFT(E3262,FIND("/",E3262)-1))), "NA"))</f>
        <v/>
      </c>
      <c r="K3262" s="79">
        <f>IF(A3262&lt;&gt;"", IF(ISBLANK(L3262), TODAY(), K3262), "")</f>
        <v/>
      </c>
      <c r="L3262" s="78" t="n"/>
      <c r="M3262" s="78">
        <f>IF(ISBLANK(L3262),"",IF(D3262="Stock",IF(C3262="Buy",L3262*G3262,IF(C3262="Sell",(L3262*G3262)-I3262, X)),IF(C3262="Buy",(L3262*G3262*100)+I3262,IF(C3262="Sell",(L3262*G3262*100)-I3262, X))))</f>
        <v/>
      </c>
      <c r="N3262" s="78">
        <f>IF(ISBLANK(L3262),"",IF(AND(C3262="Sell",D3262="Stock"),M3262,IF(ISBLANK(L3262),"",IF(C3262="Buy",M3262, IF(AND(C3262="Sell",J3262="NA"),(E3262*G3262*100*0.1)+I3262, IF(C3262="Sell",(J3262-L3262)*(100*G3262)+I3262))))))</f>
        <v/>
      </c>
      <c r="O3262" s="75" t="n"/>
      <c r="P3262" s="75" t="n"/>
      <c r="Q3262" s="75">
        <f>IF(ISBLANK(P3262),"",IF(D3262="Stock",P3262*G3262,IF(P3262=0,"0",G3262*P3262*100-(G3262*$AF$14))))</f>
        <v/>
      </c>
      <c r="R3262" s="79">
        <f>IF(P3262&lt;&gt;"", TODAY(), "")</f>
        <v/>
      </c>
      <c r="S3262" s="78">
        <f>IF(AND(K3262&lt;&gt;"", R3262&lt;&gt;""), R3262-K3262, "")</f>
        <v/>
      </c>
      <c r="T3262" s="78" t="n"/>
      <c r="U3262" s="92">
        <f>IF(ISBLANK(P3262),"",IF(C3262="Buy",Q3262-M3262+T3262, IF(C3262="Sell",M3262-Q3262-T3262, X)))</f>
        <v/>
      </c>
      <c r="V3262" s="81">
        <f>IF(ISBLANK(P3262),"",U3262/N3262)</f>
        <v/>
      </c>
      <c r="W3262" s="81">
        <f>IF(ISBLANK(P3262),"",IF(S3262=0,(365/0.5)*V3262,(365/S3262)*V3262))</f>
        <v/>
      </c>
      <c r="X3262" s="75" t="n"/>
      <c r="Y3262" s="77" t="n"/>
      <c r="Z3262" s="77" t="n"/>
      <c r="AA3262" s="75" t="n"/>
      <c r="AB3262" s="75" t="n"/>
      <c r="AC3262" s="6" t="n"/>
      <c r="AD3262" s="75" t="n"/>
      <c r="AE3262" s="75" t="n"/>
      <c r="AF3262" s="75" t="n"/>
    </row>
    <row r="3263" ht="15.75" customHeight="1" s="133">
      <c r="A3263" s="75" t="n"/>
      <c r="B3263" s="75" t="n"/>
      <c r="C3263" s="75" t="n"/>
      <c r="D3263" s="75" t="n"/>
      <c r="E3263" s="76" t="n"/>
      <c r="F3263" s="77" t="n"/>
      <c r="G3263" s="75" t="n"/>
      <c r="H3263" s="75">
        <f>IF(ISBLANK(E3263),"",IF(OR(D3263="Butterfly",D3263="Butterfly ",D3263="Iron Fly", D3263="Iron Fly "),LEN(E3263)-LEN(SUBSTITUTE(E3263,"/",""))+2,LEN(E3263)-LEN(SUBSTITUTE(E3263,"/",""))+1))</f>
        <v/>
      </c>
      <c r="I3263" s="78">
        <f>IF(ISBLANK(G3263),"",IF(D3263="Stock","0",Key!$A$3*H3263*G3263))</f>
        <v/>
      </c>
      <c r="J3263" s="78">
        <f>IF(ISBLANK(E3263),"",IF(ISNUMBER(SEARCH("/",E3263)), IF(LEN(E3263)-LEN(SUBSTITUTE(E3263,"/",""))=1,(RIGHT(E3263,LEN(E3263)-FIND("/",E3263)))-(LEFT(E3263,FIND("/",E3263)-1)),(MID(E3263, SEARCH("/",E3263) + 1, SEARCH("/",E3263, SEARCH("/",E3263)+1) - SEARCH("/",E3263) - 1))-(LEFT(E3263,FIND("/",E3263)-1))), "NA"))</f>
        <v/>
      </c>
      <c r="K3263" s="79">
        <f>IF(A3263&lt;&gt;"", IF(ISBLANK(L3263), TODAY(), K3263), "")</f>
        <v/>
      </c>
      <c r="L3263" s="78" t="n"/>
      <c r="M3263" s="78">
        <f>IF(ISBLANK(L3263),"",IF(D3263="Stock",IF(C3263="Buy",L3263*G3263,IF(C3263="Sell",(L3263*G3263)-I3263, X)),IF(C3263="Buy",(L3263*G3263*100)+I3263,IF(C3263="Sell",(L3263*G3263*100)-I3263, X))))</f>
        <v/>
      </c>
      <c r="N3263" s="78">
        <f>IF(ISBLANK(L3263),"",IF(AND(C3263="Sell",D3263="Stock"),M3263,IF(ISBLANK(L3263),"",IF(C3263="Buy",M3263, IF(AND(C3263="Sell",J3263="NA"),(E3263*G3263*100*0.1)+I3263, IF(C3263="Sell",(J3263-L3263)*(100*G3263)+I3263))))))</f>
        <v/>
      </c>
      <c r="O3263" s="75" t="n"/>
      <c r="P3263" s="75" t="n"/>
      <c r="Q3263" s="75">
        <f>IF(ISBLANK(P3263),"",IF(D3263="Stock",P3263*G3263,IF(P3263=0,"0",G3263*P3263*100-(G3263*$AF$14))))</f>
        <v/>
      </c>
      <c r="R3263" s="79">
        <f>IF(P3263&lt;&gt;"", TODAY(), "")</f>
        <v/>
      </c>
      <c r="S3263" s="78">
        <f>IF(AND(K3263&lt;&gt;"", R3263&lt;&gt;""), R3263-K3263, "")</f>
        <v/>
      </c>
      <c r="T3263" s="78" t="n"/>
      <c r="U3263" s="92">
        <f>IF(ISBLANK(P3263),"",IF(C3263="Buy",Q3263-M3263+T3263, IF(C3263="Sell",M3263-Q3263-T3263, X)))</f>
        <v/>
      </c>
      <c r="V3263" s="81">
        <f>IF(ISBLANK(P3263),"",U3263/N3263)</f>
        <v/>
      </c>
      <c r="W3263" s="81">
        <f>IF(ISBLANK(P3263),"",IF(S3263=0,(365/0.5)*V3263,(365/S3263)*V3263))</f>
        <v/>
      </c>
      <c r="X3263" s="75" t="n"/>
      <c r="Y3263" s="77" t="n"/>
      <c r="Z3263" s="77" t="n"/>
      <c r="AA3263" s="75" t="n"/>
      <c r="AB3263" s="75" t="n"/>
      <c r="AC3263" s="6" t="n"/>
      <c r="AD3263" s="75" t="n"/>
      <c r="AE3263" s="75" t="n"/>
      <c r="AF3263" s="75" t="n"/>
    </row>
    <row r="3264" ht="15.75" customHeight="1" s="133">
      <c r="A3264" s="75" t="n"/>
      <c r="B3264" s="75" t="n"/>
      <c r="C3264" s="75" t="n"/>
      <c r="D3264" s="75" t="n"/>
      <c r="E3264" s="76" t="n"/>
      <c r="F3264" s="77" t="n"/>
      <c r="G3264" s="75" t="n"/>
      <c r="H3264" s="75">
        <f>IF(ISBLANK(E3264),"",IF(OR(D3264="Butterfly",D3264="Butterfly ",D3264="Iron Fly", D3264="Iron Fly "),LEN(E3264)-LEN(SUBSTITUTE(E3264,"/",""))+2,LEN(E3264)-LEN(SUBSTITUTE(E3264,"/",""))+1))</f>
        <v/>
      </c>
      <c r="I3264" s="78">
        <f>IF(ISBLANK(G3264),"",IF(D3264="Stock","0",Key!$A$3*H3264*G3264))</f>
        <v/>
      </c>
      <c r="J3264" s="78">
        <f>IF(ISBLANK(E3264),"",IF(ISNUMBER(SEARCH("/",E3264)), IF(LEN(E3264)-LEN(SUBSTITUTE(E3264,"/",""))=1,(RIGHT(E3264,LEN(E3264)-FIND("/",E3264)))-(LEFT(E3264,FIND("/",E3264)-1)),(MID(E3264, SEARCH("/",E3264) + 1, SEARCH("/",E3264, SEARCH("/",E3264)+1) - SEARCH("/",E3264) - 1))-(LEFT(E3264,FIND("/",E3264)-1))), "NA"))</f>
        <v/>
      </c>
      <c r="K3264" s="79">
        <f>IF(A3264&lt;&gt;"", IF(ISBLANK(L3264), TODAY(), K3264), "")</f>
        <v/>
      </c>
      <c r="L3264" s="78" t="n"/>
      <c r="M3264" s="78">
        <f>IF(ISBLANK(L3264),"",IF(D3264="Stock",IF(C3264="Buy",L3264*G3264,IF(C3264="Sell",(L3264*G3264)-I3264, X)),IF(C3264="Buy",(L3264*G3264*100)+I3264,IF(C3264="Sell",(L3264*G3264*100)-I3264, X))))</f>
        <v/>
      </c>
      <c r="N3264" s="78">
        <f>IF(ISBLANK(L3264),"",IF(AND(C3264="Sell",D3264="Stock"),M3264,IF(ISBLANK(L3264),"",IF(C3264="Buy",M3264, IF(AND(C3264="Sell",J3264="NA"),(E3264*G3264*100*0.1)+I3264, IF(C3264="Sell",(J3264-L3264)*(100*G3264)+I3264))))))</f>
        <v/>
      </c>
      <c r="O3264" s="75" t="n"/>
      <c r="P3264" s="75" t="n"/>
      <c r="Q3264" s="75">
        <f>IF(ISBLANK(P3264),"",IF(D3264="Stock",P3264*G3264,IF(P3264=0,"0",G3264*P3264*100-(G3264*$AF$14))))</f>
        <v/>
      </c>
      <c r="R3264" s="79">
        <f>IF(P3264&lt;&gt;"", TODAY(), "")</f>
        <v/>
      </c>
      <c r="S3264" s="78">
        <f>IF(AND(K3264&lt;&gt;"", R3264&lt;&gt;""), R3264-K3264, "")</f>
        <v/>
      </c>
      <c r="T3264" s="78" t="n"/>
      <c r="U3264" s="92">
        <f>IF(ISBLANK(P3264),"",IF(C3264="Buy",Q3264-M3264+T3264, IF(C3264="Sell",M3264-Q3264-T3264, X)))</f>
        <v/>
      </c>
      <c r="V3264" s="81">
        <f>IF(ISBLANK(P3264),"",U3264/N3264)</f>
        <v/>
      </c>
      <c r="W3264" s="81">
        <f>IF(ISBLANK(P3264),"",IF(S3264=0,(365/0.5)*V3264,(365/S3264)*V3264))</f>
        <v/>
      </c>
      <c r="X3264" s="75" t="n"/>
      <c r="Y3264" s="77" t="n"/>
      <c r="Z3264" s="77" t="n"/>
      <c r="AA3264" s="75" t="n"/>
      <c r="AB3264" s="75" t="n"/>
      <c r="AC3264" s="6" t="n"/>
      <c r="AD3264" s="75" t="n"/>
      <c r="AE3264" s="75" t="n"/>
      <c r="AF3264" s="75" t="n"/>
    </row>
    <row r="3265" ht="15.75" customHeight="1" s="133">
      <c r="A3265" s="75" t="n"/>
      <c r="B3265" s="75" t="n"/>
      <c r="C3265" s="75" t="n"/>
      <c r="D3265" s="75" t="n"/>
      <c r="E3265" s="76" t="n"/>
      <c r="F3265" s="77" t="n"/>
      <c r="G3265" s="75" t="n"/>
      <c r="H3265" s="75">
        <f>IF(ISBLANK(E3265),"",IF(OR(D3265="Butterfly",D3265="Butterfly ",D3265="Iron Fly", D3265="Iron Fly "),LEN(E3265)-LEN(SUBSTITUTE(E3265,"/",""))+2,LEN(E3265)-LEN(SUBSTITUTE(E3265,"/",""))+1))</f>
        <v/>
      </c>
      <c r="I3265" s="78">
        <f>IF(ISBLANK(G3265),"",IF(D3265="Stock","0",Key!$A$3*H3265*G3265))</f>
        <v/>
      </c>
      <c r="J3265" s="78">
        <f>IF(ISBLANK(E3265),"",IF(ISNUMBER(SEARCH("/",E3265)), IF(LEN(E3265)-LEN(SUBSTITUTE(E3265,"/",""))=1,(RIGHT(E3265,LEN(E3265)-FIND("/",E3265)))-(LEFT(E3265,FIND("/",E3265)-1)),(MID(E3265, SEARCH("/",E3265) + 1, SEARCH("/",E3265, SEARCH("/",E3265)+1) - SEARCH("/",E3265) - 1))-(LEFT(E3265,FIND("/",E3265)-1))), "NA"))</f>
        <v/>
      </c>
      <c r="K3265" s="79">
        <f>IF(A3265&lt;&gt;"", IF(ISBLANK(L3265), TODAY(), K3265), "")</f>
        <v/>
      </c>
      <c r="L3265" s="78" t="n"/>
      <c r="M3265" s="78">
        <f>IF(ISBLANK(L3265),"",IF(D3265="Stock",IF(C3265="Buy",L3265*G3265,IF(C3265="Sell",(L3265*G3265)-I3265, X)),IF(C3265="Buy",(L3265*G3265*100)+I3265,IF(C3265="Sell",(L3265*G3265*100)-I3265, X))))</f>
        <v/>
      </c>
      <c r="N3265" s="78">
        <f>IF(ISBLANK(L3265),"",IF(AND(C3265="Sell",D3265="Stock"),M3265,IF(ISBLANK(L3265),"",IF(C3265="Buy",M3265, IF(AND(C3265="Sell",J3265="NA"),(E3265*G3265*100*0.1)+I3265, IF(C3265="Sell",(J3265-L3265)*(100*G3265)+I3265))))))</f>
        <v/>
      </c>
      <c r="O3265" s="75" t="n"/>
      <c r="P3265" s="75" t="n"/>
      <c r="Q3265" s="75">
        <f>IF(ISBLANK(P3265),"",IF(D3265="Stock",P3265*G3265,IF(P3265=0,"0",G3265*P3265*100-(G3265*$AF$14))))</f>
        <v/>
      </c>
      <c r="R3265" s="79">
        <f>IF(P3265&lt;&gt;"", TODAY(), "")</f>
        <v/>
      </c>
      <c r="S3265" s="78">
        <f>IF(AND(K3265&lt;&gt;"", R3265&lt;&gt;""), R3265-K3265, "")</f>
        <v/>
      </c>
      <c r="T3265" s="78" t="n"/>
      <c r="U3265" s="92">
        <f>IF(ISBLANK(P3265),"",IF(C3265="Buy",Q3265-M3265+T3265, IF(C3265="Sell",M3265-Q3265-T3265, X)))</f>
        <v/>
      </c>
      <c r="V3265" s="81">
        <f>IF(ISBLANK(P3265),"",U3265/N3265)</f>
        <v/>
      </c>
      <c r="W3265" s="81">
        <f>IF(ISBLANK(P3265),"",IF(S3265=0,(365/0.5)*V3265,(365/S3265)*V3265))</f>
        <v/>
      </c>
      <c r="X3265" s="75" t="n"/>
      <c r="Y3265" s="77" t="n"/>
      <c r="Z3265" s="77" t="n"/>
      <c r="AA3265" s="75" t="n"/>
      <c r="AB3265" s="75" t="n"/>
      <c r="AC3265" s="6" t="n"/>
      <c r="AD3265" s="75" t="n"/>
      <c r="AE3265" s="75" t="n"/>
      <c r="AF3265" s="75" t="n"/>
    </row>
    <row r="3266" ht="15.75" customHeight="1" s="133">
      <c r="A3266" s="75" t="n"/>
      <c r="B3266" s="75" t="n"/>
      <c r="C3266" s="75" t="n"/>
      <c r="D3266" s="75" t="n"/>
      <c r="E3266" s="76" t="n"/>
      <c r="F3266" s="77" t="n"/>
      <c r="G3266" s="75" t="n"/>
      <c r="H3266" s="75">
        <f>IF(ISBLANK(E3266),"",IF(OR(D3266="Butterfly",D3266="Butterfly ",D3266="Iron Fly", D3266="Iron Fly "),LEN(E3266)-LEN(SUBSTITUTE(E3266,"/",""))+2,LEN(E3266)-LEN(SUBSTITUTE(E3266,"/",""))+1))</f>
        <v/>
      </c>
      <c r="I3266" s="78">
        <f>IF(ISBLANK(G3266),"",IF(D3266="Stock","0",Key!$A$3*H3266*G3266))</f>
        <v/>
      </c>
      <c r="J3266" s="78">
        <f>IF(ISBLANK(E3266),"",IF(ISNUMBER(SEARCH("/",E3266)), IF(LEN(E3266)-LEN(SUBSTITUTE(E3266,"/",""))=1,(RIGHT(E3266,LEN(E3266)-FIND("/",E3266)))-(LEFT(E3266,FIND("/",E3266)-1)),(MID(E3266, SEARCH("/",E3266) + 1, SEARCH("/",E3266, SEARCH("/",E3266)+1) - SEARCH("/",E3266) - 1))-(LEFT(E3266,FIND("/",E3266)-1))), "NA"))</f>
        <v/>
      </c>
      <c r="K3266" s="79">
        <f>IF(A3266&lt;&gt;"", IF(ISBLANK(L3266), TODAY(), K3266), "")</f>
        <v/>
      </c>
      <c r="L3266" s="78" t="n"/>
      <c r="M3266" s="78">
        <f>IF(ISBLANK(L3266),"",IF(D3266="Stock",IF(C3266="Buy",L3266*G3266,IF(C3266="Sell",(L3266*G3266)-I3266, X)),IF(C3266="Buy",(L3266*G3266*100)+I3266,IF(C3266="Sell",(L3266*G3266*100)-I3266, X))))</f>
        <v/>
      </c>
      <c r="N3266" s="78">
        <f>IF(ISBLANK(L3266),"",IF(AND(C3266="Sell",D3266="Stock"),M3266,IF(ISBLANK(L3266),"",IF(C3266="Buy",M3266, IF(AND(C3266="Sell",J3266="NA"),(E3266*G3266*100*0.1)+I3266, IF(C3266="Sell",(J3266-L3266)*(100*G3266)+I3266))))))</f>
        <v/>
      </c>
      <c r="O3266" s="75" t="n"/>
      <c r="P3266" s="75" t="n"/>
      <c r="Q3266" s="75">
        <f>IF(ISBLANK(P3266),"",IF(D3266="Stock",P3266*G3266,IF(P3266=0,"0",G3266*P3266*100-(G3266*$AF$14))))</f>
        <v/>
      </c>
      <c r="R3266" s="79">
        <f>IF(P3266&lt;&gt;"", TODAY(), "")</f>
        <v/>
      </c>
      <c r="S3266" s="78">
        <f>IF(AND(K3266&lt;&gt;"", R3266&lt;&gt;""), R3266-K3266, "")</f>
        <v/>
      </c>
      <c r="T3266" s="78" t="n"/>
      <c r="U3266" s="92">
        <f>IF(ISBLANK(P3266),"",IF(C3266="Buy",Q3266-M3266+T3266, IF(C3266="Sell",M3266-Q3266-T3266, X)))</f>
        <v/>
      </c>
      <c r="V3266" s="81">
        <f>IF(ISBLANK(P3266),"",U3266/N3266)</f>
        <v/>
      </c>
      <c r="W3266" s="81">
        <f>IF(ISBLANK(P3266),"",IF(S3266=0,(365/0.5)*V3266,(365/S3266)*V3266))</f>
        <v/>
      </c>
      <c r="X3266" s="75" t="n"/>
      <c r="Y3266" s="77" t="n"/>
      <c r="Z3266" s="77" t="n"/>
      <c r="AA3266" s="75" t="n"/>
      <c r="AB3266" s="75" t="n"/>
      <c r="AC3266" s="6" t="n"/>
      <c r="AD3266" s="75" t="n"/>
      <c r="AE3266" s="75" t="n"/>
      <c r="AF3266" s="75" t="n"/>
    </row>
    <row r="3267" ht="15.75" customHeight="1" s="133">
      <c r="A3267" s="75" t="n"/>
      <c r="B3267" s="75" t="n"/>
      <c r="C3267" s="75" t="n"/>
      <c r="D3267" s="75" t="n"/>
      <c r="E3267" s="76" t="n"/>
      <c r="F3267" s="77" t="n"/>
      <c r="G3267" s="75" t="n"/>
      <c r="H3267" s="75">
        <f>IF(ISBLANK(E3267),"",IF(OR(D3267="Butterfly",D3267="Butterfly ",D3267="Iron Fly", D3267="Iron Fly "),LEN(E3267)-LEN(SUBSTITUTE(E3267,"/",""))+2,LEN(E3267)-LEN(SUBSTITUTE(E3267,"/",""))+1))</f>
        <v/>
      </c>
      <c r="I3267" s="78">
        <f>IF(ISBLANK(G3267),"",IF(D3267="Stock","0",Key!$A$3*H3267*G3267))</f>
        <v/>
      </c>
      <c r="J3267" s="78">
        <f>IF(ISBLANK(E3267),"",IF(ISNUMBER(SEARCH("/",E3267)), IF(LEN(E3267)-LEN(SUBSTITUTE(E3267,"/",""))=1,(RIGHT(E3267,LEN(E3267)-FIND("/",E3267)))-(LEFT(E3267,FIND("/",E3267)-1)),(MID(E3267, SEARCH("/",E3267) + 1, SEARCH("/",E3267, SEARCH("/",E3267)+1) - SEARCH("/",E3267) - 1))-(LEFT(E3267,FIND("/",E3267)-1))), "NA"))</f>
        <v/>
      </c>
      <c r="K3267" s="79">
        <f>IF(A3267&lt;&gt;"", IF(ISBLANK(L3267), TODAY(), K3267), "")</f>
        <v/>
      </c>
      <c r="L3267" s="78" t="n"/>
      <c r="M3267" s="78">
        <f>IF(ISBLANK(L3267),"",IF(D3267="Stock",IF(C3267="Buy",L3267*G3267,IF(C3267="Sell",(L3267*G3267)-I3267, X)),IF(C3267="Buy",(L3267*G3267*100)+I3267,IF(C3267="Sell",(L3267*G3267*100)-I3267, X))))</f>
        <v/>
      </c>
      <c r="N3267" s="78">
        <f>IF(ISBLANK(L3267),"",IF(AND(C3267="Sell",D3267="Stock"),M3267,IF(ISBLANK(L3267),"",IF(C3267="Buy",M3267, IF(AND(C3267="Sell",J3267="NA"),(E3267*G3267*100*0.1)+I3267, IF(C3267="Sell",(J3267-L3267)*(100*G3267)+I3267))))))</f>
        <v/>
      </c>
      <c r="O3267" s="75" t="n"/>
      <c r="P3267" s="75" t="n"/>
      <c r="Q3267" s="75">
        <f>IF(ISBLANK(P3267),"",IF(D3267="Stock",P3267*G3267,IF(P3267=0,"0",G3267*P3267*100-(G3267*$AF$14))))</f>
        <v/>
      </c>
      <c r="R3267" s="79">
        <f>IF(P3267&lt;&gt;"", TODAY(), "")</f>
        <v/>
      </c>
      <c r="S3267" s="78">
        <f>IF(AND(K3267&lt;&gt;"", R3267&lt;&gt;""), R3267-K3267, "")</f>
        <v/>
      </c>
      <c r="T3267" s="78" t="n"/>
      <c r="U3267" s="92">
        <f>IF(ISBLANK(P3267),"",IF(C3267="Buy",Q3267-M3267+T3267, IF(C3267="Sell",M3267-Q3267-T3267, X)))</f>
        <v/>
      </c>
      <c r="V3267" s="81">
        <f>IF(ISBLANK(P3267),"",U3267/N3267)</f>
        <v/>
      </c>
      <c r="W3267" s="81">
        <f>IF(ISBLANK(P3267),"",IF(S3267=0,(365/0.5)*V3267,(365/S3267)*V3267))</f>
        <v/>
      </c>
      <c r="X3267" s="75" t="n"/>
      <c r="Y3267" s="77" t="n"/>
      <c r="Z3267" s="77" t="n"/>
      <c r="AA3267" s="75" t="n"/>
      <c r="AB3267" s="75" t="n"/>
      <c r="AC3267" s="6" t="n"/>
      <c r="AD3267" s="75" t="n"/>
      <c r="AE3267" s="75" t="n"/>
      <c r="AF3267" s="75" t="n"/>
    </row>
    <row r="3268" ht="15.75" customHeight="1" s="133">
      <c r="A3268" s="75" t="n"/>
      <c r="B3268" s="75" t="n"/>
      <c r="C3268" s="75" t="n"/>
      <c r="D3268" s="75" t="n"/>
      <c r="E3268" s="76" t="n"/>
      <c r="F3268" s="77" t="n"/>
      <c r="G3268" s="75" t="n"/>
      <c r="H3268" s="75">
        <f>IF(ISBLANK(E3268),"",IF(OR(D3268="Butterfly",D3268="Butterfly ",D3268="Iron Fly", D3268="Iron Fly "),LEN(E3268)-LEN(SUBSTITUTE(E3268,"/",""))+2,LEN(E3268)-LEN(SUBSTITUTE(E3268,"/",""))+1))</f>
        <v/>
      </c>
      <c r="I3268" s="78">
        <f>IF(ISBLANK(G3268),"",IF(D3268="Stock","0",Key!$A$3*H3268*G3268))</f>
        <v/>
      </c>
      <c r="J3268" s="78">
        <f>IF(ISBLANK(E3268),"",IF(ISNUMBER(SEARCH("/",E3268)), IF(LEN(E3268)-LEN(SUBSTITUTE(E3268,"/",""))=1,(RIGHT(E3268,LEN(E3268)-FIND("/",E3268)))-(LEFT(E3268,FIND("/",E3268)-1)),(MID(E3268, SEARCH("/",E3268) + 1, SEARCH("/",E3268, SEARCH("/",E3268)+1) - SEARCH("/",E3268) - 1))-(LEFT(E3268,FIND("/",E3268)-1))), "NA"))</f>
        <v/>
      </c>
      <c r="K3268" s="79">
        <f>IF(A3268&lt;&gt;"", IF(ISBLANK(L3268), TODAY(), K3268), "")</f>
        <v/>
      </c>
      <c r="L3268" s="78" t="n"/>
      <c r="M3268" s="78">
        <f>IF(ISBLANK(L3268),"",IF(D3268="Stock",IF(C3268="Buy",L3268*G3268,IF(C3268="Sell",(L3268*G3268)-I3268, X)),IF(C3268="Buy",(L3268*G3268*100)+I3268,IF(C3268="Sell",(L3268*G3268*100)-I3268, X))))</f>
        <v/>
      </c>
      <c r="N3268" s="78">
        <f>IF(ISBLANK(L3268),"",IF(AND(C3268="Sell",D3268="Stock"),M3268,IF(ISBLANK(L3268),"",IF(C3268="Buy",M3268, IF(AND(C3268="Sell",J3268="NA"),(E3268*G3268*100*0.1)+I3268, IF(C3268="Sell",(J3268-L3268)*(100*G3268)+I3268))))))</f>
        <v/>
      </c>
      <c r="O3268" s="75" t="n"/>
      <c r="P3268" s="75" t="n"/>
      <c r="Q3268" s="75">
        <f>IF(ISBLANK(P3268),"",IF(D3268="Stock",P3268*G3268,IF(P3268=0,"0",G3268*P3268*100-(G3268*$AF$14))))</f>
        <v/>
      </c>
      <c r="R3268" s="79">
        <f>IF(P3268&lt;&gt;"", TODAY(), "")</f>
        <v/>
      </c>
      <c r="S3268" s="78">
        <f>IF(AND(K3268&lt;&gt;"", R3268&lt;&gt;""), R3268-K3268, "")</f>
        <v/>
      </c>
      <c r="T3268" s="78" t="n"/>
      <c r="U3268" s="92">
        <f>IF(ISBLANK(P3268),"",IF(C3268="Buy",Q3268-M3268+T3268, IF(C3268="Sell",M3268-Q3268-T3268, X)))</f>
        <v/>
      </c>
      <c r="V3268" s="81">
        <f>IF(ISBLANK(P3268),"",U3268/N3268)</f>
        <v/>
      </c>
      <c r="W3268" s="81">
        <f>IF(ISBLANK(P3268),"",IF(S3268=0,(365/0.5)*V3268,(365/S3268)*V3268))</f>
        <v/>
      </c>
      <c r="X3268" s="75" t="n"/>
      <c r="Y3268" s="77" t="n"/>
      <c r="Z3268" s="77" t="n"/>
      <c r="AA3268" s="75" t="n"/>
      <c r="AB3268" s="75" t="n"/>
      <c r="AC3268" s="6" t="n"/>
      <c r="AD3268" s="75" t="n"/>
      <c r="AE3268" s="75" t="n"/>
      <c r="AF3268" s="75" t="n"/>
    </row>
    <row r="3269" ht="15.75" customHeight="1" s="133">
      <c r="A3269" s="75" t="n"/>
      <c r="B3269" s="75" t="n"/>
      <c r="C3269" s="75" t="n"/>
      <c r="D3269" s="75" t="n"/>
      <c r="E3269" s="76" t="n"/>
      <c r="F3269" s="77" t="n"/>
      <c r="G3269" s="75" t="n"/>
      <c r="H3269" s="75">
        <f>IF(ISBLANK(E3269),"",IF(OR(D3269="Butterfly",D3269="Butterfly ",D3269="Iron Fly", D3269="Iron Fly "),LEN(E3269)-LEN(SUBSTITUTE(E3269,"/",""))+2,LEN(E3269)-LEN(SUBSTITUTE(E3269,"/",""))+1))</f>
        <v/>
      </c>
      <c r="I3269" s="78">
        <f>IF(ISBLANK(G3269),"",IF(D3269="Stock","0",Key!$A$3*H3269*G3269))</f>
        <v/>
      </c>
      <c r="J3269" s="78">
        <f>IF(ISBLANK(E3269),"",IF(ISNUMBER(SEARCH("/",E3269)), IF(LEN(E3269)-LEN(SUBSTITUTE(E3269,"/",""))=1,(RIGHT(E3269,LEN(E3269)-FIND("/",E3269)))-(LEFT(E3269,FIND("/",E3269)-1)),(MID(E3269, SEARCH("/",E3269) + 1, SEARCH("/",E3269, SEARCH("/",E3269)+1) - SEARCH("/",E3269) - 1))-(LEFT(E3269,FIND("/",E3269)-1))), "NA"))</f>
        <v/>
      </c>
      <c r="K3269" s="79">
        <f>IF(A3269&lt;&gt;"", IF(ISBLANK(L3269), TODAY(), K3269), "")</f>
        <v/>
      </c>
      <c r="L3269" s="78" t="n"/>
      <c r="M3269" s="78">
        <f>IF(ISBLANK(L3269),"",IF(D3269="Stock",IF(C3269="Buy",L3269*G3269,IF(C3269="Sell",(L3269*G3269)-I3269, X)),IF(C3269="Buy",(L3269*G3269*100)+I3269,IF(C3269="Sell",(L3269*G3269*100)-I3269, X))))</f>
        <v/>
      </c>
      <c r="N3269" s="78">
        <f>IF(ISBLANK(L3269),"",IF(AND(C3269="Sell",D3269="Stock"),M3269,IF(ISBLANK(L3269),"",IF(C3269="Buy",M3269, IF(AND(C3269="Sell",J3269="NA"),(E3269*G3269*100*0.1)+I3269, IF(C3269="Sell",(J3269-L3269)*(100*G3269)+I3269))))))</f>
        <v/>
      </c>
      <c r="O3269" s="75" t="n"/>
      <c r="P3269" s="75" t="n"/>
      <c r="Q3269" s="75">
        <f>IF(ISBLANK(P3269),"",IF(D3269="Stock",P3269*G3269,IF(P3269=0,"0",G3269*P3269*100-(G3269*$AF$14))))</f>
        <v/>
      </c>
      <c r="R3269" s="79">
        <f>IF(P3269&lt;&gt;"", TODAY(), "")</f>
        <v/>
      </c>
      <c r="S3269" s="78">
        <f>IF(AND(K3269&lt;&gt;"", R3269&lt;&gt;""), R3269-K3269, "")</f>
        <v/>
      </c>
      <c r="T3269" s="78" t="n"/>
      <c r="U3269" s="92">
        <f>IF(ISBLANK(P3269),"",IF(C3269="Buy",Q3269-M3269+T3269, IF(C3269="Sell",M3269-Q3269-T3269, X)))</f>
        <v/>
      </c>
      <c r="V3269" s="81">
        <f>IF(ISBLANK(P3269),"",U3269/N3269)</f>
        <v/>
      </c>
      <c r="W3269" s="81">
        <f>IF(ISBLANK(P3269),"",IF(S3269=0,(365/0.5)*V3269,(365/S3269)*V3269))</f>
        <v/>
      </c>
      <c r="X3269" s="75" t="n"/>
      <c r="Y3269" s="77" t="n"/>
      <c r="Z3269" s="77" t="n"/>
      <c r="AA3269" s="75" t="n"/>
      <c r="AB3269" s="75" t="n"/>
      <c r="AC3269" s="6" t="n"/>
      <c r="AD3269" s="75" t="n"/>
      <c r="AE3269" s="75" t="n"/>
      <c r="AF3269" s="75" t="n"/>
    </row>
    <row r="3270" ht="15.75" customHeight="1" s="133">
      <c r="A3270" s="75" t="n"/>
      <c r="B3270" s="75" t="n"/>
      <c r="C3270" s="75" t="n"/>
      <c r="D3270" s="75" t="n"/>
      <c r="E3270" s="76" t="n"/>
      <c r="F3270" s="77" t="n"/>
      <c r="G3270" s="75" t="n"/>
      <c r="H3270" s="75">
        <f>IF(ISBLANK(E3270),"",IF(OR(D3270="Butterfly",D3270="Butterfly ",D3270="Iron Fly", D3270="Iron Fly "),LEN(E3270)-LEN(SUBSTITUTE(E3270,"/",""))+2,LEN(E3270)-LEN(SUBSTITUTE(E3270,"/",""))+1))</f>
        <v/>
      </c>
      <c r="I3270" s="78">
        <f>IF(ISBLANK(G3270),"",IF(D3270="Stock","0",Key!$A$3*H3270*G3270))</f>
        <v/>
      </c>
      <c r="J3270" s="78">
        <f>IF(ISBLANK(E3270),"",IF(ISNUMBER(SEARCH("/",E3270)), IF(LEN(E3270)-LEN(SUBSTITUTE(E3270,"/",""))=1,(RIGHT(E3270,LEN(E3270)-FIND("/",E3270)))-(LEFT(E3270,FIND("/",E3270)-1)),(MID(E3270, SEARCH("/",E3270) + 1, SEARCH("/",E3270, SEARCH("/",E3270)+1) - SEARCH("/",E3270) - 1))-(LEFT(E3270,FIND("/",E3270)-1))), "NA"))</f>
        <v/>
      </c>
      <c r="K3270" s="79">
        <f>IF(A3270&lt;&gt;"", IF(ISBLANK(L3270), TODAY(), K3270), "")</f>
        <v/>
      </c>
      <c r="L3270" s="78" t="n"/>
      <c r="M3270" s="78">
        <f>IF(ISBLANK(L3270),"",IF(D3270="Stock",IF(C3270="Buy",L3270*G3270,IF(C3270="Sell",(L3270*G3270)-I3270, X)),IF(C3270="Buy",(L3270*G3270*100)+I3270,IF(C3270="Sell",(L3270*G3270*100)-I3270, X))))</f>
        <v/>
      </c>
      <c r="N3270" s="78">
        <f>IF(ISBLANK(L3270),"",IF(AND(C3270="Sell",D3270="Stock"),M3270,IF(ISBLANK(L3270),"",IF(C3270="Buy",M3270, IF(AND(C3270="Sell",J3270="NA"),(E3270*G3270*100*0.1)+I3270, IF(C3270="Sell",(J3270-L3270)*(100*G3270)+I3270))))))</f>
        <v/>
      </c>
      <c r="O3270" s="75" t="n"/>
      <c r="P3270" s="75" t="n"/>
      <c r="Q3270" s="75">
        <f>IF(ISBLANK(P3270),"",IF(D3270="Stock",P3270*G3270,IF(P3270=0,"0",G3270*P3270*100-(G3270*$AF$14))))</f>
        <v/>
      </c>
      <c r="R3270" s="79">
        <f>IF(P3270&lt;&gt;"", TODAY(), "")</f>
        <v/>
      </c>
      <c r="S3270" s="78">
        <f>IF(AND(K3270&lt;&gt;"", R3270&lt;&gt;""), R3270-K3270, "")</f>
        <v/>
      </c>
      <c r="T3270" s="78" t="n"/>
      <c r="U3270" s="92">
        <f>IF(ISBLANK(P3270),"",IF(C3270="Buy",Q3270-M3270+T3270, IF(C3270="Sell",M3270-Q3270-T3270, X)))</f>
        <v/>
      </c>
      <c r="V3270" s="81">
        <f>IF(ISBLANK(P3270),"",U3270/N3270)</f>
        <v/>
      </c>
      <c r="W3270" s="81">
        <f>IF(ISBLANK(P3270),"",IF(S3270=0,(365/0.5)*V3270,(365/S3270)*V3270))</f>
        <v/>
      </c>
      <c r="X3270" s="75" t="n"/>
      <c r="Y3270" s="77" t="n"/>
      <c r="Z3270" s="77" t="n"/>
      <c r="AA3270" s="75" t="n"/>
      <c r="AB3270" s="75" t="n"/>
      <c r="AC3270" s="6" t="n"/>
      <c r="AD3270" s="75" t="n"/>
      <c r="AE3270" s="75" t="n"/>
      <c r="AF3270" s="75" t="n"/>
    </row>
    <row r="3271" ht="15.75" customHeight="1" s="133">
      <c r="A3271" s="75" t="n"/>
      <c r="B3271" s="75" t="n"/>
      <c r="C3271" s="75" t="n"/>
      <c r="D3271" s="75" t="n"/>
      <c r="E3271" s="76" t="n"/>
      <c r="F3271" s="77" t="n"/>
      <c r="G3271" s="75" t="n"/>
      <c r="H3271" s="75">
        <f>IF(ISBLANK(E3271),"",IF(OR(D3271="Butterfly",D3271="Butterfly ",D3271="Iron Fly", D3271="Iron Fly "),LEN(E3271)-LEN(SUBSTITUTE(E3271,"/",""))+2,LEN(E3271)-LEN(SUBSTITUTE(E3271,"/",""))+1))</f>
        <v/>
      </c>
      <c r="I3271" s="78">
        <f>IF(ISBLANK(G3271),"",IF(D3271="Stock","0",Key!$A$3*H3271*G3271))</f>
        <v/>
      </c>
      <c r="J3271" s="78">
        <f>IF(ISBLANK(E3271),"",IF(ISNUMBER(SEARCH("/",E3271)), IF(LEN(E3271)-LEN(SUBSTITUTE(E3271,"/",""))=1,(RIGHT(E3271,LEN(E3271)-FIND("/",E3271)))-(LEFT(E3271,FIND("/",E3271)-1)),(MID(E3271, SEARCH("/",E3271) + 1, SEARCH("/",E3271, SEARCH("/",E3271)+1) - SEARCH("/",E3271) - 1))-(LEFT(E3271,FIND("/",E3271)-1))), "NA"))</f>
        <v/>
      </c>
      <c r="K3271" s="79">
        <f>IF(A3271&lt;&gt;"", IF(ISBLANK(L3271), TODAY(), K3271), "")</f>
        <v/>
      </c>
      <c r="L3271" s="78" t="n"/>
      <c r="M3271" s="78">
        <f>IF(ISBLANK(L3271),"",IF(D3271="Stock",IF(C3271="Buy",L3271*G3271,IF(C3271="Sell",(L3271*G3271)-I3271, X)),IF(C3271="Buy",(L3271*G3271*100)+I3271,IF(C3271="Sell",(L3271*G3271*100)-I3271, X))))</f>
        <v/>
      </c>
      <c r="N3271" s="78">
        <f>IF(ISBLANK(L3271),"",IF(AND(C3271="Sell",D3271="Stock"),M3271,IF(ISBLANK(L3271),"",IF(C3271="Buy",M3271, IF(AND(C3271="Sell",J3271="NA"),(E3271*G3271*100*0.1)+I3271, IF(C3271="Sell",(J3271-L3271)*(100*G3271)+I3271))))))</f>
        <v/>
      </c>
      <c r="O3271" s="75" t="n"/>
      <c r="P3271" s="75" t="n"/>
      <c r="Q3271" s="75">
        <f>IF(ISBLANK(P3271),"",IF(D3271="Stock",P3271*G3271,IF(P3271=0,"0",G3271*P3271*100-(G3271*$AF$14))))</f>
        <v/>
      </c>
      <c r="R3271" s="79">
        <f>IF(P3271&lt;&gt;"", TODAY(), "")</f>
        <v/>
      </c>
      <c r="S3271" s="78">
        <f>IF(AND(K3271&lt;&gt;"", R3271&lt;&gt;""), R3271-K3271, "")</f>
        <v/>
      </c>
      <c r="T3271" s="78" t="n"/>
      <c r="U3271" s="92">
        <f>IF(ISBLANK(P3271),"",IF(C3271="Buy",Q3271-M3271+T3271, IF(C3271="Sell",M3271-Q3271-T3271, X)))</f>
        <v/>
      </c>
      <c r="V3271" s="81">
        <f>IF(ISBLANK(P3271),"",U3271/N3271)</f>
        <v/>
      </c>
      <c r="W3271" s="81">
        <f>IF(ISBLANK(P3271),"",IF(S3271=0,(365/0.5)*V3271,(365/S3271)*V3271))</f>
        <v/>
      </c>
      <c r="X3271" s="75" t="n"/>
      <c r="Y3271" s="77" t="n"/>
      <c r="Z3271" s="77" t="n"/>
      <c r="AA3271" s="75" t="n"/>
      <c r="AB3271" s="75" t="n"/>
      <c r="AC3271" s="6" t="n"/>
      <c r="AD3271" s="75" t="n"/>
      <c r="AE3271" s="75" t="n"/>
      <c r="AF3271" s="75" t="n"/>
    </row>
    <row r="3272" ht="15.75" customHeight="1" s="133">
      <c r="A3272" s="75" t="n"/>
      <c r="B3272" s="75" t="n"/>
      <c r="C3272" s="75" t="n"/>
      <c r="D3272" s="75" t="n"/>
      <c r="E3272" s="76" t="n"/>
      <c r="F3272" s="77" t="n"/>
      <c r="G3272" s="75" t="n"/>
      <c r="H3272" s="75">
        <f>IF(ISBLANK(E3272),"",IF(OR(D3272="Butterfly",D3272="Butterfly ",D3272="Iron Fly", D3272="Iron Fly "),LEN(E3272)-LEN(SUBSTITUTE(E3272,"/",""))+2,LEN(E3272)-LEN(SUBSTITUTE(E3272,"/",""))+1))</f>
        <v/>
      </c>
      <c r="I3272" s="78">
        <f>IF(ISBLANK(G3272),"",IF(D3272="Stock","0",Key!$A$3*H3272*G3272))</f>
        <v/>
      </c>
      <c r="J3272" s="78">
        <f>IF(ISBLANK(E3272),"",IF(ISNUMBER(SEARCH("/",E3272)), IF(LEN(E3272)-LEN(SUBSTITUTE(E3272,"/",""))=1,(RIGHT(E3272,LEN(E3272)-FIND("/",E3272)))-(LEFT(E3272,FIND("/",E3272)-1)),(MID(E3272, SEARCH("/",E3272) + 1, SEARCH("/",E3272, SEARCH("/",E3272)+1) - SEARCH("/",E3272) - 1))-(LEFT(E3272,FIND("/",E3272)-1))), "NA"))</f>
        <v/>
      </c>
      <c r="K3272" s="79">
        <f>IF(A3272&lt;&gt;"", IF(ISBLANK(L3272), TODAY(), K3272), "")</f>
        <v/>
      </c>
      <c r="L3272" s="78" t="n"/>
      <c r="M3272" s="78">
        <f>IF(ISBLANK(L3272),"",IF(D3272="Stock",IF(C3272="Buy",L3272*G3272,IF(C3272="Sell",(L3272*G3272)-I3272, X)),IF(C3272="Buy",(L3272*G3272*100)+I3272,IF(C3272="Sell",(L3272*G3272*100)-I3272, X))))</f>
        <v/>
      </c>
      <c r="N3272" s="78">
        <f>IF(ISBLANK(L3272),"",IF(AND(C3272="Sell",D3272="Stock"),M3272,IF(ISBLANK(L3272),"",IF(C3272="Buy",M3272, IF(AND(C3272="Sell",J3272="NA"),(E3272*G3272*100*0.1)+I3272, IF(C3272="Sell",(J3272-L3272)*(100*G3272)+I3272))))))</f>
        <v/>
      </c>
      <c r="O3272" s="75" t="n"/>
      <c r="P3272" s="75" t="n"/>
      <c r="Q3272" s="75">
        <f>IF(ISBLANK(P3272),"",IF(D3272="Stock",P3272*G3272,IF(P3272=0,"0",G3272*P3272*100-(G3272*$AF$14))))</f>
        <v/>
      </c>
      <c r="R3272" s="79">
        <f>IF(P3272&lt;&gt;"", TODAY(), "")</f>
        <v/>
      </c>
      <c r="S3272" s="78">
        <f>IF(AND(K3272&lt;&gt;"", R3272&lt;&gt;""), R3272-K3272, "")</f>
        <v/>
      </c>
      <c r="T3272" s="78" t="n"/>
      <c r="U3272" s="92">
        <f>IF(ISBLANK(P3272),"",IF(C3272="Buy",Q3272-M3272+T3272, IF(C3272="Sell",M3272-Q3272-T3272, X)))</f>
        <v/>
      </c>
      <c r="V3272" s="81">
        <f>IF(ISBLANK(P3272),"",U3272/N3272)</f>
        <v/>
      </c>
      <c r="W3272" s="81">
        <f>IF(ISBLANK(P3272),"",IF(S3272=0,(365/0.5)*V3272,(365/S3272)*V3272))</f>
        <v/>
      </c>
      <c r="X3272" s="75" t="n"/>
      <c r="Y3272" s="77" t="n"/>
      <c r="Z3272" s="77" t="n"/>
      <c r="AA3272" s="75" t="n"/>
      <c r="AB3272" s="75" t="n"/>
      <c r="AC3272" s="6" t="n"/>
      <c r="AD3272" s="75" t="n"/>
      <c r="AE3272" s="75" t="n"/>
      <c r="AF3272" s="75" t="n"/>
    </row>
    <row r="3273" ht="15.75" customHeight="1" s="133">
      <c r="A3273" s="75" t="n"/>
      <c r="B3273" s="75" t="n"/>
      <c r="C3273" s="75" t="n"/>
      <c r="D3273" s="75" t="n"/>
      <c r="E3273" s="76" t="n"/>
      <c r="F3273" s="77" t="n"/>
      <c r="G3273" s="75" t="n"/>
      <c r="H3273" s="75">
        <f>IF(ISBLANK(E3273),"",IF(OR(D3273="Butterfly",D3273="Butterfly ",D3273="Iron Fly", D3273="Iron Fly "),LEN(E3273)-LEN(SUBSTITUTE(E3273,"/",""))+2,LEN(E3273)-LEN(SUBSTITUTE(E3273,"/",""))+1))</f>
        <v/>
      </c>
      <c r="I3273" s="78">
        <f>IF(ISBLANK(G3273),"",IF(D3273="Stock","0",Key!$A$3*H3273*G3273))</f>
        <v/>
      </c>
      <c r="J3273" s="78">
        <f>IF(ISBLANK(E3273),"",IF(ISNUMBER(SEARCH("/",E3273)), IF(LEN(E3273)-LEN(SUBSTITUTE(E3273,"/",""))=1,(RIGHT(E3273,LEN(E3273)-FIND("/",E3273)))-(LEFT(E3273,FIND("/",E3273)-1)),(MID(E3273, SEARCH("/",E3273) + 1, SEARCH("/",E3273, SEARCH("/",E3273)+1) - SEARCH("/",E3273) - 1))-(LEFT(E3273,FIND("/",E3273)-1))), "NA"))</f>
        <v/>
      </c>
      <c r="K3273" s="79">
        <f>IF(A3273&lt;&gt;"", IF(ISBLANK(L3273), TODAY(), K3273), "")</f>
        <v/>
      </c>
      <c r="L3273" s="78" t="n"/>
      <c r="M3273" s="78">
        <f>IF(ISBLANK(L3273),"",IF(D3273="Stock",IF(C3273="Buy",L3273*G3273,IF(C3273="Sell",(L3273*G3273)-I3273, X)),IF(C3273="Buy",(L3273*G3273*100)+I3273,IF(C3273="Sell",(L3273*G3273*100)-I3273, X))))</f>
        <v/>
      </c>
      <c r="N3273" s="78">
        <f>IF(ISBLANK(L3273),"",IF(AND(C3273="Sell",D3273="Stock"),M3273,IF(ISBLANK(L3273),"",IF(C3273="Buy",M3273, IF(AND(C3273="Sell",J3273="NA"),(E3273*G3273*100*0.1)+I3273, IF(C3273="Sell",(J3273-L3273)*(100*G3273)+I3273))))))</f>
        <v/>
      </c>
      <c r="O3273" s="75" t="n"/>
      <c r="P3273" s="75" t="n"/>
      <c r="Q3273" s="75">
        <f>IF(ISBLANK(P3273),"",IF(D3273="Stock",P3273*G3273,IF(P3273=0,"0",G3273*P3273*100-(G3273*$AF$14))))</f>
        <v/>
      </c>
      <c r="R3273" s="79">
        <f>IF(P3273&lt;&gt;"", TODAY(), "")</f>
        <v/>
      </c>
      <c r="S3273" s="78">
        <f>IF(AND(K3273&lt;&gt;"", R3273&lt;&gt;""), R3273-K3273, "")</f>
        <v/>
      </c>
      <c r="T3273" s="78" t="n"/>
      <c r="U3273" s="92">
        <f>IF(ISBLANK(P3273),"",IF(C3273="Buy",Q3273-M3273+T3273, IF(C3273="Sell",M3273-Q3273-T3273, X)))</f>
        <v/>
      </c>
      <c r="V3273" s="81">
        <f>IF(ISBLANK(P3273),"",U3273/N3273)</f>
        <v/>
      </c>
      <c r="W3273" s="81">
        <f>IF(ISBLANK(P3273),"",IF(S3273=0,(365/0.5)*V3273,(365/S3273)*V3273))</f>
        <v/>
      </c>
      <c r="X3273" s="75" t="n"/>
      <c r="Y3273" s="77" t="n"/>
      <c r="Z3273" s="77" t="n"/>
      <c r="AA3273" s="75" t="n"/>
      <c r="AB3273" s="75" t="n"/>
      <c r="AC3273" s="6" t="n"/>
      <c r="AD3273" s="75" t="n"/>
      <c r="AE3273" s="75" t="n"/>
      <c r="AF3273" s="75" t="n"/>
    </row>
    <row r="3274" ht="15.75" customHeight="1" s="133">
      <c r="A3274" s="75" t="n"/>
      <c r="B3274" s="75" t="n"/>
      <c r="C3274" s="75" t="n"/>
      <c r="D3274" s="75" t="n"/>
      <c r="E3274" s="76" t="n"/>
      <c r="F3274" s="77" t="n"/>
      <c r="G3274" s="75" t="n"/>
      <c r="H3274" s="75">
        <f>IF(ISBLANK(E3274),"",IF(OR(D3274="Butterfly",D3274="Butterfly ",D3274="Iron Fly", D3274="Iron Fly "),LEN(E3274)-LEN(SUBSTITUTE(E3274,"/",""))+2,LEN(E3274)-LEN(SUBSTITUTE(E3274,"/",""))+1))</f>
        <v/>
      </c>
      <c r="I3274" s="78">
        <f>IF(ISBLANK(G3274),"",IF(D3274="Stock","0",Key!$A$3*H3274*G3274))</f>
        <v/>
      </c>
      <c r="J3274" s="78">
        <f>IF(ISBLANK(E3274),"",IF(ISNUMBER(SEARCH("/",E3274)), IF(LEN(E3274)-LEN(SUBSTITUTE(E3274,"/",""))=1,(RIGHT(E3274,LEN(E3274)-FIND("/",E3274)))-(LEFT(E3274,FIND("/",E3274)-1)),(MID(E3274, SEARCH("/",E3274) + 1, SEARCH("/",E3274, SEARCH("/",E3274)+1) - SEARCH("/",E3274) - 1))-(LEFT(E3274,FIND("/",E3274)-1))), "NA"))</f>
        <v/>
      </c>
      <c r="K3274" s="79">
        <f>IF(A3274&lt;&gt;"", IF(ISBLANK(L3274), TODAY(), K3274), "")</f>
        <v/>
      </c>
      <c r="L3274" s="78" t="n"/>
      <c r="M3274" s="78">
        <f>IF(ISBLANK(L3274),"",IF(D3274="Stock",IF(C3274="Buy",L3274*G3274,IF(C3274="Sell",(L3274*G3274)-I3274, X)),IF(C3274="Buy",(L3274*G3274*100)+I3274,IF(C3274="Sell",(L3274*G3274*100)-I3274, X))))</f>
        <v/>
      </c>
      <c r="N3274" s="78">
        <f>IF(ISBLANK(L3274),"",IF(AND(C3274="Sell",D3274="Stock"),M3274,IF(ISBLANK(L3274),"",IF(C3274="Buy",M3274, IF(AND(C3274="Sell",J3274="NA"),(E3274*G3274*100*0.1)+I3274, IF(C3274="Sell",(J3274-L3274)*(100*G3274)+I3274))))))</f>
        <v/>
      </c>
      <c r="O3274" s="75" t="n"/>
      <c r="P3274" s="75" t="n"/>
      <c r="Q3274" s="75">
        <f>IF(ISBLANK(P3274),"",IF(D3274="Stock",P3274*G3274,IF(P3274=0,"0",G3274*P3274*100-(G3274*$AF$14))))</f>
        <v/>
      </c>
      <c r="R3274" s="79">
        <f>IF(P3274&lt;&gt;"", TODAY(), "")</f>
        <v/>
      </c>
      <c r="S3274" s="78">
        <f>IF(AND(K3274&lt;&gt;"", R3274&lt;&gt;""), R3274-K3274, "")</f>
        <v/>
      </c>
      <c r="T3274" s="78" t="n"/>
      <c r="U3274" s="92">
        <f>IF(ISBLANK(P3274),"",IF(C3274="Buy",Q3274-M3274+T3274, IF(C3274="Sell",M3274-Q3274-T3274, X)))</f>
        <v/>
      </c>
      <c r="V3274" s="81">
        <f>IF(ISBLANK(P3274),"",U3274/N3274)</f>
        <v/>
      </c>
      <c r="W3274" s="81">
        <f>IF(ISBLANK(P3274),"",IF(S3274=0,(365/0.5)*V3274,(365/S3274)*V3274))</f>
        <v/>
      </c>
      <c r="X3274" s="75" t="n"/>
      <c r="Y3274" s="77" t="n"/>
      <c r="Z3274" s="77" t="n"/>
      <c r="AA3274" s="75" t="n"/>
      <c r="AB3274" s="75" t="n"/>
      <c r="AC3274" s="6" t="n"/>
      <c r="AD3274" s="75" t="n"/>
      <c r="AE3274" s="75" t="n"/>
      <c r="AF3274" s="75" t="n"/>
    </row>
    <row r="3275" ht="15.75" customHeight="1" s="133">
      <c r="A3275" s="75" t="n"/>
      <c r="B3275" s="75" t="n"/>
      <c r="C3275" s="75" t="n"/>
      <c r="D3275" s="75" t="n"/>
      <c r="E3275" s="76" t="n"/>
      <c r="F3275" s="77" t="n"/>
      <c r="G3275" s="75" t="n"/>
      <c r="H3275" s="75">
        <f>IF(ISBLANK(E3275),"",IF(OR(D3275="Butterfly",D3275="Butterfly ",D3275="Iron Fly", D3275="Iron Fly "),LEN(E3275)-LEN(SUBSTITUTE(E3275,"/",""))+2,LEN(E3275)-LEN(SUBSTITUTE(E3275,"/",""))+1))</f>
        <v/>
      </c>
      <c r="I3275" s="78">
        <f>IF(ISBLANK(G3275),"",IF(D3275="Stock","0",Key!$A$3*H3275*G3275))</f>
        <v/>
      </c>
      <c r="J3275" s="78">
        <f>IF(ISBLANK(E3275),"",IF(ISNUMBER(SEARCH("/",E3275)), IF(LEN(E3275)-LEN(SUBSTITUTE(E3275,"/",""))=1,(RIGHT(E3275,LEN(E3275)-FIND("/",E3275)))-(LEFT(E3275,FIND("/",E3275)-1)),(MID(E3275, SEARCH("/",E3275) + 1, SEARCH("/",E3275, SEARCH("/",E3275)+1) - SEARCH("/",E3275) - 1))-(LEFT(E3275,FIND("/",E3275)-1))), "NA"))</f>
        <v/>
      </c>
      <c r="K3275" s="79">
        <f>IF(A3275&lt;&gt;"", IF(ISBLANK(L3275), TODAY(), K3275), "")</f>
        <v/>
      </c>
      <c r="L3275" s="78" t="n"/>
      <c r="M3275" s="78">
        <f>IF(ISBLANK(L3275),"",IF(D3275="Stock",IF(C3275="Buy",L3275*G3275,IF(C3275="Sell",(L3275*G3275)-I3275, X)),IF(C3275="Buy",(L3275*G3275*100)+I3275,IF(C3275="Sell",(L3275*G3275*100)-I3275, X))))</f>
        <v/>
      </c>
      <c r="N3275" s="78">
        <f>IF(ISBLANK(L3275),"",IF(AND(C3275="Sell",D3275="Stock"),M3275,IF(ISBLANK(L3275),"",IF(C3275="Buy",M3275, IF(AND(C3275="Sell",J3275="NA"),(E3275*G3275*100*0.1)+I3275, IF(C3275="Sell",(J3275-L3275)*(100*G3275)+I3275))))))</f>
        <v/>
      </c>
      <c r="O3275" s="75" t="n"/>
      <c r="P3275" s="75" t="n"/>
      <c r="Q3275" s="75">
        <f>IF(ISBLANK(P3275),"",IF(D3275="Stock",P3275*G3275,IF(P3275=0,"0",G3275*P3275*100-(G3275*$AF$14))))</f>
        <v/>
      </c>
      <c r="R3275" s="79">
        <f>IF(P3275&lt;&gt;"", TODAY(), "")</f>
        <v/>
      </c>
      <c r="S3275" s="78">
        <f>IF(AND(K3275&lt;&gt;"", R3275&lt;&gt;""), R3275-K3275, "")</f>
        <v/>
      </c>
      <c r="T3275" s="78" t="n"/>
      <c r="U3275" s="92">
        <f>IF(ISBLANK(P3275),"",IF(C3275="Buy",Q3275-M3275+T3275, IF(C3275="Sell",M3275-Q3275-T3275, X)))</f>
        <v/>
      </c>
      <c r="V3275" s="81">
        <f>IF(ISBLANK(P3275),"",U3275/N3275)</f>
        <v/>
      </c>
      <c r="W3275" s="81">
        <f>IF(ISBLANK(P3275),"",IF(S3275=0,(365/0.5)*V3275,(365/S3275)*V3275))</f>
        <v/>
      </c>
      <c r="X3275" s="75" t="n"/>
      <c r="Y3275" s="77" t="n"/>
      <c r="Z3275" s="77" t="n"/>
      <c r="AA3275" s="75" t="n"/>
      <c r="AB3275" s="75" t="n"/>
      <c r="AC3275" s="6" t="n"/>
      <c r="AD3275" s="75" t="n"/>
      <c r="AE3275" s="75" t="n"/>
      <c r="AF3275" s="75" t="n"/>
    </row>
    <row r="3276" ht="15.75" customHeight="1" s="133">
      <c r="A3276" s="75" t="n"/>
      <c r="B3276" s="75" t="n"/>
      <c r="C3276" s="75" t="n"/>
      <c r="D3276" s="75" t="n"/>
      <c r="E3276" s="76" t="n"/>
      <c r="F3276" s="77" t="n"/>
      <c r="G3276" s="75" t="n"/>
      <c r="H3276" s="75">
        <f>IF(ISBLANK(E3276),"",IF(OR(D3276="Butterfly",D3276="Butterfly ",D3276="Iron Fly", D3276="Iron Fly "),LEN(E3276)-LEN(SUBSTITUTE(E3276,"/",""))+2,LEN(E3276)-LEN(SUBSTITUTE(E3276,"/",""))+1))</f>
        <v/>
      </c>
      <c r="I3276" s="78">
        <f>IF(ISBLANK(G3276),"",IF(D3276="Stock","0",Key!$A$3*H3276*G3276))</f>
        <v/>
      </c>
      <c r="J3276" s="78">
        <f>IF(ISBLANK(E3276),"",IF(ISNUMBER(SEARCH("/",E3276)), IF(LEN(E3276)-LEN(SUBSTITUTE(E3276,"/",""))=1,(RIGHT(E3276,LEN(E3276)-FIND("/",E3276)))-(LEFT(E3276,FIND("/",E3276)-1)),(MID(E3276, SEARCH("/",E3276) + 1, SEARCH("/",E3276, SEARCH("/",E3276)+1) - SEARCH("/",E3276) - 1))-(LEFT(E3276,FIND("/",E3276)-1))), "NA"))</f>
        <v/>
      </c>
      <c r="K3276" s="79">
        <f>IF(A3276&lt;&gt;"", IF(ISBLANK(L3276), TODAY(), K3276), "")</f>
        <v/>
      </c>
      <c r="L3276" s="78" t="n"/>
      <c r="M3276" s="78">
        <f>IF(ISBLANK(L3276),"",IF(D3276="Stock",IF(C3276="Buy",L3276*G3276,IF(C3276="Sell",(L3276*G3276)-I3276, X)),IF(C3276="Buy",(L3276*G3276*100)+I3276,IF(C3276="Sell",(L3276*G3276*100)-I3276, X))))</f>
        <v/>
      </c>
      <c r="N3276" s="78">
        <f>IF(ISBLANK(L3276),"",IF(AND(C3276="Sell",D3276="Stock"),M3276,IF(ISBLANK(L3276),"",IF(C3276="Buy",M3276, IF(AND(C3276="Sell",J3276="NA"),(E3276*G3276*100*0.1)+I3276, IF(C3276="Sell",(J3276-L3276)*(100*G3276)+I3276))))))</f>
        <v/>
      </c>
      <c r="O3276" s="75" t="n"/>
      <c r="P3276" s="75" t="n"/>
      <c r="Q3276" s="75">
        <f>IF(ISBLANK(P3276),"",IF(D3276="Stock",P3276*G3276,IF(P3276=0,"0",G3276*P3276*100-(G3276*$AF$14))))</f>
        <v/>
      </c>
      <c r="R3276" s="79">
        <f>IF(P3276&lt;&gt;"", TODAY(), "")</f>
        <v/>
      </c>
      <c r="S3276" s="78">
        <f>IF(AND(K3276&lt;&gt;"", R3276&lt;&gt;""), R3276-K3276, "")</f>
        <v/>
      </c>
      <c r="T3276" s="78" t="n"/>
      <c r="U3276" s="92">
        <f>IF(ISBLANK(P3276),"",IF(C3276="Buy",Q3276-M3276+T3276, IF(C3276="Sell",M3276-Q3276-T3276, X)))</f>
        <v/>
      </c>
      <c r="V3276" s="81">
        <f>IF(ISBLANK(P3276),"",U3276/N3276)</f>
        <v/>
      </c>
      <c r="W3276" s="81">
        <f>IF(ISBLANK(P3276),"",IF(S3276=0,(365/0.5)*V3276,(365/S3276)*V3276))</f>
        <v/>
      </c>
      <c r="X3276" s="75" t="n"/>
      <c r="Y3276" s="77" t="n"/>
      <c r="Z3276" s="77" t="n"/>
      <c r="AA3276" s="75" t="n"/>
      <c r="AB3276" s="75" t="n"/>
      <c r="AC3276" s="6" t="n"/>
      <c r="AD3276" s="75" t="n"/>
      <c r="AE3276" s="75" t="n"/>
      <c r="AF3276" s="75" t="n"/>
    </row>
    <row r="3277" ht="15.75" customHeight="1" s="133">
      <c r="A3277" s="75" t="n"/>
      <c r="B3277" s="75" t="n"/>
      <c r="C3277" s="75" t="n"/>
      <c r="D3277" s="75" t="n"/>
      <c r="E3277" s="76" t="n"/>
      <c r="F3277" s="77" t="n"/>
      <c r="G3277" s="75" t="n"/>
      <c r="H3277" s="75">
        <f>IF(ISBLANK(E3277),"",IF(OR(D3277="Butterfly",D3277="Butterfly ",D3277="Iron Fly", D3277="Iron Fly "),LEN(E3277)-LEN(SUBSTITUTE(E3277,"/",""))+2,LEN(E3277)-LEN(SUBSTITUTE(E3277,"/",""))+1))</f>
        <v/>
      </c>
      <c r="I3277" s="78">
        <f>IF(ISBLANK(G3277),"",IF(D3277="Stock","0",Key!$A$3*H3277*G3277))</f>
        <v/>
      </c>
      <c r="J3277" s="78">
        <f>IF(ISBLANK(E3277),"",IF(ISNUMBER(SEARCH("/",E3277)), IF(LEN(E3277)-LEN(SUBSTITUTE(E3277,"/",""))=1,(RIGHT(E3277,LEN(E3277)-FIND("/",E3277)))-(LEFT(E3277,FIND("/",E3277)-1)),(MID(E3277, SEARCH("/",E3277) + 1, SEARCH("/",E3277, SEARCH("/",E3277)+1) - SEARCH("/",E3277) - 1))-(LEFT(E3277,FIND("/",E3277)-1))), "NA"))</f>
        <v/>
      </c>
      <c r="K3277" s="79">
        <f>IF(A3277&lt;&gt;"", IF(ISBLANK(L3277), TODAY(), K3277), "")</f>
        <v/>
      </c>
      <c r="L3277" s="78" t="n"/>
      <c r="M3277" s="78">
        <f>IF(ISBLANK(L3277),"",IF(D3277="Stock",IF(C3277="Buy",L3277*G3277,IF(C3277="Sell",(L3277*G3277)-I3277, X)),IF(C3277="Buy",(L3277*G3277*100)+I3277,IF(C3277="Sell",(L3277*G3277*100)-I3277, X))))</f>
        <v/>
      </c>
      <c r="N3277" s="78">
        <f>IF(ISBLANK(L3277),"",IF(AND(C3277="Sell",D3277="Stock"),M3277,IF(ISBLANK(L3277),"",IF(C3277="Buy",M3277, IF(AND(C3277="Sell",J3277="NA"),(E3277*G3277*100*0.1)+I3277, IF(C3277="Sell",(J3277-L3277)*(100*G3277)+I3277))))))</f>
        <v/>
      </c>
      <c r="O3277" s="75" t="n"/>
      <c r="P3277" s="75" t="n"/>
      <c r="Q3277" s="75">
        <f>IF(ISBLANK(P3277),"",IF(D3277="Stock",P3277*G3277,IF(P3277=0,"0",G3277*P3277*100-(G3277*$AF$14))))</f>
        <v/>
      </c>
      <c r="R3277" s="79">
        <f>IF(P3277&lt;&gt;"", TODAY(), "")</f>
        <v/>
      </c>
      <c r="S3277" s="78">
        <f>IF(AND(K3277&lt;&gt;"", R3277&lt;&gt;""), R3277-K3277, "")</f>
        <v/>
      </c>
      <c r="T3277" s="78" t="n"/>
      <c r="U3277" s="92">
        <f>IF(ISBLANK(P3277),"",IF(C3277="Buy",Q3277-M3277+T3277, IF(C3277="Sell",M3277-Q3277-T3277, X)))</f>
        <v/>
      </c>
      <c r="V3277" s="81">
        <f>IF(ISBLANK(P3277),"",U3277/N3277)</f>
        <v/>
      </c>
      <c r="W3277" s="81">
        <f>IF(ISBLANK(P3277),"",IF(S3277=0,(365/0.5)*V3277,(365/S3277)*V3277))</f>
        <v/>
      </c>
      <c r="X3277" s="75" t="n"/>
      <c r="Y3277" s="77" t="n"/>
      <c r="Z3277" s="77" t="n"/>
      <c r="AA3277" s="75" t="n"/>
      <c r="AB3277" s="75" t="n"/>
      <c r="AC3277" s="6" t="n"/>
      <c r="AD3277" s="75" t="n"/>
      <c r="AE3277" s="75" t="n"/>
      <c r="AF3277" s="75" t="n"/>
    </row>
    <row r="3278" ht="15.75" customHeight="1" s="133">
      <c r="A3278" s="75" t="n"/>
      <c r="B3278" s="75" t="n"/>
      <c r="C3278" s="75" t="n"/>
      <c r="D3278" s="75" t="n"/>
      <c r="E3278" s="76" t="n"/>
      <c r="F3278" s="77" t="n"/>
      <c r="G3278" s="75" t="n"/>
      <c r="H3278" s="75">
        <f>IF(ISBLANK(E3278),"",IF(OR(D3278="Butterfly",D3278="Butterfly ",D3278="Iron Fly", D3278="Iron Fly "),LEN(E3278)-LEN(SUBSTITUTE(E3278,"/",""))+2,LEN(E3278)-LEN(SUBSTITUTE(E3278,"/",""))+1))</f>
        <v/>
      </c>
      <c r="I3278" s="78">
        <f>IF(ISBLANK(G3278),"",IF(D3278="Stock","0",Key!$A$3*H3278*G3278))</f>
        <v/>
      </c>
      <c r="J3278" s="78">
        <f>IF(ISBLANK(E3278),"",IF(ISNUMBER(SEARCH("/",E3278)), IF(LEN(E3278)-LEN(SUBSTITUTE(E3278,"/",""))=1,(RIGHT(E3278,LEN(E3278)-FIND("/",E3278)))-(LEFT(E3278,FIND("/",E3278)-1)),(MID(E3278, SEARCH("/",E3278) + 1, SEARCH("/",E3278, SEARCH("/",E3278)+1) - SEARCH("/",E3278) - 1))-(LEFT(E3278,FIND("/",E3278)-1))), "NA"))</f>
        <v/>
      </c>
      <c r="K3278" s="79">
        <f>IF(A3278&lt;&gt;"", IF(ISBLANK(L3278), TODAY(), K3278), "")</f>
        <v/>
      </c>
      <c r="L3278" s="78" t="n"/>
      <c r="M3278" s="78">
        <f>IF(ISBLANK(L3278),"",IF(D3278="Stock",IF(C3278="Buy",L3278*G3278,IF(C3278="Sell",(L3278*G3278)-I3278, X)),IF(C3278="Buy",(L3278*G3278*100)+I3278,IF(C3278="Sell",(L3278*G3278*100)-I3278, X))))</f>
        <v/>
      </c>
      <c r="N3278" s="78">
        <f>IF(ISBLANK(L3278),"",IF(AND(C3278="Sell",D3278="Stock"),M3278,IF(ISBLANK(L3278),"",IF(C3278="Buy",M3278, IF(AND(C3278="Sell",J3278="NA"),(E3278*G3278*100*0.1)+I3278, IF(C3278="Sell",(J3278-L3278)*(100*G3278)+I3278))))))</f>
        <v/>
      </c>
      <c r="O3278" s="75" t="n"/>
      <c r="P3278" s="75" t="n"/>
      <c r="Q3278" s="75">
        <f>IF(ISBLANK(P3278),"",IF(D3278="Stock",P3278*G3278,IF(P3278=0,"0",G3278*P3278*100-(G3278*$AF$14))))</f>
        <v/>
      </c>
      <c r="R3278" s="79">
        <f>IF(P3278&lt;&gt;"", TODAY(), "")</f>
        <v/>
      </c>
      <c r="S3278" s="78">
        <f>IF(AND(K3278&lt;&gt;"", R3278&lt;&gt;""), R3278-K3278, "")</f>
        <v/>
      </c>
      <c r="T3278" s="78" t="n"/>
      <c r="U3278" s="92">
        <f>IF(ISBLANK(P3278),"",IF(C3278="Buy",Q3278-M3278+T3278, IF(C3278="Sell",M3278-Q3278-T3278, X)))</f>
        <v/>
      </c>
      <c r="V3278" s="81">
        <f>IF(ISBLANK(P3278),"",U3278/N3278)</f>
        <v/>
      </c>
      <c r="W3278" s="81">
        <f>IF(ISBLANK(P3278),"",IF(S3278=0,(365/0.5)*V3278,(365/S3278)*V3278))</f>
        <v/>
      </c>
      <c r="X3278" s="75" t="n"/>
      <c r="Y3278" s="77" t="n"/>
      <c r="Z3278" s="77" t="n"/>
      <c r="AA3278" s="75" t="n"/>
      <c r="AB3278" s="75" t="n"/>
      <c r="AC3278" s="6" t="n"/>
      <c r="AD3278" s="75" t="n"/>
      <c r="AE3278" s="75" t="n"/>
      <c r="AF3278" s="75" t="n"/>
    </row>
    <row r="3279" ht="15.75" customHeight="1" s="133">
      <c r="A3279" s="75" t="n"/>
      <c r="B3279" s="75" t="n"/>
      <c r="C3279" s="75" t="n"/>
      <c r="D3279" s="75" t="n"/>
      <c r="E3279" s="76" t="n"/>
      <c r="F3279" s="77" t="n"/>
      <c r="G3279" s="75" t="n"/>
      <c r="H3279" s="75">
        <f>IF(ISBLANK(E3279),"",IF(OR(D3279="Butterfly",D3279="Butterfly ",D3279="Iron Fly", D3279="Iron Fly "),LEN(E3279)-LEN(SUBSTITUTE(E3279,"/",""))+2,LEN(E3279)-LEN(SUBSTITUTE(E3279,"/",""))+1))</f>
        <v/>
      </c>
      <c r="I3279" s="78">
        <f>IF(ISBLANK(G3279),"",IF(D3279="Stock","0",Key!$A$3*H3279*G3279))</f>
        <v/>
      </c>
      <c r="J3279" s="78">
        <f>IF(ISBLANK(E3279),"",IF(ISNUMBER(SEARCH("/",E3279)), IF(LEN(E3279)-LEN(SUBSTITUTE(E3279,"/",""))=1,(RIGHT(E3279,LEN(E3279)-FIND("/",E3279)))-(LEFT(E3279,FIND("/",E3279)-1)),(MID(E3279, SEARCH("/",E3279) + 1, SEARCH("/",E3279, SEARCH("/",E3279)+1) - SEARCH("/",E3279) - 1))-(LEFT(E3279,FIND("/",E3279)-1))), "NA"))</f>
        <v/>
      </c>
      <c r="K3279" s="79">
        <f>IF(A3279&lt;&gt;"", IF(ISBLANK(L3279), TODAY(), K3279), "")</f>
        <v/>
      </c>
      <c r="L3279" s="78" t="n"/>
      <c r="M3279" s="78">
        <f>IF(ISBLANK(L3279),"",IF(D3279="Stock",IF(C3279="Buy",L3279*G3279,IF(C3279="Sell",(L3279*G3279)-I3279, X)),IF(C3279="Buy",(L3279*G3279*100)+I3279,IF(C3279="Sell",(L3279*G3279*100)-I3279, X))))</f>
        <v/>
      </c>
      <c r="N3279" s="78">
        <f>IF(ISBLANK(L3279),"",IF(AND(C3279="Sell",D3279="Stock"),M3279,IF(ISBLANK(L3279),"",IF(C3279="Buy",M3279, IF(AND(C3279="Sell",J3279="NA"),(E3279*G3279*100*0.1)+I3279, IF(C3279="Sell",(J3279-L3279)*(100*G3279)+I3279))))))</f>
        <v/>
      </c>
      <c r="O3279" s="75" t="n"/>
      <c r="P3279" s="75" t="n"/>
      <c r="Q3279" s="75">
        <f>IF(ISBLANK(P3279),"",IF(D3279="Stock",P3279*G3279,IF(P3279=0,"0",G3279*P3279*100-(G3279*$AF$14))))</f>
        <v/>
      </c>
      <c r="R3279" s="79">
        <f>IF(P3279&lt;&gt;"", TODAY(), "")</f>
        <v/>
      </c>
      <c r="S3279" s="78">
        <f>IF(AND(K3279&lt;&gt;"", R3279&lt;&gt;""), R3279-K3279, "")</f>
        <v/>
      </c>
      <c r="T3279" s="78" t="n"/>
      <c r="U3279" s="92">
        <f>IF(ISBLANK(P3279),"",IF(C3279="Buy",Q3279-M3279+T3279, IF(C3279="Sell",M3279-Q3279-T3279, X)))</f>
        <v/>
      </c>
      <c r="V3279" s="81">
        <f>IF(ISBLANK(P3279),"",U3279/N3279)</f>
        <v/>
      </c>
      <c r="W3279" s="81">
        <f>IF(ISBLANK(P3279),"",IF(S3279=0,(365/0.5)*V3279,(365/S3279)*V3279))</f>
        <v/>
      </c>
      <c r="X3279" s="75" t="n"/>
      <c r="Y3279" s="77" t="n"/>
      <c r="Z3279" s="77" t="n"/>
      <c r="AA3279" s="75" t="n"/>
      <c r="AB3279" s="75" t="n"/>
      <c r="AC3279" s="6" t="n"/>
      <c r="AD3279" s="75" t="n"/>
      <c r="AE3279" s="75" t="n"/>
      <c r="AF3279" s="75" t="n"/>
    </row>
    <row r="3280" ht="15.75" customHeight="1" s="133">
      <c r="A3280" s="75" t="n"/>
      <c r="B3280" s="75" t="n"/>
      <c r="C3280" s="75" t="n"/>
      <c r="D3280" s="75" t="n"/>
      <c r="E3280" s="76" t="n"/>
      <c r="F3280" s="77" t="n"/>
      <c r="G3280" s="75" t="n"/>
      <c r="H3280" s="75">
        <f>IF(ISBLANK(E3280),"",IF(OR(D3280="Butterfly",D3280="Butterfly ",D3280="Iron Fly", D3280="Iron Fly "),LEN(E3280)-LEN(SUBSTITUTE(E3280,"/",""))+2,LEN(E3280)-LEN(SUBSTITUTE(E3280,"/",""))+1))</f>
        <v/>
      </c>
      <c r="I3280" s="78">
        <f>IF(ISBLANK(G3280),"",IF(D3280="Stock","0",Key!$A$3*H3280*G3280))</f>
        <v/>
      </c>
      <c r="J3280" s="78">
        <f>IF(ISBLANK(E3280),"",IF(ISNUMBER(SEARCH("/",E3280)), IF(LEN(E3280)-LEN(SUBSTITUTE(E3280,"/",""))=1,(RIGHT(E3280,LEN(E3280)-FIND("/",E3280)))-(LEFT(E3280,FIND("/",E3280)-1)),(MID(E3280, SEARCH("/",E3280) + 1, SEARCH("/",E3280, SEARCH("/",E3280)+1) - SEARCH("/",E3280) - 1))-(LEFT(E3280,FIND("/",E3280)-1))), "NA"))</f>
        <v/>
      </c>
      <c r="K3280" s="79">
        <f>IF(A3280&lt;&gt;"", IF(ISBLANK(L3280), TODAY(), K3280), "")</f>
        <v/>
      </c>
      <c r="L3280" s="78" t="n"/>
      <c r="M3280" s="78">
        <f>IF(ISBLANK(L3280),"",IF(D3280="Stock",IF(C3280="Buy",L3280*G3280,IF(C3280="Sell",(L3280*G3280)-I3280, X)),IF(C3280="Buy",(L3280*G3280*100)+I3280,IF(C3280="Sell",(L3280*G3280*100)-I3280, X))))</f>
        <v/>
      </c>
      <c r="N3280" s="78">
        <f>IF(ISBLANK(L3280),"",IF(AND(C3280="Sell",D3280="Stock"),M3280,IF(ISBLANK(L3280),"",IF(C3280="Buy",M3280, IF(AND(C3280="Sell",J3280="NA"),(E3280*G3280*100*0.1)+I3280, IF(C3280="Sell",(J3280-L3280)*(100*G3280)+I3280))))))</f>
        <v/>
      </c>
      <c r="O3280" s="75" t="n"/>
      <c r="P3280" s="75" t="n"/>
      <c r="Q3280" s="75">
        <f>IF(ISBLANK(P3280),"",IF(D3280="Stock",P3280*G3280,IF(P3280=0,"0",G3280*P3280*100-(G3280*$AF$14))))</f>
        <v/>
      </c>
      <c r="R3280" s="79">
        <f>IF(P3280&lt;&gt;"", TODAY(), "")</f>
        <v/>
      </c>
      <c r="S3280" s="78">
        <f>IF(AND(K3280&lt;&gt;"", R3280&lt;&gt;""), R3280-K3280, "")</f>
        <v/>
      </c>
      <c r="T3280" s="78" t="n"/>
      <c r="U3280" s="92">
        <f>IF(ISBLANK(P3280),"",IF(C3280="Buy",Q3280-M3280+T3280, IF(C3280="Sell",M3280-Q3280-T3280, X)))</f>
        <v/>
      </c>
      <c r="V3280" s="81">
        <f>IF(ISBLANK(P3280),"",U3280/N3280)</f>
        <v/>
      </c>
      <c r="W3280" s="81">
        <f>IF(ISBLANK(P3280),"",IF(S3280=0,(365/0.5)*V3280,(365/S3280)*V3280))</f>
        <v/>
      </c>
      <c r="X3280" s="75" t="n"/>
      <c r="Y3280" s="77" t="n"/>
      <c r="Z3280" s="77" t="n"/>
      <c r="AA3280" s="75" t="n"/>
      <c r="AB3280" s="75" t="n"/>
      <c r="AC3280" s="6" t="n"/>
      <c r="AD3280" s="75" t="n"/>
      <c r="AE3280" s="75" t="n"/>
      <c r="AF3280" s="75" t="n"/>
    </row>
    <row r="3281" ht="15.75" customHeight="1" s="133">
      <c r="A3281" s="75" t="n"/>
      <c r="B3281" s="75" t="n"/>
      <c r="C3281" s="75" t="n"/>
      <c r="D3281" s="75" t="n"/>
      <c r="E3281" s="76" t="n"/>
      <c r="F3281" s="77" t="n"/>
      <c r="G3281" s="75" t="n"/>
      <c r="H3281" s="75">
        <f>IF(ISBLANK(E3281),"",IF(OR(D3281="Butterfly",D3281="Butterfly ",D3281="Iron Fly", D3281="Iron Fly "),LEN(E3281)-LEN(SUBSTITUTE(E3281,"/",""))+2,LEN(E3281)-LEN(SUBSTITUTE(E3281,"/",""))+1))</f>
        <v/>
      </c>
      <c r="I3281" s="78">
        <f>IF(ISBLANK(G3281),"",IF(D3281="Stock","0",Key!$A$3*H3281*G3281))</f>
        <v/>
      </c>
      <c r="J3281" s="78">
        <f>IF(ISBLANK(E3281),"",IF(ISNUMBER(SEARCH("/",E3281)), IF(LEN(E3281)-LEN(SUBSTITUTE(E3281,"/",""))=1,(RIGHT(E3281,LEN(E3281)-FIND("/",E3281)))-(LEFT(E3281,FIND("/",E3281)-1)),(MID(E3281, SEARCH("/",E3281) + 1, SEARCH("/",E3281, SEARCH("/",E3281)+1) - SEARCH("/",E3281) - 1))-(LEFT(E3281,FIND("/",E3281)-1))), "NA"))</f>
        <v/>
      </c>
      <c r="K3281" s="79">
        <f>IF(A3281&lt;&gt;"", IF(ISBLANK(L3281), TODAY(), K3281), "")</f>
        <v/>
      </c>
      <c r="L3281" s="78" t="n"/>
      <c r="M3281" s="78">
        <f>IF(ISBLANK(L3281),"",IF(D3281="Stock",IF(C3281="Buy",L3281*G3281,IF(C3281="Sell",(L3281*G3281)-I3281, X)),IF(C3281="Buy",(L3281*G3281*100)+I3281,IF(C3281="Sell",(L3281*G3281*100)-I3281, X))))</f>
        <v/>
      </c>
      <c r="N3281" s="78">
        <f>IF(ISBLANK(L3281),"",IF(AND(C3281="Sell",D3281="Stock"),M3281,IF(ISBLANK(L3281),"",IF(C3281="Buy",M3281, IF(AND(C3281="Sell",J3281="NA"),(E3281*G3281*100*0.1)+I3281, IF(C3281="Sell",(J3281-L3281)*(100*G3281)+I3281))))))</f>
        <v/>
      </c>
      <c r="O3281" s="75" t="n"/>
      <c r="P3281" s="75" t="n"/>
      <c r="Q3281" s="75">
        <f>IF(ISBLANK(P3281),"",IF(D3281="Stock",P3281*G3281,IF(P3281=0,"0",G3281*P3281*100-(G3281*$AF$14))))</f>
        <v/>
      </c>
      <c r="R3281" s="79">
        <f>IF(P3281&lt;&gt;"", TODAY(), "")</f>
        <v/>
      </c>
      <c r="S3281" s="78">
        <f>IF(AND(K3281&lt;&gt;"", R3281&lt;&gt;""), R3281-K3281, "")</f>
        <v/>
      </c>
      <c r="T3281" s="78" t="n"/>
      <c r="U3281" s="92">
        <f>IF(ISBLANK(P3281),"",IF(C3281="Buy",Q3281-M3281+T3281, IF(C3281="Sell",M3281-Q3281-T3281, X)))</f>
        <v/>
      </c>
      <c r="V3281" s="81">
        <f>IF(ISBLANK(P3281),"",U3281/N3281)</f>
        <v/>
      </c>
      <c r="W3281" s="81">
        <f>IF(ISBLANK(P3281),"",IF(S3281=0,(365/0.5)*V3281,(365/S3281)*V3281))</f>
        <v/>
      </c>
      <c r="X3281" s="75" t="n"/>
      <c r="Y3281" s="77" t="n"/>
      <c r="Z3281" s="77" t="n"/>
      <c r="AA3281" s="75" t="n"/>
      <c r="AB3281" s="75" t="n"/>
      <c r="AC3281" s="6" t="n"/>
      <c r="AD3281" s="75" t="n"/>
      <c r="AE3281" s="75" t="n"/>
      <c r="AF3281" s="75" t="n"/>
    </row>
    <row r="3282" ht="15.75" customHeight="1" s="133">
      <c r="A3282" s="75" t="n"/>
      <c r="B3282" s="75" t="n"/>
      <c r="C3282" s="75" t="n"/>
      <c r="D3282" s="75" t="n"/>
      <c r="E3282" s="76" t="n"/>
      <c r="F3282" s="77" t="n"/>
      <c r="G3282" s="75" t="n"/>
      <c r="H3282" s="75">
        <f>IF(ISBLANK(E3282),"",IF(OR(D3282="Butterfly",D3282="Butterfly ",D3282="Iron Fly", D3282="Iron Fly "),LEN(E3282)-LEN(SUBSTITUTE(E3282,"/",""))+2,LEN(E3282)-LEN(SUBSTITUTE(E3282,"/",""))+1))</f>
        <v/>
      </c>
      <c r="I3282" s="78">
        <f>IF(ISBLANK(G3282),"",IF(D3282="Stock","0",Key!$A$3*H3282*G3282))</f>
        <v/>
      </c>
      <c r="J3282" s="78">
        <f>IF(ISBLANK(E3282),"",IF(ISNUMBER(SEARCH("/",E3282)), IF(LEN(E3282)-LEN(SUBSTITUTE(E3282,"/",""))=1,(RIGHT(E3282,LEN(E3282)-FIND("/",E3282)))-(LEFT(E3282,FIND("/",E3282)-1)),(MID(E3282, SEARCH("/",E3282) + 1, SEARCH("/",E3282, SEARCH("/",E3282)+1) - SEARCH("/",E3282) - 1))-(LEFT(E3282,FIND("/",E3282)-1))), "NA"))</f>
        <v/>
      </c>
      <c r="K3282" s="79">
        <f>IF(A3282&lt;&gt;"", IF(ISBLANK(L3282), TODAY(), K3282), "")</f>
        <v/>
      </c>
      <c r="L3282" s="78" t="n"/>
      <c r="M3282" s="78">
        <f>IF(ISBLANK(L3282),"",IF(D3282="Stock",IF(C3282="Buy",L3282*G3282,IF(C3282="Sell",(L3282*G3282)-I3282, X)),IF(C3282="Buy",(L3282*G3282*100)+I3282,IF(C3282="Sell",(L3282*G3282*100)-I3282, X))))</f>
        <v/>
      </c>
      <c r="N3282" s="78">
        <f>IF(ISBLANK(L3282),"",IF(AND(C3282="Sell",D3282="Stock"),M3282,IF(ISBLANK(L3282),"",IF(C3282="Buy",M3282, IF(AND(C3282="Sell",J3282="NA"),(E3282*G3282*100*0.1)+I3282, IF(C3282="Sell",(J3282-L3282)*(100*G3282)+I3282))))))</f>
        <v/>
      </c>
      <c r="O3282" s="75" t="n"/>
      <c r="P3282" s="75" t="n"/>
      <c r="Q3282" s="75">
        <f>IF(ISBLANK(P3282),"",IF(D3282="Stock",P3282*G3282,IF(P3282=0,"0",G3282*P3282*100-(G3282*$AF$14))))</f>
        <v/>
      </c>
      <c r="R3282" s="79">
        <f>IF(P3282&lt;&gt;"", TODAY(), "")</f>
        <v/>
      </c>
      <c r="S3282" s="78">
        <f>IF(AND(K3282&lt;&gt;"", R3282&lt;&gt;""), R3282-K3282, "")</f>
        <v/>
      </c>
      <c r="T3282" s="78" t="n"/>
      <c r="U3282" s="92">
        <f>IF(ISBLANK(P3282),"",IF(C3282="Buy",Q3282-M3282+T3282, IF(C3282="Sell",M3282-Q3282-T3282, X)))</f>
        <v/>
      </c>
      <c r="V3282" s="81">
        <f>IF(ISBLANK(P3282),"",U3282/N3282)</f>
        <v/>
      </c>
      <c r="W3282" s="81">
        <f>IF(ISBLANK(P3282),"",IF(S3282=0,(365/0.5)*V3282,(365/S3282)*V3282))</f>
        <v/>
      </c>
      <c r="X3282" s="75" t="n"/>
      <c r="Y3282" s="77" t="n"/>
      <c r="Z3282" s="77" t="n"/>
      <c r="AA3282" s="75" t="n"/>
      <c r="AB3282" s="75" t="n"/>
      <c r="AC3282" s="6" t="n"/>
      <c r="AD3282" s="75" t="n"/>
      <c r="AE3282" s="75" t="n"/>
      <c r="AF3282" s="75" t="n"/>
    </row>
    <row r="3283" ht="15.75" customHeight="1" s="133">
      <c r="A3283" s="75" t="n"/>
      <c r="B3283" s="75" t="n"/>
      <c r="C3283" s="75" t="n"/>
      <c r="D3283" s="75" t="n"/>
      <c r="E3283" s="76" t="n"/>
      <c r="F3283" s="77" t="n"/>
      <c r="G3283" s="75" t="n"/>
      <c r="H3283" s="75">
        <f>IF(ISBLANK(E3283),"",IF(OR(D3283="Butterfly",D3283="Butterfly ",D3283="Iron Fly", D3283="Iron Fly "),LEN(E3283)-LEN(SUBSTITUTE(E3283,"/",""))+2,LEN(E3283)-LEN(SUBSTITUTE(E3283,"/",""))+1))</f>
        <v/>
      </c>
      <c r="I3283" s="78">
        <f>IF(ISBLANK(G3283),"",IF(D3283="Stock","0",Key!$A$3*H3283*G3283))</f>
        <v/>
      </c>
      <c r="J3283" s="78">
        <f>IF(ISBLANK(E3283),"",IF(ISNUMBER(SEARCH("/",E3283)), IF(LEN(E3283)-LEN(SUBSTITUTE(E3283,"/",""))=1,(RIGHT(E3283,LEN(E3283)-FIND("/",E3283)))-(LEFT(E3283,FIND("/",E3283)-1)),(MID(E3283, SEARCH("/",E3283) + 1, SEARCH("/",E3283, SEARCH("/",E3283)+1) - SEARCH("/",E3283) - 1))-(LEFT(E3283,FIND("/",E3283)-1))), "NA"))</f>
        <v/>
      </c>
      <c r="K3283" s="79">
        <f>IF(A3283&lt;&gt;"", IF(ISBLANK(L3283), TODAY(), K3283), "")</f>
        <v/>
      </c>
      <c r="L3283" s="78" t="n"/>
      <c r="M3283" s="78">
        <f>IF(ISBLANK(L3283),"",IF(D3283="Stock",IF(C3283="Buy",L3283*G3283,IF(C3283="Sell",(L3283*G3283)-I3283, X)),IF(C3283="Buy",(L3283*G3283*100)+I3283,IF(C3283="Sell",(L3283*G3283*100)-I3283, X))))</f>
        <v/>
      </c>
      <c r="N3283" s="78">
        <f>IF(ISBLANK(L3283),"",IF(AND(C3283="Sell",D3283="Stock"),M3283,IF(ISBLANK(L3283),"",IF(C3283="Buy",M3283, IF(AND(C3283="Sell",J3283="NA"),(E3283*G3283*100*0.1)+I3283, IF(C3283="Sell",(J3283-L3283)*(100*G3283)+I3283))))))</f>
        <v/>
      </c>
      <c r="O3283" s="75" t="n"/>
      <c r="P3283" s="75" t="n"/>
      <c r="Q3283" s="75">
        <f>IF(ISBLANK(P3283),"",IF(D3283="Stock",P3283*G3283,IF(P3283=0,"0",G3283*P3283*100-(G3283*$AF$14))))</f>
        <v/>
      </c>
      <c r="R3283" s="79">
        <f>IF(P3283&lt;&gt;"", TODAY(), "")</f>
        <v/>
      </c>
      <c r="S3283" s="78">
        <f>IF(AND(K3283&lt;&gt;"", R3283&lt;&gt;""), R3283-K3283, "")</f>
        <v/>
      </c>
      <c r="T3283" s="78" t="n"/>
      <c r="U3283" s="92">
        <f>IF(ISBLANK(P3283),"",IF(C3283="Buy",Q3283-M3283+T3283, IF(C3283="Sell",M3283-Q3283-T3283, X)))</f>
        <v/>
      </c>
      <c r="V3283" s="81">
        <f>IF(ISBLANK(P3283),"",U3283/N3283)</f>
        <v/>
      </c>
      <c r="W3283" s="81">
        <f>IF(ISBLANK(P3283),"",IF(S3283=0,(365/0.5)*V3283,(365/S3283)*V3283))</f>
        <v/>
      </c>
      <c r="X3283" s="75" t="n"/>
      <c r="Y3283" s="77" t="n"/>
      <c r="Z3283" s="77" t="n"/>
      <c r="AA3283" s="75" t="n"/>
      <c r="AB3283" s="75" t="n"/>
      <c r="AC3283" s="6" t="n"/>
      <c r="AD3283" s="75" t="n"/>
      <c r="AE3283" s="75" t="n"/>
      <c r="AF3283" s="75" t="n"/>
    </row>
    <row r="3284" ht="15.75" customHeight="1" s="133">
      <c r="A3284" s="75" t="n"/>
      <c r="B3284" s="75" t="n"/>
      <c r="C3284" s="75" t="n"/>
      <c r="D3284" s="75" t="n"/>
      <c r="E3284" s="76" t="n"/>
      <c r="F3284" s="77" t="n"/>
      <c r="G3284" s="75" t="n"/>
      <c r="H3284" s="75">
        <f>IF(ISBLANK(E3284),"",IF(OR(D3284="Butterfly",D3284="Butterfly ",D3284="Iron Fly", D3284="Iron Fly "),LEN(E3284)-LEN(SUBSTITUTE(E3284,"/",""))+2,LEN(E3284)-LEN(SUBSTITUTE(E3284,"/",""))+1))</f>
        <v/>
      </c>
      <c r="I3284" s="78">
        <f>IF(ISBLANK(G3284),"",IF(D3284="Stock","0",Key!$A$3*H3284*G3284))</f>
        <v/>
      </c>
      <c r="J3284" s="78">
        <f>IF(ISBLANK(E3284),"",IF(ISNUMBER(SEARCH("/",E3284)), IF(LEN(E3284)-LEN(SUBSTITUTE(E3284,"/",""))=1,(RIGHT(E3284,LEN(E3284)-FIND("/",E3284)))-(LEFT(E3284,FIND("/",E3284)-1)),(MID(E3284, SEARCH("/",E3284) + 1, SEARCH("/",E3284, SEARCH("/",E3284)+1) - SEARCH("/",E3284) - 1))-(LEFT(E3284,FIND("/",E3284)-1))), "NA"))</f>
        <v/>
      </c>
      <c r="K3284" s="79">
        <f>IF(A3284&lt;&gt;"", IF(ISBLANK(L3284), TODAY(), K3284), "")</f>
        <v/>
      </c>
      <c r="L3284" s="78" t="n"/>
      <c r="M3284" s="78">
        <f>IF(ISBLANK(L3284),"",IF(D3284="Stock",IF(C3284="Buy",L3284*G3284,IF(C3284="Sell",(L3284*G3284)-I3284, X)),IF(C3284="Buy",(L3284*G3284*100)+I3284,IF(C3284="Sell",(L3284*G3284*100)-I3284, X))))</f>
        <v/>
      </c>
      <c r="N3284" s="78">
        <f>IF(ISBLANK(L3284),"",IF(AND(C3284="Sell",D3284="Stock"),M3284,IF(ISBLANK(L3284),"",IF(C3284="Buy",M3284, IF(AND(C3284="Sell",J3284="NA"),(E3284*G3284*100*0.1)+I3284, IF(C3284="Sell",(J3284-L3284)*(100*G3284)+I3284))))))</f>
        <v/>
      </c>
      <c r="O3284" s="75" t="n"/>
      <c r="P3284" s="75" t="n"/>
      <c r="Q3284" s="75">
        <f>IF(ISBLANK(P3284),"",IF(D3284="Stock",P3284*G3284,IF(P3284=0,"0",G3284*P3284*100-(G3284*$AF$14))))</f>
        <v/>
      </c>
      <c r="R3284" s="79">
        <f>IF(P3284&lt;&gt;"", TODAY(), "")</f>
        <v/>
      </c>
      <c r="S3284" s="78">
        <f>IF(AND(K3284&lt;&gt;"", R3284&lt;&gt;""), R3284-K3284, "")</f>
        <v/>
      </c>
      <c r="T3284" s="78" t="n"/>
      <c r="U3284" s="92">
        <f>IF(ISBLANK(P3284),"",IF(C3284="Buy",Q3284-M3284+T3284, IF(C3284="Sell",M3284-Q3284-T3284, X)))</f>
        <v/>
      </c>
      <c r="V3284" s="81">
        <f>IF(ISBLANK(P3284),"",U3284/N3284)</f>
        <v/>
      </c>
      <c r="W3284" s="81">
        <f>IF(ISBLANK(P3284),"",IF(S3284=0,(365/0.5)*V3284,(365/S3284)*V3284))</f>
        <v/>
      </c>
      <c r="X3284" s="75" t="n"/>
      <c r="Y3284" s="77" t="n"/>
      <c r="Z3284" s="77" t="n"/>
      <c r="AA3284" s="75" t="n"/>
      <c r="AB3284" s="75" t="n"/>
      <c r="AC3284" s="6" t="n"/>
      <c r="AD3284" s="75" t="n"/>
      <c r="AE3284" s="75" t="n"/>
      <c r="AF3284" s="75" t="n"/>
    </row>
    <row r="3285" ht="15.75" customHeight="1" s="133">
      <c r="A3285" s="75" t="n"/>
      <c r="B3285" s="75" t="n"/>
      <c r="C3285" s="75" t="n"/>
      <c r="D3285" s="75" t="n"/>
      <c r="E3285" s="76" t="n"/>
      <c r="F3285" s="77" t="n"/>
      <c r="G3285" s="75" t="n"/>
      <c r="H3285" s="75">
        <f>IF(ISBLANK(E3285),"",IF(OR(D3285="Butterfly",D3285="Butterfly ",D3285="Iron Fly", D3285="Iron Fly "),LEN(E3285)-LEN(SUBSTITUTE(E3285,"/",""))+2,LEN(E3285)-LEN(SUBSTITUTE(E3285,"/",""))+1))</f>
        <v/>
      </c>
      <c r="I3285" s="78">
        <f>IF(ISBLANK(G3285),"",IF(D3285="Stock","0",Key!$A$3*H3285*G3285))</f>
        <v/>
      </c>
      <c r="J3285" s="78">
        <f>IF(ISBLANK(E3285),"",IF(ISNUMBER(SEARCH("/",E3285)), IF(LEN(E3285)-LEN(SUBSTITUTE(E3285,"/",""))=1,(RIGHT(E3285,LEN(E3285)-FIND("/",E3285)))-(LEFT(E3285,FIND("/",E3285)-1)),(MID(E3285, SEARCH("/",E3285) + 1, SEARCH("/",E3285, SEARCH("/",E3285)+1) - SEARCH("/",E3285) - 1))-(LEFT(E3285,FIND("/",E3285)-1))), "NA"))</f>
        <v/>
      </c>
      <c r="K3285" s="79">
        <f>IF(A3285&lt;&gt;"", IF(ISBLANK(L3285), TODAY(), K3285), "")</f>
        <v/>
      </c>
      <c r="L3285" s="78" t="n"/>
      <c r="M3285" s="78">
        <f>IF(ISBLANK(L3285),"",IF(D3285="Stock",IF(C3285="Buy",L3285*G3285,IF(C3285="Sell",(L3285*G3285)-I3285, X)),IF(C3285="Buy",(L3285*G3285*100)+I3285,IF(C3285="Sell",(L3285*G3285*100)-I3285, X))))</f>
        <v/>
      </c>
      <c r="N3285" s="78">
        <f>IF(ISBLANK(L3285),"",IF(AND(C3285="Sell",D3285="Stock"),M3285,IF(ISBLANK(L3285),"",IF(C3285="Buy",M3285, IF(AND(C3285="Sell",J3285="NA"),(E3285*G3285*100*0.1)+I3285, IF(C3285="Sell",(J3285-L3285)*(100*G3285)+I3285))))))</f>
        <v/>
      </c>
      <c r="O3285" s="75" t="n"/>
      <c r="P3285" s="75" t="n"/>
      <c r="Q3285" s="75">
        <f>IF(ISBLANK(P3285),"",IF(D3285="Stock",P3285*G3285,IF(P3285=0,"0",G3285*P3285*100-(G3285*$AF$14))))</f>
        <v/>
      </c>
      <c r="R3285" s="79">
        <f>IF(P3285&lt;&gt;"", TODAY(), "")</f>
        <v/>
      </c>
      <c r="S3285" s="78">
        <f>IF(AND(K3285&lt;&gt;"", R3285&lt;&gt;""), R3285-K3285, "")</f>
        <v/>
      </c>
      <c r="T3285" s="78" t="n"/>
      <c r="U3285" s="92">
        <f>IF(ISBLANK(P3285),"",IF(C3285="Buy",Q3285-M3285+T3285, IF(C3285="Sell",M3285-Q3285-T3285, X)))</f>
        <v/>
      </c>
      <c r="V3285" s="81">
        <f>IF(ISBLANK(P3285),"",U3285/N3285)</f>
        <v/>
      </c>
      <c r="W3285" s="81">
        <f>IF(ISBLANK(P3285),"",IF(S3285=0,(365/0.5)*V3285,(365/S3285)*V3285))</f>
        <v/>
      </c>
      <c r="X3285" s="75" t="n"/>
      <c r="Y3285" s="77" t="n"/>
      <c r="Z3285" s="77" t="n"/>
      <c r="AA3285" s="75" t="n"/>
      <c r="AB3285" s="75" t="n"/>
      <c r="AC3285" s="6" t="n"/>
      <c r="AD3285" s="75" t="n"/>
      <c r="AE3285" s="75" t="n"/>
      <c r="AF3285" s="75" t="n"/>
    </row>
    <row r="3286" ht="15.75" customHeight="1" s="133">
      <c r="A3286" s="75" t="n"/>
      <c r="B3286" s="75" t="n"/>
      <c r="C3286" s="75" t="n"/>
      <c r="D3286" s="75" t="n"/>
      <c r="E3286" s="76" t="n"/>
      <c r="F3286" s="77" t="n"/>
      <c r="G3286" s="75" t="n"/>
      <c r="H3286" s="75">
        <f>IF(ISBLANK(E3286),"",IF(OR(D3286="Butterfly",D3286="Butterfly ",D3286="Iron Fly", D3286="Iron Fly "),LEN(E3286)-LEN(SUBSTITUTE(E3286,"/",""))+2,LEN(E3286)-LEN(SUBSTITUTE(E3286,"/",""))+1))</f>
        <v/>
      </c>
      <c r="I3286" s="78">
        <f>IF(ISBLANK(G3286),"",IF(D3286="Stock","0",Key!$A$3*H3286*G3286))</f>
        <v/>
      </c>
      <c r="J3286" s="78">
        <f>IF(ISBLANK(E3286),"",IF(ISNUMBER(SEARCH("/",E3286)), IF(LEN(E3286)-LEN(SUBSTITUTE(E3286,"/",""))=1,(RIGHT(E3286,LEN(E3286)-FIND("/",E3286)))-(LEFT(E3286,FIND("/",E3286)-1)),(MID(E3286, SEARCH("/",E3286) + 1, SEARCH("/",E3286, SEARCH("/",E3286)+1) - SEARCH("/",E3286) - 1))-(LEFT(E3286,FIND("/",E3286)-1))), "NA"))</f>
        <v/>
      </c>
      <c r="K3286" s="79">
        <f>IF(A3286&lt;&gt;"", IF(ISBLANK(L3286), TODAY(), K3286), "")</f>
        <v/>
      </c>
      <c r="L3286" s="78" t="n"/>
      <c r="M3286" s="78">
        <f>IF(ISBLANK(L3286),"",IF(D3286="Stock",IF(C3286="Buy",L3286*G3286,IF(C3286="Sell",(L3286*G3286)-I3286, X)),IF(C3286="Buy",(L3286*G3286*100)+I3286,IF(C3286="Sell",(L3286*G3286*100)-I3286, X))))</f>
        <v/>
      </c>
      <c r="N3286" s="78">
        <f>IF(ISBLANK(L3286),"",IF(AND(C3286="Sell",D3286="Stock"),M3286,IF(ISBLANK(L3286),"",IF(C3286="Buy",M3286, IF(AND(C3286="Sell",J3286="NA"),(E3286*G3286*100*0.1)+I3286, IF(C3286="Sell",(J3286-L3286)*(100*G3286)+I3286))))))</f>
        <v/>
      </c>
      <c r="O3286" s="75" t="n"/>
      <c r="P3286" s="75" t="n"/>
      <c r="Q3286" s="75">
        <f>IF(ISBLANK(P3286),"",IF(D3286="Stock",P3286*G3286,IF(P3286=0,"0",G3286*P3286*100-(G3286*$AF$14))))</f>
        <v/>
      </c>
      <c r="R3286" s="79">
        <f>IF(P3286&lt;&gt;"", TODAY(), "")</f>
        <v/>
      </c>
      <c r="S3286" s="78">
        <f>IF(AND(K3286&lt;&gt;"", R3286&lt;&gt;""), R3286-K3286, "")</f>
        <v/>
      </c>
      <c r="T3286" s="78" t="n"/>
      <c r="U3286" s="92">
        <f>IF(ISBLANK(P3286),"",IF(C3286="Buy",Q3286-M3286+T3286, IF(C3286="Sell",M3286-Q3286-T3286, X)))</f>
        <v/>
      </c>
      <c r="V3286" s="81">
        <f>IF(ISBLANK(P3286),"",U3286/N3286)</f>
        <v/>
      </c>
      <c r="W3286" s="81">
        <f>IF(ISBLANK(P3286),"",IF(S3286=0,(365/0.5)*V3286,(365/S3286)*V3286))</f>
        <v/>
      </c>
      <c r="X3286" s="75" t="n"/>
      <c r="Y3286" s="77" t="n"/>
      <c r="Z3286" s="77" t="n"/>
      <c r="AA3286" s="75" t="n"/>
      <c r="AB3286" s="75" t="n"/>
      <c r="AC3286" s="6" t="n"/>
      <c r="AD3286" s="75" t="n"/>
      <c r="AE3286" s="75" t="n"/>
      <c r="AF3286" s="75" t="n"/>
    </row>
    <row r="3287" ht="15.75" customHeight="1" s="133">
      <c r="A3287" s="75" t="n"/>
      <c r="B3287" s="75" t="n"/>
      <c r="C3287" s="75" t="n"/>
      <c r="D3287" s="75" t="n"/>
      <c r="E3287" s="76" t="n"/>
      <c r="F3287" s="77" t="n"/>
      <c r="G3287" s="75" t="n"/>
      <c r="H3287" s="75">
        <f>IF(ISBLANK(E3287),"",IF(OR(D3287="Butterfly",D3287="Butterfly ",D3287="Iron Fly", D3287="Iron Fly "),LEN(E3287)-LEN(SUBSTITUTE(E3287,"/",""))+2,LEN(E3287)-LEN(SUBSTITUTE(E3287,"/",""))+1))</f>
        <v/>
      </c>
      <c r="I3287" s="78">
        <f>IF(ISBLANK(G3287),"",IF(D3287="Stock","0",Key!$A$3*H3287*G3287))</f>
        <v/>
      </c>
      <c r="J3287" s="78">
        <f>IF(ISBLANK(E3287),"",IF(ISNUMBER(SEARCH("/",E3287)), IF(LEN(E3287)-LEN(SUBSTITUTE(E3287,"/",""))=1,(RIGHT(E3287,LEN(E3287)-FIND("/",E3287)))-(LEFT(E3287,FIND("/",E3287)-1)),(MID(E3287, SEARCH("/",E3287) + 1, SEARCH("/",E3287, SEARCH("/",E3287)+1) - SEARCH("/",E3287) - 1))-(LEFT(E3287,FIND("/",E3287)-1))), "NA"))</f>
        <v/>
      </c>
      <c r="K3287" s="79">
        <f>IF(A3287&lt;&gt;"", IF(ISBLANK(L3287), TODAY(), K3287), "")</f>
        <v/>
      </c>
      <c r="L3287" s="78" t="n"/>
      <c r="M3287" s="78">
        <f>IF(ISBLANK(L3287),"",IF(D3287="Stock",IF(C3287="Buy",L3287*G3287,IF(C3287="Sell",(L3287*G3287)-I3287, X)),IF(C3287="Buy",(L3287*G3287*100)+I3287,IF(C3287="Sell",(L3287*G3287*100)-I3287, X))))</f>
        <v/>
      </c>
      <c r="N3287" s="78">
        <f>IF(ISBLANK(L3287),"",IF(AND(C3287="Sell",D3287="Stock"),M3287,IF(ISBLANK(L3287),"",IF(C3287="Buy",M3287, IF(AND(C3287="Sell",J3287="NA"),(E3287*G3287*100*0.1)+I3287, IF(C3287="Sell",(J3287-L3287)*(100*G3287)+I3287))))))</f>
        <v/>
      </c>
      <c r="O3287" s="75" t="n"/>
      <c r="P3287" s="75" t="n"/>
      <c r="Q3287" s="75">
        <f>IF(ISBLANK(P3287),"",IF(D3287="Stock",P3287*G3287,IF(P3287=0,"0",G3287*P3287*100-(G3287*$AF$14))))</f>
        <v/>
      </c>
      <c r="R3287" s="79">
        <f>IF(P3287&lt;&gt;"", TODAY(), "")</f>
        <v/>
      </c>
      <c r="S3287" s="78">
        <f>IF(AND(K3287&lt;&gt;"", R3287&lt;&gt;""), R3287-K3287, "")</f>
        <v/>
      </c>
      <c r="T3287" s="78" t="n"/>
      <c r="U3287" s="92">
        <f>IF(ISBLANK(P3287),"",IF(C3287="Buy",Q3287-M3287+T3287, IF(C3287="Sell",M3287-Q3287-T3287, X)))</f>
        <v/>
      </c>
      <c r="V3287" s="81">
        <f>IF(ISBLANK(P3287),"",U3287/N3287)</f>
        <v/>
      </c>
      <c r="W3287" s="81">
        <f>IF(ISBLANK(P3287),"",IF(S3287=0,(365/0.5)*V3287,(365/S3287)*V3287))</f>
        <v/>
      </c>
      <c r="X3287" s="75" t="n"/>
      <c r="Y3287" s="77" t="n"/>
      <c r="Z3287" s="77" t="n"/>
      <c r="AA3287" s="75" t="n"/>
      <c r="AB3287" s="75" t="n"/>
      <c r="AC3287" s="6" t="n"/>
      <c r="AD3287" s="75" t="n"/>
      <c r="AE3287" s="75" t="n"/>
      <c r="AF3287" s="75" t="n"/>
    </row>
    <row r="3288" ht="15.75" customHeight="1" s="133">
      <c r="A3288" s="75" t="n"/>
      <c r="B3288" s="75" t="n"/>
      <c r="C3288" s="75" t="n"/>
      <c r="D3288" s="75" t="n"/>
      <c r="E3288" s="76" t="n"/>
      <c r="F3288" s="77" t="n"/>
      <c r="G3288" s="75" t="n"/>
      <c r="H3288" s="75">
        <f>IF(ISBLANK(E3288),"",IF(OR(D3288="Butterfly",D3288="Butterfly ",D3288="Iron Fly", D3288="Iron Fly "),LEN(E3288)-LEN(SUBSTITUTE(E3288,"/",""))+2,LEN(E3288)-LEN(SUBSTITUTE(E3288,"/",""))+1))</f>
        <v/>
      </c>
      <c r="I3288" s="78">
        <f>IF(ISBLANK(G3288),"",IF(D3288="Stock","0",Key!$A$3*H3288*G3288))</f>
        <v/>
      </c>
      <c r="J3288" s="78">
        <f>IF(ISBLANK(E3288),"",IF(ISNUMBER(SEARCH("/",E3288)), IF(LEN(E3288)-LEN(SUBSTITUTE(E3288,"/",""))=1,(RIGHT(E3288,LEN(E3288)-FIND("/",E3288)))-(LEFT(E3288,FIND("/",E3288)-1)),(MID(E3288, SEARCH("/",E3288) + 1, SEARCH("/",E3288, SEARCH("/",E3288)+1) - SEARCH("/",E3288) - 1))-(LEFT(E3288,FIND("/",E3288)-1))), "NA"))</f>
        <v/>
      </c>
      <c r="K3288" s="79">
        <f>IF(A3288&lt;&gt;"", IF(ISBLANK(L3288), TODAY(), K3288), "")</f>
        <v/>
      </c>
      <c r="L3288" s="78" t="n"/>
      <c r="M3288" s="78">
        <f>IF(ISBLANK(L3288),"",IF(D3288="Stock",IF(C3288="Buy",L3288*G3288,IF(C3288="Sell",(L3288*G3288)-I3288, X)),IF(C3288="Buy",(L3288*G3288*100)+I3288,IF(C3288="Sell",(L3288*G3288*100)-I3288, X))))</f>
        <v/>
      </c>
      <c r="N3288" s="78">
        <f>IF(ISBLANK(L3288),"",IF(AND(C3288="Sell",D3288="Stock"),M3288,IF(ISBLANK(L3288),"",IF(C3288="Buy",M3288, IF(AND(C3288="Sell",J3288="NA"),(E3288*G3288*100*0.1)+I3288, IF(C3288="Sell",(J3288-L3288)*(100*G3288)+I3288))))))</f>
        <v/>
      </c>
      <c r="O3288" s="75" t="n"/>
      <c r="P3288" s="75" t="n"/>
      <c r="Q3288" s="75">
        <f>IF(ISBLANK(P3288),"",IF(D3288="Stock",P3288*G3288,IF(P3288=0,"0",G3288*P3288*100-(G3288*$AF$14))))</f>
        <v/>
      </c>
      <c r="R3288" s="79">
        <f>IF(P3288&lt;&gt;"", TODAY(), "")</f>
        <v/>
      </c>
      <c r="S3288" s="78">
        <f>IF(AND(K3288&lt;&gt;"", R3288&lt;&gt;""), R3288-K3288, "")</f>
        <v/>
      </c>
      <c r="T3288" s="78" t="n"/>
      <c r="U3288" s="92">
        <f>IF(ISBLANK(P3288),"",IF(C3288="Buy",Q3288-M3288+T3288, IF(C3288="Sell",M3288-Q3288-T3288, X)))</f>
        <v/>
      </c>
      <c r="V3288" s="81">
        <f>IF(ISBLANK(P3288),"",U3288/N3288)</f>
        <v/>
      </c>
      <c r="W3288" s="81">
        <f>IF(ISBLANK(P3288),"",IF(S3288=0,(365/0.5)*V3288,(365/S3288)*V3288))</f>
        <v/>
      </c>
      <c r="X3288" s="75" t="n"/>
      <c r="Y3288" s="77" t="n"/>
      <c r="Z3288" s="77" t="n"/>
      <c r="AA3288" s="75" t="n"/>
      <c r="AB3288" s="75" t="n"/>
      <c r="AC3288" s="6" t="n"/>
      <c r="AD3288" s="75" t="n"/>
      <c r="AE3288" s="75" t="n"/>
      <c r="AF3288" s="75" t="n"/>
    </row>
    <row r="3289" ht="15.75" customHeight="1" s="133">
      <c r="A3289" s="75" t="n"/>
      <c r="B3289" s="75" t="n"/>
      <c r="C3289" s="75" t="n"/>
      <c r="D3289" s="75" t="n"/>
      <c r="E3289" s="76" t="n"/>
      <c r="F3289" s="77" t="n"/>
      <c r="G3289" s="75" t="n"/>
      <c r="H3289" s="75">
        <f>IF(ISBLANK(E3289),"",IF(OR(D3289="Butterfly",D3289="Butterfly ",D3289="Iron Fly", D3289="Iron Fly "),LEN(E3289)-LEN(SUBSTITUTE(E3289,"/",""))+2,LEN(E3289)-LEN(SUBSTITUTE(E3289,"/",""))+1))</f>
        <v/>
      </c>
      <c r="I3289" s="78">
        <f>IF(ISBLANK(G3289),"",IF(D3289="Stock","0",Key!$A$3*H3289*G3289))</f>
        <v/>
      </c>
      <c r="J3289" s="78">
        <f>IF(ISBLANK(E3289),"",IF(ISNUMBER(SEARCH("/",E3289)), IF(LEN(E3289)-LEN(SUBSTITUTE(E3289,"/",""))=1,(RIGHT(E3289,LEN(E3289)-FIND("/",E3289)))-(LEFT(E3289,FIND("/",E3289)-1)),(MID(E3289, SEARCH("/",E3289) + 1, SEARCH("/",E3289, SEARCH("/",E3289)+1) - SEARCH("/",E3289) - 1))-(LEFT(E3289,FIND("/",E3289)-1))), "NA"))</f>
        <v/>
      </c>
      <c r="K3289" s="79">
        <f>IF(A3289&lt;&gt;"", IF(ISBLANK(L3289), TODAY(), K3289), "")</f>
        <v/>
      </c>
      <c r="L3289" s="78" t="n"/>
      <c r="M3289" s="78">
        <f>IF(ISBLANK(L3289),"",IF(D3289="Stock",IF(C3289="Buy",L3289*G3289,IF(C3289="Sell",(L3289*G3289)-I3289, X)),IF(C3289="Buy",(L3289*G3289*100)+I3289,IF(C3289="Sell",(L3289*G3289*100)-I3289, X))))</f>
        <v/>
      </c>
      <c r="N3289" s="78">
        <f>IF(ISBLANK(L3289),"",IF(AND(C3289="Sell",D3289="Stock"),M3289,IF(ISBLANK(L3289),"",IF(C3289="Buy",M3289, IF(AND(C3289="Sell",J3289="NA"),(E3289*G3289*100*0.1)+I3289, IF(C3289="Sell",(J3289-L3289)*(100*G3289)+I3289))))))</f>
        <v/>
      </c>
      <c r="O3289" s="75" t="n"/>
      <c r="P3289" s="75" t="n"/>
      <c r="Q3289" s="75">
        <f>IF(ISBLANK(P3289),"",IF(D3289="Stock",P3289*G3289,IF(P3289=0,"0",G3289*P3289*100-(G3289*$AF$14))))</f>
        <v/>
      </c>
      <c r="R3289" s="79">
        <f>IF(P3289&lt;&gt;"", TODAY(), "")</f>
        <v/>
      </c>
      <c r="S3289" s="78">
        <f>IF(AND(K3289&lt;&gt;"", R3289&lt;&gt;""), R3289-K3289, "")</f>
        <v/>
      </c>
      <c r="T3289" s="78" t="n"/>
      <c r="U3289" s="92">
        <f>IF(ISBLANK(P3289),"",IF(C3289="Buy",Q3289-M3289+T3289, IF(C3289="Sell",M3289-Q3289-T3289, X)))</f>
        <v/>
      </c>
      <c r="V3289" s="81">
        <f>IF(ISBLANK(P3289),"",U3289/N3289)</f>
        <v/>
      </c>
      <c r="W3289" s="81">
        <f>IF(ISBLANK(P3289),"",IF(S3289=0,(365/0.5)*V3289,(365/S3289)*V3289))</f>
        <v/>
      </c>
      <c r="X3289" s="75" t="n"/>
      <c r="Y3289" s="77" t="n"/>
      <c r="Z3289" s="77" t="n"/>
      <c r="AA3289" s="75" t="n"/>
      <c r="AB3289" s="75" t="n"/>
      <c r="AC3289" s="6" t="n"/>
      <c r="AD3289" s="75" t="n"/>
      <c r="AE3289" s="75" t="n"/>
      <c r="AF3289" s="75" t="n"/>
    </row>
    <row r="3290" ht="15.75" customHeight="1" s="133">
      <c r="A3290" s="75" t="n"/>
      <c r="B3290" s="75" t="n"/>
      <c r="C3290" s="75" t="n"/>
      <c r="D3290" s="75" t="n"/>
      <c r="E3290" s="76" t="n"/>
      <c r="F3290" s="77" t="n"/>
      <c r="G3290" s="75" t="n"/>
      <c r="H3290" s="75">
        <f>IF(ISBLANK(E3290),"",IF(OR(D3290="Butterfly",D3290="Butterfly ",D3290="Iron Fly", D3290="Iron Fly "),LEN(E3290)-LEN(SUBSTITUTE(E3290,"/",""))+2,LEN(E3290)-LEN(SUBSTITUTE(E3290,"/",""))+1))</f>
        <v/>
      </c>
      <c r="I3290" s="78">
        <f>IF(ISBLANK(G3290),"",IF(D3290="Stock","0",Key!$A$3*H3290*G3290))</f>
        <v/>
      </c>
      <c r="J3290" s="78">
        <f>IF(ISBLANK(E3290),"",IF(ISNUMBER(SEARCH("/",E3290)), IF(LEN(E3290)-LEN(SUBSTITUTE(E3290,"/",""))=1,(RIGHT(E3290,LEN(E3290)-FIND("/",E3290)))-(LEFT(E3290,FIND("/",E3290)-1)),(MID(E3290, SEARCH("/",E3290) + 1, SEARCH("/",E3290, SEARCH("/",E3290)+1) - SEARCH("/",E3290) - 1))-(LEFT(E3290,FIND("/",E3290)-1))), "NA"))</f>
        <v/>
      </c>
      <c r="K3290" s="79">
        <f>IF(A3290&lt;&gt;"", IF(ISBLANK(L3290), TODAY(), K3290), "")</f>
        <v/>
      </c>
      <c r="L3290" s="78" t="n"/>
      <c r="M3290" s="78">
        <f>IF(ISBLANK(L3290),"",IF(D3290="Stock",IF(C3290="Buy",L3290*G3290,IF(C3290="Sell",(L3290*G3290)-I3290, X)),IF(C3290="Buy",(L3290*G3290*100)+I3290,IF(C3290="Sell",(L3290*G3290*100)-I3290, X))))</f>
        <v/>
      </c>
      <c r="N3290" s="78">
        <f>IF(ISBLANK(L3290),"",IF(AND(C3290="Sell",D3290="Stock"),M3290,IF(ISBLANK(L3290),"",IF(C3290="Buy",M3290, IF(AND(C3290="Sell",J3290="NA"),(E3290*G3290*100*0.1)+I3290, IF(C3290="Sell",(J3290-L3290)*(100*G3290)+I3290))))))</f>
        <v/>
      </c>
      <c r="O3290" s="75" t="n"/>
      <c r="P3290" s="75" t="n"/>
      <c r="Q3290" s="75">
        <f>IF(ISBLANK(P3290),"",IF(D3290="Stock",P3290*G3290,IF(P3290=0,"0",G3290*P3290*100-(G3290*$AF$14))))</f>
        <v/>
      </c>
      <c r="R3290" s="79">
        <f>IF(P3290&lt;&gt;"", TODAY(), "")</f>
        <v/>
      </c>
      <c r="S3290" s="78">
        <f>IF(AND(K3290&lt;&gt;"", R3290&lt;&gt;""), R3290-K3290, "")</f>
        <v/>
      </c>
      <c r="T3290" s="78" t="n"/>
      <c r="U3290" s="92">
        <f>IF(ISBLANK(P3290),"",IF(C3290="Buy",Q3290-M3290+T3290, IF(C3290="Sell",M3290-Q3290-T3290, X)))</f>
        <v/>
      </c>
      <c r="V3290" s="81">
        <f>IF(ISBLANK(P3290),"",U3290/N3290)</f>
        <v/>
      </c>
      <c r="W3290" s="81">
        <f>IF(ISBLANK(P3290),"",IF(S3290=0,(365/0.5)*V3290,(365/S3290)*V3290))</f>
        <v/>
      </c>
      <c r="X3290" s="75" t="n"/>
      <c r="Y3290" s="77" t="n"/>
      <c r="Z3290" s="77" t="n"/>
      <c r="AA3290" s="75" t="n"/>
      <c r="AB3290" s="75" t="n"/>
      <c r="AC3290" s="6" t="n"/>
      <c r="AD3290" s="75" t="n"/>
      <c r="AE3290" s="75" t="n"/>
      <c r="AF3290" s="75" t="n"/>
    </row>
    <row r="3291" ht="15.75" customHeight="1" s="133">
      <c r="A3291" s="75" t="n"/>
      <c r="B3291" s="75" t="n"/>
      <c r="C3291" s="75" t="n"/>
      <c r="D3291" s="75" t="n"/>
      <c r="E3291" s="76" t="n"/>
      <c r="F3291" s="77" t="n"/>
      <c r="G3291" s="75" t="n"/>
      <c r="H3291" s="75">
        <f>IF(ISBLANK(E3291),"",IF(OR(D3291="Butterfly",D3291="Butterfly ",D3291="Iron Fly", D3291="Iron Fly "),LEN(E3291)-LEN(SUBSTITUTE(E3291,"/",""))+2,LEN(E3291)-LEN(SUBSTITUTE(E3291,"/",""))+1))</f>
        <v/>
      </c>
      <c r="I3291" s="78">
        <f>IF(ISBLANK(G3291),"",IF(D3291="Stock","0",Key!$A$3*H3291*G3291))</f>
        <v/>
      </c>
      <c r="J3291" s="78">
        <f>IF(ISBLANK(E3291),"",IF(ISNUMBER(SEARCH("/",E3291)), IF(LEN(E3291)-LEN(SUBSTITUTE(E3291,"/",""))=1,(RIGHT(E3291,LEN(E3291)-FIND("/",E3291)))-(LEFT(E3291,FIND("/",E3291)-1)),(MID(E3291, SEARCH("/",E3291) + 1, SEARCH("/",E3291, SEARCH("/",E3291)+1) - SEARCH("/",E3291) - 1))-(LEFT(E3291,FIND("/",E3291)-1))), "NA"))</f>
        <v/>
      </c>
      <c r="K3291" s="79">
        <f>IF(A3291&lt;&gt;"", IF(ISBLANK(L3291), TODAY(), K3291), "")</f>
        <v/>
      </c>
      <c r="L3291" s="78" t="n"/>
      <c r="M3291" s="78">
        <f>IF(ISBLANK(L3291),"",IF(D3291="Stock",IF(C3291="Buy",L3291*G3291,IF(C3291="Sell",(L3291*G3291)-I3291, X)),IF(C3291="Buy",(L3291*G3291*100)+I3291,IF(C3291="Sell",(L3291*G3291*100)-I3291, X))))</f>
        <v/>
      </c>
      <c r="N3291" s="78">
        <f>IF(ISBLANK(L3291),"",IF(AND(C3291="Sell",D3291="Stock"),M3291,IF(ISBLANK(L3291),"",IF(C3291="Buy",M3291, IF(AND(C3291="Sell",J3291="NA"),(E3291*G3291*100*0.1)+I3291, IF(C3291="Sell",(J3291-L3291)*(100*G3291)+I3291))))))</f>
        <v/>
      </c>
      <c r="O3291" s="75" t="n"/>
      <c r="P3291" s="75" t="n"/>
      <c r="Q3291" s="75">
        <f>IF(ISBLANK(P3291),"",IF(D3291="Stock",P3291*G3291,IF(P3291=0,"0",G3291*P3291*100-(G3291*$AF$14))))</f>
        <v/>
      </c>
      <c r="R3291" s="79">
        <f>IF(P3291&lt;&gt;"", TODAY(), "")</f>
        <v/>
      </c>
      <c r="S3291" s="78">
        <f>IF(AND(K3291&lt;&gt;"", R3291&lt;&gt;""), R3291-K3291, "")</f>
        <v/>
      </c>
      <c r="T3291" s="78" t="n"/>
      <c r="U3291" s="92">
        <f>IF(ISBLANK(P3291),"",IF(C3291="Buy",Q3291-M3291+T3291, IF(C3291="Sell",M3291-Q3291-T3291, X)))</f>
        <v/>
      </c>
      <c r="V3291" s="81">
        <f>IF(ISBLANK(P3291),"",U3291/N3291)</f>
        <v/>
      </c>
      <c r="W3291" s="81">
        <f>IF(ISBLANK(P3291),"",IF(S3291=0,(365/0.5)*V3291,(365/S3291)*V3291))</f>
        <v/>
      </c>
      <c r="X3291" s="75" t="n"/>
      <c r="Y3291" s="77" t="n"/>
      <c r="Z3291" s="77" t="n"/>
      <c r="AA3291" s="75" t="n"/>
      <c r="AB3291" s="75" t="n"/>
      <c r="AC3291" s="6" t="n"/>
      <c r="AD3291" s="75" t="n"/>
      <c r="AE3291" s="75" t="n"/>
      <c r="AF3291" s="75" t="n"/>
    </row>
    <row r="3292" ht="15.75" customHeight="1" s="133">
      <c r="A3292" s="75" t="n"/>
      <c r="B3292" s="75" t="n"/>
      <c r="C3292" s="75" t="n"/>
      <c r="D3292" s="75" t="n"/>
      <c r="E3292" s="76" t="n"/>
      <c r="F3292" s="77" t="n"/>
      <c r="G3292" s="75" t="n"/>
      <c r="H3292" s="75">
        <f>IF(ISBLANK(E3292),"",IF(OR(D3292="Butterfly",D3292="Butterfly ",D3292="Iron Fly", D3292="Iron Fly "),LEN(E3292)-LEN(SUBSTITUTE(E3292,"/",""))+2,LEN(E3292)-LEN(SUBSTITUTE(E3292,"/",""))+1))</f>
        <v/>
      </c>
      <c r="I3292" s="78">
        <f>IF(ISBLANK(G3292),"",IF(D3292="Stock","0",Key!$A$3*H3292*G3292))</f>
        <v/>
      </c>
      <c r="J3292" s="78">
        <f>IF(ISBLANK(E3292),"",IF(ISNUMBER(SEARCH("/",E3292)), IF(LEN(E3292)-LEN(SUBSTITUTE(E3292,"/",""))=1,(RIGHT(E3292,LEN(E3292)-FIND("/",E3292)))-(LEFT(E3292,FIND("/",E3292)-1)),(MID(E3292, SEARCH("/",E3292) + 1, SEARCH("/",E3292, SEARCH("/",E3292)+1) - SEARCH("/",E3292) - 1))-(LEFT(E3292,FIND("/",E3292)-1))), "NA"))</f>
        <v/>
      </c>
      <c r="K3292" s="79">
        <f>IF(A3292&lt;&gt;"", IF(ISBLANK(L3292), TODAY(), K3292), "")</f>
        <v/>
      </c>
      <c r="L3292" s="78" t="n"/>
      <c r="M3292" s="78">
        <f>IF(ISBLANK(L3292),"",IF(D3292="Stock",IF(C3292="Buy",L3292*G3292,IF(C3292="Sell",(L3292*G3292)-I3292, X)),IF(C3292="Buy",(L3292*G3292*100)+I3292,IF(C3292="Sell",(L3292*G3292*100)-I3292, X))))</f>
        <v/>
      </c>
      <c r="N3292" s="78">
        <f>IF(ISBLANK(L3292),"",IF(AND(C3292="Sell",D3292="Stock"),M3292,IF(ISBLANK(L3292),"",IF(C3292="Buy",M3292, IF(AND(C3292="Sell",J3292="NA"),(E3292*G3292*100*0.1)+I3292, IF(C3292="Sell",(J3292-L3292)*(100*G3292)+I3292))))))</f>
        <v/>
      </c>
      <c r="O3292" s="75" t="n"/>
      <c r="P3292" s="75" t="n"/>
      <c r="Q3292" s="75">
        <f>IF(ISBLANK(P3292),"",IF(D3292="Stock",P3292*G3292,IF(P3292=0,"0",G3292*P3292*100-(G3292*$AF$14))))</f>
        <v/>
      </c>
      <c r="R3292" s="79">
        <f>IF(P3292&lt;&gt;"", TODAY(), "")</f>
        <v/>
      </c>
      <c r="S3292" s="78">
        <f>IF(AND(K3292&lt;&gt;"", R3292&lt;&gt;""), R3292-K3292, "")</f>
        <v/>
      </c>
      <c r="T3292" s="78" t="n"/>
      <c r="U3292" s="92">
        <f>IF(ISBLANK(P3292),"",IF(C3292="Buy",Q3292-M3292+T3292, IF(C3292="Sell",M3292-Q3292-T3292, X)))</f>
        <v/>
      </c>
      <c r="V3292" s="81">
        <f>IF(ISBLANK(P3292),"",U3292/N3292)</f>
        <v/>
      </c>
      <c r="W3292" s="81">
        <f>IF(ISBLANK(P3292),"",IF(S3292=0,(365/0.5)*V3292,(365/S3292)*V3292))</f>
        <v/>
      </c>
      <c r="X3292" s="75" t="n"/>
      <c r="Y3292" s="77" t="n"/>
      <c r="Z3292" s="77" t="n"/>
      <c r="AA3292" s="75" t="n"/>
      <c r="AB3292" s="75" t="n"/>
      <c r="AC3292" s="6" t="n"/>
      <c r="AD3292" s="75" t="n"/>
      <c r="AE3292" s="75" t="n"/>
      <c r="AF3292" s="75" t="n"/>
    </row>
    <row r="3293" ht="15.75" customHeight="1" s="133">
      <c r="A3293" s="75" t="n"/>
      <c r="B3293" s="75" t="n"/>
      <c r="C3293" s="75" t="n"/>
      <c r="D3293" s="75" t="n"/>
      <c r="E3293" s="76" t="n"/>
      <c r="F3293" s="77" t="n"/>
      <c r="G3293" s="75" t="n"/>
      <c r="H3293" s="75">
        <f>IF(ISBLANK(E3293),"",IF(OR(D3293="Butterfly",D3293="Butterfly ",D3293="Iron Fly", D3293="Iron Fly "),LEN(E3293)-LEN(SUBSTITUTE(E3293,"/",""))+2,LEN(E3293)-LEN(SUBSTITUTE(E3293,"/",""))+1))</f>
        <v/>
      </c>
      <c r="I3293" s="78">
        <f>IF(ISBLANK(G3293),"",IF(D3293="Stock","0",Key!$A$3*H3293*G3293))</f>
        <v/>
      </c>
      <c r="J3293" s="78">
        <f>IF(ISBLANK(E3293),"",IF(ISNUMBER(SEARCH("/",E3293)), IF(LEN(E3293)-LEN(SUBSTITUTE(E3293,"/",""))=1,(RIGHT(E3293,LEN(E3293)-FIND("/",E3293)))-(LEFT(E3293,FIND("/",E3293)-1)),(MID(E3293, SEARCH("/",E3293) + 1, SEARCH("/",E3293, SEARCH("/",E3293)+1) - SEARCH("/",E3293) - 1))-(LEFT(E3293,FIND("/",E3293)-1))), "NA"))</f>
        <v/>
      </c>
      <c r="K3293" s="79">
        <f>IF(A3293&lt;&gt;"", IF(ISBLANK(L3293), TODAY(), K3293), "")</f>
        <v/>
      </c>
      <c r="L3293" s="78" t="n"/>
      <c r="M3293" s="78">
        <f>IF(ISBLANK(L3293),"",IF(D3293="Stock",IF(C3293="Buy",L3293*G3293,IF(C3293="Sell",(L3293*G3293)-I3293, X)),IF(C3293="Buy",(L3293*G3293*100)+I3293,IF(C3293="Sell",(L3293*G3293*100)-I3293, X))))</f>
        <v/>
      </c>
      <c r="N3293" s="78">
        <f>IF(ISBLANK(L3293),"",IF(AND(C3293="Sell",D3293="Stock"),M3293,IF(ISBLANK(L3293),"",IF(C3293="Buy",M3293, IF(AND(C3293="Sell",J3293="NA"),(E3293*G3293*100*0.1)+I3293, IF(C3293="Sell",(J3293-L3293)*(100*G3293)+I3293))))))</f>
        <v/>
      </c>
      <c r="O3293" s="75" t="n"/>
      <c r="P3293" s="75" t="n"/>
      <c r="Q3293" s="75">
        <f>IF(ISBLANK(P3293),"",IF(D3293="Stock",P3293*G3293,IF(P3293=0,"0",G3293*P3293*100-(G3293*$AF$14))))</f>
        <v/>
      </c>
      <c r="R3293" s="79">
        <f>IF(P3293&lt;&gt;"", TODAY(), "")</f>
        <v/>
      </c>
      <c r="S3293" s="78">
        <f>IF(AND(K3293&lt;&gt;"", R3293&lt;&gt;""), R3293-K3293, "")</f>
        <v/>
      </c>
      <c r="T3293" s="78" t="n"/>
      <c r="U3293" s="92">
        <f>IF(ISBLANK(P3293),"",IF(C3293="Buy",Q3293-M3293+T3293, IF(C3293="Sell",M3293-Q3293-T3293, X)))</f>
        <v/>
      </c>
      <c r="V3293" s="81">
        <f>IF(ISBLANK(P3293),"",U3293/N3293)</f>
        <v/>
      </c>
      <c r="W3293" s="81">
        <f>IF(ISBLANK(P3293),"",IF(S3293=0,(365/0.5)*V3293,(365/S3293)*V3293))</f>
        <v/>
      </c>
      <c r="X3293" s="75" t="n"/>
      <c r="Y3293" s="77" t="n"/>
      <c r="Z3293" s="77" t="n"/>
      <c r="AA3293" s="75" t="n"/>
      <c r="AB3293" s="75" t="n"/>
      <c r="AC3293" s="6" t="n"/>
      <c r="AD3293" s="75" t="n"/>
      <c r="AE3293" s="75" t="n"/>
      <c r="AF3293" s="75" t="n"/>
    </row>
    <row r="3294" ht="15.75" customHeight="1" s="133">
      <c r="A3294" s="75" t="n"/>
      <c r="B3294" s="75" t="n"/>
      <c r="C3294" s="75" t="n"/>
      <c r="D3294" s="75" t="n"/>
      <c r="E3294" s="76" t="n"/>
      <c r="F3294" s="77" t="n"/>
      <c r="G3294" s="75" t="n"/>
      <c r="H3294" s="75">
        <f>IF(ISBLANK(E3294),"",IF(OR(D3294="Butterfly",D3294="Butterfly ",D3294="Iron Fly", D3294="Iron Fly "),LEN(E3294)-LEN(SUBSTITUTE(E3294,"/",""))+2,LEN(E3294)-LEN(SUBSTITUTE(E3294,"/",""))+1))</f>
        <v/>
      </c>
      <c r="I3294" s="78">
        <f>IF(ISBLANK(G3294),"",IF(D3294="Stock","0",Key!$A$3*H3294*G3294))</f>
        <v/>
      </c>
      <c r="J3294" s="78">
        <f>IF(ISBLANK(E3294),"",IF(ISNUMBER(SEARCH("/",E3294)), IF(LEN(E3294)-LEN(SUBSTITUTE(E3294,"/",""))=1,(RIGHT(E3294,LEN(E3294)-FIND("/",E3294)))-(LEFT(E3294,FIND("/",E3294)-1)),(MID(E3294, SEARCH("/",E3294) + 1, SEARCH("/",E3294, SEARCH("/",E3294)+1) - SEARCH("/",E3294) - 1))-(LEFT(E3294,FIND("/",E3294)-1))), "NA"))</f>
        <v/>
      </c>
      <c r="K3294" s="79">
        <f>IF(A3294&lt;&gt;"", IF(ISBLANK(L3294), TODAY(), K3294), "")</f>
        <v/>
      </c>
      <c r="L3294" s="78" t="n"/>
      <c r="M3294" s="78">
        <f>IF(ISBLANK(L3294),"",IF(D3294="Stock",IF(C3294="Buy",L3294*G3294,IF(C3294="Sell",(L3294*G3294)-I3294, X)),IF(C3294="Buy",(L3294*G3294*100)+I3294,IF(C3294="Sell",(L3294*G3294*100)-I3294, X))))</f>
        <v/>
      </c>
      <c r="N3294" s="78">
        <f>IF(ISBLANK(L3294),"",IF(AND(C3294="Sell",D3294="Stock"),M3294,IF(ISBLANK(L3294),"",IF(C3294="Buy",M3294, IF(AND(C3294="Sell",J3294="NA"),(E3294*G3294*100*0.1)+I3294, IF(C3294="Sell",(J3294-L3294)*(100*G3294)+I3294))))))</f>
        <v/>
      </c>
      <c r="O3294" s="75" t="n"/>
      <c r="P3294" s="75" t="n"/>
      <c r="Q3294" s="75">
        <f>IF(ISBLANK(P3294),"",IF(D3294="Stock",P3294*G3294,IF(P3294=0,"0",G3294*P3294*100-(G3294*$AF$14))))</f>
        <v/>
      </c>
      <c r="R3294" s="79">
        <f>IF(P3294&lt;&gt;"", TODAY(), "")</f>
        <v/>
      </c>
      <c r="S3294" s="78">
        <f>IF(AND(K3294&lt;&gt;"", R3294&lt;&gt;""), R3294-K3294, "")</f>
        <v/>
      </c>
      <c r="T3294" s="78" t="n"/>
      <c r="U3294" s="92">
        <f>IF(ISBLANK(P3294),"",IF(C3294="Buy",Q3294-M3294+T3294, IF(C3294="Sell",M3294-Q3294-T3294, X)))</f>
        <v/>
      </c>
      <c r="V3294" s="81">
        <f>IF(ISBLANK(P3294),"",U3294/N3294)</f>
        <v/>
      </c>
      <c r="W3294" s="81">
        <f>IF(ISBLANK(P3294),"",IF(S3294=0,(365/0.5)*V3294,(365/S3294)*V3294))</f>
        <v/>
      </c>
      <c r="X3294" s="75" t="n"/>
      <c r="Y3294" s="77" t="n"/>
      <c r="Z3294" s="77" t="n"/>
      <c r="AA3294" s="75" t="n"/>
      <c r="AB3294" s="75" t="n"/>
      <c r="AC3294" s="6" t="n"/>
      <c r="AD3294" s="75" t="n"/>
      <c r="AE3294" s="75" t="n"/>
      <c r="AF3294" s="75" t="n"/>
    </row>
    <row r="3295" ht="15.75" customHeight="1" s="133">
      <c r="A3295" s="75" t="n"/>
      <c r="B3295" s="75" t="n"/>
      <c r="C3295" s="75" t="n"/>
      <c r="D3295" s="75" t="n"/>
      <c r="E3295" s="76" t="n"/>
      <c r="F3295" s="77" t="n"/>
      <c r="G3295" s="75" t="n"/>
      <c r="H3295" s="75">
        <f>IF(ISBLANK(E3295),"",IF(OR(D3295="Butterfly",D3295="Butterfly ",D3295="Iron Fly", D3295="Iron Fly "),LEN(E3295)-LEN(SUBSTITUTE(E3295,"/",""))+2,LEN(E3295)-LEN(SUBSTITUTE(E3295,"/",""))+1))</f>
        <v/>
      </c>
      <c r="I3295" s="78">
        <f>IF(ISBLANK(G3295),"",IF(D3295="Stock","0",Key!$A$3*H3295*G3295))</f>
        <v/>
      </c>
      <c r="J3295" s="78">
        <f>IF(ISBLANK(E3295),"",IF(ISNUMBER(SEARCH("/",E3295)), IF(LEN(E3295)-LEN(SUBSTITUTE(E3295,"/",""))=1,(RIGHT(E3295,LEN(E3295)-FIND("/",E3295)))-(LEFT(E3295,FIND("/",E3295)-1)),(MID(E3295, SEARCH("/",E3295) + 1, SEARCH("/",E3295, SEARCH("/",E3295)+1) - SEARCH("/",E3295) - 1))-(LEFT(E3295,FIND("/",E3295)-1))), "NA"))</f>
        <v/>
      </c>
      <c r="K3295" s="79">
        <f>IF(A3295&lt;&gt;"", IF(ISBLANK(L3295), TODAY(), K3295), "")</f>
        <v/>
      </c>
      <c r="L3295" s="78" t="n"/>
      <c r="M3295" s="78">
        <f>IF(ISBLANK(L3295),"",IF(D3295="Stock",IF(C3295="Buy",L3295*G3295,IF(C3295="Sell",(L3295*G3295)-I3295, X)),IF(C3295="Buy",(L3295*G3295*100)+I3295,IF(C3295="Sell",(L3295*G3295*100)-I3295, X))))</f>
        <v/>
      </c>
      <c r="N3295" s="78">
        <f>IF(ISBLANK(L3295),"",IF(AND(C3295="Sell",D3295="Stock"),M3295,IF(ISBLANK(L3295),"",IF(C3295="Buy",M3295, IF(AND(C3295="Sell",J3295="NA"),(E3295*G3295*100*0.1)+I3295, IF(C3295="Sell",(J3295-L3295)*(100*G3295)+I3295))))))</f>
        <v/>
      </c>
      <c r="O3295" s="75" t="n"/>
      <c r="P3295" s="75" t="n"/>
      <c r="Q3295" s="75">
        <f>IF(ISBLANK(P3295),"",IF(D3295="Stock",P3295*G3295,IF(P3295=0,"0",G3295*P3295*100-(G3295*$AF$14))))</f>
        <v/>
      </c>
      <c r="R3295" s="79">
        <f>IF(P3295&lt;&gt;"", TODAY(), "")</f>
        <v/>
      </c>
      <c r="S3295" s="78">
        <f>IF(AND(K3295&lt;&gt;"", R3295&lt;&gt;""), R3295-K3295, "")</f>
        <v/>
      </c>
      <c r="T3295" s="78" t="n"/>
      <c r="U3295" s="92">
        <f>IF(ISBLANK(P3295),"",IF(C3295="Buy",Q3295-M3295+T3295, IF(C3295="Sell",M3295-Q3295-T3295, X)))</f>
        <v/>
      </c>
      <c r="V3295" s="81">
        <f>IF(ISBLANK(P3295),"",U3295/N3295)</f>
        <v/>
      </c>
      <c r="W3295" s="81">
        <f>IF(ISBLANK(P3295),"",IF(S3295=0,(365/0.5)*V3295,(365/S3295)*V3295))</f>
        <v/>
      </c>
      <c r="X3295" s="75" t="n"/>
      <c r="Y3295" s="77" t="n"/>
      <c r="Z3295" s="77" t="n"/>
      <c r="AA3295" s="75" t="n"/>
      <c r="AB3295" s="75" t="n"/>
      <c r="AC3295" s="6" t="n"/>
      <c r="AD3295" s="75" t="n"/>
      <c r="AE3295" s="75" t="n"/>
      <c r="AF3295" s="75" t="n"/>
    </row>
    <row r="3296" ht="15.75" customHeight="1" s="133">
      <c r="A3296" s="75" t="n"/>
      <c r="B3296" s="75" t="n"/>
      <c r="C3296" s="75" t="n"/>
      <c r="D3296" s="75" t="n"/>
      <c r="E3296" s="76" t="n"/>
      <c r="F3296" s="77" t="n"/>
      <c r="G3296" s="75" t="n"/>
      <c r="H3296" s="75">
        <f>IF(ISBLANK(E3296),"",IF(OR(D3296="Butterfly",D3296="Butterfly ",D3296="Iron Fly", D3296="Iron Fly "),LEN(E3296)-LEN(SUBSTITUTE(E3296,"/",""))+2,LEN(E3296)-LEN(SUBSTITUTE(E3296,"/",""))+1))</f>
        <v/>
      </c>
      <c r="I3296" s="78">
        <f>IF(ISBLANK(G3296),"",IF(D3296="Stock","0",Key!$A$3*H3296*G3296))</f>
        <v/>
      </c>
      <c r="J3296" s="78">
        <f>IF(ISBLANK(E3296),"",IF(ISNUMBER(SEARCH("/",E3296)), IF(LEN(E3296)-LEN(SUBSTITUTE(E3296,"/",""))=1,(RIGHT(E3296,LEN(E3296)-FIND("/",E3296)))-(LEFT(E3296,FIND("/",E3296)-1)),(MID(E3296, SEARCH("/",E3296) + 1, SEARCH("/",E3296, SEARCH("/",E3296)+1) - SEARCH("/",E3296) - 1))-(LEFT(E3296,FIND("/",E3296)-1))), "NA"))</f>
        <v/>
      </c>
      <c r="K3296" s="79">
        <f>IF(A3296&lt;&gt;"", IF(ISBLANK(L3296), TODAY(), K3296), "")</f>
        <v/>
      </c>
      <c r="L3296" s="78" t="n"/>
      <c r="M3296" s="78">
        <f>IF(ISBLANK(L3296),"",IF(D3296="Stock",IF(C3296="Buy",L3296*G3296,IF(C3296="Sell",(L3296*G3296)-I3296, X)),IF(C3296="Buy",(L3296*G3296*100)+I3296,IF(C3296="Sell",(L3296*G3296*100)-I3296, X))))</f>
        <v/>
      </c>
      <c r="N3296" s="78">
        <f>IF(ISBLANK(L3296),"",IF(AND(C3296="Sell",D3296="Stock"),M3296,IF(ISBLANK(L3296),"",IF(C3296="Buy",M3296, IF(AND(C3296="Sell",J3296="NA"),(E3296*G3296*100*0.1)+I3296, IF(C3296="Sell",(J3296-L3296)*(100*G3296)+I3296))))))</f>
        <v/>
      </c>
      <c r="O3296" s="75" t="n"/>
      <c r="P3296" s="75" t="n"/>
      <c r="Q3296" s="75">
        <f>IF(ISBLANK(P3296),"",IF(D3296="Stock",P3296*G3296,IF(P3296=0,"0",G3296*P3296*100-(G3296*$AF$14))))</f>
        <v/>
      </c>
      <c r="R3296" s="79">
        <f>IF(P3296&lt;&gt;"", TODAY(), "")</f>
        <v/>
      </c>
      <c r="S3296" s="78">
        <f>IF(AND(K3296&lt;&gt;"", R3296&lt;&gt;""), R3296-K3296, "")</f>
        <v/>
      </c>
      <c r="T3296" s="78" t="n"/>
      <c r="U3296" s="92">
        <f>IF(ISBLANK(P3296),"",IF(C3296="Buy",Q3296-M3296+T3296, IF(C3296="Sell",M3296-Q3296-T3296, X)))</f>
        <v/>
      </c>
      <c r="V3296" s="81">
        <f>IF(ISBLANK(P3296),"",U3296/N3296)</f>
        <v/>
      </c>
      <c r="W3296" s="81">
        <f>IF(ISBLANK(P3296),"",IF(S3296=0,(365/0.5)*V3296,(365/S3296)*V3296))</f>
        <v/>
      </c>
      <c r="X3296" s="75" t="n"/>
      <c r="Y3296" s="77" t="n"/>
      <c r="Z3296" s="77" t="n"/>
      <c r="AA3296" s="75" t="n"/>
      <c r="AB3296" s="75" t="n"/>
      <c r="AC3296" s="6" t="n"/>
      <c r="AD3296" s="75" t="n"/>
      <c r="AE3296" s="75" t="n"/>
      <c r="AF3296" s="75" t="n"/>
    </row>
    <row r="3297" ht="15.75" customHeight="1" s="133">
      <c r="A3297" s="75" t="n"/>
      <c r="B3297" s="75" t="n"/>
      <c r="C3297" s="75" t="n"/>
      <c r="D3297" s="75" t="n"/>
      <c r="E3297" s="76" t="n"/>
      <c r="F3297" s="77" t="n"/>
      <c r="G3297" s="75" t="n"/>
      <c r="H3297" s="75">
        <f>IF(ISBLANK(E3297),"",IF(OR(D3297="Butterfly",D3297="Butterfly ",D3297="Iron Fly", D3297="Iron Fly "),LEN(E3297)-LEN(SUBSTITUTE(E3297,"/",""))+2,LEN(E3297)-LEN(SUBSTITUTE(E3297,"/",""))+1))</f>
        <v/>
      </c>
      <c r="I3297" s="78">
        <f>IF(ISBLANK(G3297),"",IF(D3297="Stock","0",Key!$A$3*H3297*G3297))</f>
        <v/>
      </c>
      <c r="J3297" s="78">
        <f>IF(ISBLANK(E3297),"",IF(ISNUMBER(SEARCH("/",E3297)), IF(LEN(E3297)-LEN(SUBSTITUTE(E3297,"/",""))=1,(RIGHT(E3297,LEN(E3297)-FIND("/",E3297)))-(LEFT(E3297,FIND("/",E3297)-1)),(MID(E3297, SEARCH("/",E3297) + 1, SEARCH("/",E3297, SEARCH("/",E3297)+1) - SEARCH("/",E3297) - 1))-(LEFT(E3297,FIND("/",E3297)-1))), "NA"))</f>
        <v/>
      </c>
      <c r="K3297" s="79">
        <f>IF(A3297&lt;&gt;"", IF(ISBLANK(L3297), TODAY(), K3297), "")</f>
        <v/>
      </c>
      <c r="L3297" s="78" t="n"/>
      <c r="M3297" s="78">
        <f>IF(ISBLANK(L3297),"",IF(D3297="Stock",IF(C3297="Buy",L3297*G3297,IF(C3297="Sell",(L3297*G3297)-I3297, X)),IF(C3297="Buy",(L3297*G3297*100)+I3297,IF(C3297="Sell",(L3297*G3297*100)-I3297, X))))</f>
        <v/>
      </c>
      <c r="N3297" s="78">
        <f>IF(ISBLANK(L3297),"",IF(AND(C3297="Sell",D3297="Stock"),M3297,IF(ISBLANK(L3297),"",IF(C3297="Buy",M3297, IF(AND(C3297="Sell",J3297="NA"),(E3297*G3297*100*0.1)+I3297, IF(C3297="Sell",(J3297-L3297)*(100*G3297)+I3297))))))</f>
        <v/>
      </c>
      <c r="O3297" s="75" t="n"/>
      <c r="P3297" s="75" t="n"/>
      <c r="Q3297" s="75">
        <f>IF(ISBLANK(P3297),"",IF(D3297="Stock",P3297*G3297,IF(P3297=0,"0",G3297*P3297*100-(G3297*$AF$14))))</f>
        <v/>
      </c>
      <c r="R3297" s="79">
        <f>IF(P3297&lt;&gt;"", TODAY(), "")</f>
        <v/>
      </c>
      <c r="S3297" s="78">
        <f>IF(AND(K3297&lt;&gt;"", R3297&lt;&gt;""), R3297-K3297, "")</f>
        <v/>
      </c>
      <c r="T3297" s="78" t="n"/>
      <c r="U3297" s="92">
        <f>IF(ISBLANK(P3297),"",IF(C3297="Buy",Q3297-M3297+T3297, IF(C3297="Sell",M3297-Q3297-T3297, X)))</f>
        <v/>
      </c>
      <c r="V3297" s="81">
        <f>IF(ISBLANK(P3297),"",U3297/N3297)</f>
        <v/>
      </c>
      <c r="W3297" s="81">
        <f>IF(ISBLANK(P3297),"",IF(S3297=0,(365/0.5)*V3297,(365/S3297)*V3297))</f>
        <v/>
      </c>
      <c r="X3297" s="75" t="n"/>
      <c r="Y3297" s="77" t="n"/>
      <c r="Z3297" s="77" t="n"/>
      <c r="AA3297" s="75" t="n"/>
      <c r="AB3297" s="75" t="n"/>
      <c r="AC3297" s="6" t="n"/>
      <c r="AD3297" s="75" t="n"/>
      <c r="AE3297" s="75" t="n"/>
      <c r="AF3297" s="75" t="n"/>
    </row>
    <row r="3298" ht="15.75" customHeight="1" s="133">
      <c r="A3298" s="75" t="n"/>
      <c r="B3298" s="75" t="n"/>
      <c r="C3298" s="75" t="n"/>
      <c r="D3298" s="75" t="n"/>
      <c r="E3298" s="76" t="n"/>
      <c r="F3298" s="77" t="n"/>
      <c r="G3298" s="75" t="n"/>
      <c r="H3298" s="75">
        <f>IF(ISBLANK(E3298),"",IF(OR(D3298="Butterfly",D3298="Butterfly ",D3298="Iron Fly", D3298="Iron Fly "),LEN(E3298)-LEN(SUBSTITUTE(E3298,"/",""))+2,LEN(E3298)-LEN(SUBSTITUTE(E3298,"/",""))+1))</f>
        <v/>
      </c>
      <c r="I3298" s="78">
        <f>IF(ISBLANK(G3298),"",IF(D3298="Stock","0",Key!$A$3*H3298*G3298))</f>
        <v/>
      </c>
      <c r="J3298" s="78">
        <f>IF(ISBLANK(E3298),"",IF(ISNUMBER(SEARCH("/",E3298)), IF(LEN(E3298)-LEN(SUBSTITUTE(E3298,"/",""))=1,(RIGHT(E3298,LEN(E3298)-FIND("/",E3298)))-(LEFT(E3298,FIND("/",E3298)-1)),(MID(E3298, SEARCH("/",E3298) + 1, SEARCH("/",E3298, SEARCH("/",E3298)+1) - SEARCH("/",E3298) - 1))-(LEFT(E3298,FIND("/",E3298)-1))), "NA"))</f>
        <v/>
      </c>
      <c r="K3298" s="79">
        <f>IF(A3298&lt;&gt;"", IF(ISBLANK(L3298), TODAY(), K3298), "")</f>
        <v/>
      </c>
      <c r="L3298" s="78" t="n"/>
      <c r="M3298" s="78">
        <f>IF(ISBLANK(L3298),"",IF(D3298="Stock",IF(C3298="Buy",L3298*G3298,IF(C3298="Sell",(L3298*G3298)-I3298, X)),IF(C3298="Buy",(L3298*G3298*100)+I3298,IF(C3298="Sell",(L3298*G3298*100)-I3298, X))))</f>
        <v/>
      </c>
      <c r="N3298" s="78">
        <f>IF(ISBLANK(L3298),"",IF(AND(C3298="Sell",D3298="Stock"),M3298,IF(ISBLANK(L3298),"",IF(C3298="Buy",M3298, IF(AND(C3298="Sell",J3298="NA"),(E3298*G3298*100*0.1)+I3298, IF(C3298="Sell",(J3298-L3298)*(100*G3298)+I3298))))))</f>
        <v/>
      </c>
      <c r="O3298" s="75" t="n"/>
      <c r="P3298" s="75" t="n"/>
      <c r="Q3298" s="75">
        <f>IF(ISBLANK(P3298),"",IF(D3298="Stock",P3298*G3298,IF(P3298=0,"0",G3298*P3298*100-(G3298*$AF$14))))</f>
        <v/>
      </c>
      <c r="R3298" s="79">
        <f>IF(P3298&lt;&gt;"", TODAY(), "")</f>
        <v/>
      </c>
      <c r="S3298" s="78">
        <f>IF(AND(K3298&lt;&gt;"", R3298&lt;&gt;""), R3298-K3298, "")</f>
        <v/>
      </c>
      <c r="T3298" s="78" t="n"/>
      <c r="U3298" s="92">
        <f>IF(ISBLANK(P3298),"",IF(C3298="Buy",Q3298-M3298+T3298, IF(C3298="Sell",M3298-Q3298-T3298, X)))</f>
        <v/>
      </c>
      <c r="V3298" s="81">
        <f>IF(ISBLANK(P3298),"",U3298/N3298)</f>
        <v/>
      </c>
      <c r="W3298" s="81">
        <f>IF(ISBLANK(P3298),"",IF(S3298=0,(365/0.5)*V3298,(365/S3298)*V3298))</f>
        <v/>
      </c>
      <c r="X3298" s="75" t="n"/>
      <c r="Y3298" s="77" t="n"/>
      <c r="Z3298" s="77" t="n"/>
      <c r="AA3298" s="75" t="n"/>
      <c r="AB3298" s="75" t="n"/>
      <c r="AC3298" s="6" t="n"/>
      <c r="AD3298" s="75" t="n"/>
      <c r="AE3298" s="75" t="n"/>
      <c r="AF3298" s="75" t="n"/>
    </row>
    <row r="3299" ht="15.75" customHeight="1" s="133">
      <c r="A3299" s="75" t="n"/>
      <c r="B3299" s="75" t="n"/>
      <c r="C3299" s="75" t="n"/>
      <c r="D3299" s="75" t="n"/>
      <c r="E3299" s="76" t="n"/>
      <c r="F3299" s="77" t="n"/>
      <c r="G3299" s="75" t="n"/>
      <c r="H3299" s="75">
        <f>IF(ISBLANK(E3299),"",IF(OR(D3299="Butterfly",D3299="Butterfly ",D3299="Iron Fly", D3299="Iron Fly "),LEN(E3299)-LEN(SUBSTITUTE(E3299,"/",""))+2,LEN(E3299)-LEN(SUBSTITUTE(E3299,"/",""))+1))</f>
        <v/>
      </c>
      <c r="I3299" s="78">
        <f>IF(ISBLANK(G3299),"",IF(D3299="Stock","0",Key!$A$3*H3299*G3299))</f>
        <v/>
      </c>
      <c r="J3299" s="78">
        <f>IF(ISBLANK(E3299),"",IF(ISNUMBER(SEARCH("/",E3299)), IF(LEN(E3299)-LEN(SUBSTITUTE(E3299,"/",""))=1,(RIGHT(E3299,LEN(E3299)-FIND("/",E3299)))-(LEFT(E3299,FIND("/",E3299)-1)),(MID(E3299, SEARCH("/",E3299) + 1, SEARCH("/",E3299, SEARCH("/",E3299)+1) - SEARCH("/",E3299) - 1))-(LEFT(E3299,FIND("/",E3299)-1))), "NA"))</f>
        <v/>
      </c>
      <c r="K3299" s="79">
        <f>IF(A3299&lt;&gt;"", IF(ISBLANK(L3299), TODAY(), K3299), "")</f>
        <v/>
      </c>
      <c r="L3299" s="78" t="n"/>
      <c r="M3299" s="78">
        <f>IF(ISBLANK(L3299),"",IF(D3299="Stock",IF(C3299="Buy",L3299*G3299,IF(C3299="Sell",(L3299*G3299)-I3299, X)),IF(C3299="Buy",(L3299*G3299*100)+I3299,IF(C3299="Sell",(L3299*G3299*100)-I3299, X))))</f>
        <v/>
      </c>
      <c r="N3299" s="78">
        <f>IF(ISBLANK(L3299),"",IF(AND(C3299="Sell",D3299="Stock"),M3299,IF(ISBLANK(L3299),"",IF(C3299="Buy",M3299, IF(AND(C3299="Sell",J3299="NA"),(E3299*G3299*100*0.1)+I3299, IF(C3299="Sell",(J3299-L3299)*(100*G3299)+I3299))))))</f>
        <v/>
      </c>
      <c r="O3299" s="75" t="n"/>
      <c r="P3299" s="75" t="n"/>
      <c r="Q3299" s="75">
        <f>IF(ISBLANK(P3299),"",IF(D3299="Stock",P3299*G3299,IF(P3299=0,"0",G3299*P3299*100-(G3299*$AF$14))))</f>
        <v/>
      </c>
      <c r="R3299" s="79">
        <f>IF(P3299&lt;&gt;"", TODAY(), "")</f>
        <v/>
      </c>
      <c r="S3299" s="78">
        <f>IF(AND(K3299&lt;&gt;"", R3299&lt;&gt;""), R3299-K3299, "")</f>
        <v/>
      </c>
      <c r="T3299" s="78" t="n"/>
      <c r="U3299" s="92">
        <f>IF(ISBLANK(P3299),"",IF(C3299="Buy",Q3299-M3299+T3299, IF(C3299="Sell",M3299-Q3299-T3299, X)))</f>
        <v/>
      </c>
      <c r="V3299" s="81">
        <f>IF(ISBLANK(P3299),"",U3299/N3299)</f>
        <v/>
      </c>
      <c r="W3299" s="81">
        <f>IF(ISBLANK(P3299),"",IF(S3299=0,(365/0.5)*V3299,(365/S3299)*V3299))</f>
        <v/>
      </c>
      <c r="X3299" s="75" t="n"/>
      <c r="Y3299" s="77" t="n"/>
      <c r="Z3299" s="77" t="n"/>
      <c r="AA3299" s="75" t="n"/>
      <c r="AB3299" s="75" t="n"/>
      <c r="AC3299" s="6" t="n"/>
      <c r="AD3299" s="75" t="n"/>
      <c r="AE3299" s="75" t="n"/>
      <c r="AF3299" s="75" t="n"/>
    </row>
    <row r="3300" ht="15.75" customHeight="1" s="133">
      <c r="A3300" s="75" t="n"/>
      <c r="B3300" s="75" t="n"/>
      <c r="C3300" s="75" t="n"/>
      <c r="D3300" s="75" t="n"/>
      <c r="E3300" s="76" t="n"/>
      <c r="F3300" s="77" t="n"/>
      <c r="G3300" s="75" t="n"/>
      <c r="H3300" s="75">
        <f>IF(ISBLANK(E3300),"",IF(OR(D3300="Butterfly",D3300="Butterfly ",D3300="Iron Fly", D3300="Iron Fly "),LEN(E3300)-LEN(SUBSTITUTE(E3300,"/",""))+2,LEN(E3300)-LEN(SUBSTITUTE(E3300,"/",""))+1))</f>
        <v/>
      </c>
      <c r="I3300" s="78">
        <f>IF(ISBLANK(G3300),"",IF(D3300="Stock","0",Key!$A$3*H3300*G3300))</f>
        <v/>
      </c>
      <c r="J3300" s="78">
        <f>IF(ISBLANK(E3300),"",IF(ISNUMBER(SEARCH("/",E3300)), IF(LEN(E3300)-LEN(SUBSTITUTE(E3300,"/",""))=1,(RIGHT(E3300,LEN(E3300)-FIND("/",E3300)))-(LEFT(E3300,FIND("/",E3300)-1)),(MID(E3300, SEARCH("/",E3300) + 1, SEARCH("/",E3300, SEARCH("/",E3300)+1) - SEARCH("/",E3300) - 1))-(LEFT(E3300,FIND("/",E3300)-1))), "NA"))</f>
        <v/>
      </c>
      <c r="K3300" s="79">
        <f>IF(A3300&lt;&gt;"", IF(ISBLANK(L3300), TODAY(), K3300), "")</f>
        <v/>
      </c>
      <c r="L3300" s="78" t="n"/>
      <c r="M3300" s="78">
        <f>IF(ISBLANK(L3300),"",IF(D3300="Stock",IF(C3300="Buy",L3300*G3300,IF(C3300="Sell",(L3300*G3300)-I3300, X)),IF(C3300="Buy",(L3300*G3300*100)+I3300,IF(C3300="Sell",(L3300*G3300*100)-I3300, X))))</f>
        <v/>
      </c>
      <c r="N3300" s="78">
        <f>IF(ISBLANK(L3300),"",IF(AND(C3300="Sell",D3300="Stock"),M3300,IF(ISBLANK(L3300),"",IF(C3300="Buy",M3300, IF(AND(C3300="Sell",J3300="NA"),(E3300*G3300*100*0.1)+I3300, IF(C3300="Sell",(J3300-L3300)*(100*G3300)+I3300))))))</f>
        <v/>
      </c>
      <c r="O3300" s="75" t="n"/>
      <c r="P3300" s="75" t="n"/>
      <c r="Q3300" s="75">
        <f>IF(ISBLANK(P3300),"",IF(D3300="Stock",P3300*G3300,IF(P3300=0,"0",G3300*P3300*100-(G3300*$AF$14))))</f>
        <v/>
      </c>
      <c r="R3300" s="79">
        <f>IF(P3300&lt;&gt;"", TODAY(), "")</f>
        <v/>
      </c>
      <c r="S3300" s="78">
        <f>IF(AND(K3300&lt;&gt;"", R3300&lt;&gt;""), R3300-K3300, "")</f>
        <v/>
      </c>
      <c r="T3300" s="78" t="n"/>
      <c r="U3300" s="92">
        <f>IF(ISBLANK(P3300),"",IF(C3300="Buy",Q3300-M3300+T3300, IF(C3300="Sell",M3300-Q3300-T3300, X)))</f>
        <v/>
      </c>
      <c r="V3300" s="81">
        <f>IF(ISBLANK(P3300),"",U3300/N3300)</f>
        <v/>
      </c>
      <c r="W3300" s="81">
        <f>IF(ISBLANK(P3300),"",IF(S3300=0,(365/0.5)*V3300,(365/S3300)*V3300))</f>
        <v/>
      </c>
      <c r="X3300" s="75" t="n"/>
      <c r="Y3300" s="77" t="n"/>
      <c r="Z3300" s="77" t="n"/>
      <c r="AA3300" s="75" t="n"/>
      <c r="AB3300" s="75" t="n"/>
      <c r="AC3300" s="6" t="n"/>
      <c r="AD3300" s="75" t="n"/>
      <c r="AE3300" s="75" t="n"/>
      <c r="AF3300" s="75" t="n"/>
    </row>
    <row r="3301" ht="15.75" customHeight="1" s="133">
      <c r="A3301" s="75" t="n"/>
      <c r="B3301" s="75" t="n"/>
      <c r="C3301" s="75" t="n"/>
      <c r="D3301" s="75" t="n"/>
      <c r="E3301" s="76" t="n"/>
      <c r="F3301" s="77" t="n"/>
      <c r="G3301" s="75" t="n"/>
      <c r="H3301" s="75">
        <f>IF(ISBLANK(E3301),"",IF(OR(D3301="Butterfly",D3301="Butterfly ",D3301="Iron Fly", D3301="Iron Fly "),LEN(E3301)-LEN(SUBSTITUTE(E3301,"/",""))+2,LEN(E3301)-LEN(SUBSTITUTE(E3301,"/",""))+1))</f>
        <v/>
      </c>
      <c r="I3301" s="78">
        <f>IF(ISBLANK(G3301),"",IF(D3301="Stock","0",Key!$A$3*H3301*G3301))</f>
        <v/>
      </c>
      <c r="J3301" s="78">
        <f>IF(ISBLANK(E3301),"",IF(ISNUMBER(SEARCH("/",E3301)), IF(LEN(E3301)-LEN(SUBSTITUTE(E3301,"/",""))=1,(RIGHT(E3301,LEN(E3301)-FIND("/",E3301)))-(LEFT(E3301,FIND("/",E3301)-1)),(MID(E3301, SEARCH("/",E3301) + 1, SEARCH("/",E3301, SEARCH("/",E3301)+1) - SEARCH("/",E3301) - 1))-(LEFT(E3301,FIND("/",E3301)-1))), "NA"))</f>
        <v/>
      </c>
      <c r="K3301" s="79">
        <f>IF(A3301&lt;&gt;"", IF(ISBLANK(L3301), TODAY(), K3301), "")</f>
        <v/>
      </c>
      <c r="L3301" s="78" t="n"/>
      <c r="M3301" s="78">
        <f>IF(ISBLANK(L3301),"",IF(D3301="Stock",IF(C3301="Buy",L3301*G3301,IF(C3301="Sell",(L3301*G3301)-I3301, X)),IF(C3301="Buy",(L3301*G3301*100)+I3301,IF(C3301="Sell",(L3301*G3301*100)-I3301, X))))</f>
        <v/>
      </c>
      <c r="N3301" s="78">
        <f>IF(ISBLANK(L3301),"",IF(AND(C3301="Sell",D3301="Stock"),M3301,IF(ISBLANK(L3301),"",IF(C3301="Buy",M3301, IF(AND(C3301="Sell",J3301="NA"),(E3301*G3301*100*0.1)+I3301, IF(C3301="Sell",(J3301-L3301)*(100*G3301)+I3301))))))</f>
        <v/>
      </c>
      <c r="O3301" s="75" t="n"/>
      <c r="P3301" s="75" t="n"/>
      <c r="Q3301" s="75">
        <f>IF(ISBLANK(P3301),"",IF(D3301="Stock",P3301*G3301,IF(P3301=0,"0",G3301*P3301*100-(G3301*$AF$14))))</f>
        <v/>
      </c>
      <c r="R3301" s="79">
        <f>IF(P3301&lt;&gt;"", TODAY(), "")</f>
        <v/>
      </c>
      <c r="S3301" s="78">
        <f>IF(AND(K3301&lt;&gt;"", R3301&lt;&gt;""), R3301-K3301, "")</f>
        <v/>
      </c>
      <c r="T3301" s="78" t="n"/>
      <c r="U3301" s="92">
        <f>IF(ISBLANK(P3301),"",IF(C3301="Buy",Q3301-M3301+T3301, IF(C3301="Sell",M3301-Q3301-T3301, X)))</f>
        <v/>
      </c>
      <c r="V3301" s="81">
        <f>IF(ISBLANK(P3301),"",U3301/N3301)</f>
        <v/>
      </c>
      <c r="W3301" s="81">
        <f>IF(ISBLANK(P3301),"",IF(S3301=0,(365/0.5)*V3301,(365/S3301)*V3301))</f>
        <v/>
      </c>
      <c r="X3301" s="75" t="n"/>
      <c r="Y3301" s="77" t="n"/>
      <c r="Z3301" s="77" t="n"/>
      <c r="AA3301" s="75" t="n"/>
      <c r="AB3301" s="75" t="n"/>
      <c r="AC3301" s="6" t="n"/>
      <c r="AD3301" s="75" t="n"/>
      <c r="AE3301" s="75" t="n"/>
      <c r="AF3301" s="75" t="n"/>
    </row>
    <row r="3302" ht="15.75" customHeight="1" s="133">
      <c r="A3302" s="75" t="n"/>
      <c r="B3302" s="75" t="n"/>
      <c r="C3302" s="75" t="n"/>
      <c r="D3302" s="75" t="n"/>
      <c r="E3302" s="76" t="n"/>
      <c r="F3302" s="77" t="n"/>
      <c r="G3302" s="75" t="n"/>
      <c r="H3302" s="75">
        <f>IF(ISBLANK(E3302),"",IF(OR(D3302="Butterfly",D3302="Butterfly ",D3302="Iron Fly", D3302="Iron Fly "),LEN(E3302)-LEN(SUBSTITUTE(E3302,"/",""))+2,LEN(E3302)-LEN(SUBSTITUTE(E3302,"/",""))+1))</f>
        <v/>
      </c>
      <c r="I3302" s="78">
        <f>IF(ISBLANK(G3302),"",IF(D3302="Stock","0",Key!$A$3*H3302*G3302))</f>
        <v/>
      </c>
      <c r="J3302" s="78">
        <f>IF(ISBLANK(E3302),"",IF(ISNUMBER(SEARCH("/",E3302)), IF(LEN(E3302)-LEN(SUBSTITUTE(E3302,"/",""))=1,(RIGHT(E3302,LEN(E3302)-FIND("/",E3302)))-(LEFT(E3302,FIND("/",E3302)-1)),(MID(E3302, SEARCH("/",E3302) + 1, SEARCH("/",E3302, SEARCH("/",E3302)+1) - SEARCH("/",E3302) - 1))-(LEFT(E3302,FIND("/",E3302)-1))), "NA"))</f>
        <v/>
      </c>
      <c r="K3302" s="79">
        <f>IF(A3302&lt;&gt;"", IF(ISBLANK(L3302), TODAY(), K3302), "")</f>
        <v/>
      </c>
      <c r="L3302" s="78" t="n"/>
      <c r="M3302" s="78">
        <f>IF(ISBLANK(L3302),"",IF(D3302="Stock",IF(C3302="Buy",L3302*G3302,IF(C3302="Sell",(L3302*G3302)-I3302, X)),IF(C3302="Buy",(L3302*G3302*100)+I3302,IF(C3302="Sell",(L3302*G3302*100)-I3302, X))))</f>
        <v/>
      </c>
      <c r="N3302" s="78">
        <f>IF(ISBLANK(L3302),"",IF(AND(C3302="Sell",D3302="Stock"),M3302,IF(ISBLANK(L3302),"",IF(C3302="Buy",M3302, IF(AND(C3302="Sell",J3302="NA"),(E3302*G3302*100*0.1)+I3302, IF(C3302="Sell",(J3302-L3302)*(100*G3302)+I3302))))))</f>
        <v/>
      </c>
      <c r="O3302" s="75" t="n"/>
      <c r="P3302" s="75" t="n"/>
      <c r="Q3302" s="75">
        <f>IF(ISBLANK(P3302),"",IF(D3302="Stock",P3302*G3302,IF(P3302=0,"0",G3302*P3302*100-(G3302*$AF$14))))</f>
        <v/>
      </c>
      <c r="R3302" s="79">
        <f>IF(P3302&lt;&gt;"", TODAY(), "")</f>
        <v/>
      </c>
      <c r="S3302" s="78">
        <f>IF(AND(K3302&lt;&gt;"", R3302&lt;&gt;""), R3302-K3302, "")</f>
        <v/>
      </c>
      <c r="T3302" s="78" t="n"/>
      <c r="U3302" s="92">
        <f>IF(ISBLANK(P3302),"",IF(C3302="Buy",Q3302-M3302+T3302, IF(C3302="Sell",M3302-Q3302-T3302, X)))</f>
        <v/>
      </c>
      <c r="V3302" s="81">
        <f>IF(ISBLANK(P3302),"",U3302/N3302)</f>
        <v/>
      </c>
      <c r="W3302" s="81">
        <f>IF(ISBLANK(P3302),"",IF(S3302=0,(365/0.5)*V3302,(365/S3302)*V3302))</f>
        <v/>
      </c>
      <c r="X3302" s="75" t="n"/>
      <c r="Y3302" s="77" t="n"/>
      <c r="Z3302" s="77" t="n"/>
      <c r="AA3302" s="75" t="n"/>
      <c r="AB3302" s="75" t="n"/>
      <c r="AC3302" s="6" t="n"/>
      <c r="AD3302" s="75" t="n"/>
      <c r="AE3302" s="75" t="n"/>
      <c r="AF3302" s="75" t="n"/>
    </row>
    <row r="3303" ht="15.75" customHeight="1" s="133">
      <c r="A3303" s="75" t="n"/>
      <c r="B3303" s="75" t="n"/>
      <c r="C3303" s="75" t="n"/>
      <c r="D3303" s="75" t="n"/>
      <c r="E3303" s="76" t="n"/>
      <c r="F3303" s="77" t="n"/>
      <c r="G3303" s="75" t="n"/>
      <c r="H3303" s="75">
        <f>IF(ISBLANK(E3303),"",IF(OR(D3303="Butterfly",D3303="Butterfly ",D3303="Iron Fly", D3303="Iron Fly "),LEN(E3303)-LEN(SUBSTITUTE(E3303,"/",""))+2,LEN(E3303)-LEN(SUBSTITUTE(E3303,"/",""))+1))</f>
        <v/>
      </c>
      <c r="I3303" s="78">
        <f>IF(ISBLANK(G3303),"",IF(D3303="Stock","0",Key!$A$3*H3303*G3303))</f>
        <v/>
      </c>
      <c r="J3303" s="78">
        <f>IF(ISBLANK(E3303),"",IF(ISNUMBER(SEARCH("/",E3303)), IF(LEN(E3303)-LEN(SUBSTITUTE(E3303,"/",""))=1,(RIGHT(E3303,LEN(E3303)-FIND("/",E3303)))-(LEFT(E3303,FIND("/",E3303)-1)),(MID(E3303, SEARCH("/",E3303) + 1, SEARCH("/",E3303, SEARCH("/",E3303)+1) - SEARCH("/",E3303) - 1))-(LEFT(E3303,FIND("/",E3303)-1))), "NA"))</f>
        <v/>
      </c>
      <c r="K3303" s="79">
        <f>IF(A3303&lt;&gt;"", IF(ISBLANK(L3303), TODAY(), K3303), "")</f>
        <v/>
      </c>
      <c r="L3303" s="78" t="n"/>
      <c r="M3303" s="78">
        <f>IF(ISBLANK(L3303),"",IF(D3303="Stock",IF(C3303="Buy",L3303*G3303,IF(C3303="Sell",(L3303*G3303)-I3303, X)),IF(C3303="Buy",(L3303*G3303*100)+I3303,IF(C3303="Sell",(L3303*G3303*100)-I3303, X))))</f>
        <v/>
      </c>
      <c r="N3303" s="78">
        <f>IF(ISBLANK(L3303),"",IF(AND(C3303="Sell",D3303="Stock"),M3303,IF(ISBLANK(L3303),"",IF(C3303="Buy",M3303, IF(AND(C3303="Sell",J3303="NA"),(E3303*G3303*100*0.1)+I3303, IF(C3303="Sell",(J3303-L3303)*(100*G3303)+I3303))))))</f>
        <v/>
      </c>
      <c r="O3303" s="75" t="n"/>
      <c r="P3303" s="75" t="n"/>
      <c r="Q3303" s="75">
        <f>IF(ISBLANK(P3303),"",IF(D3303="Stock",P3303*G3303,IF(P3303=0,"0",G3303*P3303*100-(G3303*$AF$14))))</f>
        <v/>
      </c>
      <c r="R3303" s="79">
        <f>IF(P3303&lt;&gt;"", TODAY(), "")</f>
        <v/>
      </c>
      <c r="S3303" s="78">
        <f>IF(AND(K3303&lt;&gt;"", R3303&lt;&gt;""), R3303-K3303, "")</f>
        <v/>
      </c>
      <c r="T3303" s="78" t="n"/>
      <c r="U3303" s="92">
        <f>IF(ISBLANK(P3303),"",IF(C3303="Buy",Q3303-M3303+T3303, IF(C3303="Sell",M3303-Q3303-T3303, X)))</f>
        <v/>
      </c>
      <c r="V3303" s="81">
        <f>IF(ISBLANK(P3303),"",U3303/N3303)</f>
        <v/>
      </c>
      <c r="W3303" s="81">
        <f>IF(ISBLANK(P3303),"",IF(S3303=0,(365/0.5)*V3303,(365/S3303)*V3303))</f>
        <v/>
      </c>
      <c r="X3303" s="75" t="n"/>
      <c r="Y3303" s="77" t="n"/>
      <c r="Z3303" s="77" t="n"/>
      <c r="AA3303" s="75" t="n"/>
      <c r="AB3303" s="75" t="n"/>
      <c r="AC3303" s="6" t="n"/>
      <c r="AD3303" s="75" t="n"/>
      <c r="AE3303" s="75" t="n"/>
      <c r="AF3303" s="75" t="n"/>
    </row>
    <row r="3304" ht="15.75" customHeight="1" s="133">
      <c r="A3304" s="75" t="n"/>
      <c r="B3304" s="75" t="n"/>
      <c r="C3304" s="75" t="n"/>
      <c r="D3304" s="75" t="n"/>
      <c r="E3304" s="76" t="n"/>
      <c r="F3304" s="77" t="n"/>
      <c r="G3304" s="75" t="n"/>
      <c r="H3304" s="75">
        <f>IF(ISBLANK(E3304),"",IF(OR(D3304="Butterfly",D3304="Butterfly ",D3304="Iron Fly", D3304="Iron Fly "),LEN(E3304)-LEN(SUBSTITUTE(E3304,"/",""))+2,LEN(E3304)-LEN(SUBSTITUTE(E3304,"/",""))+1))</f>
        <v/>
      </c>
      <c r="I3304" s="78">
        <f>IF(ISBLANK(G3304),"",IF(D3304="Stock","0",Key!$A$3*H3304*G3304))</f>
        <v/>
      </c>
      <c r="J3304" s="78">
        <f>IF(ISBLANK(E3304),"",IF(ISNUMBER(SEARCH("/",E3304)), IF(LEN(E3304)-LEN(SUBSTITUTE(E3304,"/",""))=1,(RIGHT(E3304,LEN(E3304)-FIND("/",E3304)))-(LEFT(E3304,FIND("/",E3304)-1)),(MID(E3304, SEARCH("/",E3304) + 1, SEARCH("/",E3304, SEARCH("/",E3304)+1) - SEARCH("/",E3304) - 1))-(LEFT(E3304,FIND("/",E3304)-1))), "NA"))</f>
        <v/>
      </c>
      <c r="K3304" s="79">
        <f>IF(A3304&lt;&gt;"", IF(ISBLANK(L3304), TODAY(), K3304), "")</f>
        <v/>
      </c>
      <c r="L3304" s="78" t="n"/>
      <c r="M3304" s="78">
        <f>IF(ISBLANK(L3304),"",IF(D3304="Stock",IF(C3304="Buy",L3304*G3304,IF(C3304="Sell",(L3304*G3304)-I3304, X)),IF(C3304="Buy",(L3304*G3304*100)+I3304,IF(C3304="Sell",(L3304*G3304*100)-I3304, X))))</f>
        <v/>
      </c>
      <c r="N3304" s="78">
        <f>IF(ISBLANK(L3304),"",IF(AND(C3304="Sell",D3304="Stock"),M3304,IF(ISBLANK(L3304),"",IF(C3304="Buy",M3304, IF(AND(C3304="Sell",J3304="NA"),(E3304*G3304*100*0.1)+I3304, IF(C3304="Sell",(J3304-L3304)*(100*G3304)+I3304))))))</f>
        <v/>
      </c>
      <c r="O3304" s="75" t="n"/>
      <c r="P3304" s="75" t="n"/>
      <c r="Q3304" s="75">
        <f>IF(ISBLANK(P3304),"",IF(D3304="Stock",P3304*G3304,IF(P3304=0,"0",G3304*P3304*100-(G3304*$AF$14))))</f>
        <v/>
      </c>
      <c r="R3304" s="79">
        <f>IF(P3304&lt;&gt;"", TODAY(), "")</f>
        <v/>
      </c>
      <c r="S3304" s="78">
        <f>IF(AND(K3304&lt;&gt;"", R3304&lt;&gt;""), R3304-K3304, "")</f>
        <v/>
      </c>
      <c r="T3304" s="78" t="n"/>
      <c r="U3304" s="92">
        <f>IF(ISBLANK(P3304),"",IF(C3304="Buy",Q3304-M3304+T3304, IF(C3304="Sell",M3304-Q3304-T3304, X)))</f>
        <v/>
      </c>
      <c r="V3304" s="81">
        <f>IF(ISBLANK(P3304),"",U3304/N3304)</f>
        <v/>
      </c>
      <c r="W3304" s="81">
        <f>IF(ISBLANK(P3304),"",IF(S3304=0,(365/0.5)*V3304,(365/S3304)*V3304))</f>
        <v/>
      </c>
      <c r="X3304" s="75" t="n"/>
      <c r="Y3304" s="77" t="n"/>
      <c r="Z3304" s="77" t="n"/>
      <c r="AA3304" s="75" t="n"/>
      <c r="AB3304" s="75" t="n"/>
      <c r="AC3304" s="6" t="n"/>
      <c r="AD3304" s="75" t="n"/>
      <c r="AE3304" s="75" t="n"/>
      <c r="AF3304" s="75" t="n"/>
    </row>
    <row r="3305" ht="15.75" customHeight="1" s="133">
      <c r="A3305" s="75" t="n"/>
      <c r="B3305" s="75" t="n"/>
      <c r="C3305" s="75" t="n"/>
      <c r="D3305" s="75" t="n"/>
      <c r="E3305" s="76" t="n"/>
      <c r="F3305" s="77" t="n"/>
      <c r="G3305" s="75" t="n"/>
      <c r="H3305" s="75">
        <f>IF(ISBLANK(E3305),"",IF(OR(D3305="Butterfly",D3305="Butterfly ",D3305="Iron Fly", D3305="Iron Fly "),LEN(E3305)-LEN(SUBSTITUTE(E3305,"/",""))+2,LEN(E3305)-LEN(SUBSTITUTE(E3305,"/",""))+1))</f>
        <v/>
      </c>
      <c r="I3305" s="78">
        <f>IF(ISBLANK(G3305),"",IF(D3305="Stock","0",Key!$A$3*H3305*G3305))</f>
        <v/>
      </c>
      <c r="J3305" s="78">
        <f>IF(ISBLANK(E3305),"",IF(ISNUMBER(SEARCH("/",E3305)), IF(LEN(E3305)-LEN(SUBSTITUTE(E3305,"/",""))=1,(RIGHT(E3305,LEN(E3305)-FIND("/",E3305)))-(LEFT(E3305,FIND("/",E3305)-1)),(MID(E3305, SEARCH("/",E3305) + 1, SEARCH("/",E3305, SEARCH("/",E3305)+1) - SEARCH("/",E3305) - 1))-(LEFT(E3305,FIND("/",E3305)-1))), "NA"))</f>
        <v/>
      </c>
      <c r="K3305" s="79">
        <f>IF(A3305&lt;&gt;"", IF(ISBLANK(L3305), TODAY(), K3305), "")</f>
        <v/>
      </c>
      <c r="L3305" s="78" t="n"/>
      <c r="M3305" s="78">
        <f>IF(ISBLANK(L3305),"",IF(D3305="Stock",IF(C3305="Buy",L3305*G3305,IF(C3305="Sell",(L3305*G3305)-I3305, X)),IF(C3305="Buy",(L3305*G3305*100)+I3305,IF(C3305="Sell",(L3305*G3305*100)-I3305, X))))</f>
        <v/>
      </c>
      <c r="N3305" s="78">
        <f>IF(ISBLANK(L3305),"",IF(AND(C3305="Sell",D3305="Stock"),M3305,IF(ISBLANK(L3305),"",IF(C3305="Buy",M3305, IF(AND(C3305="Sell",J3305="NA"),(E3305*G3305*100*0.1)+I3305, IF(C3305="Sell",(J3305-L3305)*(100*G3305)+I3305))))))</f>
        <v/>
      </c>
      <c r="O3305" s="75" t="n"/>
      <c r="P3305" s="75" t="n"/>
      <c r="Q3305" s="75">
        <f>IF(ISBLANK(P3305),"",IF(D3305="Stock",P3305*G3305,IF(P3305=0,"0",G3305*P3305*100-(G3305*$AF$14))))</f>
        <v/>
      </c>
      <c r="R3305" s="79">
        <f>IF(P3305&lt;&gt;"", TODAY(), "")</f>
        <v/>
      </c>
      <c r="S3305" s="78">
        <f>IF(AND(K3305&lt;&gt;"", R3305&lt;&gt;""), R3305-K3305, "")</f>
        <v/>
      </c>
      <c r="T3305" s="78" t="n"/>
      <c r="U3305" s="92">
        <f>IF(ISBLANK(P3305),"",IF(C3305="Buy",Q3305-M3305+T3305, IF(C3305="Sell",M3305-Q3305-T3305, X)))</f>
        <v/>
      </c>
      <c r="V3305" s="81">
        <f>IF(ISBLANK(P3305),"",U3305/N3305)</f>
        <v/>
      </c>
      <c r="W3305" s="81">
        <f>IF(ISBLANK(P3305),"",IF(S3305=0,(365/0.5)*V3305,(365/S3305)*V3305))</f>
        <v/>
      </c>
      <c r="X3305" s="75" t="n"/>
      <c r="Y3305" s="77" t="n"/>
      <c r="Z3305" s="77" t="n"/>
      <c r="AA3305" s="75" t="n"/>
      <c r="AB3305" s="75" t="n"/>
      <c r="AC3305" s="6" t="n"/>
      <c r="AD3305" s="75" t="n"/>
      <c r="AE3305" s="75" t="n"/>
      <c r="AF3305" s="75" t="n"/>
    </row>
    <row r="3306" ht="15.75" customHeight="1" s="133">
      <c r="A3306" s="75" t="n"/>
      <c r="B3306" s="75" t="n"/>
      <c r="C3306" s="75" t="n"/>
      <c r="D3306" s="75" t="n"/>
      <c r="E3306" s="76" t="n"/>
      <c r="F3306" s="77" t="n"/>
      <c r="G3306" s="75" t="n"/>
      <c r="H3306" s="75">
        <f>IF(ISBLANK(E3306),"",IF(OR(D3306="Butterfly",D3306="Butterfly ",D3306="Iron Fly", D3306="Iron Fly "),LEN(E3306)-LEN(SUBSTITUTE(E3306,"/",""))+2,LEN(E3306)-LEN(SUBSTITUTE(E3306,"/",""))+1))</f>
        <v/>
      </c>
      <c r="I3306" s="78">
        <f>IF(ISBLANK(G3306),"",IF(D3306="Stock","0",Key!$A$3*H3306*G3306))</f>
        <v/>
      </c>
      <c r="J3306" s="78">
        <f>IF(ISBLANK(E3306),"",IF(ISNUMBER(SEARCH("/",E3306)), IF(LEN(E3306)-LEN(SUBSTITUTE(E3306,"/",""))=1,(RIGHT(E3306,LEN(E3306)-FIND("/",E3306)))-(LEFT(E3306,FIND("/",E3306)-1)),(MID(E3306, SEARCH("/",E3306) + 1, SEARCH("/",E3306, SEARCH("/",E3306)+1) - SEARCH("/",E3306) - 1))-(LEFT(E3306,FIND("/",E3306)-1))), "NA"))</f>
        <v/>
      </c>
      <c r="K3306" s="79">
        <f>IF(A3306&lt;&gt;"", IF(ISBLANK(L3306), TODAY(), K3306), "")</f>
        <v/>
      </c>
      <c r="L3306" s="78" t="n"/>
      <c r="M3306" s="78">
        <f>IF(ISBLANK(L3306),"",IF(D3306="Stock",IF(C3306="Buy",L3306*G3306,IF(C3306="Sell",(L3306*G3306)-I3306, X)),IF(C3306="Buy",(L3306*G3306*100)+I3306,IF(C3306="Sell",(L3306*G3306*100)-I3306, X))))</f>
        <v/>
      </c>
      <c r="N3306" s="78">
        <f>IF(ISBLANK(L3306),"",IF(AND(C3306="Sell",D3306="Stock"),M3306,IF(ISBLANK(L3306),"",IF(C3306="Buy",M3306, IF(AND(C3306="Sell",J3306="NA"),(E3306*G3306*100*0.1)+I3306, IF(C3306="Sell",(J3306-L3306)*(100*G3306)+I3306))))))</f>
        <v/>
      </c>
      <c r="O3306" s="75" t="n"/>
      <c r="P3306" s="75" t="n"/>
      <c r="Q3306" s="75">
        <f>IF(ISBLANK(P3306),"",IF(D3306="Stock",P3306*G3306,IF(P3306=0,"0",G3306*P3306*100-(G3306*$AF$14))))</f>
        <v/>
      </c>
      <c r="R3306" s="79">
        <f>IF(P3306&lt;&gt;"", TODAY(), "")</f>
        <v/>
      </c>
      <c r="S3306" s="78">
        <f>IF(AND(K3306&lt;&gt;"", R3306&lt;&gt;""), R3306-K3306, "")</f>
        <v/>
      </c>
      <c r="T3306" s="78" t="n"/>
      <c r="U3306" s="92">
        <f>IF(ISBLANK(P3306),"",IF(C3306="Buy",Q3306-M3306+T3306, IF(C3306="Sell",M3306-Q3306-T3306, X)))</f>
        <v/>
      </c>
      <c r="V3306" s="81">
        <f>IF(ISBLANK(P3306),"",U3306/N3306)</f>
        <v/>
      </c>
      <c r="W3306" s="81">
        <f>IF(ISBLANK(P3306),"",IF(S3306=0,(365/0.5)*V3306,(365/S3306)*V3306))</f>
        <v/>
      </c>
      <c r="X3306" s="75" t="n"/>
      <c r="Y3306" s="77" t="n"/>
      <c r="Z3306" s="77" t="n"/>
      <c r="AA3306" s="75" t="n"/>
      <c r="AB3306" s="75" t="n"/>
      <c r="AC3306" s="6" t="n"/>
      <c r="AD3306" s="75" t="n"/>
      <c r="AE3306" s="75" t="n"/>
      <c r="AF3306" s="75" t="n"/>
    </row>
    <row r="3307" ht="15.75" customHeight="1" s="133">
      <c r="A3307" s="75" t="n"/>
      <c r="B3307" s="75" t="n"/>
      <c r="C3307" s="75" t="n"/>
      <c r="D3307" s="75" t="n"/>
      <c r="E3307" s="76" t="n"/>
      <c r="F3307" s="77" t="n"/>
      <c r="G3307" s="75" t="n"/>
      <c r="H3307" s="75">
        <f>IF(ISBLANK(E3307),"",IF(OR(D3307="Butterfly",D3307="Butterfly ",D3307="Iron Fly", D3307="Iron Fly "),LEN(E3307)-LEN(SUBSTITUTE(E3307,"/",""))+2,LEN(E3307)-LEN(SUBSTITUTE(E3307,"/",""))+1))</f>
        <v/>
      </c>
      <c r="I3307" s="78">
        <f>IF(ISBLANK(G3307),"",IF(D3307="Stock","0",Key!$A$3*H3307*G3307))</f>
        <v/>
      </c>
      <c r="J3307" s="78">
        <f>IF(ISBLANK(E3307),"",IF(ISNUMBER(SEARCH("/",E3307)), IF(LEN(E3307)-LEN(SUBSTITUTE(E3307,"/",""))=1,(RIGHT(E3307,LEN(E3307)-FIND("/",E3307)))-(LEFT(E3307,FIND("/",E3307)-1)),(MID(E3307, SEARCH("/",E3307) + 1, SEARCH("/",E3307, SEARCH("/",E3307)+1) - SEARCH("/",E3307) - 1))-(LEFT(E3307,FIND("/",E3307)-1))), "NA"))</f>
        <v/>
      </c>
      <c r="K3307" s="79">
        <f>IF(A3307&lt;&gt;"", IF(ISBLANK(L3307), TODAY(), K3307), "")</f>
        <v/>
      </c>
      <c r="L3307" s="78" t="n"/>
      <c r="M3307" s="78">
        <f>IF(ISBLANK(L3307),"",IF(D3307="Stock",IF(C3307="Buy",L3307*G3307,IF(C3307="Sell",(L3307*G3307)-I3307, X)),IF(C3307="Buy",(L3307*G3307*100)+I3307,IF(C3307="Sell",(L3307*G3307*100)-I3307, X))))</f>
        <v/>
      </c>
      <c r="N3307" s="78">
        <f>IF(ISBLANK(L3307),"",IF(AND(C3307="Sell",D3307="Stock"),M3307,IF(ISBLANK(L3307),"",IF(C3307="Buy",M3307, IF(AND(C3307="Sell",J3307="NA"),(E3307*G3307*100*0.1)+I3307, IF(C3307="Sell",(J3307-L3307)*(100*G3307)+I3307))))))</f>
        <v/>
      </c>
      <c r="O3307" s="75" t="n"/>
      <c r="P3307" s="75" t="n"/>
      <c r="Q3307" s="75">
        <f>IF(ISBLANK(P3307),"",IF(D3307="Stock",P3307*G3307,IF(P3307=0,"0",G3307*P3307*100-(G3307*$AF$14))))</f>
        <v/>
      </c>
      <c r="R3307" s="79">
        <f>IF(P3307&lt;&gt;"", TODAY(), "")</f>
        <v/>
      </c>
      <c r="S3307" s="78">
        <f>IF(AND(K3307&lt;&gt;"", R3307&lt;&gt;""), R3307-K3307, "")</f>
        <v/>
      </c>
      <c r="T3307" s="78" t="n"/>
      <c r="U3307" s="92">
        <f>IF(ISBLANK(P3307),"",IF(C3307="Buy",Q3307-M3307+T3307, IF(C3307="Sell",M3307-Q3307-T3307, X)))</f>
        <v/>
      </c>
      <c r="V3307" s="81">
        <f>IF(ISBLANK(P3307),"",U3307/N3307)</f>
        <v/>
      </c>
      <c r="W3307" s="81">
        <f>IF(ISBLANK(P3307),"",IF(S3307=0,(365/0.5)*V3307,(365/S3307)*V3307))</f>
        <v/>
      </c>
      <c r="X3307" s="75" t="n"/>
      <c r="Y3307" s="77" t="n"/>
      <c r="Z3307" s="77" t="n"/>
      <c r="AA3307" s="75" t="n"/>
      <c r="AB3307" s="75" t="n"/>
      <c r="AC3307" s="6" t="n"/>
      <c r="AD3307" s="75" t="n"/>
      <c r="AE3307" s="75" t="n"/>
      <c r="AF3307" s="75" t="n"/>
    </row>
    <row r="3308" ht="15.75" customHeight="1" s="133">
      <c r="A3308" s="75" t="n"/>
      <c r="B3308" s="75" t="n"/>
      <c r="C3308" s="75" t="n"/>
      <c r="D3308" s="75" t="n"/>
      <c r="E3308" s="76" t="n"/>
      <c r="F3308" s="77" t="n"/>
      <c r="G3308" s="75" t="n"/>
      <c r="H3308" s="75">
        <f>IF(ISBLANK(E3308),"",IF(OR(D3308="Butterfly",D3308="Butterfly ",D3308="Iron Fly", D3308="Iron Fly "),LEN(E3308)-LEN(SUBSTITUTE(E3308,"/",""))+2,LEN(E3308)-LEN(SUBSTITUTE(E3308,"/",""))+1))</f>
        <v/>
      </c>
      <c r="I3308" s="78">
        <f>IF(ISBLANK(G3308),"",IF(D3308="Stock","0",Key!$A$3*H3308*G3308))</f>
        <v/>
      </c>
      <c r="J3308" s="78">
        <f>IF(ISBLANK(E3308),"",IF(ISNUMBER(SEARCH("/",E3308)), IF(LEN(E3308)-LEN(SUBSTITUTE(E3308,"/",""))=1,(RIGHT(E3308,LEN(E3308)-FIND("/",E3308)))-(LEFT(E3308,FIND("/",E3308)-1)),(MID(E3308, SEARCH("/",E3308) + 1, SEARCH("/",E3308, SEARCH("/",E3308)+1) - SEARCH("/",E3308) - 1))-(LEFT(E3308,FIND("/",E3308)-1))), "NA"))</f>
        <v/>
      </c>
      <c r="K3308" s="79">
        <f>IF(A3308&lt;&gt;"", IF(ISBLANK(L3308), TODAY(), K3308), "")</f>
        <v/>
      </c>
      <c r="L3308" s="78" t="n"/>
      <c r="M3308" s="78">
        <f>IF(ISBLANK(L3308),"",IF(D3308="Stock",IF(C3308="Buy",L3308*G3308,IF(C3308="Sell",(L3308*G3308)-I3308, X)),IF(C3308="Buy",(L3308*G3308*100)+I3308,IF(C3308="Sell",(L3308*G3308*100)-I3308, X))))</f>
        <v/>
      </c>
      <c r="N3308" s="78">
        <f>IF(ISBLANK(L3308),"",IF(AND(C3308="Sell",D3308="Stock"),M3308,IF(ISBLANK(L3308),"",IF(C3308="Buy",M3308, IF(AND(C3308="Sell",J3308="NA"),(E3308*G3308*100*0.1)+I3308, IF(C3308="Sell",(J3308-L3308)*(100*G3308)+I3308))))))</f>
        <v/>
      </c>
      <c r="O3308" s="75" t="n"/>
      <c r="P3308" s="75" t="n"/>
      <c r="Q3308" s="75">
        <f>IF(ISBLANK(P3308),"",IF(D3308="Stock",P3308*G3308,IF(P3308=0,"0",G3308*P3308*100-(G3308*$AF$14))))</f>
        <v/>
      </c>
      <c r="R3308" s="79">
        <f>IF(P3308&lt;&gt;"", TODAY(), "")</f>
        <v/>
      </c>
      <c r="S3308" s="78">
        <f>IF(AND(K3308&lt;&gt;"", R3308&lt;&gt;""), R3308-K3308, "")</f>
        <v/>
      </c>
      <c r="T3308" s="78" t="n"/>
      <c r="U3308" s="92">
        <f>IF(ISBLANK(P3308),"",IF(C3308="Buy",Q3308-M3308+T3308, IF(C3308="Sell",M3308-Q3308-T3308, X)))</f>
        <v/>
      </c>
      <c r="V3308" s="81">
        <f>IF(ISBLANK(P3308),"",U3308/N3308)</f>
        <v/>
      </c>
      <c r="W3308" s="81">
        <f>IF(ISBLANK(P3308),"",IF(S3308=0,(365/0.5)*V3308,(365/S3308)*V3308))</f>
        <v/>
      </c>
      <c r="X3308" s="75" t="n"/>
      <c r="Y3308" s="77" t="n"/>
      <c r="Z3308" s="77" t="n"/>
      <c r="AA3308" s="75" t="n"/>
      <c r="AB3308" s="75" t="n"/>
      <c r="AC3308" s="6" t="n"/>
      <c r="AD3308" s="75" t="n"/>
      <c r="AE3308" s="75" t="n"/>
      <c r="AF3308" s="75" t="n"/>
    </row>
    <row r="3309" ht="15.75" customHeight="1" s="133">
      <c r="A3309" s="75" t="n"/>
      <c r="B3309" s="75" t="n"/>
      <c r="C3309" s="75" t="n"/>
      <c r="D3309" s="75" t="n"/>
      <c r="E3309" s="76" t="n"/>
      <c r="F3309" s="77" t="n"/>
      <c r="G3309" s="75" t="n"/>
      <c r="H3309" s="75">
        <f>IF(ISBLANK(E3309),"",IF(OR(D3309="Butterfly",D3309="Butterfly ",D3309="Iron Fly", D3309="Iron Fly "),LEN(E3309)-LEN(SUBSTITUTE(E3309,"/",""))+2,LEN(E3309)-LEN(SUBSTITUTE(E3309,"/",""))+1))</f>
        <v/>
      </c>
      <c r="I3309" s="78">
        <f>IF(ISBLANK(G3309),"",IF(D3309="Stock","0",Key!$A$3*H3309*G3309))</f>
        <v/>
      </c>
      <c r="J3309" s="78">
        <f>IF(ISBLANK(E3309),"",IF(ISNUMBER(SEARCH("/",E3309)), IF(LEN(E3309)-LEN(SUBSTITUTE(E3309,"/",""))=1,(RIGHT(E3309,LEN(E3309)-FIND("/",E3309)))-(LEFT(E3309,FIND("/",E3309)-1)),(MID(E3309, SEARCH("/",E3309) + 1, SEARCH("/",E3309, SEARCH("/",E3309)+1) - SEARCH("/",E3309) - 1))-(LEFT(E3309,FIND("/",E3309)-1))), "NA"))</f>
        <v/>
      </c>
      <c r="K3309" s="79">
        <f>IF(A3309&lt;&gt;"", IF(ISBLANK(L3309), TODAY(), K3309), "")</f>
        <v/>
      </c>
      <c r="L3309" s="78" t="n"/>
      <c r="M3309" s="78">
        <f>IF(ISBLANK(L3309),"",IF(D3309="Stock",IF(C3309="Buy",L3309*G3309,IF(C3309="Sell",(L3309*G3309)-I3309, X)),IF(C3309="Buy",(L3309*G3309*100)+I3309,IF(C3309="Sell",(L3309*G3309*100)-I3309, X))))</f>
        <v/>
      </c>
      <c r="N3309" s="78">
        <f>IF(ISBLANK(L3309),"",IF(AND(C3309="Sell",D3309="Stock"),M3309,IF(ISBLANK(L3309),"",IF(C3309="Buy",M3309, IF(AND(C3309="Sell",J3309="NA"),(E3309*G3309*100*0.1)+I3309, IF(C3309="Sell",(J3309-L3309)*(100*G3309)+I3309))))))</f>
        <v/>
      </c>
      <c r="O3309" s="75" t="n"/>
      <c r="P3309" s="75" t="n"/>
      <c r="Q3309" s="75">
        <f>IF(ISBLANK(P3309),"",IF(D3309="Stock",P3309*G3309,IF(P3309=0,"0",G3309*P3309*100-(G3309*$AF$14))))</f>
        <v/>
      </c>
      <c r="R3309" s="79">
        <f>IF(P3309&lt;&gt;"", TODAY(), "")</f>
        <v/>
      </c>
      <c r="S3309" s="78">
        <f>IF(AND(K3309&lt;&gt;"", R3309&lt;&gt;""), R3309-K3309, "")</f>
        <v/>
      </c>
      <c r="T3309" s="78" t="n"/>
      <c r="U3309" s="92">
        <f>IF(ISBLANK(P3309),"",IF(C3309="Buy",Q3309-M3309+T3309, IF(C3309="Sell",M3309-Q3309-T3309, X)))</f>
        <v/>
      </c>
      <c r="V3309" s="81">
        <f>IF(ISBLANK(P3309),"",U3309/N3309)</f>
        <v/>
      </c>
      <c r="W3309" s="81">
        <f>IF(ISBLANK(P3309),"",IF(S3309=0,(365/0.5)*V3309,(365/S3309)*V3309))</f>
        <v/>
      </c>
      <c r="X3309" s="75" t="n"/>
      <c r="Y3309" s="77" t="n"/>
      <c r="Z3309" s="77" t="n"/>
      <c r="AA3309" s="75" t="n"/>
      <c r="AB3309" s="75" t="n"/>
      <c r="AC3309" s="6" t="n"/>
      <c r="AD3309" s="75" t="n"/>
      <c r="AE3309" s="75" t="n"/>
      <c r="AF3309" s="75" t="n"/>
    </row>
    <row r="3310" ht="15.75" customHeight="1" s="133">
      <c r="A3310" s="75" t="n"/>
      <c r="B3310" s="75" t="n"/>
      <c r="C3310" s="75" t="n"/>
      <c r="D3310" s="75" t="n"/>
      <c r="E3310" s="76" t="n"/>
      <c r="F3310" s="77" t="n"/>
      <c r="G3310" s="75" t="n"/>
      <c r="H3310" s="75">
        <f>IF(ISBLANK(E3310),"",IF(OR(D3310="Butterfly",D3310="Butterfly ",D3310="Iron Fly", D3310="Iron Fly "),LEN(E3310)-LEN(SUBSTITUTE(E3310,"/",""))+2,LEN(E3310)-LEN(SUBSTITUTE(E3310,"/",""))+1))</f>
        <v/>
      </c>
      <c r="I3310" s="78">
        <f>IF(ISBLANK(G3310),"",IF(D3310="Stock","0",Key!$A$3*H3310*G3310))</f>
        <v/>
      </c>
      <c r="J3310" s="78">
        <f>IF(ISBLANK(E3310),"",IF(ISNUMBER(SEARCH("/",E3310)), IF(LEN(E3310)-LEN(SUBSTITUTE(E3310,"/",""))=1,(RIGHT(E3310,LEN(E3310)-FIND("/",E3310)))-(LEFT(E3310,FIND("/",E3310)-1)),(MID(E3310, SEARCH("/",E3310) + 1, SEARCH("/",E3310, SEARCH("/",E3310)+1) - SEARCH("/",E3310) - 1))-(LEFT(E3310,FIND("/",E3310)-1))), "NA"))</f>
        <v/>
      </c>
      <c r="K3310" s="79">
        <f>IF(A3310&lt;&gt;"", IF(ISBLANK(L3310), TODAY(), K3310), "")</f>
        <v/>
      </c>
      <c r="L3310" s="78" t="n"/>
      <c r="M3310" s="78">
        <f>IF(ISBLANK(L3310),"",IF(D3310="Stock",IF(C3310="Buy",L3310*G3310,IF(C3310="Sell",(L3310*G3310)-I3310, X)),IF(C3310="Buy",(L3310*G3310*100)+I3310,IF(C3310="Sell",(L3310*G3310*100)-I3310, X))))</f>
        <v/>
      </c>
      <c r="N3310" s="78">
        <f>IF(ISBLANK(L3310),"",IF(AND(C3310="Sell",D3310="Stock"),M3310,IF(ISBLANK(L3310),"",IF(C3310="Buy",M3310, IF(AND(C3310="Sell",J3310="NA"),(E3310*G3310*100*0.1)+I3310, IF(C3310="Sell",(J3310-L3310)*(100*G3310)+I3310))))))</f>
        <v/>
      </c>
      <c r="O3310" s="75" t="n"/>
      <c r="P3310" s="75" t="n"/>
      <c r="Q3310" s="75">
        <f>IF(ISBLANK(P3310),"",IF(D3310="Stock",P3310*G3310,IF(P3310=0,"0",G3310*P3310*100-(G3310*$AF$14))))</f>
        <v/>
      </c>
      <c r="R3310" s="79">
        <f>IF(P3310&lt;&gt;"", TODAY(), "")</f>
        <v/>
      </c>
      <c r="S3310" s="78">
        <f>IF(AND(K3310&lt;&gt;"", R3310&lt;&gt;""), R3310-K3310, "")</f>
        <v/>
      </c>
      <c r="T3310" s="78" t="n"/>
      <c r="U3310" s="92">
        <f>IF(ISBLANK(P3310),"",IF(C3310="Buy",Q3310-M3310+T3310, IF(C3310="Sell",M3310-Q3310-T3310, X)))</f>
        <v/>
      </c>
      <c r="V3310" s="81">
        <f>IF(ISBLANK(P3310),"",U3310/N3310)</f>
        <v/>
      </c>
      <c r="W3310" s="81">
        <f>IF(ISBLANK(P3310),"",IF(S3310=0,(365/0.5)*V3310,(365/S3310)*V3310))</f>
        <v/>
      </c>
      <c r="X3310" s="75" t="n"/>
      <c r="Y3310" s="77" t="n"/>
      <c r="Z3310" s="77" t="n"/>
      <c r="AA3310" s="75" t="n"/>
      <c r="AB3310" s="75" t="n"/>
      <c r="AC3310" s="6" t="n"/>
      <c r="AD3310" s="75" t="n"/>
      <c r="AE3310" s="75" t="n"/>
      <c r="AF3310" s="75" t="n"/>
    </row>
    <row r="3311" ht="15.75" customHeight="1" s="133">
      <c r="A3311" s="75" t="n"/>
      <c r="B3311" s="75" t="n"/>
      <c r="C3311" s="75" t="n"/>
      <c r="D3311" s="75" t="n"/>
      <c r="E3311" s="76" t="n"/>
      <c r="F3311" s="77" t="n"/>
      <c r="G3311" s="75" t="n"/>
      <c r="H3311" s="75">
        <f>IF(ISBLANK(E3311),"",IF(OR(D3311="Butterfly",D3311="Butterfly ",D3311="Iron Fly", D3311="Iron Fly "),LEN(E3311)-LEN(SUBSTITUTE(E3311,"/",""))+2,LEN(E3311)-LEN(SUBSTITUTE(E3311,"/",""))+1))</f>
        <v/>
      </c>
      <c r="I3311" s="78">
        <f>IF(ISBLANK(G3311),"",IF(D3311="Stock","0",Key!$A$3*H3311*G3311))</f>
        <v/>
      </c>
      <c r="J3311" s="78">
        <f>IF(ISBLANK(E3311),"",IF(ISNUMBER(SEARCH("/",E3311)), IF(LEN(E3311)-LEN(SUBSTITUTE(E3311,"/",""))=1,(RIGHT(E3311,LEN(E3311)-FIND("/",E3311)))-(LEFT(E3311,FIND("/",E3311)-1)),(MID(E3311, SEARCH("/",E3311) + 1, SEARCH("/",E3311, SEARCH("/",E3311)+1) - SEARCH("/",E3311) - 1))-(LEFT(E3311,FIND("/",E3311)-1))), "NA"))</f>
        <v/>
      </c>
      <c r="K3311" s="79">
        <f>IF(A3311&lt;&gt;"", IF(ISBLANK(L3311), TODAY(), K3311), "")</f>
        <v/>
      </c>
      <c r="L3311" s="78" t="n"/>
      <c r="M3311" s="78">
        <f>IF(ISBLANK(L3311),"",IF(D3311="Stock",IF(C3311="Buy",L3311*G3311,IF(C3311="Sell",(L3311*G3311)-I3311, X)),IF(C3311="Buy",(L3311*G3311*100)+I3311,IF(C3311="Sell",(L3311*G3311*100)-I3311, X))))</f>
        <v/>
      </c>
      <c r="N3311" s="78">
        <f>IF(ISBLANK(L3311),"",IF(AND(C3311="Sell",D3311="Stock"),M3311,IF(ISBLANK(L3311),"",IF(C3311="Buy",M3311, IF(AND(C3311="Sell",J3311="NA"),(E3311*G3311*100*0.1)+I3311, IF(C3311="Sell",(J3311-L3311)*(100*G3311)+I3311))))))</f>
        <v/>
      </c>
      <c r="O3311" s="75" t="n"/>
      <c r="P3311" s="75" t="n"/>
      <c r="Q3311" s="75">
        <f>IF(ISBLANK(P3311),"",IF(D3311="Stock",P3311*G3311,IF(P3311=0,"0",G3311*P3311*100-(G3311*$AF$14))))</f>
        <v/>
      </c>
      <c r="R3311" s="79">
        <f>IF(P3311&lt;&gt;"", TODAY(), "")</f>
        <v/>
      </c>
      <c r="S3311" s="78">
        <f>IF(AND(K3311&lt;&gt;"", R3311&lt;&gt;""), R3311-K3311, "")</f>
        <v/>
      </c>
      <c r="T3311" s="78" t="n"/>
      <c r="U3311" s="92">
        <f>IF(ISBLANK(P3311),"",IF(C3311="Buy",Q3311-M3311+T3311, IF(C3311="Sell",M3311-Q3311-T3311, X)))</f>
        <v/>
      </c>
      <c r="V3311" s="81">
        <f>IF(ISBLANK(P3311),"",U3311/N3311)</f>
        <v/>
      </c>
      <c r="W3311" s="81">
        <f>IF(ISBLANK(P3311),"",IF(S3311=0,(365/0.5)*V3311,(365/S3311)*V3311))</f>
        <v/>
      </c>
      <c r="X3311" s="75" t="n"/>
      <c r="Y3311" s="77" t="n"/>
      <c r="Z3311" s="77" t="n"/>
      <c r="AA3311" s="75" t="n"/>
      <c r="AB3311" s="75" t="n"/>
      <c r="AC3311" s="6" t="n"/>
      <c r="AD3311" s="75" t="n"/>
      <c r="AE3311" s="75" t="n"/>
      <c r="AF3311" s="75" t="n"/>
    </row>
    <row r="3312" ht="15.75" customHeight="1" s="133">
      <c r="A3312" s="75" t="n"/>
      <c r="B3312" s="75" t="n"/>
      <c r="C3312" s="75" t="n"/>
      <c r="D3312" s="75" t="n"/>
      <c r="E3312" s="76" t="n"/>
      <c r="F3312" s="77" t="n"/>
      <c r="G3312" s="75" t="n"/>
      <c r="H3312" s="75">
        <f>IF(ISBLANK(E3312),"",IF(OR(D3312="Butterfly",D3312="Butterfly ",D3312="Iron Fly", D3312="Iron Fly "),LEN(E3312)-LEN(SUBSTITUTE(E3312,"/",""))+2,LEN(E3312)-LEN(SUBSTITUTE(E3312,"/",""))+1))</f>
        <v/>
      </c>
      <c r="I3312" s="78">
        <f>IF(ISBLANK(G3312),"",IF(D3312="Stock","0",Key!$A$3*H3312*G3312))</f>
        <v/>
      </c>
      <c r="J3312" s="78">
        <f>IF(ISBLANK(E3312),"",IF(ISNUMBER(SEARCH("/",E3312)), IF(LEN(E3312)-LEN(SUBSTITUTE(E3312,"/",""))=1,(RIGHT(E3312,LEN(E3312)-FIND("/",E3312)))-(LEFT(E3312,FIND("/",E3312)-1)),(MID(E3312, SEARCH("/",E3312) + 1, SEARCH("/",E3312, SEARCH("/",E3312)+1) - SEARCH("/",E3312) - 1))-(LEFT(E3312,FIND("/",E3312)-1))), "NA"))</f>
        <v/>
      </c>
      <c r="K3312" s="79">
        <f>IF(A3312&lt;&gt;"", IF(ISBLANK(L3312), TODAY(), K3312), "")</f>
        <v/>
      </c>
      <c r="L3312" s="78" t="n"/>
      <c r="M3312" s="78">
        <f>IF(ISBLANK(L3312),"",IF(D3312="Stock",IF(C3312="Buy",L3312*G3312,IF(C3312="Sell",(L3312*G3312)-I3312, X)),IF(C3312="Buy",(L3312*G3312*100)+I3312,IF(C3312="Sell",(L3312*G3312*100)-I3312, X))))</f>
        <v/>
      </c>
      <c r="N3312" s="78">
        <f>IF(ISBLANK(L3312),"",IF(AND(C3312="Sell",D3312="Stock"),M3312,IF(ISBLANK(L3312),"",IF(C3312="Buy",M3312, IF(AND(C3312="Sell",J3312="NA"),(E3312*G3312*100*0.1)+I3312, IF(C3312="Sell",(J3312-L3312)*(100*G3312)+I3312))))))</f>
        <v/>
      </c>
      <c r="O3312" s="75" t="n"/>
      <c r="P3312" s="75" t="n"/>
      <c r="Q3312" s="75">
        <f>IF(ISBLANK(P3312),"",IF(D3312="Stock",P3312*G3312,IF(P3312=0,"0",G3312*P3312*100-(G3312*$AF$14))))</f>
        <v/>
      </c>
      <c r="R3312" s="79">
        <f>IF(P3312&lt;&gt;"", TODAY(), "")</f>
        <v/>
      </c>
      <c r="S3312" s="78">
        <f>IF(AND(K3312&lt;&gt;"", R3312&lt;&gt;""), R3312-K3312, "")</f>
        <v/>
      </c>
      <c r="T3312" s="78" t="n"/>
      <c r="U3312" s="92">
        <f>IF(ISBLANK(P3312),"",IF(C3312="Buy",Q3312-M3312+T3312, IF(C3312="Sell",M3312-Q3312-T3312, X)))</f>
        <v/>
      </c>
      <c r="V3312" s="81">
        <f>IF(ISBLANK(P3312),"",U3312/N3312)</f>
        <v/>
      </c>
      <c r="W3312" s="81">
        <f>IF(ISBLANK(P3312),"",IF(S3312=0,(365/0.5)*V3312,(365/S3312)*V3312))</f>
        <v/>
      </c>
      <c r="X3312" s="75" t="n"/>
      <c r="Y3312" s="77" t="n"/>
      <c r="Z3312" s="77" t="n"/>
      <c r="AA3312" s="75" t="n"/>
      <c r="AB3312" s="75" t="n"/>
      <c r="AC3312" s="6" t="n"/>
      <c r="AD3312" s="75" t="n"/>
      <c r="AE3312" s="75" t="n"/>
      <c r="AF3312" s="75" t="n"/>
    </row>
    <row r="3313" ht="15.75" customHeight="1" s="133">
      <c r="A3313" s="75" t="n"/>
      <c r="B3313" s="75" t="n"/>
      <c r="C3313" s="75" t="n"/>
      <c r="D3313" s="75" t="n"/>
      <c r="E3313" s="76" t="n"/>
      <c r="F3313" s="77" t="n"/>
      <c r="G3313" s="75" t="n"/>
      <c r="H3313" s="75">
        <f>IF(ISBLANK(E3313),"",IF(OR(D3313="Butterfly",D3313="Butterfly ",D3313="Iron Fly", D3313="Iron Fly "),LEN(E3313)-LEN(SUBSTITUTE(E3313,"/",""))+2,LEN(E3313)-LEN(SUBSTITUTE(E3313,"/",""))+1))</f>
        <v/>
      </c>
      <c r="I3313" s="78">
        <f>IF(ISBLANK(G3313),"",IF(D3313="Stock","0",Key!$A$3*H3313*G3313))</f>
        <v/>
      </c>
      <c r="J3313" s="78">
        <f>IF(ISBLANK(E3313),"",IF(ISNUMBER(SEARCH("/",E3313)), IF(LEN(E3313)-LEN(SUBSTITUTE(E3313,"/",""))=1,(RIGHT(E3313,LEN(E3313)-FIND("/",E3313)))-(LEFT(E3313,FIND("/",E3313)-1)),(MID(E3313, SEARCH("/",E3313) + 1, SEARCH("/",E3313, SEARCH("/",E3313)+1) - SEARCH("/",E3313) - 1))-(LEFT(E3313,FIND("/",E3313)-1))), "NA"))</f>
        <v/>
      </c>
      <c r="K3313" s="79">
        <f>IF(A3313&lt;&gt;"", IF(ISBLANK(L3313), TODAY(), K3313), "")</f>
        <v/>
      </c>
      <c r="L3313" s="78" t="n"/>
      <c r="M3313" s="78">
        <f>IF(ISBLANK(L3313),"",IF(D3313="Stock",IF(C3313="Buy",L3313*G3313,IF(C3313="Sell",(L3313*G3313)-I3313, X)),IF(C3313="Buy",(L3313*G3313*100)+I3313,IF(C3313="Sell",(L3313*G3313*100)-I3313, X))))</f>
        <v/>
      </c>
      <c r="N3313" s="78">
        <f>IF(ISBLANK(L3313),"",IF(AND(C3313="Sell",D3313="Stock"),M3313,IF(ISBLANK(L3313),"",IF(C3313="Buy",M3313, IF(AND(C3313="Sell",J3313="NA"),(E3313*G3313*100*0.1)+I3313, IF(C3313="Sell",(J3313-L3313)*(100*G3313)+I3313))))))</f>
        <v/>
      </c>
      <c r="O3313" s="75" t="n"/>
      <c r="P3313" s="75" t="n"/>
      <c r="Q3313" s="75">
        <f>IF(ISBLANK(P3313),"",IF(D3313="Stock",P3313*G3313,IF(P3313=0,"0",G3313*P3313*100-(G3313*$AF$14))))</f>
        <v/>
      </c>
      <c r="R3313" s="79">
        <f>IF(P3313&lt;&gt;"", TODAY(), "")</f>
        <v/>
      </c>
      <c r="S3313" s="78">
        <f>IF(AND(K3313&lt;&gt;"", R3313&lt;&gt;""), R3313-K3313, "")</f>
        <v/>
      </c>
      <c r="T3313" s="78" t="n"/>
      <c r="U3313" s="92">
        <f>IF(ISBLANK(P3313),"",IF(C3313="Buy",Q3313-M3313+T3313, IF(C3313="Sell",M3313-Q3313-T3313, X)))</f>
        <v/>
      </c>
      <c r="V3313" s="81">
        <f>IF(ISBLANK(P3313),"",U3313/N3313)</f>
        <v/>
      </c>
      <c r="W3313" s="81">
        <f>IF(ISBLANK(P3313),"",IF(S3313=0,(365/0.5)*V3313,(365/S3313)*V3313))</f>
        <v/>
      </c>
      <c r="X3313" s="75" t="n"/>
      <c r="Y3313" s="77" t="n"/>
      <c r="Z3313" s="77" t="n"/>
      <c r="AA3313" s="75" t="n"/>
      <c r="AB3313" s="75" t="n"/>
      <c r="AC3313" s="6" t="n"/>
      <c r="AD3313" s="75" t="n"/>
      <c r="AE3313" s="75" t="n"/>
      <c r="AF3313" s="75" t="n"/>
    </row>
    <row r="3314" ht="15.75" customHeight="1" s="133">
      <c r="A3314" s="75" t="n"/>
      <c r="B3314" s="75" t="n"/>
      <c r="C3314" s="75" t="n"/>
      <c r="D3314" s="75" t="n"/>
      <c r="E3314" s="76" t="n"/>
      <c r="F3314" s="77" t="n"/>
      <c r="G3314" s="75" t="n"/>
      <c r="H3314" s="75">
        <f>IF(ISBLANK(E3314),"",IF(OR(D3314="Butterfly",D3314="Butterfly ",D3314="Iron Fly", D3314="Iron Fly "),LEN(E3314)-LEN(SUBSTITUTE(E3314,"/",""))+2,LEN(E3314)-LEN(SUBSTITUTE(E3314,"/",""))+1))</f>
        <v/>
      </c>
      <c r="I3314" s="78">
        <f>IF(ISBLANK(G3314),"",IF(D3314="Stock","0",Key!$A$3*H3314*G3314))</f>
        <v/>
      </c>
      <c r="J3314" s="78">
        <f>IF(ISBLANK(E3314),"",IF(ISNUMBER(SEARCH("/",E3314)), IF(LEN(E3314)-LEN(SUBSTITUTE(E3314,"/",""))=1,(RIGHT(E3314,LEN(E3314)-FIND("/",E3314)))-(LEFT(E3314,FIND("/",E3314)-1)),(MID(E3314, SEARCH("/",E3314) + 1, SEARCH("/",E3314, SEARCH("/",E3314)+1) - SEARCH("/",E3314) - 1))-(LEFT(E3314,FIND("/",E3314)-1))), "NA"))</f>
        <v/>
      </c>
      <c r="K3314" s="79">
        <f>IF(A3314&lt;&gt;"", IF(ISBLANK(L3314), TODAY(), K3314), "")</f>
        <v/>
      </c>
      <c r="L3314" s="78" t="n"/>
      <c r="M3314" s="78">
        <f>IF(ISBLANK(L3314),"",IF(D3314="Stock",IF(C3314="Buy",L3314*G3314,IF(C3314="Sell",(L3314*G3314)-I3314, X)),IF(C3314="Buy",(L3314*G3314*100)+I3314,IF(C3314="Sell",(L3314*G3314*100)-I3314, X))))</f>
        <v/>
      </c>
      <c r="N3314" s="78">
        <f>IF(ISBLANK(L3314),"",IF(AND(C3314="Sell",D3314="Stock"),M3314,IF(ISBLANK(L3314),"",IF(C3314="Buy",M3314, IF(AND(C3314="Sell",J3314="NA"),(E3314*G3314*100*0.1)+I3314, IF(C3314="Sell",(J3314-L3314)*(100*G3314)+I3314))))))</f>
        <v/>
      </c>
      <c r="O3314" s="75" t="n"/>
      <c r="P3314" s="75" t="n"/>
      <c r="Q3314" s="75">
        <f>IF(ISBLANK(P3314),"",IF(D3314="Stock",P3314*G3314,IF(P3314=0,"0",G3314*P3314*100-(G3314*$AF$14))))</f>
        <v/>
      </c>
      <c r="R3314" s="79">
        <f>IF(P3314&lt;&gt;"", TODAY(), "")</f>
        <v/>
      </c>
      <c r="S3314" s="78">
        <f>IF(AND(K3314&lt;&gt;"", R3314&lt;&gt;""), R3314-K3314, "")</f>
        <v/>
      </c>
      <c r="T3314" s="78" t="n"/>
      <c r="U3314" s="92">
        <f>IF(ISBLANK(P3314),"",IF(C3314="Buy",Q3314-M3314+T3314, IF(C3314="Sell",M3314-Q3314-T3314, X)))</f>
        <v/>
      </c>
      <c r="V3314" s="81">
        <f>IF(ISBLANK(P3314),"",U3314/N3314)</f>
        <v/>
      </c>
      <c r="W3314" s="81">
        <f>IF(ISBLANK(P3314),"",IF(S3314=0,(365/0.5)*V3314,(365/S3314)*V3314))</f>
        <v/>
      </c>
      <c r="X3314" s="75" t="n"/>
      <c r="Y3314" s="77" t="n"/>
      <c r="Z3314" s="77" t="n"/>
      <c r="AA3314" s="75" t="n"/>
      <c r="AB3314" s="75" t="n"/>
      <c r="AC3314" s="6" t="n"/>
      <c r="AD3314" s="75" t="n"/>
      <c r="AE3314" s="75" t="n"/>
      <c r="AF3314" s="75" t="n"/>
    </row>
    <row r="3315" ht="15.75" customHeight="1" s="133">
      <c r="A3315" s="75" t="n"/>
      <c r="B3315" s="75" t="n"/>
      <c r="C3315" s="75" t="n"/>
      <c r="D3315" s="75" t="n"/>
      <c r="E3315" s="76" t="n"/>
      <c r="F3315" s="77" t="n"/>
      <c r="G3315" s="75" t="n"/>
      <c r="H3315" s="75">
        <f>IF(ISBLANK(E3315),"",IF(OR(D3315="Butterfly",D3315="Butterfly ",D3315="Iron Fly", D3315="Iron Fly "),LEN(E3315)-LEN(SUBSTITUTE(E3315,"/",""))+2,LEN(E3315)-LEN(SUBSTITUTE(E3315,"/",""))+1))</f>
        <v/>
      </c>
      <c r="I3315" s="78">
        <f>IF(ISBLANK(G3315),"",IF(D3315="Stock","0",Key!$A$3*H3315*G3315))</f>
        <v/>
      </c>
      <c r="J3315" s="78">
        <f>IF(ISBLANK(E3315),"",IF(ISNUMBER(SEARCH("/",E3315)), IF(LEN(E3315)-LEN(SUBSTITUTE(E3315,"/",""))=1,(RIGHT(E3315,LEN(E3315)-FIND("/",E3315)))-(LEFT(E3315,FIND("/",E3315)-1)),(MID(E3315, SEARCH("/",E3315) + 1, SEARCH("/",E3315, SEARCH("/",E3315)+1) - SEARCH("/",E3315) - 1))-(LEFT(E3315,FIND("/",E3315)-1))), "NA"))</f>
        <v/>
      </c>
      <c r="K3315" s="79">
        <f>IF(A3315&lt;&gt;"", IF(ISBLANK(L3315), TODAY(), K3315), "")</f>
        <v/>
      </c>
      <c r="L3315" s="78" t="n"/>
      <c r="M3315" s="78">
        <f>IF(ISBLANK(L3315),"",IF(D3315="Stock",IF(C3315="Buy",L3315*G3315,IF(C3315="Sell",(L3315*G3315)-I3315, X)),IF(C3315="Buy",(L3315*G3315*100)+I3315,IF(C3315="Sell",(L3315*G3315*100)-I3315, X))))</f>
        <v/>
      </c>
      <c r="N3315" s="78">
        <f>IF(ISBLANK(L3315),"",IF(AND(C3315="Sell",D3315="Stock"),M3315,IF(ISBLANK(L3315),"",IF(C3315="Buy",M3315, IF(AND(C3315="Sell",J3315="NA"),(E3315*G3315*100*0.1)+I3315, IF(C3315="Sell",(J3315-L3315)*(100*G3315)+I3315))))))</f>
        <v/>
      </c>
      <c r="O3315" s="75" t="n"/>
      <c r="P3315" s="75" t="n"/>
      <c r="Q3315" s="75">
        <f>IF(ISBLANK(P3315),"",IF(D3315="Stock",P3315*G3315,IF(P3315=0,"0",G3315*P3315*100-(G3315*$AF$14))))</f>
        <v/>
      </c>
      <c r="R3315" s="79">
        <f>IF(P3315&lt;&gt;"", TODAY(), "")</f>
        <v/>
      </c>
      <c r="S3315" s="78">
        <f>IF(AND(K3315&lt;&gt;"", R3315&lt;&gt;""), R3315-K3315, "")</f>
        <v/>
      </c>
      <c r="T3315" s="78" t="n"/>
      <c r="U3315" s="92">
        <f>IF(ISBLANK(P3315),"",IF(C3315="Buy",Q3315-M3315+T3315, IF(C3315="Sell",M3315-Q3315-T3315, X)))</f>
        <v/>
      </c>
      <c r="V3315" s="81">
        <f>IF(ISBLANK(P3315),"",U3315/N3315)</f>
        <v/>
      </c>
      <c r="W3315" s="81">
        <f>IF(ISBLANK(P3315),"",IF(S3315=0,(365/0.5)*V3315,(365/S3315)*V3315))</f>
        <v/>
      </c>
      <c r="X3315" s="75" t="n"/>
      <c r="Y3315" s="77" t="n"/>
      <c r="Z3315" s="77" t="n"/>
      <c r="AA3315" s="75" t="n"/>
      <c r="AB3315" s="75" t="n"/>
      <c r="AC3315" s="6" t="n"/>
      <c r="AD3315" s="75" t="n"/>
      <c r="AE3315" s="75" t="n"/>
      <c r="AF3315" s="75" t="n"/>
    </row>
    <row r="3316" ht="15.75" customHeight="1" s="133">
      <c r="A3316" s="75" t="n"/>
      <c r="B3316" s="75" t="n"/>
      <c r="C3316" s="75" t="n"/>
      <c r="D3316" s="75" t="n"/>
      <c r="E3316" s="76" t="n"/>
      <c r="F3316" s="77" t="n"/>
      <c r="G3316" s="75" t="n"/>
      <c r="H3316" s="75">
        <f>IF(ISBLANK(E3316),"",IF(OR(D3316="Butterfly",D3316="Butterfly ",D3316="Iron Fly", D3316="Iron Fly "),LEN(E3316)-LEN(SUBSTITUTE(E3316,"/",""))+2,LEN(E3316)-LEN(SUBSTITUTE(E3316,"/",""))+1))</f>
        <v/>
      </c>
      <c r="I3316" s="78">
        <f>IF(ISBLANK(G3316),"",IF(D3316="Stock","0",Key!$A$3*H3316*G3316))</f>
        <v/>
      </c>
      <c r="J3316" s="78">
        <f>IF(ISBLANK(E3316),"",IF(ISNUMBER(SEARCH("/",E3316)), IF(LEN(E3316)-LEN(SUBSTITUTE(E3316,"/",""))=1,(RIGHT(E3316,LEN(E3316)-FIND("/",E3316)))-(LEFT(E3316,FIND("/",E3316)-1)),(MID(E3316, SEARCH("/",E3316) + 1, SEARCH("/",E3316, SEARCH("/",E3316)+1) - SEARCH("/",E3316) - 1))-(LEFT(E3316,FIND("/",E3316)-1))), "NA"))</f>
        <v/>
      </c>
      <c r="K3316" s="79">
        <f>IF(A3316&lt;&gt;"", IF(ISBLANK(L3316), TODAY(), K3316), "")</f>
        <v/>
      </c>
      <c r="L3316" s="78" t="n"/>
      <c r="M3316" s="78">
        <f>IF(ISBLANK(L3316),"",IF(D3316="Stock",IF(C3316="Buy",L3316*G3316,IF(C3316="Sell",(L3316*G3316)-I3316, X)),IF(C3316="Buy",(L3316*G3316*100)+I3316,IF(C3316="Sell",(L3316*G3316*100)-I3316, X))))</f>
        <v/>
      </c>
      <c r="N3316" s="78">
        <f>IF(ISBLANK(L3316),"",IF(AND(C3316="Sell",D3316="Stock"),M3316,IF(ISBLANK(L3316),"",IF(C3316="Buy",M3316, IF(AND(C3316="Sell",J3316="NA"),(E3316*G3316*100*0.1)+I3316, IF(C3316="Sell",(J3316-L3316)*(100*G3316)+I3316))))))</f>
        <v/>
      </c>
      <c r="O3316" s="75" t="n"/>
      <c r="P3316" s="75" t="n"/>
      <c r="Q3316" s="75">
        <f>IF(ISBLANK(P3316),"",IF(D3316="Stock",P3316*G3316,IF(P3316=0,"0",G3316*P3316*100-(G3316*$AF$14))))</f>
        <v/>
      </c>
      <c r="R3316" s="79">
        <f>IF(P3316&lt;&gt;"", TODAY(), "")</f>
        <v/>
      </c>
      <c r="S3316" s="78">
        <f>IF(AND(K3316&lt;&gt;"", R3316&lt;&gt;""), R3316-K3316, "")</f>
        <v/>
      </c>
      <c r="T3316" s="78" t="n"/>
      <c r="U3316" s="92">
        <f>IF(ISBLANK(P3316),"",IF(C3316="Buy",Q3316-M3316+T3316, IF(C3316="Sell",M3316-Q3316-T3316, X)))</f>
        <v/>
      </c>
      <c r="V3316" s="81">
        <f>IF(ISBLANK(P3316),"",U3316/N3316)</f>
        <v/>
      </c>
      <c r="W3316" s="81">
        <f>IF(ISBLANK(P3316),"",IF(S3316=0,(365/0.5)*V3316,(365/S3316)*V3316))</f>
        <v/>
      </c>
      <c r="X3316" s="75" t="n"/>
      <c r="Y3316" s="77" t="n"/>
      <c r="Z3316" s="77" t="n"/>
      <c r="AA3316" s="75" t="n"/>
      <c r="AB3316" s="75" t="n"/>
      <c r="AC3316" s="6" t="n"/>
      <c r="AD3316" s="75" t="n"/>
      <c r="AE3316" s="75" t="n"/>
      <c r="AF3316" s="75" t="n"/>
    </row>
    <row r="3317" ht="15.75" customHeight="1" s="133">
      <c r="A3317" s="75" t="n"/>
      <c r="B3317" s="75" t="n"/>
      <c r="C3317" s="75" t="n"/>
      <c r="D3317" s="75" t="n"/>
      <c r="E3317" s="76" t="n"/>
      <c r="F3317" s="77" t="n"/>
      <c r="G3317" s="75" t="n"/>
      <c r="H3317" s="75">
        <f>IF(ISBLANK(E3317),"",IF(OR(D3317="Butterfly",D3317="Butterfly ",D3317="Iron Fly", D3317="Iron Fly "),LEN(E3317)-LEN(SUBSTITUTE(E3317,"/",""))+2,LEN(E3317)-LEN(SUBSTITUTE(E3317,"/",""))+1))</f>
        <v/>
      </c>
      <c r="I3317" s="78">
        <f>IF(ISBLANK(G3317),"",IF(D3317="Stock","0",Key!$A$3*H3317*G3317))</f>
        <v/>
      </c>
      <c r="J3317" s="78">
        <f>IF(ISBLANK(E3317),"",IF(ISNUMBER(SEARCH("/",E3317)), IF(LEN(E3317)-LEN(SUBSTITUTE(E3317,"/",""))=1,(RIGHT(E3317,LEN(E3317)-FIND("/",E3317)))-(LEFT(E3317,FIND("/",E3317)-1)),(MID(E3317, SEARCH("/",E3317) + 1, SEARCH("/",E3317, SEARCH("/",E3317)+1) - SEARCH("/",E3317) - 1))-(LEFT(E3317,FIND("/",E3317)-1))), "NA"))</f>
        <v/>
      </c>
      <c r="K3317" s="79">
        <f>IF(A3317&lt;&gt;"", IF(ISBLANK(L3317), TODAY(), K3317), "")</f>
        <v/>
      </c>
      <c r="L3317" s="78" t="n"/>
      <c r="M3317" s="78">
        <f>IF(ISBLANK(L3317),"",IF(D3317="Stock",IF(C3317="Buy",L3317*G3317,IF(C3317="Sell",(L3317*G3317)-I3317, X)),IF(C3317="Buy",(L3317*G3317*100)+I3317,IF(C3317="Sell",(L3317*G3317*100)-I3317, X))))</f>
        <v/>
      </c>
      <c r="N3317" s="78">
        <f>IF(ISBLANK(L3317),"",IF(AND(C3317="Sell",D3317="Stock"),M3317,IF(ISBLANK(L3317),"",IF(C3317="Buy",M3317, IF(AND(C3317="Sell",J3317="NA"),(E3317*G3317*100*0.1)+I3317, IF(C3317="Sell",(J3317-L3317)*(100*G3317)+I3317))))))</f>
        <v/>
      </c>
      <c r="O3317" s="75" t="n"/>
      <c r="P3317" s="75" t="n"/>
      <c r="Q3317" s="75">
        <f>IF(ISBLANK(P3317),"",IF(D3317="Stock",P3317*G3317,IF(P3317=0,"0",G3317*P3317*100-(G3317*$AF$14))))</f>
        <v/>
      </c>
      <c r="R3317" s="79">
        <f>IF(P3317&lt;&gt;"", TODAY(), "")</f>
        <v/>
      </c>
      <c r="S3317" s="78">
        <f>IF(AND(K3317&lt;&gt;"", R3317&lt;&gt;""), R3317-K3317, "")</f>
        <v/>
      </c>
      <c r="T3317" s="78" t="n"/>
      <c r="U3317" s="92">
        <f>IF(ISBLANK(P3317),"",IF(C3317="Buy",Q3317-M3317+T3317, IF(C3317="Sell",M3317-Q3317-T3317, X)))</f>
        <v/>
      </c>
      <c r="V3317" s="81">
        <f>IF(ISBLANK(P3317),"",U3317/N3317)</f>
        <v/>
      </c>
      <c r="W3317" s="81">
        <f>IF(ISBLANK(P3317),"",IF(S3317=0,(365/0.5)*V3317,(365/S3317)*V3317))</f>
        <v/>
      </c>
      <c r="X3317" s="75" t="n"/>
      <c r="Y3317" s="77" t="n"/>
      <c r="Z3317" s="77" t="n"/>
      <c r="AA3317" s="75" t="n"/>
      <c r="AB3317" s="75" t="n"/>
      <c r="AC3317" s="6" t="n"/>
      <c r="AD3317" s="75" t="n"/>
      <c r="AE3317" s="75" t="n"/>
      <c r="AF3317" s="75" t="n"/>
    </row>
    <row r="3318" ht="15.75" customHeight="1" s="133">
      <c r="A3318" s="75" t="n"/>
      <c r="B3318" s="75" t="n"/>
      <c r="C3318" s="75" t="n"/>
      <c r="D3318" s="75" t="n"/>
      <c r="E3318" s="76" t="n"/>
      <c r="F3318" s="77" t="n"/>
      <c r="G3318" s="75" t="n"/>
      <c r="H3318" s="75">
        <f>IF(ISBLANK(E3318),"",IF(OR(D3318="Butterfly",D3318="Butterfly ",D3318="Iron Fly", D3318="Iron Fly "),LEN(E3318)-LEN(SUBSTITUTE(E3318,"/",""))+2,LEN(E3318)-LEN(SUBSTITUTE(E3318,"/",""))+1))</f>
        <v/>
      </c>
      <c r="I3318" s="78">
        <f>IF(ISBLANK(G3318),"",IF(D3318="Stock","0",Key!$A$3*H3318*G3318))</f>
        <v/>
      </c>
      <c r="J3318" s="78">
        <f>IF(ISBLANK(E3318),"",IF(ISNUMBER(SEARCH("/",E3318)), IF(LEN(E3318)-LEN(SUBSTITUTE(E3318,"/",""))=1,(RIGHT(E3318,LEN(E3318)-FIND("/",E3318)))-(LEFT(E3318,FIND("/",E3318)-1)),(MID(E3318, SEARCH("/",E3318) + 1, SEARCH("/",E3318, SEARCH("/",E3318)+1) - SEARCH("/",E3318) - 1))-(LEFT(E3318,FIND("/",E3318)-1))), "NA"))</f>
        <v/>
      </c>
      <c r="K3318" s="79">
        <f>IF(A3318&lt;&gt;"", IF(ISBLANK(L3318), TODAY(), K3318), "")</f>
        <v/>
      </c>
      <c r="L3318" s="78" t="n"/>
      <c r="M3318" s="78">
        <f>IF(ISBLANK(L3318),"",IF(D3318="Stock",IF(C3318="Buy",L3318*G3318,IF(C3318="Sell",(L3318*G3318)-I3318, X)),IF(C3318="Buy",(L3318*G3318*100)+I3318,IF(C3318="Sell",(L3318*G3318*100)-I3318, X))))</f>
        <v/>
      </c>
      <c r="N3318" s="78">
        <f>IF(ISBLANK(L3318),"",IF(AND(C3318="Sell",D3318="Stock"),M3318,IF(ISBLANK(L3318),"",IF(C3318="Buy",M3318, IF(AND(C3318="Sell",J3318="NA"),(E3318*G3318*100*0.1)+I3318, IF(C3318="Sell",(J3318-L3318)*(100*G3318)+I3318))))))</f>
        <v/>
      </c>
      <c r="O3318" s="75" t="n"/>
      <c r="P3318" s="75" t="n"/>
      <c r="Q3318" s="75">
        <f>IF(ISBLANK(P3318),"",IF(D3318="Stock",P3318*G3318,IF(P3318=0,"0",G3318*P3318*100-(G3318*$AF$14))))</f>
        <v/>
      </c>
      <c r="R3318" s="79">
        <f>IF(P3318&lt;&gt;"", TODAY(), "")</f>
        <v/>
      </c>
      <c r="S3318" s="78">
        <f>IF(AND(K3318&lt;&gt;"", R3318&lt;&gt;""), R3318-K3318, "")</f>
        <v/>
      </c>
      <c r="T3318" s="78" t="n"/>
      <c r="U3318" s="92">
        <f>IF(ISBLANK(P3318),"",IF(C3318="Buy",Q3318-M3318+T3318, IF(C3318="Sell",M3318-Q3318-T3318, X)))</f>
        <v/>
      </c>
      <c r="V3318" s="81">
        <f>IF(ISBLANK(P3318),"",U3318/N3318)</f>
        <v/>
      </c>
      <c r="W3318" s="81">
        <f>IF(ISBLANK(P3318),"",IF(S3318=0,(365/0.5)*V3318,(365/S3318)*V3318))</f>
        <v/>
      </c>
      <c r="X3318" s="75" t="n"/>
      <c r="Y3318" s="77" t="n"/>
      <c r="Z3318" s="77" t="n"/>
      <c r="AA3318" s="75" t="n"/>
      <c r="AB3318" s="75" t="n"/>
      <c r="AC3318" s="6" t="n"/>
      <c r="AD3318" s="75" t="n"/>
      <c r="AE3318" s="75" t="n"/>
      <c r="AF3318" s="75" t="n"/>
    </row>
    <row r="3319" ht="15.75" customHeight="1" s="133">
      <c r="A3319" s="75" t="n"/>
      <c r="B3319" s="75" t="n"/>
      <c r="C3319" s="75" t="n"/>
      <c r="D3319" s="75" t="n"/>
      <c r="E3319" s="76" t="n"/>
      <c r="F3319" s="77" t="n"/>
      <c r="G3319" s="75" t="n"/>
      <c r="H3319" s="75">
        <f>IF(ISBLANK(E3319),"",IF(OR(D3319="Butterfly",D3319="Butterfly ",D3319="Iron Fly", D3319="Iron Fly "),LEN(E3319)-LEN(SUBSTITUTE(E3319,"/",""))+2,LEN(E3319)-LEN(SUBSTITUTE(E3319,"/",""))+1))</f>
        <v/>
      </c>
      <c r="I3319" s="78">
        <f>IF(ISBLANK(G3319),"",IF(D3319="Stock","0",Key!$A$3*H3319*G3319))</f>
        <v/>
      </c>
      <c r="J3319" s="78">
        <f>IF(ISBLANK(E3319),"",IF(ISNUMBER(SEARCH("/",E3319)), IF(LEN(E3319)-LEN(SUBSTITUTE(E3319,"/",""))=1,(RIGHT(E3319,LEN(E3319)-FIND("/",E3319)))-(LEFT(E3319,FIND("/",E3319)-1)),(MID(E3319, SEARCH("/",E3319) + 1, SEARCH("/",E3319, SEARCH("/",E3319)+1) - SEARCH("/",E3319) - 1))-(LEFT(E3319,FIND("/",E3319)-1))), "NA"))</f>
        <v/>
      </c>
      <c r="K3319" s="79">
        <f>IF(A3319&lt;&gt;"", IF(ISBLANK(L3319), TODAY(), K3319), "")</f>
        <v/>
      </c>
      <c r="L3319" s="78" t="n"/>
      <c r="M3319" s="78">
        <f>IF(ISBLANK(L3319),"",IF(D3319="Stock",IF(C3319="Buy",L3319*G3319,IF(C3319="Sell",(L3319*G3319)-I3319, X)),IF(C3319="Buy",(L3319*G3319*100)+I3319,IF(C3319="Sell",(L3319*G3319*100)-I3319, X))))</f>
        <v/>
      </c>
      <c r="N3319" s="78">
        <f>IF(ISBLANK(L3319),"",IF(AND(C3319="Sell",D3319="Stock"),M3319,IF(ISBLANK(L3319),"",IF(C3319="Buy",M3319, IF(AND(C3319="Sell",J3319="NA"),(E3319*G3319*100*0.1)+I3319, IF(C3319="Sell",(J3319-L3319)*(100*G3319)+I3319))))))</f>
        <v/>
      </c>
      <c r="O3319" s="75" t="n"/>
      <c r="P3319" s="75" t="n"/>
      <c r="Q3319" s="75">
        <f>IF(ISBLANK(P3319),"",IF(D3319="Stock",P3319*G3319,IF(P3319=0,"0",G3319*P3319*100-(G3319*$AF$14))))</f>
        <v/>
      </c>
      <c r="R3319" s="79">
        <f>IF(P3319&lt;&gt;"", TODAY(), "")</f>
        <v/>
      </c>
      <c r="S3319" s="78">
        <f>IF(AND(K3319&lt;&gt;"", R3319&lt;&gt;""), R3319-K3319, "")</f>
        <v/>
      </c>
      <c r="T3319" s="78" t="n"/>
      <c r="U3319" s="92">
        <f>IF(ISBLANK(P3319),"",IF(C3319="Buy",Q3319-M3319+T3319, IF(C3319="Sell",M3319-Q3319-T3319, X)))</f>
        <v/>
      </c>
      <c r="V3319" s="81">
        <f>IF(ISBLANK(P3319),"",U3319/N3319)</f>
        <v/>
      </c>
      <c r="W3319" s="81">
        <f>IF(ISBLANK(P3319),"",IF(S3319=0,(365/0.5)*V3319,(365/S3319)*V3319))</f>
        <v/>
      </c>
      <c r="X3319" s="75" t="n"/>
      <c r="Y3319" s="77" t="n"/>
      <c r="Z3319" s="77" t="n"/>
      <c r="AA3319" s="75" t="n"/>
      <c r="AB3319" s="75" t="n"/>
      <c r="AC3319" s="6" t="n"/>
      <c r="AD3319" s="75" t="n"/>
      <c r="AE3319" s="75" t="n"/>
      <c r="AF3319" s="75" t="n"/>
    </row>
    <row r="3320" ht="15.75" customHeight="1" s="133">
      <c r="A3320" s="75" t="n"/>
      <c r="B3320" s="75" t="n"/>
      <c r="C3320" s="75" t="n"/>
      <c r="D3320" s="75" t="n"/>
      <c r="E3320" s="76" t="n"/>
      <c r="F3320" s="77" t="n"/>
      <c r="G3320" s="75" t="n"/>
      <c r="H3320" s="75">
        <f>IF(ISBLANK(E3320),"",IF(OR(D3320="Butterfly",D3320="Butterfly ",D3320="Iron Fly", D3320="Iron Fly "),LEN(E3320)-LEN(SUBSTITUTE(E3320,"/",""))+2,LEN(E3320)-LEN(SUBSTITUTE(E3320,"/",""))+1))</f>
        <v/>
      </c>
      <c r="I3320" s="78">
        <f>IF(ISBLANK(G3320),"",IF(D3320="Stock","0",Key!$A$3*H3320*G3320))</f>
        <v/>
      </c>
      <c r="J3320" s="78">
        <f>IF(ISBLANK(E3320),"",IF(ISNUMBER(SEARCH("/",E3320)), IF(LEN(E3320)-LEN(SUBSTITUTE(E3320,"/",""))=1,(RIGHT(E3320,LEN(E3320)-FIND("/",E3320)))-(LEFT(E3320,FIND("/",E3320)-1)),(MID(E3320, SEARCH("/",E3320) + 1, SEARCH("/",E3320, SEARCH("/",E3320)+1) - SEARCH("/",E3320) - 1))-(LEFT(E3320,FIND("/",E3320)-1))), "NA"))</f>
        <v/>
      </c>
      <c r="K3320" s="79">
        <f>IF(A3320&lt;&gt;"", IF(ISBLANK(L3320), TODAY(), K3320), "")</f>
        <v/>
      </c>
      <c r="L3320" s="78" t="n"/>
      <c r="M3320" s="78">
        <f>IF(ISBLANK(L3320),"",IF(D3320="Stock",IF(C3320="Buy",L3320*G3320,IF(C3320="Sell",(L3320*G3320)-I3320, X)),IF(C3320="Buy",(L3320*G3320*100)+I3320,IF(C3320="Sell",(L3320*G3320*100)-I3320, X))))</f>
        <v/>
      </c>
      <c r="N3320" s="78">
        <f>IF(ISBLANK(L3320),"",IF(AND(C3320="Sell",D3320="Stock"),M3320,IF(ISBLANK(L3320),"",IF(C3320="Buy",M3320, IF(AND(C3320="Sell",J3320="NA"),(E3320*G3320*100*0.1)+I3320, IF(C3320="Sell",(J3320-L3320)*(100*G3320)+I3320))))))</f>
        <v/>
      </c>
      <c r="O3320" s="75" t="n"/>
      <c r="P3320" s="75" t="n"/>
      <c r="Q3320" s="75">
        <f>IF(ISBLANK(P3320),"",IF(D3320="Stock",P3320*G3320,IF(P3320=0,"0",G3320*P3320*100-(G3320*$AF$14))))</f>
        <v/>
      </c>
      <c r="R3320" s="79">
        <f>IF(P3320&lt;&gt;"", TODAY(), "")</f>
        <v/>
      </c>
      <c r="S3320" s="78">
        <f>IF(AND(K3320&lt;&gt;"", R3320&lt;&gt;""), R3320-K3320, "")</f>
        <v/>
      </c>
      <c r="T3320" s="78" t="n"/>
      <c r="U3320" s="92">
        <f>IF(ISBLANK(P3320),"",IF(C3320="Buy",Q3320-M3320+T3320, IF(C3320="Sell",M3320-Q3320-T3320, X)))</f>
        <v/>
      </c>
      <c r="V3320" s="81">
        <f>IF(ISBLANK(P3320),"",U3320/N3320)</f>
        <v/>
      </c>
      <c r="W3320" s="81">
        <f>IF(ISBLANK(P3320),"",IF(S3320=0,(365/0.5)*V3320,(365/S3320)*V3320))</f>
        <v/>
      </c>
      <c r="X3320" s="75" t="n"/>
      <c r="Y3320" s="77" t="n"/>
      <c r="Z3320" s="77" t="n"/>
      <c r="AA3320" s="75" t="n"/>
      <c r="AB3320" s="75" t="n"/>
      <c r="AC3320" s="6" t="n"/>
      <c r="AD3320" s="75" t="n"/>
      <c r="AE3320" s="75" t="n"/>
      <c r="AF3320" s="75" t="n"/>
    </row>
    <row r="3321" ht="15.75" customHeight="1" s="133">
      <c r="A3321" s="75" t="n"/>
      <c r="B3321" s="75" t="n"/>
      <c r="C3321" s="75" t="n"/>
      <c r="D3321" s="75" t="n"/>
      <c r="E3321" s="76" t="n"/>
      <c r="F3321" s="77" t="n"/>
      <c r="G3321" s="75" t="n"/>
      <c r="H3321" s="75">
        <f>IF(ISBLANK(E3321),"",IF(OR(D3321="Butterfly",D3321="Butterfly ",D3321="Iron Fly", D3321="Iron Fly "),LEN(E3321)-LEN(SUBSTITUTE(E3321,"/",""))+2,LEN(E3321)-LEN(SUBSTITUTE(E3321,"/",""))+1))</f>
        <v/>
      </c>
      <c r="I3321" s="78">
        <f>IF(ISBLANK(G3321),"",IF(D3321="Stock","0",Key!$A$3*H3321*G3321))</f>
        <v/>
      </c>
      <c r="J3321" s="78">
        <f>IF(ISBLANK(E3321),"",IF(ISNUMBER(SEARCH("/",E3321)), IF(LEN(E3321)-LEN(SUBSTITUTE(E3321,"/",""))=1,(RIGHT(E3321,LEN(E3321)-FIND("/",E3321)))-(LEFT(E3321,FIND("/",E3321)-1)),(MID(E3321, SEARCH("/",E3321) + 1, SEARCH("/",E3321, SEARCH("/",E3321)+1) - SEARCH("/",E3321) - 1))-(LEFT(E3321,FIND("/",E3321)-1))), "NA"))</f>
        <v/>
      </c>
      <c r="K3321" s="79">
        <f>IF(A3321&lt;&gt;"", IF(ISBLANK(L3321), TODAY(), K3321), "")</f>
        <v/>
      </c>
      <c r="L3321" s="78" t="n"/>
      <c r="M3321" s="78">
        <f>IF(ISBLANK(L3321),"",IF(D3321="Stock",IF(C3321="Buy",L3321*G3321,IF(C3321="Sell",(L3321*G3321)-I3321, X)),IF(C3321="Buy",(L3321*G3321*100)+I3321,IF(C3321="Sell",(L3321*G3321*100)-I3321, X))))</f>
        <v/>
      </c>
      <c r="N3321" s="78">
        <f>IF(ISBLANK(L3321),"",IF(AND(C3321="Sell",D3321="Stock"),M3321,IF(ISBLANK(L3321),"",IF(C3321="Buy",M3321, IF(AND(C3321="Sell",J3321="NA"),(E3321*G3321*100*0.1)+I3321, IF(C3321="Sell",(J3321-L3321)*(100*G3321)+I3321))))))</f>
        <v/>
      </c>
      <c r="O3321" s="75" t="n"/>
      <c r="P3321" s="75" t="n"/>
      <c r="Q3321" s="75">
        <f>IF(ISBLANK(P3321),"",IF(D3321="Stock",P3321*G3321,IF(P3321=0,"0",G3321*P3321*100-(G3321*$AF$14))))</f>
        <v/>
      </c>
      <c r="R3321" s="79">
        <f>IF(P3321&lt;&gt;"", TODAY(), "")</f>
        <v/>
      </c>
      <c r="S3321" s="78">
        <f>IF(AND(K3321&lt;&gt;"", R3321&lt;&gt;""), R3321-K3321, "")</f>
        <v/>
      </c>
      <c r="T3321" s="78" t="n"/>
      <c r="U3321" s="92">
        <f>IF(ISBLANK(P3321),"",IF(C3321="Buy",Q3321-M3321+T3321, IF(C3321="Sell",M3321-Q3321-T3321, X)))</f>
        <v/>
      </c>
      <c r="V3321" s="81">
        <f>IF(ISBLANK(P3321),"",U3321/N3321)</f>
        <v/>
      </c>
      <c r="W3321" s="81">
        <f>IF(ISBLANK(P3321),"",IF(S3321=0,(365/0.5)*V3321,(365/S3321)*V3321))</f>
        <v/>
      </c>
      <c r="X3321" s="75" t="n"/>
      <c r="Y3321" s="77" t="n"/>
      <c r="Z3321" s="77" t="n"/>
      <c r="AA3321" s="75" t="n"/>
      <c r="AB3321" s="75" t="n"/>
      <c r="AC3321" s="6" t="n"/>
      <c r="AD3321" s="75" t="n"/>
      <c r="AE3321" s="75" t="n"/>
      <c r="AF3321" s="75" t="n"/>
    </row>
    <row r="3322" ht="15.75" customHeight="1" s="133">
      <c r="A3322" s="75" t="n"/>
      <c r="B3322" s="75" t="n"/>
      <c r="C3322" s="75" t="n"/>
      <c r="D3322" s="75" t="n"/>
      <c r="E3322" s="76" t="n"/>
      <c r="F3322" s="77" t="n"/>
      <c r="G3322" s="75" t="n"/>
      <c r="H3322" s="75">
        <f>IF(ISBLANK(E3322),"",IF(OR(D3322="Butterfly",D3322="Butterfly ",D3322="Iron Fly", D3322="Iron Fly "),LEN(E3322)-LEN(SUBSTITUTE(E3322,"/",""))+2,LEN(E3322)-LEN(SUBSTITUTE(E3322,"/",""))+1))</f>
        <v/>
      </c>
      <c r="I3322" s="78">
        <f>IF(ISBLANK(G3322),"",IF(D3322="Stock","0",Key!$A$3*H3322*G3322))</f>
        <v/>
      </c>
      <c r="J3322" s="78">
        <f>IF(ISBLANK(E3322),"",IF(ISNUMBER(SEARCH("/",E3322)), IF(LEN(E3322)-LEN(SUBSTITUTE(E3322,"/",""))=1,(RIGHT(E3322,LEN(E3322)-FIND("/",E3322)))-(LEFT(E3322,FIND("/",E3322)-1)),(MID(E3322, SEARCH("/",E3322) + 1, SEARCH("/",E3322, SEARCH("/",E3322)+1) - SEARCH("/",E3322) - 1))-(LEFT(E3322,FIND("/",E3322)-1))), "NA"))</f>
        <v/>
      </c>
      <c r="K3322" s="79">
        <f>IF(A3322&lt;&gt;"", IF(ISBLANK(L3322), TODAY(), K3322), "")</f>
        <v/>
      </c>
      <c r="L3322" s="78" t="n"/>
      <c r="M3322" s="78">
        <f>IF(ISBLANK(L3322),"",IF(D3322="Stock",IF(C3322="Buy",L3322*G3322,IF(C3322="Sell",(L3322*G3322)-I3322, X)),IF(C3322="Buy",(L3322*G3322*100)+I3322,IF(C3322="Sell",(L3322*G3322*100)-I3322, X))))</f>
        <v/>
      </c>
      <c r="N3322" s="78">
        <f>IF(ISBLANK(L3322),"",IF(AND(C3322="Sell",D3322="Stock"),M3322,IF(ISBLANK(L3322),"",IF(C3322="Buy",M3322, IF(AND(C3322="Sell",J3322="NA"),(E3322*G3322*100*0.1)+I3322, IF(C3322="Sell",(J3322-L3322)*(100*G3322)+I3322))))))</f>
        <v/>
      </c>
      <c r="O3322" s="75" t="n"/>
      <c r="P3322" s="75" t="n"/>
      <c r="Q3322" s="75">
        <f>IF(ISBLANK(P3322),"",IF(D3322="Stock",P3322*G3322,IF(P3322=0,"0",G3322*P3322*100-(G3322*$AF$14))))</f>
        <v/>
      </c>
      <c r="R3322" s="79">
        <f>IF(P3322&lt;&gt;"", TODAY(), "")</f>
        <v/>
      </c>
      <c r="S3322" s="78">
        <f>IF(AND(K3322&lt;&gt;"", R3322&lt;&gt;""), R3322-K3322, "")</f>
        <v/>
      </c>
      <c r="T3322" s="78" t="n"/>
      <c r="U3322" s="92">
        <f>IF(ISBLANK(P3322),"",IF(C3322="Buy",Q3322-M3322+T3322, IF(C3322="Sell",M3322-Q3322-T3322, X)))</f>
        <v/>
      </c>
      <c r="V3322" s="81">
        <f>IF(ISBLANK(P3322),"",U3322/N3322)</f>
        <v/>
      </c>
      <c r="W3322" s="81">
        <f>IF(ISBLANK(P3322),"",IF(S3322=0,(365/0.5)*V3322,(365/S3322)*V3322))</f>
        <v/>
      </c>
      <c r="X3322" s="75" t="n"/>
      <c r="Y3322" s="77" t="n"/>
      <c r="Z3322" s="77" t="n"/>
      <c r="AA3322" s="75" t="n"/>
      <c r="AB3322" s="75" t="n"/>
      <c r="AC3322" s="6" t="n"/>
      <c r="AD3322" s="75" t="n"/>
      <c r="AE3322" s="75" t="n"/>
      <c r="AF3322" s="75" t="n"/>
    </row>
    <row r="3323" ht="15.75" customHeight="1" s="133">
      <c r="A3323" s="75" t="n"/>
      <c r="B3323" s="75" t="n"/>
      <c r="C3323" s="75" t="n"/>
      <c r="D3323" s="75" t="n"/>
      <c r="E3323" s="76" t="n"/>
      <c r="F3323" s="77" t="n"/>
      <c r="G3323" s="75" t="n"/>
      <c r="H3323" s="75">
        <f>IF(ISBLANK(E3323),"",IF(OR(D3323="Butterfly",D3323="Butterfly ",D3323="Iron Fly", D3323="Iron Fly "),LEN(E3323)-LEN(SUBSTITUTE(E3323,"/",""))+2,LEN(E3323)-LEN(SUBSTITUTE(E3323,"/",""))+1))</f>
        <v/>
      </c>
      <c r="I3323" s="78">
        <f>IF(ISBLANK(G3323),"",IF(D3323="Stock","0",Key!$A$3*H3323*G3323))</f>
        <v/>
      </c>
      <c r="J3323" s="78">
        <f>IF(ISBLANK(E3323),"",IF(ISNUMBER(SEARCH("/",E3323)), IF(LEN(E3323)-LEN(SUBSTITUTE(E3323,"/",""))=1,(RIGHT(E3323,LEN(E3323)-FIND("/",E3323)))-(LEFT(E3323,FIND("/",E3323)-1)),(MID(E3323, SEARCH("/",E3323) + 1, SEARCH("/",E3323, SEARCH("/",E3323)+1) - SEARCH("/",E3323) - 1))-(LEFT(E3323,FIND("/",E3323)-1))), "NA"))</f>
        <v/>
      </c>
      <c r="K3323" s="79">
        <f>IF(A3323&lt;&gt;"", IF(ISBLANK(L3323), TODAY(), K3323), "")</f>
        <v/>
      </c>
      <c r="L3323" s="78" t="n"/>
      <c r="M3323" s="78">
        <f>IF(ISBLANK(L3323),"",IF(D3323="Stock",IF(C3323="Buy",L3323*G3323,IF(C3323="Sell",(L3323*G3323)-I3323, X)),IF(C3323="Buy",(L3323*G3323*100)+I3323,IF(C3323="Sell",(L3323*G3323*100)-I3323, X))))</f>
        <v/>
      </c>
      <c r="N3323" s="78">
        <f>IF(ISBLANK(L3323),"",IF(AND(C3323="Sell",D3323="Stock"),M3323,IF(ISBLANK(L3323),"",IF(C3323="Buy",M3323, IF(AND(C3323="Sell",J3323="NA"),(E3323*G3323*100*0.1)+I3323, IF(C3323="Sell",(J3323-L3323)*(100*G3323)+I3323))))))</f>
        <v/>
      </c>
      <c r="O3323" s="75" t="n"/>
      <c r="P3323" s="75" t="n"/>
      <c r="Q3323" s="75">
        <f>IF(ISBLANK(P3323),"",IF(D3323="Stock",P3323*G3323,IF(P3323=0,"0",G3323*P3323*100-(G3323*$AF$14))))</f>
        <v/>
      </c>
      <c r="R3323" s="79">
        <f>IF(P3323&lt;&gt;"", TODAY(), "")</f>
        <v/>
      </c>
      <c r="S3323" s="78">
        <f>IF(AND(K3323&lt;&gt;"", R3323&lt;&gt;""), R3323-K3323, "")</f>
        <v/>
      </c>
      <c r="T3323" s="78" t="n"/>
      <c r="U3323" s="92">
        <f>IF(ISBLANK(P3323),"",IF(C3323="Buy",Q3323-M3323+T3323, IF(C3323="Sell",M3323-Q3323-T3323, X)))</f>
        <v/>
      </c>
      <c r="V3323" s="81">
        <f>IF(ISBLANK(P3323),"",U3323/N3323)</f>
        <v/>
      </c>
      <c r="W3323" s="81">
        <f>IF(ISBLANK(P3323),"",IF(S3323=0,(365/0.5)*V3323,(365/S3323)*V3323))</f>
        <v/>
      </c>
      <c r="X3323" s="75" t="n"/>
      <c r="Y3323" s="77" t="n"/>
      <c r="Z3323" s="77" t="n"/>
      <c r="AA3323" s="75" t="n"/>
      <c r="AB3323" s="75" t="n"/>
      <c r="AC3323" s="6" t="n"/>
      <c r="AD3323" s="75" t="n"/>
      <c r="AE3323" s="75" t="n"/>
      <c r="AF3323" s="75" t="n"/>
    </row>
    <row r="3324" ht="15.75" customHeight="1" s="133">
      <c r="A3324" s="75" t="n"/>
      <c r="B3324" s="75" t="n"/>
      <c r="C3324" s="75" t="n"/>
      <c r="D3324" s="75" t="n"/>
      <c r="E3324" s="76" t="n"/>
      <c r="F3324" s="77" t="n"/>
      <c r="G3324" s="75" t="n"/>
      <c r="H3324" s="75">
        <f>IF(ISBLANK(E3324),"",IF(OR(D3324="Butterfly",D3324="Butterfly ",D3324="Iron Fly", D3324="Iron Fly "),LEN(E3324)-LEN(SUBSTITUTE(E3324,"/",""))+2,LEN(E3324)-LEN(SUBSTITUTE(E3324,"/",""))+1))</f>
        <v/>
      </c>
      <c r="I3324" s="78">
        <f>IF(ISBLANK(G3324),"",IF(D3324="Stock","0",Key!$A$3*H3324*G3324))</f>
        <v/>
      </c>
      <c r="J3324" s="78">
        <f>IF(ISBLANK(E3324),"",IF(ISNUMBER(SEARCH("/",E3324)), IF(LEN(E3324)-LEN(SUBSTITUTE(E3324,"/",""))=1,(RIGHT(E3324,LEN(E3324)-FIND("/",E3324)))-(LEFT(E3324,FIND("/",E3324)-1)),(MID(E3324, SEARCH("/",E3324) + 1, SEARCH("/",E3324, SEARCH("/",E3324)+1) - SEARCH("/",E3324) - 1))-(LEFT(E3324,FIND("/",E3324)-1))), "NA"))</f>
        <v/>
      </c>
      <c r="K3324" s="79">
        <f>IF(A3324&lt;&gt;"", IF(ISBLANK(L3324), TODAY(), K3324), "")</f>
        <v/>
      </c>
      <c r="L3324" s="78" t="n"/>
      <c r="M3324" s="78">
        <f>IF(ISBLANK(L3324),"",IF(D3324="Stock",IF(C3324="Buy",L3324*G3324,IF(C3324="Sell",(L3324*G3324)-I3324, X)),IF(C3324="Buy",(L3324*G3324*100)+I3324,IF(C3324="Sell",(L3324*G3324*100)-I3324, X))))</f>
        <v/>
      </c>
      <c r="N3324" s="78">
        <f>IF(ISBLANK(L3324),"",IF(AND(C3324="Sell",D3324="Stock"),M3324,IF(ISBLANK(L3324),"",IF(C3324="Buy",M3324, IF(AND(C3324="Sell",J3324="NA"),(E3324*G3324*100*0.1)+I3324, IF(C3324="Sell",(J3324-L3324)*(100*G3324)+I3324))))))</f>
        <v/>
      </c>
      <c r="O3324" s="75" t="n"/>
      <c r="P3324" s="75" t="n"/>
      <c r="Q3324" s="75">
        <f>IF(ISBLANK(P3324),"",IF(D3324="Stock",P3324*G3324,IF(P3324=0,"0",G3324*P3324*100-(G3324*$AF$14))))</f>
        <v/>
      </c>
      <c r="R3324" s="79">
        <f>IF(P3324&lt;&gt;"", TODAY(), "")</f>
        <v/>
      </c>
      <c r="S3324" s="78">
        <f>IF(AND(K3324&lt;&gt;"", R3324&lt;&gt;""), R3324-K3324, "")</f>
        <v/>
      </c>
      <c r="T3324" s="78" t="n"/>
      <c r="U3324" s="92">
        <f>IF(ISBLANK(P3324),"",IF(C3324="Buy",Q3324-M3324+T3324, IF(C3324="Sell",M3324-Q3324-T3324, X)))</f>
        <v/>
      </c>
      <c r="V3324" s="81">
        <f>IF(ISBLANK(P3324),"",U3324/N3324)</f>
        <v/>
      </c>
      <c r="W3324" s="81">
        <f>IF(ISBLANK(P3324),"",IF(S3324=0,(365/0.5)*V3324,(365/S3324)*V3324))</f>
        <v/>
      </c>
      <c r="X3324" s="75" t="n"/>
      <c r="Y3324" s="77" t="n"/>
      <c r="Z3324" s="77" t="n"/>
      <c r="AA3324" s="75" t="n"/>
      <c r="AB3324" s="75" t="n"/>
      <c r="AC3324" s="6" t="n"/>
      <c r="AD3324" s="75" t="n"/>
      <c r="AE3324" s="75" t="n"/>
      <c r="AF3324" s="75" t="n"/>
    </row>
    <row r="3325" ht="15.75" customHeight="1" s="133">
      <c r="A3325" s="75" t="n"/>
      <c r="B3325" s="75" t="n"/>
      <c r="C3325" s="75" t="n"/>
      <c r="D3325" s="75" t="n"/>
      <c r="E3325" s="76" t="n"/>
      <c r="F3325" s="77" t="n"/>
      <c r="G3325" s="75" t="n"/>
      <c r="H3325" s="75">
        <f>IF(ISBLANK(E3325),"",IF(OR(D3325="Butterfly",D3325="Butterfly ",D3325="Iron Fly", D3325="Iron Fly "),LEN(E3325)-LEN(SUBSTITUTE(E3325,"/",""))+2,LEN(E3325)-LEN(SUBSTITUTE(E3325,"/",""))+1))</f>
        <v/>
      </c>
      <c r="I3325" s="78">
        <f>IF(ISBLANK(G3325),"",IF(D3325="Stock","0",Key!$A$3*H3325*G3325))</f>
        <v/>
      </c>
      <c r="J3325" s="78">
        <f>IF(ISBLANK(E3325),"",IF(ISNUMBER(SEARCH("/",E3325)), IF(LEN(E3325)-LEN(SUBSTITUTE(E3325,"/",""))=1,(RIGHT(E3325,LEN(E3325)-FIND("/",E3325)))-(LEFT(E3325,FIND("/",E3325)-1)),(MID(E3325, SEARCH("/",E3325) + 1, SEARCH("/",E3325, SEARCH("/",E3325)+1) - SEARCH("/",E3325) - 1))-(LEFT(E3325,FIND("/",E3325)-1))), "NA"))</f>
        <v/>
      </c>
      <c r="K3325" s="79">
        <f>IF(A3325&lt;&gt;"", IF(ISBLANK(L3325), TODAY(), K3325), "")</f>
        <v/>
      </c>
      <c r="L3325" s="78" t="n"/>
      <c r="M3325" s="78">
        <f>IF(ISBLANK(L3325),"",IF(D3325="Stock",IF(C3325="Buy",L3325*G3325,IF(C3325="Sell",(L3325*G3325)-I3325, X)),IF(C3325="Buy",(L3325*G3325*100)+I3325,IF(C3325="Sell",(L3325*G3325*100)-I3325, X))))</f>
        <v/>
      </c>
      <c r="N3325" s="78">
        <f>IF(ISBLANK(L3325),"",IF(AND(C3325="Sell",D3325="Stock"),M3325,IF(ISBLANK(L3325),"",IF(C3325="Buy",M3325, IF(AND(C3325="Sell",J3325="NA"),(E3325*G3325*100*0.1)+I3325, IF(C3325="Sell",(J3325-L3325)*(100*G3325)+I3325))))))</f>
        <v/>
      </c>
      <c r="O3325" s="75" t="n"/>
      <c r="P3325" s="75" t="n"/>
      <c r="Q3325" s="75">
        <f>IF(ISBLANK(P3325),"",IF(D3325="Stock",P3325*G3325,IF(P3325=0,"0",G3325*P3325*100-(G3325*$AF$14))))</f>
        <v/>
      </c>
      <c r="R3325" s="79">
        <f>IF(P3325&lt;&gt;"", TODAY(), "")</f>
        <v/>
      </c>
      <c r="S3325" s="78">
        <f>IF(AND(K3325&lt;&gt;"", R3325&lt;&gt;""), R3325-K3325, "")</f>
        <v/>
      </c>
      <c r="T3325" s="78" t="n"/>
      <c r="U3325" s="92">
        <f>IF(ISBLANK(P3325),"",IF(C3325="Buy",Q3325-M3325+T3325, IF(C3325="Sell",M3325-Q3325-T3325, X)))</f>
        <v/>
      </c>
      <c r="V3325" s="81">
        <f>IF(ISBLANK(P3325),"",U3325/N3325)</f>
        <v/>
      </c>
      <c r="W3325" s="81">
        <f>IF(ISBLANK(P3325),"",IF(S3325=0,(365/0.5)*V3325,(365/S3325)*V3325))</f>
        <v/>
      </c>
      <c r="X3325" s="75" t="n"/>
      <c r="Y3325" s="77" t="n"/>
      <c r="Z3325" s="77" t="n"/>
      <c r="AA3325" s="75" t="n"/>
      <c r="AB3325" s="75" t="n"/>
      <c r="AC3325" s="6" t="n"/>
      <c r="AD3325" s="75" t="n"/>
      <c r="AE3325" s="75" t="n"/>
      <c r="AF3325" s="75" t="n"/>
    </row>
    <row r="3326" ht="15.75" customHeight="1" s="133">
      <c r="A3326" s="75" t="n"/>
      <c r="B3326" s="75" t="n"/>
      <c r="C3326" s="75" t="n"/>
      <c r="D3326" s="75" t="n"/>
      <c r="E3326" s="76" t="n"/>
      <c r="F3326" s="77" t="n"/>
      <c r="G3326" s="75" t="n"/>
      <c r="H3326" s="75">
        <f>IF(ISBLANK(E3326),"",IF(OR(D3326="Butterfly",D3326="Butterfly ",D3326="Iron Fly", D3326="Iron Fly "),LEN(E3326)-LEN(SUBSTITUTE(E3326,"/",""))+2,LEN(E3326)-LEN(SUBSTITUTE(E3326,"/",""))+1))</f>
        <v/>
      </c>
      <c r="I3326" s="78">
        <f>IF(ISBLANK(G3326),"",IF(D3326="Stock","0",Key!$A$3*H3326*G3326))</f>
        <v/>
      </c>
      <c r="J3326" s="78">
        <f>IF(ISBLANK(E3326),"",IF(ISNUMBER(SEARCH("/",E3326)), IF(LEN(E3326)-LEN(SUBSTITUTE(E3326,"/",""))=1,(RIGHT(E3326,LEN(E3326)-FIND("/",E3326)))-(LEFT(E3326,FIND("/",E3326)-1)),(MID(E3326, SEARCH("/",E3326) + 1, SEARCH("/",E3326, SEARCH("/",E3326)+1) - SEARCH("/",E3326) - 1))-(LEFT(E3326,FIND("/",E3326)-1))), "NA"))</f>
        <v/>
      </c>
      <c r="K3326" s="79">
        <f>IF(A3326&lt;&gt;"", IF(ISBLANK(L3326), TODAY(), K3326), "")</f>
        <v/>
      </c>
      <c r="L3326" s="78" t="n"/>
      <c r="M3326" s="78">
        <f>IF(ISBLANK(L3326),"",IF(D3326="Stock",IF(C3326="Buy",L3326*G3326,IF(C3326="Sell",(L3326*G3326)-I3326, X)),IF(C3326="Buy",(L3326*G3326*100)+I3326,IF(C3326="Sell",(L3326*G3326*100)-I3326, X))))</f>
        <v/>
      </c>
      <c r="N3326" s="78">
        <f>IF(ISBLANK(L3326),"",IF(AND(C3326="Sell",D3326="Stock"),M3326,IF(ISBLANK(L3326),"",IF(C3326="Buy",M3326, IF(AND(C3326="Sell",J3326="NA"),(E3326*G3326*100*0.1)+I3326, IF(C3326="Sell",(J3326-L3326)*(100*G3326)+I3326))))))</f>
        <v/>
      </c>
      <c r="O3326" s="75" t="n"/>
      <c r="P3326" s="75" t="n"/>
      <c r="Q3326" s="75">
        <f>IF(ISBLANK(P3326),"",IF(D3326="Stock",P3326*G3326,IF(P3326=0,"0",G3326*P3326*100-(G3326*$AF$14))))</f>
        <v/>
      </c>
      <c r="R3326" s="79">
        <f>IF(P3326&lt;&gt;"", TODAY(), "")</f>
        <v/>
      </c>
      <c r="S3326" s="78">
        <f>IF(AND(K3326&lt;&gt;"", R3326&lt;&gt;""), R3326-K3326, "")</f>
        <v/>
      </c>
      <c r="T3326" s="78" t="n"/>
      <c r="U3326" s="92">
        <f>IF(ISBLANK(P3326),"",IF(C3326="Buy",Q3326-M3326+T3326, IF(C3326="Sell",M3326-Q3326-T3326, X)))</f>
        <v/>
      </c>
      <c r="V3326" s="81">
        <f>IF(ISBLANK(P3326),"",U3326/N3326)</f>
        <v/>
      </c>
      <c r="W3326" s="81">
        <f>IF(ISBLANK(P3326),"",IF(S3326=0,(365/0.5)*V3326,(365/S3326)*V3326))</f>
        <v/>
      </c>
      <c r="X3326" s="75" t="n"/>
      <c r="Y3326" s="77" t="n"/>
      <c r="Z3326" s="77" t="n"/>
      <c r="AA3326" s="75" t="n"/>
      <c r="AB3326" s="75" t="n"/>
      <c r="AC3326" s="6" t="n"/>
      <c r="AD3326" s="75" t="n"/>
      <c r="AE3326" s="75" t="n"/>
      <c r="AF3326" s="75" t="n"/>
    </row>
    <row r="3327" ht="15.75" customHeight="1" s="133">
      <c r="A3327" s="75" t="n"/>
      <c r="B3327" s="75" t="n"/>
      <c r="C3327" s="75" t="n"/>
      <c r="D3327" s="75" t="n"/>
      <c r="E3327" s="76" t="n"/>
      <c r="F3327" s="77" t="n"/>
      <c r="G3327" s="75" t="n"/>
      <c r="H3327" s="75">
        <f>IF(ISBLANK(E3327),"",IF(OR(D3327="Butterfly",D3327="Butterfly ",D3327="Iron Fly", D3327="Iron Fly "),LEN(E3327)-LEN(SUBSTITUTE(E3327,"/",""))+2,LEN(E3327)-LEN(SUBSTITUTE(E3327,"/",""))+1))</f>
        <v/>
      </c>
      <c r="I3327" s="78">
        <f>IF(ISBLANK(G3327),"",IF(D3327="Stock","0",Key!$A$3*H3327*G3327))</f>
        <v/>
      </c>
      <c r="J3327" s="78">
        <f>IF(ISBLANK(E3327),"",IF(ISNUMBER(SEARCH("/",E3327)), IF(LEN(E3327)-LEN(SUBSTITUTE(E3327,"/",""))=1,(RIGHT(E3327,LEN(E3327)-FIND("/",E3327)))-(LEFT(E3327,FIND("/",E3327)-1)),(MID(E3327, SEARCH("/",E3327) + 1, SEARCH("/",E3327, SEARCH("/",E3327)+1) - SEARCH("/",E3327) - 1))-(LEFT(E3327,FIND("/",E3327)-1))), "NA"))</f>
        <v/>
      </c>
      <c r="K3327" s="79">
        <f>IF(A3327&lt;&gt;"", IF(ISBLANK(L3327), TODAY(), K3327), "")</f>
        <v/>
      </c>
      <c r="L3327" s="78" t="n"/>
      <c r="M3327" s="78">
        <f>IF(ISBLANK(L3327),"",IF(D3327="Stock",IF(C3327="Buy",L3327*G3327,IF(C3327="Sell",(L3327*G3327)-I3327, X)),IF(C3327="Buy",(L3327*G3327*100)+I3327,IF(C3327="Sell",(L3327*G3327*100)-I3327, X))))</f>
        <v/>
      </c>
      <c r="N3327" s="78">
        <f>IF(ISBLANK(L3327),"",IF(AND(C3327="Sell",D3327="Stock"),M3327,IF(ISBLANK(L3327),"",IF(C3327="Buy",M3327, IF(AND(C3327="Sell",J3327="NA"),(E3327*G3327*100*0.1)+I3327, IF(C3327="Sell",(J3327-L3327)*(100*G3327)+I3327))))))</f>
        <v/>
      </c>
      <c r="O3327" s="75" t="n"/>
      <c r="P3327" s="75" t="n"/>
      <c r="Q3327" s="75">
        <f>IF(ISBLANK(P3327),"",IF(D3327="Stock",P3327*G3327,IF(P3327=0,"0",G3327*P3327*100-(G3327*$AF$14))))</f>
        <v/>
      </c>
      <c r="R3327" s="79">
        <f>IF(P3327&lt;&gt;"", TODAY(), "")</f>
        <v/>
      </c>
      <c r="S3327" s="78">
        <f>IF(AND(K3327&lt;&gt;"", R3327&lt;&gt;""), R3327-K3327, "")</f>
        <v/>
      </c>
      <c r="T3327" s="78" t="n"/>
      <c r="U3327" s="92">
        <f>IF(ISBLANK(P3327),"",IF(C3327="Buy",Q3327-M3327+T3327, IF(C3327="Sell",M3327-Q3327-T3327, X)))</f>
        <v/>
      </c>
      <c r="V3327" s="81">
        <f>IF(ISBLANK(P3327),"",U3327/N3327)</f>
        <v/>
      </c>
      <c r="W3327" s="81">
        <f>IF(ISBLANK(P3327),"",IF(S3327=0,(365/0.5)*V3327,(365/S3327)*V3327))</f>
        <v/>
      </c>
      <c r="X3327" s="75" t="n"/>
      <c r="Y3327" s="77" t="n"/>
      <c r="Z3327" s="77" t="n"/>
      <c r="AA3327" s="75" t="n"/>
      <c r="AB3327" s="75" t="n"/>
      <c r="AC3327" s="6" t="n"/>
      <c r="AD3327" s="75" t="n"/>
      <c r="AE3327" s="75" t="n"/>
      <c r="AF3327" s="75" t="n"/>
    </row>
    <row r="3328" ht="15.75" customHeight="1" s="133">
      <c r="A3328" s="75" t="n"/>
      <c r="B3328" s="75" t="n"/>
      <c r="C3328" s="75" t="n"/>
      <c r="D3328" s="75" t="n"/>
      <c r="E3328" s="76" t="n"/>
      <c r="F3328" s="77" t="n"/>
      <c r="G3328" s="75" t="n"/>
      <c r="H3328" s="75">
        <f>IF(ISBLANK(E3328),"",IF(OR(D3328="Butterfly",D3328="Butterfly ",D3328="Iron Fly", D3328="Iron Fly "),LEN(E3328)-LEN(SUBSTITUTE(E3328,"/",""))+2,LEN(E3328)-LEN(SUBSTITUTE(E3328,"/",""))+1))</f>
        <v/>
      </c>
      <c r="I3328" s="78">
        <f>IF(ISBLANK(G3328),"",IF(D3328="Stock","0",Key!$A$3*H3328*G3328))</f>
        <v/>
      </c>
      <c r="J3328" s="78">
        <f>IF(ISBLANK(E3328),"",IF(ISNUMBER(SEARCH("/",E3328)), IF(LEN(E3328)-LEN(SUBSTITUTE(E3328,"/",""))=1,(RIGHT(E3328,LEN(E3328)-FIND("/",E3328)))-(LEFT(E3328,FIND("/",E3328)-1)),(MID(E3328, SEARCH("/",E3328) + 1, SEARCH("/",E3328, SEARCH("/",E3328)+1) - SEARCH("/",E3328) - 1))-(LEFT(E3328,FIND("/",E3328)-1))), "NA"))</f>
        <v/>
      </c>
      <c r="K3328" s="79">
        <f>IF(A3328&lt;&gt;"", IF(ISBLANK(L3328), TODAY(), K3328), "")</f>
        <v/>
      </c>
      <c r="L3328" s="78" t="n"/>
      <c r="M3328" s="78">
        <f>IF(ISBLANK(L3328),"",IF(D3328="Stock",IF(C3328="Buy",L3328*G3328,IF(C3328="Sell",(L3328*G3328)-I3328, X)),IF(C3328="Buy",(L3328*G3328*100)+I3328,IF(C3328="Sell",(L3328*G3328*100)-I3328, X))))</f>
        <v/>
      </c>
      <c r="N3328" s="78">
        <f>IF(ISBLANK(L3328),"",IF(AND(C3328="Sell",D3328="Stock"),M3328,IF(ISBLANK(L3328),"",IF(C3328="Buy",M3328, IF(AND(C3328="Sell",J3328="NA"),(E3328*G3328*100*0.1)+I3328, IF(C3328="Sell",(J3328-L3328)*(100*G3328)+I3328))))))</f>
        <v/>
      </c>
      <c r="O3328" s="75" t="n"/>
      <c r="P3328" s="75" t="n"/>
      <c r="Q3328" s="75">
        <f>IF(ISBLANK(P3328),"",IF(D3328="Stock",P3328*G3328,IF(P3328=0,"0",G3328*P3328*100-(G3328*$AF$14))))</f>
        <v/>
      </c>
      <c r="R3328" s="79">
        <f>IF(P3328&lt;&gt;"", TODAY(), "")</f>
        <v/>
      </c>
      <c r="S3328" s="78">
        <f>IF(AND(K3328&lt;&gt;"", R3328&lt;&gt;""), R3328-K3328, "")</f>
        <v/>
      </c>
      <c r="T3328" s="78" t="n"/>
      <c r="U3328" s="92">
        <f>IF(ISBLANK(P3328),"",IF(C3328="Buy",Q3328-M3328+T3328, IF(C3328="Sell",M3328-Q3328-T3328, X)))</f>
        <v/>
      </c>
      <c r="V3328" s="81">
        <f>IF(ISBLANK(P3328),"",U3328/N3328)</f>
        <v/>
      </c>
      <c r="W3328" s="81">
        <f>IF(ISBLANK(P3328),"",IF(S3328=0,(365/0.5)*V3328,(365/S3328)*V3328))</f>
        <v/>
      </c>
      <c r="X3328" s="75" t="n"/>
      <c r="Y3328" s="77" t="n"/>
      <c r="Z3328" s="77" t="n"/>
      <c r="AA3328" s="75" t="n"/>
      <c r="AB3328" s="75" t="n"/>
      <c r="AC3328" s="6" t="n"/>
      <c r="AD3328" s="75" t="n"/>
      <c r="AE3328" s="75" t="n"/>
      <c r="AF3328" s="75" t="n"/>
    </row>
    <row r="3329" ht="15.75" customHeight="1" s="133">
      <c r="A3329" s="75" t="n"/>
      <c r="B3329" s="75" t="n"/>
      <c r="C3329" s="75" t="n"/>
      <c r="D3329" s="75" t="n"/>
      <c r="E3329" s="76" t="n"/>
      <c r="F3329" s="77" t="n"/>
      <c r="G3329" s="75" t="n"/>
      <c r="H3329" s="75">
        <f>IF(ISBLANK(E3329),"",IF(OR(D3329="Butterfly",D3329="Butterfly ",D3329="Iron Fly", D3329="Iron Fly "),LEN(E3329)-LEN(SUBSTITUTE(E3329,"/",""))+2,LEN(E3329)-LEN(SUBSTITUTE(E3329,"/",""))+1))</f>
        <v/>
      </c>
      <c r="I3329" s="78">
        <f>IF(ISBLANK(G3329),"",IF(D3329="Stock","0",Key!$A$3*H3329*G3329))</f>
        <v/>
      </c>
      <c r="J3329" s="78">
        <f>IF(ISBLANK(E3329),"",IF(ISNUMBER(SEARCH("/",E3329)), IF(LEN(E3329)-LEN(SUBSTITUTE(E3329,"/",""))=1,(RIGHT(E3329,LEN(E3329)-FIND("/",E3329)))-(LEFT(E3329,FIND("/",E3329)-1)),(MID(E3329, SEARCH("/",E3329) + 1, SEARCH("/",E3329, SEARCH("/",E3329)+1) - SEARCH("/",E3329) - 1))-(LEFT(E3329,FIND("/",E3329)-1))), "NA"))</f>
        <v/>
      </c>
      <c r="K3329" s="79">
        <f>IF(A3329&lt;&gt;"", IF(ISBLANK(L3329), TODAY(), K3329), "")</f>
        <v/>
      </c>
      <c r="L3329" s="78" t="n"/>
      <c r="M3329" s="78">
        <f>IF(ISBLANK(L3329),"",IF(D3329="Stock",IF(C3329="Buy",L3329*G3329,IF(C3329="Sell",(L3329*G3329)-I3329, X)),IF(C3329="Buy",(L3329*G3329*100)+I3329,IF(C3329="Sell",(L3329*G3329*100)-I3329, X))))</f>
        <v/>
      </c>
      <c r="N3329" s="78">
        <f>IF(ISBLANK(L3329),"",IF(AND(C3329="Sell",D3329="Stock"),M3329,IF(ISBLANK(L3329),"",IF(C3329="Buy",M3329, IF(AND(C3329="Sell",J3329="NA"),(E3329*G3329*100*0.1)+I3329, IF(C3329="Sell",(J3329-L3329)*(100*G3329)+I3329))))))</f>
        <v/>
      </c>
      <c r="O3329" s="75" t="n"/>
      <c r="P3329" s="75" t="n"/>
      <c r="Q3329" s="75">
        <f>IF(ISBLANK(P3329),"",IF(D3329="Stock",P3329*G3329,IF(P3329=0,"0",G3329*P3329*100-(G3329*$AF$14))))</f>
        <v/>
      </c>
      <c r="R3329" s="79">
        <f>IF(P3329&lt;&gt;"", TODAY(), "")</f>
        <v/>
      </c>
      <c r="S3329" s="78">
        <f>IF(AND(K3329&lt;&gt;"", R3329&lt;&gt;""), R3329-K3329, "")</f>
        <v/>
      </c>
      <c r="T3329" s="78" t="n"/>
      <c r="U3329" s="92">
        <f>IF(ISBLANK(P3329),"",IF(C3329="Buy",Q3329-M3329+T3329, IF(C3329="Sell",M3329-Q3329-T3329, X)))</f>
        <v/>
      </c>
      <c r="V3329" s="81">
        <f>IF(ISBLANK(P3329),"",U3329/N3329)</f>
        <v/>
      </c>
      <c r="W3329" s="81">
        <f>IF(ISBLANK(P3329),"",IF(S3329=0,(365/0.5)*V3329,(365/S3329)*V3329))</f>
        <v/>
      </c>
      <c r="X3329" s="75" t="n"/>
      <c r="Y3329" s="77" t="n"/>
      <c r="Z3329" s="77" t="n"/>
      <c r="AA3329" s="75" t="n"/>
      <c r="AB3329" s="75" t="n"/>
      <c r="AC3329" s="6" t="n"/>
      <c r="AD3329" s="75" t="n"/>
      <c r="AE3329" s="75" t="n"/>
      <c r="AF3329" s="75" t="n"/>
    </row>
    <row r="3330" ht="15.75" customHeight="1" s="133">
      <c r="A3330" s="75" t="n"/>
      <c r="B3330" s="75" t="n"/>
      <c r="C3330" s="75" t="n"/>
      <c r="D3330" s="75" t="n"/>
      <c r="E3330" s="76" t="n"/>
      <c r="F3330" s="77" t="n"/>
      <c r="G3330" s="75" t="n"/>
      <c r="H3330" s="75">
        <f>IF(ISBLANK(E3330),"",IF(OR(D3330="Butterfly",D3330="Butterfly ",D3330="Iron Fly", D3330="Iron Fly "),LEN(E3330)-LEN(SUBSTITUTE(E3330,"/",""))+2,LEN(E3330)-LEN(SUBSTITUTE(E3330,"/",""))+1))</f>
        <v/>
      </c>
      <c r="I3330" s="78">
        <f>IF(ISBLANK(G3330),"",IF(D3330="Stock","0",Key!$A$3*H3330*G3330))</f>
        <v/>
      </c>
      <c r="J3330" s="78">
        <f>IF(ISBLANK(E3330),"",IF(ISNUMBER(SEARCH("/",E3330)), IF(LEN(E3330)-LEN(SUBSTITUTE(E3330,"/",""))=1,(RIGHT(E3330,LEN(E3330)-FIND("/",E3330)))-(LEFT(E3330,FIND("/",E3330)-1)),(MID(E3330, SEARCH("/",E3330) + 1, SEARCH("/",E3330, SEARCH("/",E3330)+1) - SEARCH("/",E3330) - 1))-(LEFT(E3330,FIND("/",E3330)-1))), "NA"))</f>
        <v/>
      </c>
      <c r="K3330" s="79">
        <f>IF(A3330&lt;&gt;"", IF(ISBLANK(L3330), TODAY(), K3330), "")</f>
        <v/>
      </c>
      <c r="L3330" s="78" t="n"/>
      <c r="M3330" s="78">
        <f>IF(ISBLANK(L3330),"",IF(D3330="Stock",IF(C3330="Buy",L3330*G3330,IF(C3330="Sell",(L3330*G3330)-I3330, X)),IF(C3330="Buy",(L3330*G3330*100)+I3330,IF(C3330="Sell",(L3330*G3330*100)-I3330, X))))</f>
        <v/>
      </c>
      <c r="N3330" s="78">
        <f>IF(ISBLANK(L3330),"",IF(AND(C3330="Sell",D3330="Stock"),M3330,IF(ISBLANK(L3330),"",IF(C3330="Buy",M3330, IF(AND(C3330="Sell",J3330="NA"),(E3330*G3330*100*0.1)+I3330, IF(C3330="Sell",(J3330-L3330)*(100*G3330)+I3330))))))</f>
        <v/>
      </c>
      <c r="O3330" s="75" t="n"/>
      <c r="P3330" s="75" t="n"/>
      <c r="Q3330" s="75">
        <f>IF(ISBLANK(P3330),"",IF(D3330="Stock",P3330*G3330,IF(P3330=0,"0",G3330*P3330*100-(G3330*$AF$14))))</f>
        <v/>
      </c>
      <c r="R3330" s="79">
        <f>IF(P3330&lt;&gt;"", TODAY(), "")</f>
        <v/>
      </c>
      <c r="S3330" s="78">
        <f>IF(AND(K3330&lt;&gt;"", R3330&lt;&gt;""), R3330-K3330, "")</f>
        <v/>
      </c>
      <c r="T3330" s="78" t="n"/>
      <c r="U3330" s="92">
        <f>IF(ISBLANK(P3330),"",IF(C3330="Buy",Q3330-M3330+T3330, IF(C3330="Sell",M3330-Q3330-T3330, X)))</f>
        <v/>
      </c>
      <c r="V3330" s="81">
        <f>IF(ISBLANK(P3330),"",U3330/N3330)</f>
        <v/>
      </c>
      <c r="W3330" s="81">
        <f>IF(ISBLANK(P3330),"",IF(S3330=0,(365/0.5)*V3330,(365/S3330)*V3330))</f>
        <v/>
      </c>
      <c r="X3330" s="75" t="n"/>
      <c r="Y3330" s="77" t="n"/>
      <c r="Z3330" s="77" t="n"/>
      <c r="AA3330" s="75" t="n"/>
      <c r="AB3330" s="75" t="n"/>
      <c r="AC3330" s="6" t="n"/>
      <c r="AD3330" s="75" t="n"/>
      <c r="AE3330" s="75" t="n"/>
      <c r="AF3330" s="75" t="n"/>
    </row>
    <row r="3331" ht="15.75" customHeight="1" s="133">
      <c r="A3331" s="75" t="n"/>
      <c r="B3331" s="75" t="n"/>
      <c r="C3331" s="75" t="n"/>
      <c r="D3331" s="75" t="n"/>
      <c r="E3331" s="76" t="n"/>
      <c r="F3331" s="77" t="n"/>
      <c r="G3331" s="75" t="n"/>
      <c r="H3331" s="75">
        <f>IF(ISBLANK(E3331),"",IF(OR(D3331="Butterfly",D3331="Butterfly ",D3331="Iron Fly", D3331="Iron Fly "),LEN(E3331)-LEN(SUBSTITUTE(E3331,"/",""))+2,LEN(E3331)-LEN(SUBSTITUTE(E3331,"/",""))+1))</f>
        <v/>
      </c>
      <c r="I3331" s="78">
        <f>IF(ISBLANK(G3331),"",IF(D3331="Stock","0",Key!$A$3*H3331*G3331))</f>
        <v/>
      </c>
      <c r="J3331" s="78">
        <f>IF(ISBLANK(E3331),"",IF(ISNUMBER(SEARCH("/",E3331)), IF(LEN(E3331)-LEN(SUBSTITUTE(E3331,"/",""))=1,(RIGHT(E3331,LEN(E3331)-FIND("/",E3331)))-(LEFT(E3331,FIND("/",E3331)-1)),(MID(E3331, SEARCH("/",E3331) + 1, SEARCH("/",E3331, SEARCH("/",E3331)+1) - SEARCH("/",E3331) - 1))-(LEFT(E3331,FIND("/",E3331)-1))), "NA"))</f>
        <v/>
      </c>
      <c r="K3331" s="79">
        <f>IF(A3331&lt;&gt;"", IF(ISBLANK(L3331), TODAY(), K3331), "")</f>
        <v/>
      </c>
      <c r="L3331" s="78" t="n"/>
      <c r="M3331" s="78">
        <f>IF(ISBLANK(L3331),"",IF(D3331="Stock",IF(C3331="Buy",L3331*G3331,IF(C3331="Sell",(L3331*G3331)-I3331, X)),IF(C3331="Buy",(L3331*G3331*100)+I3331,IF(C3331="Sell",(L3331*G3331*100)-I3331, X))))</f>
        <v/>
      </c>
      <c r="N3331" s="78">
        <f>IF(ISBLANK(L3331),"",IF(AND(C3331="Sell",D3331="Stock"),M3331,IF(ISBLANK(L3331),"",IF(C3331="Buy",M3331, IF(AND(C3331="Sell",J3331="NA"),(E3331*G3331*100*0.1)+I3331, IF(C3331="Sell",(J3331-L3331)*(100*G3331)+I3331))))))</f>
        <v/>
      </c>
      <c r="O3331" s="75" t="n"/>
      <c r="P3331" s="75" t="n"/>
      <c r="Q3331" s="75">
        <f>IF(ISBLANK(P3331),"",IF(D3331="Stock",P3331*G3331,IF(P3331=0,"0",G3331*P3331*100-(G3331*$AF$14))))</f>
        <v/>
      </c>
      <c r="R3331" s="79">
        <f>IF(P3331&lt;&gt;"", TODAY(), "")</f>
        <v/>
      </c>
      <c r="S3331" s="78">
        <f>IF(AND(K3331&lt;&gt;"", R3331&lt;&gt;""), R3331-K3331, "")</f>
        <v/>
      </c>
      <c r="T3331" s="78" t="n"/>
      <c r="U3331" s="92">
        <f>IF(ISBLANK(P3331),"",IF(C3331="Buy",Q3331-M3331+T3331, IF(C3331="Sell",M3331-Q3331-T3331, X)))</f>
        <v/>
      </c>
      <c r="V3331" s="81">
        <f>IF(ISBLANK(P3331),"",U3331/N3331)</f>
        <v/>
      </c>
      <c r="W3331" s="81">
        <f>IF(ISBLANK(P3331),"",IF(S3331=0,(365/0.5)*V3331,(365/S3331)*V3331))</f>
        <v/>
      </c>
      <c r="X3331" s="75" t="n"/>
      <c r="Y3331" s="77" t="n"/>
      <c r="Z3331" s="77" t="n"/>
      <c r="AA3331" s="75" t="n"/>
      <c r="AB3331" s="75" t="n"/>
      <c r="AC3331" s="6" t="n"/>
      <c r="AD3331" s="75" t="n"/>
      <c r="AE3331" s="75" t="n"/>
      <c r="AF3331" s="75" t="n"/>
    </row>
    <row r="3332" ht="15.75" customHeight="1" s="133">
      <c r="A3332" s="75" t="n"/>
      <c r="B3332" s="75" t="n"/>
      <c r="C3332" s="75" t="n"/>
      <c r="D3332" s="75" t="n"/>
      <c r="E3332" s="76" t="n"/>
      <c r="F3332" s="77" t="n"/>
      <c r="G3332" s="75" t="n"/>
      <c r="H3332" s="75">
        <f>IF(ISBLANK(E3332),"",IF(OR(D3332="Butterfly",D3332="Butterfly ",D3332="Iron Fly", D3332="Iron Fly "),LEN(E3332)-LEN(SUBSTITUTE(E3332,"/",""))+2,LEN(E3332)-LEN(SUBSTITUTE(E3332,"/",""))+1))</f>
        <v/>
      </c>
      <c r="I3332" s="78">
        <f>IF(ISBLANK(G3332),"",IF(D3332="Stock","0",Key!$A$3*H3332*G3332))</f>
        <v/>
      </c>
      <c r="J3332" s="78">
        <f>IF(ISBLANK(E3332),"",IF(ISNUMBER(SEARCH("/",E3332)), IF(LEN(E3332)-LEN(SUBSTITUTE(E3332,"/",""))=1,(RIGHT(E3332,LEN(E3332)-FIND("/",E3332)))-(LEFT(E3332,FIND("/",E3332)-1)),(MID(E3332, SEARCH("/",E3332) + 1, SEARCH("/",E3332, SEARCH("/",E3332)+1) - SEARCH("/",E3332) - 1))-(LEFT(E3332,FIND("/",E3332)-1))), "NA"))</f>
        <v/>
      </c>
      <c r="K3332" s="79">
        <f>IF(A3332&lt;&gt;"", IF(ISBLANK(L3332), TODAY(), K3332), "")</f>
        <v/>
      </c>
      <c r="L3332" s="78" t="n"/>
      <c r="M3332" s="78">
        <f>IF(ISBLANK(L3332),"",IF(D3332="Stock",IF(C3332="Buy",L3332*G3332,IF(C3332="Sell",(L3332*G3332)-I3332, X)),IF(C3332="Buy",(L3332*G3332*100)+I3332,IF(C3332="Sell",(L3332*G3332*100)-I3332, X))))</f>
        <v/>
      </c>
      <c r="N3332" s="78">
        <f>IF(ISBLANK(L3332),"",IF(AND(C3332="Sell",D3332="Stock"),M3332,IF(ISBLANK(L3332),"",IF(C3332="Buy",M3332, IF(AND(C3332="Sell",J3332="NA"),(E3332*G3332*100*0.1)+I3332, IF(C3332="Sell",(J3332-L3332)*(100*G3332)+I3332))))))</f>
        <v/>
      </c>
      <c r="O3332" s="75" t="n"/>
      <c r="P3332" s="75" t="n"/>
      <c r="Q3332" s="75">
        <f>IF(ISBLANK(P3332),"",IF(D3332="Stock",P3332*G3332,IF(P3332=0,"0",G3332*P3332*100-(G3332*$AF$14))))</f>
        <v/>
      </c>
      <c r="R3332" s="79">
        <f>IF(P3332&lt;&gt;"", TODAY(), "")</f>
        <v/>
      </c>
      <c r="S3332" s="78">
        <f>IF(AND(K3332&lt;&gt;"", R3332&lt;&gt;""), R3332-K3332, "")</f>
        <v/>
      </c>
      <c r="T3332" s="78" t="n"/>
      <c r="U3332" s="92">
        <f>IF(ISBLANK(P3332),"",IF(C3332="Buy",Q3332-M3332+T3332, IF(C3332="Sell",M3332-Q3332-T3332, X)))</f>
        <v/>
      </c>
      <c r="V3332" s="81">
        <f>IF(ISBLANK(P3332),"",U3332/N3332)</f>
        <v/>
      </c>
      <c r="W3332" s="81">
        <f>IF(ISBLANK(P3332),"",IF(S3332=0,(365/0.5)*V3332,(365/S3332)*V3332))</f>
        <v/>
      </c>
      <c r="X3332" s="75" t="n"/>
      <c r="Y3332" s="77" t="n"/>
      <c r="Z3332" s="77" t="n"/>
      <c r="AA3332" s="75" t="n"/>
      <c r="AB3332" s="75" t="n"/>
      <c r="AC3332" s="6" t="n"/>
      <c r="AD3332" s="75" t="n"/>
      <c r="AE3332" s="75" t="n"/>
      <c r="AF3332" s="75" t="n"/>
    </row>
    <row r="3333" ht="15.75" customHeight="1" s="133">
      <c r="A3333" s="75" t="n"/>
      <c r="B3333" s="75" t="n"/>
      <c r="C3333" s="75" t="n"/>
      <c r="D3333" s="75" t="n"/>
      <c r="E3333" s="76" t="n"/>
      <c r="F3333" s="77" t="n"/>
      <c r="G3333" s="75" t="n"/>
      <c r="H3333" s="75">
        <f>IF(ISBLANK(E3333),"",IF(OR(D3333="Butterfly",D3333="Butterfly ",D3333="Iron Fly", D3333="Iron Fly "),LEN(E3333)-LEN(SUBSTITUTE(E3333,"/",""))+2,LEN(E3333)-LEN(SUBSTITUTE(E3333,"/",""))+1))</f>
        <v/>
      </c>
      <c r="I3333" s="78">
        <f>IF(ISBLANK(G3333),"",IF(D3333="Stock","0",Key!$A$3*H3333*G3333))</f>
        <v/>
      </c>
      <c r="J3333" s="78">
        <f>IF(ISBLANK(E3333),"",IF(ISNUMBER(SEARCH("/",E3333)), IF(LEN(E3333)-LEN(SUBSTITUTE(E3333,"/",""))=1,(RIGHT(E3333,LEN(E3333)-FIND("/",E3333)))-(LEFT(E3333,FIND("/",E3333)-1)),(MID(E3333, SEARCH("/",E3333) + 1, SEARCH("/",E3333, SEARCH("/",E3333)+1) - SEARCH("/",E3333) - 1))-(LEFT(E3333,FIND("/",E3333)-1))), "NA"))</f>
        <v/>
      </c>
      <c r="K3333" s="79">
        <f>IF(A3333&lt;&gt;"", IF(ISBLANK(L3333), TODAY(), K3333), "")</f>
        <v/>
      </c>
      <c r="L3333" s="78" t="n"/>
      <c r="M3333" s="78">
        <f>IF(ISBLANK(L3333),"",IF(D3333="Stock",IF(C3333="Buy",L3333*G3333,IF(C3333="Sell",(L3333*G3333)-I3333, X)),IF(C3333="Buy",(L3333*G3333*100)+I3333,IF(C3333="Sell",(L3333*G3333*100)-I3333, X))))</f>
        <v/>
      </c>
      <c r="N3333" s="78">
        <f>IF(ISBLANK(L3333),"",IF(AND(C3333="Sell",D3333="Stock"),M3333,IF(ISBLANK(L3333),"",IF(C3333="Buy",M3333, IF(AND(C3333="Sell",J3333="NA"),(E3333*G3333*100*0.1)+I3333, IF(C3333="Sell",(J3333-L3333)*(100*G3333)+I3333))))))</f>
        <v/>
      </c>
      <c r="O3333" s="75" t="n"/>
      <c r="P3333" s="75" t="n"/>
      <c r="Q3333" s="75">
        <f>IF(ISBLANK(P3333),"",IF(D3333="Stock",P3333*G3333,IF(P3333=0,"0",G3333*P3333*100-(G3333*$AF$14))))</f>
        <v/>
      </c>
      <c r="R3333" s="79">
        <f>IF(P3333&lt;&gt;"", TODAY(), "")</f>
        <v/>
      </c>
      <c r="S3333" s="78">
        <f>IF(AND(K3333&lt;&gt;"", R3333&lt;&gt;""), R3333-K3333, "")</f>
        <v/>
      </c>
      <c r="T3333" s="78" t="n"/>
      <c r="U3333" s="92">
        <f>IF(ISBLANK(P3333),"",IF(C3333="Buy",Q3333-M3333+T3333, IF(C3333="Sell",M3333-Q3333-T3333, X)))</f>
        <v/>
      </c>
      <c r="V3333" s="81">
        <f>IF(ISBLANK(P3333),"",U3333/N3333)</f>
        <v/>
      </c>
      <c r="W3333" s="81">
        <f>IF(ISBLANK(P3333),"",IF(S3333=0,(365/0.5)*V3333,(365/S3333)*V3333))</f>
        <v/>
      </c>
      <c r="X3333" s="75" t="n"/>
      <c r="Y3333" s="77" t="n"/>
      <c r="Z3333" s="77" t="n"/>
      <c r="AA3333" s="75" t="n"/>
      <c r="AB3333" s="75" t="n"/>
      <c r="AC3333" s="6" t="n"/>
      <c r="AD3333" s="75" t="n"/>
      <c r="AE3333" s="75" t="n"/>
      <c r="AF3333" s="75" t="n"/>
    </row>
    <row r="3334" ht="15.75" customHeight="1" s="133">
      <c r="A3334" s="75" t="n"/>
      <c r="B3334" s="75" t="n"/>
      <c r="C3334" s="75" t="n"/>
      <c r="D3334" s="75" t="n"/>
      <c r="E3334" s="76" t="n"/>
      <c r="F3334" s="77" t="n"/>
      <c r="G3334" s="75" t="n"/>
      <c r="H3334" s="75">
        <f>IF(ISBLANK(E3334),"",IF(OR(D3334="Butterfly",D3334="Butterfly ",D3334="Iron Fly", D3334="Iron Fly "),LEN(E3334)-LEN(SUBSTITUTE(E3334,"/",""))+2,LEN(E3334)-LEN(SUBSTITUTE(E3334,"/",""))+1))</f>
        <v/>
      </c>
      <c r="I3334" s="78">
        <f>IF(ISBLANK(G3334),"",IF(D3334="Stock","0",Key!$A$3*H3334*G3334))</f>
        <v/>
      </c>
      <c r="J3334" s="78">
        <f>IF(ISBLANK(E3334),"",IF(ISNUMBER(SEARCH("/",E3334)), IF(LEN(E3334)-LEN(SUBSTITUTE(E3334,"/",""))=1,(RIGHT(E3334,LEN(E3334)-FIND("/",E3334)))-(LEFT(E3334,FIND("/",E3334)-1)),(MID(E3334, SEARCH("/",E3334) + 1, SEARCH("/",E3334, SEARCH("/",E3334)+1) - SEARCH("/",E3334) - 1))-(LEFT(E3334,FIND("/",E3334)-1))), "NA"))</f>
        <v/>
      </c>
      <c r="K3334" s="79">
        <f>IF(A3334&lt;&gt;"", IF(ISBLANK(L3334), TODAY(), K3334), "")</f>
        <v/>
      </c>
      <c r="L3334" s="78" t="n"/>
      <c r="M3334" s="78">
        <f>IF(ISBLANK(L3334),"",IF(D3334="Stock",IF(C3334="Buy",L3334*G3334,IF(C3334="Sell",(L3334*G3334)-I3334, X)),IF(C3334="Buy",(L3334*G3334*100)+I3334,IF(C3334="Sell",(L3334*G3334*100)-I3334, X))))</f>
        <v/>
      </c>
      <c r="N3334" s="78">
        <f>IF(ISBLANK(L3334),"",IF(AND(C3334="Sell",D3334="Stock"),M3334,IF(ISBLANK(L3334),"",IF(C3334="Buy",M3334, IF(AND(C3334="Sell",J3334="NA"),(E3334*G3334*100*0.1)+I3334, IF(C3334="Sell",(J3334-L3334)*(100*G3334)+I3334))))))</f>
        <v/>
      </c>
      <c r="O3334" s="75" t="n"/>
      <c r="P3334" s="75" t="n"/>
      <c r="Q3334" s="75">
        <f>IF(ISBLANK(P3334),"",IF(D3334="Stock",P3334*G3334,IF(P3334=0,"0",G3334*P3334*100-(G3334*$AF$14))))</f>
        <v/>
      </c>
      <c r="R3334" s="79">
        <f>IF(P3334&lt;&gt;"", TODAY(), "")</f>
        <v/>
      </c>
      <c r="S3334" s="78">
        <f>IF(AND(K3334&lt;&gt;"", R3334&lt;&gt;""), R3334-K3334, "")</f>
        <v/>
      </c>
      <c r="T3334" s="78" t="n"/>
      <c r="U3334" s="92">
        <f>IF(ISBLANK(P3334),"",IF(C3334="Buy",Q3334-M3334+T3334, IF(C3334="Sell",M3334-Q3334-T3334, X)))</f>
        <v/>
      </c>
      <c r="V3334" s="81">
        <f>IF(ISBLANK(P3334),"",U3334/N3334)</f>
        <v/>
      </c>
      <c r="W3334" s="81">
        <f>IF(ISBLANK(P3334),"",IF(S3334=0,(365/0.5)*V3334,(365/S3334)*V3334))</f>
        <v/>
      </c>
      <c r="X3334" s="75" t="n"/>
      <c r="Y3334" s="77" t="n"/>
      <c r="Z3334" s="77" t="n"/>
      <c r="AA3334" s="75" t="n"/>
      <c r="AB3334" s="75" t="n"/>
      <c r="AC3334" s="6" t="n"/>
      <c r="AD3334" s="75" t="n"/>
      <c r="AE3334" s="75" t="n"/>
      <c r="AF3334" s="75" t="n"/>
    </row>
    <row r="3335" ht="15.75" customHeight="1" s="133">
      <c r="A3335" s="75" t="n"/>
      <c r="B3335" s="75" t="n"/>
      <c r="C3335" s="75" t="n"/>
      <c r="D3335" s="75" t="n"/>
      <c r="E3335" s="76" t="n"/>
      <c r="F3335" s="77" t="n"/>
      <c r="G3335" s="75" t="n"/>
      <c r="H3335" s="75">
        <f>IF(ISBLANK(E3335),"",IF(OR(D3335="Butterfly",D3335="Butterfly ",D3335="Iron Fly", D3335="Iron Fly "),LEN(E3335)-LEN(SUBSTITUTE(E3335,"/",""))+2,LEN(E3335)-LEN(SUBSTITUTE(E3335,"/",""))+1))</f>
        <v/>
      </c>
      <c r="I3335" s="78">
        <f>IF(ISBLANK(G3335),"",IF(D3335="Stock","0",Key!$A$3*H3335*G3335))</f>
        <v/>
      </c>
      <c r="J3335" s="78">
        <f>IF(ISBLANK(E3335),"",IF(ISNUMBER(SEARCH("/",E3335)), IF(LEN(E3335)-LEN(SUBSTITUTE(E3335,"/",""))=1,(RIGHT(E3335,LEN(E3335)-FIND("/",E3335)))-(LEFT(E3335,FIND("/",E3335)-1)),(MID(E3335, SEARCH("/",E3335) + 1, SEARCH("/",E3335, SEARCH("/",E3335)+1) - SEARCH("/",E3335) - 1))-(LEFT(E3335,FIND("/",E3335)-1))), "NA"))</f>
        <v/>
      </c>
      <c r="K3335" s="79">
        <f>IF(A3335&lt;&gt;"", IF(ISBLANK(L3335), TODAY(), K3335), "")</f>
        <v/>
      </c>
      <c r="L3335" s="78" t="n"/>
      <c r="M3335" s="78">
        <f>IF(ISBLANK(L3335),"",IF(D3335="Stock",IF(C3335="Buy",L3335*G3335,IF(C3335="Sell",(L3335*G3335)-I3335, X)),IF(C3335="Buy",(L3335*G3335*100)+I3335,IF(C3335="Sell",(L3335*G3335*100)-I3335, X))))</f>
        <v/>
      </c>
      <c r="N3335" s="78">
        <f>IF(ISBLANK(L3335),"",IF(AND(C3335="Sell",D3335="Stock"),M3335,IF(ISBLANK(L3335),"",IF(C3335="Buy",M3335, IF(AND(C3335="Sell",J3335="NA"),(E3335*G3335*100*0.1)+I3335, IF(C3335="Sell",(J3335-L3335)*(100*G3335)+I3335))))))</f>
        <v/>
      </c>
      <c r="O3335" s="75" t="n"/>
      <c r="P3335" s="75" t="n"/>
      <c r="Q3335" s="75">
        <f>IF(ISBLANK(P3335),"",IF(D3335="Stock",P3335*G3335,IF(P3335=0,"0",G3335*P3335*100-(G3335*$AF$14))))</f>
        <v/>
      </c>
      <c r="R3335" s="79">
        <f>IF(P3335&lt;&gt;"", TODAY(), "")</f>
        <v/>
      </c>
      <c r="S3335" s="78">
        <f>IF(AND(K3335&lt;&gt;"", R3335&lt;&gt;""), R3335-K3335, "")</f>
        <v/>
      </c>
      <c r="T3335" s="78" t="n"/>
      <c r="U3335" s="92">
        <f>IF(ISBLANK(P3335),"",IF(C3335="Buy",Q3335-M3335+T3335, IF(C3335="Sell",M3335-Q3335-T3335, X)))</f>
        <v/>
      </c>
      <c r="V3335" s="81">
        <f>IF(ISBLANK(P3335),"",U3335/N3335)</f>
        <v/>
      </c>
      <c r="W3335" s="81">
        <f>IF(ISBLANK(P3335),"",IF(S3335=0,(365/0.5)*V3335,(365/S3335)*V3335))</f>
        <v/>
      </c>
      <c r="X3335" s="75" t="n"/>
      <c r="Y3335" s="77" t="n"/>
      <c r="Z3335" s="77" t="n"/>
      <c r="AA3335" s="75" t="n"/>
      <c r="AB3335" s="75" t="n"/>
      <c r="AC3335" s="6" t="n"/>
      <c r="AD3335" s="75" t="n"/>
      <c r="AE3335" s="75" t="n"/>
      <c r="AF3335" s="75" t="n"/>
    </row>
    <row r="3336" ht="15.75" customHeight="1" s="133">
      <c r="A3336" s="75" t="n"/>
      <c r="B3336" s="75" t="n"/>
      <c r="C3336" s="75" t="n"/>
      <c r="D3336" s="75" t="n"/>
      <c r="E3336" s="76" t="n"/>
      <c r="F3336" s="77" t="n"/>
      <c r="G3336" s="75" t="n"/>
      <c r="H3336" s="75">
        <f>IF(ISBLANK(E3336),"",IF(OR(D3336="Butterfly",D3336="Butterfly ",D3336="Iron Fly", D3336="Iron Fly "),LEN(E3336)-LEN(SUBSTITUTE(E3336,"/",""))+2,LEN(E3336)-LEN(SUBSTITUTE(E3336,"/",""))+1))</f>
        <v/>
      </c>
      <c r="I3336" s="78">
        <f>IF(ISBLANK(G3336),"",IF(D3336="Stock","0",Key!$A$3*H3336*G3336))</f>
        <v/>
      </c>
      <c r="J3336" s="78">
        <f>IF(ISBLANK(E3336),"",IF(ISNUMBER(SEARCH("/",E3336)), IF(LEN(E3336)-LEN(SUBSTITUTE(E3336,"/",""))=1,(RIGHT(E3336,LEN(E3336)-FIND("/",E3336)))-(LEFT(E3336,FIND("/",E3336)-1)),(MID(E3336, SEARCH("/",E3336) + 1, SEARCH("/",E3336, SEARCH("/",E3336)+1) - SEARCH("/",E3336) - 1))-(LEFT(E3336,FIND("/",E3336)-1))), "NA"))</f>
        <v/>
      </c>
      <c r="K3336" s="79">
        <f>IF(A3336&lt;&gt;"", IF(ISBLANK(L3336), TODAY(), K3336), "")</f>
        <v/>
      </c>
      <c r="L3336" s="78" t="n"/>
      <c r="M3336" s="78">
        <f>IF(ISBLANK(L3336),"",IF(D3336="Stock",IF(C3336="Buy",L3336*G3336,IF(C3336="Sell",(L3336*G3336)-I3336, X)),IF(C3336="Buy",(L3336*G3336*100)+I3336,IF(C3336="Sell",(L3336*G3336*100)-I3336, X))))</f>
        <v/>
      </c>
      <c r="N3336" s="78">
        <f>IF(ISBLANK(L3336),"",IF(AND(C3336="Sell",D3336="Stock"),M3336,IF(ISBLANK(L3336),"",IF(C3336="Buy",M3336, IF(AND(C3336="Sell",J3336="NA"),(E3336*G3336*100*0.1)+I3336, IF(C3336="Sell",(J3336-L3336)*(100*G3336)+I3336))))))</f>
        <v/>
      </c>
      <c r="O3336" s="75" t="n"/>
      <c r="P3336" s="75" t="n"/>
      <c r="Q3336" s="75">
        <f>IF(ISBLANK(P3336),"",IF(D3336="Stock",P3336*G3336,IF(P3336=0,"0",G3336*P3336*100-(G3336*$AF$14))))</f>
        <v/>
      </c>
      <c r="R3336" s="79">
        <f>IF(P3336&lt;&gt;"", TODAY(), "")</f>
        <v/>
      </c>
      <c r="S3336" s="78">
        <f>IF(AND(K3336&lt;&gt;"", R3336&lt;&gt;""), R3336-K3336, "")</f>
        <v/>
      </c>
      <c r="T3336" s="78" t="n"/>
      <c r="U3336" s="92">
        <f>IF(ISBLANK(P3336),"",IF(C3336="Buy",Q3336-M3336+T3336, IF(C3336="Sell",M3336-Q3336-T3336, X)))</f>
        <v/>
      </c>
      <c r="V3336" s="81">
        <f>IF(ISBLANK(P3336),"",U3336/N3336)</f>
        <v/>
      </c>
      <c r="W3336" s="81">
        <f>IF(ISBLANK(P3336),"",IF(S3336=0,(365/0.5)*V3336,(365/S3336)*V3336))</f>
        <v/>
      </c>
      <c r="X3336" s="75" t="n"/>
      <c r="Y3336" s="77" t="n"/>
      <c r="Z3336" s="77" t="n"/>
      <c r="AA3336" s="75" t="n"/>
      <c r="AB3336" s="75" t="n"/>
      <c r="AC3336" s="6" t="n"/>
      <c r="AD3336" s="75" t="n"/>
      <c r="AE3336" s="75" t="n"/>
      <c r="AF3336" s="75" t="n"/>
    </row>
    <row r="3337" ht="15.75" customHeight="1" s="133">
      <c r="A3337" s="75" t="n"/>
      <c r="B3337" s="75" t="n"/>
      <c r="C3337" s="75" t="n"/>
      <c r="D3337" s="75" t="n"/>
      <c r="E3337" s="76" t="n"/>
      <c r="F3337" s="77" t="n"/>
      <c r="G3337" s="75" t="n"/>
      <c r="H3337" s="75">
        <f>IF(ISBLANK(E3337),"",IF(OR(D3337="Butterfly",D3337="Butterfly ",D3337="Iron Fly", D3337="Iron Fly "),LEN(E3337)-LEN(SUBSTITUTE(E3337,"/",""))+2,LEN(E3337)-LEN(SUBSTITUTE(E3337,"/",""))+1))</f>
        <v/>
      </c>
      <c r="I3337" s="78">
        <f>IF(ISBLANK(G3337),"",IF(D3337="Stock","0",Key!$A$3*H3337*G3337))</f>
        <v/>
      </c>
      <c r="J3337" s="78">
        <f>IF(ISBLANK(E3337),"",IF(ISNUMBER(SEARCH("/",E3337)), IF(LEN(E3337)-LEN(SUBSTITUTE(E3337,"/",""))=1,(RIGHT(E3337,LEN(E3337)-FIND("/",E3337)))-(LEFT(E3337,FIND("/",E3337)-1)),(MID(E3337, SEARCH("/",E3337) + 1, SEARCH("/",E3337, SEARCH("/",E3337)+1) - SEARCH("/",E3337) - 1))-(LEFT(E3337,FIND("/",E3337)-1))), "NA"))</f>
        <v/>
      </c>
      <c r="K3337" s="79">
        <f>IF(A3337&lt;&gt;"", IF(ISBLANK(L3337), TODAY(), K3337), "")</f>
        <v/>
      </c>
      <c r="L3337" s="78" t="n"/>
      <c r="M3337" s="78">
        <f>IF(ISBLANK(L3337),"",IF(D3337="Stock",IF(C3337="Buy",L3337*G3337,IF(C3337="Sell",(L3337*G3337)-I3337, X)),IF(C3337="Buy",(L3337*G3337*100)+I3337,IF(C3337="Sell",(L3337*G3337*100)-I3337, X))))</f>
        <v/>
      </c>
      <c r="N3337" s="78">
        <f>IF(ISBLANK(L3337),"",IF(AND(C3337="Sell",D3337="Stock"),M3337,IF(ISBLANK(L3337),"",IF(C3337="Buy",M3337, IF(AND(C3337="Sell",J3337="NA"),(E3337*G3337*100*0.1)+I3337, IF(C3337="Sell",(J3337-L3337)*(100*G3337)+I3337))))))</f>
        <v/>
      </c>
      <c r="O3337" s="75" t="n"/>
      <c r="P3337" s="75" t="n"/>
      <c r="Q3337" s="75">
        <f>IF(ISBLANK(P3337),"",IF(D3337="Stock",P3337*G3337,IF(P3337=0,"0",G3337*P3337*100-(G3337*$AF$14))))</f>
        <v/>
      </c>
      <c r="R3337" s="79">
        <f>IF(P3337&lt;&gt;"", TODAY(), "")</f>
        <v/>
      </c>
      <c r="S3337" s="78">
        <f>IF(AND(K3337&lt;&gt;"", R3337&lt;&gt;""), R3337-K3337, "")</f>
        <v/>
      </c>
      <c r="T3337" s="78" t="n"/>
      <c r="U3337" s="92">
        <f>IF(ISBLANK(P3337),"",IF(C3337="Buy",Q3337-M3337+T3337, IF(C3337="Sell",M3337-Q3337-T3337, X)))</f>
        <v/>
      </c>
      <c r="V3337" s="81">
        <f>IF(ISBLANK(P3337),"",U3337/N3337)</f>
        <v/>
      </c>
      <c r="W3337" s="81">
        <f>IF(ISBLANK(P3337),"",IF(S3337=0,(365/0.5)*V3337,(365/S3337)*V3337))</f>
        <v/>
      </c>
      <c r="X3337" s="75" t="n"/>
      <c r="Y3337" s="77" t="n"/>
      <c r="Z3337" s="77" t="n"/>
      <c r="AA3337" s="75" t="n"/>
      <c r="AB3337" s="75" t="n"/>
      <c r="AC3337" s="6" t="n"/>
      <c r="AD3337" s="75" t="n"/>
      <c r="AE3337" s="75" t="n"/>
      <c r="AF3337" s="75" t="n"/>
    </row>
    <row r="3338" ht="15.75" customHeight="1" s="133">
      <c r="A3338" s="75" t="n"/>
      <c r="B3338" s="75" t="n"/>
      <c r="C3338" s="75" t="n"/>
      <c r="D3338" s="75" t="n"/>
      <c r="E3338" s="76" t="n"/>
      <c r="F3338" s="77" t="n"/>
      <c r="G3338" s="75" t="n"/>
      <c r="H3338" s="75">
        <f>IF(ISBLANK(E3338),"",IF(OR(D3338="Butterfly",D3338="Butterfly ",D3338="Iron Fly", D3338="Iron Fly "),LEN(E3338)-LEN(SUBSTITUTE(E3338,"/",""))+2,LEN(E3338)-LEN(SUBSTITUTE(E3338,"/",""))+1))</f>
        <v/>
      </c>
      <c r="I3338" s="78">
        <f>IF(ISBLANK(G3338),"",IF(D3338="Stock","0",Key!$A$3*H3338*G3338))</f>
        <v/>
      </c>
      <c r="J3338" s="78">
        <f>IF(ISBLANK(E3338),"",IF(ISNUMBER(SEARCH("/",E3338)), IF(LEN(E3338)-LEN(SUBSTITUTE(E3338,"/",""))=1,(RIGHT(E3338,LEN(E3338)-FIND("/",E3338)))-(LEFT(E3338,FIND("/",E3338)-1)),(MID(E3338, SEARCH("/",E3338) + 1, SEARCH("/",E3338, SEARCH("/",E3338)+1) - SEARCH("/",E3338) - 1))-(LEFT(E3338,FIND("/",E3338)-1))), "NA"))</f>
        <v/>
      </c>
      <c r="K3338" s="79">
        <f>IF(A3338&lt;&gt;"", IF(ISBLANK(L3338), TODAY(), K3338), "")</f>
        <v/>
      </c>
      <c r="L3338" s="78" t="n"/>
      <c r="M3338" s="78">
        <f>IF(ISBLANK(L3338),"",IF(D3338="Stock",IF(C3338="Buy",L3338*G3338,IF(C3338="Sell",(L3338*G3338)-I3338, X)),IF(C3338="Buy",(L3338*G3338*100)+I3338,IF(C3338="Sell",(L3338*G3338*100)-I3338, X))))</f>
        <v/>
      </c>
      <c r="N3338" s="78">
        <f>IF(ISBLANK(L3338),"",IF(AND(C3338="Sell",D3338="Stock"),M3338,IF(ISBLANK(L3338),"",IF(C3338="Buy",M3338, IF(AND(C3338="Sell",J3338="NA"),(E3338*G3338*100*0.1)+I3338, IF(C3338="Sell",(J3338-L3338)*(100*G3338)+I3338))))))</f>
        <v/>
      </c>
      <c r="O3338" s="75" t="n"/>
      <c r="P3338" s="75" t="n"/>
      <c r="Q3338" s="75">
        <f>IF(ISBLANK(P3338),"",IF(D3338="Stock",P3338*G3338,IF(P3338=0,"0",G3338*P3338*100-(G3338*$AF$14))))</f>
        <v/>
      </c>
      <c r="R3338" s="79">
        <f>IF(P3338&lt;&gt;"", TODAY(), "")</f>
        <v/>
      </c>
      <c r="S3338" s="78">
        <f>IF(AND(K3338&lt;&gt;"", R3338&lt;&gt;""), R3338-K3338, "")</f>
        <v/>
      </c>
      <c r="T3338" s="78" t="n"/>
      <c r="U3338" s="92">
        <f>IF(ISBLANK(P3338),"",IF(C3338="Buy",Q3338-M3338+T3338, IF(C3338="Sell",M3338-Q3338-T3338, X)))</f>
        <v/>
      </c>
      <c r="V3338" s="81">
        <f>IF(ISBLANK(P3338),"",U3338/N3338)</f>
        <v/>
      </c>
      <c r="W3338" s="81">
        <f>IF(ISBLANK(P3338),"",IF(S3338=0,(365/0.5)*V3338,(365/S3338)*V3338))</f>
        <v/>
      </c>
      <c r="X3338" s="75" t="n"/>
      <c r="Y3338" s="77" t="n"/>
      <c r="Z3338" s="77" t="n"/>
      <c r="AA3338" s="75" t="n"/>
      <c r="AB3338" s="75" t="n"/>
      <c r="AC3338" s="6" t="n"/>
      <c r="AD3338" s="75" t="n"/>
      <c r="AE3338" s="75" t="n"/>
      <c r="AF3338" s="75" t="n"/>
    </row>
    <row r="3339" ht="15.75" customHeight="1" s="133">
      <c r="A3339" s="75" t="n"/>
      <c r="B3339" s="75" t="n"/>
      <c r="C3339" s="75" t="n"/>
      <c r="D3339" s="75" t="n"/>
      <c r="E3339" s="76" t="n"/>
      <c r="F3339" s="77" t="n"/>
      <c r="G3339" s="75" t="n"/>
      <c r="H3339" s="75">
        <f>IF(ISBLANK(E3339),"",IF(OR(D3339="Butterfly",D3339="Butterfly ",D3339="Iron Fly", D3339="Iron Fly "),LEN(E3339)-LEN(SUBSTITUTE(E3339,"/",""))+2,LEN(E3339)-LEN(SUBSTITUTE(E3339,"/",""))+1))</f>
        <v/>
      </c>
      <c r="I3339" s="78">
        <f>IF(ISBLANK(G3339),"",IF(D3339="Stock","0",Key!$A$3*H3339*G3339))</f>
        <v/>
      </c>
      <c r="J3339" s="78">
        <f>IF(ISBLANK(E3339),"",IF(ISNUMBER(SEARCH("/",E3339)), IF(LEN(E3339)-LEN(SUBSTITUTE(E3339,"/",""))=1,(RIGHT(E3339,LEN(E3339)-FIND("/",E3339)))-(LEFT(E3339,FIND("/",E3339)-1)),(MID(E3339, SEARCH("/",E3339) + 1, SEARCH("/",E3339, SEARCH("/",E3339)+1) - SEARCH("/",E3339) - 1))-(LEFT(E3339,FIND("/",E3339)-1))), "NA"))</f>
        <v/>
      </c>
      <c r="K3339" s="79">
        <f>IF(A3339&lt;&gt;"", IF(ISBLANK(L3339), TODAY(), K3339), "")</f>
        <v/>
      </c>
      <c r="L3339" s="78" t="n"/>
      <c r="M3339" s="78">
        <f>IF(ISBLANK(L3339),"",IF(D3339="Stock",IF(C3339="Buy",L3339*G3339,IF(C3339="Sell",(L3339*G3339)-I3339, X)),IF(C3339="Buy",(L3339*G3339*100)+I3339,IF(C3339="Sell",(L3339*G3339*100)-I3339, X))))</f>
        <v/>
      </c>
      <c r="N3339" s="78">
        <f>IF(ISBLANK(L3339),"",IF(AND(C3339="Sell",D3339="Stock"),M3339,IF(ISBLANK(L3339),"",IF(C3339="Buy",M3339, IF(AND(C3339="Sell",J3339="NA"),(E3339*G3339*100*0.1)+I3339, IF(C3339="Sell",(J3339-L3339)*(100*G3339)+I3339))))))</f>
        <v/>
      </c>
      <c r="O3339" s="75" t="n"/>
      <c r="P3339" s="75" t="n"/>
      <c r="Q3339" s="75">
        <f>IF(ISBLANK(P3339),"",IF(D3339="Stock",P3339*G3339,IF(P3339=0,"0",G3339*P3339*100-(G3339*$AF$14))))</f>
        <v/>
      </c>
      <c r="R3339" s="79">
        <f>IF(P3339&lt;&gt;"", TODAY(), "")</f>
        <v/>
      </c>
      <c r="S3339" s="78">
        <f>IF(AND(K3339&lt;&gt;"", R3339&lt;&gt;""), R3339-K3339, "")</f>
        <v/>
      </c>
      <c r="T3339" s="78" t="n"/>
      <c r="U3339" s="92">
        <f>IF(ISBLANK(P3339),"",IF(C3339="Buy",Q3339-M3339+T3339, IF(C3339="Sell",M3339-Q3339-T3339, X)))</f>
        <v/>
      </c>
      <c r="V3339" s="81">
        <f>IF(ISBLANK(P3339),"",U3339/N3339)</f>
        <v/>
      </c>
      <c r="W3339" s="81">
        <f>IF(ISBLANK(P3339),"",IF(S3339=0,(365/0.5)*V3339,(365/S3339)*V3339))</f>
        <v/>
      </c>
      <c r="X3339" s="75" t="n"/>
      <c r="Y3339" s="77" t="n"/>
      <c r="Z3339" s="77" t="n"/>
      <c r="AA3339" s="75" t="n"/>
      <c r="AB3339" s="75" t="n"/>
      <c r="AC3339" s="6" t="n"/>
      <c r="AD3339" s="75" t="n"/>
      <c r="AE3339" s="75" t="n"/>
      <c r="AF3339" s="75" t="n"/>
    </row>
    <row r="3340" ht="15.75" customHeight="1" s="133">
      <c r="A3340" s="75" t="n"/>
      <c r="B3340" s="75" t="n"/>
      <c r="C3340" s="75" t="n"/>
      <c r="D3340" s="75" t="n"/>
      <c r="E3340" s="76" t="n"/>
      <c r="F3340" s="77" t="n"/>
      <c r="G3340" s="75" t="n"/>
      <c r="H3340" s="75">
        <f>IF(ISBLANK(E3340),"",IF(OR(D3340="Butterfly",D3340="Butterfly ",D3340="Iron Fly", D3340="Iron Fly "),LEN(E3340)-LEN(SUBSTITUTE(E3340,"/",""))+2,LEN(E3340)-LEN(SUBSTITUTE(E3340,"/",""))+1))</f>
        <v/>
      </c>
      <c r="I3340" s="78">
        <f>IF(ISBLANK(G3340),"",IF(D3340="Stock","0",Key!$A$3*H3340*G3340))</f>
        <v/>
      </c>
      <c r="J3340" s="78">
        <f>IF(ISBLANK(E3340),"",IF(ISNUMBER(SEARCH("/",E3340)), IF(LEN(E3340)-LEN(SUBSTITUTE(E3340,"/",""))=1,(RIGHT(E3340,LEN(E3340)-FIND("/",E3340)))-(LEFT(E3340,FIND("/",E3340)-1)),(MID(E3340, SEARCH("/",E3340) + 1, SEARCH("/",E3340, SEARCH("/",E3340)+1) - SEARCH("/",E3340) - 1))-(LEFT(E3340,FIND("/",E3340)-1))), "NA"))</f>
        <v/>
      </c>
      <c r="K3340" s="79">
        <f>IF(A3340&lt;&gt;"", IF(ISBLANK(L3340), TODAY(), K3340), "")</f>
        <v/>
      </c>
      <c r="L3340" s="78" t="n"/>
      <c r="M3340" s="78">
        <f>IF(ISBLANK(L3340),"",IF(D3340="Stock",IF(C3340="Buy",L3340*G3340,IF(C3340="Sell",(L3340*G3340)-I3340, X)),IF(C3340="Buy",(L3340*G3340*100)+I3340,IF(C3340="Sell",(L3340*G3340*100)-I3340, X))))</f>
        <v/>
      </c>
      <c r="N3340" s="78">
        <f>IF(ISBLANK(L3340),"",IF(AND(C3340="Sell",D3340="Stock"),M3340,IF(ISBLANK(L3340),"",IF(C3340="Buy",M3340, IF(AND(C3340="Sell",J3340="NA"),(E3340*G3340*100*0.1)+I3340, IF(C3340="Sell",(J3340-L3340)*(100*G3340)+I3340))))))</f>
        <v/>
      </c>
      <c r="O3340" s="75" t="n"/>
      <c r="P3340" s="75" t="n"/>
      <c r="Q3340" s="75">
        <f>IF(ISBLANK(P3340),"",IF(D3340="Stock",P3340*G3340,IF(P3340=0,"0",G3340*P3340*100-(G3340*$AF$14))))</f>
        <v/>
      </c>
      <c r="R3340" s="79">
        <f>IF(P3340&lt;&gt;"", TODAY(), "")</f>
        <v/>
      </c>
      <c r="S3340" s="78">
        <f>IF(AND(K3340&lt;&gt;"", R3340&lt;&gt;""), R3340-K3340, "")</f>
        <v/>
      </c>
      <c r="T3340" s="78" t="n"/>
      <c r="U3340" s="92">
        <f>IF(ISBLANK(P3340),"",IF(C3340="Buy",Q3340-M3340+T3340, IF(C3340="Sell",M3340-Q3340-T3340, X)))</f>
        <v/>
      </c>
      <c r="V3340" s="81">
        <f>IF(ISBLANK(P3340),"",U3340/N3340)</f>
        <v/>
      </c>
      <c r="W3340" s="81">
        <f>IF(ISBLANK(P3340),"",IF(S3340=0,(365/0.5)*V3340,(365/S3340)*V3340))</f>
        <v/>
      </c>
      <c r="X3340" s="75" t="n"/>
      <c r="Y3340" s="77" t="n"/>
      <c r="Z3340" s="77" t="n"/>
      <c r="AA3340" s="75" t="n"/>
      <c r="AB3340" s="75" t="n"/>
      <c r="AC3340" s="6" t="n"/>
      <c r="AD3340" s="75" t="n"/>
      <c r="AE3340" s="75" t="n"/>
      <c r="AF3340" s="75" t="n"/>
    </row>
    <row r="3341" ht="15.75" customHeight="1" s="133">
      <c r="A3341" s="75" t="n"/>
      <c r="B3341" s="75" t="n"/>
      <c r="C3341" s="75" t="n"/>
      <c r="D3341" s="75" t="n"/>
      <c r="E3341" s="76" t="n"/>
      <c r="F3341" s="77" t="n"/>
      <c r="G3341" s="75" t="n"/>
      <c r="H3341" s="75">
        <f>IF(ISBLANK(E3341),"",IF(OR(D3341="Butterfly",D3341="Butterfly ",D3341="Iron Fly", D3341="Iron Fly "),LEN(E3341)-LEN(SUBSTITUTE(E3341,"/",""))+2,LEN(E3341)-LEN(SUBSTITUTE(E3341,"/",""))+1))</f>
        <v/>
      </c>
      <c r="I3341" s="78">
        <f>IF(ISBLANK(G3341),"",IF(D3341="Stock","0",Key!$A$3*H3341*G3341))</f>
        <v/>
      </c>
      <c r="J3341" s="78">
        <f>IF(ISBLANK(E3341),"",IF(ISNUMBER(SEARCH("/",E3341)), IF(LEN(E3341)-LEN(SUBSTITUTE(E3341,"/",""))=1,(RIGHT(E3341,LEN(E3341)-FIND("/",E3341)))-(LEFT(E3341,FIND("/",E3341)-1)),(MID(E3341, SEARCH("/",E3341) + 1, SEARCH("/",E3341, SEARCH("/",E3341)+1) - SEARCH("/",E3341) - 1))-(LEFT(E3341,FIND("/",E3341)-1))), "NA"))</f>
        <v/>
      </c>
      <c r="K3341" s="79">
        <f>IF(A3341&lt;&gt;"", IF(ISBLANK(L3341), TODAY(), K3341), "")</f>
        <v/>
      </c>
      <c r="L3341" s="78" t="n"/>
      <c r="M3341" s="78">
        <f>IF(ISBLANK(L3341),"",IF(D3341="Stock",IF(C3341="Buy",L3341*G3341,IF(C3341="Sell",(L3341*G3341)-I3341, X)),IF(C3341="Buy",(L3341*G3341*100)+I3341,IF(C3341="Sell",(L3341*G3341*100)-I3341, X))))</f>
        <v/>
      </c>
      <c r="N3341" s="78">
        <f>IF(ISBLANK(L3341),"",IF(AND(C3341="Sell",D3341="Stock"),M3341,IF(ISBLANK(L3341),"",IF(C3341="Buy",M3341, IF(AND(C3341="Sell",J3341="NA"),(E3341*G3341*100*0.1)+I3341, IF(C3341="Sell",(J3341-L3341)*(100*G3341)+I3341))))))</f>
        <v/>
      </c>
      <c r="O3341" s="75" t="n"/>
      <c r="P3341" s="75" t="n"/>
      <c r="Q3341" s="75">
        <f>IF(ISBLANK(P3341),"",IF(D3341="Stock",P3341*G3341,IF(P3341=0,"0",G3341*P3341*100-(G3341*$AF$14))))</f>
        <v/>
      </c>
      <c r="R3341" s="79">
        <f>IF(P3341&lt;&gt;"", TODAY(), "")</f>
        <v/>
      </c>
      <c r="S3341" s="78">
        <f>IF(AND(K3341&lt;&gt;"", R3341&lt;&gt;""), R3341-K3341, "")</f>
        <v/>
      </c>
      <c r="T3341" s="78" t="n"/>
      <c r="U3341" s="92">
        <f>IF(ISBLANK(P3341),"",IF(C3341="Buy",Q3341-M3341+T3341, IF(C3341="Sell",M3341-Q3341-T3341, X)))</f>
        <v/>
      </c>
      <c r="V3341" s="81">
        <f>IF(ISBLANK(P3341),"",U3341/N3341)</f>
        <v/>
      </c>
      <c r="W3341" s="81">
        <f>IF(ISBLANK(P3341),"",IF(S3341=0,(365/0.5)*V3341,(365/S3341)*V3341))</f>
        <v/>
      </c>
      <c r="X3341" s="75" t="n"/>
      <c r="Y3341" s="77" t="n"/>
      <c r="Z3341" s="77" t="n"/>
      <c r="AA3341" s="75" t="n"/>
      <c r="AB3341" s="75" t="n"/>
      <c r="AC3341" s="6" t="n"/>
      <c r="AD3341" s="75" t="n"/>
      <c r="AE3341" s="75" t="n"/>
      <c r="AF3341" s="75" t="n"/>
    </row>
    <row r="3342" ht="15.75" customHeight="1" s="133">
      <c r="A3342" s="75" t="n"/>
      <c r="B3342" s="75" t="n"/>
      <c r="C3342" s="75" t="n"/>
      <c r="D3342" s="75" t="n"/>
      <c r="E3342" s="76" t="n"/>
      <c r="F3342" s="77" t="n"/>
      <c r="G3342" s="75" t="n"/>
      <c r="H3342" s="75">
        <f>IF(ISBLANK(E3342),"",IF(OR(D3342="Butterfly",D3342="Butterfly ",D3342="Iron Fly", D3342="Iron Fly "),LEN(E3342)-LEN(SUBSTITUTE(E3342,"/",""))+2,LEN(E3342)-LEN(SUBSTITUTE(E3342,"/",""))+1))</f>
        <v/>
      </c>
      <c r="I3342" s="78">
        <f>IF(ISBLANK(G3342),"",IF(D3342="Stock","0",Key!$A$3*H3342*G3342))</f>
        <v/>
      </c>
      <c r="J3342" s="78">
        <f>IF(ISBLANK(E3342),"",IF(ISNUMBER(SEARCH("/",E3342)), IF(LEN(E3342)-LEN(SUBSTITUTE(E3342,"/",""))=1,(RIGHT(E3342,LEN(E3342)-FIND("/",E3342)))-(LEFT(E3342,FIND("/",E3342)-1)),(MID(E3342, SEARCH("/",E3342) + 1, SEARCH("/",E3342, SEARCH("/",E3342)+1) - SEARCH("/",E3342) - 1))-(LEFT(E3342,FIND("/",E3342)-1))), "NA"))</f>
        <v/>
      </c>
      <c r="K3342" s="79">
        <f>IF(A3342&lt;&gt;"", IF(ISBLANK(L3342), TODAY(), K3342), "")</f>
        <v/>
      </c>
      <c r="L3342" s="78" t="n"/>
      <c r="M3342" s="78">
        <f>IF(ISBLANK(L3342),"",IF(D3342="Stock",IF(C3342="Buy",L3342*G3342,IF(C3342="Sell",(L3342*G3342)-I3342, X)),IF(C3342="Buy",(L3342*G3342*100)+I3342,IF(C3342="Sell",(L3342*G3342*100)-I3342, X))))</f>
        <v/>
      </c>
      <c r="N3342" s="78">
        <f>IF(ISBLANK(L3342),"",IF(AND(C3342="Sell",D3342="Stock"),M3342,IF(ISBLANK(L3342),"",IF(C3342="Buy",M3342, IF(AND(C3342="Sell",J3342="NA"),(E3342*G3342*100*0.1)+I3342, IF(C3342="Sell",(J3342-L3342)*(100*G3342)+I3342))))))</f>
        <v/>
      </c>
      <c r="O3342" s="75" t="n"/>
      <c r="P3342" s="75" t="n"/>
      <c r="Q3342" s="75">
        <f>IF(ISBLANK(P3342),"",IF(D3342="Stock",P3342*G3342,IF(P3342=0,"0",G3342*P3342*100-(G3342*$AF$14))))</f>
        <v/>
      </c>
      <c r="R3342" s="79">
        <f>IF(P3342&lt;&gt;"", TODAY(), "")</f>
        <v/>
      </c>
      <c r="S3342" s="78">
        <f>IF(AND(K3342&lt;&gt;"", R3342&lt;&gt;""), R3342-K3342, "")</f>
        <v/>
      </c>
      <c r="T3342" s="78" t="n"/>
      <c r="U3342" s="92">
        <f>IF(ISBLANK(P3342),"",IF(C3342="Buy",Q3342-M3342+T3342, IF(C3342="Sell",M3342-Q3342-T3342, X)))</f>
        <v/>
      </c>
      <c r="V3342" s="81">
        <f>IF(ISBLANK(P3342),"",U3342/N3342)</f>
        <v/>
      </c>
      <c r="W3342" s="81">
        <f>IF(ISBLANK(P3342),"",IF(S3342=0,(365/0.5)*V3342,(365/S3342)*V3342))</f>
        <v/>
      </c>
      <c r="X3342" s="75" t="n"/>
      <c r="Y3342" s="77" t="n"/>
      <c r="Z3342" s="77" t="n"/>
      <c r="AA3342" s="75" t="n"/>
      <c r="AB3342" s="75" t="n"/>
      <c r="AC3342" s="6" t="n"/>
      <c r="AD3342" s="75" t="n"/>
      <c r="AE3342" s="75" t="n"/>
      <c r="AF3342" s="75" t="n"/>
    </row>
    <row r="3343" ht="15.75" customHeight="1" s="133">
      <c r="A3343" s="75" t="n"/>
      <c r="B3343" s="75" t="n"/>
      <c r="C3343" s="75" t="n"/>
      <c r="D3343" s="75" t="n"/>
      <c r="E3343" s="76" t="n"/>
      <c r="F3343" s="77" t="n"/>
      <c r="G3343" s="75" t="n"/>
      <c r="H3343" s="75">
        <f>IF(ISBLANK(E3343),"",IF(OR(D3343="Butterfly",D3343="Butterfly ",D3343="Iron Fly", D3343="Iron Fly "),LEN(E3343)-LEN(SUBSTITUTE(E3343,"/",""))+2,LEN(E3343)-LEN(SUBSTITUTE(E3343,"/",""))+1))</f>
        <v/>
      </c>
      <c r="I3343" s="78">
        <f>IF(ISBLANK(G3343),"",IF(D3343="Stock","0",Key!$A$3*H3343*G3343))</f>
        <v/>
      </c>
      <c r="J3343" s="78">
        <f>IF(ISBLANK(E3343),"",IF(ISNUMBER(SEARCH("/",E3343)), IF(LEN(E3343)-LEN(SUBSTITUTE(E3343,"/",""))=1,(RIGHT(E3343,LEN(E3343)-FIND("/",E3343)))-(LEFT(E3343,FIND("/",E3343)-1)),(MID(E3343, SEARCH("/",E3343) + 1, SEARCH("/",E3343, SEARCH("/",E3343)+1) - SEARCH("/",E3343) - 1))-(LEFT(E3343,FIND("/",E3343)-1))), "NA"))</f>
        <v/>
      </c>
      <c r="K3343" s="79">
        <f>IF(A3343&lt;&gt;"", IF(ISBLANK(L3343), TODAY(), K3343), "")</f>
        <v/>
      </c>
      <c r="L3343" s="78" t="n"/>
      <c r="M3343" s="78">
        <f>IF(ISBLANK(L3343),"",IF(D3343="Stock",IF(C3343="Buy",L3343*G3343,IF(C3343="Sell",(L3343*G3343)-I3343, X)),IF(C3343="Buy",(L3343*G3343*100)+I3343,IF(C3343="Sell",(L3343*G3343*100)-I3343, X))))</f>
        <v/>
      </c>
      <c r="N3343" s="78">
        <f>IF(ISBLANK(L3343),"",IF(AND(C3343="Sell",D3343="Stock"),M3343,IF(ISBLANK(L3343),"",IF(C3343="Buy",M3343, IF(AND(C3343="Sell",J3343="NA"),(E3343*G3343*100*0.1)+I3343, IF(C3343="Sell",(J3343-L3343)*(100*G3343)+I3343))))))</f>
        <v/>
      </c>
      <c r="O3343" s="75" t="n"/>
      <c r="P3343" s="75" t="n"/>
      <c r="Q3343" s="75">
        <f>IF(ISBLANK(P3343),"",IF(D3343="Stock",P3343*G3343,IF(P3343=0,"0",G3343*P3343*100-(G3343*$AF$14))))</f>
        <v/>
      </c>
      <c r="R3343" s="79">
        <f>IF(P3343&lt;&gt;"", TODAY(), "")</f>
        <v/>
      </c>
      <c r="S3343" s="78">
        <f>IF(AND(K3343&lt;&gt;"", R3343&lt;&gt;""), R3343-K3343, "")</f>
        <v/>
      </c>
      <c r="T3343" s="78" t="n"/>
      <c r="U3343" s="92">
        <f>IF(ISBLANK(P3343),"",IF(C3343="Buy",Q3343-M3343+T3343, IF(C3343="Sell",M3343-Q3343-T3343, X)))</f>
        <v/>
      </c>
      <c r="V3343" s="81">
        <f>IF(ISBLANK(P3343),"",U3343/N3343)</f>
        <v/>
      </c>
      <c r="W3343" s="81">
        <f>IF(ISBLANK(P3343),"",IF(S3343=0,(365/0.5)*V3343,(365/S3343)*V3343))</f>
        <v/>
      </c>
      <c r="X3343" s="75" t="n"/>
      <c r="Y3343" s="77" t="n"/>
      <c r="Z3343" s="77" t="n"/>
      <c r="AA3343" s="75" t="n"/>
      <c r="AB3343" s="75" t="n"/>
      <c r="AC3343" s="6" t="n"/>
      <c r="AD3343" s="75" t="n"/>
      <c r="AE3343" s="75" t="n"/>
      <c r="AF3343" s="75" t="n"/>
    </row>
    <row r="3344" ht="15.75" customHeight="1" s="133">
      <c r="A3344" s="75" t="n"/>
      <c r="B3344" s="75" t="n"/>
      <c r="C3344" s="75" t="n"/>
      <c r="D3344" s="75" t="n"/>
      <c r="E3344" s="76" t="n"/>
      <c r="F3344" s="77" t="n"/>
      <c r="G3344" s="75" t="n"/>
      <c r="H3344" s="75">
        <f>IF(ISBLANK(E3344),"",IF(OR(D3344="Butterfly",D3344="Butterfly ",D3344="Iron Fly", D3344="Iron Fly "),LEN(E3344)-LEN(SUBSTITUTE(E3344,"/",""))+2,LEN(E3344)-LEN(SUBSTITUTE(E3344,"/",""))+1))</f>
        <v/>
      </c>
      <c r="I3344" s="78">
        <f>IF(ISBLANK(G3344),"",IF(D3344="Stock","0",Key!$A$3*H3344*G3344))</f>
        <v/>
      </c>
      <c r="J3344" s="78">
        <f>IF(ISBLANK(E3344),"",IF(ISNUMBER(SEARCH("/",E3344)), IF(LEN(E3344)-LEN(SUBSTITUTE(E3344,"/",""))=1,(RIGHT(E3344,LEN(E3344)-FIND("/",E3344)))-(LEFT(E3344,FIND("/",E3344)-1)),(MID(E3344, SEARCH("/",E3344) + 1, SEARCH("/",E3344, SEARCH("/",E3344)+1) - SEARCH("/",E3344) - 1))-(LEFT(E3344,FIND("/",E3344)-1))), "NA"))</f>
        <v/>
      </c>
      <c r="K3344" s="79">
        <f>IF(A3344&lt;&gt;"", IF(ISBLANK(L3344), TODAY(), K3344), "")</f>
        <v/>
      </c>
      <c r="L3344" s="78" t="n"/>
      <c r="M3344" s="78">
        <f>IF(ISBLANK(L3344),"",IF(D3344="Stock",IF(C3344="Buy",L3344*G3344,IF(C3344="Sell",(L3344*G3344)-I3344, X)),IF(C3344="Buy",(L3344*G3344*100)+I3344,IF(C3344="Sell",(L3344*G3344*100)-I3344, X))))</f>
        <v/>
      </c>
      <c r="N3344" s="78">
        <f>IF(ISBLANK(L3344),"",IF(AND(C3344="Sell",D3344="Stock"),M3344,IF(ISBLANK(L3344),"",IF(C3344="Buy",M3344, IF(AND(C3344="Sell",J3344="NA"),(E3344*G3344*100*0.1)+I3344, IF(C3344="Sell",(J3344-L3344)*(100*G3344)+I3344))))))</f>
        <v/>
      </c>
      <c r="O3344" s="75" t="n"/>
      <c r="P3344" s="75" t="n"/>
      <c r="Q3344" s="75">
        <f>IF(ISBLANK(P3344),"",IF(D3344="Stock",P3344*G3344,IF(P3344=0,"0",G3344*P3344*100-(G3344*$AF$14))))</f>
        <v/>
      </c>
      <c r="R3344" s="79">
        <f>IF(P3344&lt;&gt;"", TODAY(), "")</f>
        <v/>
      </c>
      <c r="S3344" s="78">
        <f>IF(AND(K3344&lt;&gt;"", R3344&lt;&gt;""), R3344-K3344, "")</f>
        <v/>
      </c>
      <c r="T3344" s="78" t="n"/>
      <c r="U3344" s="92">
        <f>IF(ISBLANK(P3344),"",IF(C3344="Buy",Q3344-M3344+T3344, IF(C3344="Sell",M3344-Q3344-T3344, X)))</f>
        <v/>
      </c>
      <c r="V3344" s="81">
        <f>IF(ISBLANK(P3344),"",U3344/N3344)</f>
        <v/>
      </c>
      <c r="W3344" s="81">
        <f>IF(ISBLANK(P3344),"",IF(S3344=0,(365/0.5)*V3344,(365/S3344)*V3344))</f>
        <v/>
      </c>
      <c r="X3344" s="75" t="n"/>
      <c r="Y3344" s="77" t="n"/>
      <c r="Z3344" s="77" t="n"/>
      <c r="AA3344" s="75" t="n"/>
      <c r="AB3344" s="75" t="n"/>
      <c r="AC3344" s="6" t="n"/>
      <c r="AD3344" s="75" t="n"/>
      <c r="AE3344" s="75" t="n"/>
      <c r="AF3344" s="75" t="n"/>
    </row>
    <row r="3345" ht="15.75" customHeight="1" s="133">
      <c r="A3345" s="75" t="n"/>
      <c r="B3345" s="75" t="n"/>
      <c r="C3345" s="75" t="n"/>
      <c r="D3345" s="75" t="n"/>
      <c r="E3345" s="76" t="n"/>
      <c r="F3345" s="77" t="n"/>
      <c r="G3345" s="75" t="n"/>
      <c r="H3345" s="75">
        <f>IF(ISBLANK(E3345),"",IF(OR(D3345="Butterfly",D3345="Butterfly ",D3345="Iron Fly", D3345="Iron Fly "),LEN(E3345)-LEN(SUBSTITUTE(E3345,"/",""))+2,LEN(E3345)-LEN(SUBSTITUTE(E3345,"/",""))+1))</f>
        <v/>
      </c>
      <c r="I3345" s="78">
        <f>IF(ISBLANK(G3345),"",IF(D3345="Stock","0",Key!$A$3*H3345*G3345))</f>
        <v/>
      </c>
      <c r="J3345" s="78">
        <f>IF(ISBLANK(E3345),"",IF(ISNUMBER(SEARCH("/",E3345)), IF(LEN(E3345)-LEN(SUBSTITUTE(E3345,"/",""))=1,(RIGHT(E3345,LEN(E3345)-FIND("/",E3345)))-(LEFT(E3345,FIND("/",E3345)-1)),(MID(E3345, SEARCH("/",E3345) + 1, SEARCH("/",E3345, SEARCH("/",E3345)+1) - SEARCH("/",E3345) - 1))-(LEFT(E3345,FIND("/",E3345)-1))), "NA"))</f>
        <v/>
      </c>
      <c r="K3345" s="79">
        <f>IF(A3345&lt;&gt;"", IF(ISBLANK(L3345), TODAY(), K3345), "")</f>
        <v/>
      </c>
      <c r="L3345" s="78" t="n"/>
      <c r="M3345" s="78">
        <f>IF(ISBLANK(L3345),"",IF(D3345="Stock",IF(C3345="Buy",L3345*G3345,IF(C3345="Sell",(L3345*G3345)-I3345, X)),IF(C3345="Buy",(L3345*G3345*100)+I3345,IF(C3345="Sell",(L3345*G3345*100)-I3345, X))))</f>
        <v/>
      </c>
      <c r="N3345" s="78">
        <f>IF(ISBLANK(L3345),"",IF(AND(C3345="Sell",D3345="Stock"),M3345,IF(ISBLANK(L3345),"",IF(C3345="Buy",M3345, IF(AND(C3345="Sell",J3345="NA"),(E3345*G3345*100*0.1)+I3345, IF(C3345="Sell",(J3345-L3345)*(100*G3345)+I3345))))))</f>
        <v/>
      </c>
      <c r="O3345" s="75" t="n"/>
      <c r="P3345" s="75" t="n"/>
      <c r="Q3345" s="75">
        <f>IF(ISBLANK(P3345),"",IF(D3345="Stock",P3345*G3345,IF(P3345=0,"0",G3345*P3345*100-(G3345*$AF$14))))</f>
        <v/>
      </c>
      <c r="R3345" s="79">
        <f>IF(P3345&lt;&gt;"", TODAY(), "")</f>
        <v/>
      </c>
      <c r="S3345" s="78">
        <f>IF(AND(K3345&lt;&gt;"", R3345&lt;&gt;""), R3345-K3345, "")</f>
        <v/>
      </c>
      <c r="T3345" s="78" t="n"/>
      <c r="U3345" s="92">
        <f>IF(ISBLANK(P3345),"",IF(C3345="Buy",Q3345-M3345+T3345, IF(C3345="Sell",M3345-Q3345-T3345, X)))</f>
        <v/>
      </c>
      <c r="V3345" s="81">
        <f>IF(ISBLANK(P3345),"",U3345/N3345)</f>
        <v/>
      </c>
      <c r="W3345" s="81">
        <f>IF(ISBLANK(P3345),"",IF(S3345=0,(365/0.5)*V3345,(365/S3345)*V3345))</f>
        <v/>
      </c>
      <c r="X3345" s="75" t="n"/>
      <c r="Y3345" s="77" t="n"/>
      <c r="Z3345" s="77" t="n"/>
      <c r="AA3345" s="75" t="n"/>
      <c r="AB3345" s="75" t="n"/>
      <c r="AC3345" s="6" t="n"/>
      <c r="AD3345" s="75" t="n"/>
      <c r="AE3345" s="75" t="n"/>
      <c r="AF3345" s="75" t="n"/>
    </row>
    <row r="3346" ht="15.75" customHeight="1" s="133">
      <c r="A3346" s="75" t="n"/>
      <c r="B3346" s="75" t="n"/>
      <c r="C3346" s="75" t="n"/>
      <c r="D3346" s="75" t="n"/>
      <c r="E3346" s="76" t="n"/>
      <c r="F3346" s="77" t="n"/>
      <c r="G3346" s="75" t="n"/>
      <c r="H3346" s="75">
        <f>IF(ISBLANK(E3346),"",IF(OR(D3346="Butterfly",D3346="Butterfly ",D3346="Iron Fly", D3346="Iron Fly "),LEN(E3346)-LEN(SUBSTITUTE(E3346,"/",""))+2,LEN(E3346)-LEN(SUBSTITUTE(E3346,"/",""))+1))</f>
        <v/>
      </c>
      <c r="I3346" s="78">
        <f>IF(ISBLANK(G3346),"",IF(D3346="Stock","0",Key!$A$3*H3346*G3346))</f>
        <v/>
      </c>
      <c r="J3346" s="78">
        <f>IF(ISBLANK(E3346),"",IF(ISNUMBER(SEARCH("/",E3346)), IF(LEN(E3346)-LEN(SUBSTITUTE(E3346,"/",""))=1,(RIGHT(E3346,LEN(E3346)-FIND("/",E3346)))-(LEFT(E3346,FIND("/",E3346)-1)),(MID(E3346, SEARCH("/",E3346) + 1, SEARCH("/",E3346, SEARCH("/",E3346)+1) - SEARCH("/",E3346) - 1))-(LEFT(E3346,FIND("/",E3346)-1))), "NA"))</f>
        <v/>
      </c>
      <c r="K3346" s="79">
        <f>IF(A3346&lt;&gt;"", IF(ISBLANK(L3346), TODAY(), K3346), "")</f>
        <v/>
      </c>
      <c r="L3346" s="78" t="n"/>
      <c r="M3346" s="78">
        <f>IF(ISBLANK(L3346),"",IF(D3346="Stock",IF(C3346="Buy",L3346*G3346,IF(C3346="Sell",(L3346*G3346)-I3346, X)),IF(C3346="Buy",(L3346*G3346*100)+I3346,IF(C3346="Sell",(L3346*G3346*100)-I3346, X))))</f>
        <v/>
      </c>
      <c r="N3346" s="78">
        <f>IF(ISBLANK(L3346),"",IF(AND(C3346="Sell",D3346="Stock"),M3346,IF(ISBLANK(L3346),"",IF(C3346="Buy",M3346, IF(AND(C3346="Sell",J3346="NA"),(E3346*G3346*100*0.1)+I3346, IF(C3346="Sell",(J3346-L3346)*(100*G3346)+I3346))))))</f>
        <v/>
      </c>
      <c r="O3346" s="75" t="n"/>
      <c r="P3346" s="75" t="n"/>
      <c r="Q3346" s="75">
        <f>IF(ISBLANK(P3346),"",IF(D3346="Stock",P3346*G3346,IF(P3346=0,"0",G3346*P3346*100-(G3346*$AF$14))))</f>
        <v/>
      </c>
      <c r="R3346" s="79">
        <f>IF(P3346&lt;&gt;"", TODAY(), "")</f>
        <v/>
      </c>
      <c r="S3346" s="78">
        <f>IF(AND(K3346&lt;&gt;"", R3346&lt;&gt;""), R3346-K3346, "")</f>
        <v/>
      </c>
      <c r="T3346" s="78" t="n"/>
      <c r="U3346" s="92">
        <f>IF(ISBLANK(P3346),"",IF(C3346="Buy",Q3346-M3346+T3346, IF(C3346="Sell",M3346-Q3346-T3346, X)))</f>
        <v/>
      </c>
      <c r="V3346" s="81">
        <f>IF(ISBLANK(P3346),"",U3346/N3346)</f>
        <v/>
      </c>
      <c r="W3346" s="81">
        <f>IF(ISBLANK(P3346),"",IF(S3346=0,(365/0.5)*V3346,(365/S3346)*V3346))</f>
        <v/>
      </c>
      <c r="X3346" s="75" t="n"/>
      <c r="Y3346" s="77" t="n"/>
      <c r="Z3346" s="77" t="n"/>
      <c r="AA3346" s="75" t="n"/>
      <c r="AB3346" s="75" t="n"/>
      <c r="AC3346" s="6" t="n"/>
      <c r="AD3346" s="75" t="n"/>
      <c r="AE3346" s="75" t="n"/>
      <c r="AF3346" s="75" t="n"/>
    </row>
    <row r="3347" ht="15.75" customHeight="1" s="133">
      <c r="A3347" s="75" t="n"/>
      <c r="B3347" s="75" t="n"/>
      <c r="C3347" s="75" t="n"/>
      <c r="D3347" s="75" t="n"/>
      <c r="E3347" s="76" t="n"/>
      <c r="F3347" s="77" t="n"/>
      <c r="G3347" s="75" t="n"/>
      <c r="H3347" s="75">
        <f>IF(ISBLANK(E3347),"",IF(OR(D3347="Butterfly",D3347="Butterfly ",D3347="Iron Fly", D3347="Iron Fly "),LEN(E3347)-LEN(SUBSTITUTE(E3347,"/",""))+2,LEN(E3347)-LEN(SUBSTITUTE(E3347,"/",""))+1))</f>
        <v/>
      </c>
      <c r="I3347" s="78">
        <f>IF(ISBLANK(G3347),"",IF(D3347="Stock","0",Key!$A$3*H3347*G3347))</f>
        <v/>
      </c>
      <c r="J3347" s="78">
        <f>IF(ISBLANK(E3347),"",IF(ISNUMBER(SEARCH("/",E3347)), IF(LEN(E3347)-LEN(SUBSTITUTE(E3347,"/",""))=1,(RIGHT(E3347,LEN(E3347)-FIND("/",E3347)))-(LEFT(E3347,FIND("/",E3347)-1)),(MID(E3347, SEARCH("/",E3347) + 1, SEARCH("/",E3347, SEARCH("/",E3347)+1) - SEARCH("/",E3347) - 1))-(LEFT(E3347,FIND("/",E3347)-1))), "NA"))</f>
        <v/>
      </c>
      <c r="K3347" s="79">
        <f>IF(A3347&lt;&gt;"", IF(ISBLANK(L3347), TODAY(), K3347), "")</f>
        <v/>
      </c>
      <c r="L3347" s="78" t="n"/>
      <c r="M3347" s="78">
        <f>IF(ISBLANK(L3347),"",IF(D3347="Stock",IF(C3347="Buy",L3347*G3347,IF(C3347="Sell",(L3347*G3347)-I3347, X)),IF(C3347="Buy",(L3347*G3347*100)+I3347,IF(C3347="Sell",(L3347*G3347*100)-I3347, X))))</f>
        <v/>
      </c>
      <c r="N3347" s="78">
        <f>IF(ISBLANK(L3347),"",IF(AND(C3347="Sell",D3347="Stock"),M3347,IF(ISBLANK(L3347),"",IF(C3347="Buy",M3347, IF(AND(C3347="Sell",J3347="NA"),(E3347*G3347*100*0.1)+I3347, IF(C3347="Sell",(J3347-L3347)*(100*G3347)+I3347))))))</f>
        <v/>
      </c>
      <c r="O3347" s="75" t="n"/>
      <c r="P3347" s="75" t="n"/>
      <c r="Q3347" s="75">
        <f>IF(ISBLANK(P3347),"",IF(D3347="Stock",P3347*G3347,IF(P3347=0,"0",G3347*P3347*100-(G3347*$AF$14))))</f>
        <v/>
      </c>
      <c r="R3347" s="79">
        <f>IF(P3347&lt;&gt;"", TODAY(), "")</f>
        <v/>
      </c>
      <c r="S3347" s="78">
        <f>IF(AND(K3347&lt;&gt;"", R3347&lt;&gt;""), R3347-K3347, "")</f>
        <v/>
      </c>
      <c r="T3347" s="78" t="n"/>
      <c r="U3347" s="92">
        <f>IF(ISBLANK(P3347),"",IF(C3347="Buy",Q3347-M3347+T3347, IF(C3347="Sell",M3347-Q3347-T3347, X)))</f>
        <v/>
      </c>
      <c r="V3347" s="81">
        <f>IF(ISBLANK(P3347),"",U3347/N3347)</f>
        <v/>
      </c>
      <c r="W3347" s="81">
        <f>IF(ISBLANK(P3347),"",IF(S3347=0,(365/0.5)*V3347,(365/S3347)*V3347))</f>
        <v/>
      </c>
      <c r="X3347" s="75" t="n"/>
      <c r="Y3347" s="77" t="n"/>
      <c r="Z3347" s="77" t="n"/>
      <c r="AA3347" s="75" t="n"/>
      <c r="AB3347" s="75" t="n"/>
      <c r="AC3347" s="6" t="n"/>
      <c r="AD3347" s="75" t="n"/>
      <c r="AE3347" s="75" t="n"/>
      <c r="AF3347" s="75" t="n"/>
    </row>
    <row r="3348" ht="15.75" customHeight="1" s="133">
      <c r="A3348" s="75" t="n"/>
      <c r="B3348" s="75" t="n"/>
      <c r="C3348" s="75" t="n"/>
      <c r="D3348" s="75" t="n"/>
      <c r="E3348" s="76" t="n"/>
      <c r="F3348" s="77" t="n"/>
      <c r="G3348" s="75" t="n"/>
      <c r="H3348" s="75">
        <f>IF(ISBLANK(E3348),"",IF(OR(D3348="Butterfly",D3348="Butterfly ",D3348="Iron Fly", D3348="Iron Fly "),LEN(E3348)-LEN(SUBSTITUTE(E3348,"/",""))+2,LEN(E3348)-LEN(SUBSTITUTE(E3348,"/",""))+1))</f>
        <v/>
      </c>
      <c r="I3348" s="78">
        <f>IF(ISBLANK(G3348),"",IF(D3348="Stock","0",Key!$A$3*H3348*G3348))</f>
        <v/>
      </c>
      <c r="J3348" s="78">
        <f>IF(ISBLANK(E3348),"",IF(ISNUMBER(SEARCH("/",E3348)), IF(LEN(E3348)-LEN(SUBSTITUTE(E3348,"/",""))=1,(RIGHT(E3348,LEN(E3348)-FIND("/",E3348)))-(LEFT(E3348,FIND("/",E3348)-1)),(MID(E3348, SEARCH("/",E3348) + 1, SEARCH("/",E3348, SEARCH("/",E3348)+1) - SEARCH("/",E3348) - 1))-(LEFT(E3348,FIND("/",E3348)-1))), "NA"))</f>
        <v/>
      </c>
      <c r="K3348" s="79">
        <f>IF(A3348&lt;&gt;"", IF(ISBLANK(L3348), TODAY(), K3348), "")</f>
        <v/>
      </c>
      <c r="L3348" s="78" t="n"/>
      <c r="M3348" s="78">
        <f>IF(ISBLANK(L3348),"",IF(D3348="Stock",IF(C3348="Buy",L3348*G3348,IF(C3348="Sell",(L3348*G3348)-I3348, X)),IF(C3348="Buy",(L3348*G3348*100)+I3348,IF(C3348="Sell",(L3348*G3348*100)-I3348, X))))</f>
        <v/>
      </c>
      <c r="N3348" s="78">
        <f>IF(ISBLANK(L3348),"",IF(AND(C3348="Sell",D3348="Stock"),M3348,IF(ISBLANK(L3348),"",IF(C3348="Buy",M3348, IF(AND(C3348="Sell",J3348="NA"),(E3348*G3348*100*0.1)+I3348, IF(C3348="Sell",(J3348-L3348)*(100*G3348)+I3348))))))</f>
        <v/>
      </c>
      <c r="O3348" s="75" t="n"/>
      <c r="P3348" s="75" t="n"/>
      <c r="Q3348" s="75">
        <f>IF(ISBLANK(P3348),"",IF(D3348="Stock",P3348*G3348,IF(P3348=0,"0",G3348*P3348*100-(G3348*$AF$14))))</f>
        <v/>
      </c>
      <c r="R3348" s="79">
        <f>IF(P3348&lt;&gt;"", TODAY(), "")</f>
        <v/>
      </c>
      <c r="S3348" s="78">
        <f>IF(AND(K3348&lt;&gt;"", R3348&lt;&gt;""), R3348-K3348, "")</f>
        <v/>
      </c>
      <c r="T3348" s="78" t="n"/>
      <c r="U3348" s="92">
        <f>IF(ISBLANK(P3348),"",IF(C3348="Buy",Q3348-M3348+T3348, IF(C3348="Sell",M3348-Q3348-T3348, X)))</f>
        <v/>
      </c>
      <c r="V3348" s="81">
        <f>IF(ISBLANK(P3348),"",U3348/N3348)</f>
        <v/>
      </c>
      <c r="W3348" s="81">
        <f>IF(ISBLANK(P3348),"",IF(S3348=0,(365/0.5)*V3348,(365/S3348)*V3348))</f>
        <v/>
      </c>
      <c r="X3348" s="75" t="n"/>
      <c r="Y3348" s="77" t="n"/>
      <c r="Z3348" s="77" t="n"/>
      <c r="AA3348" s="75" t="n"/>
      <c r="AB3348" s="75" t="n"/>
      <c r="AC3348" s="6" t="n"/>
      <c r="AD3348" s="75" t="n"/>
      <c r="AE3348" s="75" t="n"/>
      <c r="AF3348" s="75" t="n"/>
    </row>
    <row r="3349" ht="15.75" customHeight="1" s="133">
      <c r="A3349" s="75" t="n"/>
      <c r="B3349" s="75" t="n"/>
      <c r="C3349" s="75" t="n"/>
      <c r="D3349" s="75" t="n"/>
      <c r="E3349" s="76" t="n"/>
      <c r="F3349" s="77" t="n"/>
      <c r="G3349" s="75" t="n"/>
      <c r="H3349" s="75">
        <f>IF(ISBLANK(E3349),"",IF(OR(D3349="Butterfly",D3349="Butterfly ",D3349="Iron Fly", D3349="Iron Fly "),LEN(E3349)-LEN(SUBSTITUTE(E3349,"/",""))+2,LEN(E3349)-LEN(SUBSTITUTE(E3349,"/",""))+1))</f>
        <v/>
      </c>
      <c r="I3349" s="78">
        <f>IF(ISBLANK(G3349),"",IF(D3349="Stock","0",Key!$A$3*H3349*G3349))</f>
        <v/>
      </c>
      <c r="J3349" s="78">
        <f>IF(ISBLANK(E3349),"",IF(ISNUMBER(SEARCH("/",E3349)), IF(LEN(E3349)-LEN(SUBSTITUTE(E3349,"/",""))=1,(RIGHT(E3349,LEN(E3349)-FIND("/",E3349)))-(LEFT(E3349,FIND("/",E3349)-1)),(MID(E3349, SEARCH("/",E3349) + 1, SEARCH("/",E3349, SEARCH("/",E3349)+1) - SEARCH("/",E3349) - 1))-(LEFT(E3349,FIND("/",E3349)-1))), "NA"))</f>
        <v/>
      </c>
      <c r="K3349" s="79">
        <f>IF(A3349&lt;&gt;"", IF(ISBLANK(L3349), TODAY(), K3349), "")</f>
        <v/>
      </c>
      <c r="L3349" s="78" t="n"/>
      <c r="M3349" s="78">
        <f>IF(ISBLANK(L3349),"",IF(D3349="Stock",IF(C3349="Buy",L3349*G3349,IF(C3349="Sell",(L3349*G3349)-I3349, X)),IF(C3349="Buy",(L3349*G3349*100)+I3349,IF(C3349="Sell",(L3349*G3349*100)-I3349, X))))</f>
        <v/>
      </c>
      <c r="N3349" s="78">
        <f>IF(ISBLANK(L3349),"",IF(AND(C3349="Sell",D3349="Stock"),M3349,IF(ISBLANK(L3349),"",IF(C3349="Buy",M3349, IF(AND(C3349="Sell",J3349="NA"),(E3349*G3349*100*0.1)+I3349, IF(C3349="Sell",(J3349-L3349)*(100*G3349)+I3349))))))</f>
        <v/>
      </c>
      <c r="O3349" s="75" t="n"/>
      <c r="P3349" s="75" t="n"/>
      <c r="Q3349" s="75">
        <f>IF(ISBLANK(P3349),"",IF(D3349="Stock",P3349*G3349,IF(P3349=0,"0",G3349*P3349*100-(G3349*$AF$14))))</f>
        <v/>
      </c>
      <c r="R3349" s="79">
        <f>IF(P3349&lt;&gt;"", TODAY(), "")</f>
        <v/>
      </c>
      <c r="S3349" s="78">
        <f>IF(AND(K3349&lt;&gt;"", R3349&lt;&gt;""), R3349-K3349, "")</f>
        <v/>
      </c>
      <c r="T3349" s="78" t="n"/>
      <c r="U3349" s="92">
        <f>IF(ISBLANK(P3349),"",IF(C3349="Buy",Q3349-M3349+T3349, IF(C3349="Sell",M3349-Q3349-T3349, X)))</f>
        <v/>
      </c>
      <c r="V3349" s="81">
        <f>IF(ISBLANK(P3349),"",U3349/N3349)</f>
        <v/>
      </c>
      <c r="W3349" s="81">
        <f>IF(ISBLANK(P3349),"",IF(S3349=0,(365/0.5)*V3349,(365/S3349)*V3349))</f>
        <v/>
      </c>
      <c r="X3349" s="75" t="n"/>
      <c r="Y3349" s="77" t="n"/>
      <c r="Z3349" s="77" t="n"/>
      <c r="AA3349" s="75" t="n"/>
      <c r="AB3349" s="75" t="n"/>
      <c r="AC3349" s="6" t="n"/>
      <c r="AD3349" s="75" t="n"/>
      <c r="AE3349" s="75" t="n"/>
      <c r="AF3349" s="75" t="n"/>
    </row>
    <row r="3350" ht="15.75" customHeight="1" s="133">
      <c r="A3350" s="75" t="n"/>
      <c r="B3350" s="75" t="n"/>
      <c r="C3350" s="75" t="n"/>
      <c r="D3350" s="75" t="n"/>
      <c r="E3350" s="76" t="n"/>
      <c r="F3350" s="77" t="n"/>
      <c r="G3350" s="75" t="n"/>
      <c r="H3350" s="75">
        <f>IF(ISBLANK(E3350),"",IF(OR(D3350="Butterfly",D3350="Butterfly ",D3350="Iron Fly", D3350="Iron Fly "),LEN(E3350)-LEN(SUBSTITUTE(E3350,"/",""))+2,LEN(E3350)-LEN(SUBSTITUTE(E3350,"/",""))+1))</f>
        <v/>
      </c>
      <c r="I3350" s="78">
        <f>IF(ISBLANK(G3350),"",IF(D3350="Stock","0",Key!$A$3*H3350*G3350))</f>
        <v/>
      </c>
      <c r="J3350" s="78">
        <f>IF(ISBLANK(E3350),"",IF(ISNUMBER(SEARCH("/",E3350)), IF(LEN(E3350)-LEN(SUBSTITUTE(E3350,"/",""))=1,(RIGHT(E3350,LEN(E3350)-FIND("/",E3350)))-(LEFT(E3350,FIND("/",E3350)-1)),(MID(E3350, SEARCH("/",E3350) + 1, SEARCH("/",E3350, SEARCH("/",E3350)+1) - SEARCH("/",E3350) - 1))-(LEFT(E3350,FIND("/",E3350)-1))), "NA"))</f>
        <v/>
      </c>
      <c r="K3350" s="79">
        <f>IF(A3350&lt;&gt;"", IF(ISBLANK(L3350), TODAY(), K3350), "")</f>
        <v/>
      </c>
      <c r="L3350" s="78" t="n"/>
      <c r="M3350" s="78">
        <f>IF(ISBLANK(L3350),"",IF(D3350="Stock",IF(C3350="Buy",L3350*G3350,IF(C3350="Sell",(L3350*G3350)-I3350, X)),IF(C3350="Buy",(L3350*G3350*100)+I3350,IF(C3350="Sell",(L3350*G3350*100)-I3350, X))))</f>
        <v/>
      </c>
      <c r="N3350" s="78">
        <f>IF(ISBLANK(L3350),"",IF(AND(C3350="Sell",D3350="Stock"),M3350,IF(ISBLANK(L3350),"",IF(C3350="Buy",M3350, IF(AND(C3350="Sell",J3350="NA"),(E3350*G3350*100*0.1)+I3350, IF(C3350="Sell",(J3350-L3350)*(100*G3350)+I3350))))))</f>
        <v/>
      </c>
      <c r="O3350" s="75" t="n"/>
      <c r="P3350" s="75" t="n"/>
      <c r="Q3350" s="75">
        <f>IF(ISBLANK(P3350),"",IF(D3350="Stock",P3350*G3350,IF(P3350=0,"0",G3350*P3350*100-(G3350*$AF$14))))</f>
        <v/>
      </c>
      <c r="R3350" s="79">
        <f>IF(P3350&lt;&gt;"", TODAY(), "")</f>
        <v/>
      </c>
      <c r="S3350" s="78">
        <f>IF(AND(K3350&lt;&gt;"", R3350&lt;&gt;""), R3350-K3350, "")</f>
        <v/>
      </c>
      <c r="T3350" s="78" t="n"/>
      <c r="U3350" s="92">
        <f>IF(ISBLANK(P3350),"",IF(C3350="Buy",Q3350-M3350+T3350, IF(C3350="Sell",M3350-Q3350-T3350, X)))</f>
        <v/>
      </c>
      <c r="V3350" s="81">
        <f>IF(ISBLANK(P3350),"",U3350/N3350)</f>
        <v/>
      </c>
      <c r="W3350" s="81">
        <f>IF(ISBLANK(P3350),"",IF(S3350=0,(365/0.5)*V3350,(365/S3350)*V3350))</f>
        <v/>
      </c>
      <c r="X3350" s="75" t="n"/>
      <c r="Y3350" s="77" t="n"/>
      <c r="Z3350" s="77" t="n"/>
      <c r="AA3350" s="75" t="n"/>
      <c r="AB3350" s="75" t="n"/>
      <c r="AC3350" s="6" t="n"/>
      <c r="AD3350" s="75" t="n"/>
      <c r="AE3350" s="75" t="n"/>
      <c r="AF3350" s="75" t="n"/>
    </row>
    <row r="3351" ht="15.75" customHeight="1" s="133">
      <c r="A3351" s="75" t="n"/>
      <c r="B3351" s="75" t="n"/>
      <c r="C3351" s="75" t="n"/>
      <c r="D3351" s="75" t="n"/>
      <c r="E3351" s="76" t="n"/>
      <c r="F3351" s="77" t="n"/>
      <c r="G3351" s="75" t="n"/>
      <c r="H3351" s="75">
        <f>IF(ISBLANK(E3351),"",IF(OR(D3351="Butterfly",D3351="Butterfly ",D3351="Iron Fly", D3351="Iron Fly "),LEN(E3351)-LEN(SUBSTITUTE(E3351,"/",""))+2,LEN(E3351)-LEN(SUBSTITUTE(E3351,"/",""))+1))</f>
        <v/>
      </c>
      <c r="I3351" s="78">
        <f>IF(ISBLANK(G3351),"",IF(D3351="Stock","0",Key!$A$3*H3351*G3351))</f>
        <v/>
      </c>
      <c r="J3351" s="78">
        <f>IF(ISBLANK(E3351),"",IF(ISNUMBER(SEARCH("/",E3351)), IF(LEN(E3351)-LEN(SUBSTITUTE(E3351,"/",""))=1,(RIGHT(E3351,LEN(E3351)-FIND("/",E3351)))-(LEFT(E3351,FIND("/",E3351)-1)),(MID(E3351, SEARCH("/",E3351) + 1, SEARCH("/",E3351, SEARCH("/",E3351)+1) - SEARCH("/",E3351) - 1))-(LEFT(E3351,FIND("/",E3351)-1))), "NA"))</f>
        <v/>
      </c>
      <c r="K3351" s="79">
        <f>IF(A3351&lt;&gt;"", IF(ISBLANK(L3351), TODAY(), K3351), "")</f>
        <v/>
      </c>
      <c r="L3351" s="78" t="n"/>
      <c r="M3351" s="78">
        <f>IF(ISBLANK(L3351),"",IF(D3351="Stock",IF(C3351="Buy",L3351*G3351,IF(C3351="Sell",(L3351*G3351)-I3351, X)),IF(C3351="Buy",(L3351*G3351*100)+I3351,IF(C3351="Sell",(L3351*G3351*100)-I3351, X))))</f>
        <v/>
      </c>
      <c r="N3351" s="78">
        <f>IF(ISBLANK(L3351),"",IF(AND(C3351="Sell",D3351="Stock"),M3351,IF(ISBLANK(L3351),"",IF(C3351="Buy",M3351, IF(AND(C3351="Sell",J3351="NA"),(E3351*G3351*100*0.1)+I3351, IF(C3351="Sell",(J3351-L3351)*(100*G3351)+I3351))))))</f>
        <v/>
      </c>
      <c r="O3351" s="75" t="n"/>
      <c r="P3351" s="75" t="n"/>
      <c r="Q3351" s="75">
        <f>IF(ISBLANK(P3351),"",IF(D3351="Stock",P3351*G3351,IF(P3351=0,"0",G3351*P3351*100-(G3351*$AF$14))))</f>
        <v/>
      </c>
      <c r="R3351" s="79">
        <f>IF(P3351&lt;&gt;"", TODAY(), "")</f>
        <v/>
      </c>
      <c r="S3351" s="78">
        <f>IF(AND(K3351&lt;&gt;"", R3351&lt;&gt;""), R3351-K3351, "")</f>
        <v/>
      </c>
      <c r="T3351" s="78" t="n"/>
      <c r="U3351" s="92">
        <f>IF(ISBLANK(P3351),"",IF(C3351="Buy",Q3351-M3351+T3351, IF(C3351="Sell",M3351-Q3351-T3351, X)))</f>
        <v/>
      </c>
      <c r="V3351" s="81">
        <f>IF(ISBLANK(P3351),"",U3351/N3351)</f>
        <v/>
      </c>
      <c r="W3351" s="81">
        <f>IF(ISBLANK(P3351),"",IF(S3351=0,(365/0.5)*V3351,(365/S3351)*V3351))</f>
        <v/>
      </c>
      <c r="X3351" s="75" t="n"/>
      <c r="Y3351" s="77" t="n"/>
      <c r="Z3351" s="77" t="n"/>
      <c r="AA3351" s="75" t="n"/>
      <c r="AB3351" s="75" t="n"/>
      <c r="AC3351" s="6" t="n"/>
      <c r="AD3351" s="75" t="n"/>
      <c r="AE3351" s="75" t="n"/>
      <c r="AF3351" s="75" t="n"/>
    </row>
    <row r="3352" ht="15.75" customHeight="1" s="133">
      <c r="A3352" s="75" t="n"/>
      <c r="B3352" s="75" t="n"/>
      <c r="C3352" s="75" t="n"/>
      <c r="D3352" s="75" t="n"/>
      <c r="E3352" s="76" t="n"/>
      <c r="F3352" s="77" t="n"/>
      <c r="G3352" s="75" t="n"/>
      <c r="H3352" s="75">
        <f>IF(ISBLANK(E3352),"",IF(OR(D3352="Butterfly",D3352="Butterfly ",D3352="Iron Fly", D3352="Iron Fly "),LEN(E3352)-LEN(SUBSTITUTE(E3352,"/",""))+2,LEN(E3352)-LEN(SUBSTITUTE(E3352,"/",""))+1))</f>
        <v/>
      </c>
      <c r="I3352" s="78">
        <f>IF(ISBLANK(G3352),"",IF(D3352="Stock","0",Key!$A$3*H3352*G3352))</f>
        <v/>
      </c>
      <c r="J3352" s="78">
        <f>IF(ISBLANK(E3352),"",IF(ISNUMBER(SEARCH("/",E3352)), IF(LEN(E3352)-LEN(SUBSTITUTE(E3352,"/",""))=1,(RIGHT(E3352,LEN(E3352)-FIND("/",E3352)))-(LEFT(E3352,FIND("/",E3352)-1)),(MID(E3352, SEARCH("/",E3352) + 1, SEARCH("/",E3352, SEARCH("/",E3352)+1) - SEARCH("/",E3352) - 1))-(LEFT(E3352,FIND("/",E3352)-1))), "NA"))</f>
        <v/>
      </c>
      <c r="K3352" s="79">
        <f>IF(A3352&lt;&gt;"", IF(ISBLANK(L3352), TODAY(), K3352), "")</f>
        <v/>
      </c>
      <c r="L3352" s="78" t="n"/>
      <c r="M3352" s="78">
        <f>IF(ISBLANK(L3352),"",IF(D3352="Stock",IF(C3352="Buy",L3352*G3352,IF(C3352="Sell",(L3352*G3352)-I3352, X)),IF(C3352="Buy",(L3352*G3352*100)+I3352,IF(C3352="Sell",(L3352*G3352*100)-I3352, X))))</f>
        <v/>
      </c>
      <c r="N3352" s="78">
        <f>IF(ISBLANK(L3352),"",IF(AND(C3352="Sell",D3352="Stock"),M3352,IF(ISBLANK(L3352),"",IF(C3352="Buy",M3352, IF(AND(C3352="Sell",J3352="NA"),(E3352*G3352*100*0.1)+I3352, IF(C3352="Sell",(J3352-L3352)*(100*G3352)+I3352))))))</f>
        <v/>
      </c>
      <c r="O3352" s="75" t="n"/>
      <c r="P3352" s="75" t="n"/>
      <c r="Q3352" s="75">
        <f>IF(ISBLANK(P3352),"",IF(D3352="Stock",P3352*G3352,IF(P3352=0,"0",G3352*P3352*100-(G3352*$AF$14))))</f>
        <v/>
      </c>
      <c r="R3352" s="79">
        <f>IF(P3352&lt;&gt;"", TODAY(), "")</f>
        <v/>
      </c>
      <c r="S3352" s="78">
        <f>IF(AND(K3352&lt;&gt;"", R3352&lt;&gt;""), R3352-K3352, "")</f>
        <v/>
      </c>
      <c r="T3352" s="78" t="n"/>
      <c r="U3352" s="92">
        <f>IF(ISBLANK(P3352),"",IF(C3352="Buy",Q3352-M3352+T3352, IF(C3352="Sell",M3352-Q3352-T3352, X)))</f>
        <v/>
      </c>
      <c r="V3352" s="81">
        <f>IF(ISBLANK(P3352),"",U3352/N3352)</f>
        <v/>
      </c>
      <c r="W3352" s="81">
        <f>IF(ISBLANK(P3352),"",IF(S3352=0,(365/0.5)*V3352,(365/S3352)*V3352))</f>
        <v/>
      </c>
      <c r="X3352" s="75" t="n"/>
      <c r="Y3352" s="77" t="n"/>
      <c r="Z3352" s="77" t="n"/>
      <c r="AA3352" s="75" t="n"/>
      <c r="AB3352" s="75" t="n"/>
      <c r="AC3352" s="6" t="n"/>
      <c r="AD3352" s="75" t="n"/>
      <c r="AE3352" s="75" t="n"/>
      <c r="AF3352" s="75" t="n"/>
    </row>
    <row r="3353" ht="15.75" customHeight="1" s="133">
      <c r="A3353" s="75" t="n"/>
      <c r="B3353" s="75" t="n"/>
      <c r="C3353" s="75" t="n"/>
      <c r="D3353" s="75" t="n"/>
      <c r="E3353" s="76" t="n"/>
      <c r="F3353" s="77" t="n"/>
      <c r="G3353" s="75" t="n"/>
      <c r="H3353" s="75">
        <f>IF(ISBLANK(E3353),"",IF(OR(D3353="Butterfly",D3353="Butterfly ",D3353="Iron Fly", D3353="Iron Fly "),LEN(E3353)-LEN(SUBSTITUTE(E3353,"/",""))+2,LEN(E3353)-LEN(SUBSTITUTE(E3353,"/",""))+1))</f>
        <v/>
      </c>
      <c r="I3353" s="78">
        <f>IF(ISBLANK(G3353),"",IF(D3353="Stock","0",Key!$A$3*H3353*G3353))</f>
        <v/>
      </c>
      <c r="J3353" s="78">
        <f>IF(ISBLANK(E3353),"",IF(ISNUMBER(SEARCH("/",E3353)), IF(LEN(E3353)-LEN(SUBSTITUTE(E3353,"/",""))=1,(RIGHT(E3353,LEN(E3353)-FIND("/",E3353)))-(LEFT(E3353,FIND("/",E3353)-1)),(MID(E3353, SEARCH("/",E3353) + 1, SEARCH("/",E3353, SEARCH("/",E3353)+1) - SEARCH("/",E3353) - 1))-(LEFT(E3353,FIND("/",E3353)-1))), "NA"))</f>
        <v/>
      </c>
      <c r="K3353" s="79">
        <f>IF(A3353&lt;&gt;"", IF(ISBLANK(L3353), TODAY(), K3353), "")</f>
        <v/>
      </c>
      <c r="L3353" s="78" t="n"/>
      <c r="M3353" s="78">
        <f>IF(ISBLANK(L3353),"",IF(D3353="Stock",IF(C3353="Buy",L3353*G3353,IF(C3353="Sell",(L3353*G3353)-I3353, X)),IF(C3353="Buy",(L3353*G3353*100)+I3353,IF(C3353="Sell",(L3353*G3353*100)-I3353, X))))</f>
        <v/>
      </c>
      <c r="N3353" s="78">
        <f>IF(ISBLANK(L3353),"",IF(AND(C3353="Sell",D3353="Stock"),M3353,IF(ISBLANK(L3353),"",IF(C3353="Buy",M3353, IF(AND(C3353="Sell",J3353="NA"),(E3353*G3353*100*0.1)+I3353, IF(C3353="Sell",(J3353-L3353)*(100*G3353)+I3353))))))</f>
        <v/>
      </c>
      <c r="O3353" s="75" t="n"/>
      <c r="P3353" s="75" t="n"/>
      <c r="Q3353" s="75">
        <f>IF(ISBLANK(P3353),"",IF(D3353="Stock",P3353*G3353,IF(P3353=0,"0",G3353*P3353*100-(G3353*$AF$14))))</f>
        <v/>
      </c>
      <c r="R3353" s="79">
        <f>IF(P3353&lt;&gt;"", TODAY(), "")</f>
        <v/>
      </c>
      <c r="S3353" s="78">
        <f>IF(AND(K3353&lt;&gt;"", R3353&lt;&gt;""), R3353-K3353, "")</f>
        <v/>
      </c>
      <c r="T3353" s="78" t="n"/>
      <c r="U3353" s="92">
        <f>IF(ISBLANK(P3353),"",IF(C3353="Buy",Q3353-M3353+T3353, IF(C3353="Sell",M3353-Q3353-T3353, X)))</f>
        <v/>
      </c>
      <c r="V3353" s="81">
        <f>IF(ISBLANK(P3353),"",U3353/N3353)</f>
        <v/>
      </c>
      <c r="W3353" s="81">
        <f>IF(ISBLANK(P3353),"",IF(S3353=0,(365/0.5)*V3353,(365/S3353)*V3353))</f>
        <v/>
      </c>
      <c r="X3353" s="75" t="n"/>
      <c r="Y3353" s="77" t="n"/>
      <c r="Z3353" s="77" t="n"/>
      <c r="AA3353" s="75" t="n"/>
      <c r="AB3353" s="75" t="n"/>
      <c r="AC3353" s="6" t="n"/>
      <c r="AD3353" s="75" t="n"/>
      <c r="AE3353" s="75" t="n"/>
      <c r="AF3353" s="75" t="n"/>
    </row>
    <row r="3354" ht="15.75" customHeight="1" s="133">
      <c r="A3354" s="75" t="n"/>
      <c r="B3354" s="75" t="n"/>
      <c r="C3354" s="75" t="n"/>
      <c r="D3354" s="75" t="n"/>
      <c r="E3354" s="76" t="n"/>
      <c r="F3354" s="77" t="n"/>
      <c r="G3354" s="75" t="n"/>
      <c r="H3354" s="75">
        <f>IF(ISBLANK(E3354),"",IF(OR(D3354="Butterfly",D3354="Butterfly ",D3354="Iron Fly", D3354="Iron Fly "),LEN(E3354)-LEN(SUBSTITUTE(E3354,"/",""))+2,LEN(E3354)-LEN(SUBSTITUTE(E3354,"/",""))+1))</f>
        <v/>
      </c>
      <c r="I3354" s="78">
        <f>IF(ISBLANK(G3354),"",IF(D3354="Stock","0",Key!$A$3*H3354*G3354))</f>
        <v/>
      </c>
      <c r="J3354" s="78">
        <f>IF(ISBLANK(E3354),"",IF(ISNUMBER(SEARCH("/",E3354)), IF(LEN(E3354)-LEN(SUBSTITUTE(E3354,"/",""))=1,(RIGHT(E3354,LEN(E3354)-FIND("/",E3354)))-(LEFT(E3354,FIND("/",E3354)-1)),(MID(E3354, SEARCH("/",E3354) + 1, SEARCH("/",E3354, SEARCH("/",E3354)+1) - SEARCH("/",E3354) - 1))-(LEFT(E3354,FIND("/",E3354)-1))), "NA"))</f>
        <v/>
      </c>
      <c r="K3354" s="79">
        <f>IF(A3354&lt;&gt;"", IF(ISBLANK(L3354), TODAY(), K3354), "")</f>
        <v/>
      </c>
      <c r="L3354" s="78" t="n"/>
      <c r="M3354" s="78">
        <f>IF(ISBLANK(L3354),"",IF(D3354="Stock",IF(C3354="Buy",L3354*G3354,IF(C3354="Sell",(L3354*G3354)-I3354, X)),IF(C3354="Buy",(L3354*G3354*100)+I3354,IF(C3354="Sell",(L3354*G3354*100)-I3354, X))))</f>
        <v/>
      </c>
      <c r="N3354" s="78">
        <f>IF(ISBLANK(L3354),"",IF(AND(C3354="Sell",D3354="Stock"),M3354,IF(ISBLANK(L3354),"",IF(C3354="Buy",M3354, IF(AND(C3354="Sell",J3354="NA"),(E3354*G3354*100*0.1)+I3354, IF(C3354="Sell",(J3354-L3354)*(100*G3354)+I3354))))))</f>
        <v/>
      </c>
      <c r="O3354" s="75" t="n"/>
      <c r="P3354" s="75" t="n"/>
      <c r="Q3354" s="75">
        <f>IF(ISBLANK(P3354),"",IF(D3354="Stock",P3354*G3354,IF(P3354=0,"0",G3354*P3354*100-(G3354*$AF$14))))</f>
        <v/>
      </c>
      <c r="R3354" s="79">
        <f>IF(P3354&lt;&gt;"", TODAY(), "")</f>
        <v/>
      </c>
      <c r="S3354" s="78">
        <f>IF(AND(K3354&lt;&gt;"", R3354&lt;&gt;""), R3354-K3354, "")</f>
        <v/>
      </c>
      <c r="T3354" s="78" t="n"/>
      <c r="U3354" s="92">
        <f>IF(ISBLANK(P3354),"",IF(C3354="Buy",Q3354-M3354+T3354, IF(C3354="Sell",M3354-Q3354-T3354, X)))</f>
        <v/>
      </c>
      <c r="V3354" s="81">
        <f>IF(ISBLANK(P3354),"",U3354/N3354)</f>
        <v/>
      </c>
      <c r="W3354" s="81">
        <f>IF(ISBLANK(P3354),"",IF(S3354=0,(365/0.5)*V3354,(365/S3354)*V3354))</f>
        <v/>
      </c>
      <c r="X3354" s="75" t="n"/>
      <c r="Y3354" s="77" t="n"/>
      <c r="Z3354" s="77" t="n"/>
      <c r="AA3354" s="75" t="n"/>
      <c r="AB3354" s="75" t="n"/>
      <c r="AC3354" s="6" t="n"/>
      <c r="AD3354" s="75" t="n"/>
      <c r="AE3354" s="75" t="n"/>
      <c r="AF3354" s="75" t="n"/>
    </row>
    <row r="3355" ht="15.75" customHeight="1" s="133">
      <c r="A3355" s="75" t="n"/>
      <c r="B3355" s="75" t="n"/>
      <c r="C3355" s="75" t="n"/>
      <c r="D3355" s="75" t="n"/>
      <c r="E3355" s="76" t="n"/>
      <c r="F3355" s="77" t="n"/>
      <c r="G3355" s="75" t="n"/>
      <c r="H3355" s="75">
        <f>IF(ISBLANK(E3355),"",IF(OR(D3355="Butterfly",D3355="Butterfly ",D3355="Iron Fly", D3355="Iron Fly "),LEN(E3355)-LEN(SUBSTITUTE(E3355,"/",""))+2,LEN(E3355)-LEN(SUBSTITUTE(E3355,"/",""))+1))</f>
        <v/>
      </c>
      <c r="I3355" s="78">
        <f>IF(ISBLANK(G3355),"",IF(D3355="Stock","0",Key!$A$3*H3355*G3355))</f>
        <v/>
      </c>
      <c r="J3355" s="78">
        <f>IF(ISBLANK(E3355),"",IF(ISNUMBER(SEARCH("/",E3355)), IF(LEN(E3355)-LEN(SUBSTITUTE(E3355,"/",""))=1,(RIGHT(E3355,LEN(E3355)-FIND("/",E3355)))-(LEFT(E3355,FIND("/",E3355)-1)),(MID(E3355, SEARCH("/",E3355) + 1, SEARCH("/",E3355, SEARCH("/",E3355)+1) - SEARCH("/",E3355) - 1))-(LEFT(E3355,FIND("/",E3355)-1))), "NA"))</f>
        <v/>
      </c>
      <c r="K3355" s="79">
        <f>IF(A3355&lt;&gt;"", IF(ISBLANK(L3355), TODAY(), K3355), "")</f>
        <v/>
      </c>
      <c r="L3355" s="78" t="n"/>
      <c r="M3355" s="78">
        <f>IF(ISBLANK(L3355),"",IF(D3355="Stock",IF(C3355="Buy",L3355*G3355,IF(C3355="Sell",(L3355*G3355)-I3355, X)),IF(C3355="Buy",(L3355*G3355*100)+I3355,IF(C3355="Sell",(L3355*G3355*100)-I3355, X))))</f>
        <v/>
      </c>
      <c r="N3355" s="78">
        <f>IF(ISBLANK(L3355),"",IF(AND(C3355="Sell",D3355="Stock"),M3355,IF(ISBLANK(L3355),"",IF(C3355="Buy",M3355, IF(AND(C3355="Sell",J3355="NA"),(E3355*G3355*100*0.1)+I3355, IF(C3355="Sell",(J3355-L3355)*(100*G3355)+I3355))))))</f>
        <v/>
      </c>
      <c r="O3355" s="75" t="n"/>
      <c r="P3355" s="75" t="n"/>
      <c r="Q3355" s="75">
        <f>IF(ISBLANK(P3355),"",IF(D3355="Stock",P3355*G3355,IF(P3355=0,"0",G3355*P3355*100-(G3355*$AF$14))))</f>
        <v/>
      </c>
      <c r="R3355" s="79">
        <f>IF(P3355&lt;&gt;"", TODAY(), "")</f>
        <v/>
      </c>
      <c r="S3355" s="78">
        <f>IF(AND(K3355&lt;&gt;"", R3355&lt;&gt;""), R3355-K3355, "")</f>
        <v/>
      </c>
      <c r="T3355" s="78" t="n"/>
      <c r="U3355" s="92">
        <f>IF(ISBLANK(P3355),"",IF(C3355="Buy",Q3355-M3355+T3355, IF(C3355="Sell",M3355-Q3355-T3355, X)))</f>
        <v/>
      </c>
      <c r="V3355" s="81">
        <f>IF(ISBLANK(P3355),"",U3355/N3355)</f>
        <v/>
      </c>
      <c r="W3355" s="81">
        <f>IF(ISBLANK(P3355),"",IF(S3355=0,(365/0.5)*V3355,(365/S3355)*V3355))</f>
        <v/>
      </c>
      <c r="X3355" s="75" t="n"/>
      <c r="Y3355" s="77" t="n"/>
      <c r="Z3355" s="77" t="n"/>
      <c r="AA3355" s="75" t="n"/>
      <c r="AB3355" s="75" t="n"/>
      <c r="AC3355" s="6" t="n"/>
      <c r="AD3355" s="75" t="n"/>
      <c r="AE3355" s="75" t="n"/>
      <c r="AF3355" s="75" t="n"/>
    </row>
    <row r="3356" ht="15.75" customHeight="1" s="133">
      <c r="A3356" s="75" t="n"/>
      <c r="B3356" s="75" t="n"/>
      <c r="C3356" s="75" t="n"/>
      <c r="D3356" s="75" t="n"/>
      <c r="E3356" s="76" t="n"/>
      <c r="F3356" s="77" t="n"/>
      <c r="G3356" s="75" t="n"/>
      <c r="H3356" s="75">
        <f>IF(ISBLANK(E3356),"",IF(OR(D3356="Butterfly",D3356="Butterfly ",D3356="Iron Fly", D3356="Iron Fly "),LEN(E3356)-LEN(SUBSTITUTE(E3356,"/",""))+2,LEN(E3356)-LEN(SUBSTITUTE(E3356,"/",""))+1))</f>
        <v/>
      </c>
      <c r="I3356" s="78">
        <f>IF(ISBLANK(G3356),"",IF(D3356="Stock","0",Key!$A$3*H3356*G3356))</f>
        <v/>
      </c>
      <c r="J3356" s="78">
        <f>IF(ISBLANK(E3356),"",IF(ISNUMBER(SEARCH("/",E3356)), IF(LEN(E3356)-LEN(SUBSTITUTE(E3356,"/",""))=1,(RIGHT(E3356,LEN(E3356)-FIND("/",E3356)))-(LEFT(E3356,FIND("/",E3356)-1)),(MID(E3356, SEARCH("/",E3356) + 1, SEARCH("/",E3356, SEARCH("/",E3356)+1) - SEARCH("/",E3356) - 1))-(LEFT(E3356,FIND("/",E3356)-1))), "NA"))</f>
        <v/>
      </c>
      <c r="K3356" s="79">
        <f>IF(A3356&lt;&gt;"", IF(ISBLANK(L3356), TODAY(), K3356), "")</f>
        <v/>
      </c>
      <c r="L3356" s="78" t="n"/>
      <c r="M3356" s="78">
        <f>IF(ISBLANK(L3356),"",IF(D3356="Stock",IF(C3356="Buy",L3356*G3356,IF(C3356="Sell",(L3356*G3356)-I3356, X)),IF(C3356="Buy",(L3356*G3356*100)+I3356,IF(C3356="Sell",(L3356*G3356*100)-I3356, X))))</f>
        <v/>
      </c>
      <c r="N3356" s="78">
        <f>IF(ISBLANK(L3356),"",IF(AND(C3356="Sell",D3356="Stock"),M3356,IF(ISBLANK(L3356),"",IF(C3356="Buy",M3356, IF(AND(C3356="Sell",J3356="NA"),(E3356*G3356*100*0.1)+I3356, IF(C3356="Sell",(J3356-L3356)*(100*G3356)+I3356))))))</f>
        <v/>
      </c>
      <c r="O3356" s="75" t="n"/>
      <c r="P3356" s="75" t="n"/>
      <c r="Q3356" s="75">
        <f>IF(ISBLANK(P3356),"",IF(D3356="Stock",P3356*G3356,IF(P3356=0,"0",G3356*P3356*100-(G3356*$AF$14))))</f>
        <v/>
      </c>
      <c r="R3356" s="79">
        <f>IF(P3356&lt;&gt;"", TODAY(), "")</f>
        <v/>
      </c>
      <c r="S3356" s="78">
        <f>IF(AND(K3356&lt;&gt;"", R3356&lt;&gt;""), R3356-K3356, "")</f>
        <v/>
      </c>
      <c r="T3356" s="78" t="n"/>
      <c r="U3356" s="92">
        <f>IF(ISBLANK(P3356),"",IF(C3356="Buy",Q3356-M3356+T3356, IF(C3356="Sell",M3356-Q3356-T3356, X)))</f>
        <v/>
      </c>
      <c r="V3356" s="81">
        <f>IF(ISBLANK(P3356),"",U3356/N3356)</f>
        <v/>
      </c>
      <c r="W3356" s="81">
        <f>IF(ISBLANK(P3356),"",IF(S3356=0,(365/0.5)*V3356,(365/S3356)*V3356))</f>
        <v/>
      </c>
      <c r="X3356" s="75" t="n"/>
      <c r="Y3356" s="77" t="n"/>
      <c r="Z3356" s="77" t="n"/>
      <c r="AA3356" s="75" t="n"/>
      <c r="AB3356" s="75" t="n"/>
      <c r="AC3356" s="6" t="n"/>
      <c r="AD3356" s="75" t="n"/>
      <c r="AE3356" s="75" t="n"/>
      <c r="AF3356" s="75" t="n"/>
    </row>
    <row r="3357" ht="15.75" customHeight="1" s="133">
      <c r="A3357" s="75" t="n"/>
      <c r="B3357" s="75" t="n"/>
      <c r="C3357" s="75" t="n"/>
      <c r="D3357" s="75" t="n"/>
      <c r="E3357" s="76" t="n"/>
      <c r="F3357" s="77" t="n"/>
      <c r="G3357" s="75" t="n"/>
      <c r="H3357" s="75">
        <f>IF(ISBLANK(E3357),"",IF(OR(D3357="Butterfly",D3357="Butterfly ",D3357="Iron Fly", D3357="Iron Fly "),LEN(E3357)-LEN(SUBSTITUTE(E3357,"/",""))+2,LEN(E3357)-LEN(SUBSTITUTE(E3357,"/",""))+1))</f>
        <v/>
      </c>
      <c r="I3357" s="78">
        <f>IF(ISBLANK(G3357),"",IF(D3357="Stock","0",Key!$A$3*H3357*G3357))</f>
        <v/>
      </c>
      <c r="J3357" s="78">
        <f>IF(ISBLANK(E3357),"",IF(ISNUMBER(SEARCH("/",E3357)), IF(LEN(E3357)-LEN(SUBSTITUTE(E3357,"/",""))=1,(RIGHT(E3357,LEN(E3357)-FIND("/",E3357)))-(LEFT(E3357,FIND("/",E3357)-1)),(MID(E3357, SEARCH("/",E3357) + 1, SEARCH("/",E3357, SEARCH("/",E3357)+1) - SEARCH("/",E3357) - 1))-(LEFT(E3357,FIND("/",E3357)-1))), "NA"))</f>
        <v/>
      </c>
      <c r="K3357" s="79">
        <f>IF(A3357&lt;&gt;"", IF(ISBLANK(L3357), TODAY(), K3357), "")</f>
        <v/>
      </c>
      <c r="L3357" s="78" t="n"/>
      <c r="M3357" s="78">
        <f>IF(ISBLANK(L3357),"",IF(D3357="Stock",IF(C3357="Buy",L3357*G3357,IF(C3357="Sell",(L3357*G3357)-I3357, X)),IF(C3357="Buy",(L3357*G3357*100)+I3357,IF(C3357="Sell",(L3357*G3357*100)-I3357, X))))</f>
        <v/>
      </c>
      <c r="N3357" s="78">
        <f>IF(ISBLANK(L3357),"",IF(AND(C3357="Sell",D3357="Stock"),M3357,IF(ISBLANK(L3357),"",IF(C3357="Buy",M3357, IF(AND(C3357="Sell",J3357="NA"),(E3357*G3357*100*0.1)+I3357, IF(C3357="Sell",(J3357-L3357)*(100*G3357)+I3357))))))</f>
        <v/>
      </c>
      <c r="O3357" s="75" t="n"/>
      <c r="P3357" s="75" t="n"/>
      <c r="Q3357" s="75">
        <f>IF(ISBLANK(P3357),"",IF(D3357="Stock",P3357*G3357,IF(P3357=0,"0",G3357*P3357*100-(G3357*$AF$14))))</f>
        <v/>
      </c>
      <c r="R3357" s="79">
        <f>IF(P3357&lt;&gt;"", TODAY(), "")</f>
        <v/>
      </c>
      <c r="S3357" s="78">
        <f>IF(AND(K3357&lt;&gt;"", R3357&lt;&gt;""), R3357-K3357, "")</f>
        <v/>
      </c>
      <c r="T3357" s="78" t="n"/>
      <c r="U3357" s="92">
        <f>IF(ISBLANK(P3357),"",IF(C3357="Buy",Q3357-M3357+T3357, IF(C3357="Sell",M3357-Q3357-T3357, X)))</f>
        <v/>
      </c>
      <c r="V3357" s="81">
        <f>IF(ISBLANK(P3357),"",U3357/N3357)</f>
        <v/>
      </c>
      <c r="W3357" s="81">
        <f>IF(ISBLANK(P3357),"",IF(S3357=0,(365/0.5)*V3357,(365/S3357)*V3357))</f>
        <v/>
      </c>
      <c r="X3357" s="75" t="n"/>
      <c r="Y3357" s="77" t="n"/>
      <c r="Z3357" s="77" t="n"/>
      <c r="AA3357" s="75" t="n"/>
      <c r="AB3357" s="75" t="n"/>
      <c r="AC3357" s="6" t="n"/>
      <c r="AD3357" s="75" t="n"/>
      <c r="AE3357" s="75" t="n"/>
      <c r="AF3357" s="75" t="n"/>
    </row>
    <row r="3358" ht="15.75" customHeight="1" s="133">
      <c r="A3358" s="75" t="n"/>
      <c r="B3358" s="75" t="n"/>
      <c r="C3358" s="75" t="n"/>
      <c r="D3358" s="75" t="n"/>
      <c r="E3358" s="76" t="n"/>
      <c r="F3358" s="77" t="n"/>
      <c r="G3358" s="75" t="n"/>
      <c r="H3358" s="75">
        <f>IF(ISBLANK(E3358),"",IF(OR(D3358="Butterfly",D3358="Butterfly ",D3358="Iron Fly", D3358="Iron Fly "),LEN(E3358)-LEN(SUBSTITUTE(E3358,"/",""))+2,LEN(E3358)-LEN(SUBSTITUTE(E3358,"/",""))+1))</f>
        <v/>
      </c>
      <c r="I3358" s="78">
        <f>IF(ISBLANK(G3358),"",IF(D3358="Stock","0",Key!$A$3*H3358*G3358))</f>
        <v/>
      </c>
      <c r="J3358" s="78">
        <f>IF(ISBLANK(E3358),"",IF(ISNUMBER(SEARCH("/",E3358)), IF(LEN(E3358)-LEN(SUBSTITUTE(E3358,"/",""))=1,(RIGHT(E3358,LEN(E3358)-FIND("/",E3358)))-(LEFT(E3358,FIND("/",E3358)-1)),(MID(E3358, SEARCH("/",E3358) + 1, SEARCH("/",E3358, SEARCH("/",E3358)+1) - SEARCH("/",E3358) - 1))-(LEFT(E3358,FIND("/",E3358)-1))), "NA"))</f>
        <v/>
      </c>
      <c r="K3358" s="79">
        <f>IF(A3358&lt;&gt;"", IF(ISBLANK(L3358), TODAY(), K3358), "")</f>
        <v/>
      </c>
      <c r="L3358" s="78" t="n"/>
      <c r="M3358" s="78">
        <f>IF(ISBLANK(L3358),"",IF(D3358="Stock",IF(C3358="Buy",L3358*G3358,IF(C3358="Sell",(L3358*G3358)-I3358, X)),IF(C3358="Buy",(L3358*G3358*100)+I3358,IF(C3358="Sell",(L3358*G3358*100)-I3358, X))))</f>
        <v/>
      </c>
      <c r="N3358" s="78">
        <f>IF(ISBLANK(L3358),"",IF(AND(C3358="Sell",D3358="Stock"),M3358,IF(ISBLANK(L3358),"",IF(C3358="Buy",M3358, IF(AND(C3358="Sell",J3358="NA"),(E3358*G3358*100*0.1)+I3358, IF(C3358="Sell",(J3358-L3358)*(100*G3358)+I3358))))))</f>
        <v/>
      </c>
      <c r="O3358" s="75" t="n"/>
      <c r="P3358" s="75" t="n"/>
      <c r="Q3358" s="75">
        <f>IF(ISBLANK(P3358),"",IF(D3358="Stock",P3358*G3358,IF(P3358=0,"0",G3358*P3358*100-(G3358*$AF$14))))</f>
        <v/>
      </c>
      <c r="R3358" s="79">
        <f>IF(P3358&lt;&gt;"", TODAY(), "")</f>
        <v/>
      </c>
      <c r="S3358" s="78">
        <f>IF(AND(K3358&lt;&gt;"", R3358&lt;&gt;""), R3358-K3358, "")</f>
        <v/>
      </c>
      <c r="T3358" s="78" t="n"/>
      <c r="U3358" s="92">
        <f>IF(ISBLANK(P3358),"",IF(C3358="Buy",Q3358-M3358+T3358, IF(C3358="Sell",M3358-Q3358-T3358, X)))</f>
        <v/>
      </c>
      <c r="V3358" s="81">
        <f>IF(ISBLANK(P3358),"",U3358/N3358)</f>
        <v/>
      </c>
      <c r="W3358" s="81">
        <f>IF(ISBLANK(P3358),"",IF(S3358=0,(365/0.5)*V3358,(365/S3358)*V3358))</f>
        <v/>
      </c>
      <c r="X3358" s="75" t="n"/>
      <c r="Y3358" s="77" t="n"/>
      <c r="Z3358" s="77" t="n"/>
      <c r="AA3358" s="75" t="n"/>
      <c r="AB3358" s="75" t="n"/>
      <c r="AC3358" s="6" t="n"/>
      <c r="AD3358" s="75" t="n"/>
      <c r="AE3358" s="75" t="n"/>
      <c r="AF3358" s="75" t="n"/>
    </row>
    <row r="3359" ht="15.75" customHeight="1" s="133">
      <c r="A3359" s="75" t="n"/>
      <c r="B3359" s="75" t="n"/>
      <c r="C3359" s="75" t="n"/>
      <c r="D3359" s="75" t="n"/>
      <c r="E3359" s="76" t="n"/>
      <c r="F3359" s="77" t="n"/>
      <c r="G3359" s="75" t="n"/>
      <c r="H3359" s="75">
        <f>IF(ISBLANK(E3359),"",IF(OR(D3359="Butterfly",D3359="Butterfly ",D3359="Iron Fly", D3359="Iron Fly "),LEN(E3359)-LEN(SUBSTITUTE(E3359,"/",""))+2,LEN(E3359)-LEN(SUBSTITUTE(E3359,"/",""))+1))</f>
        <v/>
      </c>
      <c r="I3359" s="78">
        <f>IF(ISBLANK(G3359),"",IF(D3359="Stock","0",Key!$A$3*H3359*G3359))</f>
        <v/>
      </c>
      <c r="J3359" s="78">
        <f>IF(ISBLANK(E3359),"",IF(ISNUMBER(SEARCH("/",E3359)), IF(LEN(E3359)-LEN(SUBSTITUTE(E3359,"/",""))=1,(RIGHT(E3359,LEN(E3359)-FIND("/",E3359)))-(LEFT(E3359,FIND("/",E3359)-1)),(MID(E3359, SEARCH("/",E3359) + 1, SEARCH("/",E3359, SEARCH("/",E3359)+1) - SEARCH("/",E3359) - 1))-(LEFT(E3359,FIND("/",E3359)-1))), "NA"))</f>
        <v/>
      </c>
      <c r="K3359" s="79">
        <f>IF(A3359&lt;&gt;"", IF(ISBLANK(L3359), TODAY(), K3359), "")</f>
        <v/>
      </c>
      <c r="L3359" s="78" t="n"/>
      <c r="M3359" s="78">
        <f>IF(ISBLANK(L3359),"",IF(D3359="Stock",IF(C3359="Buy",L3359*G3359,IF(C3359="Sell",(L3359*G3359)-I3359, X)),IF(C3359="Buy",(L3359*G3359*100)+I3359,IF(C3359="Sell",(L3359*G3359*100)-I3359, X))))</f>
        <v/>
      </c>
      <c r="N3359" s="78">
        <f>IF(ISBLANK(L3359),"",IF(AND(C3359="Sell",D3359="Stock"),M3359,IF(ISBLANK(L3359),"",IF(C3359="Buy",M3359, IF(AND(C3359="Sell",J3359="NA"),(E3359*G3359*100*0.1)+I3359, IF(C3359="Sell",(J3359-L3359)*(100*G3359)+I3359))))))</f>
        <v/>
      </c>
      <c r="O3359" s="75" t="n"/>
      <c r="P3359" s="75" t="n"/>
      <c r="Q3359" s="75">
        <f>IF(ISBLANK(P3359),"",IF(D3359="Stock",P3359*G3359,IF(P3359=0,"0",G3359*P3359*100-(G3359*$AF$14))))</f>
        <v/>
      </c>
      <c r="R3359" s="79">
        <f>IF(P3359&lt;&gt;"", TODAY(), "")</f>
        <v/>
      </c>
      <c r="S3359" s="78">
        <f>IF(AND(K3359&lt;&gt;"", R3359&lt;&gt;""), R3359-K3359, "")</f>
        <v/>
      </c>
      <c r="T3359" s="78" t="n"/>
      <c r="U3359" s="92">
        <f>IF(ISBLANK(P3359),"",IF(C3359="Buy",Q3359-M3359+T3359, IF(C3359="Sell",M3359-Q3359-T3359, X)))</f>
        <v/>
      </c>
      <c r="V3359" s="81">
        <f>IF(ISBLANK(P3359),"",U3359/N3359)</f>
        <v/>
      </c>
      <c r="W3359" s="81">
        <f>IF(ISBLANK(P3359),"",IF(S3359=0,(365/0.5)*V3359,(365/S3359)*V3359))</f>
        <v/>
      </c>
      <c r="X3359" s="75" t="n"/>
      <c r="Y3359" s="77" t="n"/>
      <c r="Z3359" s="77" t="n"/>
      <c r="AA3359" s="75" t="n"/>
      <c r="AB3359" s="75" t="n"/>
      <c r="AC3359" s="6" t="n"/>
      <c r="AD3359" s="75" t="n"/>
      <c r="AE3359" s="75" t="n"/>
      <c r="AF3359" s="75" t="n"/>
    </row>
    <row r="3360" ht="15.75" customHeight="1" s="133">
      <c r="A3360" s="75" t="n"/>
      <c r="B3360" s="75" t="n"/>
      <c r="C3360" s="75" t="n"/>
      <c r="D3360" s="75" t="n"/>
      <c r="E3360" s="76" t="n"/>
      <c r="F3360" s="77" t="n"/>
      <c r="G3360" s="75" t="n"/>
      <c r="H3360" s="75">
        <f>IF(ISBLANK(E3360),"",IF(OR(D3360="Butterfly",D3360="Butterfly ",D3360="Iron Fly", D3360="Iron Fly "),LEN(E3360)-LEN(SUBSTITUTE(E3360,"/",""))+2,LEN(E3360)-LEN(SUBSTITUTE(E3360,"/",""))+1))</f>
        <v/>
      </c>
      <c r="I3360" s="78">
        <f>IF(ISBLANK(G3360),"",IF(D3360="Stock","0",Key!$A$3*H3360*G3360))</f>
        <v/>
      </c>
      <c r="J3360" s="78">
        <f>IF(ISBLANK(E3360),"",IF(ISNUMBER(SEARCH("/",E3360)), IF(LEN(E3360)-LEN(SUBSTITUTE(E3360,"/",""))=1,(RIGHT(E3360,LEN(E3360)-FIND("/",E3360)))-(LEFT(E3360,FIND("/",E3360)-1)),(MID(E3360, SEARCH("/",E3360) + 1, SEARCH("/",E3360, SEARCH("/",E3360)+1) - SEARCH("/",E3360) - 1))-(LEFT(E3360,FIND("/",E3360)-1))), "NA"))</f>
        <v/>
      </c>
      <c r="K3360" s="79">
        <f>IF(A3360&lt;&gt;"", IF(ISBLANK(L3360), TODAY(), K3360), "")</f>
        <v/>
      </c>
      <c r="L3360" s="78" t="n"/>
      <c r="M3360" s="78">
        <f>IF(ISBLANK(L3360),"",IF(D3360="Stock",IF(C3360="Buy",L3360*G3360,IF(C3360="Sell",(L3360*G3360)-I3360, X)),IF(C3360="Buy",(L3360*G3360*100)+I3360,IF(C3360="Sell",(L3360*G3360*100)-I3360, X))))</f>
        <v/>
      </c>
      <c r="N3360" s="78">
        <f>IF(ISBLANK(L3360),"",IF(AND(C3360="Sell",D3360="Stock"),M3360,IF(ISBLANK(L3360),"",IF(C3360="Buy",M3360, IF(AND(C3360="Sell",J3360="NA"),(E3360*G3360*100*0.1)+I3360, IF(C3360="Sell",(J3360-L3360)*(100*G3360)+I3360))))))</f>
        <v/>
      </c>
      <c r="O3360" s="75" t="n"/>
      <c r="P3360" s="75" t="n"/>
      <c r="Q3360" s="75">
        <f>IF(ISBLANK(P3360),"",IF(D3360="Stock",P3360*G3360,IF(P3360=0,"0",G3360*P3360*100-(G3360*$AF$14))))</f>
        <v/>
      </c>
      <c r="R3360" s="79">
        <f>IF(P3360&lt;&gt;"", TODAY(), "")</f>
        <v/>
      </c>
      <c r="S3360" s="78">
        <f>IF(AND(K3360&lt;&gt;"", R3360&lt;&gt;""), R3360-K3360, "")</f>
        <v/>
      </c>
      <c r="T3360" s="78" t="n"/>
      <c r="U3360" s="92">
        <f>IF(ISBLANK(P3360),"",IF(C3360="Buy",Q3360-M3360+T3360, IF(C3360="Sell",M3360-Q3360-T3360, X)))</f>
        <v/>
      </c>
      <c r="V3360" s="81">
        <f>IF(ISBLANK(P3360),"",U3360/N3360)</f>
        <v/>
      </c>
      <c r="W3360" s="81">
        <f>IF(ISBLANK(P3360),"",IF(S3360=0,(365/0.5)*V3360,(365/S3360)*V3360))</f>
        <v/>
      </c>
      <c r="X3360" s="75" t="n"/>
      <c r="Y3360" s="77" t="n"/>
      <c r="Z3360" s="77" t="n"/>
      <c r="AA3360" s="75" t="n"/>
      <c r="AB3360" s="75" t="n"/>
      <c r="AC3360" s="6" t="n"/>
      <c r="AD3360" s="75" t="n"/>
      <c r="AE3360" s="75" t="n"/>
      <c r="AF3360" s="75" t="n"/>
    </row>
    <row r="3361" ht="15.75" customHeight="1" s="133">
      <c r="A3361" s="75" t="n"/>
      <c r="B3361" s="75" t="n"/>
      <c r="C3361" s="75" t="n"/>
      <c r="D3361" s="75" t="n"/>
      <c r="E3361" s="76" t="n"/>
      <c r="F3361" s="77" t="n"/>
      <c r="G3361" s="75" t="n"/>
      <c r="H3361" s="75">
        <f>IF(ISBLANK(E3361),"",IF(OR(D3361="Butterfly",D3361="Butterfly ",D3361="Iron Fly", D3361="Iron Fly "),LEN(E3361)-LEN(SUBSTITUTE(E3361,"/",""))+2,LEN(E3361)-LEN(SUBSTITUTE(E3361,"/",""))+1))</f>
        <v/>
      </c>
      <c r="I3361" s="78">
        <f>IF(ISBLANK(G3361),"",IF(D3361="Stock","0",Key!$A$3*H3361*G3361))</f>
        <v/>
      </c>
      <c r="J3361" s="78">
        <f>IF(ISBLANK(E3361),"",IF(ISNUMBER(SEARCH("/",E3361)), IF(LEN(E3361)-LEN(SUBSTITUTE(E3361,"/",""))=1,(RIGHT(E3361,LEN(E3361)-FIND("/",E3361)))-(LEFT(E3361,FIND("/",E3361)-1)),(MID(E3361, SEARCH("/",E3361) + 1, SEARCH("/",E3361, SEARCH("/",E3361)+1) - SEARCH("/",E3361) - 1))-(LEFT(E3361,FIND("/",E3361)-1))), "NA"))</f>
        <v/>
      </c>
      <c r="K3361" s="79">
        <f>IF(A3361&lt;&gt;"", IF(ISBLANK(L3361), TODAY(), K3361), "")</f>
        <v/>
      </c>
      <c r="L3361" s="78" t="n"/>
      <c r="M3361" s="78">
        <f>IF(ISBLANK(L3361),"",IF(D3361="Stock",IF(C3361="Buy",L3361*G3361,IF(C3361="Sell",(L3361*G3361)-I3361, X)),IF(C3361="Buy",(L3361*G3361*100)+I3361,IF(C3361="Sell",(L3361*G3361*100)-I3361, X))))</f>
        <v/>
      </c>
      <c r="N3361" s="78">
        <f>IF(ISBLANK(L3361),"",IF(AND(C3361="Sell",D3361="Stock"),M3361,IF(ISBLANK(L3361),"",IF(C3361="Buy",M3361, IF(AND(C3361="Sell",J3361="NA"),(E3361*G3361*100*0.1)+I3361, IF(C3361="Sell",(J3361-L3361)*(100*G3361)+I3361))))))</f>
        <v/>
      </c>
      <c r="O3361" s="75" t="n"/>
      <c r="P3361" s="75" t="n"/>
      <c r="Q3361" s="75">
        <f>IF(ISBLANK(P3361),"",IF(D3361="Stock",P3361*G3361,IF(P3361=0,"0",G3361*P3361*100-(G3361*$AF$14))))</f>
        <v/>
      </c>
      <c r="R3361" s="79">
        <f>IF(P3361&lt;&gt;"", TODAY(), "")</f>
        <v/>
      </c>
      <c r="S3361" s="78">
        <f>IF(AND(K3361&lt;&gt;"", R3361&lt;&gt;""), R3361-K3361, "")</f>
        <v/>
      </c>
      <c r="T3361" s="78" t="n"/>
      <c r="U3361" s="92">
        <f>IF(ISBLANK(P3361),"",IF(C3361="Buy",Q3361-M3361+T3361, IF(C3361="Sell",M3361-Q3361-T3361, X)))</f>
        <v/>
      </c>
      <c r="V3361" s="81">
        <f>IF(ISBLANK(P3361),"",U3361/N3361)</f>
        <v/>
      </c>
      <c r="W3361" s="81">
        <f>IF(ISBLANK(P3361),"",IF(S3361=0,(365/0.5)*V3361,(365/S3361)*V3361))</f>
        <v/>
      </c>
      <c r="X3361" s="75" t="n"/>
      <c r="Y3361" s="77" t="n"/>
      <c r="Z3361" s="77" t="n"/>
      <c r="AA3361" s="75" t="n"/>
      <c r="AB3361" s="75" t="n"/>
      <c r="AC3361" s="6" t="n"/>
      <c r="AD3361" s="75" t="n"/>
      <c r="AE3361" s="75" t="n"/>
      <c r="AF3361" s="75" t="n"/>
    </row>
    <row r="3362" ht="15.75" customHeight="1" s="133">
      <c r="A3362" s="75" t="n"/>
      <c r="B3362" s="75" t="n"/>
      <c r="C3362" s="75" t="n"/>
      <c r="D3362" s="75" t="n"/>
      <c r="E3362" s="76" t="n"/>
      <c r="F3362" s="77" t="n"/>
      <c r="G3362" s="75" t="n"/>
      <c r="H3362" s="75">
        <f>IF(ISBLANK(E3362),"",IF(OR(D3362="Butterfly",D3362="Butterfly ",D3362="Iron Fly", D3362="Iron Fly "),LEN(E3362)-LEN(SUBSTITUTE(E3362,"/",""))+2,LEN(E3362)-LEN(SUBSTITUTE(E3362,"/",""))+1))</f>
        <v/>
      </c>
      <c r="I3362" s="78">
        <f>IF(ISBLANK(G3362),"",IF(D3362="Stock","0",Key!$A$3*H3362*G3362))</f>
        <v/>
      </c>
      <c r="J3362" s="78">
        <f>IF(ISBLANK(E3362),"",IF(ISNUMBER(SEARCH("/",E3362)), IF(LEN(E3362)-LEN(SUBSTITUTE(E3362,"/",""))=1,(RIGHT(E3362,LEN(E3362)-FIND("/",E3362)))-(LEFT(E3362,FIND("/",E3362)-1)),(MID(E3362, SEARCH("/",E3362) + 1, SEARCH("/",E3362, SEARCH("/",E3362)+1) - SEARCH("/",E3362) - 1))-(LEFT(E3362,FIND("/",E3362)-1))), "NA"))</f>
        <v/>
      </c>
      <c r="K3362" s="79">
        <f>IF(A3362&lt;&gt;"", IF(ISBLANK(L3362), TODAY(), K3362), "")</f>
        <v/>
      </c>
      <c r="L3362" s="78" t="n"/>
      <c r="M3362" s="78">
        <f>IF(ISBLANK(L3362),"",IF(D3362="Stock",IF(C3362="Buy",L3362*G3362,IF(C3362="Sell",(L3362*G3362)-I3362, X)),IF(C3362="Buy",(L3362*G3362*100)+I3362,IF(C3362="Sell",(L3362*G3362*100)-I3362, X))))</f>
        <v/>
      </c>
      <c r="N3362" s="78">
        <f>IF(ISBLANK(L3362),"",IF(AND(C3362="Sell",D3362="Stock"),M3362,IF(ISBLANK(L3362),"",IF(C3362="Buy",M3362, IF(AND(C3362="Sell",J3362="NA"),(E3362*G3362*100*0.1)+I3362, IF(C3362="Sell",(J3362-L3362)*(100*G3362)+I3362))))))</f>
        <v/>
      </c>
      <c r="O3362" s="75" t="n"/>
      <c r="P3362" s="75" t="n"/>
      <c r="Q3362" s="75">
        <f>IF(ISBLANK(P3362),"",IF(D3362="Stock",P3362*G3362,IF(P3362=0,"0",G3362*P3362*100-(G3362*$AF$14))))</f>
        <v/>
      </c>
      <c r="R3362" s="79">
        <f>IF(P3362&lt;&gt;"", TODAY(), "")</f>
        <v/>
      </c>
      <c r="S3362" s="78">
        <f>IF(AND(K3362&lt;&gt;"", R3362&lt;&gt;""), R3362-K3362, "")</f>
        <v/>
      </c>
      <c r="T3362" s="78" t="n"/>
      <c r="U3362" s="92">
        <f>IF(ISBLANK(P3362),"",IF(C3362="Buy",Q3362-M3362+T3362, IF(C3362="Sell",M3362-Q3362-T3362, X)))</f>
        <v/>
      </c>
      <c r="V3362" s="81">
        <f>IF(ISBLANK(P3362),"",U3362/N3362)</f>
        <v/>
      </c>
      <c r="W3362" s="81">
        <f>IF(ISBLANK(P3362),"",IF(S3362=0,(365/0.5)*V3362,(365/S3362)*V3362))</f>
        <v/>
      </c>
      <c r="X3362" s="75" t="n"/>
      <c r="Y3362" s="77" t="n"/>
      <c r="Z3362" s="77" t="n"/>
      <c r="AA3362" s="75" t="n"/>
      <c r="AB3362" s="75" t="n"/>
      <c r="AC3362" s="6" t="n"/>
      <c r="AD3362" s="75" t="n"/>
      <c r="AE3362" s="75" t="n"/>
      <c r="AF3362" s="75" t="n"/>
    </row>
    <row r="3363" ht="15.75" customHeight="1" s="133">
      <c r="A3363" s="75" t="n"/>
      <c r="B3363" s="75" t="n"/>
      <c r="C3363" s="75" t="n"/>
      <c r="D3363" s="75" t="n"/>
      <c r="E3363" s="76" t="n"/>
      <c r="F3363" s="77" t="n"/>
      <c r="G3363" s="75" t="n"/>
      <c r="H3363" s="75">
        <f>IF(ISBLANK(E3363),"",IF(OR(D3363="Butterfly",D3363="Butterfly ",D3363="Iron Fly", D3363="Iron Fly "),LEN(E3363)-LEN(SUBSTITUTE(E3363,"/",""))+2,LEN(E3363)-LEN(SUBSTITUTE(E3363,"/",""))+1))</f>
        <v/>
      </c>
      <c r="I3363" s="78">
        <f>IF(ISBLANK(G3363),"",IF(D3363="Stock","0",Key!$A$3*H3363*G3363))</f>
        <v/>
      </c>
      <c r="J3363" s="78">
        <f>IF(ISBLANK(E3363),"",IF(ISNUMBER(SEARCH("/",E3363)), IF(LEN(E3363)-LEN(SUBSTITUTE(E3363,"/",""))=1,(RIGHT(E3363,LEN(E3363)-FIND("/",E3363)))-(LEFT(E3363,FIND("/",E3363)-1)),(MID(E3363, SEARCH("/",E3363) + 1, SEARCH("/",E3363, SEARCH("/",E3363)+1) - SEARCH("/",E3363) - 1))-(LEFT(E3363,FIND("/",E3363)-1))), "NA"))</f>
        <v/>
      </c>
      <c r="K3363" s="79">
        <f>IF(A3363&lt;&gt;"", IF(ISBLANK(L3363), TODAY(), K3363), "")</f>
        <v/>
      </c>
      <c r="L3363" s="78" t="n"/>
      <c r="M3363" s="78">
        <f>IF(ISBLANK(L3363),"",IF(D3363="Stock",IF(C3363="Buy",L3363*G3363,IF(C3363="Sell",(L3363*G3363)-I3363, X)),IF(C3363="Buy",(L3363*G3363*100)+I3363,IF(C3363="Sell",(L3363*G3363*100)-I3363, X))))</f>
        <v/>
      </c>
      <c r="N3363" s="78">
        <f>IF(ISBLANK(L3363),"",IF(AND(C3363="Sell",D3363="Stock"),M3363,IF(ISBLANK(L3363),"",IF(C3363="Buy",M3363, IF(AND(C3363="Sell",J3363="NA"),(E3363*G3363*100*0.1)+I3363, IF(C3363="Sell",(J3363-L3363)*(100*G3363)+I3363))))))</f>
        <v/>
      </c>
      <c r="O3363" s="75" t="n"/>
      <c r="P3363" s="75" t="n"/>
      <c r="Q3363" s="75">
        <f>IF(ISBLANK(P3363),"",IF(D3363="Stock",P3363*G3363,IF(P3363=0,"0",G3363*P3363*100-(G3363*$AF$14))))</f>
        <v/>
      </c>
      <c r="R3363" s="79">
        <f>IF(P3363&lt;&gt;"", TODAY(), "")</f>
        <v/>
      </c>
      <c r="S3363" s="78">
        <f>IF(AND(K3363&lt;&gt;"", R3363&lt;&gt;""), R3363-K3363, "")</f>
        <v/>
      </c>
      <c r="T3363" s="78" t="n"/>
      <c r="U3363" s="92">
        <f>IF(ISBLANK(P3363),"",IF(C3363="Buy",Q3363-M3363+T3363, IF(C3363="Sell",M3363-Q3363-T3363, X)))</f>
        <v/>
      </c>
      <c r="V3363" s="81">
        <f>IF(ISBLANK(P3363),"",U3363/N3363)</f>
        <v/>
      </c>
      <c r="W3363" s="81">
        <f>IF(ISBLANK(P3363),"",IF(S3363=0,(365/0.5)*V3363,(365/S3363)*V3363))</f>
        <v/>
      </c>
      <c r="X3363" s="75" t="n"/>
      <c r="Y3363" s="77" t="n"/>
      <c r="Z3363" s="77" t="n"/>
      <c r="AA3363" s="75" t="n"/>
      <c r="AB3363" s="75" t="n"/>
      <c r="AC3363" s="6" t="n"/>
      <c r="AD3363" s="75" t="n"/>
      <c r="AE3363" s="75" t="n"/>
      <c r="AF3363" s="75" t="n"/>
    </row>
    <row r="3364" ht="15.75" customHeight="1" s="133">
      <c r="A3364" s="75" t="n"/>
      <c r="B3364" s="75" t="n"/>
      <c r="C3364" s="75" t="n"/>
      <c r="D3364" s="75" t="n"/>
      <c r="E3364" s="76" t="n"/>
      <c r="F3364" s="77" t="n"/>
      <c r="G3364" s="75" t="n"/>
      <c r="H3364" s="75">
        <f>IF(ISBLANK(E3364),"",IF(OR(D3364="Butterfly",D3364="Butterfly ",D3364="Iron Fly", D3364="Iron Fly "),LEN(E3364)-LEN(SUBSTITUTE(E3364,"/",""))+2,LEN(E3364)-LEN(SUBSTITUTE(E3364,"/",""))+1))</f>
        <v/>
      </c>
      <c r="I3364" s="78">
        <f>IF(ISBLANK(G3364),"",IF(D3364="Stock","0",Key!$A$3*H3364*G3364))</f>
        <v/>
      </c>
      <c r="J3364" s="78">
        <f>IF(ISBLANK(E3364),"",IF(ISNUMBER(SEARCH("/",E3364)), IF(LEN(E3364)-LEN(SUBSTITUTE(E3364,"/",""))=1,(RIGHT(E3364,LEN(E3364)-FIND("/",E3364)))-(LEFT(E3364,FIND("/",E3364)-1)),(MID(E3364, SEARCH("/",E3364) + 1, SEARCH("/",E3364, SEARCH("/",E3364)+1) - SEARCH("/",E3364) - 1))-(LEFT(E3364,FIND("/",E3364)-1))), "NA"))</f>
        <v/>
      </c>
      <c r="K3364" s="79">
        <f>IF(A3364&lt;&gt;"", IF(ISBLANK(L3364), TODAY(), K3364), "")</f>
        <v/>
      </c>
      <c r="L3364" s="78" t="n"/>
      <c r="M3364" s="78">
        <f>IF(ISBLANK(L3364),"",IF(D3364="Stock",IF(C3364="Buy",L3364*G3364,IF(C3364="Sell",(L3364*G3364)-I3364, X)),IF(C3364="Buy",(L3364*G3364*100)+I3364,IF(C3364="Sell",(L3364*G3364*100)-I3364, X))))</f>
        <v/>
      </c>
      <c r="N3364" s="78">
        <f>IF(ISBLANK(L3364),"",IF(AND(C3364="Sell",D3364="Stock"),M3364,IF(ISBLANK(L3364),"",IF(C3364="Buy",M3364, IF(AND(C3364="Sell",J3364="NA"),(E3364*G3364*100*0.1)+I3364, IF(C3364="Sell",(J3364-L3364)*(100*G3364)+I3364))))))</f>
        <v/>
      </c>
      <c r="O3364" s="75" t="n"/>
      <c r="P3364" s="75" t="n"/>
      <c r="Q3364" s="75">
        <f>IF(ISBLANK(P3364),"",IF(D3364="Stock",P3364*G3364,IF(P3364=0,"0",G3364*P3364*100-(G3364*$AF$14))))</f>
        <v/>
      </c>
      <c r="R3364" s="79">
        <f>IF(P3364&lt;&gt;"", TODAY(), "")</f>
        <v/>
      </c>
      <c r="S3364" s="78">
        <f>IF(AND(K3364&lt;&gt;"", R3364&lt;&gt;""), R3364-K3364, "")</f>
        <v/>
      </c>
      <c r="T3364" s="78" t="n"/>
      <c r="U3364" s="92">
        <f>IF(ISBLANK(P3364),"",IF(C3364="Buy",Q3364-M3364+T3364, IF(C3364="Sell",M3364-Q3364-T3364, X)))</f>
        <v/>
      </c>
      <c r="V3364" s="81">
        <f>IF(ISBLANK(P3364),"",U3364/N3364)</f>
        <v/>
      </c>
      <c r="W3364" s="81">
        <f>IF(ISBLANK(P3364),"",IF(S3364=0,(365/0.5)*V3364,(365/S3364)*V3364))</f>
        <v/>
      </c>
      <c r="X3364" s="75" t="n"/>
      <c r="Y3364" s="77" t="n"/>
      <c r="Z3364" s="77" t="n"/>
      <c r="AA3364" s="75" t="n"/>
      <c r="AB3364" s="75" t="n"/>
      <c r="AC3364" s="6" t="n"/>
      <c r="AD3364" s="75" t="n"/>
      <c r="AE3364" s="75" t="n"/>
      <c r="AF3364" s="75" t="n"/>
    </row>
    <row r="3365" ht="15.75" customHeight="1" s="133">
      <c r="A3365" s="75" t="n"/>
      <c r="B3365" s="75" t="n"/>
      <c r="C3365" s="75" t="n"/>
      <c r="D3365" s="75" t="n"/>
      <c r="E3365" s="76" t="n"/>
      <c r="F3365" s="77" t="n"/>
      <c r="G3365" s="75" t="n"/>
      <c r="H3365" s="75">
        <f>IF(ISBLANK(E3365),"",IF(OR(D3365="Butterfly",D3365="Butterfly ",D3365="Iron Fly", D3365="Iron Fly "),LEN(E3365)-LEN(SUBSTITUTE(E3365,"/",""))+2,LEN(E3365)-LEN(SUBSTITUTE(E3365,"/",""))+1))</f>
        <v/>
      </c>
      <c r="I3365" s="78">
        <f>IF(ISBLANK(G3365),"",IF(D3365="Stock","0",Key!$A$3*H3365*G3365))</f>
        <v/>
      </c>
      <c r="J3365" s="78">
        <f>IF(ISBLANK(E3365),"",IF(ISNUMBER(SEARCH("/",E3365)), IF(LEN(E3365)-LEN(SUBSTITUTE(E3365,"/",""))=1,(RIGHT(E3365,LEN(E3365)-FIND("/",E3365)))-(LEFT(E3365,FIND("/",E3365)-1)),(MID(E3365, SEARCH("/",E3365) + 1, SEARCH("/",E3365, SEARCH("/",E3365)+1) - SEARCH("/",E3365) - 1))-(LEFT(E3365,FIND("/",E3365)-1))), "NA"))</f>
        <v/>
      </c>
      <c r="K3365" s="79">
        <f>IF(A3365&lt;&gt;"", IF(ISBLANK(L3365), TODAY(), K3365), "")</f>
        <v/>
      </c>
      <c r="L3365" s="78" t="n"/>
      <c r="M3365" s="78">
        <f>IF(ISBLANK(L3365),"",IF(D3365="Stock",IF(C3365="Buy",L3365*G3365,IF(C3365="Sell",(L3365*G3365)-I3365, X)),IF(C3365="Buy",(L3365*G3365*100)+I3365,IF(C3365="Sell",(L3365*G3365*100)-I3365, X))))</f>
        <v/>
      </c>
      <c r="N3365" s="78">
        <f>IF(ISBLANK(L3365),"",IF(AND(C3365="Sell",D3365="Stock"),M3365,IF(ISBLANK(L3365),"",IF(C3365="Buy",M3365, IF(AND(C3365="Sell",J3365="NA"),(E3365*G3365*100*0.1)+I3365, IF(C3365="Sell",(J3365-L3365)*(100*G3365)+I3365))))))</f>
        <v/>
      </c>
      <c r="O3365" s="75" t="n"/>
      <c r="P3365" s="75" t="n"/>
      <c r="Q3365" s="75">
        <f>IF(ISBLANK(P3365),"",IF(D3365="Stock",P3365*G3365,IF(P3365=0,"0",G3365*P3365*100-(G3365*$AF$14))))</f>
        <v/>
      </c>
      <c r="R3365" s="79">
        <f>IF(P3365&lt;&gt;"", TODAY(), "")</f>
        <v/>
      </c>
      <c r="S3365" s="78">
        <f>IF(AND(K3365&lt;&gt;"", R3365&lt;&gt;""), R3365-K3365, "")</f>
        <v/>
      </c>
      <c r="T3365" s="78" t="n"/>
      <c r="U3365" s="92">
        <f>IF(ISBLANK(P3365),"",IF(C3365="Buy",Q3365-M3365+T3365, IF(C3365="Sell",M3365-Q3365-T3365, X)))</f>
        <v/>
      </c>
      <c r="V3365" s="81">
        <f>IF(ISBLANK(P3365),"",U3365/N3365)</f>
        <v/>
      </c>
      <c r="W3365" s="81">
        <f>IF(ISBLANK(P3365),"",IF(S3365=0,(365/0.5)*V3365,(365/S3365)*V3365))</f>
        <v/>
      </c>
      <c r="X3365" s="75" t="n"/>
      <c r="Y3365" s="77" t="n"/>
      <c r="Z3365" s="77" t="n"/>
      <c r="AA3365" s="75" t="n"/>
      <c r="AB3365" s="75" t="n"/>
      <c r="AC3365" s="6" t="n"/>
      <c r="AD3365" s="75" t="n"/>
      <c r="AE3365" s="75" t="n"/>
      <c r="AF3365" s="75" t="n"/>
    </row>
    <row r="3366" ht="15.75" customHeight="1" s="133">
      <c r="A3366" s="75" t="n"/>
      <c r="B3366" s="75" t="n"/>
      <c r="C3366" s="75" t="n"/>
      <c r="D3366" s="75" t="n"/>
      <c r="E3366" s="76" t="n"/>
      <c r="F3366" s="77" t="n"/>
      <c r="G3366" s="75" t="n"/>
      <c r="H3366" s="75">
        <f>IF(ISBLANK(E3366),"",IF(OR(D3366="Butterfly",D3366="Butterfly ",D3366="Iron Fly", D3366="Iron Fly "),LEN(E3366)-LEN(SUBSTITUTE(E3366,"/",""))+2,LEN(E3366)-LEN(SUBSTITUTE(E3366,"/",""))+1))</f>
        <v/>
      </c>
      <c r="I3366" s="78">
        <f>IF(ISBLANK(G3366),"",IF(D3366="Stock","0",Key!$A$3*H3366*G3366))</f>
        <v/>
      </c>
      <c r="J3366" s="78">
        <f>IF(ISBLANK(E3366),"",IF(ISNUMBER(SEARCH("/",E3366)), IF(LEN(E3366)-LEN(SUBSTITUTE(E3366,"/",""))=1,(RIGHT(E3366,LEN(E3366)-FIND("/",E3366)))-(LEFT(E3366,FIND("/",E3366)-1)),(MID(E3366, SEARCH("/",E3366) + 1, SEARCH("/",E3366, SEARCH("/",E3366)+1) - SEARCH("/",E3366) - 1))-(LEFT(E3366,FIND("/",E3366)-1))), "NA"))</f>
        <v/>
      </c>
      <c r="K3366" s="79">
        <f>IF(A3366&lt;&gt;"", IF(ISBLANK(L3366), TODAY(), K3366), "")</f>
        <v/>
      </c>
      <c r="L3366" s="78" t="n"/>
      <c r="M3366" s="78">
        <f>IF(ISBLANK(L3366),"",IF(D3366="Stock",IF(C3366="Buy",L3366*G3366,IF(C3366="Sell",(L3366*G3366)-I3366, X)),IF(C3366="Buy",(L3366*G3366*100)+I3366,IF(C3366="Sell",(L3366*G3366*100)-I3366, X))))</f>
        <v/>
      </c>
      <c r="N3366" s="78">
        <f>IF(ISBLANK(L3366),"",IF(AND(C3366="Sell",D3366="Stock"),M3366,IF(ISBLANK(L3366),"",IF(C3366="Buy",M3366, IF(AND(C3366="Sell",J3366="NA"),(E3366*G3366*100*0.1)+I3366, IF(C3366="Sell",(J3366-L3366)*(100*G3366)+I3366))))))</f>
        <v/>
      </c>
      <c r="O3366" s="75" t="n"/>
      <c r="P3366" s="75" t="n"/>
      <c r="Q3366" s="75">
        <f>IF(ISBLANK(P3366),"",IF(D3366="Stock",P3366*G3366,IF(P3366=0,"0",G3366*P3366*100-(G3366*$AF$14))))</f>
        <v/>
      </c>
      <c r="R3366" s="79">
        <f>IF(P3366&lt;&gt;"", TODAY(), "")</f>
        <v/>
      </c>
      <c r="S3366" s="78">
        <f>IF(AND(K3366&lt;&gt;"", R3366&lt;&gt;""), R3366-K3366, "")</f>
        <v/>
      </c>
      <c r="T3366" s="78" t="n"/>
      <c r="U3366" s="92">
        <f>IF(ISBLANK(P3366),"",IF(C3366="Buy",Q3366-M3366+T3366, IF(C3366="Sell",M3366-Q3366-T3366, X)))</f>
        <v/>
      </c>
      <c r="V3366" s="81">
        <f>IF(ISBLANK(P3366),"",U3366/N3366)</f>
        <v/>
      </c>
      <c r="W3366" s="81">
        <f>IF(ISBLANK(P3366),"",IF(S3366=0,(365/0.5)*V3366,(365/S3366)*V3366))</f>
        <v/>
      </c>
      <c r="X3366" s="75" t="n"/>
      <c r="Y3366" s="77" t="n"/>
      <c r="Z3366" s="77" t="n"/>
      <c r="AA3366" s="75" t="n"/>
      <c r="AB3366" s="75" t="n"/>
      <c r="AC3366" s="6" t="n"/>
      <c r="AD3366" s="75" t="n"/>
      <c r="AE3366" s="75" t="n"/>
      <c r="AF3366" s="75" t="n"/>
    </row>
    <row r="3367" ht="15.75" customHeight="1" s="133">
      <c r="A3367" s="75" t="n"/>
      <c r="B3367" s="75" t="n"/>
      <c r="C3367" s="75" t="n"/>
      <c r="D3367" s="75" t="n"/>
      <c r="E3367" s="76" t="n"/>
      <c r="F3367" s="77" t="n"/>
      <c r="G3367" s="75" t="n"/>
      <c r="H3367" s="75">
        <f>IF(ISBLANK(E3367),"",IF(OR(D3367="Butterfly",D3367="Butterfly ",D3367="Iron Fly", D3367="Iron Fly "),LEN(E3367)-LEN(SUBSTITUTE(E3367,"/",""))+2,LEN(E3367)-LEN(SUBSTITUTE(E3367,"/",""))+1))</f>
        <v/>
      </c>
      <c r="I3367" s="78">
        <f>IF(ISBLANK(G3367),"",IF(D3367="Stock","0",Key!$A$3*H3367*G3367))</f>
        <v/>
      </c>
      <c r="J3367" s="78">
        <f>IF(ISBLANK(E3367),"",IF(ISNUMBER(SEARCH("/",E3367)), IF(LEN(E3367)-LEN(SUBSTITUTE(E3367,"/",""))=1,(RIGHT(E3367,LEN(E3367)-FIND("/",E3367)))-(LEFT(E3367,FIND("/",E3367)-1)),(MID(E3367, SEARCH("/",E3367) + 1, SEARCH("/",E3367, SEARCH("/",E3367)+1) - SEARCH("/",E3367) - 1))-(LEFT(E3367,FIND("/",E3367)-1))), "NA"))</f>
        <v/>
      </c>
      <c r="K3367" s="79">
        <f>IF(A3367&lt;&gt;"", IF(ISBLANK(L3367), TODAY(), K3367), "")</f>
        <v/>
      </c>
      <c r="L3367" s="78" t="n"/>
      <c r="M3367" s="78">
        <f>IF(ISBLANK(L3367),"",IF(D3367="Stock",IF(C3367="Buy",L3367*G3367,IF(C3367="Sell",(L3367*G3367)-I3367, X)),IF(C3367="Buy",(L3367*G3367*100)+I3367,IF(C3367="Sell",(L3367*G3367*100)-I3367, X))))</f>
        <v/>
      </c>
      <c r="N3367" s="78">
        <f>IF(ISBLANK(L3367),"",IF(AND(C3367="Sell",D3367="Stock"),M3367,IF(ISBLANK(L3367),"",IF(C3367="Buy",M3367, IF(AND(C3367="Sell",J3367="NA"),(E3367*G3367*100*0.1)+I3367, IF(C3367="Sell",(J3367-L3367)*(100*G3367)+I3367))))))</f>
        <v/>
      </c>
      <c r="O3367" s="75" t="n"/>
      <c r="P3367" s="75" t="n"/>
      <c r="Q3367" s="75">
        <f>IF(ISBLANK(P3367),"",IF(D3367="Stock",P3367*G3367,IF(P3367=0,"0",G3367*P3367*100-(G3367*$AF$14))))</f>
        <v/>
      </c>
      <c r="R3367" s="79">
        <f>IF(P3367&lt;&gt;"", TODAY(), "")</f>
        <v/>
      </c>
      <c r="S3367" s="78">
        <f>IF(AND(K3367&lt;&gt;"", R3367&lt;&gt;""), R3367-K3367, "")</f>
        <v/>
      </c>
      <c r="T3367" s="78" t="n"/>
      <c r="U3367" s="92">
        <f>IF(ISBLANK(P3367),"",IF(C3367="Buy",Q3367-M3367+T3367, IF(C3367="Sell",M3367-Q3367-T3367, X)))</f>
        <v/>
      </c>
      <c r="V3367" s="81">
        <f>IF(ISBLANK(P3367),"",U3367/N3367)</f>
        <v/>
      </c>
      <c r="W3367" s="81">
        <f>IF(ISBLANK(P3367),"",IF(S3367=0,(365/0.5)*V3367,(365/S3367)*V3367))</f>
        <v/>
      </c>
      <c r="X3367" s="75" t="n"/>
      <c r="Y3367" s="77" t="n"/>
      <c r="Z3367" s="77" t="n"/>
      <c r="AA3367" s="75" t="n"/>
      <c r="AB3367" s="75" t="n"/>
      <c r="AC3367" s="6" t="n"/>
      <c r="AD3367" s="75" t="n"/>
      <c r="AE3367" s="75" t="n"/>
      <c r="AF3367" s="75" t="n"/>
    </row>
    <row r="3368" ht="15.75" customHeight="1" s="133">
      <c r="A3368" s="75" t="n"/>
      <c r="B3368" s="75" t="n"/>
      <c r="C3368" s="75" t="n"/>
      <c r="D3368" s="75" t="n"/>
      <c r="E3368" s="76" t="n"/>
      <c r="F3368" s="77" t="n"/>
      <c r="G3368" s="75" t="n"/>
      <c r="H3368" s="75">
        <f>IF(ISBLANK(E3368),"",IF(OR(D3368="Butterfly",D3368="Butterfly ",D3368="Iron Fly", D3368="Iron Fly "),LEN(E3368)-LEN(SUBSTITUTE(E3368,"/",""))+2,LEN(E3368)-LEN(SUBSTITUTE(E3368,"/",""))+1))</f>
        <v/>
      </c>
      <c r="I3368" s="78">
        <f>IF(ISBLANK(G3368),"",IF(D3368="Stock","0",Key!$A$3*H3368*G3368))</f>
        <v/>
      </c>
      <c r="J3368" s="78">
        <f>IF(ISBLANK(E3368),"",IF(ISNUMBER(SEARCH("/",E3368)), IF(LEN(E3368)-LEN(SUBSTITUTE(E3368,"/",""))=1,(RIGHT(E3368,LEN(E3368)-FIND("/",E3368)))-(LEFT(E3368,FIND("/",E3368)-1)),(MID(E3368, SEARCH("/",E3368) + 1, SEARCH("/",E3368, SEARCH("/",E3368)+1) - SEARCH("/",E3368) - 1))-(LEFT(E3368,FIND("/",E3368)-1))), "NA"))</f>
        <v/>
      </c>
      <c r="K3368" s="79">
        <f>IF(A3368&lt;&gt;"", IF(ISBLANK(L3368), TODAY(), K3368), "")</f>
        <v/>
      </c>
      <c r="L3368" s="78" t="n"/>
      <c r="M3368" s="78">
        <f>IF(ISBLANK(L3368),"",IF(D3368="Stock",IF(C3368="Buy",L3368*G3368,IF(C3368="Sell",(L3368*G3368)-I3368, X)),IF(C3368="Buy",(L3368*G3368*100)+I3368,IF(C3368="Sell",(L3368*G3368*100)-I3368, X))))</f>
        <v/>
      </c>
      <c r="N3368" s="78">
        <f>IF(ISBLANK(L3368),"",IF(AND(C3368="Sell",D3368="Stock"),M3368,IF(ISBLANK(L3368),"",IF(C3368="Buy",M3368, IF(AND(C3368="Sell",J3368="NA"),(E3368*G3368*100*0.1)+I3368, IF(C3368="Sell",(J3368-L3368)*(100*G3368)+I3368))))))</f>
        <v/>
      </c>
      <c r="O3368" s="75" t="n"/>
      <c r="P3368" s="75" t="n"/>
      <c r="Q3368" s="75">
        <f>IF(ISBLANK(P3368),"",IF(D3368="Stock",P3368*G3368,IF(P3368=0,"0",G3368*P3368*100-(G3368*$AF$14))))</f>
        <v/>
      </c>
      <c r="R3368" s="79">
        <f>IF(P3368&lt;&gt;"", TODAY(), "")</f>
        <v/>
      </c>
      <c r="S3368" s="78">
        <f>IF(AND(K3368&lt;&gt;"", R3368&lt;&gt;""), R3368-K3368, "")</f>
        <v/>
      </c>
      <c r="T3368" s="78" t="n"/>
      <c r="U3368" s="92">
        <f>IF(ISBLANK(P3368),"",IF(C3368="Buy",Q3368-M3368+T3368, IF(C3368="Sell",M3368-Q3368-T3368, X)))</f>
        <v/>
      </c>
      <c r="V3368" s="81">
        <f>IF(ISBLANK(P3368),"",U3368/N3368)</f>
        <v/>
      </c>
      <c r="W3368" s="81">
        <f>IF(ISBLANK(P3368),"",IF(S3368=0,(365/0.5)*V3368,(365/S3368)*V3368))</f>
        <v/>
      </c>
      <c r="X3368" s="75" t="n"/>
      <c r="Y3368" s="77" t="n"/>
      <c r="Z3368" s="77" t="n"/>
      <c r="AA3368" s="75" t="n"/>
      <c r="AB3368" s="75" t="n"/>
      <c r="AC3368" s="6" t="n"/>
      <c r="AD3368" s="75" t="n"/>
      <c r="AE3368" s="75" t="n"/>
      <c r="AF3368" s="75" t="n"/>
    </row>
    <row r="3369" ht="15.75" customHeight="1" s="133">
      <c r="A3369" s="75" t="n"/>
      <c r="B3369" s="75" t="n"/>
      <c r="C3369" s="75" t="n"/>
      <c r="D3369" s="75" t="n"/>
      <c r="E3369" s="76" t="n"/>
      <c r="F3369" s="77" t="n"/>
      <c r="G3369" s="75" t="n"/>
      <c r="H3369" s="75">
        <f>IF(ISBLANK(E3369),"",IF(OR(D3369="Butterfly",D3369="Butterfly ",D3369="Iron Fly", D3369="Iron Fly "),LEN(E3369)-LEN(SUBSTITUTE(E3369,"/",""))+2,LEN(E3369)-LEN(SUBSTITUTE(E3369,"/",""))+1))</f>
        <v/>
      </c>
      <c r="I3369" s="78">
        <f>IF(ISBLANK(G3369),"",IF(D3369="Stock","0",Key!$A$3*H3369*G3369))</f>
        <v/>
      </c>
      <c r="J3369" s="78">
        <f>IF(ISBLANK(E3369),"",IF(ISNUMBER(SEARCH("/",E3369)), IF(LEN(E3369)-LEN(SUBSTITUTE(E3369,"/",""))=1,(RIGHT(E3369,LEN(E3369)-FIND("/",E3369)))-(LEFT(E3369,FIND("/",E3369)-1)),(MID(E3369, SEARCH("/",E3369) + 1, SEARCH("/",E3369, SEARCH("/",E3369)+1) - SEARCH("/",E3369) - 1))-(LEFT(E3369,FIND("/",E3369)-1))), "NA"))</f>
        <v/>
      </c>
      <c r="K3369" s="79">
        <f>IF(A3369&lt;&gt;"", IF(ISBLANK(L3369), TODAY(), K3369), "")</f>
        <v/>
      </c>
      <c r="L3369" s="78" t="n"/>
      <c r="M3369" s="78">
        <f>IF(ISBLANK(L3369),"",IF(D3369="Stock",IF(C3369="Buy",L3369*G3369,IF(C3369="Sell",(L3369*G3369)-I3369, X)),IF(C3369="Buy",(L3369*G3369*100)+I3369,IF(C3369="Sell",(L3369*G3369*100)-I3369, X))))</f>
        <v/>
      </c>
      <c r="N3369" s="78">
        <f>IF(ISBLANK(L3369),"",IF(AND(C3369="Sell",D3369="Stock"),M3369,IF(ISBLANK(L3369),"",IF(C3369="Buy",M3369, IF(AND(C3369="Sell",J3369="NA"),(E3369*G3369*100*0.1)+I3369, IF(C3369="Sell",(J3369-L3369)*(100*G3369)+I3369))))))</f>
        <v/>
      </c>
      <c r="O3369" s="75" t="n"/>
      <c r="P3369" s="75" t="n"/>
      <c r="Q3369" s="75">
        <f>IF(ISBLANK(P3369),"",IF(D3369="Stock",P3369*G3369,IF(P3369=0,"0",G3369*P3369*100-(G3369*$AF$14))))</f>
        <v/>
      </c>
      <c r="R3369" s="79">
        <f>IF(P3369&lt;&gt;"", TODAY(), "")</f>
        <v/>
      </c>
      <c r="S3369" s="78">
        <f>IF(AND(K3369&lt;&gt;"", R3369&lt;&gt;""), R3369-K3369, "")</f>
        <v/>
      </c>
      <c r="T3369" s="78" t="n"/>
      <c r="U3369" s="92">
        <f>IF(ISBLANK(P3369),"",IF(C3369="Buy",Q3369-M3369+T3369, IF(C3369="Sell",M3369-Q3369-T3369, X)))</f>
        <v/>
      </c>
      <c r="V3369" s="81">
        <f>IF(ISBLANK(P3369),"",U3369/N3369)</f>
        <v/>
      </c>
      <c r="W3369" s="81">
        <f>IF(ISBLANK(P3369),"",IF(S3369=0,(365/0.5)*V3369,(365/S3369)*V3369))</f>
        <v/>
      </c>
      <c r="X3369" s="75" t="n"/>
      <c r="Y3369" s="77" t="n"/>
      <c r="Z3369" s="77" t="n"/>
      <c r="AA3369" s="75" t="n"/>
      <c r="AB3369" s="75" t="n"/>
      <c r="AC3369" s="6" t="n"/>
      <c r="AD3369" s="75" t="n"/>
      <c r="AE3369" s="75" t="n"/>
      <c r="AF3369" s="75" t="n"/>
    </row>
    <row r="3370" ht="15.75" customHeight="1" s="133">
      <c r="A3370" s="75" t="n"/>
      <c r="B3370" s="75" t="n"/>
      <c r="C3370" s="75" t="n"/>
      <c r="D3370" s="75" t="n"/>
      <c r="E3370" s="76" t="n"/>
      <c r="F3370" s="77" t="n"/>
      <c r="G3370" s="75" t="n"/>
      <c r="H3370" s="75">
        <f>IF(ISBLANK(E3370),"",IF(OR(D3370="Butterfly",D3370="Butterfly ",D3370="Iron Fly", D3370="Iron Fly "),LEN(E3370)-LEN(SUBSTITUTE(E3370,"/",""))+2,LEN(E3370)-LEN(SUBSTITUTE(E3370,"/",""))+1))</f>
        <v/>
      </c>
      <c r="I3370" s="78">
        <f>IF(ISBLANK(G3370),"",IF(D3370="Stock","0",Key!$A$3*H3370*G3370))</f>
        <v/>
      </c>
      <c r="J3370" s="78">
        <f>IF(ISBLANK(E3370),"",IF(ISNUMBER(SEARCH("/",E3370)), IF(LEN(E3370)-LEN(SUBSTITUTE(E3370,"/",""))=1,(RIGHT(E3370,LEN(E3370)-FIND("/",E3370)))-(LEFT(E3370,FIND("/",E3370)-1)),(MID(E3370, SEARCH("/",E3370) + 1, SEARCH("/",E3370, SEARCH("/",E3370)+1) - SEARCH("/",E3370) - 1))-(LEFT(E3370,FIND("/",E3370)-1))), "NA"))</f>
        <v/>
      </c>
      <c r="K3370" s="79">
        <f>IF(A3370&lt;&gt;"", IF(ISBLANK(L3370), TODAY(), K3370), "")</f>
        <v/>
      </c>
      <c r="L3370" s="78" t="n"/>
      <c r="M3370" s="78">
        <f>IF(ISBLANK(L3370),"",IF(D3370="Stock",IF(C3370="Buy",L3370*G3370,IF(C3370="Sell",(L3370*G3370)-I3370, X)),IF(C3370="Buy",(L3370*G3370*100)+I3370,IF(C3370="Sell",(L3370*G3370*100)-I3370, X))))</f>
        <v/>
      </c>
      <c r="N3370" s="78">
        <f>IF(ISBLANK(L3370),"",IF(AND(C3370="Sell",D3370="Stock"),M3370,IF(ISBLANK(L3370),"",IF(C3370="Buy",M3370, IF(AND(C3370="Sell",J3370="NA"),(E3370*G3370*100*0.1)+I3370, IF(C3370="Sell",(J3370-L3370)*(100*G3370)+I3370))))))</f>
        <v/>
      </c>
      <c r="O3370" s="75" t="n"/>
      <c r="P3370" s="75" t="n"/>
      <c r="Q3370" s="75">
        <f>IF(ISBLANK(P3370),"",IF(D3370="Stock",P3370*G3370,IF(P3370=0,"0",G3370*P3370*100-(G3370*$AF$14))))</f>
        <v/>
      </c>
      <c r="R3370" s="79">
        <f>IF(P3370&lt;&gt;"", TODAY(), "")</f>
        <v/>
      </c>
      <c r="S3370" s="78">
        <f>IF(AND(K3370&lt;&gt;"", R3370&lt;&gt;""), R3370-K3370, "")</f>
        <v/>
      </c>
      <c r="T3370" s="78" t="n"/>
      <c r="U3370" s="92">
        <f>IF(ISBLANK(P3370),"",IF(C3370="Buy",Q3370-M3370+T3370, IF(C3370="Sell",M3370-Q3370-T3370, X)))</f>
        <v/>
      </c>
      <c r="V3370" s="81">
        <f>IF(ISBLANK(P3370),"",U3370/N3370)</f>
        <v/>
      </c>
      <c r="W3370" s="81">
        <f>IF(ISBLANK(P3370),"",IF(S3370=0,(365/0.5)*V3370,(365/S3370)*V3370))</f>
        <v/>
      </c>
      <c r="X3370" s="75" t="n"/>
      <c r="Y3370" s="77" t="n"/>
      <c r="Z3370" s="77" t="n"/>
      <c r="AA3370" s="75" t="n"/>
      <c r="AB3370" s="75" t="n"/>
      <c r="AC3370" s="6" t="n"/>
      <c r="AD3370" s="75" t="n"/>
      <c r="AE3370" s="75" t="n"/>
      <c r="AF3370" s="75" t="n"/>
    </row>
    <row r="3371" ht="15.75" customHeight="1" s="133">
      <c r="A3371" s="75" t="n"/>
      <c r="B3371" s="75" t="n"/>
      <c r="C3371" s="75" t="n"/>
      <c r="D3371" s="75" t="n"/>
      <c r="E3371" s="76" t="n"/>
      <c r="F3371" s="77" t="n"/>
      <c r="G3371" s="75" t="n"/>
      <c r="H3371" s="75">
        <f>IF(ISBLANK(E3371),"",IF(OR(D3371="Butterfly",D3371="Butterfly ",D3371="Iron Fly", D3371="Iron Fly "),LEN(E3371)-LEN(SUBSTITUTE(E3371,"/",""))+2,LEN(E3371)-LEN(SUBSTITUTE(E3371,"/",""))+1))</f>
        <v/>
      </c>
      <c r="I3371" s="78">
        <f>IF(ISBLANK(G3371),"",IF(D3371="Stock","0",Key!$A$3*H3371*G3371))</f>
        <v/>
      </c>
      <c r="J3371" s="78">
        <f>IF(ISBLANK(E3371),"",IF(ISNUMBER(SEARCH("/",E3371)), IF(LEN(E3371)-LEN(SUBSTITUTE(E3371,"/",""))=1,(RIGHT(E3371,LEN(E3371)-FIND("/",E3371)))-(LEFT(E3371,FIND("/",E3371)-1)),(MID(E3371, SEARCH("/",E3371) + 1, SEARCH("/",E3371, SEARCH("/",E3371)+1) - SEARCH("/",E3371) - 1))-(LEFT(E3371,FIND("/",E3371)-1))), "NA"))</f>
        <v/>
      </c>
      <c r="K3371" s="79">
        <f>IF(A3371&lt;&gt;"", IF(ISBLANK(L3371), TODAY(), K3371), "")</f>
        <v/>
      </c>
      <c r="L3371" s="78" t="n"/>
      <c r="M3371" s="78">
        <f>IF(ISBLANK(L3371),"",IF(D3371="Stock",IF(C3371="Buy",L3371*G3371,IF(C3371="Sell",(L3371*G3371)-I3371, X)),IF(C3371="Buy",(L3371*G3371*100)+I3371,IF(C3371="Sell",(L3371*G3371*100)-I3371, X))))</f>
        <v/>
      </c>
      <c r="N3371" s="78">
        <f>IF(ISBLANK(L3371),"",IF(AND(C3371="Sell",D3371="Stock"),M3371,IF(ISBLANK(L3371),"",IF(C3371="Buy",M3371, IF(AND(C3371="Sell",J3371="NA"),(E3371*G3371*100*0.1)+I3371, IF(C3371="Sell",(J3371-L3371)*(100*G3371)+I3371))))))</f>
        <v/>
      </c>
      <c r="O3371" s="75" t="n"/>
      <c r="P3371" s="75" t="n"/>
      <c r="Q3371" s="75">
        <f>IF(ISBLANK(P3371),"",IF(D3371="Stock",P3371*G3371,IF(P3371=0,"0",G3371*P3371*100-(G3371*$AF$14))))</f>
        <v/>
      </c>
      <c r="R3371" s="79">
        <f>IF(P3371&lt;&gt;"", TODAY(), "")</f>
        <v/>
      </c>
      <c r="S3371" s="78">
        <f>IF(AND(K3371&lt;&gt;"", R3371&lt;&gt;""), R3371-K3371, "")</f>
        <v/>
      </c>
      <c r="T3371" s="78" t="n"/>
      <c r="U3371" s="92">
        <f>IF(ISBLANK(P3371),"",IF(C3371="Buy",Q3371-M3371+T3371, IF(C3371="Sell",M3371-Q3371-T3371, X)))</f>
        <v/>
      </c>
      <c r="V3371" s="81">
        <f>IF(ISBLANK(P3371),"",U3371/N3371)</f>
        <v/>
      </c>
      <c r="W3371" s="81">
        <f>IF(ISBLANK(P3371),"",IF(S3371=0,(365/0.5)*V3371,(365/S3371)*V3371))</f>
        <v/>
      </c>
      <c r="X3371" s="75" t="n"/>
      <c r="Y3371" s="77" t="n"/>
      <c r="Z3371" s="77" t="n"/>
      <c r="AA3371" s="75" t="n"/>
      <c r="AB3371" s="75" t="n"/>
      <c r="AC3371" s="6" t="n"/>
      <c r="AD3371" s="75" t="n"/>
      <c r="AE3371" s="75" t="n"/>
      <c r="AF3371" s="75" t="n"/>
    </row>
    <row r="3372" ht="15.75" customHeight="1" s="133">
      <c r="A3372" s="75" t="n"/>
      <c r="B3372" s="75" t="n"/>
      <c r="C3372" s="75" t="n"/>
      <c r="D3372" s="75" t="n"/>
      <c r="E3372" s="76" t="n"/>
      <c r="F3372" s="77" t="n"/>
      <c r="G3372" s="75" t="n"/>
      <c r="H3372" s="75">
        <f>IF(ISBLANK(E3372),"",IF(OR(D3372="Butterfly",D3372="Butterfly ",D3372="Iron Fly", D3372="Iron Fly "),LEN(E3372)-LEN(SUBSTITUTE(E3372,"/",""))+2,LEN(E3372)-LEN(SUBSTITUTE(E3372,"/",""))+1))</f>
        <v/>
      </c>
      <c r="I3372" s="78">
        <f>IF(ISBLANK(G3372),"",IF(D3372="Stock","0",Key!$A$3*H3372*G3372))</f>
        <v/>
      </c>
      <c r="J3372" s="78">
        <f>IF(ISBLANK(E3372),"",IF(ISNUMBER(SEARCH("/",E3372)), IF(LEN(E3372)-LEN(SUBSTITUTE(E3372,"/",""))=1,(RIGHT(E3372,LEN(E3372)-FIND("/",E3372)))-(LEFT(E3372,FIND("/",E3372)-1)),(MID(E3372, SEARCH("/",E3372) + 1, SEARCH("/",E3372, SEARCH("/",E3372)+1) - SEARCH("/",E3372) - 1))-(LEFT(E3372,FIND("/",E3372)-1))), "NA"))</f>
        <v/>
      </c>
      <c r="K3372" s="79">
        <f>IF(A3372&lt;&gt;"", IF(ISBLANK(L3372), TODAY(), K3372), "")</f>
        <v/>
      </c>
      <c r="L3372" s="78" t="n"/>
      <c r="M3372" s="78">
        <f>IF(ISBLANK(L3372),"",IF(D3372="Stock",IF(C3372="Buy",L3372*G3372,IF(C3372="Sell",(L3372*G3372)-I3372, X)),IF(C3372="Buy",(L3372*G3372*100)+I3372,IF(C3372="Sell",(L3372*G3372*100)-I3372, X))))</f>
        <v/>
      </c>
      <c r="N3372" s="78">
        <f>IF(ISBLANK(L3372),"",IF(AND(C3372="Sell",D3372="Stock"),M3372,IF(ISBLANK(L3372),"",IF(C3372="Buy",M3372, IF(AND(C3372="Sell",J3372="NA"),(E3372*G3372*100*0.1)+I3372, IF(C3372="Sell",(J3372-L3372)*(100*G3372)+I3372))))))</f>
        <v/>
      </c>
      <c r="O3372" s="75" t="n"/>
      <c r="P3372" s="75" t="n"/>
      <c r="Q3372" s="75">
        <f>IF(ISBLANK(P3372),"",IF(D3372="Stock",P3372*G3372,IF(P3372=0,"0",G3372*P3372*100-(G3372*$AF$14))))</f>
        <v/>
      </c>
      <c r="R3372" s="79">
        <f>IF(P3372&lt;&gt;"", TODAY(), "")</f>
        <v/>
      </c>
      <c r="S3372" s="78">
        <f>IF(AND(K3372&lt;&gt;"", R3372&lt;&gt;""), R3372-K3372, "")</f>
        <v/>
      </c>
      <c r="T3372" s="78" t="n"/>
      <c r="U3372" s="92">
        <f>IF(ISBLANK(P3372),"",IF(C3372="Buy",Q3372-M3372+T3372, IF(C3372="Sell",M3372-Q3372-T3372, X)))</f>
        <v/>
      </c>
      <c r="V3372" s="81">
        <f>IF(ISBLANK(P3372),"",U3372/N3372)</f>
        <v/>
      </c>
      <c r="W3372" s="81">
        <f>IF(ISBLANK(P3372),"",IF(S3372=0,(365/0.5)*V3372,(365/S3372)*V3372))</f>
        <v/>
      </c>
      <c r="X3372" s="75" t="n"/>
      <c r="Y3372" s="77" t="n"/>
      <c r="Z3372" s="77" t="n"/>
      <c r="AA3372" s="75" t="n"/>
      <c r="AB3372" s="75" t="n"/>
      <c r="AC3372" s="6" t="n"/>
      <c r="AD3372" s="75" t="n"/>
      <c r="AE3372" s="75" t="n"/>
      <c r="AF3372" s="75" t="n"/>
    </row>
    <row r="3373" ht="15.75" customHeight="1" s="133">
      <c r="A3373" s="75" t="n"/>
      <c r="B3373" s="75" t="n"/>
      <c r="C3373" s="75" t="n"/>
      <c r="D3373" s="75" t="n"/>
      <c r="E3373" s="76" t="n"/>
      <c r="F3373" s="77" t="n"/>
      <c r="G3373" s="75" t="n"/>
      <c r="H3373" s="75">
        <f>IF(ISBLANK(E3373),"",IF(OR(D3373="Butterfly",D3373="Butterfly ",D3373="Iron Fly", D3373="Iron Fly "),LEN(E3373)-LEN(SUBSTITUTE(E3373,"/",""))+2,LEN(E3373)-LEN(SUBSTITUTE(E3373,"/",""))+1))</f>
        <v/>
      </c>
      <c r="I3373" s="78">
        <f>IF(ISBLANK(G3373),"",IF(D3373="Stock","0",Key!$A$3*H3373*G3373))</f>
        <v/>
      </c>
      <c r="J3373" s="78">
        <f>IF(ISBLANK(E3373),"",IF(ISNUMBER(SEARCH("/",E3373)), IF(LEN(E3373)-LEN(SUBSTITUTE(E3373,"/",""))=1,(RIGHT(E3373,LEN(E3373)-FIND("/",E3373)))-(LEFT(E3373,FIND("/",E3373)-1)),(MID(E3373, SEARCH("/",E3373) + 1, SEARCH("/",E3373, SEARCH("/",E3373)+1) - SEARCH("/",E3373) - 1))-(LEFT(E3373,FIND("/",E3373)-1))), "NA"))</f>
        <v/>
      </c>
      <c r="K3373" s="79">
        <f>IF(A3373&lt;&gt;"", IF(ISBLANK(L3373), TODAY(), K3373), "")</f>
        <v/>
      </c>
      <c r="L3373" s="78" t="n"/>
      <c r="M3373" s="78">
        <f>IF(ISBLANK(L3373),"",IF(D3373="Stock",IF(C3373="Buy",L3373*G3373,IF(C3373="Sell",(L3373*G3373)-I3373, X)),IF(C3373="Buy",(L3373*G3373*100)+I3373,IF(C3373="Sell",(L3373*G3373*100)-I3373, X))))</f>
        <v/>
      </c>
      <c r="N3373" s="78">
        <f>IF(ISBLANK(L3373),"",IF(AND(C3373="Sell",D3373="Stock"),M3373,IF(ISBLANK(L3373),"",IF(C3373="Buy",M3373, IF(AND(C3373="Sell",J3373="NA"),(E3373*G3373*100*0.1)+I3373, IF(C3373="Sell",(J3373-L3373)*(100*G3373)+I3373))))))</f>
        <v/>
      </c>
      <c r="O3373" s="75" t="n"/>
      <c r="P3373" s="75" t="n"/>
      <c r="Q3373" s="75">
        <f>IF(ISBLANK(P3373),"",IF(D3373="Stock",P3373*G3373,IF(P3373=0,"0",G3373*P3373*100-(G3373*$AF$14))))</f>
        <v/>
      </c>
      <c r="R3373" s="79">
        <f>IF(P3373&lt;&gt;"", TODAY(), "")</f>
        <v/>
      </c>
      <c r="S3373" s="78">
        <f>IF(AND(K3373&lt;&gt;"", R3373&lt;&gt;""), R3373-K3373, "")</f>
        <v/>
      </c>
      <c r="T3373" s="78" t="n"/>
      <c r="U3373" s="92">
        <f>IF(ISBLANK(P3373),"",IF(C3373="Buy",Q3373-M3373+T3373, IF(C3373="Sell",M3373-Q3373-T3373, X)))</f>
        <v/>
      </c>
      <c r="V3373" s="81">
        <f>IF(ISBLANK(P3373),"",U3373/N3373)</f>
        <v/>
      </c>
      <c r="W3373" s="81">
        <f>IF(ISBLANK(P3373),"",IF(S3373=0,(365/0.5)*V3373,(365/S3373)*V3373))</f>
        <v/>
      </c>
      <c r="X3373" s="75" t="n"/>
      <c r="Y3373" s="77" t="n"/>
      <c r="Z3373" s="77" t="n"/>
      <c r="AA3373" s="75" t="n"/>
      <c r="AB3373" s="75" t="n"/>
      <c r="AC3373" s="6" t="n"/>
      <c r="AD3373" s="75" t="n"/>
      <c r="AE3373" s="75" t="n"/>
      <c r="AF3373" s="75" t="n"/>
    </row>
    <row r="3374" ht="15.75" customHeight="1" s="133">
      <c r="A3374" s="75" t="n"/>
      <c r="B3374" s="75" t="n"/>
      <c r="C3374" s="75" t="n"/>
      <c r="D3374" s="75" t="n"/>
      <c r="E3374" s="76" t="n"/>
      <c r="F3374" s="77" t="n"/>
      <c r="G3374" s="75" t="n"/>
      <c r="H3374" s="75">
        <f>IF(ISBLANK(E3374),"",IF(OR(D3374="Butterfly",D3374="Butterfly ",D3374="Iron Fly", D3374="Iron Fly "),LEN(E3374)-LEN(SUBSTITUTE(E3374,"/",""))+2,LEN(E3374)-LEN(SUBSTITUTE(E3374,"/",""))+1))</f>
        <v/>
      </c>
      <c r="I3374" s="78">
        <f>IF(ISBLANK(G3374),"",IF(D3374="Stock","0",Key!$A$3*H3374*G3374))</f>
        <v/>
      </c>
      <c r="J3374" s="78">
        <f>IF(ISBLANK(E3374),"",IF(ISNUMBER(SEARCH("/",E3374)), IF(LEN(E3374)-LEN(SUBSTITUTE(E3374,"/",""))=1,(RIGHT(E3374,LEN(E3374)-FIND("/",E3374)))-(LEFT(E3374,FIND("/",E3374)-1)),(MID(E3374, SEARCH("/",E3374) + 1, SEARCH("/",E3374, SEARCH("/",E3374)+1) - SEARCH("/",E3374) - 1))-(LEFT(E3374,FIND("/",E3374)-1))), "NA"))</f>
        <v/>
      </c>
      <c r="K3374" s="79">
        <f>IF(A3374&lt;&gt;"", IF(ISBLANK(L3374), TODAY(), K3374), "")</f>
        <v/>
      </c>
      <c r="L3374" s="78" t="n"/>
      <c r="M3374" s="78">
        <f>IF(ISBLANK(L3374),"",IF(D3374="Stock",IF(C3374="Buy",L3374*G3374,IF(C3374="Sell",(L3374*G3374)-I3374, X)),IF(C3374="Buy",(L3374*G3374*100)+I3374,IF(C3374="Sell",(L3374*G3374*100)-I3374, X))))</f>
        <v/>
      </c>
      <c r="N3374" s="78">
        <f>IF(ISBLANK(L3374),"",IF(AND(C3374="Sell",D3374="Stock"),M3374,IF(ISBLANK(L3374),"",IF(C3374="Buy",M3374, IF(AND(C3374="Sell",J3374="NA"),(E3374*G3374*100*0.1)+I3374, IF(C3374="Sell",(J3374-L3374)*(100*G3374)+I3374))))))</f>
        <v/>
      </c>
      <c r="O3374" s="75" t="n"/>
      <c r="P3374" s="75" t="n"/>
      <c r="Q3374" s="75">
        <f>IF(ISBLANK(P3374),"",IF(D3374="Stock",P3374*G3374,IF(P3374=0,"0",G3374*P3374*100-(G3374*$AF$14))))</f>
        <v/>
      </c>
      <c r="R3374" s="79">
        <f>IF(P3374&lt;&gt;"", TODAY(), "")</f>
        <v/>
      </c>
      <c r="S3374" s="78">
        <f>IF(AND(K3374&lt;&gt;"", R3374&lt;&gt;""), R3374-K3374, "")</f>
        <v/>
      </c>
      <c r="T3374" s="78" t="n"/>
      <c r="U3374" s="92">
        <f>IF(ISBLANK(P3374),"",IF(C3374="Buy",Q3374-M3374+T3374, IF(C3374="Sell",M3374-Q3374-T3374, X)))</f>
        <v/>
      </c>
      <c r="V3374" s="81">
        <f>IF(ISBLANK(P3374),"",U3374/N3374)</f>
        <v/>
      </c>
      <c r="W3374" s="81">
        <f>IF(ISBLANK(P3374),"",IF(S3374=0,(365/0.5)*V3374,(365/S3374)*V3374))</f>
        <v/>
      </c>
      <c r="X3374" s="75" t="n"/>
      <c r="Y3374" s="77" t="n"/>
      <c r="Z3374" s="77" t="n"/>
      <c r="AA3374" s="75" t="n"/>
      <c r="AB3374" s="75" t="n"/>
      <c r="AC3374" s="6" t="n"/>
      <c r="AD3374" s="75" t="n"/>
      <c r="AE3374" s="75" t="n"/>
      <c r="AF3374" s="75" t="n"/>
    </row>
    <row r="3375" ht="15.75" customHeight="1" s="133">
      <c r="A3375" s="75" t="n"/>
      <c r="B3375" s="75" t="n"/>
      <c r="C3375" s="75" t="n"/>
      <c r="D3375" s="75" t="n"/>
      <c r="E3375" s="76" t="n"/>
      <c r="F3375" s="77" t="n"/>
      <c r="G3375" s="75" t="n"/>
      <c r="H3375" s="75">
        <f>IF(ISBLANK(E3375),"",IF(OR(D3375="Butterfly",D3375="Butterfly ",D3375="Iron Fly", D3375="Iron Fly "),LEN(E3375)-LEN(SUBSTITUTE(E3375,"/",""))+2,LEN(E3375)-LEN(SUBSTITUTE(E3375,"/",""))+1))</f>
        <v/>
      </c>
      <c r="I3375" s="78">
        <f>IF(ISBLANK(G3375),"",IF(D3375="Stock","0",Key!$A$3*H3375*G3375))</f>
        <v/>
      </c>
      <c r="J3375" s="78">
        <f>IF(ISBLANK(E3375),"",IF(ISNUMBER(SEARCH("/",E3375)), IF(LEN(E3375)-LEN(SUBSTITUTE(E3375,"/",""))=1,(RIGHT(E3375,LEN(E3375)-FIND("/",E3375)))-(LEFT(E3375,FIND("/",E3375)-1)),(MID(E3375, SEARCH("/",E3375) + 1, SEARCH("/",E3375, SEARCH("/",E3375)+1) - SEARCH("/",E3375) - 1))-(LEFT(E3375,FIND("/",E3375)-1))), "NA"))</f>
        <v/>
      </c>
      <c r="K3375" s="79">
        <f>IF(A3375&lt;&gt;"", IF(ISBLANK(L3375), TODAY(), K3375), "")</f>
        <v/>
      </c>
      <c r="L3375" s="78" t="n"/>
      <c r="M3375" s="78">
        <f>IF(ISBLANK(L3375),"",IF(D3375="Stock",IF(C3375="Buy",L3375*G3375,IF(C3375="Sell",(L3375*G3375)-I3375, X)),IF(C3375="Buy",(L3375*G3375*100)+I3375,IF(C3375="Sell",(L3375*G3375*100)-I3375, X))))</f>
        <v/>
      </c>
      <c r="N3375" s="78">
        <f>IF(ISBLANK(L3375),"",IF(AND(C3375="Sell",D3375="Stock"),M3375,IF(ISBLANK(L3375),"",IF(C3375="Buy",M3375, IF(AND(C3375="Sell",J3375="NA"),(E3375*G3375*100*0.1)+I3375, IF(C3375="Sell",(J3375-L3375)*(100*G3375)+I3375))))))</f>
        <v/>
      </c>
      <c r="O3375" s="75" t="n"/>
      <c r="P3375" s="75" t="n"/>
      <c r="Q3375" s="75">
        <f>IF(ISBLANK(P3375),"",IF(D3375="Stock",P3375*G3375,IF(P3375=0,"0",G3375*P3375*100-(G3375*$AF$14))))</f>
        <v/>
      </c>
      <c r="R3375" s="79">
        <f>IF(P3375&lt;&gt;"", TODAY(), "")</f>
        <v/>
      </c>
      <c r="S3375" s="78">
        <f>IF(AND(K3375&lt;&gt;"", R3375&lt;&gt;""), R3375-K3375, "")</f>
        <v/>
      </c>
      <c r="T3375" s="78" t="n"/>
      <c r="U3375" s="92">
        <f>IF(ISBLANK(P3375),"",IF(C3375="Buy",Q3375-M3375+T3375, IF(C3375="Sell",M3375-Q3375-T3375, X)))</f>
        <v/>
      </c>
      <c r="V3375" s="81">
        <f>IF(ISBLANK(P3375),"",U3375/N3375)</f>
        <v/>
      </c>
      <c r="W3375" s="81">
        <f>IF(ISBLANK(P3375),"",IF(S3375=0,(365/0.5)*V3375,(365/S3375)*V3375))</f>
        <v/>
      </c>
      <c r="X3375" s="75" t="n"/>
      <c r="Y3375" s="77" t="n"/>
      <c r="Z3375" s="77" t="n"/>
      <c r="AA3375" s="75" t="n"/>
      <c r="AB3375" s="75" t="n"/>
      <c r="AC3375" s="6" t="n"/>
      <c r="AD3375" s="75" t="n"/>
      <c r="AE3375" s="75" t="n"/>
      <c r="AF3375" s="75" t="n"/>
    </row>
    <row r="3376" ht="15.75" customHeight="1" s="133">
      <c r="A3376" s="75" t="n"/>
      <c r="B3376" s="75" t="n"/>
      <c r="C3376" s="75" t="n"/>
      <c r="D3376" s="75" t="n"/>
      <c r="E3376" s="76" t="n"/>
      <c r="F3376" s="77" t="n"/>
      <c r="G3376" s="75" t="n"/>
      <c r="H3376" s="75">
        <f>IF(ISBLANK(E3376),"",IF(OR(D3376="Butterfly",D3376="Butterfly ",D3376="Iron Fly", D3376="Iron Fly "),LEN(E3376)-LEN(SUBSTITUTE(E3376,"/",""))+2,LEN(E3376)-LEN(SUBSTITUTE(E3376,"/",""))+1))</f>
        <v/>
      </c>
      <c r="I3376" s="78">
        <f>IF(ISBLANK(G3376),"",IF(D3376="Stock","0",Key!$A$3*H3376*G3376))</f>
        <v/>
      </c>
      <c r="J3376" s="78">
        <f>IF(ISBLANK(E3376),"",IF(ISNUMBER(SEARCH("/",E3376)), IF(LEN(E3376)-LEN(SUBSTITUTE(E3376,"/",""))=1,(RIGHT(E3376,LEN(E3376)-FIND("/",E3376)))-(LEFT(E3376,FIND("/",E3376)-1)),(MID(E3376, SEARCH("/",E3376) + 1, SEARCH("/",E3376, SEARCH("/",E3376)+1) - SEARCH("/",E3376) - 1))-(LEFT(E3376,FIND("/",E3376)-1))), "NA"))</f>
        <v/>
      </c>
      <c r="K3376" s="79">
        <f>IF(A3376&lt;&gt;"", IF(ISBLANK(L3376), TODAY(), K3376), "")</f>
        <v/>
      </c>
      <c r="L3376" s="78" t="n"/>
      <c r="M3376" s="78">
        <f>IF(ISBLANK(L3376),"",IF(D3376="Stock",IF(C3376="Buy",L3376*G3376,IF(C3376="Sell",(L3376*G3376)-I3376, X)),IF(C3376="Buy",(L3376*G3376*100)+I3376,IF(C3376="Sell",(L3376*G3376*100)-I3376, X))))</f>
        <v/>
      </c>
      <c r="N3376" s="78">
        <f>IF(ISBLANK(L3376),"",IF(AND(C3376="Sell",D3376="Stock"),M3376,IF(ISBLANK(L3376),"",IF(C3376="Buy",M3376, IF(AND(C3376="Sell",J3376="NA"),(E3376*G3376*100*0.1)+I3376, IF(C3376="Sell",(J3376-L3376)*(100*G3376)+I3376))))))</f>
        <v/>
      </c>
      <c r="O3376" s="75" t="n"/>
      <c r="P3376" s="75" t="n"/>
      <c r="Q3376" s="75">
        <f>IF(ISBLANK(P3376),"",IF(D3376="Stock",P3376*G3376,IF(P3376=0,"0",G3376*P3376*100-(G3376*$AF$14))))</f>
        <v/>
      </c>
      <c r="R3376" s="79">
        <f>IF(P3376&lt;&gt;"", TODAY(), "")</f>
        <v/>
      </c>
      <c r="S3376" s="78">
        <f>IF(AND(K3376&lt;&gt;"", R3376&lt;&gt;""), R3376-K3376, "")</f>
        <v/>
      </c>
      <c r="T3376" s="78" t="n"/>
      <c r="U3376" s="92">
        <f>IF(ISBLANK(P3376),"",IF(C3376="Buy",Q3376-M3376+T3376, IF(C3376="Sell",M3376-Q3376-T3376, X)))</f>
        <v/>
      </c>
      <c r="V3376" s="81">
        <f>IF(ISBLANK(P3376),"",U3376/N3376)</f>
        <v/>
      </c>
      <c r="W3376" s="81">
        <f>IF(ISBLANK(P3376),"",IF(S3376=0,(365/0.5)*V3376,(365/S3376)*V3376))</f>
        <v/>
      </c>
      <c r="X3376" s="75" t="n"/>
      <c r="Y3376" s="77" t="n"/>
      <c r="Z3376" s="77" t="n"/>
      <c r="AA3376" s="75" t="n"/>
      <c r="AB3376" s="75" t="n"/>
      <c r="AC3376" s="6" t="n"/>
      <c r="AD3376" s="75" t="n"/>
      <c r="AE3376" s="75" t="n"/>
      <c r="AF3376" s="75" t="n"/>
    </row>
    <row r="3377" ht="15.75" customHeight="1" s="133">
      <c r="A3377" s="75" t="n"/>
      <c r="B3377" s="75" t="n"/>
      <c r="C3377" s="75" t="n"/>
      <c r="D3377" s="75" t="n"/>
      <c r="E3377" s="76" t="n"/>
      <c r="F3377" s="77" t="n"/>
      <c r="G3377" s="75" t="n"/>
      <c r="H3377" s="75">
        <f>IF(ISBLANK(E3377),"",IF(OR(D3377="Butterfly",D3377="Butterfly ",D3377="Iron Fly", D3377="Iron Fly "),LEN(E3377)-LEN(SUBSTITUTE(E3377,"/",""))+2,LEN(E3377)-LEN(SUBSTITUTE(E3377,"/",""))+1))</f>
        <v/>
      </c>
      <c r="I3377" s="78">
        <f>IF(ISBLANK(G3377),"",IF(D3377="Stock","0",Key!$A$3*H3377*G3377))</f>
        <v/>
      </c>
      <c r="J3377" s="78">
        <f>IF(ISBLANK(E3377),"",IF(ISNUMBER(SEARCH("/",E3377)), IF(LEN(E3377)-LEN(SUBSTITUTE(E3377,"/",""))=1,(RIGHT(E3377,LEN(E3377)-FIND("/",E3377)))-(LEFT(E3377,FIND("/",E3377)-1)),(MID(E3377, SEARCH("/",E3377) + 1, SEARCH("/",E3377, SEARCH("/",E3377)+1) - SEARCH("/",E3377) - 1))-(LEFT(E3377,FIND("/",E3377)-1))), "NA"))</f>
        <v/>
      </c>
      <c r="K3377" s="79">
        <f>IF(A3377&lt;&gt;"", IF(ISBLANK(L3377), TODAY(), K3377), "")</f>
        <v/>
      </c>
      <c r="L3377" s="78" t="n"/>
      <c r="M3377" s="78">
        <f>IF(ISBLANK(L3377),"",IF(D3377="Stock",IF(C3377="Buy",L3377*G3377,IF(C3377="Sell",(L3377*G3377)-I3377, X)),IF(C3377="Buy",(L3377*G3377*100)+I3377,IF(C3377="Sell",(L3377*G3377*100)-I3377, X))))</f>
        <v/>
      </c>
      <c r="N3377" s="78">
        <f>IF(ISBLANK(L3377),"",IF(AND(C3377="Sell",D3377="Stock"),M3377,IF(ISBLANK(L3377),"",IF(C3377="Buy",M3377, IF(AND(C3377="Sell",J3377="NA"),(E3377*G3377*100*0.1)+I3377, IF(C3377="Sell",(J3377-L3377)*(100*G3377)+I3377))))))</f>
        <v/>
      </c>
      <c r="O3377" s="75" t="n"/>
      <c r="P3377" s="75" t="n"/>
      <c r="Q3377" s="75">
        <f>IF(ISBLANK(P3377),"",IF(D3377="Stock",P3377*G3377,IF(P3377=0,"0",G3377*P3377*100-(G3377*$AF$14))))</f>
        <v/>
      </c>
      <c r="R3377" s="79">
        <f>IF(P3377&lt;&gt;"", TODAY(), "")</f>
        <v/>
      </c>
      <c r="S3377" s="78">
        <f>IF(AND(K3377&lt;&gt;"", R3377&lt;&gt;""), R3377-K3377, "")</f>
        <v/>
      </c>
      <c r="T3377" s="78" t="n"/>
      <c r="U3377" s="92">
        <f>IF(ISBLANK(P3377),"",IF(C3377="Buy",Q3377-M3377+T3377, IF(C3377="Sell",M3377-Q3377-T3377, X)))</f>
        <v/>
      </c>
      <c r="V3377" s="81">
        <f>IF(ISBLANK(P3377),"",U3377/N3377)</f>
        <v/>
      </c>
      <c r="W3377" s="81">
        <f>IF(ISBLANK(P3377),"",IF(S3377=0,(365/0.5)*V3377,(365/S3377)*V3377))</f>
        <v/>
      </c>
      <c r="X3377" s="75" t="n"/>
      <c r="Y3377" s="77" t="n"/>
      <c r="Z3377" s="77" t="n"/>
      <c r="AA3377" s="75" t="n"/>
      <c r="AB3377" s="75" t="n"/>
      <c r="AC3377" s="6" t="n"/>
      <c r="AD3377" s="75" t="n"/>
      <c r="AE3377" s="75" t="n"/>
      <c r="AF3377" s="75" t="n"/>
    </row>
    <row r="3378" ht="15.75" customHeight="1" s="133">
      <c r="A3378" s="75" t="n"/>
      <c r="B3378" s="75" t="n"/>
      <c r="C3378" s="75" t="n"/>
      <c r="D3378" s="75" t="n"/>
      <c r="E3378" s="76" t="n"/>
      <c r="F3378" s="77" t="n"/>
      <c r="G3378" s="75" t="n"/>
      <c r="H3378" s="75">
        <f>IF(ISBLANK(E3378),"",IF(OR(D3378="Butterfly",D3378="Butterfly ",D3378="Iron Fly", D3378="Iron Fly "),LEN(E3378)-LEN(SUBSTITUTE(E3378,"/",""))+2,LEN(E3378)-LEN(SUBSTITUTE(E3378,"/",""))+1))</f>
        <v/>
      </c>
      <c r="I3378" s="78">
        <f>IF(ISBLANK(G3378),"",IF(D3378="Stock","0",Key!$A$3*H3378*G3378))</f>
        <v/>
      </c>
      <c r="J3378" s="78">
        <f>IF(ISBLANK(E3378),"",IF(ISNUMBER(SEARCH("/",E3378)), IF(LEN(E3378)-LEN(SUBSTITUTE(E3378,"/",""))=1,(RIGHT(E3378,LEN(E3378)-FIND("/",E3378)))-(LEFT(E3378,FIND("/",E3378)-1)),(MID(E3378, SEARCH("/",E3378) + 1, SEARCH("/",E3378, SEARCH("/",E3378)+1) - SEARCH("/",E3378) - 1))-(LEFT(E3378,FIND("/",E3378)-1))), "NA"))</f>
        <v/>
      </c>
      <c r="K3378" s="79">
        <f>IF(A3378&lt;&gt;"", IF(ISBLANK(L3378), TODAY(), K3378), "")</f>
        <v/>
      </c>
      <c r="L3378" s="78" t="n"/>
      <c r="M3378" s="78">
        <f>IF(ISBLANK(L3378),"",IF(D3378="Stock",IF(C3378="Buy",L3378*G3378,IF(C3378="Sell",(L3378*G3378)-I3378, X)),IF(C3378="Buy",(L3378*G3378*100)+I3378,IF(C3378="Sell",(L3378*G3378*100)-I3378, X))))</f>
        <v/>
      </c>
      <c r="N3378" s="78">
        <f>IF(ISBLANK(L3378),"",IF(AND(C3378="Sell",D3378="Stock"),M3378,IF(ISBLANK(L3378),"",IF(C3378="Buy",M3378, IF(AND(C3378="Sell",J3378="NA"),(E3378*G3378*100*0.1)+I3378, IF(C3378="Sell",(J3378-L3378)*(100*G3378)+I3378))))))</f>
        <v/>
      </c>
      <c r="O3378" s="75" t="n"/>
      <c r="P3378" s="75" t="n"/>
      <c r="Q3378" s="75">
        <f>IF(ISBLANK(P3378),"",IF(D3378="Stock",P3378*G3378,IF(P3378=0,"0",G3378*P3378*100-(G3378*$AF$14))))</f>
        <v/>
      </c>
      <c r="R3378" s="79">
        <f>IF(P3378&lt;&gt;"", TODAY(), "")</f>
        <v/>
      </c>
      <c r="S3378" s="78">
        <f>IF(AND(K3378&lt;&gt;"", R3378&lt;&gt;""), R3378-K3378, "")</f>
        <v/>
      </c>
      <c r="T3378" s="78" t="n"/>
      <c r="U3378" s="92">
        <f>IF(ISBLANK(P3378),"",IF(C3378="Buy",Q3378-M3378+T3378, IF(C3378="Sell",M3378-Q3378-T3378, X)))</f>
        <v/>
      </c>
      <c r="V3378" s="81">
        <f>IF(ISBLANK(P3378),"",U3378/N3378)</f>
        <v/>
      </c>
      <c r="W3378" s="81">
        <f>IF(ISBLANK(P3378),"",IF(S3378=0,(365/0.5)*V3378,(365/S3378)*V3378))</f>
        <v/>
      </c>
      <c r="X3378" s="75" t="n"/>
      <c r="Y3378" s="77" t="n"/>
      <c r="Z3378" s="77" t="n"/>
      <c r="AA3378" s="75" t="n"/>
      <c r="AB3378" s="75" t="n"/>
      <c r="AC3378" s="6" t="n"/>
      <c r="AD3378" s="75" t="n"/>
      <c r="AE3378" s="75" t="n"/>
      <c r="AF3378" s="75" t="n"/>
    </row>
    <row r="3379" ht="15.75" customHeight="1" s="133">
      <c r="A3379" s="75" t="n"/>
      <c r="B3379" s="75" t="n"/>
      <c r="C3379" s="75" t="n"/>
      <c r="D3379" s="75" t="n"/>
      <c r="E3379" s="76" t="n"/>
      <c r="F3379" s="77" t="n"/>
      <c r="G3379" s="75" t="n"/>
      <c r="H3379" s="75">
        <f>IF(ISBLANK(E3379),"",IF(OR(D3379="Butterfly",D3379="Butterfly ",D3379="Iron Fly", D3379="Iron Fly "),LEN(E3379)-LEN(SUBSTITUTE(E3379,"/",""))+2,LEN(E3379)-LEN(SUBSTITUTE(E3379,"/",""))+1))</f>
        <v/>
      </c>
      <c r="I3379" s="78">
        <f>IF(ISBLANK(G3379),"",IF(D3379="Stock","0",Key!$A$3*H3379*G3379))</f>
        <v/>
      </c>
      <c r="J3379" s="78">
        <f>IF(ISBLANK(E3379),"",IF(ISNUMBER(SEARCH("/",E3379)), IF(LEN(E3379)-LEN(SUBSTITUTE(E3379,"/",""))=1,(RIGHT(E3379,LEN(E3379)-FIND("/",E3379)))-(LEFT(E3379,FIND("/",E3379)-1)),(MID(E3379, SEARCH("/",E3379) + 1, SEARCH("/",E3379, SEARCH("/",E3379)+1) - SEARCH("/",E3379) - 1))-(LEFT(E3379,FIND("/",E3379)-1))), "NA"))</f>
        <v/>
      </c>
      <c r="K3379" s="79">
        <f>IF(A3379&lt;&gt;"", IF(ISBLANK(L3379), TODAY(), K3379), "")</f>
        <v/>
      </c>
      <c r="L3379" s="78" t="n"/>
      <c r="M3379" s="78">
        <f>IF(ISBLANK(L3379),"",IF(D3379="Stock",IF(C3379="Buy",L3379*G3379,IF(C3379="Sell",(L3379*G3379)-I3379, X)),IF(C3379="Buy",(L3379*G3379*100)+I3379,IF(C3379="Sell",(L3379*G3379*100)-I3379, X))))</f>
        <v/>
      </c>
      <c r="N3379" s="78">
        <f>IF(ISBLANK(L3379),"",IF(AND(C3379="Sell",D3379="Stock"),M3379,IF(ISBLANK(L3379),"",IF(C3379="Buy",M3379, IF(AND(C3379="Sell",J3379="NA"),(E3379*G3379*100*0.1)+I3379, IF(C3379="Sell",(J3379-L3379)*(100*G3379)+I3379))))))</f>
        <v/>
      </c>
      <c r="O3379" s="75" t="n"/>
      <c r="P3379" s="75" t="n"/>
      <c r="Q3379" s="75">
        <f>IF(ISBLANK(P3379),"",IF(D3379="Stock",P3379*G3379,IF(P3379=0,"0",G3379*P3379*100-(G3379*$AF$14))))</f>
        <v/>
      </c>
      <c r="R3379" s="79">
        <f>IF(P3379&lt;&gt;"", TODAY(), "")</f>
        <v/>
      </c>
      <c r="S3379" s="78">
        <f>IF(AND(K3379&lt;&gt;"", R3379&lt;&gt;""), R3379-K3379, "")</f>
        <v/>
      </c>
      <c r="T3379" s="78" t="n"/>
      <c r="U3379" s="92">
        <f>IF(ISBLANK(P3379),"",IF(C3379="Buy",Q3379-M3379+T3379, IF(C3379="Sell",M3379-Q3379-T3379, X)))</f>
        <v/>
      </c>
      <c r="V3379" s="81">
        <f>IF(ISBLANK(P3379),"",U3379/N3379)</f>
        <v/>
      </c>
      <c r="W3379" s="81">
        <f>IF(ISBLANK(P3379),"",IF(S3379=0,(365/0.5)*V3379,(365/S3379)*V3379))</f>
        <v/>
      </c>
      <c r="X3379" s="75" t="n"/>
      <c r="Y3379" s="77" t="n"/>
      <c r="Z3379" s="77" t="n"/>
      <c r="AA3379" s="75" t="n"/>
      <c r="AB3379" s="75" t="n"/>
      <c r="AC3379" s="6" t="n"/>
      <c r="AD3379" s="75" t="n"/>
      <c r="AE3379" s="75" t="n"/>
      <c r="AF3379" s="75" t="n"/>
    </row>
    <row r="3380" ht="15.75" customHeight="1" s="133">
      <c r="A3380" s="75" t="n"/>
      <c r="B3380" s="75" t="n"/>
      <c r="C3380" s="75" t="n"/>
      <c r="D3380" s="75" t="n"/>
      <c r="E3380" s="76" t="n"/>
      <c r="F3380" s="77" t="n"/>
      <c r="G3380" s="75" t="n"/>
      <c r="H3380" s="75">
        <f>IF(ISBLANK(E3380),"",IF(OR(D3380="Butterfly",D3380="Butterfly ",D3380="Iron Fly", D3380="Iron Fly "),LEN(E3380)-LEN(SUBSTITUTE(E3380,"/",""))+2,LEN(E3380)-LEN(SUBSTITUTE(E3380,"/",""))+1))</f>
        <v/>
      </c>
      <c r="I3380" s="78">
        <f>IF(ISBLANK(G3380),"",IF(D3380="Stock","0",Key!$A$3*H3380*G3380))</f>
        <v/>
      </c>
      <c r="J3380" s="78">
        <f>IF(ISBLANK(E3380),"",IF(ISNUMBER(SEARCH("/",E3380)), IF(LEN(E3380)-LEN(SUBSTITUTE(E3380,"/",""))=1,(RIGHT(E3380,LEN(E3380)-FIND("/",E3380)))-(LEFT(E3380,FIND("/",E3380)-1)),(MID(E3380, SEARCH("/",E3380) + 1, SEARCH("/",E3380, SEARCH("/",E3380)+1) - SEARCH("/",E3380) - 1))-(LEFT(E3380,FIND("/",E3380)-1))), "NA"))</f>
        <v/>
      </c>
      <c r="K3380" s="79">
        <f>IF(A3380&lt;&gt;"", IF(ISBLANK(L3380), TODAY(), K3380), "")</f>
        <v/>
      </c>
      <c r="L3380" s="78" t="n"/>
      <c r="M3380" s="78">
        <f>IF(ISBLANK(L3380),"",IF(D3380="Stock",IF(C3380="Buy",L3380*G3380,IF(C3380="Sell",(L3380*G3380)-I3380, X)),IF(C3380="Buy",(L3380*G3380*100)+I3380,IF(C3380="Sell",(L3380*G3380*100)-I3380, X))))</f>
        <v/>
      </c>
      <c r="N3380" s="78">
        <f>IF(ISBLANK(L3380),"",IF(AND(C3380="Sell",D3380="Stock"),M3380,IF(ISBLANK(L3380),"",IF(C3380="Buy",M3380, IF(AND(C3380="Sell",J3380="NA"),(E3380*G3380*100*0.1)+I3380, IF(C3380="Sell",(J3380-L3380)*(100*G3380)+I3380))))))</f>
        <v/>
      </c>
      <c r="O3380" s="75" t="n"/>
      <c r="P3380" s="75" t="n"/>
      <c r="Q3380" s="75">
        <f>IF(ISBLANK(P3380),"",IF(D3380="Stock",P3380*G3380,IF(P3380=0,"0",G3380*P3380*100-(G3380*$AF$14))))</f>
        <v/>
      </c>
      <c r="R3380" s="79">
        <f>IF(P3380&lt;&gt;"", TODAY(), "")</f>
        <v/>
      </c>
      <c r="S3380" s="78">
        <f>IF(AND(K3380&lt;&gt;"", R3380&lt;&gt;""), R3380-K3380, "")</f>
        <v/>
      </c>
      <c r="T3380" s="78" t="n"/>
      <c r="U3380" s="92">
        <f>IF(ISBLANK(P3380),"",IF(C3380="Buy",Q3380-M3380+T3380, IF(C3380="Sell",M3380-Q3380-T3380, X)))</f>
        <v/>
      </c>
      <c r="V3380" s="81">
        <f>IF(ISBLANK(P3380),"",U3380/N3380)</f>
        <v/>
      </c>
      <c r="W3380" s="81">
        <f>IF(ISBLANK(P3380),"",IF(S3380=0,(365/0.5)*V3380,(365/S3380)*V3380))</f>
        <v/>
      </c>
      <c r="X3380" s="75" t="n"/>
      <c r="Y3380" s="77" t="n"/>
      <c r="Z3380" s="77" t="n"/>
      <c r="AA3380" s="75" t="n"/>
      <c r="AB3380" s="75" t="n"/>
      <c r="AC3380" s="6" t="n"/>
      <c r="AD3380" s="75" t="n"/>
      <c r="AE3380" s="75" t="n"/>
      <c r="AF3380" s="75" t="n"/>
    </row>
    <row r="3381" ht="15.75" customHeight="1" s="133">
      <c r="A3381" s="75" t="n"/>
      <c r="B3381" s="75" t="n"/>
      <c r="C3381" s="75" t="n"/>
      <c r="D3381" s="75" t="n"/>
      <c r="E3381" s="76" t="n"/>
      <c r="F3381" s="77" t="n"/>
      <c r="G3381" s="75" t="n"/>
      <c r="H3381" s="75">
        <f>IF(ISBLANK(E3381),"",IF(OR(D3381="Butterfly",D3381="Butterfly ",D3381="Iron Fly", D3381="Iron Fly "),LEN(E3381)-LEN(SUBSTITUTE(E3381,"/",""))+2,LEN(E3381)-LEN(SUBSTITUTE(E3381,"/",""))+1))</f>
        <v/>
      </c>
      <c r="I3381" s="78">
        <f>IF(ISBLANK(G3381),"",IF(D3381="Stock","0",Key!$A$3*H3381*G3381))</f>
        <v/>
      </c>
      <c r="J3381" s="78">
        <f>IF(ISBLANK(E3381),"",IF(ISNUMBER(SEARCH("/",E3381)), IF(LEN(E3381)-LEN(SUBSTITUTE(E3381,"/",""))=1,(RIGHT(E3381,LEN(E3381)-FIND("/",E3381)))-(LEFT(E3381,FIND("/",E3381)-1)),(MID(E3381, SEARCH("/",E3381) + 1, SEARCH("/",E3381, SEARCH("/",E3381)+1) - SEARCH("/",E3381) - 1))-(LEFT(E3381,FIND("/",E3381)-1))), "NA"))</f>
        <v/>
      </c>
      <c r="K3381" s="79">
        <f>IF(A3381&lt;&gt;"", IF(ISBLANK(L3381), TODAY(), K3381), "")</f>
        <v/>
      </c>
      <c r="L3381" s="78" t="n"/>
      <c r="M3381" s="78">
        <f>IF(ISBLANK(L3381),"",IF(D3381="Stock",IF(C3381="Buy",L3381*G3381,IF(C3381="Sell",(L3381*G3381)-I3381, X)),IF(C3381="Buy",(L3381*G3381*100)+I3381,IF(C3381="Sell",(L3381*G3381*100)-I3381, X))))</f>
        <v/>
      </c>
      <c r="N3381" s="78">
        <f>IF(ISBLANK(L3381),"",IF(AND(C3381="Sell",D3381="Stock"),M3381,IF(ISBLANK(L3381),"",IF(C3381="Buy",M3381, IF(AND(C3381="Sell",J3381="NA"),(E3381*G3381*100*0.1)+I3381, IF(C3381="Sell",(J3381-L3381)*(100*G3381)+I3381))))))</f>
        <v/>
      </c>
      <c r="O3381" s="75" t="n"/>
      <c r="P3381" s="75" t="n"/>
      <c r="Q3381" s="75">
        <f>IF(ISBLANK(P3381),"",IF(D3381="Stock",P3381*G3381,IF(P3381=0,"0",G3381*P3381*100-(G3381*$AF$14))))</f>
        <v/>
      </c>
      <c r="R3381" s="79">
        <f>IF(P3381&lt;&gt;"", TODAY(), "")</f>
        <v/>
      </c>
      <c r="S3381" s="78">
        <f>IF(AND(K3381&lt;&gt;"", R3381&lt;&gt;""), R3381-K3381, "")</f>
        <v/>
      </c>
      <c r="T3381" s="78" t="n"/>
      <c r="U3381" s="92">
        <f>IF(ISBLANK(P3381),"",IF(C3381="Buy",Q3381-M3381+T3381, IF(C3381="Sell",M3381-Q3381-T3381, X)))</f>
        <v/>
      </c>
      <c r="V3381" s="81">
        <f>IF(ISBLANK(P3381),"",U3381/N3381)</f>
        <v/>
      </c>
      <c r="W3381" s="81">
        <f>IF(ISBLANK(P3381),"",IF(S3381=0,(365/0.5)*V3381,(365/S3381)*V3381))</f>
        <v/>
      </c>
      <c r="X3381" s="75" t="n"/>
      <c r="Y3381" s="77" t="n"/>
      <c r="Z3381" s="77" t="n"/>
      <c r="AA3381" s="75" t="n"/>
      <c r="AB3381" s="75" t="n"/>
      <c r="AC3381" s="6" t="n"/>
      <c r="AD3381" s="75" t="n"/>
      <c r="AE3381" s="75" t="n"/>
      <c r="AF3381" s="75" t="n"/>
    </row>
    <row r="3382" ht="15.75" customHeight="1" s="133">
      <c r="A3382" s="75" t="n"/>
      <c r="B3382" s="75" t="n"/>
      <c r="C3382" s="75" t="n"/>
      <c r="D3382" s="75" t="n"/>
      <c r="E3382" s="76" t="n"/>
      <c r="F3382" s="77" t="n"/>
      <c r="G3382" s="75" t="n"/>
      <c r="H3382" s="75">
        <f>IF(ISBLANK(E3382),"",IF(OR(D3382="Butterfly",D3382="Butterfly ",D3382="Iron Fly", D3382="Iron Fly "),LEN(E3382)-LEN(SUBSTITUTE(E3382,"/",""))+2,LEN(E3382)-LEN(SUBSTITUTE(E3382,"/",""))+1))</f>
        <v/>
      </c>
      <c r="I3382" s="78">
        <f>IF(ISBLANK(G3382),"",IF(D3382="Stock","0",Key!$A$3*H3382*G3382))</f>
        <v/>
      </c>
      <c r="J3382" s="78">
        <f>IF(ISBLANK(E3382),"",IF(ISNUMBER(SEARCH("/",E3382)), IF(LEN(E3382)-LEN(SUBSTITUTE(E3382,"/",""))=1,(RIGHT(E3382,LEN(E3382)-FIND("/",E3382)))-(LEFT(E3382,FIND("/",E3382)-1)),(MID(E3382, SEARCH("/",E3382) + 1, SEARCH("/",E3382, SEARCH("/",E3382)+1) - SEARCH("/",E3382) - 1))-(LEFT(E3382,FIND("/",E3382)-1))), "NA"))</f>
        <v/>
      </c>
      <c r="K3382" s="79">
        <f>IF(A3382&lt;&gt;"", IF(ISBLANK(L3382), TODAY(), K3382), "")</f>
        <v/>
      </c>
      <c r="L3382" s="78" t="n"/>
      <c r="M3382" s="78">
        <f>IF(ISBLANK(L3382),"",IF(D3382="Stock",IF(C3382="Buy",L3382*G3382,IF(C3382="Sell",(L3382*G3382)-I3382, X)),IF(C3382="Buy",(L3382*G3382*100)+I3382,IF(C3382="Sell",(L3382*G3382*100)-I3382, X))))</f>
        <v/>
      </c>
      <c r="N3382" s="78">
        <f>IF(ISBLANK(L3382),"",IF(AND(C3382="Sell",D3382="Stock"),M3382,IF(ISBLANK(L3382),"",IF(C3382="Buy",M3382, IF(AND(C3382="Sell",J3382="NA"),(E3382*G3382*100*0.1)+I3382, IF(C3382="Sell",(J3382-L3382)*(100*G3382)+I3382))))))</f>
        <v/>
      </c>
      <c r="O3382" s="75" t="n"/>
      <c r="P3382" s="75" t="n"/>
      <c r="Q3382" s="75">
        <f>IF(ISBLANK(P3382),"",IF(D3382="Stock",P3382*G3382,IF(P3382=0,"0",G3382*P3382*100-(G3382*$AF$14))))</f>
        <v/>
      </c>
      <c r="R3382" s="79">
        <f>IF(P3382&lt;&gt;"", TODAY(), "")</f>
        <v/>
      </c>
      <c r="S3382" s="78">
        <f>IF(AND(K3382&lt;&gt;"", R3382&lt;&gt;""), R3382-K3382, "")</f>
        <v/>
      </c>
      <c r="T3382" s="78" t="n"/>
      <c r="U3382" s="92">
        <f>IF(ISBLANK(P3382),"",IF(C3382="Buy",Q3382-M3382+T3382, IF(C3382="Sell",M3382-Q3382-T3382, X)))</f>
        <v/>
      </c>
      <c r="V3382" s="81">
        <f>IF(ISBLANK(P3382),"",U3382/N3382)</f>
        <v/>
      </c>
      <c r="W3382" s="81">
        <f>IF(ISBLANK(P3382),"",IF(S3382=0,(365/0.5)*V3382,(365/S3382)*V3382))</f>
        <v/>
      </c>
      <c r="X3382" s="75" t="n"/>
      <c r="Y3382" s="77" t="n"/>
      <c r="Z3382" s="77" t="n"/>
      <c r="AA3382" s="75" t="n"/>
      <c r="AB3382" s="75" t="n"/>
      <c r="AC3382" s="6" t="n"/>
      <c r="AD3382" s="75" t="n"/>
      <c r="AE3382" s="75" t="n"/>
      <c r="AF3382" s="75" t="n"/>
    </row>
    <row r="3383" ht="15.75" customHeight="1" s="133">
      <c r="A3383" s="75" t="n"/>
      <c r="B3383" s="75" t="n"/>
      <c r="C3383" s="75" t="n"/>
      <c r="D3383" s="75" t="n"/>
      <c r="E3383" s="76" t="n"/>
      <c r="F3383" s="77" t="n"/>
      <c r="G3383" s="75" t="n"/>
      <c r="H3383" s="75">
        <f>IF(ISBLANK(E3383),"",IF(OR(D3383="Butterfly",D3383="Butterfly ",D3383="Iron Fly", D3383="Iron Fly "),LEN(E3383)-LEN(SUBSTITUTE(E3383,"/",""))+2,LEN(E3383)-LEN(SUBSTITUTE(E3383,"/",""))+1))</f>
        <v/>
      </c>
      <c r="I3383" s="78">
        <f>IF(ISBLANK(G3383),"",IF(D3383="Stock","0",Key!$A$3*H3383*G3383))</f>
        <v/>
      </c>
      <c r="J3383" s="78">
        <f>IF(ISBLANK(E3383),"",IF(ISNUMBER(SEARCH("/",E3383)), IF(LEN(E3383)-LEN(SUBSTITUTE(E3383,"/",""))=1,(RIGHT(E3383,LEN(E3383)-FIND("/",E3383)))-(LEFT(E3383,FIND("/",E3383)-1)),(MID(E3383, SEARCH("/",E3383) + 1, SEARCH("/",E3383, SEARCH("/",E3383)+1) - SEARCH("/",E3383) - 1))-(LEFT(E3383,FIND("/",E3383)-1))), "NA"))</f>
        <v/>
      </c>
      <c r="K3383" s="79">
        <f>IF(A3383&lt;&gt;"", IF(ISBLANK(L3383), TODAY(), K3383), "")</f>
        <v/>
      </c>
      <c r="L3383" s="78" t="n"/>
      <c r="M3383" s="78">
        <f>IF(ISBLANK(L3383),"",IF(D3383="Stock",IF(C3383="Buy",L3383*G3383,IF(C3383="Sell",(L3383*G3383)-I3383, X)),IF(C3383="Buy",(L3383*G3383*100)+I3383,IF(C3383="Sell",(L3383*G3383*100)-I3383, X))))</f>
        <v/>
      </c>
      <c r="N3383" s="78">
        <f>IF(ISBLANK(L3383),"",IF(AND(C3383="Sell",D3383="Stock"),M3383,IF(ISBLANK(L3383),"",IF(C3383="Buy",M3383, IF(AND(C3383="Sell",J3383="NA"),(E3383*G3383*100*0.1)+I3383, IF(C3383="Sell",(J3383-L3383)*(100*G3383)+I3383))))))</f>
        <v/>
      </c>
      <c r="O3383" s="75" t="n"/>
      <c r="P3383" s="75" t="n"/>
      <c r="Q3383" s="75">
        <f>IF(ISBLANK(P3383),"",IF(D3383="Stock",P3383*G3383,IF(P3383=0,"0",G3383*P3383*100-(G3383*$AF$14))))</f>
        <v/>
      </c>
      <c r="R3383" s="79">
        <f>IF(P3383&lt;&gt;"", TODAY(), "")</f>
        <v/>
      </c>
      <c r="S3383" s="78">
        <f>IF(AND(K3383&lt;&gt;"", R3383&lt;&gt;""), R3383-K3383, "")</f>
        <v/>
      </c>
      <c r="T3383" s="78" t="n"/>
      <c r="U3383" s="92">
        <f>IF(ISBLANK(P3383),"",IF(C3383="Buy",Q3383-M3383+T3383, IF(C3383="Sell",M3383-Q3383-T3383, X)))</f>
        <v/>
      </c>
      <c r="V3383" s="81">
        <f>IF(ISBLANK(P3383),"",U3383/N3383)</f>
        <v/>
      </c>
      <c r="W3383" s="81">
        <f>IF(ISBLANK(P3383),"",IF(S3383=0,(365/0.5)*V3383,(365/S3383)*V3383))</f>
        <v/>
      </c>
      <c r="X3383" s="75" t="n"/>
      <c r="Y3383" s="77" t="n"/>
      <c r="Z3383" s="77" t="n"/>
      <c r="AA3383" s="75" t="n"/>
      <c r="AB3383" s="75" t="n"/>
      <c r="AC3383" s="6" t="n"/>
      <c r="AD3383" s="75" t="n"/>
      <c r="AE3383" s="75" t="n"/>
      <c r="AF3383" s="75" t="n"/>
    </row>
    <row r="3384" ht="15.75" customHeight="1" s="133">
      <c r="A3384" s="75" t="n"/>
      <c r="B3384" s="75" t="n"/>
      <c r="C3384" s="75" t="n"/>
      <c r="D3384" s="75" t="n"/>
      <c r="E3384" s="76" t="n"/>
      <c r="F3384" s="77" t="n"/>
      <c r="G3384" s="75" t="n"/>
      <c r="H3384" s="75">
        <f>IF(ISBLANK(E3384),"",IF(OR(D3384="Butterfly",D3384="Butterfly ",D3384="Iron Fly", D3384="Iron Fly "),LEN(E3384)-LEN(SUBSTITUTE(E3384,"/",""))+2,LEN(E3384)-LEN(SUBSTITUTE(E3384,"/",""))+1))</f>
        <v/>
      </c>
      <c r="I3384" s="78">
        <f>IF(ISBLANK(G3384),"",IF(D3384="Stock","0",Key!$A$3*H3384*G3384))</f>
        <v/>
      </c>
      <c r="J3384" s="78">
        <f>IF(ISBLANK(E3384),"",IF(ISNUMBER(SEARCH("/",E3384)), IF(LEN(E3384)-LEN(SUBSTITUTE(E3384,"/",""))=1,(RIGHT(E3384,LEN(E3384)-FIND("/",E3384)))-(LEFT(E3384,FIND("/",E3384)-1)),(MID(E3384, SEARCH("/",E3384) + 1, SEARCH("/",E3384, SEARCH("/",E3384)+1) - SEARCH("/",E3384) - 1))-(LEFT(E3384,FIND("/",E3384)-1))), "NA"))</f>
        <v/>
      </c>
      <c r="K3384" s="79">
        <f>IF(A3384&lt;&gt;"", IF(ISBLANK(L3384), TODAY(), K3384), "")</f>
        <v/>
      </c>
      <c r="L3384" s="78" t="n"/>
      <c r="M3384" s="78">
        <f>IF(ISBLANK(L3384),"",IF(D3384="Stock",IF(C3384="Buy",L3384*G3384,IF(C3384="Sell",(L3384*G3384)-I3384, X)),IF(C3384="Buy",(L3384*G3384*100)+I3384,IF(C3384="Sell",(L3384*G3384*100)-I3384, X))))</f>
        <v/>
      </c>
      <c r="N3384" s="78">
        <f>IF(ISBLANK(L3384),"",IF(AND(C3384="Sell",D3384="Stock"),M3384,IF(ISBLANK(L3384),"",IF(C3384="Buy",M3384, IF(AND(C3384="Sell",J3384="NA"),(E3384*G3384*100*0.1)+I3384, IF(C3384="Sell",(J3384-L3384)*(100*G3384)+I3384))))))</f>
        <v/>
      </c>
      <c r="O3384" s="75" t="n"/>
      <c r="P3384" s="75" t="n"/>
      <c r="Q3384" s="75">
        <f>IF(ISBLANK(P3384),"",IF(D3384="Stock",P3384*G3384,IF(P3384=0,"0",G3384*P3384*100-(G3384*$AF$14))))</f>
        <v/>
      </c>
      <c r="R3384" s="79">
        <f>IF(P3384&lt;&gt;"", TODAY(), "")</f>
        <v/>
      </c>
      <c r="S3384" s="78">
        <f>IF(AND(K3384&lt;&gt;"", R3384&lt;&gt;""), R3384-K3384, "")</f>
        <v/>
      </c>
      <c r="T3384" s="78" t="n"/>
      <c r="U3384" s="92">
        <f>IF(ISBLANK(P3384),"",IF(C3384="Buy",Q3384-M3384+T3384, IF(C3384="Sell",M3384-Q3384-T3384, X)))</f>
        <v/>
      </c>
      <c r="V3384" s="81">
        <f>IF(ISBLANK(P3384),"",U3384/N3384)</f>
        <v/>
      </c>
      <c r="W3384" s="81">
        <f>IF(ISBLANK(P3384),"",IF(S3384=0,(365/0.5)*V3384,(365/S3384)*V3384))</f>
        <v/>
      </c>
      <c r="X3384" s="75" t="n"/>
      <c r="Y3384" s="77" t="n"/>
      <c r="Z3384" s="77" t="n"/>
      <c r="AA3384" s="75" t="n"/>
      <c r="AB3384" s="75" t="n"/>
      <c r="AC3384" s="6" t="n"/>
      <c r="AD3384" s="75" t="n"/>
      <c r="AE3384" s="75" t="n"/>
      <c r="AF3384" s="75" t="n"/>
    </row>
    <row r="3385" ht="15.75" customHeight="1" s="133">
      <c r="A3385" s="75" t="n"/>
      <c r="B3385" s="75" t="n"/>
      <c r="C3385" s="75" t="n"/>
      <c r="D3385" s="75" t="n"/>
      <c r="E3385" s="76" t="n"/>
      <c r="F3385" s="77" t="n"/>
      <c r="G3385" s="75" t="n"/>
      <c r="H3385" s="75">
        <f>IF(ISBLANK(E3385),"",IF(OR(D3385="Butterfly",D3385="Butterfly ",D3385="Iron Fly", D3385="Iron Fly "),LEN(E3385)-LEN(SUBSTITUTE(E3385,"/",""))+2,LEN(E3385)-LEN(SUBSTITUTE(E3385,"/",""))+1))</f>
        <v/>
      </c>
      <c r="I3385" s="78">
        <f>IF(ISBLANK(G3385),"",IF(D3385="Stock","0",Key!$A$3*H3385*G3385))</f>
        <v/>
      </c>
      <c r="J3385" s="78">
        <f>IF(ISBLANK(E3385),"",IF(ISNUMBER(SEARCH("/",E3385)), IF(LEN(E3385)-LEN(SUBSTITUTE(E3385,"/",""))=1,(RIGHT(E3385,LEN(E3385)-FIND("/",E3385)))-(LEFT(E3385,FIND("/",E3385)-1)),(MID(E3385, SEARCH("/",E3385) + 1, SEARCH("/",E3385, SEARCH("/",E3385)+1) - SEARCH("/",E3385) - 1))-(LEFT(E3385,FIND("/",E3385)-1))), "NA"))</f>
        <v/>
      </c>
      <c r="K3385" s="79">
        <f>IF(A3385&lt;&gt;"", IF(ISBLANK(L3385), TODAY(), K3385), "")</f>
        <v/>
      </c>
      <c r="L3385" s="78" t="n"/>
      <c r="M3385" s="78">
        <f>IF(ISBLANK(L3385),"",IF(D3385="Stock",IF(C3385="Buy",L3385*G3385,IF(C3385="Sell",(L3385*G3385)-I3385, X)),IF(C3385="Buy",(L3385*G3385*100)+I3385,IF(C3385="Sell",(L3385*G3385*100)-I3385, X))))</f>
        <v/>
      </c>
      <c r="N3385" s="78">
        <f>IF(ISBLANK(L3385),"",IF(AND(C3385="Sell",D3385="Stock"),M3385,IF(ISBLANK(L3385),"",IF(C3385="Buy",M3385, IF(AND(C3385="Sell",J3385="NA"),(E3385*G3385*100*0.1)+I3385, IF(C3385="Sell",(J3385-L3385)*(100*G3385)+I3385))))))</f>
        <v/>
      </c>
      <c r="O3385" s="75" t="n"/>
      <c r="P3385" s="75" t="n"/>
      <c r="Q3385" s="75">
        <f>IF(ISBLANK(P3385),"",IF(D3385="Stock",P3385*G3385,IF(P3385=0,"0",G3385*P3385*100-(G3385*$AF$14))))</f>
        <v/>
      </c>
      <c r="R3385" s="79">
        <f>IF(P3385&lt;&gt;"", TODAY(), "")</f>
        <v/>
      </c>
      <c r="S3385" s="78">
        <f>IF(AND(K3385&lt;&gt;"", R3385&lt;&gt;""), R3385-K3385, "")</f>
        <v/>
      </c>
      <c r="T3385" s="78" t="n"/>
      <c r="U3385" s="92">
        <f>IF(ISBLANK(P3385),"",IF(C3385="Buy",Q3385-M3385+T3385, IF(C3385="Sell",M3385-Q3385-T3385, X)))</f>
        <v/>
      </c>
      <c r="V3385" s="81">
        <f>IF(ISBLANK(P3385),"",U3385/N3385)</f>
        <v/>
      </c>
      <c r="W3385" s="81">
        <f>IF(ISBLANK(P3385),"",IF(S3385=0,(365/0.5)*V3385,(365/S3385)*V3385))</f>
        <v/>
      </c>
      <c r="X3385" s="75" t="n"/>
      <c r="Y3385" s="77" t="n"/>
      <c r="Z3385" s="77" t="n"/>
      <c r="AA3385" s="75" t="n"/>
      <c r="AB3385" s="75" t="n"/>
      <c r="AC3385" s="6" t="n"/>
      <c r="AD3385" s="75" t="n"/>
      <c r="AE3385" s="75" t="n"/>
      <c r="AF3385" s="75" t="n"/>
    </row>
    <row r="3386" ht="15.75" customHeight="1" s="133">
      <c r="A3386" s="75" t="n"/>
      <c r="B3386" s="75" t="n"/>
      <c r="C3386" s="75" t="n"/>
      <c r="D3386" s="75" t="n"/>
      <c r="E3386" s="76" t="n"/>
      <c r="F3386" s="77" t="n"/>
      <c r="G3386" s="75" t="n"/>
      <c r="H3386" s="75">
        <f>IF(ISBLANK(E3386),"",IF(OR(D3386="Butterfly",D3386="Butterfly ",D3386="Iron Fly", D3386="Iron Fly "),LEN(E3386)-LEN(SUBSTITUTE(E3386,"/",""))+2,LEN(E3386)-LEN(SUBSTITUTE(E3386,"/",""))+1))</f>
        <v/>
      </c>
      <c r="I3386" s="78">
        <f>IF(ISBLANK(G3386),"",IF(D3386="Stock","0",Key!$A$3*H3386*G3386))</f>
        <v/>
      </c>
      <c r="J3386" s="78">
        <f>IF(ISBLANK(E3386),"",IF(ISNUMBER(SEARCH("/",E3386)), IF(LEN(E3386)-LEN(SUBSTITUTE(E3386,"/",""))=1,(RIGHT(E3386,LEN(E3386)-FIND("/",E3386)))-(LEFT(E3386,FIND("/",E3386)-1)),(MID(E3386, SEARCH("/",E3386) + 1, SEARCH("/",E3386, SEARCH("/",E3386)+1) - SEARCH("/",E3386) - 1))-(LEFT(E3386,FIND("/",E3386)-1))), "NA"))</f>
        <v/>
      </c>
      <c r="K3386" s="79">
        <f>IF(A3386&lt;&gt;"", IF(ISBLANK(L3386), TODAY(), K3386), "")</f>
        <v/>
      </c>
      <c r="L3386" s="78" t="n"/>
      <c r="M3386" s="78">
        <f>IF(ISBLANK(L3386),"",IF(D3386="Stock",IF(C3386="Buy",L3386*G3386,IF(C3386="Sell",(L3386*G3386)-I3386, X)),IF(C3386="Buy",(L3386*G3386*100)+I3386,IF(C3386="Sell",(L3386*G3386*100)-I3386, X))))</f>
        <v/>
      </c>
      <c r="N3386" s="78">
        <f>IF(ISBLANK(L3386),"",IF(AND(C3386="Sell",D3386="Stock"),M3386,IF(ISBLANK(L3386),"",IF(C3386="Buy",M3386, IF(AND(C3386="Sell",J3386="NA"),(E3386*G3386*100*0.1)+I3386, IF(C3386="Sell",(J3386-L3386)*(100*G3386)+I3386))))))</f>
        <v/>
      </c>
      <c r="O3386" s="75" t="n"/>
      <c r="P3386" s="75" t="n"/>
      <c r="Q3386" s="75">
        <f>IF(ISBLANK(P3386),"",IF(D3386="Stock",P3386*G3386,IF(P3386=0,"0",G3386*P3386*100-(G3386*$AF$14))))</f>
        <v/>
      </c>
      <c r="R3386" s="79">
        <f>IF(P3386&lt;&gt;"", TODAY(), "")</f>
        <v/>
      </c>
      <c r="S3386" s="78">
        <f>IF(AND(K3386&lt;&gt;"", R3386&lt;&gt;""), R3386-K3386, "")</f>
        <v/>
      </c>
      <c r="T3386" s="78" t="n"/>
      <c r="U3386" s="92">
        <f>IF(ISBLANK(P3386),"",IF(C3386="Buy",Q3386-M3386+T3386, IF(C3386="Sell",M3386-Q3386-T3386, X)))</f>
        <v/>
      </c>
      <c r="V3386" s="81">
        <f>IF(ISBLANK(P3386),"",U3386/N3386)</f>
        <v/>
      </c>
      <c r="W3386" s="81">
        <f>IF(ISBLANK(P3386),"",IF(S3386=0,(365/0.5)*V3386,(365/S3386)*V3386))</f>
        <v/>
      </c>
      <c r="X3386" s="75" t="n"/>
      <c r="Y3386" s="77" t="n"/>
      <c r="Z3386" s="77" t="n"/>
      <c r="AA3386" s="75" t="n"/>
      <c r="AB3386" s="75" t="n"/>
      <c r="AC3386" s="6" t="n"/>
      <c r="AD3386" s="75" t="n"/>
      <c r="AE3386" s="75" t="n"/>
      <c r="AF3386" s="75" t="n"/>
    </row>
    <row r="3387" ht="15.75" customHeight="1" s="133">
      <c r="A3387" s="75" t="n"/>
      <c r="B3387" s="75" t="n"/>
      <c r="C3387" s="75" t="n"/>
      <c r="D3387" s="75" t="n"/>
      <c r="E3387" s="76" t="n"/>
      <c r="F3387" s="77" t="n"/>
      <c r="G3387" s="75" t="n"/>
      <c r="H3387" s="75">
        <f>IF(ISBLANK(E3387),"",IF(OR(D3387="Butterfly",D3387="Butterfly ",D3387="Iron Fly", D3387="Iron Fly "),LEN(E3387)-LEN(SUBSTITUTE(E3387,"/",""))+2,LEN(E3387)-LEN(SUBSTITUTE(E3387,"/",""))+1))</f>
        <v/>
      </c>
      <c r="I3387" s="78">
        <f>IF(ISBLANK(G3387),"",IF(D3387="Stock","0",Key!$A$3*H3387*G3387))</f>
        <v/>
      </c>
      <c r="J3387" s="78">
        <f>IF(ISBLANK(E3387),"",IF(ISNUMBER(SEARCH("/",E3387)), IF(LEN(E3387)-LEN(SUBSTITUTE(E3387,"/",""))=1,(RIGHT(E3387,LEN(E3387)-FIND("/",E3387)))-(LEFT(E3387,FIND("/",E3387)-1)),(MID(E3387, SEARCH("/",E3387) + 1, SEARCH("/",E3387, SEARCH("/",E3387)+1) - SEARCH("/",E3387) - 1))-(LEFT(E3387,FIND("/",E3387)-1))), "NA"))</f>
        <v/>
      </c>
      <c r="K3387" s="79">
        <f>IF(A3387&lt;&gt;"", IF(ISBLANK(L3387), TODAY(), K3387), "")</f>
        <v/>
      </c>
      <c r="L3387" s="78" t="n"/>
      <c r="M3387" s="78">
        <f>IF(ISBLANK(L3387),"",IF(D3387="Stock",IF(C3387="Buy",L3387*G3387,IF(C3387="Sell",(L3387*G3387)-I3387, X)),IF(C3387="Buy",(L3387*G3387*100)+I3387,IF(C3387="Sell",(L3387*G3387*100)-I3387, X))))</f>
        <v/>
      </c>
      <c r="N3387" s="78">
        <f>IF(ISBLANK(L3387),"",IF(AND(C3387="Sell",D3387="Stock"),M3387,IF(ISBLANK(L3387),"",IF(C3387="Buy",M3387, IF(AND(C3387="Sell",J3387="NA"),(E3387*G3387*100*0.1)+I3387, IF(C3387="Sell",(J3387-L3387)*(100*G3387)+I3387))))))</f>
        <v/>
      </c>
      <c r="O3387" s="75" t="n"/>
      <c r="P3387" s="75" t="n"/>
      <c r="Q3387" s="75">
        <f>IF(ISBLANK(P3387),"",IF(D3387="Stock",P3387*G3387,IF(P3387=0,"0",G3387*P3387*100-(G3387*$AF$14))))</f>
        <v/>
      </c>
      <c r="R3387" s="79">
        <f>IF(P3387&lt;&gt;"", TODAY(), "")</f>
        <v/>
      </c>
      <c r="S3387" s="78">
        <f>IF(AND(K3387&lt;&gt;"", R3387&lt;&gt;""), R3387-K3387, "")</f>
        <v/>
      </c>
      <c r="T3387" s="78" t="n"/>
      <c r="U3387" s="92">
        <f>IF(ISBLANK(P3387),"",IF(C3387="Buy",Q3387-M3387+T3387, IF(C3387="Sell",M3387-Q3387-T3387, X)))</f>
        <v/>
      </c>
      <c r="V3387" s="81">
        <f>IF(ISBLANK(P3387),"",U3387/N3387)</f>
        <v/>
      </c>
      <c r="W3387" s="81">
        <f>IF(ISBLANK(P3387),"",IF(S3387=0,(365/0.5)*V3387,(365/S3387)*V3387))</f>
        <v/>
      </c>
      <c r="X3387" s="75" t="n"/>
      <c r="Y3387" s="77" t="n"/>
      <c r="Z3387" s="77" t="n"/>
      <c r="AA3387" s="75" t="n"/>
      <c r="AB3387" s="75" t="n"/>
      <c r="AC3387" s="6" t="n"/>
      <c r="AD3387" s="75" t="n"/>
      <c r="AE3387" s="75" t="n"/>
      <c r="AF3387" s="75" t="n"/>
    </row>
    <row r="3388" ht="15.75" customHeight="1" s="133">
      <c r="A3388" s="75" t="n"/>
      <c r="B3388" s="75" t="n"/>
      <c r="C3388" s="75" t="n"/>
      <c r="D3388" s="75" t="n"/>
      <c r="E3388" s="76" t="n"/>
      <c r="F3388" s="77" t="n"/>
      <c r="G3388" s="75" t="n"/>
      <c r="H3388" s="75">
        <f>IF(ISBLANK(E3388),"",IF(OR(D3388="Butterfly",D3388="Butterfly ",D3388="Iron Fly", D3388="Iron Fly "),LEN(E3388)-LEN(SUBSTITUTE(E3388,"/",""))+2,LEN(E3388)-LEN(SUBSTITUTE(E3388,"/",""))+1))</f>
        <v/>
      </c>
      <c r="I3388" s="78">
        <f>IF(ISBLANK(G3388),"",IF(D3388="Stock","0",Key!$A$3*H3388*G3388))</f>
        <v/>
      </c>
      <c r="J3388" s="78">
        <f>IF(ISBLANK(E3388),"",IF(ISNUMBER(SEARCH("/",E3388)), IF(LEN(E3388)-LEN(SUBSTITUTE(E3388,"/",""))=1,(RIGHT(E3388,LEN(E3388)-FIND("/",E3388)))-(LEFT(E3388,FIND("/",E3388)-1)),(MID(E3388, SEARCH("/",E3388) + 1, SEARCH("/",E3388, SEARCH("/",E3388)+1) - SEARCH("/",E3388) - 1))-(LEFT(E3388,FIND("/",E3388)-1))), "NA"))</f>
        <v/>
      </c>
      <c r="K3388" s="79">
        <f>IF(A3388&lt;&gt;"", IF(ISBLANK(L3388), TODAY(), K3388), "")</f>
        <v/>
      </c>
      <c r="L3388" s="78" t="n"/>
      <c r="M3388" s="78">
        <f>IF(ISBLANK(L3388),"",IF(D3388="Stock",IF(C3388="Buy",L3388*G3388,IF(C3388="Sell",(L3388*G3388)-I3388, X)),IF(C3388="Buy",(L3388*G3388*100)+I3388,IF(C3388="Sell",(L3388*G3388*100)-I3388, X))))</f>
        <v/>
      </c>
      <c r="N3388" s="78">
        <f>IF(ISBLANK(L3388),"",IF(AND(C3388="Sell",D3388="Stock"),M3388,IF(ISBLANK(L3388),"",IF(C3388="Buy",M3388, IF(AND(C3388="Sell",J3388="NA"),(E3388*G3388*100*0.1)+I3388, IF(C3388="Sell",(J3388-L3388)*(100*G3388)+I3388))))))</f>
        <v/>
      </c>
      <c r="O3388" s="75" t="n"/>
      <c r="P3388" s="75" t="n"/>
      <c r="Q3388" s="75">
        <f>IF(ISBLANK(P3388),"",IF(D3388="Stock",P3388*G3388,IF(P3388=0,"0",G3388*P3388*100-(G3388*$AF$14))))</f>
        <v/>
      </c>
      <c r="R3388" s="79">
        <f>IF(P3388&lt;&gt;"", TODAY(), "")</f>
        <v/>
      </c>
      <c r="S3388" s="78">
        <f>IF(AND(K3388&lt;&gt;"", R3388&lt;&gt;""), R3388-K3388, "")</f>
        <v/>
      </c>
      <c r="T3388" s="78" t="n"/>
      <c r="U3388" s="92">
        <f>IF(ISBLANK(P3388),"",IF(C3388="Buy",Q3388-M3388+T3388, IF(C3388="Sell",M3388-Q3388-T3388, X)))</f>
        <v/>
      </c>
      <c r="V3388" s="81">
        <f>IF(ISBLANK(P3388),"",U3388/N3388)</f>
        <v/>
      </c>
      <c r="W3388" s="81">
        <f>IF(ISBLANK(P3388),"",IF(S3388=0,(365/0.5)*V3388,(365/S3388)*V3388))</f>
        <v/>
      </c>
      <c r="X3388" s="75" t="n"/>
      <c r="Y3388" s="77" t="n"/>
      <c r="Z3388" s="77" t="n"/>
      <c r="AA3388" s="75" t="n"/>
      <c r="AB3388" s="75" t="n"/>
      <c r="AC3388" s="6" t="n"/>
      <c r="AD3388" s="75" t="n"/>
      <c r="AE3388" s="75" t="n"/>
      <c r="AF3388" s="75" t="n"/>
    </row>
    <row r="3389" ht="15.75" customHeight="1" s="133">
      <c r="A3389" s="75" t="n"/>
      <c r="B3389" s="75" t="n"/>
      <c r="C3389" s="75" t="n"/>
      <c r="D3389" s="75" t="n"/>
      <c r="E3389" s="76" t="n"/>
      <c r="F3389" s="77" t="n"/>
      <c r="G3389" s="75" t="n"/>
      <c r="H3389" s="75">
        <f>IF(ISBLANK(E3389),"",IF(OR(D3389="Butterfly",D3389="Butterfly ",D3389="Iron Fly", D3389="Iron Fly "),LEN(E3389)-LEN(SUBSTITUTE(E3389,"/",""))+2,LEN(E3389)-LEN(SUBSTITUTE(E3389,"/",""))+1))</f>
        <v/>
      </c>
      <c r="I3389" s="78">
        <f>IF(ISBLANK(G3389),"",IF(D3389="Stock","0",Key!$A$3*H3389*G3389))</f>
        <v/>
      </c>
      <c r="J3389" s="78">
        <f>IF(ISBLANK(E3389),"",IF(ISNUMBER(SEARCH("/",E3389)), IF(LEN(E3389)-LEN(SUBSTITUTE(E3389,"/",""))=1,(RIGHT(E3389,LEN(E3389)-FIND("/",E3389)))-(LEFT(E3389,FIND("/",E3389)-1)),(MID(E3389, SEARCH("/",E3389) + 1, SEARCH("/",E3389, SEARCH("/",E3389)+1) - SEARCH("/",E3389) - 1))-(LEFT(E3389,FIND("/",E3389)-1))), "NA"))</f>
        <v/>
      </c>
      <c r="K3389" s="79">
        <f>IF(A3389&lt;&gt;"", IF(ISBLANK(L3389), TODAY(), K3389), "")</f>
        <v/>
      </c>
      <c r="L3389" s="78" t="n"/>
      <c r="M3389" s="78">
        <f>IF(ISBLANK(L3389),"",IF(D3389="Stock",IF(C3389="Buy",L3389*G3389,IF(C3389="Sell",(L3389*G3389)-I3389, X)),IF(C3389="Buy",(L3389*G3389*100)+I3389,IF(C3389="Sell",(L3389*G3389*100)-I3389, X))))</f>
        <v/>
      </c>
      <c r="N3389" s="78">
        <f>IF(ISBLANK(L3389),"",IF(AND(C3389="Sell",D3389="Stock"),M3389,IF(ISBLANK(L3389),"",IF(C3389="Buy",M3389, IF(AND(C3389="Sell",J3389="NA"),(E3389*G3389*100*0.1)+I3389, IF(C3389="Sell",(J3389-L3389)*(100*G3389)+I3389))))))</f>
        <v/>
      </c>
      <c r="O3389" s="75" t="n"/>
      <c r="P3389" s="75" t="n"/>
      <c r="Q3389" s="75">
        <f>IF(ISBLANK(P3389),"",IF(D3389="Stock",P3389*G3389,IF(P3389=0,"0",G3389*P3389*100-(G3389*$AF$14))))</f>
        <v/>
      </c>
      <c r="R3389" s="79">
        <f>IF(P3389&lt;&gt;"", TODAY(), "")</f>
        <v/>
      </c>
      <c r="S3389" s="78">
        <f>IF(AND(K3389&lt;&gt;"", R3389&lt;&gt;""), R3389-K3389, "")</f>
        <v/>
      </c>
      <c r="T3389" s="78" t="n"/>
      <c r="U3389" s="92">
        <f>IF(ISBLANK(P3389),"",IF(C3389="Buy",Q3389-M3389+T3389, IF(C3389="Sell",M3389-Q3389-T3389, X)))</f>
        <v/>
      </c>
      <c r="V3389" s="81">
        <f>IF(ISBLANK(P3389),"",U3389/N3389)</f>
        <v/>
      </c>
      <c r="W3389" s="81">
        <f>IF(ISBLANK(P3389),"",IF(S3389=0,(365/0.5)*V3389,(365/S3389)*V3389))</f>
        <v/>
      </c>
      <c r="X3389" s="75" t="n"/>
      <c r="Y3389" s="77" t="n"/>
      <c r="Z3389" s="77" t="n"/>
      <c r="AA3389" s="75" t="n"/>
      <c r="AB3389" s="75" t="n"/>
      <c r="AC3389" s="6" t="n"/>
      <c r="AD3389" s="75" t="n"/>
      <c r="AE3389" s="75" t="n"/>
      <c r="AF3389" s="75" t="n"/>
    </row>
    <row r="3390" ht="15.75" customHeight="1" s="133">
      <c r="A3390" s="75" t="n"/>
      <c r="B3390" s="75" t="n"/>
      <c r="C3390" s="75" t="n"/>
      <c r="D3390" s="75" t="n"/>
      <c r="E3390" s="76" t="n"/>
      <c r="F3390" s="77" t="n"/>
      <c r="G3390" s="75" t="n"/>
      <c r="H3390" s="75">
        <f>IF(ISBLANK(E3390),"",IF(OR(D3390="Butterfly",D3390="Butterfly ",D3390="Iron Fly", D3390="Iron Fly "),LEN(E3390)-LEN(SUBSTITUTE(E3390,"/",""))+2,LEN(E3390)-LEN(SUBSTITUTE(E3390,"/",""))+1))</f>
        <v/>
      </c>
      <c r="I3390" s="78">
        <f>IF(ISBLANK(G3390),"",IF(D3390="Stock","0",Key!$A$3*H3390*G3390))</f>
        <v/>
      </c>
      <c r="J3390" s="78">
        <f>IF(ISBLANK(E3390),"",IF(ISNUMBER(SEARCH("/",E3390)), IF(LEN(E3390)-LEN(SUBSTITUTE(E3390,"/",""))=1,(RIGHT(E3390,LEN(E3390)-FIND("/",E3390)))-(LEFT(E3390,FIND("/",E3390)-1)),(MID(E3390, SEARCH("/",E3390) + 1, SEARCH("/",E3390, SEARCH("/",E3390)+1) - SEARCH("/",E3390) - 1))-(LEFT(E3390,FIND("/",E3390)-1))), "NA"))</f>
        <v/>
      </c>
      <c r="K3390" s="79">
        <f>IF(A3390&lt;&gt;"", IF(ISBLANK(L3390), TODAY(), K3390), "")</f>
        <v/>
      </c>
      <c r="L3390" s="78" t="n"/>
      <c r="M3390" s="78">
        <f>IF(ISBLANK(L3390),"",IF(D3390="Stock",IF(C3390="Buy",L3390*G3390,IF(C3390="Sell",(L3390*G3390)-I3390, X)),IF(C3390="Buy",(L3390*G3390*100)+I3390,IF(C3390="Sell",(L3390*G3390*100)-I3390, X))))</f>
        <v/>
      </c>
      <c r="N3390" s="78">
        <f>IF(ISBLANK(L3390),"",IF(AND(C3390="Sell",D3390="Stock"),M3390,IF(ISBLANK(L3390),"",IF(C3390="Buy",M3390, IF(AND(C3390="Sell",J3390="NA"),(E3390*G3390*100*0.1)+I3390, IF(C3390="Sell",(J3390-L3390)*(100*G3390)+I3390))))))</f>
        <v/>
      </c>
      <c r="O3390" s="75" t="n"/>
      <c r="P3390" s="75" t="n"/>
      <c r="Q3390" s="75">
        <f>IF(ISBLANK(P3390),"",IF(D3390="Stock",P3390*G3390,IF(P3390=0,"0",G3390*P3390*100-(G3390*$AF$14))))</f>
        <v/>
      </c>
      <c r="R3390" s="79">
        <f>IF(P3390&lt;&gt;"", TODAY(), "")</f>
        <v/>
      </c>
      <c r="S3390" s="78">
        <f>IF(AND(K3390&lt;&gt;"", R3390&lt;&gt;""), R3390-K3390, "")</f>
        <v/>
      </c>
      <c r="T3390" s="78" t="n"/>
      <c r="U3390" s="92">
        <f>IF(ISBLANK(P3390),"",IF(C3390="Buy",Q3390-M3390+T3390, IF(C3390="Sell",M3390-Q3390-T3390, X)))</f>
        <v/>
      </c>
      <c r="V3390" s="81">
        <f>IF(ISBLANK(P3390),"",U3390/N3390)</f>
        <v/>
      </c>
      <c r="W3390" s="81">
        <f>IF(ISBLANK(P3390),"",IF(S3390=0,(365/0.5)*V3390,(365/S3390)*V3390))</f>
        <v/>
      </c>
      <c r="X3390" s="75" t="n"/>
      <c r="Y3390" s="77" t="n"/>
      <c r="Z3390" s="77" t="n"/>
      <c r="AA3390" s="75" t="n"/>
      <c r="AB3390" s="75" t="n"/>
      <c r="AC3390" s="6" t="n"/>
      <c r="AD3390" s="75" t="n"/>
      <c r="AE3390" s="75" t="n"/>
      <c r="AF3390" s="75" t="n"/>
    </row>
    <row r="3391" ht="15.75" customHeight="1" s="133">
      <c r="A3391" s="75" t="n"/>
      <c r="B3391" s="75" t="n"/>
      <c r="C3391" s="75" t="n"/>
      <c r="D3391" s="75" t="n"/>
      <c r="E3391" s="76" t="n"/>
      <c r="F3391" s="77" t="n"/>
      <c r="G3391" s="75" t="n"/>
      <c r="H3391" s="75">
        <f>IF(ISBLANK(E3391),"",IF(OR(D3391="Butterfly",D3391="Butterfly ",D3391="Iron Fly", D3391="Iron Fly "),LEN(E3391)-LEN(SUBSTITUTE(E3391,"/",""))+2,LEN(E3391)-LEN(SUBSTITUTE(E3391,"/",""))+1))</f>
        <v/>
      </c>
      <c r="I3391" s="78">
        <f>IF(ISBLANK(G3391),"",IF(D3391="Stock","0",Key!$A$3*H3391*G3391))</f>
        <v/>
      </c>
      <c r="J3391" s="78">
        <f>IF(ISBLANK(E3391),"",IF(ISNUMBER(SEARCH("/",E3391)), IF(LEN(E3391)-LEN(SUBSTITUTE(E3391,"/",""))=1,(RIGHT(E3391,LEN(E3391)-FIND("/",E3391)))-(LEFT(E3391,FIND("/",E3391)-1)),(MID(E3391, SEARCH("/",E3391) + 1, SEARCH("/",E3391, SEARCH("/",E3391)+1) - SEARCH("/",E3391) - 1))-(LEFT(E3391,FIND("/",E3391)-1))), "NA"))</f>
        <v/>
      </c>
      <c r="K3391" s="79">
        <f>IF(A3391&lt;&gt;"", IF(ISBLANK(L3391), TODAY(), K3391), "")</f>
        <v/>
      </c>
      <c r="L3391" s="78" t="n"/>
      <c r="M3391" s="78">
        <f>IF(ISBLANK(L3391),"",IF(D3391="Stock",IF(C3391="Buy",L3391*G3391,IF(C3391="Sell",(L3391*G3391)-I3391, X)),IF(C3391="Buy",(L3391*G3391*100)+I3391,IF(C3391="Sell",(L3391*G3391*100)-I3391, X))))</f>
        <v/>
      </c>
      <c r="N3391" s="78">
        <f>IF(ISBLANK(L3391),"",IF(AND(C3391="Sell",D3391="Stock"),M3391,IF(ISBLANK(L3391),"",IF(C3391="Buy",M3391, IF(AND(C3391="Sell",J3391="NA"),(E3391*G3391*100*0.1)+I3391, IF(C3391="Sell",(J3391-L3391)*(100*G3391)+I3391))))))</f>
        <v/>
      </c>
      <c r="O3391" s="75" t="n"/>
      <c r="P3391" s="75" t="n"/>
      <c r="Q3391" s="75">
        <f>IF(ISBLANK(P3391),"",IF(D3391="Stock",P3391*G3391,IF(P3391=0,"0",G3391*P3391*100-(G3391*$AF$14))))</f>
        <v/>
      </c>
      <c r="R3391" s="79">
        <f>IF(P3391&lt;&gt;"", TODAY(), "")</f>
        <v/>
      </c>
      <c r="S3391" s="78">
        <f>IF(AND(K3391&lt;&gt;"", R3391&lt;&gt;""), R3391-K3391, "")</f>
        <v/>
      </c>
      <c r="T3391" s="78" t="n"/>
      <c r="U3391" s="92">
        <f>IF(ISBLANK(P3391),"",IF(C3391="Buy",Q3391-M3391+T3391, IF(C3391="Sell",M3391-Q3391-T3391, X)))</f>
        <v/>
      </c>
      <c r="V3391" s="81">
        <f>IF(ISBLANK(P3391),"",U3391/N3391)</f>
        <v/>
      </c>
      <c r="W3391" s="81">
        <f>IF(ISBLANK(P3391),"",IF(S3391=0,(365/0.5)*V3391,(365/S3391)*V3391))</f>
        <v/>
      </c>
      <c r="X3391" s="75" t="n"/>
      <c r="Y3391" s="77" t="n"/>
      <c r="Z3391" s="77" t="n"/>
      <c r="AA3391" s="75" t="n"/>
      <c r="AB3391" s="75" t="n"/>
      <c r="AC3391" s="6" t="n"/>
      <c r="AD3391" s="75" t="n"/>
      <c r="AE3391" s="75" t="n"/>
      <c r="AF3391" s="75" t="n"/>
    </row>
    <row r="3392" ht="15.75" customHeight="1" s="133">
      <c r="A3392" s="75" t="n"/>
      <c r="B3392" s="75" t="n"/>
      <c r="C3392" s="75" t="n"/>
      <c r="D3392" s="75" t="n"/>
      <c r="E3392" s="76" t="n"/>
      <c r="F3392" s="77" t="n"/>
      <c r="G3392" s="75" t="n"/>
      <c r="H3392" s="75">
        <f>IF(ISBLANK(E3392),"",IF(OR(D3392="Butterfly",D3392="Butterfly ",D3392="Iron Fly", D3392="Iron Fly "),LEN(E3392)-LEN(SUBSTITUTE(E3392,"/",""))+2,LEN(E3392)-LEN(SUBSTITUTE(E3392,"/",""))+1))</f>
        <v/>
      </c>
      <c r="I3392" s="78">
        <f>IF(ISBLANK(G3392),"",IF(D3392="Stock","0",Key!$A$3*H3392*G3392))</f>
        <v/>
      </c>
      <c r="J3392" s="78">
        <f>IF(ISBLANK(E3392),"",IF(ISNUMBER(SEARCH("/",E3392)), IF(LEN(E3392)-LEN(SUBSTITUTE(E3392,"/",""))=1,(RIGHT(E3392,LEN(E3392)-FIND("/",E3392)))-(LEFT(E3392,FIND("/",E3392)-1)),(MID(E3392, SEARCH("/",E3392) + 1, SEARCH("/",E3392, SEARCH("/",E3392)+1) - SEARCH("/",E3392) - 1))-(LEFT(E3392,FIND("/",E3392)-1))), "NA"))</f>
        <v/>
      </c>
      <c r="K3392" s="79">
        <f>IF(A3392&lt;&gt;"", IF(ISBLANK(L3392), TODAY(), K3392), "")</f>
        <v/>
      </c>
      <c r="L3392" s="78" t="n"/>
      <c r="M3392" s="78">
        <f>IF(ISBLANK(L3392),"",IF(D3392="Stock",IF(C3392="Buy",L3392*G3392,IF(C3392="Sell",(L3392*G3392)-I3392, X)),IF(C3392="Buy",(L3392*G3392*100)+I3392,IF(C3392="Sell",(L3392*G3392*100)-I3392, X))))</f>
        <v/>
      </c>
      <c r="N3392" s="78">
        <f>IF(ISBLANK(L3392),"",IF(AND(C3392="Sell",D3392="Stock"),M3392,IF(ISBLANK(L3392),"",IF(C3392="Buy",M3392, IF(AND(C3392="Sell",J3392="NA"),(E3392*G3392*100*0.1)+I3392, IF(C3392="Sell",(J3392-L3392)*(100*G3392)+I3392))))))</f>
        <v/>
      </c>
      <c r="O3392" s="75" t="n"/>
      <c r="P3392" s="75" t="n"/>
      <c r="Q3392" s="75">
        <f>IF(ISBLANK(P3392),"",IF(D3392="Stock",P3392*G3392,IF(P3392=0,"0",G3392*P3392*100-(G3392*$AF$14))))</f>
        <v/>
      </c>
      <c r="R3392" s="79">
        <f>IF(P3392&lt;&gt;"", TODAY(), "")</f>
        <v/>
      </c>
      <c r="S3392" s="78">
        <f>IF(AND(K3392&lt;&gt;"", R3392&lt;&gt;""), R3392-K3392, "")</f>
        <v/>
      </c>
      <c r="T3392" s="78" t="n"/>
      <c r="U3392" s="92">
        <f>IF(ISBLANK(P3392),"",IF(C3392="Buy",Q3392-M3392+T3392, IF(C3392="Sell",M3392-Q3392-T3392, X)))</f>
        <v/>
      </c>
      <c r="V3392" s="81">
        <f>IF(ISBLANK(P3392),"",U3392/N3392)</f>
        <v/>
      </c>
      <c r="W3392" s="81">
        <f>IF(ISBLANK(P3392),"",IF(S3392=0,(365/0.5)*V3392,(365/S3392)*V3392))</f>
        <v/>
      </c>
      <c r="X3392" s="75" t="n"/>
      <c r="Y3392" s="77" t="n"/>
      <c r="Z3392" s="77" t="n"/>
      <c r="AA3392" s="75" t="n"/>
      <c r="AB3392" s="75" t="n"/>
      <c r="AC3392" s="6" t="n"/>
      <c r="AD3392" s="75" t="n"/>
      <c r="AE3392" s="75" t="n"/>
      <c r="AF3392" s="75" t="n"/>
    </row>
    <row r="3393" ht="15.75" customHeight="1" s="133">
      <c r="A3393" s="75" t="n"/>
      <c r="B3393" s="75" t="n"/>
      <c r="C3393" s="75" t="n"/>
      <c r="D3393" s="75" t="n"/>
      <c r="E3393" s="76" t="n"/>
      <c r="F3393" s="77" t="n"/>
      <c r="G3393" s="75" t="n"/>
      <c r="H3393" s="75">
        <f>IF(ISBLANK(E3393),"",IF(OR(D3393="Butterfly",D3393="Butterfly ",D3393="Iron Fly", D3393="Iron Fly "),LEN(E3393)-LEN(SUBSTITUTE(E3393,"/",""))+2,LEN(E3393)-LEN(SUBSTITUTE(E3393,"/",""))+1))</f>
        <v/>
      </c>
      <c r="I3393" s="78">
        <f>IF(ISBLANK(G3393),"",IF(D3393="Stock","0",Key!$A$3*H3393*G3393))</f>
        <v/>
      </c>
      <c r="J3393" s="78">
        <f>IF(ISBLANK(E3393),"",IF(ISNUMBER(SEARCH("/",E3393)), IF(LEN(E3393)-LEN(SUBSTITUTE(E3393,"/",""))=1,(RIGHT(E3393,LEN(E3393)-FIND("/",E3393)))-(LEFT(E3393,FIND("/",E3393)-1)),(MID(E3393, SEARCH("/",E3393) + 1, SEARCH("/",E3393, SEARCH("/",E3393)+1) - SEARCH("/",E3393) - 1))-(LEFT(E3393,FIND("/",E3393)-1))), "NA"))</f>
        <v/>
      </c>
      <c r="K3393" s="79">
        <f>IF(A3393&lt;&gt;"", IF(ISBLANK(L3393), TODAY(), K3393), "")</f>
        <v/>
      </c>
      <c r="L3393" s="78" t="n"/>
      <c r="M3393" s="78">
        <f>IF(ISBLANK(L3393),"",IF(D3393="Stock",IF(C3393="Buy",L3393*G3393,IF(C3393="Sell",(L3393*G3393)-I3393, X)),IF(C3393="Buy",(L3393*G3393*100)+I3393,IF(C3393="Sell",(L3393*G3393*100)-I3393, X))))</f>
        <v/>
      </c>
      <c r="N3393" s="78">
        <f>IF(ISBLANK(L3393),"",IF(AND(C3393="Sell",D3393="Stock"),M3393,IF(ISBLANK(L3393),"",IF(C3393="Buy",M3393, IF(AND(C3393="Sell",J3393="NA"),(E3393*G3393*100*0.1)+I3393, IF(C3393="Sell",(J3393-L3393)*(100*G3393)+I3393))))))</f>
        <v/>
      </c>
      <c r="O3393" s="75" t="n"/>
      <c r="P3393" s="75" t="n"/>
      <c r="Q3393" s="75">
        <f>IF(ISBLANK(P3393),"",IF(D3393="Stock",P3393*G3393,IF(P3393=0,"0",G3393*P3393*100-(G3393*$AF$14))))</f>
        <v/>
      </c>
      <c r="R3393" s="79">
        <f>IF(P3393&lt;&gt;"", TODAY(), "")</f>
        <v/>
      </c>
      <c r="S3393" s="78">
        <f>IF(AND(K3393&lt;&gt;"", R3393&lt;&gt;""), R3393-K3393, "")</f>
        <v/>
      </c>
      <c r="T3393" s="78" t="n"/>
      <c r="U3393" s="92">
        <f>IF(ISBLANK(P3393),"",IF(C3393="Buy",Q3393-M3393+T3393, IF(C3393="Sell",M3393-Q3393-T3393, X)))</f>
        <v/>
      </c>
      <c r="V3393" s="81">
        <f>IF(ISBLANK(P3393),"",U3393/N3393)</f>
        <v/>
      </c>
      <c r="W3393" s="81">
        <f>IF(ISBLANK(P3393),"",IF(S3393=0,(365/0.5)*V3393,(365/S3393)*V3393))</f>
        <v/>
      </c>
      <c r="X3393" s="75" t="n"/>
      <c r="Y3393" s="77" t="n"/>
      <c r="Z3393" s="77" t="n"/>
      <c r="AA3393" s="75" t="n"/>
      <c r="AB3393" s="75" t="n"/>
      <c r="AC3393" s="6" t="n"/>
      <c r="AD3393" s="75" t="n"/>
      <c r="AE3393" s="75" t="n"/>
      <c r="AF3393" s="75" t="n"/>
    </row>
    <row r="3394" ht="15.75" customHeight="1" s="133">
      <c r="A3394" s="75" t="n"/>
      <c r="B3394" s="75" t="n"/>
      <c r="C3394" s="75" t="n"/>
      <c r="D3394" s="75" t="n"/>
      <c r="E3394" s="76" t="n"/>
      <c r="F3394" s="77" t="n"/>
      <c r="G3394" s="75" t="n"/>
      <c r="H3394" s="75">
        <f>IF(ISBLANK(E3394),"",IF(OR(D3394="Butterfly",D3394="Butterfly ",D3394="Iron Fly", D3394="Iron Fly "),LEN(E3394)-LEN(SUBSTITUTE(E3394,"/",""))+2,LEN(E3394)-LEN(SUBSTITUTE(E3394,"/",""))+1))</f>
        <v/>
      </c>
      <c r="I3394" s="78">
        <f>IF(ISBLANK(G3394),"",IF(D3394="Stock","0",Key!$A$3*H3394*G3394))</f>
        <v/>
      </c>
      <c r="J3394" s="78">
        <f>IF(ISBLANK(E3394),"",IF(ISNUMBER(SEARCH("/",E3394)), IF(LEN(E3394)-LEN(SUBSTITUTE(E3394,"/",""))=1,(RIGHT(E3394,LEN(E3394)-FIND("/",E3394)))-(LEFT(E3394,FIND("/",E3394)-1)),(MID(E3394, SEARCH("/",E3394) + 1, SEARCH("/",E3394, SEARCH("/",E3394)+1) - SEARCH("/",E3394) - 1))-(LEFT(E3394,FIND("/",E3394)-1))), "NA"))</f>
        <v/>
      </c>
      <c r="K3394" s="79">
        <f>IF(A3394&lt;&gt;"", IF(ISBLANK(L3394), TODAY(), K3394), "")</f>
        <v/>
      </c>
      <c r="L3394" s="78" t="n"/>
      <c r="M3394" s="78">
        <f>IF(ISBLANK(L3394),"",IF(D3394="Stock",IF(C3394="Buy",L3394*G3394,IF(C3394="Sell",(L3394*G3394)-I3394, X)),IF(C3394="Buy",(L3394*G3394*100)+I3394,IF(C3394="Sell",(L3394*G3394*100)-I3394, X))))</f>
        <v/>
      </c>
      <c r="N3394" s="78">
        <f>IF(ISBLANK(L3394),"",IF(AND(C3394="Sell",D3394="Stock"),M3394,IF(ISBLANK(L3394),"",IF(C3394="Buy",M3394, IF(AND(C3394="Sell",J3394="NA"),(E3394*G3394*100*0.1)+I3394, IF(C3394="Sell",(J3394-L3394)*(100*G3394)+I3394))))))</f>
        <v/>
      </c>
      <c r="O3394" s="75" t="n"/>
      <c r="P3394" s="75" t="n"/>
      <c r="Q3394" s="75">
        <f>IF(ISBLANK(P3394),"",IF(D3394="Stock",P3394*G3394,IF(P3394=0,"0",G3394*P3394*100-(G3394*$AF$14))))</f>
        <v/>
      </c>
      <c r="R3394" s="79">
        <f>IF(P3394&lt;&gt;"", TODAY(), "")</f>
        <v/>
      </c>
      <c r="S3394" s="78">
        <f>IF(AND(K3394&lt;&gt;"", R3394&lt;&gt;""), R3394-K3394, "")</f>
        <v/>
      </c>
      <c r="T3394" s="78" t="n"/>
      <c r="U3394" s="92">
        <f>IF(ISBLANK(P3394),"",IF(C3394="Buy",Q3394-M3394+T3394, IF(C3394="Sell",M3394-Q3394-T3394, X)))</f>
        <v/>
      </c>
      <c r="V3394" s="81">
        <f>IF(ISBLANK(P3394),"",U3394/N3394)</f>
        <v/>
      </c>
      <c r="W3394" s="81">
        <f>IF(ISBLANK(P3394),"",IF(S3394=0,(365/0.5)*V3394,(365/S3394)*V3394))</f>
        <v/>
      </c>
      <c r="X3394" s="75" t="n"/>
      <c r="Y3394" s="77" t="n"/>
      <c r="Z3394" s="77" t="n"/>
      <c r="AA3394" s="75" t="n"/>
      <c r="AB3394" s="75" t="n"/>
      <c r="AC3394" s="6" t="n"/>
      <c r="AD3394" s="75" t="n"/>
      <c r="AE3394" s="75" t="n"/>
      <c r="AF3394" s="75" t="n"/>
    </row>
    <row r="3395" ht="15.75" customHeight="1" s="133">
      <c r="A3395" s="75" t="n"/>
      <c r="B3395" s="75" t="n"/>
      <c r="C3395" s="75" t="n"/>
      <c r="D3395" s="75" t="n"/>
      <c r="E3395" s="76" t="n"/>
      <c r="F3395" s="77" t="n"/>
      <c r="G3395" s="75" t="n"/>
      <c r="H3395" s="75">
        <f>IF(ISBLANK(E3395),"",IF(OR(D3395="Butterfly",D3395="Butterfly ",D3395="Iron Fly", D3395="Iron Fly "),LEN(E3395)-LEN(SUBSTITUTE(E3395,"/",""))+2,LEN(E3395)-LEN(SUBSTITUTE(E3395,"/",""))+1))</f>
        <v/>
      </c>
      <c r="I3395" s="78">
        <f>IF(ISBLANK(G3395),"",IF(D3395="Stock","0",Key!$A$3*H3395*G3395))</f>
        <v/>
      </c>
      <c r="J3395" s="78">
        <f>IF(ISBLANK(E3395),"",IF(ISNUMBER(SEARCH("/",E3395)), IF(LEN(E3395)-LEN(SUBSTITUTE(E3395,"/",""))=1,(RIGHT(E3395,LEN(E3395)-FIND("/",E3395)))-(LEFT(E3395,FIND("/",E3395)-1)),(MID(E3395, SEARCH("/",E3395) + 1, SEARCH("/",E3395, SEARCH("/",E3395)+1) - SEARCH("/",E3395) - 1))-(LEFT(E3395,FIND("/",E3395)-1))), "NA"))</f>
        <v/>
      </c>
      <c r="K3395" s="79">
        <f>IF(A3395&lt;&gt;"", IF(ISBLANK(L3395), TODAY(), K3395), "")</f>
        <v/>
      </c>
      <c r="L3395" s="78" t="n"/>
      <c r="M3395" s="78">
        <f>IF(ISBLANK(L3395),"",IF(D3395="Stock",IF(C3395="Buy",L3395*G3395,IF(C3395="Sell",(L3395*G3395)-I3395, X)),IF(C3395="Buy",(L3395*G3395*100)+I3395,IF(C3395="Sell",(L3395*G3395*100)-I3395, X))))</f>
        <v/>
      </c>
      <c r="N3395" s="78">
        <f>IF(ISBLANK(L3395),"",IF(AND(C3395="Sell",D3395="Stock"),M3395,IF(ISBLANK(L3395),"",IF(C3395="Buy",M3395, IF(AND(C3395="Sell",J3395="NA"),(E3395*G3395*100*0.1)+I3395, IF(C3395="Sell",(J3395-L3395)*(100*G3395)+I3395))))))</f>
        <v/>
      </c>
      <c r="O3395" s="75" t="n"/>
      <c r="P3395" s="75" t="n"/>
      <c r="Q3395" s="75">
        <f>IF(ISBLANK(P3395),"",IF(D3395="Stock",P3395*G3395,IF(P3395=0,"0",G3395*P3395*100-(G3395*$AF$14))))</f>
        <v/>
      </c>
      <c r="R3395" s="79">
        <f>IF(P3395&lt;&gt;"", TODAY(), "")</f>
        <v/>
      </c>
      <c r="S3395" s="78">
        <f>IF(AND(K3395&lt;&gt;"", R3395&lt;&gt;""), R3395-K3395, "")</f>
        <v/>
      </c>
      <c r="T3395" s="78" t="n"/>
      <c r="U3395" s="92">
        <f>IF(ISBLANK(P3395),"",IF(C3395="Buy",Q3395-M3395+T3395, IF(C3395="Sell",M3395-Q3395-T3395, X)))</f>
        <v/>
      </c>
      <c r="V3395" s="81">
        <f>IF(ISBLANK(P3395),"",U3395/N3395)</f>
        <v/>
      </c>
      <c r="W3395" s="81">
        <f>IF(ISBLANK(P3395),"",IF(S3395=0,(365/0.5)*V3395,(365/S3395)*V3395))</f>
        <v/>
      </c>
      <c r="X3395" s="75" t="n"/>
      <c r="Y3395" s="77" t="n"/>
      <c r="Z3395" s="77" t="n"/>
      <c r="AA3395" s="75" t="n"/>
      <c r="AB3395" s="75" t="n"/>
      <c r="AC3395" s="6" t="n"/>
      <c r="AD3395" s="75" t="n"/>
      <c r="AE3395" s="75" t="n"/>
      <c r="AF3395" s="75" t="n"/>
    </row>
    <row r="3396" ht="15.75" customHeight="1" s="133">
      <c r="A3396" s="75" t="n"/>
      <c r="B3396" s="75" t="n"/>
      <c r="C3396" s="75" t="n"/>
      <c r="D3396" s="75" t="n"/>
      <c r="E3396" s="76" t="n"/>
      <c r="F3396" s="77" t="n"/>
      <c r="G3396" s="75" t="n"/>
      <c r="H3396" s="75">
        <f>IF(ISBLANK(E3396),"",IF(OR(D3396="Butterfly",D3396="Butterfly ",D3396="Iron Fly", D3396="Iron Fly "),LEN(E3396)-LEN(SUBSTITUTE(E3396,"/",""))+2,LEN(E3396)-LEN(SUBSTITUTE(E3396,"/",""))+1))</f>
        <v/>
      </c>
      <c r="I3396" s="78">
        <f>IF(ISBLANK(G3396),"",IF(D3396="Stock","0",Key!$A$3*H3396*G3396))</f>
        <v/>
      </c>
      <c r="J3396" s="78">
        <f>IF(ISBLANK(E3396),"",IF(ISNUMBER(SEARCH("/",E3396)), IF(LEN(E3396)-LEN(SUBSTITUTE(E3396,"/",""))=1,(RIGHT(E3396,LEN(E3396)-FIND("/",E3396)))-(LEFT(E3396,FIND("/",E3396)-1)),(MID(E3396, SEARCH("/",E3396) + 1, SEARCH("/",E3396, SEARCH("/",E3396)+1) - SEARCH("/",E3396) - 1))-(LEFT(E3396,FIND("/",E3396)-1))), "NA"))</f>
        <v/>
      </c>
      <c r="K3396" s="79">
        <f>IF(A3396&lt;&gt;"", IF(ISBLANK(L3396), TODAY(), K3396), "")</f>
        <v/>
      </c>
      <c r="L3396" s="78" t="n"/>
      <c r="M3396" s="78">
        <f>IF(ISBLANK(L3396),"",IF(D3396="Stock",IF(C3396="Buy",L3396*G3396,IF(C3396="Sell",(L3396*G3396)-I3396, X)),IF(C3396="Buy",(L3396*G3396*100)+I3396,IF(C3396="Sell",(L3396*G3396*100)-I3396, X))))</f>
        <v/>
      </c>
      <c r="N3396" s="78">
        <f>IF(ISBLANK(L3396),"",IF(AND(C3396="Sell",D3396="Stock"),M3396,IF(ISBLANK(L3396),"",IF(C3396="Buy",M3396, IF(AND(C3396="Sell",J3396="NA"),(E3396*G3396*100*0.1)+I3396, IF(C3396="Sell",(J3396-L3396)*(100*G3396)+I3396))))))</f>
        <v/>
      </c>
      <c r="O3396" s="75" t="n"/>
      <c r="P3396" s="75" t="n"/>
      <c r="Q3396" s="75">
        <f>IF(ISBLANK(P3396),"",IF(D3396="Stock",P3396*G3396,IF(P3396=0,"0",G3396*P3396*100-(G3396*$AF$14))))</f>
        <v/>
      </c>
      <c r="R3396" s="79">
        <f>IF(P3396&lt;&gt;"", TODAY(), "")</f>
        <v/>
      </c>
      <c r="S3396" s="78">
        <f>IF(AND(K3396&lt;&gt;"", R3396&lt;&gt;""), R3396-K3396, "")</f>
        <v/>
      </c>
      <c r="T3396" s="78" t="n"/>
      <c r="U3396" s="92">
        <f>IF(ISBLANK(P3396),"",IF(C3396="Buy",Q3396-M3396+T3396, IF(C3396="Sell",M3396-Q3396-T3396, X)))</f>
        <v/>
      </c>
      <c r="V3396" s="81">
        <f>IF(ISBLANK(P3396),"",U3396/N3396)</f>
        <v/>
      </c>
      <c r="W3396" s="81">
        <f>IF(ISBLANK(P3396),"",IF(S3396=0,(365/0.5)*V3396,(365/S3396)*V3396))</f>
        <v/>
      </c>
      <c r="X3396" s="75" t="n"/>
      <c r="Y3396" s="77" t="n"/>
      <c r="Z3396" s="77" t="n"/>
      <c r="AA3396" s="75" t="n"/>
      <c r="AB3396" s="75" t="n"/>
      <c r="AC3396" s="6" t="n"/>
      <c r="AD3396" s="75" t="n"/>
      <c r="AE3396" s="75" t="n"/>
      <c r="AF3396" s="75" t="n"/>
    </row>
    <row r="3397" ht="15.75" customHeight="1" s="133">
      <c r="A3397" s="75" t="n"/>
      <c r="B3397" s="75" t="n"/>
      <c r="C3397" s="75" t="n"/>
      <c r="D3397" s="75" t="n"/>
      <c r="E3397" s="76" t="n"/>
      <c r="F3397" s="77" t="n"/>
      <c r="G3397" s="75" t="n"/>
      <c r="H3397" s="75">
        <f>IF(ISBLANK(E3397),"",IF(OR(D3397="Butterfly",D3397="Butterfly ",D3397="Iron Fly", D3397="Iron Fly "),LEN(E3397)-LEN(SUBSTITUTE(E3397,"/",""))+2,LEN(E3397)-LEN(SUBSTITUTE(E3397,"/",""))+1))</f>
        <v/>
      </c>
      <c r="I3397" s="78">
        <f>IF(ISBLANK(G3397),"",IF(D3397="Stock","0",Key!$A$3*H3397*G3397))</f>
        <v/>
      </c>
      <c r="J3397" s="78">
        <f>IF(ISBLANK(E3397),"",IF(ISNUMBER(SEARCH("/",E3397)), IF(LEN(E3397)-LEN(SUBSTITUTE(E3397,"/",""))=1,(RIGHT(E3397,LEN(E3397)-FIND("/",E3397)))-(LEFT(E3397,FIND("/",E3397)-1)),(MID(E3397, SEARCH("/",E3397) + 1, SEARCH("/",E3397, SEARCH("/",E3397)+1) - SEARCH("/",E3397) - 1))-(LEFT(E3397,FIND("/",E3397)-1))), "NA"))</f>
        <v/>
      </c>
      <c r="K3397" s="79">
        <f>IF(A3397&lt;&gt;"", IF(ISBLANK(L3397), TODAY(), K3397), "")</f>
        <v/>
      </c>
      <c r="L3397" s="78" t="n"/>
      <c r="M3397" s="78">
        <f>IF(ISBLANK(L3397),"",IF(D3397="Stock",IF(C3397="Buy",L3397*G3397,IF(C3397="Sell",(L3397*G3397)-I3397, X)),IF(C3397="Buy",(L3397*G3397*100)+I3397,IF(C3397="Sell",(L3397*G3397*100)-I3397, X))))</f>
        <v/>
      </c>
      <c r="N3397" s="78">
        <f>IF(ISBLANK(L3397),"",IF(AND(C3397="Sell",D3397="Stock"),M3397,IF(ISBLANK(L3397),"",IF(C3397="Buy",M3397, IF(AND(C3397="Sell",J3397="NA"),(E3397*G3397*100*0.1)+I3397, IF(C3397="Sell",(J3397-L3397)*(100*G3397)+I3397))))))</f>
        <v/>
      </c>
      <c r="O3397" s="75" t="n"/>
      <c r="P3397" s="75" t="n"/>
      <c r="Q3397" s="75">
        <f>IF(ISBLANK(P3397),"",IF(D3397="Stock",P3397*G3397,IF(P3397=0,"0",G3397*P3397*100-(G3397*$AF$14))))</f>
        <v/>
      </c>
      <c r="R3397" s="79">
        <f>IF(P3397&lt;&gt;"", TODAY(), "")</f>
        <v/>
      </c>
      <c r="S3397" s="78">
        <f>IF(AND(K3397&lt;&gt;"", R3397&lt;&gt;""), R3397-K3397, "")</f>
        <v/>
      </c>
      <c r="T3397" s="78" t="n"/>
      <c r="U3397" s="92">
        <f>IF(ISBLANK(P3397),"",IF(C3397="Buy",Q3397-M3397+T3397, IF(C3397="Sell",M3397-Q3397-T3397, X)))</f>
        <v/>
      </c>
      <c r="V3397" s="81">
        <f>IF(ISBLANK(P3397),"",U3397/N3397)</f>
        <v/>
      </c>
      <c r="W3397" s="81">
        <f>IF(ISBLANK(P3397),"",IF(S3397=0,(365/0.5)*V3397,(365/S3397)*V3397))</f>
        <v/>
      </c>
      <c r="X3397" s="75" t="n"/>
      <c r="Y3397" s="77" t="n"/>
      <c r="Z3397" s="77" t="n"/>
      <c r="AA3397" s="75" t="n"/>
      <c r="AB3397" s="75" t="n"/>
      <c r="AC3397" s="6" t="n"/>
      <c r="AD3397" s="75" t="n"/>
      <c r="AE3397" s="75" t="n"/>
      <c r="AF3397" s="75" t="n"/>
    </row>
    <row r="3398" ht="15.75" customHeight="1" s="133">
      <c r="A3398" s="75" t="n"/>
      <c r="B3398" s="75" t="n"/>
      <c r="C3398" s="75" t="n"/>
      <c r="D3398" s="75" t="n"/>
      <c r="E3398" s="76" t="n"/>
      <c r="F3398" s="77" t="n"/>
      <c r="G3398" s="75" t="n"/>
      <c r="H3398" s="75">
        <f>IF(ISBLANK(E3398),"",IF(OR(D3398="Butterfly",D3398="Butterfly ",D3398="Iron Fly", D3398="Iron Fly "),LEN(E3398)-LEN(SUBSTITUTE(E3398,"/",""))+2,LEN(E3398)-LEN(SUBSTITUTE(E3398,"/",""))+1))</f>
        <v/>
      </c>
      <c r="I3398" s="78">
        <f>IF(ISBLANK(G3398),"",IF(D3398="Stock","0",Key!$A$3*H3398*G3398))</f>
        <v/>
      </c>
      <c r="J3398" s="78">
        <f>IF(ISBLANK(E3398),"",IF(ISNUMBER(SEARCH("/",E3398)), IF(LEN(E3398)-LEN(SUBSTITUTE(E3398,"/",""))=1,(RIGHT(E3398,LEN(E3398)-FIND("/",E3398)))-(LEFT(E3398,FIND("/",E3398)-1)),(MID(E3398, SEARCH("/",E3398) + 1, SEARCH("/",E3398, SEARCH("/",E3398)+1) - SEARCH("/",E3398) - 1))-(LEFT(E3398,FIND("/",E3398)-1))), "NA"))</f>
        <v/>
      </c>
      <c r="K3398" s="79">
        <f>IF(A3398&lt;&gt;"", IF(ISBLANK(L3398), TODAY(), K3398), "")</f>
        <v/>
      </c>
      <c r="L3398" s="78" t="n"/>
      <c r="M3398" s="78">
        <f>IF(ISBLANK(L3398),"",IF(D3398="Stock",IF(C3398="Buy",L3398*G3398,IF(C3398="Sell",(L3398*G3398)-I3398, X)),IF(C3398="Buy",(L3398*G3398*100)+I3398,IF(C3398="Sell",(L3398*G3398*100)-I3398, X))))</f>
        <v/>
      </c>
      <c r="N3398" s="78">
        <f>IF(ISBLANK(L3398),"",IF(AND(C3398="Sell",D3398="Stock"),M3398,IF(ISBLANK(L3398),"",IF(C3398="Buy",M3398, IF(AND(C3398="Sell",J3398="NA"),(E3398*G3398*100*0.1)+I3398, IF(C3398="Sell",(J3398-L3398)*(100*G3398)+I3398))))))</f>
        <v/>
      </c>
      <c r="O3398" s="75" t="n"/>
      <c r="P3398" s="75" t="n"/>
      <c r="Q3398" s="75">
        <f>IF(ISBLANK(P3398),"",IF(D3398="Stock",P3398*G3398,IF(P3398=0,"0",G3398*P3398*100-(G3398*$AF$14))))</f>
        <v/>
      </c>
      <c r="R3398" s="79">
        <f>IF(P3398&lt;&gt;"", TODAY(), "")</f>
        <v/>
      </c>
      <c r="S3398" s="78">
        <f>IF(AND(K3398&lt;&gt;"", R3398&lt;&gt;""), R3398-K3398, "")</f>
        <v/>
      </c>
      <c r="T3398" s="78" t="n"/>
      <c r="U3398" s="92">
        <f>IF(ISBLANK(P3398),"",IF(C3398="Buy",Q3398-M3398+T3398, IF(C3398="Sell",M3398-Q3398-T3398, X)))</f>
        <v/>
      </c>
      <c r="V3398" s="81">
        <f>IF(ISBLANK(P3398),"",U3398/N3398)</f>
        <v/>
      </c>
      <c r="W3398" s="81">
        <f>IF(ISBLANK(P3398),"",IF(S3398=0,(365/0.5)*V3398,(365/S3398)*V3398))</f>
        <v/>
      </c>
      <c r="X3398" s="75" t="n"/>
      <c r="Y3398" s="77" t="n"/>
      <c r="Z3398" s="77" t="n"/>
      <c r="AA3398" s="75" t="n"/>
      <c r="AB3398" s="75" t="n"/>
      <c r="AC3398" s="6" t="n"/>
      <c r="AD3398" s="75" t="n"/>
      <c r="AE3398" s="75" t="n"/>
      <c r="AF3398" s="75" t="n"/>
    </row>
    <row r="3399" ht="15.75" customHeight="1" s="133">
      <c r="A3399" s="75" t="n"/>
      <c r="B3399" s="75" t="n"/>
      <c r="C3399" s="75" t="n"/>
      <c r="D3399" s="75" t="n"/>
      <c r="E3399" s="76" t="n"/>
      <c r="F3399" s="77" t="n"/>
      <c r="G3399" s="75" t="n"/>
      <c r="H3399" s="75">
        <f>IF(ISBLANK(E3399),"",IF(OR(D3399="Butterfly",D3399="Butterfly ",D3399="Iron Fly", D3399="Iron Fly "),LEN(E3399)-LEN(SUBSTITUTE(E3399,"/",""))+2,LEN(E3399)-LEN(SUBSTITUTE(E3399,"/",""))+1))</f>
        <v/>
      </c>
      <c r="I3399" s="78">
        <f>IF(ISBLANK(G3399),"",IF(D3399="Stock","0",Key!$A$3*H3399*G3399))</f>
        <v/>
      </c>
      <c r="J3399" s="78">
        <f>IF(ISBLANK(E3399),"",IF(ISNUMBER(SEARCH("/",E3399)), IF(LEN(E3399)-LEN(SUBSTITUTE(E3399,"/",""))=1,(RIGHT(E3399,LEN(E3399)-FIND("/",E3399)))-(LEFT(E3399,FIND("/",E3399)-1)),(MID(E3399, SEARCH("/",E3399) + 1, SEARCH("/",E3399, SEARCH("/",E3399)+1) - SEARCH("/",E3399) - 1))-(LEFT(E3399,FIND("/",E3399)-1))), "NA"))</f>
        <v/>
      </c>
      <c r="K3399" s="79">
        <f>IF(A3399&lt;&gt;"", IF(ISBLANK(L3399), TODAY(), K3399), "")</f>
        <v/>
      </c>
      <c r="L3399" s="78" t="n"/>
      <c r="M3399" s="78">
        <f>IF(ISBLANK(L3399),"",IF(D3399="Stock",IF(C3399="Buy",L3399*G3399,IF(C3399="Sell",(L3399*G3399)-I3399, X)),IF(C3399="Buy",(L3399*G3399*100)+I3399,IF(C3399="Sell",(L3399*G3399*100)-I3399, X))))</f>
        <v/>
      </c>
      <c r="N3399" s="78">
        <f>IF(ISBLANK(L3399),"",IF(AND(C3399="Sell",D3399="Stock"),M3399,IF(ISBLANK(L3399),"",IF(C3399="Buy",M3399, IF(AND(C3399="Sell",J3399="NA"),(E3399*G3399*100*0.1)+I3399, IF(C3399="Sell",(J3399-L3399)*(100*G3399)+I3399))))))</f>
        <v/>
      </c>
      <c r="O3399" s="75" t="n"/>
      <c r="P3399" s="75" t="n"/>
      <c r="Q3399" s="75">
        <f>IF(ISBLANK(P3399),"",IF(D3399="Stock",P3399*G3399,IF(P3399=0,"0",G3399*P3399*100-(G3399*$AF$14))))</f>
        <v/>
      </c>
      <c r="R3399" s="79">
        <f>IF(P3399&lt;&gt;"", TODAY(), "")</f>
        <v/>
      </c>
      <c r="S3399" s="78">
        <f>IF(AND(K3399&lt;&gt;"", R3399&lt;&gt;""), R3399-K3399, "")</f>
        <v/>
      </c>
      <c r="T3399" s="78" t="n"/>
      <c r="U3399" s="92">
        <f>IF(ISBLANK(P3399),"",IF(C3399="Buy",Q3399-M3399+T3399, IF(C3399="Sell",M3399-Q3399-T3399, X)))</f>
        <v/>
      </c>
      <c r="V3399" s="81">
        <f>IF(ISBLANK(P3399),"",U3399/N3399)</f>
        <v/>
      </c>
      <c r="W3399" s="81">
        <f>IF(ISBLANK(P3399),"",IF(S3399=0,(365/0.5)*V3399,(365/S3399)*V3399))</f>
        <v/>
      </c>
      <c r="X3399" s="75" t="n"/>
      <c r="Y3399" s="77" t="n"/>
      <c r="Z3399" s="77" t="n"/>
      <c r="AA3399" s="75" t="n"/>
      <c r="AB3399" s="75" t="n"/>
      <c r="AC3399" s="6" t="n"/>
      <c r="AD3399" s="75" t="n"/>
      <c r="AE3399" s="75" t="n"/>
      <c r="AF3399" s="75" t="n"/>
    </row>
    <row r="3400" ht="15.75" customHeight="1" s="133">
      <c r="A3400" s="75" t="n"/>
      <c r="B3400" s="75" t="n"/>
      <c r="C3400" s="75" t="n"/>
      <c r="D3400" s="75" t="n"/>
      <c r="E3400" s="76" t="n"/>
      <c r="F3400" s="77" t="n"/>
      <c r="G3400" s="75" t="n"/>
      <c r="H3400" s="75">
        <f>IF(ISBLANK(E3400),"",IF(OR(D3400="Butterfly",D3400="Butterfly ",D3400="Iron Fly", D3400="Iron Fly "),LEN(E3400)-LEN(SUBSTITUTE(E3400,"/",""))+2,LEN(E3400)-LEN(SUBSTITUTE(E3400,"/",""))+1))</f>
        <v/>
      </c>
      <c r="I3400" s="78">
        <f>IF(ISBLANK(G3400),"",IF(D3400="Stock","0",Key!$A$3*H3400*G3400))</f>
        <v/>
      </c>
      <c r="J3400" s="78">
        <f>IF(ISBLANK(E3400),"",IF(ISNUMBER(SEARCH("/",E3400)), IF(LEN(E3400)-LEN(SUBSTITUTE(E3400,"/",""))=1,(RIGHT(E3400,LEN(E3400)-FIND("/",E3400)))-(LEFT(E3400,FIND("/",E3400)-1)),(MID(E3400, SEARCH("/",E3400) + 1, SEARCH("/",E3400, SEARCH("/",E3400)+1) - SEARCH("/",E3400) - 1))-(LEFT(E3400,FIND("/",E3400)-1))), "NA"))</f>
        <v/>
      </c>
      <c r="K3400" s="79">
        <f>IF(A3400&lt;&gt;"", IF(ISBLANK(L3400), TODAY(), K3400), "")</f>
        <v/>
      </c>
      <c r="L3400" s="78" t="n"/>
      <c r="M3400" s="78">
        <f>IF(ISBLANK(L3400),"",IF(D3400="Stock",IF(C3400="Buy",L3400*G3400,IF(C3400="Sell",(L3400*G3400)-I3400, X)),IF(C3400="Buy",(L3400*G3400*100)+I3400,IF(C3400="Sell",(L3400*G3400*100)-I3400, X))))</f>
        <v/>
      </c>
      <c r="N3400" s="78">
        <f>IF(ISBLANK(L3400),"",IF(AND(C3400="Sell",D3400="Stock"),M3400,IF(ISBLANK(L3400),"",IF(C3400="Buy",M3400, IF(AND(C3400="Sell",J3400="NA"),(E3400*G3400*100*0.1)+I3400, IF(C3400="Sell",(J3400-L3400)*(100*G3400)+I3400))))))</f>
        <v/>
      </c>
      <c r="O3400" s="75" t="n"/>
      <c r="P3400" s="75" t="n"/>
      <c r="Q3400" s="75">
        <f>IF(ISBLANK(P3400),"",IF(D3400="Stock",P3400*G3400,IF(P3400=0,"0",G3400*P3400*100-(G3400*$AF$14))))</f>
        <v/>
      </c>
      <c r="R3400" s="79">
        <f>IF(P3400&lt;&gt;"", TODAY(), "")</f>
        <v/>
      </c>
      <c r="S3400" s="78">
        <f>IF(AND(K3400&lt;&gt;"", R3400&lt;&gt;""), R3400-K3400, "")</f>
        <v/>
      </c>
      <c r="T3400" s="78" t="n"/>
      <c r="U3400" s="92">
        <f>IF(ISBLANK(P3400),"",IF(C3400="Buy",Q3400-M3400+T3400, IF(C3400="Sell",M3400-Q3400-T3400, X)))</f>
        <v/>
      </c>
      <c r="V3400" s="81">
        <f>IF(ISBLANK(P3400),"",U3400/N3400)</f>
        <v/>
      </c>
      <c r="W3400" s="81">
        <f>IF(ISBLANK(P3400),"",IF(S3400=0,(365/0.5)*V3400,(365/S3400)*V3400))</f>
        <v/>
      </c>
      <c r="X3400" s="75" t="n"/>
      <c r="Y3400" s="77" t="n"/>
      <c r="Z3400" s="77" t="n"/>
      <c r="AA3400" s="75" t="n"/>
      <c r="AB3400" s="75" t="n"/>
      <c r="AC3400" s="6" t="n"/>
      <c r="AD3400" s="75" t="n"/>
      <c r="AE3400" s="75" t="n"/>
      <c r="AF3400" s="75" t="n"/>
    </row>
    <row r="3401" ht="15.75" customHeight="1" s="133">
      <c r="A3401" s="75" t="n"/>
      <c r="B3401" s="75" t="n"/>
      <c r="C3401" s="75" t="n"/>
      <c r="D3401" s="75" t="n"/>
      <c r="E3401" s="76" t="n"/>
      <c r="F3401" s="77" t="n"/>
      <c r="G3401" s="75" t="n"/>
      <c r="H3401" s="75">
        <f>IF(ISBLANK(E3401),"",IF(OR(D3401="Butterfly",D3401="Butterfly ",D3401="Iron Fly", D3401="Iron Fly "),LEN(E3401)-LEN(SUBSTITUTE(E3401,"/",""))+2,LEN(E3401)-LEN(SUBSTITUTE(E3401,"/",""))+1))</f>
        <v/>
      </c>
      <c r="I3401" s="78">
        <f>IF(ISBLANK(G3401),"",IF(D3401="Stock","0",Key!$A$3*H3401*G3401))</f>
        <v/>
      </c>
      <c r="J3401" s="78">
        <f>IF(ISBLANK(E3401),"",IF(ISNUMBER(SEARCH("/",E3401)), IF(LEN(E3401)-LEN(SUBSTITUTE(E3401,"/",""))=1,(RIGHT(E3401,LEN(E3401)-FIND("/",E3401)))-(LEFT(E3401,FIND("/",E3401)-1)),(MID(E3401, SEARCH("/",E3401) + 1, SEARCH("/",E3401, SEARCH("/",E3401)+1) - SEARCH("/",E3401) - 1))-(LEFT(E3401,FIND("/",E3401)-1))), "NA"))</f>
        <v/>
      </c>
      <c r="K3401" s="79">
        <f>IF(A3401&lt;&gt;"", IF(ISBLANK(L3401), TODAY(), K3401), "")</f>
        <v/>
      </c>
      <c r="L3401" s="78" t="n"/>
      <c r="M3401" s="78">
        <f>IF(ISBLANK(L3401),"",IF(D3401="Stock",IF(C3401="Buy",L3401*G3401,IF(C3401="Sell",(L3401*G3401)-I3401, X)),IF(C3401="Buy",(L3401*G3401*100)+I3401,IF(C3401="Sell",(L3401*G3401*100)-I3401, X))))</f>
        <v/>
      </c>
      <c r="N3401" s="78">
        <f>IF(ISBLANK(L3401),"",IF(AND(C3401="Sell",D3401="Stock"),M3401,IF(ISBLANK(L3401),"",IF(C3401="Buy",M3401, IF(AND(C3401="Sell",J3401="NA"),(E3401*G3401*100*0.1)+I3401, IF(C3401="Sell",(J3401-L3401)*(100*G3401)+I3401))))))</f>
        <v/>
      </c>
      <c r="O3401" s="75" t="n"/>
      <c r="P3401" s="75" t="n"/>
      <c r="Q3401" s="75">
        <f>IF(ISBLANK(P3401),"",IF(D3401="Stock",P3401*G3401,IF(P3401=0,"0",G3401*P3401*100-(G3401*$AF$14))))</f>
        <v/>
      </c>
      <c r="R3401" s="79">
        <f>IF(P3401&lt;&gt;"", TODAY(), "")</f>
        <v/>
      </c>
      <c r="S3401" s="78">
        <f>IF(AND(K3401&lt;&gt;"", R3401&lt;&gt;""), R3401-K3401, "")</f>
        <v/>
      </c>
      <c r="T3401" s="78" t="n"/>
      <c r="U3401" s="92">
        <f>IF(ISBLANK(P3401),"",IF(C3401="Buy",Q3401-M3401+T3401, IF(C3401="Sell",M3401-Q3401-T3401, X)))</f>
        <v/>
      </c>
      <c r="V3401" s="81">
        <f>IF(ISBLANK(P3401),"",U3401/N3401)</f>
        <v/>
      </c>
      <c r="W3401" s="81">
        <f>IF(ISBLANK(P3401),"",IF(S3401=0,(365/0.5)*V3401,(365/S3401)*V3401))</f>
        <v/>
      </c>
      <c r="X3401" s="75" t="n"/>
      <c r="Y3401" s="77" t="n"/>
      <c r="Z3401" s="77" t="n"/>
      <c r="AA3401" s="75" t="n"/>
      <c r="AB3401" s="75" t="n"/>
      <c r="AC3401" s="6" t="n"/>
      <c r="AD3401" s="75" t="n"/>
      <c r="AE3401" s="75" t="n"/>
      <c r="AF3401" s="75" t="n"/>
    </row>
    <row r="3402" ht="15.75" customHeight="1" s="133">
      <c r="A3402" s="75" t="n"/>
      <c r="B3402" s="75" t="n"/>
      <c r="C3402" s="75" t="n"/>
      <c r="D3402" s="75" t="n"/>
      <c r="E3402" s="76" t="n"/>
      <c r="F3402" s="77" t="n"/>
      <c r="G3402" s="75" t="n"/>
      <c r="H3402" s="75">
        <f>IF(ISBLANK(E3402),"",IF(OR(D3402="Butterfly",D3402="Butterfly ",D3402="Iron Fly", D3402="Iron Fly "),LEN(E3402)-LEN(SUBSTITUTE(E3402,"/",""))+2,LEN(E3402)-LEN(SUBSTITUTE(E3402,"/",""))+1))</f>
        <v/>
      </c>
      <c r="I3402" s="78">
        <f>IF(ISBLANK(G3402),"",IF(D3402="Stock","0",Key!$A$3*H3402*G3402))</f>
        <v/>
      </c>
      <c r="J3402" s="78">
        <f>IF(ISBLANK(E3402),"",IF(ISNUMBER(SEARCH("/",E3402)), IF(LEN(E3402)-LEN(SUBSTITUTE(E3402,"/",""))=1,(RIGHT(E3402,LEN(E3402)-FIND("/",E3402)))-(LEFT(E3402,FIND("/",E3402)-1)),(MID(E3402, SEARCH("/",E3402) + 1, SEARCH("/",E3402, SEARCH("/",E3402)+1) - SEARCH("/",E3402) - 1))-(LEFT(E3402,FIND("/",E3402)-1))), "NA"))</f>
        <v/>
      </c>
      <c r="K3402" s="79">
        <f>IF(A3402&lt;&gt;"", IF(ISBLANK(L3402), TODAY(), K3402), "")</f>
        <v/>
      </c>
      <c r="L3402" s="78" t="n"/>
      <c r="M3402" s="78">
        <f>IF(ISBLANK(L3402),"",IF(D3402="Stock",IF(C3402="Buy",L3402*G3402,IF(C3402="Sell",(L3402*G3402)-I3402, X)),IF(C3402="Buy",(L3402*G3402*100)+I3402,IF(C3402="Sell",(L3402*G3402*100)-I3402, X))))</f>
        <v/>
      </c>
      <c r="N3402" s="78">
        <f>IF(ISBLANK(L3402),"",IF(AND(C3402="Sell",D3402="Stock"),M3402,IF(ISBLANK(L3402),"",IF(C3402="Buy",M3402, IF(AND(C3402="Sell",J3402="NA"),(E3402*G3402*100*0.1)+I3402, IF(C3402="Sell",(J3402-L3402)*(100*G3402)+I3402))))))</f>
        <v/>
      </c>
      <c r="O3402" s="75" t="n"/>
      <c r="P3402" s="75" t="n"/>
      <c r="Q3402" s="75">
        <f>IF(ISBLANK(P3402),"",IF(D3402="Stock",P3402*G3402,IF(P3402=0,"0",G3402*P3402*100-(G3402*$AF$14))))</f>
        <v/>
      </c>
      <c r="R3402" s="79">
        <f>IF(P3402&lt;&gt;"", TODAY(), "")</f>
        <v/>
      </c>
      <c r="S3402" s="78">
        <f>IF(AND(K3402&lt;&gt;"", R3402&lt;&gt;""), R3402-K3402, "")</f>
        <v/>
      </c>
      <c r="T3402" s="78" t="n"/>
      <c r="U3402" s="92">
        <f>IF(ISBLANK(P3402),"",IF(C3402="Buy",Q3402-M3402+T3402, IF(C3402="Sell",M3402-Q3402-T3402, X)))</f>
        <v/>
      </c>
      <c r="V3402" s="81">
        <f>IF(ISBLANK(P3402),"",U3402/N3402)</f>
        <v/>
      </c>
      <c r="W3402" s="81">
        <f>IF(ISBLANK(P3402),"",IF(S3402=0,(365/0.5)*V3402,(365/S3402)*V3402))</f>
        <v/>
      </c>
      <c r="X3402" s="75" t="n"/>
      <c r="Y3402" s="77" t="n"/>
      <c r="Z3402" s="77" t="n"/>
      <c r="AA3402" s="75" t="n"/>
      <c r="AB3402" s="75" t="n"/>
      <c r="AC3402" s="6" t="n"/>
      <c r="AD3402" s="75" t="n"/>
      <c r="AE3402" s="75" t="n"/>
      <c r="AF3402" s="75" t="n"/>
    </row>
    <row r="3403" ht="15.75" customHeight="1" s="133">
      <c r="A3403" s="75" t="n"/>
      <c r="B3403" s="75" t="n"/>
      <c r="C3403" s="75" t="n"/>
      <c r="D3403" s="75" t="n"/>
      <c r="E3403" s="76" t="n"/>
      <c r="F3403" s="77" t="n"/>
      <c r="G3403" s="75" t="n"/>
      <c r="H3403" s="75">
        <f>IF(ISBLANK(E3403),"",IF(OR(D3403="Butterfly",D3403="Butterfly ",D3403="Iron Fly", D3403="Iron Fly "),LEN(E3403)-LEN(SUBSTITUTE(E3403,"/",""))+2,LEN(E3403)-LEN(SUBSTITUTE(E3403,"/",""))+1))</f>
        <v/>
      </c>
      <c r="I3403" s="78">
        <f>IF(ISBLANK(G3403),"",IF(D3403="Stock","0",Key!$A$3*H3403*G3403))</f>
        <v/>
      </c>
      <c r="J3403" s="78">
        <f>IF(ISBLANK(E3403),"",IF(ISNUMBER(SEARCH("/",E3403)), IF(LEN(E3403)-LEN(SUBSTITUTE(E3403,"/",""))=1,(RIGHT(E3403,LEN(E3403)-FIND("/",E3403)))-(LEFT(E3403,FIND("/",E3403)-1)),(MID(E3403, SEARCH("/",E3403) + 1, SEARCH("/",E3403, SEARCH("/",E3403)+1) - SEARCH("/",E3403) - 1))-(LEFT(E3403,FIND("/",E3403)-1))), "NA"))</f>
        <v/>
      </c>
      <c r="K3403" s="79">
        <f>IF(A3403&lt;&gt;"", IF(ISBLANK(L3403), TODAY(), K3403), "")</f>
        <v/>
      </c>
      <c r="L3403" s="78" t="n"/>
      <c r="M3403" s="78">
        <f>IF(ISBLANK(L3403),"",IF(D3403="Stock",IF(C3403="Buy",L3403*G3403,IF(C3403="Sell",(L3403*G3403)-I3403, X)),IF(C3403="Buy",(L3403*G3403*100)+I3403,IF(C3403="Sell",(L3403*G3403*100)-I3403, X))))</f>
        <v/>
      </c>
      <c r="N3403" s="78">
        <f>IF(ISBLANK(L3403),"",IF(AND(C3403="Sell",D3403="Stock"),M3403,IF(ISBLANK(L3403),"",IF(C3403="Buy",M3403, IF(AND(C3403="Sell",J3403="NA"),(E3403*G3403*100*0.1)+I3403, IF(C3403="Sell",(J3403-L3403)*(100*G3403)+I3403))))))</f>
        <v/>
      </c>
      <c r="O3403" s="75" t="n"/>
      <c r="P3403" s="75" t="n"/>
      <c r="Q3403" s="75">
        <f>IF(ISBLANK(P3403),"",IF(D3403="Stock",P3403*G3403,IF(P3403=0,"0",G3403*P3403*100-(G3403*$AF$14))))</f>
        <v/>
      </c>
      <c r="R3403" s="79">
        <f>IF(P3403&lt;&gt;"", TODAY(), "")</f>
        <v/>
      </c>
      <c r="S3403" s="78">
        <f>IF(AND(K3403&lt;&gt;"", R3403&lt;&gt;""), R3403-K3403, "")</f>
        <v/>
      </c>
      <c r="T3403" s="78" t="n"/>
      <c r="U3403" s="92">
        <f>IF(ISBLANK(P3403),"",IF(C3403="Buy",Q3403-M3403+T3403, IF(C3403="Sell",M3403-Q3403-T3403, X)))</f>
        <v/>
      </c>
      <c r="V3403" s="81">
        <f>IF(ISBLANK(P3403),"",U3403/N3403)</f>
        <v/>
      </c>
      <c r="W3403" s="81">
        <f>IF(ISBLANK(P3403),"",IF(S3403=0,(365/0.5)*V3403,(365/S3403)*V3403))</f>
        <v/>
      </c>
      <c r="X3403" s="75" t="n"/>
      <c r="Y3403" s="77" t="n"/>
      <c r="Z3403" s="77" t="n"/>
      <c r="AA3403" s="75" t="n"/>
      <c r="AB3403" s="75" t="n"/>
      <c r="AC3403" s="6" t="n"/>
      <c r="AD3403" s="75" t="n"/>
      <c r="AE3403" s="75" t="n"/>
      <c r="AF3403" s="75" t="n"/>
    </row>
    <row r="3404" ht="15.75" customHeight="1" s="133">
      <c r="A3404" s="75" t="n"/>
      <c r="B3404" s="75" t="n"/>
      <c r="C3404" s="75" t="n"/>
      <c r="D3404" s="75" t="n"/>
      <c r="E3404" s="76" t="n"/>
      <c r="F3404" s="77" t="n"/>
      <c r="G3404" s="75" t="n"/>
      <c r="H3404" s="75">
        <f>IF(ISBLANK(E3404),"",IF(OR(D3404="Butterfly",D3404="Butterfly ",D3404="Iron Fly", D3404="Iron Fly "),LEN(E3404)-LEN(SUBSTITUTE(E3404,"/",""))+2,LEN(E3404)-LEN(SUBSTITUTE(E3404,"/",""))+1))</f>
        <v/>
      </c>
      <c r="I3404" s="78">
        <f>IF(ISBLANK(G3404),"",IF(D3404="Stock","0",Key!$A$3*H3404*G3404))</f>
        <v/>
      </c>
      <c r="J3404" s="78">
        <f>IF(ISBLANK(E3404),"",IF(ISNUMBER(SEARCH("/",E3404)), IF(LEN(E3404)-LEN(SUBSTITUTE(E3404,"/",""))=1,(RIGHT(E3404,LEN(E3404)-FIND("/",E3404)))-(LEFT(E3404,FIND("/",E3404)-1)),(MID(E3404, SEARCH("/",E3404) + 1, SEARCH("/",E3404, SEARCH("/",E3404)+1) - SEARCH("/",E3404) - 1))-(LEFT(E3404,FIND("/",E3404)-1))), "NA"))</f>
        <v/>
      </c>
      <c r="K3404" s="79">
        <f>IF(A3404&lt;&gt;"", IF(ISBLANK(L3404), TODAY(), K3404), "")</f>
        <v/>
      </c>
      <c r="L3404" s="78" t="n"/>
      <c r="M3404" s="78">
        <f>IF(ISBLANK(L3404),"",IF(D3404="Stock",IF(C3404="Buy",L3404*G3404,IF(C3404="Sell",(L3404*G3404)-I3404, X)),IF(C3404="Buy",(L3404*G3404*100)+I3404,IF(C3404="Sell",(L3404*G3404*100)-I3404, X))))</f>
        <v/>
      </c>
      <c r="N3404" s="78">
        <f>IF(ISBLANK(L3404),"",IF(AND(C3404="Sell",D3404="Stock"),M3404,IF(ISBLANK(L3404),"",IF(C3404="Buy",M3404, IF(AND(C3404="Sell",J3404="NA"),(E3404*G3404*100*0.1)+I3404, IF(C3404="Sell",(J3404-L3404)*(100*G3404)+I3404))))))</f>
        <v/>
      </c>
      <c r="O3404" s="75" t="n"/>
      <c r="P3404" s="75" t="n"/>
      <c r="Q3404" s="75">
        <f>IF(ISBLANK(P3404),"",IF(D3404="Stock",P3404*G3404,IF(P3404=0,"0",G3404*P3404*100-(G3404*$AF$14))))</f>
        <v/>
      </c>
      <c r="R3404" s="79">
        <f>IF(P3404&lt;&gt;"", TODAY(), "")</f>
        <v/>
      </c>
      <c r="S3404" s="78">
        <f>IF(AND(K3404&lt;&gt;"", R3404&lt;&gt;""), R3404-K3404, "")</f>
        <v/>
      </c>
      <c r="T3404" s="78" t="n"/>
      <c r="U3404" s="92">
        <f>IF(ISBLANK(P3404),"",IF(C3404="Buy",Q3404-M3404+T3404, IF(C3404="Sell",M3404-Q3404-T3404, X)))</f>
        <v/>
      </c>
      <c r="V3404" s="81">
        <f>IF(ISBLANK(P3404),"",U3404/N3404)</f>
        <v/>
      </c>
      <c r="W3404" s="81">
        <f>IF(ISBLANK(P3404),"",IF(S3404=0,(365/0.5)*V3404,(365/S3404)*V3404))</f>
        <v/>
      </c>
      <c r="X3404" s="75" t="n"/>
      <c r="Y3404" s="77" t="n"/>
      <c r="Z3404" s="77" t="n"/>
      <c r="AA3404" s="75" t="n"/>
      <c r="AB3404" s="75" t="n"/>
      <c r="AC3404" s="6" t="n"/>
      <c r="AD3404" s="75" t="n"/>
      <c r="AE3404" s="75" t="n"/>
      <c r="AF3404" s="75" t="n"/>
    </row>
    <row r="3405" ht="15.75" customHeight="1" s="133">
      <c r="A3405" s="75" t="n"/>
      <c r="B3405" s="75" t="n"/>
      <c r="C3405" s="75" t="n"/>
      <c r="D3405" s="75" t="n"/>
      <c r="E3405" s="76" t="n"/>
      <c r="F3405" s="77" t="n"/>
      <c r="G3405" s="75" t="n"/>
      <c r="H3405" s="75">
        <f>IF(ISBLANK(E3405),"",IF(OR(D3405="Butterfly",D3405="Butterfly ",D3405="Iron Fly", D3405="Iron Fly "),LEN(E3405)-LEN(SUBSTITUTE(E3405,"/",""))+2,LEN(E3405)-LEN(SUBSTITUTE(E3405,"/",""))+1))</f>
        <v/>
      </c>
      <c r="I3405" s="78">
        <f>IF(ISBLANK(G3405),"",IF(D3405="Stock","0",Key!$A$3*H3405*G3405))</f>
        <v/>
      </c>
      <c r="J3405" s="78">
        <f>IF(ISBLANK(E3405),"",IF(ISNUMBER(SEARCH("/",E3405)), IF(LEN(E3405)-LEN(SUBSTITUTE(E3405,"/",""))=1,(RIGHT(E3405,LEN(E3405)-FIND("/",E3405)))-(LEFT(E3405,FIND("/",E3405)-1)),(MID(E3405, SEARCH("/",E3405) + 1, SEARCH("/",E3405, SEARCH("/",E3405)+1) - SEARCH("/",E3405) - 1))-(LEFT(E3405,FIND("/",E3405)-1))), "NA"))</f>
        <v/>
      </c>
      <c r="K3405" s="79">
        <f>IF(A3405&lt;&gt;"", IF(ISBLANK(L3405), TODAY(), K3405), "")</f>
        <v/>
      </c>
      <c r="L3405" s="78" t="n"/>
      <c r="M3405" s="78">
        <f>IF(ISBLANK(L3405),"",IF(D3405="Stock",IF(C3405="Buy",L3405*G3405,IF(C3405="Sell",(L3405*G3405)-I3405, X)),IF(C3405="Buy",(L3405*G3405*100)+I3405,IF(C3405="Sell",(L3405*G3405*100)-I3405, X))))</f>
        <v/>
      </c>
      <c r="N3405" s="78">
        <f>IF(ISBLANK(L3405),"",IF(AND(C3405="Sell",D3405="Stock"),M3405,IF(ISBLANK(L3405),"",IF(C3405="Buy",M3405, IF(AND(C3405="Sell",J3405="NA"),(E3405*G3405*100*0.1)+I3405, IF(C3405="Sell",(J3405-L3405)*(100*G3405)+I3405))))))</f>
        <v/>
      </c>
      <c r="O3405" s="75" t="n"/>
      <c r="P3405" s="75" t="n"/>
      <c r="Q3405" s="75">
        <f>IF(ISBLANK(P3405),"",IF(D3405="Stock",P3405*G3405,IF(P3405=0,"0",G3405*P3405*100-(G3405*$AF$14))))</f>
        <v/>
      </c>
      <c r="R3405" s="79">
        <f>IF(P3405&lt;&gt;"", TODAY(), "")</f>
        <v/>
      </c>
      <c r="S3405" s="78">
        <f>IF(AND(K3405&lt;&gt;"", R3405&lt;&gt;""), R3405-K3405, "")</f>
        <v/>
      </c>
      <c r="T3405" s="78" t="n"/>
      <c r="U3405" s="92">
        <f>IF(ISBLANK(P3405),"",IF(C3405="Buy",Q3405-M3405+T3405, IF(C3405="Sell",M3405-Q3405-T3405, X)))</f>
        <v/>
      </c>
      <c r="V3405" s="81">
        <f>IF(ISBLANK(P3405),"",U3405/N3405)</f>
        <v/>
      </c>
      <c r="W3405" s="81">
        <f>IF(ISBLANK(P3405),"",IF(S3405=0,(365/0.5)*V3405,(365/S3405)*V3405))</f>
        <v/>
      </c>
      <c r="X3405" s="75" t="n"/>
      <c r="Y3405" s="77" t="n"/>
      <c r="Z3405" s="77" t="n"/>
      <c r="AA3405" s="75" t="n"/>
      <c r="AB3405" s="75" t="n"/>
      <c r="AC3405" s="6" t="n"/>
      <c r="AD3405" s="75" t="n"/>
      <c r="AE3405" s="75" t="n"/>
      <c r="AF3405" s="75" t="n"/>
    </row>
    <row r="3406" ht="15.75" customHeight="1" s="133">
      <c r="A3406" s="75" t="n"/>
      <c r="B3406" s="75" t="n"/>
      <c r="C3406" s="75" t="n"/>
      <c r="D3406" s="75" t="n"/>
      <c r="E3406" s="76" t="n"/>
      <c r="F3406" s="77" t="n"/>
      <c r="G3406" s="75" t="n"/>
      <c r="H3406" s="75">
        <f>IF(ISBLANK(E3406),"",IF(OR(D3406="Butterfly",D3406="Butterfly ",D3406="Iron Fly", D3406="Iron Fly "),LEN(E3406)-LEN(SUBSTITUTE(E3406,"/",""))+2,LEN(E3406)-LEN(SUBSTITUTE(E3406,"/",""))+1))</f>
        <v/>
      </c>
      <c r="I3406" s="78">
        <f>IF(ISBLANK(G3406),"",IF(D3406="Stock","0",Key!$A$3*H3406*G3406))</f>
        <v/>
      </c>
      <c r="J3406" s="78">
        <f>IF(ISBLANK(E3406),"",IF(ISNUMBER(SEARCH("/",E3406)), IF(LEN(E3406)-LEN(SUBSTITUTE(E3406,"/",""))=1,(RIGHT(E3406,LEN(E3406)-FIND("/",E3406)))-(LEFT(E3406,FIND("/",E3406)-1)),(MID(E3406, SEARCH("/",E3406) + 1, SEARCH("/",E3406, SEARCH("/",E3406)+1) - SEARCH("/",E3406) - 1))-(LEFT(E3406,FIND("/",E3406)-1))), "NA"))</f>
        <v/>
      </c>
      <c r="K3406" s="79">
        <f>IF(A3406&lt;&gt;"", IF(ISBLANK(L3406), TODAY(), K3406), "")</f>
        <v/>
      </c>
      <c r="L3406" s="78" t="n"/>
      <c r="M3406" s="78">
        <f>IF(ISBLANK(L3406),"",IF(D3406="Stock",IF(C3406="Buy",L3406*G3406,IF(C3406="Sell",(L3406*G3406)-I3406, X)),IF(C3406="Buy",(L3406*G3406*100)+I3406,IF(C3406="Sell",(L3406*G3406*100)-I3406, X))))</f>
        <v/>
      </c>
      <c r="N3406" s="78">
        <f>IF(ISBLANK(L3406),"",IF(AND(C3406="Sell",D3406="Stock"),M3406,IF(ISBLANK(L3406),"",IF(C3406="Buy",M3406, IF(AND(C3406="Sell",J3406="NA"),(E3406*G3406*100*0.1)+I3406, IF(C3406="Sell",(J3406-L3406)*(100*G3406)+I3406))))))</f>
        <v/>
      </c>
      <c r="O3406" s="75" t="n"/>
      <c r="P3406" s="75" t="n"/>
      <c r="Q3406" s="75">
        <f>IF(ISBLANK(P3406),"",IF(D3406="Stock",P3406*G3406,IF(P3406=0,"0",G3406*P3406*100-(G3406*$AF$14))))</f>
        <v/>
      </c>
      <c r="R3406" s="79">
        <f>IF(P3406&lt;&gt;"", TODAY(), "")</f>
        <v/>
      </c>
      <c r="S3406" s="78">
        <f>IF(AND(K3406&lt;&gt;"", R3406&lt;&gt;""), R3406-K3406, "")</f>
        <v/>
      </c>
      <c r="T3406" s="78" t="n"/>
      <c r="U3406" s="92">
        <f>IF(ISBLANK(P3406),"",IF(C3406="Buy",Q3406-M3406+T3406, IF(C3406="Sell",M3406-Q3406-T3406, X)))</f>
        <v/>
      </c>
      <c r="V3406" s="81">
        <f>IF(ISBLANK(P3406),"",U3406/N3406)</f>
        <v/>
      </c>
      <c r="W3406" s="81">
        <f>IF(ISBLANK(P3406),"",IF(S3406=0,(365/0.5)*V3406,(365/S3406)*V3406))</f>
        <v/>
      </c>
      <c r="X3406" s="75" t="n"/>
      <c r="Y3406" s="77" t="n"/>
      <c r="Z3406" s="77" t="n"/>
      <c r="AA3406" s="75" t="n"/>
      <c r="AB3406" s="75" t="n"/>
      <c r="AC3406" s="6" t="n"/>
      <c r="AD3406" s="75" t="n"/>
      <c r="AE3406" s="75" t="n"/>
      <c r="AF3406" s="75" t="n"/>
    </row>
    <row r="3407" ht="15.75" customHeight="1" s="133">
      <c r="A3407" s="75" t="n"/>
      <c r="B3407" s="75" t="n"/>
      <c r="C3407" s="75" t="n"/>
      <c r="D3407" s="75" t="n"/>
      <c r="E3407" s="76" t="n"/>
      <c r="F3407" s="77" t="n"/>
      <c r="G3407" s="75" t="n"/>
      <c r="H3407" s="75">
        <f>IF(ISBLANK(E3407),"",IF(OR(D3407="Butterfly",D3407="Butterfly ",D3407="Iron Fly", D3407="Iron Fly "),LEN(E3407)-LEN(SUBSTITUTE(E3407,"/",""))+2,LEN(E3407)-LEN(SUBSTITUTE(E3407,"/",""))+1))</f>
        <v/>
      </c>
      <c r="I3407" s="78">
        <f>IF(ISBLANK(G3407),"",IF(D3407="Stock","0",Key!$A$3*H3407*G3407))</f>
        <v/>
      </c>
      <c r="J3407" s="78">
        <f>IF(ISBLANK(E3407),"",IF(ISNUMBER(SEARCH("/",E3407)), IF(LEN(E3407)-LEN(SUBSTITUTE(E3407,"/",""))=1,(RIGHT(E3407,LEN(E3407)-FIND("/",E3407)))-(LEFT(E3407,FIND("/",E3407)-1)),(MID(E3407, SEARCH("/",E3407) + 1, SEARCH("/",E3407, SEARCH("/",E3407)+1) - SEARCH("/",E3407) - 1))-(LEFT(E3407,FIND("/",E3407)-1))), "NA"))</f>
        <v/>
      </c>
      <c r="K3407" s="79">
        <f>IF(A3407&lt;&gt;"", IF(ISBLANK(L3407), TODAY(), K3407), "")</f>
        <v/>
      </c>
      <c r="L3407" s="78" t="n"/>
      <c r="M3407" s="78">
        <f>IF(ISBLANK(L3407),"",IF(D3407="Stock",IF(C3407="Buy",L3407*G3407,IF(C3407="Sell",(L3407*G3407)-I3407, X)),IF(C3407="Buy",(L3407*G3407*100)+I3407,IF(C3407="Sell",(L3407*G3407*100)-I3407, X))))</f>
        <v/>
      </c>
      <c r="N3407" s="78">
        <f>IF(ISBLANK(L3407),"",IF(AND(C3407="Sell",D3407="Stock"),M3407,IF(ISBLANK(L3407),"",IF(C3407="Buy",M3407, IF(AND(C3407="Sell",J3407="NA"),(E3407*G3407*100*0.1)+I3407, IF(C3407="Sell",(J3407-L3407)*(100*G3407)+I3407))))))</f>
        <v/>
      </c>
      <c r="O3407" s="75" t="n"/>
      <c r="P3407" s="75" t="n"/>
      <c r="Q3407" s="75">
        <f>IF(ISBLANK(P3407),"",IF(D3407="Stock",P3407*G3407,IF(P3407=0,"0",G3407*P3407*100-(G3407*$AF$14))))</f>
        <v/>
      </c>
      <c r="R3407" s="79">
        <f>IF(P3407&lt;&gt;"", TODAY(), "")</f>
        <v/>
      </c>
      <c r="S3407" s="78">
        <f>IF(AND(K3407&lt;&gt;"", R3407&lt;&gt;""), R3407-K3407, "")</f>
        <v/>
      </c>
      <c r="T3407" s="78" t="n"/>
      <c r="U3407" s="92">
        <f>IF(ISBLANK(P3407),"",IF(C3407="Buy",Q3407-M3407+T3407, IF(C3407="Sell",M3407-Q3407-T3407, X)))</f>
        <v/>
      </c>
      <c r="V3407" s="81">
        <f>IF(ISBLANK(P3407),"",U3407/N3407)</f>
        <v/>
      </c>
      <c r="W3407" s="81">
        <f>IF(ISBLANK(P3407),"",IF(S3407=0,(365/0.5)*V3407,(365/S3407)*V3407))</f>
        <v/>
      </c>
      <c r="X3407" s="75" t="n"/>
      <c r="Y3407" s="77" t="n"/>
      <c r="Z3407" s="77" t="n"/>
      <c r="AA3407" s="75" t="n"/>
      <c r="AB3407" s="75" t="n"/>
      <c r="AC3407" s="6" t="n"/>
      <c r="AD3407" s="75" t="n"/>
      <c r="AE3407" s="75" t="n"/>
      <c r="AF3407" s="75" t="n"/>
    </row>
    <row r="3408" ht="15.75" customHeight="1" s="133">
      <c r="A3408" s="75" t="n"/>
      <c r="B3408" s="75" t="n"/>
      <c r="C3408" s="75" t="n"/>
      <c r="D3408" s="75" t="n"/>
      <c r="E3408" s="76" t="n"/>
      <c r="F3408" s="77" t="n"/>
      <c r="G3408" s="75" t="n"/>
      <c r="H3408" s="75">
        <f>IF(ISBLANK(E3408),"",IF(OR(D3408="Butterfly",D3408="Butterfly ",D3408="Iron Fly", D3408="Iron Fly "),LEN(E3408)-LEN(SUBSTITUTE(E3408,"/",""))+2,LEN(E3408)-LEN(SUBSTITUTE(E3408,"/",""))+1))</f>
        <v/>
      </c>
      <c r="I3408" s="78">
        <f>IF(ISBLANK(G3408),"",IF(D3408="Stock","0",Key!$A$3*H3408*G3408))</f>
        <v/>
      </c>
      <c r="J3408" s="78">
        <f>IF(ISBLANK(E3408),"",IF(ISNUMBER(SEARCH("/",E3408)), IF(LEN(E3408)-LEN(SUBSTITUTE(E3408,"/",""))=1,(RIGHT(E3408,LEN(E3408)-FIND("/",E3408)))-(LEFT(E3408,FIND("/",E3408)-1)),(MID(E3408, SEARCH("/",E3408) + 1, SEARCH("/",E3408, SEARCH("/",E3408)+1) - SEARCH("/",E3408) - 1))-(LEFT(E3408,FIND("/",E3408)-1))), "NA"))</f>
        <v/>
      </c>
      <c r="K3408" s="79">
        <f>IF(A3408&lt;&gt;"", IF(ISBLANK(L3408), TODAY(), K3408), "")</f>
        <v/>
      </c>
      <c r="L3408" s="78" t="n"/>
      <c r="M3408" s="78">
        <f>IF(ISBLANK(L3408),"",IF(D3408="Stock",IF(C3408="Buy",L3408*G3408,IF(C3408="Sell",(L3408*G3408)-I3408, X)),IF(C3408="Buy",(L3408*G3408*100)+I3408,IF(C3408="Sell",(L3408*G3408*100)-I3408, X))))</f>
        <v/>
      </c>
      <c r="N3408" s="78">
        <f>IF(ISBLANK(L3408),"",IF(AND(C3408="Sell",D3408="Stock"),M3408,IF(ISBLANK(L3408),"",IF(C3408="Buy",M3408, IF(AND(C3408="Sell",J3408="NA"),(E3408*G3408*100*0.1)+I3408, IF(C3408="Sell",(J3408-L3408)*(100*G3408)+I3408))))))</f>
        <v/>
      </c>
      <c r="O3408" s="75" t="n"/>
      <c r="P3408" s="75" t="n"/>
      <c r="Q3408" s="75">
        <f>IF(ISBLANK(P3408),"",IF(D3408="Stock",P3408*G3408,IF(P3408=0,"0",G3408*P3408*100-(G3408*$AF$14))))</f>
        <v/>
      </c>
      <c r="R3408" s="79">
        <f>IF(P3408&lt;&gt;"", TODAY(), "")</f>
        <v/>
      </c>
      <c r="S3408" s="78">
        <f>IF(AND(K3408&lt;&gt;"", R3408&lt;&gt;""), R3408-K3408, "")</f>
        <v/>
      </c>
      <c r="T3408" s="78" t="n"/>
      <c r="U3408" s="92">
        <f>IF(ISBLANK(P3408),"",IF(C3408="Buy",Q3408-M3408+T3408, IF(C3408="Sell",M3408-Q3408-T3408, X)))</f>
        <v/>
      </c>
      <c r="V3408" s="81">
        <f>IF(ISBLANK(P3408),"",U3408/N3408)</f>
        <v/>
      </c>
      <c r="W3408" s="81">
        <f>IF(ISBLANK(P3408),"",IF(S3408=0,(365/0.5)*V3408,(365/S3408)*V3408))</f>
        <v/>
      </c>
      <c r="X3408" s="75" t="n"/>
      <c r="Y3408" s="77" t="n"/>
      <c r="Z3408" s="77" t="n"/>
      <c r="AA3408" s="75" t="n"/>
      <c r="AB3408" s="75" t="n"/>
      <c r="AC3408" s="6" t="n"/>
      <c r="AD3408" s="75" t="n"/>
      <c r="AE3408" s="75" t="n"/>
      <c r="AF3408" s="75" t="n"/>
    </row>
    <row r="3409" ht="15.75" customHeight="1" s="133">
      <c r="A3409" s="75" t="n"/>
      <c r="B3409" s="75" t="n"/>
      <c r="C3409" s="75" t="n"/>
      <c r="D3409" s="75" t="n"/>
      <c r="E3409" s="76" t="n"/>
      <c r="F3409" s="77" t="n"/>
      <c r="G3409" s="75" t="n"/>
      <c r="H3409" s="75">
        <f>IF(ISBLANK(E3409),"",IF(OR(D3409="Butterfly",D3409="Butterfly ",D3409="Iron Fly", D3409="Iron Fly "),LEN(E3409)-LEN(SUBSTITUTE(E3409,"/",""))+2,LEN(E3409)-LEN(SUBSTITUTE(E3409,"/",""))+1))</f>
        <v/>
      </c>
      <c r="I3409" s="78">
        <f>IF(ISBLANK(G3409),"",IF(D3409="Stock","0",Key!$A$3*H3409*G3409))</f>
        <v/>
      </c>
      <c r="J3409" s="78">
        <f>IF(ISBLANK(E3409),"",IF(ISNUMBER(SEARCH("/",E3409)), IF(LEN(E3409)-LEN(SUBSTITUTE(E3409,"/",""))=1,(RIGHT(E3409,LEN(E3409)-FIND("/",E3409)))-(LEFT(E3409,FIND("/",E3409)-1)),(MID(E3409, SEARCH("/",E3409) + 1, SEARCH("/",E3409, SEARCH("/",E3409)+1) - SEARCH("/",E3409) - 1))-(LEFT(E3409,FIND("/",E3409)-1))), "NA"))</f>
        <v/>
      </c>
      <c r="K3409" s="79">
        <f>IF(A3409&lt;&gt;"", IF(ISBLANK(L3409), TODAY(), K3409), "")</f>
        <v/>
      </c>
      <c r="L3409" s="78" t="n"/>
      <c r="M3409" s="78">
        <f>IF(ISBLANK(L3409),"",IF(D3409="Stock",IF(C3409="Buy",L3409*G3409,IF(C3409="Sell",(L3409*G3409)-I3409, X)),IF(C3409="Buy",(L3409*G3409*100)+I3409,IF(C3409="Sell",(L3409*G3409*100)-I3409, X))))</f>
        <v/>
      </c>
      <c r="N3409" s="78">
        <f>IF(ISBLANK(L3409),"",IF(AND(C3409="Sell",D3409="Stock"),M3409,IF(ISBLANK(L3409),"",IF(C3409="Buy",M3409, IF(AND(C3409="Sell",J3409="NA"),(E3409*G3409*100*0.1)+I3409, IF(C3409="Sell",(J3409-L3409)*(100*G3409)+I3409))))))</f>
        <v/>
      </c>
      <c r="O3409" s="75" t="n"/>
      <c r="P3409" s="75" t="n"/>
      <c r="Q3409" s="75">
        <f>IF(ISBLANK(P3409),"",IF(D3409="Stock",P3409*G3409,IF(P3409=0,"0",G3409*P3409*100-(G3409*$AF$14))))</f>
        <v/>
      </c>
      <c r="R3409" s="79">
        <f>IF(P3409&lt;&gt;"", TODAY(), "")</f>
        <v/>
      </c>
      <c r="S3409" s="78">
        <f>IF(AND(K3409&lt;&gt;"", R3409&lt;&gt;""), R3409-K3409, "")</f>
        <v/>
      </c>
      <c r="T3409" s="78" t="n"/>
      <c r="U3409" s="92">
        <f>IF(ISBLANK(P3409),"",IF(C3409="Buy",Q3409-M3409+T3409, IF(C3409="Sell",M3409-Q3409-T3409, X)))</f>
        <v/>
      </c>
      <c r="V3409" s="81">
        <f>IF(ISBLANK(P3409),"",U3409/N3409)</f>
        <v/>
      </c>
      <c r="W3409" s="81">
        <f>IF(ISBLANK(P3409),"",IF(S3409=0,(365/0.5)*V3409,(365/S3409)*V3409))</f>
        <v/>
      </c>
      <c r="X3409" s="75" t="n"/>
      <c r="Y3409" s="77" t="n"/>
      <c r="Z3409" s="77" t="n"/>
      <c r="AA3409" s="75" t="n"/>
      <c r="AB3409" s="75" t="n"/>
      <c r="AC3409" s="6" t="n"/>
      <c r="AD3409" s="75" t="n"/>
      <c r="AE3409" s="75" t="n"/>
      <c r="AF3409" s="75" t="n"/>
    </row>
    <row r="3410" ht="15.75" customHeight="1" s="133">
      <c r="A3410" s="75" t="n"/>
      <c r="B3410" s="75" t="n"/>
      <c r="C3410" s="75" t="n"/>
      <c r="D3410" s="75" t="n"/>
      <c r="E3410" s="76" t="n"/>
      <c r="F3410" s="77" t="n"/>
      <c r="G3410" s="75" t="n"/>
      <c r="H3410" s="75">
        <f>IF(ISBLANK(E3410),"",IF(OR(D3410="Butterfly",D3410="Butterfly ",D3410="Iron Fly", D3410="Iron Fly "),LEN(E3410)-LEN(SUBSTITUTE(E3410,"/",""))+2,LEN(E3410)-LEN(SUBSTITUTE(E3410,"/",""))+1))</f>
        <v/>
      </c>
      <c r="I3410" s="78">
        <f>IF(ISBLANK(G3410),"",IF(D3410="Stock","0",Key!$A$3*H3410*G3410))</f>
        <v/>
      </c>
      <c r="J3410" s="78">
        <f>IF(ISBLANK(E3410),"",IF(ISNUMBER(SEARCH("/",E3410)), IF(LEN(E3410)-LEN(SUBSTITUTE(E3410,"/",""))=1,(RIGHT(E3410,LEN(E3410)-FIND("/",E3410)))-(LEFT(E3410,FIND("/",E3410)-1)),(MID(E3410, SEARCH("/",E3410) + 1, SEARCH("/",E3410, SEARCH("/",E3410)+1) - SEARCH("/",E3410) - 1))-(LEFT(E3410,FIND("/",E3410)-1))), "NA"))</f>
        <v/>
      </c>
      <c r="K3410" s="79">
        <f>IF(A3410&lt;&gt;"", IF(ISBLANK(L3410), TODAY(), K3410), "")</f>
        <v/>
      </c>
      <c r="L3410" s="78" t="n"/>
      <c r="M3410" s="78">
        <f>IF(ISBLANK(L3410),"",IF(D3410="Stock",IF(C3410="Buy",L3410*G3410,IF(C3410="Sell",(L3410*G3410)-I3410, X)),IF(C3410="Buy",(L3410*G3410*100)+I3410,IF(C3410="Sell",(L3410*G3410*100)-I3410, X))))</f>
        <v/>
      </c>
      <c r="N3410" s="78">
        <f>IF(ISBLANK(L3410),"",IF(AND(C3410="Sell",D3410="Stock"),M3410,IF(ISBLANK(L3410),"",IF(C3410="Buy",M3410, IF(AND(C3410="Sell",J3410="NA"),(E3410*G3410*100*0.1)+I3410, IF(C3410="Sell",(J3410-L3410)*(100*G3410)+I3410))))))</f>
        <v/>
      </c>
      <c r="O3410" s="75" t="n"/>
      <c r="P3410" s="75" t="n"/>
      <c r="Q3410" s="75">
        <f>IF(ISBLANK(P3410),"",IF(D3410="Stock",P3410*G3410,IF(P3410=0,"0",G3410*P3410*100-(G3410*$AF$14))))</f>
        <v/>
      </c>
      <c r="R3410" s="79">
        <f>IF(P3410&lt;&gt;"", TODAY(), "")</f>
        <v/>
      </c>
      <c r="S3410" s="78">
        <f>IF(AND(K3410&lt;&gt;"", R3410&lt;&gt;""), R3410-K3410, "")</f>
        <v/>
      </c>
      <c r="T3410" s="78" t="n"/>
      <c r="U3410" s="92">
        <f>IF(ISBLANK(P3410),"",IF(C3410="Buy",Q3410-M3410+T3410, IF(C3410="Sell",M3410-Q3410-T3410, X)))</f>
        <v/>
      </c>
      <c r="V3410" s="81">
        <f>IF(ISBLANK(P3410),"",U3410/N3410)</f>
        <v/>
      </c>
      <c r="W3410" s="81">
        <f>IF(ISBLANK(P3410),"",IF(S3410=0,(365/0.5)*V3410,(365/S3410)*V3410))</f>
        <v/>
      </c>
      <c r="X3410" s="75" t="n"/>
      <c r="Y3410" s="77" t="n"/>
      <c r="Z3410" s="77" t="n"/>
      <c r="AA3410" s="75" t="n"/>
      <c r="AB3410" s="75" t="n"/>
      <c r="AC3410" s="6" t="n"/>
      <c r="AD3410" s="75" t="n"/>
      <c r="AE3410" s="75" t="n"/>
      <c r="AF3410" s="75" t="n"/>
    </row>
    <row r="3411" ht="15.75" customHeight="1" s="133">
      <c r="A3411" s="75" t="n"/>
      <c r="B3411" s="75" t="n"/>
      <c r="C3411" s="75" t="n"/>
      <c r="D3411" s="75" t="n"/>
      <c r="E3411" s="76" t="n"/>
      <c r="F3411" s="77" t="n"/>
      <c r="G3411" s="75" t="n"/>
      <c r="H3411" s="75">
        <f>IF(ISBLANK(E3411),"",IF(OR(D3411="Butterfly",D3411="Butterfly ",D3411="Iron Fly", D3411="Iron Fly "),LEN(E3411)-LEN(SUBSTITUTE(E3411,"/",""))+2,LEN(E3411)-LEN(SUBSTITUTE(E3411,"/",""))+1))</f>
        <v/>
      </c>
      <c r="I3411" s="78">
        <f>IF(ISBLANK(G3411),"",IF(D3411="Stock","0",Key!$A$3*H3411*G3411))</f>
        <v/>
      </c>
      <c r="J3411" s="78">
        <f>IF(ISBLANK(E3411),"",IF(ISNUMBER(SEARCH("/",E3411)), IF(LEN(E3411)-LEN(SUBSTITUTE(E3411,"/",""))=1,(RIGHT(E3411,LEN(E3411)-FIND("/",E3411)))-(LEFT(E3411,FIND("/",E3411)-1)),(MID(E3411, SEARCH("/",E3411) + 1, SEARCH("/",E3411, SEARCH("/",E3411)+1) - SEARCH("/",E3411) - 1))-(LEFT(E3411,FIND("/",E3411)-1))), "NA"))</f>
        <v/>
      </c>
      <c r="K3411" s="79">
        <f>IF(A3411&lt;&gt;"", IF(ISBLANK(L3411), TODAY(), K3411), "")</f>
        <v/>
      </c>
      <c r="L3411" s="78" t="n"/>
      <c r="M3411" s="78">
        <f>IF(ISBLANK(L3411),"",IF(D3411="Stock",IF(C3411="Buy",L3411*G3411,IF(C3411="Sell",(L3411*G3411)-I3411, X)),IF(C3411="Buy",(L3411*G3411*100)+I3411,IF(C3411="Sell",(L3411*G3411*100)-I3411, X))))</f>
        <v/>
      </c>
      <c r="N3411" s="78">
        <f>IF(ISBLANK(L3411),"",IF(AND(C3411="Sell",D3411="Stock"),M3411,IF(ISBLANK(L3411),"",IF(C3411="Buy",M3411, IF(AND(C3411="Sell",J3411="NA"),(E3411*G3411*100*0.1)+I3411, IF(C3411="Sell",(J3411-L3411)*(100*G3411)+I3411))))))</f>
        <v/>
      </c>
      <c r="O3411" s="75" t="n"/>
      <c r="P3411" s="75" t="n"/>
      <c r="Q3411" s="75">
        <f>IF(ISBLANK(P3411),"",IF(D3411="Stock",P3411*G3411,IF(P3411=0,"0",G3411*P3411*100-(G3411*$AF$14))))</f>
        <v/>
      </c>
      <c r="R3411" s="79">
        <f>IF(P3411&lt;&gt;"", TODAY(), "")</f>
        <v/>
      </c>
      <c r="S3411" s="78">
        <f>IF(AND(K3411&lt;&gt;"", R3411&lt;&gt;""), R3411-K3411, "")</f>
        <v/>
      </c>
      <c r="T3411" s="78" t="n"/>
      <c r="U3411" s="92">
        <f>IF(ISBLANK(P3411),"",IF(C3411="Buy",Q3411-M3411+T3411, IF(C3411="Sell",M3411-Q3411-T3411, X)))</f>
        <v/>
      </c>
      <c r="V3411" s="81">
        <f>IF(ISBLANK(P3411),"",U3411/N3411)</f>
        <v/>
      </c>
      <c r="W3411" s="81">
        <f>IF(ISBLANK(P3411),"",IF(S3411=0,(365/0.5)*V3411,(365/S3411)*V3411))</f>
        <v/>
      </c>
      <c r="X3411" s="75" t="n"/>
      <c r="Y3411" s="77" t="n"/>
      <c r="Z3411" s="77" t="n"/>
      <c r="AA3411" s="75" t="n"/>
      <c r="AB3411" s="75" t="n"/>
      <c r="AC3411" s="6" t="n"/>
      <c r="AD3411" s="75" t="n"/>
      <c r="AE3411" s="75" t="n"/>
      <c r="AF3411" s="75" t="n"/>
    </row>
    <row r="3412" ht="15.75" customHeight="1" s="133">
      <c r="A3412" s="75" t="n"/>
      <c r="B3412" s="75" t="n"/>
      <c r="C3412" s="75" t="n"/>
      <c r="D3412" s="75" t="n"/>
      <c r="E3412" s="76" t="n"/>
      <c r="F3412" s="77" t="n"/>
      <c r="G3412" s="75" t="n"/>
      <c r="H3412" s="75">
        <f>IF(ISBLANK(E3412),"",IF(OR(D3412="Butterfly",D3412="Butterfly ",D3412="Iron Fly", D3412="Iron Fly "),LEN(E3412)-LEN(SUBSTITUTE(E3412,"/",""))+2,LEN(E3412)-LEN(SUBSTITUTE(E3412,"/",""))+1))</f>
        <v/>
      </c>
      <c r="I3412" s="78">
        <f>IF(ISBLANK(G3412),"",IF(D3412="Stock","0",Key!$A$3*H3412*G3412))</f>
        <v/>
      </c>
      <c r="J3412" s="78">
        <f>IF(ISBLANK(E3412),"",IF(ISNUMBER(SEARCH("/",E3412)), IF(LEN(E3412)-LEN(SUBSTITUTE(E3412,"/",""))=1,(RIGHT(E3412,LEN(E3412)-FIND("/",E3412)))-(LEFT(E3412,FIND("/",E3412)-1)),(MID(E3412, SEARCH("/",E3412) + 1, SEARCH("/",E3412, SEARCH("/",E3412)+1) - SEARCH("/",E3412) - 1))-(LEFT(E3412,FIND("/",E3412)-1))), "NA"))</f>
        <v/>
      </c>
      <c r="K3412" s="79">
        <f>IF(A3412&lt;&gt;"", IF(ISBLANK(L3412), TODAY(), K3412), "")</f>
        <v/>
      </c>
      <c r="L3412" s="78" t="n"/>
      <c r="M3412" s="78">
        <f>IF(ISBLANK(L3412),"",IF(D3412="Stock",IF(C3412="Buy",L3412*G3412,IF(C3412="Sell",(L3412*G3412)-I3412, X)),IF(C3412="Buy",(L3412*G3412*100)+I3412,IF(C3412="Sell",(L3412*G3412*100)-I3412, X))))</f>
        <v/>
      </c>
      <c r="N3412" s="78">
        <f>IF(ISBLANK(L3412),"",IF(AND(C3412="Sell",D3412="Stock"),M3412,IF(ISBLANK(L3412),"",IF(C3412="Buy",M3412, IF(AND(C3412="Sell",J3412="NA"),(E3412*G3412*100*0.1)+I3412, IF(C3412="Sell",(J3412-L3412)*(100*G3412)+I3412))))))</f>
        <v/>
      </c>
      <c r="O3412" s="75" t="n"/>
      <c r="P3412" s="75" t="n"/>
      <c r="Q3412" s="75">
        <f>IF(ISBLANK(P3412),"",IF(D3412="Stock",P3412*G3412,IF(P3412=0,"0",G3412*P3412*100-(G3412*$AF$14))))</f>
        <v/>
      </c>
      <c r="R3412" s="79">
        <f>IF(P3412&lt;&gt;"", TODAY(), "")</f>
        <v/>
      </c>
      <c r="S3412" s="78">
        <f>IF(AND(K3412&lt;&gt;"", R3412&lt;&gt;""), R3412-K3412, "")</f>
        <v/>
      </c>
      <c r="T3412" s="78" t="n"/>
      <c r="U3412" s="92">
        <f>IF(ISBLANK(P3412),"",IF(C3412="Buy",Q3412-M3412+T3412, IF(C3412="Sell",M3412-Q3412-T3412, X)))</f>
        <v/>
      </c>
      <c r="V3412" s="81">
        <f>IF(ISBLANK(P3412),"",U3412/N3412)</f>
        <v/>
      </c>
      <c r="W3412" s="81">
        <f>IF(ISBLANK(P3412),"",IF(S3412=0,(365/0.5)*V3412,(365/S3412)*V3412))</f>
        <v/>
      </c>
      <c r="X3412" s="75" t="n"/>
      <c r="Y3412" s="77" t="n"/>
      <c r="Z3412" s="77" t="n"/>
      <c r="AA3412" s="75" t="n"/>
      <c r="AB3412" s="75" t="n"/>
      <c r="AC3412" s="6" t="n"/>
      <c r="AD3412" s="75" t="n"/>
      <c r="AE3412" s="75" t="n"/>
      <c r="AF3412" s="75" t="n"/>
    </row>
    <row r="3413" ht="15.75" customHeight="1" s="133">
      <c r="A3413" s="75" t="n"/>
      <c r="B3413" s="75" t="n"/>
      <c r="C3413" s="75" t="n"/>
      <c r="D3413" s="75" t="n"/>
      <c r="E3413" s="76" t="n"/>
      <c r="F3413" s="77" t="n"/>
      <c r="G3413" s="75" t="n"/>
      <c r="H3413" s="75">
        <f>IF(ISBLANK(E3413),"",IF(OR(D3413="Butterfly",D3413="Butterfly ",D3413="Iron Fly", D3413="Iron Fly "),LEN(E3413)-LEN(SUBSTITUTE(E3413,"/",""))+2,LEN(E3413)-LEN(SUBSTITUTE(E3413,"/",""))+1))</f>
        <v/>
      </c>
      <c r="I3413" s="78">
        <f>IF(ISBLANK(G3413),"",IF(D3413="Stock","0",Key!$A$3*H3413*G3413))</f>
        <v/>
      </c>
      <c r="J3413" s="78">
        <f>IF(ISBLANK(E3413),"",IF(ISNUMBER(SEARCH("/",E3413)), IF(LEN(E3413)-LEN(SUBSTITUTE(E3413,"/",""))=1,(RIGHT(E3413,LEN(E3413)-FIND("/",E3413)))-(LEFT(E3413,FIND("/",E3413)-1)),(MID(E3413, SEARCH("/",E3413) + 1, SEARCH("/",E3413, SEARCH("/",E3413)+1) - SEARCH("/",E3413) - 1))-(LEFT(E3413,FIND("/",E3413)-1))), "NA"))</f>
        <v/>
      </c>
      <c r="K3413" s="79">
        <f>IF(A3413&lt;&gt;"", IF(ISBLANK(L3413), TODAY(), K3413), "")</f>
        <v/>
      </c>
      <c r="L3413" s="78" t="n"/>
      <c r="M3413" s="78">
        <f>IF(ISBLANK(L3413),"",IF(D3413="Stock",IF(C3413="Buy",L3413*G3413,IF(C3413="Sell",(L3413*G3413)-I3413, X)),IF(C3413="Buy",(L3413*G3413*100)+I3413,IF(C3413="Sell",(L3413*G3413*100)-I3413, X))))</f>
        <v/>
      </c>
      <c r="N3413" s="78">
        <f>IF(ISBLANK(L3413),"",IF(AND(C3413="Sell",D3413="Stock"),M3413,IF(ISBLANK(L3413),"",IF(C3413="Buy",M3413, IF(AND(C3413="Sell",J3413="NA"),(E3413*G3413*100*0.1)+I3413, IF(C3413="Sell",(J3413-L3413)*(100*G3413)+I3413))))))</f>
        <v/>
      </c>
      <c r="O3413" s="75" t="n"/>
      <c r="P3413" s="75" t="n"/>
      <c r="Q3413" s="75">
        <f>IF(ISBLANK(P3413),"",IF(D3413="Stock",P3413*G3413,IF(P3413=0,"0",G3413*P3413*100-(G3413*$AF$14))))</f>
        <v/>
      </c>
      <c r="R3413" s="79">
        <f>IF(P3413&lt;&gt;"", TODAY(), "")</f>
        <v/>
      </c>
      <c r="S3413" s="78">
        <f>IF(AND(K3413&lt;&gt;"", R3413&lt;&gt;""), R3413-K3413, "")</f>
        <v/>
      </c>
      <c r="T3413" s="78" t="n"/>
      <c r="U3413" s="92">
        <f>IF(ISBLANK(P3413),"",IF(C3413="Buy",Q3413-M3413+T3413, IF(C3413="Sell",M3413-Q3413-T3413, X)))</f>
        <v/>
      </c>
      <c r="V3413" s="81">
        <f>IF(ISBLANK(P3413),"",U3413/N3413)</f>
        <v/>
      </c>
      <c r="W3413" s="81">
        <f>IF(ISBLANK(P3413),"",IF(S3413=0,(365/0.5)*V3413,(365/S3413)*V3413))</f>
        <v/>
      </c>
      <c r="X3413" s="75" t="n"/>
      <c r="Y3413" s="77" t="n"/>
      <c r="Z3413" s="77" t="n"/>
      <c r="AA3413" s="75" t="n"/>
      <c r="AB3413" s="75" t="n"/>
      <c r="AC3413" s="6" t="n"/>
      <c r="AD3413" s="75" t="n"/>
      <c r="AE3413" s="75" t="n"/>
      <c r="AF3413" s="75" t="n"/>
    </row>
    <row r="3414" ht="15.75" customHeight="1" s="133">
      <c r="A3414" s="75" t="n"/>
      <c r="B3414" s="75" t="n"/>
      <c r="C3414" s="75" t="n"/>
      <c r="D3414" s="75" t="n"/>
      <c r="E3414" s="76" t="n"/>
      <c r="F3414" s="77" t="n"/>
      <c r="G3414" s="75" t="n"/>
      <c r="H3414" s="75">
        <f>IF(ISBLANK(E3414),"",IF(OR(D3414="Butterfly",D3414="Butterfly ",D3414="Iron Fly", D3414="Iron Fly "),LEN(E3414)-LEN(SUBSTITUTE(E3414,"/",""))+2,LEN(E3414)-LEN(SUBSTITUTE(E3414,"/",""))+1))</f>
        <v/>
      </c>
      <c r="I3414" s="78">
        <f>IF(ISBLANK(G3414),"",IF(D3414="Stock","0",Key!$A$3*H3414*G3414))</f>
        <v/>
      </c>
      <c r="J3414" s="78">
        <f>IF(ISBLANK(E3414),"",IF(ISNUMBER(SEARCH("/",E3414)), IF(LEN(E3414)-LEN(SUBSTITUTE(E3414,"/",""))=1,(RIGHT(E3414,LEN(E3414)-FIND("/",E3414)))-(LEFT(E3414,FIND("/",E3414)-1)),(MID(E3414, SEARCH("/",E3414) + 1, SEARCH("/",E3414, SEARCH("/",E3414)+1) - SEARCH("/",E3414) - 1))-(LEFT(E3414,FIND("/",E3414)-1))), "NA"))</f>
        <v/>
      </c>
      <c r="K3414" s="79">
        <f>IF(A3414&lt;&gt;"", IF(ISBLANK(L3414), TODAY(), K3414), "")</f>
        <v/>
      </c>
      <c r="L3414" s="78" t="n"/>
      <c r="M3414" s="78">
        <f>IF(ISBLANK(L3414),"",IF(D3414="Stock",IF(C3414="Buy",L3414*G3414,IF(C3414="Sell",(L3414*G3414)-I3414, X)),IF(C3414="Buy",(L3414*G3414*100)+I3414,IF(C3414="Sell",(L3414*G3414*100)-I3414, X))))</f>
        <v/>
      </c>
      <c r="N3414" s="78">
        <f>IF(ISBLANK(L3414),"",IF(AND(C3414="Sell",D3414="Stock"),M3414,IF(ISBLANK(L3414),"",IF(C3414="Buy",M3414, IF(AND(C3414="Sell",J3414="NA"),(E3414*G3414*100*0.1)+I3414, IF(C3414="Sell",(J3414-L3414)*(100*G3414)+I3414))))))</f>
        <v/>
      </c>
      <c r="O3414" s="75" t="n"/>
      <c r="P3414" s="75" t="n"/>
      <c r="Q3414" s="75">
        <f>IF(ISBLANK(P3414),"",IF(D3414="Stock",P3414*G3414,IF(P3414=0,"0",G3414*P3414*100-(G3414*$AF$14))))</f>
        <v/>
      </c>
      <c r="R3414" s="79">
        <f>IF(P3414&lt;&gt;"", TODAY(), "")</f>
        <v/>
      </c>
      <c r="S3414" s="78">
        <f>IF(AND(K3414&lt;&gt;"", R3414&lt;&gt;""), R3414-K3414, "")</f>
        <v/>
      </c>
      <c r="T3414" s="78" t="n"/>
      <c r="U3414" s="92">
        <f>IF(ISBLANK(P3414),"",IF(C3414="Buy",Q3414-M3414+T3414, IF(C3414="Sell",M3414-Q3414-T3414, X)))</f>
        <v/>
      </c>
      <c r="V3414" s="81">
        <f>IF(ISBLANK(P3414),"",U3414/N3414)</f>
        <v/>
      </c>
      <c r="W3414" s="81">
        <f>IF(ISBLANK(P3414),"",IF(S3414=0,(365/0.5)*V3414,(365/S3414)*V3414))</f>
        <v/>
      </c>
      <c r="X3414" s="75" t="n"/>
      <c r="Y3414" s="77" t="n"/>
      <c r="Z3414" s="77" t="n"/>
      <c r="AA3414" s="75" t="n"/>
      <c r="AB3414" s="75" t="n"/>
      <c r="AC3414" s="6" t="n"/>
      <c r="AD3414" s="75" t="n"/>
      <c r="AE3414" s="75" t="n"/>
      <c r="AF3414" s="75" t="n"/>
    </row>
    <row r="3415" ht="15.75" customHeight="1" s="133">
      <c r="A3415" s="75" t="n"/>
      <c r="B3415" s="75" t="n"/>
      <c r="C3415" s="75" t="n"/>
      <c r="D3415" s="75" t="n"/>
      <c r="E3415" s="76" t="n"/>
      <c r="F3415" s="77" t="n"/>
      <c r="G3415" s="75" t="n"/>
      <c r="H3415" s="75">
        <f>IF(ISBLANK(E3415),"",IF(OR(D3415="Butterfly",D3415="Butterfly ",D3415="Iron Fly", D3415="Iron Fly "),LEN(E3415)-LEN(SUBSTITUTE(E3415,"/",""))+2,LEN(E3415)-LEN(SUBSTITUTE(E3415,"/",""))+1))</f>
        <v/>
      </c>
      <c r="I3415" s="78">
        <f>IF(ISBLANK(G3415),"",IF(D3415="Stock","0",Key!$A$3*H3415*G3415))</f>
        <v/>
      </c>
      <c r="J3415" s="78">
        <f>IF(ISBLANK(E3415),"",IF(ISNUMBER(SEARCH("/",E3415)), IF(LEN(E3415)-LEN(SUBSTITUTE(E3415,"/",""))=1,(RIGHT(E3415,LEN(E3415)-FIND("/",E3415)))-(LEFT(E3415,FIND("/",E3415)-1)),(MID(E3415, SEARCH("/",E3415) + 1, SEARCH("/",E3415, SEARCH("/",E3415)+1) - SEARCH("/",E3415) - 1))-(LEFT(E3415,FIND("/",E3415)-1))), "NA"))</f>
        <v/>
      </c>
      <c r="K3415" s="79">
        <f>IF(A3415&lt;&gt;"", IF(ISBLANK(L3415), TODAY(), K3415), "")</f>
        <v/>
      </c>
      <c r="L3415" s="78" t="n"/>
      <c r="M3415" s="78">
        <f>IF(ISBLANK(L3415),"",IF(D3415="Stock",IF(C3415="Buy",L3415*G3415,IF(C3415="Sell",(L3415*G3415)-I3415, X)),IF(C3415="Buy",(L3415*G3415*100)+I3415,IF(C3415="Sell",(L3415*G3415*100)-I3415, X))))</f>
        <v/>
      </c>
      <c r="N3415" s="78">
        <f>IF(ISBLANK(L3415),"",IF(AND(C3415="Sell",D3415="Stock"),M3415,IF(ISBLANK(L3415),"",IF(C3415="Buy",M3415, IF(AND(C3415="Sell",J3415="NA"),(E3415*G3415*100*0.1)+I3415, IF(C3415="Sell",(J3415-L3415)*(100*G3415)+I3415))))))</f>
        <v/>
      </c>
      <c r="O3415" s="75" t="n"/>
      <c r="P3415" s="75" t="n"/>
      <c r="Q3415" s="75">
        <f>IF(ISBLANK(P3415),"",IF(D3415="Stock",P3415*G3415,IF(P3415=0,"0",G3415*P3415*100-(G3415*$AF$14))))</f>
        <v/>
      </c>
      <c r="R3415" s="79">
        <f>IF(P3415&lt;&gt;"", TODAY(), "")</f>
        <v/>
      </c>
      <c r="S3415" s="78">
        <f>IF(AND(K3415&lt;&gt;"", R3415&lt;&gt;""), R3415-K3415, "")</f>
        <v/>
      </c>
      <c r="T3415" s="78" t="n"/>
      <c r="U3415" s="92">
        <f>IF(ISBLANK(P3415),"",IF(C3415="Buy",Q3415-M3415+T3415, IF(C3415="Sell",M3415-Q3415-T3415, X)))</f>
        <v/>
      </c>
      <c r="V3415" s="81">
        <f>IF(ISBLANK(P3415),"",U3415/N3415)</f>
        <v/>
      </c>
      <c r="W3415" s="81">
        <f>IF(ISBLANK(P3415),"",IF(S3415=0,(365/0.5)*V3415,(365/S3415)*V3415))</f>
        <v/>
      </c>
      <c r="X3415" s="75" t="n"/>
      <c r="Y3415" s="77" t="n"/>
      <c r="Z3415" s="77" t="n"/>
      <c r="AA3415" s="75" t="n"/>
      <c r="AB3415" s="75" t="n"/>
      <c r="AC3415" s="6" t="n"/>
      <c r="AD3415" s="75" t="n"/>
      <c r="AE3415" s="75" t="n"/>
      <c r="AF3415" s="75" t="n"/>
    </row>
    <row r="3416" ht="15.75" customHeight="1" s="133">
      <c r="A3416" s="75" t="n"/>
      <c r="B3416" s="75" t="n"/>
      <c r="C3416" s="75" t="n"/>
      <c r="D3416" s="75" t="n"/>
      <c r="E3416" s="76" t="n"/>
      <c r="F3416" s="77" t="n"/>
      <c r="G3416" s="75" t="n"/>
      <c r="H3416" s="75">
        <f>IF(ISBLANK(E3416),"",IF(OR(D3416="Butterfly",D3416="Butterfly ",D3416="Iron Fly", D3416="Iron Fly "),LEN(E3416)-LEN(SUBSTITUTE(E3416,"/",""))+2,LEN(E3416)-LEN(SUBSTITUTE(E3416,"/",""))+1))</f>
        <v/>
      </c>
      <c r="I3416" s="78">
        <f>IF(ISBLANK(G3416),"",IF(D3416="Stock","0",Key!$A$3*H3416*G3416))</f>
        <v/>
      </c>
      <c r="J3416" s="78">
        <f>IF(ISBLANK(E3416),"",IF(ISNUMBER(SEARCH("/",E3416)), IF(LEN(E3416)-LEN(SUBSTITUTE(E3416,"/",""))=1,(RIGHT(E3416,LEN(E3416)-FIND("/",E3416)))-(LEFT(E3416,FIND("/",E3416)-1)),(MID(E3416, SEARCH("/",E3416) + 1, SEARCH("/",E3416, SEARCH("/",E3416)+1) - SEARCH("/",E3416) - 1))-(LEFT(E3416,FIND("/",E3416)-1))), "NA"))</f>
        <v/>
      </c>
      <c r="K3416" s="79">
        <f>IF(A3416&lt;&gt;"", IF(ISBLANK(L3416), TODAY(), K3416), "")</f>
        <v/>
      </c>
      <c r="L3416" s="78" t="n"/>
      <c r="M3416" s="78">
        <f>IF(ISBLANK(L3416),"",IF(D3416="Stock",IF(C3416="Buy",L3416*G3416,IF(C3416="Sell",(L3416*G3416)-I3416, X)),IF(C3416="Buy",(L3416*G3416*100)+I3416,IF(C3416="Sell",(L3416*G3416*100)-I3416, X))))</f>
        <v/>
      </c>
      <c r="N3416" s="78">
        <f>IF(ISBLANK(L3416),"",IF(AND(C3416="Sell",D3416="Stock"),M3416,IF(ISBLANK(L3416),"",IF(C3416="Buy",M3416, IF(AND(C3416="Sell",J3416="NA"),(E3416*G3416*100*0.1)+I3416, IF(C3416="Sell",(J3416-L3416)*(100*G3416)+I3416))))))</f>
        <v/>
      </c>
      <c r="O3416" s="75" t="n"/>
      <c r="P3416" s="75" t="n"/>
      <c r="Q3416" s="75">
        <f>IF(ISBLANK(P3416),"",IF(D3416="Stock",P3416*G3416,IF(P3416=0,"0",G3416*P3416*100-(G3416*$AF$14))))</f>
        <v/>
      </c>
      <c r="R3416" s="79">
        <f>IF(P3416&lt;&gt;"", TODAY(), "")</f>
        <v/>
      </c>
      <c r="S3416" s="78">
        <f>IF(AND(K3416&lt;&gt;"", R3416&lt;&gt;""), R3416-K3416, "")</f>
        <v/>
      </c>
      <c r="T3416" s="78" t="n"/>
      <c r="U3416" s="92">
        <f>IF(ISBLANK(P3416),"",IF(C3416="Buy",Q3416-M3416+T3416, IF(C3416="Sell",M3416-Q3416-T3416, X)))</f>
        <v/>
      </c>
      <c r="V3416" s="81">
        <f>IF(ISBLANK(P3416),"",U3416/N3416)</f>
        <v/>
      </c>
      <c r="W3416" s="81">
        <f>IF(ISBLANK(P3416),"",IF(S3416=0,(365/0.5)*V3416,(365/S3416)*V3416))</f>
        <v/>
      </c>
      <c r="X3416" s="75" t="n"/>
      <c r="Y3416" s="77" t="n"/>
      <c r="Z3416" s="77" t="n"/>
      <c r="AA3416" s="75" t="n"/>
      <c r="AB3416" s="75" t="n"/>
      <c r="AC3416" s="6" t="n"/>
      <c r="AD3416" s="75" t="n"/>
      <c r="AE3416" s="75" t="n"/>
      <c r="AF3416" s="75" t="n"/>
    </row>
    <row r="3417" ht="15.75" customHeight="1" s="133">
      <c r="A3417" s="75" t="n"/>
      <c r="B3417" s="75" t="n"/>
      <c r="C3417" s="75" t="n"/>
      <c r="D3417" s="75" t="n"/>
      <c r="E3417" s="76" t="n"/>
      <c r="F3417" s="77" t="n"/>
      <c r="G3417" s="75" t="n"/>
      <c r="H3417" s="75">
        <f>IF(ISBLANK(E3417),"",IF(OR(D3417="Butterfly",D3417="Butterfly ",D3417="Iron Fly", D3417="Iron Fly "),LEN(E3417)-LEN(SUBSTITUTE(E3417,"/",""))+2,LEN(E3417)-LEN(SUBSTITUTE(E3417,"/",""))+1))</f>
        <v/>
      </c>
      <c r="I3417" s="78">
        <f>IF(ISBLANK(G3417),"",IF(D3417="Stock","0",Key!$A$3*H3417*G3417))</f>
        <v/>
      </c>
      <c r="J3417" s="78">
        <f>IF(ISBLANK(E3417),"",IF(ISNUMBER(SEARCH("/",E3417)), IF(LEN(E3417)-LEN(SUBSTITUTE(E3417,"/",""))=1,(RIGHT(E3417,LEN(E3417)-FIND("/",E3417)))-(LEFT(E3417,FIND("/",E3417)-1)),(MID(E3417, SEARCH("/",E3417) + 1, SEARCH("/",E3417, SEARCH("/",E3417)+1) - SEARCH("/",E3417) - 1))-(LEFT(E3417,FIND("/",E3417)-1))), "NA"))</f>
        <v/>
      </c>
      <c r="K3417" s="79">
        <f>IF(A3417&lt;&gt;"", IF(ISBLANK(L3417), TODAY(), K3417), "")</f>
        <v/>
      </c>
      <c r="L3417" s="78" t="n"/>
      <c r="M3417" s="78">
        <f>IF(ISBLANK(L3417),"",IF(D3417="Stock",IF(C3417="Buy",L3417*G3417,IF(C3417="Sell",(L3417*G3417)-I3417, X)),IF(C3417="Buy",(L3417*G3417*100)+I3417,IF(C3417="Sell",(L3417*G3417*100)-I3417, X))))</f>
        <v/>
      </c>
      <c r="N3417" s="78">
        <f>IF(ISBLANK(L3417),"",IF(AND(C3417="Sell",D3417="Stock"),M3417,IF(ISBLANK(L3417),"",IF(C3417="Buy",M3417, IF(AND(C3417="Sell",J3417="NA"),(E3417*G3417*100*0.1)+I3417, IF(C3417="Sell",(J3417-L3417)*(100*G3417)+I3417))))))</f>
        <v/>
      </c>
      <c r="O3417" s="75" t="n"/>
      <c r="P3417" s="75" t="n"/>
      <c r="Q3417" s="75">
        <f>IF(ISBLANK(P3417),"",IF(D3417="Stock",P3417*G3417,IF(P3417=0,"0",G3417*P3417*100-(G3417*$AF$14))))</f>
        <v/>
      </c>
      <c r="R3417" s="79">
        <f>IF(P3417&lt;&gt;"", TODAY(), "")</f>
        <v/>
      </c>
      <c r="S3417" s="78">
        <f>IF(AND(K3417&lt;&gt;"", R3417&lt;&gt;""), R3417-K3417, "")</f>
        <v/>
      </c>
      <c r="T3417" s="78" t="n"/>
      <c r="U3417" s="92">
        <f>IF(ISBLANK(P3417),"",IF(C3417="Buy",Q3417-M3417+T3417, IF(C3417="Sell",M3417-Q3417-T3417, X)))</f>
        <v/>
      </c>
      <c r="V3417" s="81">
        <f>IF(ISBLANK(P3417),"",U3417/N3417)</f>
        <v/>
      </c>
      <c r="W3417" s="81">
        <f>IF(ISBLANK(P3417),"",IF(S3417=0,(365/0.5)*V3417,(365/S3417)*V3417))</f>
        <v/>
      </c>
      <c r="X3417" s="75" t="n"/>
      <c r="Y3417" s="77" t="n"/>
      <c r="Z3417" s="77" t="n"/>
      <c r="AA3417" s="75" t="n"/>
      <c r="AB3417" s="75" t="n"/>
      <c r="AC3417" s="6" t="n"/>
      <c r="AD3417" s="75" t="n"/>
      <c r="AE3417" s="75" t="n"/>
      <c r="AF3417" s="75" t="n"/>
    </row>
    <row r="3418" ht="15.75" customHeight="1" s="133">
      <c r="A3418" s="75" t="n"/>
      <c r="B3418" s="75" t="n"/>
      <c r="C3418" s="75" t="n"/>
      <c r="D3418" s="75" t="n"/>
      <c r="E3418" s="76" t="n"/>
      <c r="F3418" s="77" t="n"/>
      <c r="G3418" s="75" t="n"/>
      <c r="H3418" s="75">
        <f>IF(ISBLANK(E3418),"",IF(OR(D3418="Butterfly",D3418="Butterfly ",D3418="Iron Fly", D3418="Iron Fly "),LEN(E3418)-LEN(SUBSTITUTE(E3418,"/",""))+2,LEN(E3418)-LEN(SUBSTITUTE(E3418,"/",""))+1))</f>
        <v/>
      </c>
      <c r="I3418" s="78">
        <f>IF(ISBLANK(G3418),"",IF(D3418="Stock","0",Key!$A$3*H3418*G3418))</f>
        <v/>
      </c>
      <c r="J3418" s="78">
        <f>IF(ISBLANK(E3418),"",IF(ISNUMBER(SEARCH("/",E3418)), IF(LEN(E3418)-LEN(SUBSTITUTE(E3418,"/",""))=1,(RIGHT(E3418,LEN(E3418)-FIND("/",E3418)))-(LEFT(E3418,FIND("/",E3418)-1)),(MID(E3418, SEARCH("/",E3418) + 1, SEARCH("/",E3418, SEARCH("/",E3418)+1) - SEARCH("/",E3418) - 1))-(LEFT(E3418,FIND("/",E3418)-1))), "NA"))</f>
        <v/>
      </c>
      <c r="K3418" s="79">
        <f>IF(A3418&lt;&gt;"", IF(ISBLANK(L3418), TODAY(), K3418), "")</f>
        <v/>
      </c>
      <c r="L3418" s="78" t="n"/>
      <c r="M3418" s="78">
        <f>IF(ISBLANK(L3418),"",IF(D3418="Stock",IF(C3418="Buy",L3418*G3418,IF(C3418="Sell",(L3418*G3418)-I3418, X)),IF(C3418="Buy",(L3418*G3418*100)+I3418,IF(C3418="Sell",(L3418*G3418*100)-I3418, X))))</f>
        <v/>
      </c>
      <c r="N3418" s="78">
        <f>IF(ISBLANK(L3418),"",IF(AND(C3418="Sell",D3418="Stock"),M3418,IF(ISBLANK(L3418),"",IF(C3418="Buy",M3418, IF(AND(C3418="Sell",J3418="NA"),(E3418*G3418*100*0.1)+I3418, IF(C3418="Sell",(J3418-L3418)*(100*G3418)+I3418))))))</f>
        <v/>
      </c>
      <c r="O3418" s="75" t="n"/>
      <c r="P3418" s="75" t="n"/>
      <c r="Q3418" s="75">
        <f>IF(ISBLANK(P3418),"",IF(D3418="Stock",P3418*G3418,IF(P3418=0,"0",G3418*P3418*100-(G3418*$AF$14))))</f>
        <v/>
      </c>
      <c r="R3418" s="79">
        <f>IF(P3418&lt;&gt;"", TODAY(), "")</f>
        <v/>
      </c>
      <c r="S3418" s="78">
        <f>IF(AND(K3418&lt;&gt;"", R3418&lt;&gt;""), R3418-K3418, "")</f>
        <v/>
      </c>
      <c r="T3418" s="78" t="n"/>
      <c r="U3418" s="92">
        <f>IF(ISBLANK(P3418),"",IF(C3418="Buy",Q3418-M3418+T3418, IF(C3418="Sell",M3418-Q3418-T3418, X)))</f>
        <v/>
      </c>
      <c r="V3418" s="81">
        <f>IF(ISBLANK(P3418),"",U3418/N3418)</f>
        <v/>
      </c>
      <c r="W3418" s="81">
        <f>IF(ISBLANK(P3418),"",IF(S3418=0,(365/0.5)*V3418,(365/S3418)*V3418))</f>
        <v/>
      </c>
      <c r="X3418" s="75" t="n"/>
      <c r="Y3418" s="77" t="n"/>
      <c r="Z3418" s="77" t="n"/>
      <c r="AA3418" s="75" t="n"/>
      <c r="AB3418" s="75" t="n"/>
      <c r="AC3418" s="6" t="n"/>
      <c r="AD3418" s="75" t="n"/>
      <c r="AE3418" s="75" t="n"/>
      <c r="AF3418" s="75" t="n"/>
    </row>
    <row r="3419" ht="15.75" customHeight="1" s="133">
      <c r="A3419" s="75" t="n"/>
      <c r="B3419" s="75" t="n"/>
      <c r="C3419" s="75" t="n"/>
      <c r="D3419" s="75" t="n"/>
      <c r="E3419" s="76" t="n"/>
      <c r="F3419" s="77" t="n"/>
      <c r="G3419" s="75" t="n"/>
      <c r="H3419" s="75">
        <f>IF(ISBLANK(E3419),"",IF(OR(D3419="Butterfly",D3419="Butterfly ",D3419="Iron Fly", D3419="Iron Fly "),LEN(E3419)-LEN(SUBSTITUTE(E3419,"/",""))+2,LEN(E3419)-LEN(SUBSTITUTE(E3419,"/",""))+1))</f>
        <v/>
      </c>
      <c r="I3419" s="78">
        <f>IF(ISBLANK(G3419),"",IF(D3419="Stock","0",Key!$A$3*H3419*G3419))</f>
        <v/>
      </c>
      <c r="J3419" s="78">
        <f>IF(ISBLANK(E3419),"",IF(ISNUMBER(SEARCH("/",E3419)), IF(LEN(E3419)-LEN(SUBSTITUTE(E3419,"/",""))=1,(RIGHT(E3419,LEN(E3419)-FIND("/",E3419)))-(LEFT(E3419,FIND("/",E3419)-1)),(MID(E3419, SEARCH("/",E3419) + 1, SEARCH("/",E3419, SEARCH("/",E3419)+1) - SEARCH("/",E3419) - 1))-(LEFT(E3419,FIND("/",E3419)-1))), "NA"))</f>
        <v/>
      </c>
      <c r="K3419" s="79">
        <f>IF(A3419&lt;&gt;"", IF(ISBLANK(L3419), TODAY(), K3419), "")</f>
        <v/>
      </c>
      <c r="L3419" s="78" t="n"/>
      <c r="M3419" s="78">
        <f>IF(ISBLANK(L3419),"",IF(D3419="Stock",IF(C3419="Buy",L3419*G3419,IF(C3419="Sell",(L3419*G3419)-I3419, X)),IF(C3419="Buy",(L3419*G3419*100)+I3419,IF(C3419="Sell",(L3419*G3419*100)-I3419, X))))</f>
        <v/>
      </c>
      <c r="N3419" s="78">
        <f>IF(ISBLANK(L3419),"",IF(AND(C3419="Sell",D3419="Stock"),M3419,IF(ISBLANK(L3419),"",IF(C3419="Buy",M3419, IF(AND(C3419="Sell",J3419="NA"),(E3419*G3419*100*0.1)+I3419, IF(C3419="Sell",(J3419-L3419)*(100*G3419)+I3419))))))</f>
        <v/>
      </c>
      <c r="O3419" s="75" t="n"/>
      <c r="P3419" s="75" t="n"/>
      <c r="Q3419" s="75">
        <f>IF(ISBLANK(P3419),"",IF(D3419="Stock",P3419*G3419,IF(P3419=0,"0",G3419*P3419*100-(G3419*$AF$14))))</f>
        <v/>
      </c>
      <c r="R3419" s="79">
        <f>IF(P3419&lt;&gt;"", TODAY(), "")</f>
        <v/>
      </c>
      <c r="S3419" s="78">
        <f>IF(AND(K3419&lt;&gt;"", R3419&lt;&gt;""), R3419-K3419, "")</f>
        <v/>
      </c>
      <c r="T3419" s="78" t="n"/>
      <c r="U3419" s="92">
        <f>IF(ISBLANK(P3419),"",IF(C3419="Buy",Q3419-M3419+T3419, IF(C3419="Sell",M3419-Q3419-T3419, X)))</f>
        <v/>
      </c>
      <c r="V3419" s="81">
        <f>IF(ISBLANK(P3419),"",U3419/N3419)</f>
        <v/>
      </c>
      <c r="W3419" s="81">
        <f>IF(ISBLANK(P3419),"",IF(S3419=0,(365/0.5)*V3419,(365/S3419)*V3419))</f>
        <v/>
      </c>
      <c r="X3419" s="75" t="n"/>
      <c r="Y3419" s="77" t="n"/>
      <c r="Z3419" s="77" t="n"/>
      <c r="AA3419" s="75" t="n"/>
      <c r="AB3419" s="75" t="n"/>
      <c r="AC3419" s="6" t="n"/>
      <c r="AD3419" s="75" t="n"/>
      <c r="AE3419" s="75" t="n"/>
      <c r="AF3419" s="75" t="n"/>
    </row>
    <row r="3420" ht="15.75" customHeight="1" s="133">
      <c r="A3420" s="75" t="n"/>
      <c r="B3420" s="75" t="n"/>
      <c r="C3420" s="75" t="n"/>
      <c r="D3420" s="75" t="n"/>
      <c r="E3420" s="76" t="n"/>
      <c r="F3420" s="77" t="n"/>
      <c r="G3420" s="75" t="n"/>
      <c r="H3420" s="75">
        <f>IF(ISBLANK(E3420),"",IF(OR(D3420="Butterfly",D3420="Butterfly ",D3420="Iron Fly", D3420="Iron Fly "),LEN(E3420)-LEN(SUBSTITUTE(E3420,"/",""))+2,LEN(E3420)-LEN(SUBSTITUTE(E3420,"/",""))+1))</f>
        <v/>
      </c>
      <c r="I3420" s="78">
        <f>IF(ISBLANK(G3420),"",IF(D3420="Stock","0",Key!$A$3*H3420*G3420))</f>
        <v/>
      </c>
      <c r="J3420" s="78">
        <f>IF(ISBLANK(E3420),"",IF(ISNUMBER(SEARCH("/",E3420)), IF(LEN(E3420)-LEN(SUBSTITUTE(E3420,"/",""))=1,(RIGHT(E3420,LEN(E3420)-FIND("/",E3420)))-(LEFT(E3420,FIND("/",E3420)-1)),(MID(E3420, SEARCH("/",E3420) + 1, SEARCH("/",E3420, SEARCH("/",E3420)+1) - SEARCH("/",E3420) - 1))-(LEFT(E3420,FIND("/",E3420)-1))), "NA"))</f>
        <v/>
      </c>
      <c r="K3420" s="79">
        <f>IF(A3420&lt;&gt;"", IF(ISBLANK(L3420), TODAY(), K3420), "")</f>
        <v/>
      </c>
      <c r="L3420" s="78" t="n"/>
      <c r="M3420" s="78">
        <f>IF(ISBLANK(L3420),"",IF(D3420="Stock",IF(C3420="Buy",L3420*G3420,IF(C3420="Sell",(L3420*G3420)-I3420, X)),IF(C3420="Buy",(L3420*G3420*100)+I3420,IF(C3420="Sell",(L3420*G3420*100)-I3420, X))))</f>
        <v/>
      </c>
      <c r="N3420" s="78">
        <f>IF(ISBLANK(L3420),"",IF(AND(C3420="Sell",D3420="Stock"),M3420,IF(ISBLANK(L3420),"",IF(C3420="Buy",M3420, IF(AND(C3420="Sell",J3420="NA"),(E3420*G3420*100*0.1)+I3420, IF(C3420="Sell",(J3420-L3420)*(100*G3420)+I3420))))))</f>
        <v/>
      </c>
      <c r="O3420" s="75" t="n"/>
      <c r="P3420" s="75" t="n"/>
      <c r="Q3420" s="75">
        <f>IF(ISBLANK(P3420),"",IF(D3420="Stock",P3420*G3420,IF(P3420=0,"0",G3420*P3420*100-(G3420*$AF$14))))</f>
        <v/>
      </c>
      <c r="R3420" s="79">
        <f>IF(P3420&lt;&gt;"", TODAY(), "")</f>
        <v/>
      </c>
      <c r="S3420" s="78">
        <f>IF(AND(K3420&lt;&gt;"", R3420&lt;&gt;""), R3420-K3420, "")</f>
        <v/>
      </c>
      <c r="T3420" s="78" t="n"/>
      <c r="U3420" s="92">
        <f>IF(ISBLANK(P3420),"",IF(C3420="Buy",Q3420-M3420+T3420, IF(C3420="Sell",M3420-Q3420-T3420, X)))</f>
        <v/>
      </c>
      <c r="V3420" s="81">
        <f>IF(ISBLANK(P3420),"",U3420/N3420)</f>
        <v/>
      </c>
      <c r="W3420" s="81">
        <f>IF(ISBLANK(P3420),"",IF(S3420=0,(365/0.5)*V3420,(365/S3420)*V3420))</f>
        <v/>
      </c>
      <c r="X3420" s="75" t="n"/>
      <c r="Y3420" s="77" t="n"/>
      <c r="Z3420" s="77" t="n"/>
      <c r="AA3420" s="75" t="n"/>
      <c r="AB3420" s="75" t="n"/>
      <c r="AC3420" s="6" t="n"/>
      <c r="AD3420" s="75" t="n"/>
      <c r="AE3420" s="75" t="n"/>
      <c r="AF3420" s="75" t="n"/>
    </row>
    <row r="3421" ht="15.75" customHeight="1" s="133">
      <c r="A3421" s="75" t="n"/>
      <c r="B3421" s="75" t="n"/>
      <c r="C3421" s="75" t="n"/>
      <c r="D3421" s="75" t="n"/>
      <c r="E3421" s="76" t="n"/>
      <c r="F3421" s="77" t="n"/>
      <c r="G3421" s="75" t="n"/>
      <c r="H3421" s="75">
        <f>IF(ISBLANK(E3421),"",IF(OR(D3421="Butterfly",D3421="Butterfly ",D3421="Iron Fly", D3421="Iron Fly "),LEN(E3421)-LEN(SUBSTITUTE(E3421,"/",""))+2,LEN(E3421)-LEN(SUBSTITUTE(E3421,"/",""))+1))</f>
        <v/>
      </c>
      <c r="I3421" s="78">
        <f>IF(ISBLANK(G3421),"",IF(D3421="Stock","0",Key!$A$3*H3421*G3421))</f>
        <v/>
      </c>
      <c r="J3421" s="78">
        <f>IF(ISBLANK(E3421),"",IF(ISNUMBER(SEARCH("/",E3421)), IF(LEN(E3421)-LEN(SUBSTITUTE(E3421,"/",""))=1,(RIGHT(E3421,LEN(E3421)-FIND("/",E3421)))-(LEFT(E3421,FIND("/",E3421)-1)),(MID(E3421, SEARCH("/",E3421) + 1, SEARCH("/",E3421, SEARCH("/",E3421)+1) - SEARCH("/",E3421) - 1))-(LEFT(E3421,FIND("/",E3421)-1))), "NA"))</f>
        <v/>
      </c>
      <c r="K3421" s="79">
        <f>IF(A3421&lt;&gt;"", IF(ISBLANK(L3421), TODAY(), K3421), "")</f>
        <v/>
      </c>
      <c r="L3421" s="78" t="n"/>
      <c r="M3421" s="78">
        <f>IF(ISBLANK(L3421),"",IF(D3421="Stock",IF(C3421="Buy",L3421*G3421,IF(C3421="Sell",(L3421*G3421)-I3421, X)),IF(C3421="Buy",(L3421*G3421*100)+I3421,IF(C3421="Sell",(L3421*G3421*100)-I3421, X))))</f>
        <v/>
      </c>
      <c r="N3421" s="78">
        <f>IF(ISBLANK(L3421),"",IF(AND(C3421="Sell",D3421="Stock"),M3421,IF(ISBLANK(L3421),"",IF(C3421="Buy",M3421, IF(AND(C3421="Sell",J3421="NA"),(E3421*G3421*100*0.1)+I3421, IF(C3421="Sell",(J3421-L3421)*(100*G3421)+I3421))))))</f>
        <v/>
      </c>
      <c r="O3421" s="75" t="n"/>
      <c r="P3421" s="75" t="n"/>
      <c r="Q3421" s="75">
        <f>IF(ISBLANK(P3421),"",IF(D3421="Stock",P3421*G3421,IF(P3421=0,"0",G3421*P3421*100-(G3421*$AF$14))))</f>
        <v/>
      </c>
      <c r="R3421" s="79">
        <f>IF(P3421&lt;&gt;"", TODAY(), "")</f>
        <v/>
      </c>
      <c r="S3421" s="78">
        <f>IF(AND(K3421&lt;&gt;"", R3421&lt;&gt;""), R3421-K3421, "")</f>
        <v/>
      </c>
      <c r="T3421" s="78" t="n"/>
      <c r="U3421" s="92">
        <f>IF(ISBLANK(P3421),"",IF(C3421="Buy",Q3421-M3421+T3421, IF(C3421="Sell",M3421-Q3421-T3421, X)))</f>
        <v/>
      </c>
      <c r="V3421" s="81">
        <f>IF(ISBLANK(P3421),"",U3421/N3421)</f>
        <v/>
      </c>
      <c r="W3421" s="81">
        <f>IF(ISBLANK(P3421),"",IF(S3421=0,(365/0.5)*V3421,(365/S3421)*V3421))</f>
        <v/>
      </c>
      <c r="X3421" s="75" t="n"/>
      <c r="Y3421" s="77" t="n"/>
      <c r="Z3421" s="77" t="n"/>
      <c r="AA3421" s="75" t="n"/>
      <c r="AB3421" s="75" t="n"/>
      <c r="AC3421" s="6" t="n"/>
      <c r="AD3421" s="75" t="n"/>
      <c r="AE3421" s="75" t="n"/>
      <c r="AF3421" s="75" t="n"/>
    </row>
    <row r="3422" ht="15.75" customHeight="1" s="133">
      <c r="A3422" s="75" t="n"/>
      <c r="B3422" s="75" t="n"/>
      <c r="C3422" s="75" t="n"/>
      <c r="D3422" s="75" t="n"/>
      <c r="E3422" s="76" t="n"/>
      <c r="F3422" s="77" t="n"/>
      <c r="G3422" s="75" t="n"/>
      <c r="H3422" s="75">
        <f>IF(ISBLANK(E3422),"",IF(OR(D3422="Butterfly",D3422="Butterfly ",D3422="Iron Fly", D3422="Iron Fly "),LEN(E3422)-LEN(SUBSTITUTE(E3422,"/",""))+2,LEN(E3422)-LEN(SUBSTITUTE(E3422,"/",""))+1))</f>
        <v/>
      </c>
      <c r="I3422" s="78">
        <f>IF(ISBLANK(G3422),"",IF(D3422="Stock","0",Key!$A$3*H3422*G3422))</f>
        <v/>
      </c>
      <c r="J3422" s="78">
        <f>IF(ISBLANK(E3422),"",IF(ISNUMBER(SEARCH("/",E3422)), IF(LEN(E3422)-LEN(SUBSTITUTE(E3422,"/",""))=1,(RIGHT(E3422,LEN(E3422)-FIND("/",E3422)))-(LEFT(E3422,FIND("/",E3422)-1)),(MID(E3422, SEARCH("/",E3422) + 1, SEARCH("/",E3422, SEARCH("/",E3422)+1) - SEARCH("/",E3422) - 1))-(LEFT(E3422,FIND("/",E3422)-1))), "NA"))</f>
        <v/>
      </c>
      <c r="K3422" s="79">
        <f>IF(A3422&lt;&gt;"", IF(ISBLANK(L3422), TODAY(), K3422), "")</f>
        <v/>
      </c>
      <c r="L3422" s="78" t="n"/>
      <c r="M3422" s="78">
        <f>IF(ISBLANK(L3422),"",IF(D3422="Stock",IF(C3422="Buy",L3422*G3422,IF(C3422="Sell",(L3422*G3422)-I3422, X)),IF(C3422="Buy",(L3422*G3422*100)+I3422,IF(C3422="Sell",(L3422*G3422*100)-I3422, X))))</f>
        <v/>
      </c>
      <c r="N3422" s="78">
        <f>IF(ISBLANK(L3422),"",IF(AND(C3422="Sell",D3422="Stock"),M3422,IF(ISBLANK(L3422),"",IF(C3422="Buy",M3422, IF(AND(C3422="Sell",J3422="NA"),(E3422*G3422*100*0.1)+I3422, IF(C3422="Sell",(J3422-L3422)*(100*G3422)+I3422))))))</f>
        <v/>
      </c>
      <c r="O3422" s="75" t="n"/>
      <c r="P3422" s="75" t="n"/>
      <c r="Q3422" s="75">
        <f>IF(ISBLANK(P3422),"",IF(D3422="Stock",P3422*G3422,IF(P3422=0,"0",G3422*P3422*100-(G3422*$AF$14))))</f>
        <v/>
      </c>
      <c r="R3422" s="79">
        <f>IF(P3422&lt;&gt;"", TODAY(), "")</f>
        <v/>
      </c>
      <c r="S3422" s="78">
        <f>IF(AND(K3422&lt;&gt;"", R3422&lt;&gt;""), R3422-K3422, "")</f>
        <v/>
      </c>
      <c r="T3422" s="78" t="n"/>
      <c r="U3422" s="92">
        <f>IF(ISBLANK(P3422),"",IF(C3422="Buy",Q3422-M3422+T3422, IF(C3422="Sell",M3422-Q3422-T3422, X)))</f>
        <v/>
      </c>
      <c r="V3422" s="81">
        <f>IF(ISBLANK(P3422),"",U3422/N3422)</f>
        <v/>
      </c>
      <c r="W3422" s="81">
        <f>IF(ISBLANK(P3422),"",IF(S3422=0,(365/0.5)*V3422,(365/S3422)*V3422))</f>
        <v/>
      </c>
      <c r="X3422" s="75" t="n"/>
      <c r="Y3422" s="77" t="n"/>
      <c r="Z3422" s="77" t="n"/>
      <c r="AA3422" s="75" t="n"/>
      <c r="AB3422" s="75" t="n"/>
      <c r="AC3422" s="6" t="n"/>
      <c r="AD3422" s="75" t="n"/>
      <c r="AE3422" s="75" t="n"/>
      <c r="AF3422" s="75" t="n"/>
    </row>
    <row r="3423" ht="15.75" customHeight="1" s="133">
      <c r="A3423" s="75" t="n"/>
      <c r="B3423" s="75" t="n"/>
      <c r="C3423" s="75" t="n"/>
      <c r="D3423" s="75" t="n"/>
      <c r="E3423" s="76" t="n"/>
      <c r="F3423" s="77" t="n"/>
      <c r="G3423" s="75" t="n"/>
      <c r="H3423" s="75">
        <f>IF(ISBLANK(E3423),"",IF(OR(D3423="Butterfly",D3423="Butterfly ",D3423="Iron Fly", D3423="Iron Fly "),LEN(E3423)-LEN(SUBSTITUTE(E3423,"/",""))+2,LEN(E3423)-LEN(SUBSTITUTE(E3423,"/",""))+1))</f>
        <v/>
      </c>
      <c r="I3423" s="78">
        <f>IF(ISBLANK(G3423),"",IF(D3423="Stock","0",Key!$A$3*H3423*G3423))</f>
        <v/>
      </c>
      <c r="J3423" s="78">
        <f>IF(ISBLANK(E3423),"",IF(ISNUMBER(SEARCH("/",E3423)), IF(LEN(E3423)-LEN(SUBSTITUTE(E3423,"/",""))=1,(RIGHT(E3423,LEN(E3423)-FIND("/",E3423)))-(LEFT(E3423,FIND("/",E3423)-1)),(MID(E3423, SEARCH("/",E3423) + 1, SEARCH("/",E3423, SEARCH("/",E3423)+1) - SEARCH("/",E3423) - 1))-(LEFT(E3423,FIND("/",E3423)-1))), "NA"))</f>
        <v/>
      </c>
      <c r="K3423" s="79">
        <f>IF(A3423&lt;&gt;"", IF(ISBLANK(L3423), TODAY(), K3423), "")</f>
        <v/>
      </c>
      <c r="L3423" s="78" t="n"/>
      <c r="M3423" s="78">
        <f>IF(ISBLANK(L3423),"",IF(D3423="Stock",IF(C3423="Buy",L3423*G3423,IF(C3423="Sell",(L3423*G3423)-I3423, X)),IF(C3423="Buy",(L3423*G3423*100)+I3423,IF(C3423="Sell",(L3423*G3423*100)-I3423, X))))</f>
        <v/>
      </c>
      <c r="N3423" s="78">
        <f>IF(ISBLANK(L3423),"",IF(AND(C3423="Sell",D3423="Stock"),M3423,IF(ISBLANK(L3423),"",IF(C3423="Buy",M3423, IF(AND(C3423="Sell",J3423="NA"),(E3423*G3423*100*0.1)+I3423, IF(C3423="Sell",(J3423-L3423)*(100*G3423)+I3423))))))</f>
        <v/>
      </c>
      <c r="O3423" s="75" t="n"/>
      <c r="P3423" s="75" t="n"/>
      <c r="Q3423" s="75">
        <f>IF(ISBLANK(P3423),"",IF(D3423="Stock",P3423*G3423,IF(P3423=0,"0",G3423*P3423*100-(G3423*$AF$14))))</f>
        <v/>
      </c>
      <c r="R3423" s="79">
        <f>IF(P3423&lt;&gt;"", TODAY(), "")</f>
        <v/>
      </c>
      <c r="S3423" s="78">
        <f>IF(AND(K3423&lt;&gt;"", R3423&lt;&gt;""), R3423-K3423, "")</f>
        <v/>
      </c>
      <c r="T3423" s="78" t="n"/>
      <c r="U3423" s="92">
        <f>IF(ISBLANK(P3423),"",IF(C3423="Buy",Q3423-M3423+T3423, IF(C3423="Sell",M3423-Q3423-T3423, X)))</f>
        <v/>
      </c>
      <c r="V3423" s="81">
        <f>IF(ISBLANK(P3423),"",U3423/N3423)</f>
        <v/>
      </c>
      <c r="W3423" s="81">
        <f>IF(ISBLANK(P3423),"",IF(S3423=0,(365/0.5)*V3423,(365/S3423)*V3423))</f>
        <v/>
      </c>
      <c r="X3423" s="75" t="n"/>
      <c r="Y3423" s="77" t="n"/>
      <c r="Z3423" s="77" t="n"/>
      <c r="AA3423" s="75" t="n"/>
      <c r="AB3423" s="75" t="n"/>
      <c r="AC3423" s="6" t="n"/>
      <c r="AD3423" s="75" t="n"/>
      <c r="AE3423" s="75" t="n"/>
      <c r="AF3423" s="75" t="n"/>
    </row>
    <row r="3424" ht="15.75" customHeight="1" s="133">
      <c r="A3424" s="75" t="n"/>
      <c r="B3424" s="75" t="n"/>
      <c r="C3424" s="75" t="n"/>
      <c r="D3424" s="75" t="n"/>
      <c r="E3424" s="76" t="n"/>
      <c r="F3424" s="77" t="n"/>
      <c r="G3424" s="75" t="n"/>
      <c r="H3424" s="75">
        <f>IF(ISBLANK(E3424),"",IF(OR(D3424="Butterfly",D3424="Butterfly ",D3424="Iron Fly", D3424="Iron Fly "),LEN(E3424)-LEN(SUBSTITUTE(E3424,"/",""))+2,LEN(E3424)-LEN(SUBSTITUTE(E3424,"/",""))+1))</f>
        <v/>
      </c>
      <c r="I3424" s="78">
        <f>IF(ISBLANK(G3424),"",IF(D3424="Stock","0",Key!$A$3*H3424*G3424))</f>
        <v/>
      </c>
      <c r="J3424" s="78">
        <f>IF(ISBLANK(E3424),"",IF(ISNUMBER(SEARCH("/",E3424)), IF(LEN(E3424)-LEN(SUBSTITUTE(E3424,"/",""))=1,(RIGHT(E3424,LEN(E3424)-FIND("/",E3424)))-(LEFT(E3424,FIND("/",E3424)-1)),(MID(E3424, SEARCH("/",E3424) + 1, SEARCH("/",E3424, SEARCH("/",E3424)+1) - SEARCH("/",E3424) - 1))-(LEFT(E3424,FIND("/",E3424)-1))), "NA"))</f>
        <v/>
      </c>
      <c r="K3424" s="79">
        <f>IF(A3424&lt;&gt;"", IF(ISBLANK(L3424), TODAY(), K3424), "")</f>
        <v/>
      </c>
      <c r="L3424" s="78" t="n"/>
      <c r="M3424" s="78">
        <f>IF(ISBLANK(L3424),"",IF(D3424="Stock",IF(C3424="Buy",L3424*G3424,IF(C3424="Sell",(L3424*G3424)-I3424, X)),IF(C3424="Buy",(L3424*G3424*100)+I3424,IF(C3424="Sell",(L3424*G3424*100)-I3424, X))))</f>
        <v/>
      </c>
      <c r="N3424" s="78">
        <f>IF(ISBLANK(L3424),"",IF(AND(C3424="Sell",D3424="Stock"),M3424,IF(ISBLANK(L3424),"",IF(C3424="Buy",M3424, IF(AND(C3424="Sell",J3424="NA"),(E3424*G3424*100*0.1)+I3424, IF(C3424="Sell",(J3424-L3424)*(100*G3424)+I3424))))))</f>
        <v/>
      </c>
      <c r="O3424" s="75" t="n"/>
      <c r="P3424" s="75" t="n"/>
      <c r="Q3424" s="75">
        <f>IF(ISBLANK(P3424),"",IF(D3424="Stock",P3424*G3424,IF(P3424=0,"0",G3424*P3424*100-(G3424*$AF$14))))</f>
        <v/>
      </c>
      <c r="R3424" s="79">
        <f>IF(P3424&lt;&gt;"", TODAY(), "")</f>
        <v/>
      </c>
      <c r="S3424" s="78">
        <f>IF(AND(K3424&lt;&gt;"", R3424&lt;&gt;""), R3424-K3424, "")</f>
        <v/>
      </c>
      <c r="T3424" s="78" t="n"/>
      <c r="U3424" s="92">
        <f>IF(ISBLANK(P3424),"",IF(C3424="Buy",Q3424-M3424+T3424, IF(C3424="Sell",M3424-Q3424-T3424, X)))</f>
        <v/>
      </c>
      <c r="V3424" s="81">
        <f>IF(ISBLANK(P3424),"",U3424/N3424)</f>
        <v/>
      </c>
      <c r="W3424" s="81">
        <f>IF(ISBLANK(P3424),"",IF(S3424=0,(365/0.5)*V3424,(365/S3424)*V3424))</f>
        <v/>
      </c>
      <c r="X3424" s="75" t="n"/>
      <c r="Y3424" s="77" t="n"/>
      <c r="Z3424" s="77" t="n"/>
      <c r="AA3424" s="75" t="n"/>
      <c r="AB3424" s="75" t="n"/>
      <c r="AC3424" s="6" t="n"/>
      <c r="AD3424" s="75" t="n"/>
      <c r="AE3424" s="75" t="n"/>
      <c r="AF3424" s="75" t="n"/>
    </row>
    <row r="3425" ht="15.75" customHeight="1" s="133">
      <c r="A3425" s="75" t="n"/>
      <c r="B3425" s="75" t="n"/>
      <c r="C3425" s="75" t="n"/>
      <c r="D3425" s="75" t="n"/>
      <c r="E3425" s="76" t="n"/>
      <c r="F3425" s="77" t="n"/>
      <c r="G3425" s="75" t="n"/>
      <c r="H3425" s="75">
        <f>IF(ISBLANK(E3425),"",IF(OR(D3425="Butterfly",D3425="Butterfly ",D3425="Iron Fly", D3425="Iron Fly "),LEN(E3425)-LEN(SUBSTITUTE(E3425,"/",""))+2,LEN(E3425)-LEN(SUBSTITUTE(E3425,"/",""))+1))</f>
        <v/>
      </c>
      <c r="I3425" s="78">
        <f>IF(ISBLANK(G3425),"",IF(D3425="Stock","0",Key!$A$3*H3425*G3425))</f>
        <v/>
      </c>
      <c r="J3425" s="78">
        <f>IF(ISBLANK(E3425),"",IF(ISNUMBER(SEARCH("/",E3425)), IF(LEN(E3425)-LEN(SUBSTITUTE(E3425,"/",""))=1,(RIGHT(E3425,LEN(E3425)-FIND("/",E3425)))-(LEFT(E3425,FIND("/",E3425)-1)),(MID(E3425, SEARCH("/",E3425) + 1, SEARCH("/",E3425, SEARCH("/",E3425)+1) - SEARCH("/",E3425) - 1))-(LEFT(E3425,FIND("/",E3425)-1))), "NA"))</f>
        <v/>
      </c>
      <c r="K3425" s="79">
        <f>IF(A3425&lt;&gt;"", IF(ISBLANK(L3425), TODAY(), K3425), "")</f>
        <v/>
      </c>
      <c r="L3425" s="78" t="n"/>
      <c r="M3425" s="78">
        <f>IF(ISBLANK(L3425),"",IF(D3425="Stock",IF(C3425="Buy",L3425*G3425,IF(C3425="Sell",(L3425*G3425)-I3425, X)),IF(C3425="Buy",(L3425*G3425*100)+I3425,IF(C3425="Sell",(L3425*G3425*100)-I3425, X))))</f>
        <v/>
      </c>
      <c r="N3425" s="78">
        <f>IF(ISBLANK(L3425),"",IF(AND(C3425="Sell",D3425="Stock"),M3425,IF(ISBLANK(L3425),"",IF(C3425="Buy",M3425, IF(AND(C3425="Sell",J3425="NA"),(E3425*G3425*100*0.1)+I3425, IF(C3425="Sell",(J3425-L3425)*(100*G3425)+I3425))))))</f>
        <v/>
      </c>
      <c r="O3425" s="75" t="n"/>
      <c r="P3425" s="75" t="n"/>
      <c r="Q3425" s="75">
        <f>IF(ISBLANK(P3425),"",IF(D3425="Stock",P3425*G3425,IF(P3425=0,"0",G3425*P3425*100-(G3425*$AF$14))))</f>
        <v/>
      </c>
      <c r="R3425" s="79">
        <f>IF(P3425&lt;&gt;"", TODAY(), "")</f>
        <v/>
      </c>
      <c r="S3425" s="78">
        <f>IF(AND(K3425&lt;&gt;"", R3425&lt;&gt;""), R3425-K3425, "")</f>
        <v/>
      </c>
      <c r="T3425" s="78" t="n"/>
      <c r="U3425" s="92">
        <f>IF(ISBLANK(P3425),"",IF(C3425="Buy",Q3425-M3425+T3425, IF(C3425="Sell",M3425-Q3425-T3425, X)))</f>
        <v/>
      </c>
      <c r="V3425" s="81">
        <f>IF(ISBLANK(P3425),"",U3425/N3425)</f>
        <v/>
      </c>
      <c r="W3425" s="81">
        <f>IF(ISBLANK(P3425),"",IF(S3425=0,(365/0.5)*V3425,(365/S3425)*V3425))</f>
        <v/>
      </c>
      <c r="X3425" s="75" t="n"/>
      <c r="Y3425" s="77" t="n"/>
      <c r="Z3425" s="77" t="n"/>
      <c r="AA3425" s="75" t="n"/>
      <c r="AB3425" s="75" t="n"/>
      <c r="AC3425" s="6" t="n"/>
      <c r="AD3425" s="75" t="n"/>
      <c r="AE3425" s="75" t="n"/>
      <c r="AF3425" s="75" t="n"/>
    </row>
    <row r="3426" ht="15.75" customHeight="1" s="133">
      <c r="A3426" s="75" t="n"/>
      <c r="B3426" s="75" t="n"/>
      <c r="C3426" s="75" t="n"/>
      <c r="D3426" s="75" t="n"/>
      <c r="E3426" s="76" t="n"/>
      <c r="F3426" s="77" t="n"/>
      <c r="G3426" s="75" t="n"/>
      <c r="H3426" s="75">
        <f>IF(ISBLANK(E3426),"",IF(OR(D3426="Butterfly",D3426="Butterfly ",D3426="Iron Fly", D3426="Iron Fly "),LEN(E3426)-LEN(SUBSTITUTE(E3426,"/",""))+2,LEN(E3426)-LEN(SUBSTITUTE(E3426,"/",""))+1))</f>
        <v/>
      </c>
      <c r="I3426" s="78">
        <f>IF(ISBLANK(G3426),"",IF(D3426="Stock","0",Key!$A$3*H3426*G3426))</f>
        <v/>
      </c>
      <c r="J3426" s="78">
        <f>IF(ISBLANK(E3426),"",IF(ISNUMBER(SEARCH("/",E3426)), IF(LEN(E3426)-LEN(SUBSTITUTE(E3426,"/",""))=1,(RIGHT(E3426,LEN(E3426)-FIND("/",E3426)))-(LEFT(E3426,FIND("/",E3426)-1)),(MID(E3426, SEARCH("/",E3426) + 1, SEARCH("/",E3426, SEARCH("/",E3426)+1) - SEARCH("/",E3426) - 1))-(LEFT(E3426,FIND("/",E3426)-1))), "NA"))</f>
        <v/>
      </c>
      <c r="K3426" s="79">
        <f>IF(A3426&lt;&gt;"", IF(ISBLANK(L3426), TODAY(), K3426), "")</f>
        <v/>
      </c>
      <c r="L3426" s="78" t="n"/>
      <c r="M3426" s="78">
        <f>IF(ISBLANK(L3426),"",IF(D3426="Stock",IF(C3426="Buy",L3426*G3426,IF(C3426="Sell",(L3426*G3426)-I3426, X)),IF(C3426="Buy",(L3426*G3426*100)+I3426,IF(C3426="Sell",(L3426*G3426*100)-I3426, X))))</f>
        <v/>
      </c>
      <c r="N3426" s="78">
        <f>IF(ISBLANK(L3426),"",IF(AND(C3426="Sell",D3426="Stock"),M3426,IF(ISBLANK(L3426),"",IF(C3426="Buy",M3426, IF(AND(C3426="Sell",J3426="NA"),(E3426*G3426*100*0.1)+I3426, IF(C3426="Sell",(J3426-L3426)*(100*G3426)+I3426))))))</f>
        <v/>
      </c>
      <c r="O3426" s="75" t="n"/>
      <c r="P3426" s="75" t="n"/>
      <c r="Q3426" s="75">
        <f>IF(ISBLANK(P3426),"",IF(D3426="Stock",P3426*G3426,IF(P3426=0,"0",G3426*P3426*100-(G3426*$AF$14))))</f>
        <v/>
      </c>
      <c r="R3426" s="79">
        <f>IF(P3426&lt;&gt;"", TODAY(), "")</f>
        <v/>
      </c>
      <c r="S3426" s="78">
        <f>IF(AND(K3426&lt;&gt;"", R3426&lt;&gt;""), R3426-K3426, "")</f>
        <v/>
      </c>
      <c r="T3426" s="78" t="n"/>
      <c r="U3426" s="92">
        <f>IF(ISBLANK(P3426),"",IF(C3426="Buy",Q3426-M3426+T3426, IF(C3426="Sell",M3426-Q3426-T3426, X)))</f>
        <v/>
      </c>
      <c r="V3426" s="81">
        <f>IF(ISBLANK(P3426),"",U3426/N3426)</f>
        <v/>
      </c>
      <c r="W3426" s="81">
        <f>IF(ISBLANK(P3426),"",IF(S3426=0,(365/0.5)*V3426,(365/S3426)*V3426))</f>
        <v/>
      </c>
      <c r="X3426" s="75" t="n"/>
      <c r="Y3426" s="77" t="n"/>
      <c r="Z3426" s="77" t="n"/>
      <c r="AA3426" s="75" t="n"/>
      <c r="AB3426" s="75" t="n"/>
      <c r="AC3426" s="6" t="n"/>
      <c r="AD3426" s="75" t="n"/>
      <c r="AE3426" s="75" t="n"/>
      <c r="AF3426" s="75" t="n"/>
    </row>
    <row r="3427" ht="15.75" customHeight="1" s="133">
      <c r="A3427" s="75" t="n"/>
      <c r="B3427" s="75" t="n"/>
      <c r="C3427" s="75" t="n"/>
      <c r="D3427" s="75" t="n"/>
      <c r="E3427" s="76" t="n"/>
      <c r="F3427" s="77" t="n"/>
      <c r="G3427" s="75" t="n"/>
      <c r="H3427" s="75">
        <f>IF(ISBLANK(E3427),"",IF(OR(D3427="Butterfly",D3427="Butterfly ",D3427="Iron Fly", D3427="Iron Fly "),LEN(E3427)-LEN(SUBSTITUTE(E3427,"/",""))+2,LEN(E3427)-LEN(SUBSTITUTE(E3427,"/",""))+1))</f>
        <v/>
      </c>
      <c r="I3427" s="78">
        <f>IF(ISBLANK(G3427),"",IF(D3427="Stock","0",Key!$A$3*H3427*G3427))</f>
        <v/>
      </c>
      <c r="J3427" s="78">
        <f>IF(ISBLANK(E3427),"",IF(ISNUMBER(SEARCH("/",E3427)), IF(LEN(E3427)-LEN(SUBSTITUTE(E3427,"/",""))=1,(RIGHT(E3427,LEN(E3427)-FIND("/",E3427)))-(LEFT(E3427,FIND("/",E3427)-1)),(MID(E3427, SEARCH("/",E3427) + 1, SEARCH("/",E3427, SEARCH("/",E3427)+1) - SEARCH("/",E3427) - 1))-(LEFT(E3427,FIND("/",E3427)-1))), "NA"))</f>
        <v/>
      </c>
      <c r="K3427" s="79">
        <f>IF(A3427&lt;&gt;"", IF(ISBLANK(L3427), TODAY(), K3427), "")</f>
        <v/>
      </c>
      <c r="L3427" s="78" t="n"/>
      <c r="M3427" s="78">
        <f>IF(ISBLANK(L3427),"",IF(D3427="Stock",IF(C3427="Buy",L3427*G3427,IF(C3427="Sell",(L3427*G3427)-I3427, X)),IF(C3427="Buy",(L3427*G3427*100)+I3427,IF(C3427="Sell",(L3427*G3427*100)-I3427, X))))</f>
        <v/>
      </c>
      <c r="N3427" s="78">
        <f>IF(ISBLANK(L3427),"",IF(AND(C3427="Sell",D3427="Stock"),M3427,IF(ISBLANK(L3427),"",IF(C3427="Buy",M3427, IF(AND(C3427="Sell",J3427="NA"),(E3427*G3427*100*0.1)+I3427, IF(C3427="Sell",(J3427-L3427)*(100*G3427)+I3427))))))</f>
        <v/>
      </c>
      <c r="O3427" s="75" t="n"/>
      <c r="P3427" s="75" t="n"/>
      <c r="Q3427" s="75">
        <f>IF(ISBLANK(P3427),"",IF(D3427="Stock",P3427*G3427,IF(P3427=0,"0",G3427*P3427*100-(G3427*$AF$14))))</f>
        <v/>
      </c>
      <c r="R3427" s="79">
        <f>IF(P3427&lt;&gt;"", TODAY(), "")</f>
        <v/>
      </c>
      <c r="S3427" s="78">
        <f>IF(AND(K3427&lt;&gt;"", R3427&lt;&gt;""), R3427-K3427, "")</f>
        <v/>
      </c>
      <c r="T3427" s="78" t="n"/>
      <c r="U3427" s="92">
        <f>IF(ISBLANK(P3427),"",IF(C3427="Buy",Q3427-M3427+T3427, IF(C3427="Sell",M3427-Q3427-T3427, X)))</f>
        <v/>
      </c>
      <c r="V3427" s="81">
        <f>IF(ISBLANK(P3427),"",U3427/N3427)</f>
        <v/>
      </c>
      <c r="W3427" s="81">
        <f>IF(ISBLANK(P3427),"",IF(S3427=0,(365/0.5)*V3427,(365/S3427)*V3427))</f>
        <v/>
      </c>
      <c r="X3427" s="75" t="n"/>
      <c r="Y3427" s="77" t="n"/>
      <c r="Z3427" s="77" t="n"/>
      <c r="AA3427" s="75" t="n"/>
      <c r="AB3427" s="75" t="n"/>
      <c r="AC3427" s="6" t="n"/>
      <c r="AD3427" s="75" t="n"/>
      <c r="AE3427" s="75" t="n"/>
      <c r="AF3427" s="75" t="n"/>
    </row>
    <row r="3428" ht="15.75" customHeight="1" s="133">
      <c r="A3428" s="75" t="n"/>
      <c r="B3428" s="75" t="n"/>
      <c r="C3428" s="75" t="n"/>
      <c r="D3428" s="75" t="n"/>
      <c r="E3428" s="76" t="n"/>
      <c r="F3428" s="77" t="n"/>
      <c r="G3428" s="75" t="n"/>
      <c r="H3428" s="75">
        <f>IF(ISBLANK(E3428),"",IF(OR(D3428="Butterfly",D3428="Butterfly ",D3428="Iron Fly", D3428="Iron Fly "),LEN(E3428)-LEN(SUBSTITUTE(E3428,"/",""))+2,LEN(E3428)-LEN(SUBSTITUTE(E3428,"/",""))+1))</f>
        <v/>
      </c>
      <c r="I3428" s="78">
        <f>IF(ISBLANK(G3428),"",IF(D3428="Stock","0",Key!$A$3*H3428*G3428))</f>
        <v/>
      </c>
      <c r="J3428" s="78">
        <f>IF(ISBLANK(E3428),"",IF(ISNUMBER(SEARCH("/",E3428)), IF(LEN(E3428)-LEN(SUBSTITUTE(E3428,"/",""))=1,(RIGHT(E3428,LEN(E3428)-FIND("/",E3428)))-(LEFT(E3428,FIND("/",E3428)-1)),(MID(E3428, SEARCH("/",E3428) + 1, SEARCH("/",E3428, SEARCH("/",E3428)+1) - SEARCH("/",E3428) - 1))-(LEFT(E3428,FIND("/",E3428)-1))), "NA"))</f>
        <v/>
      </c>
      <c r="K3428" s="79">
        <f>IF(A3428&lt;&gt;"", IF(ISBLANK(L3428), TODAY(), K3428), "")</f>
        <v/>
      </c>
      <c r="L3428" s="78" t="n"/>
      <c r="M3428" s="78">
        <f>IF(ISBLANK(L3428),"",IF(D3428="Stock",IF(C3428="Buy",L3428*G3428,IF(C3428="Sell",(L3428*G3428)-I3428, X)),IF(C3428="Buy",(L3428*G3428*100)+I3428,IF(C3428="Sell",(L3428*G3428*100)-I3428, X))))</f>
        <v/>
      </c>
      <c r="N3428" s="78">
        <f>IF(ISBLANK(L3428),"",IF(AND(C3428="Sell",D3428="Stock"),M3428,IF(ISBLANK(L3428),"",IF(C3428="Buy",M3428, IF(AND(C3428="Sell",J3428="NA"),(E3428*G3428*100*0.1)+I3428, IF(C3428="Sell",(J3428-L3428)*(100*G3428)+I3428))))))</f>
        <v/>
      </c>
      <c r="O3428" s="75" t="n"/>
      <c r="P3428" s="75" t="n"/>
      <c r="Q3428" s="75">
        <f>IF(ISBLANK(P3428),"",IF(D3428="Stock",P3428*G3428,IF(P3428=0,"0",G3428*P3428*100-(G3428*$AF$14))))</f>
        <v/>
      </c>
      <c r="R3428" s="79">
        <f>IF(P3428&lt;&gt;"", TODAY(), "")</f>
        <v/>
      </c>
      <c r="S3428" s="78">
        <f>IF(AND(K3428&lt;&gt;"", R3428&lt;&gt;""), R3428-K3428, "")</f>
        <v/>
      </c>
      <c r="T3428" s="78" t="n"/>
      <c r="U3428" s="92">
        <f>IF(ISBLANK(P3428),"",IF(C3428="Buy",Q3428-M3428+T3428, IF(C3428="Sell",M3428-Q3428-T3428, X)))</f>
        <v/>
      </c>
      <c r="V3428" s="81">
        <f>IF(ISBLANK(P3428),"",U3428/N3428)</f>
        <v/>
      </c>
      <c r="W3428" s="81">
        <f>IF(ISBLANK(P3428),"",IF(S3428=0,(365/0.5)*V3428,(365/S3428)*V3428))</f>
        <v/>
      </c>
      <c r="X3428" s="75" t="n"/>
      <c r="Y3428" s="77" t="n"/>
      <c r="Z3428" s="77" t="n"/>
      <c r="AA3428" s="75" t="n"/>
      <c r="AB3428" s="75" t="n"/>
      <c r="AC3428" s="6" t="n"/>
      <c r="AD3428" s="75" t="n"/>
      <c r="AE3428" s="75" t="n"/>
      <c r="AF3428" s="75" t="n"/>
    </row>
    <row r="3429" ht="15.75" customHeight="1" s="133">
      <c r="A3429" s="75" t="n"/>
      <c r="B3429" s="75" t="n"/>
      <c r="C3429" s="75" t="n"/>
      <c r="D3429" s="75" t="n"/>
      <c r="E3429" s="76" t="n"/>
      <c r="F3429" s="77" t="n"/>
      <c r="G3429" s="75" t="n"/>
      <c r="H3429" s="75">
        <f>IF(ISBLANK(E3429),"",IF(OR(D3429="Butterfly",D3429="Butterfly ",D3429="Iron Fly", D3429="Iron Fly "),LEN(E3429)-LEN(SUBSTITUTE(E3429,"/",""))+2,LEN(E3429)-LEN(SUBSTITUTE(E3429,"/",""))+1))</f>
        <v/>
      </c>
      <c r="I3429" s="78">
        <f>IF(ISBLANK(G3429),"",IF(D3429="Stock","0",Key!$A$3*H3429*G3429))</f>
        <v/>
      </c>
      <c r="J3429" s="78">
        <f>IF(ISBLANK(E3429),"",IF(ISNUMBER(SEARCH("/",E3429)), IF(LEN(E3429)-LEN(SUBSTITUTE(E3429,"/",""))=1,(RIGHT(E3429,LEN(E3429)-FIND("/",E3429)))-(LEFT(E3429,FIND("/",E3429)-1)),(MID(E3429, SEARCH("/",E3429) + 1, SEARCH("/",E3429, SEARCH("/",E3429)+1) - SEARCH("/",E3429) - 1))-(LEFT(E3429,FIND("/",E3429)-1))), "NA"))</f>
        <v/>
      </c>
      <c r="K3429" s="79">
        <f>IF(A3429&lt;&gt;"", IF(ISBLANK(L3429), TODAY(), K3429), "")</f>
        <v/>
      </c>
      <c r="L3429" s="78" t="n"/>
      <c r="M3429" s="78">
        <f>IF(ISBLANK(L3429),"",IF(D3429="Stock",IF(C3429="Buy",L3429*G3429,IF(C3429="Sell",(L3429*G3429)-I3429, X)),IF(C3429="Buy",(L3429*G3429*100)+I3429,IF(C3429="Sell",(L3429*G3429*100)-I3429, X))))</f>
        <v/>
      </c>
      <c r="N3429" s="78">
        <f>IF(ISBLANK(L3429),"",IF(AND(C3429="Sell",D3429="Stock"),M3429,IF(ISBLANK(L3429),"",IF(C3429="Buy",M3429, IF(AND(C3429="Sell",J3429="NA"),(E3429*G3429*100*0.1)+I3429, IF(C3429="Sell",(J3429-L3429)*(100*G3429)+I3429))))))</f>
        <v/>
      </c>
      <c r="O3429" s="75" t="n"/>
      <c r="P3429" s="75" t="n"/>
      <c r="Q3429" s="75">
        <f>IF(ISBLANK(P3429),"",IF(D3429="Stock",P3429*G3429,IF(P3429=0,"0",G3429*P3429*100-(G3429*$AF$14))))</f>
        <v/>
      </c>
      <c r="R3429" s="79">
        <f>IF(P3429&lt;&gt;"", TODAY(), "")</f>
        <v/>
      </c>
      <c r="S3429" s="78">
        <f>IF(AND(K3429&lt;&gt;"", R3429&lt;&gt;""), R3429-K3429, "")</f>
        <v/>
      </c>
      <c r="T3429" s="78" t="n"/>
      <c r="U3429" s="92">
        <f>IF(ISBLANK(P3429),"",IF(C3429="Buy",Q3429-M3429+T3429, IF(C3429="Sell",M3429-Q3429-T3429, X)))</f>
        <v/>
      </c>
      <c r="V3429" s="81">
        <f>IF(ISBLANK(P3429),"",U3429/N3429)</f>
        <v/>
      </c>
      <c r="W3429" s="81">
        <f>IF(ISBLANK(P3429),"",IF(S3429=0,(365/0.5)*V3429,(365/S3429)*V3429))</f>
        <v/>
      </c>
      <c r="X3429" s="75" t="n"/>
      <c r="Y3429" s="77" t="n"/>
      <c r="Z3429" s="77" t="n"/>
      <c r="AA3429" s="75" t="n"/>
      <c r="AB3429" s="75" t="n"/>
      <c r="AC3429" s="6" t="n"/>
      <c r="AD3429" s="75" t="n"/>
      <c r="AE3429" s="75" t="n"/>
      <c r="AF3429" s="75" t="n"/>
    </row>
    <row r="3430" ht="15.75" customHeight="1" s="133">
      <c r="A3430" s="75" t="n"/>
      <c r="B3430" s="75" t="n"/>
      <c r="C3430" s="75" t="n"/>
      <c r="D3430" s="75" t="n"/>
      <c r="E3430" s="76" t="n"/>
      <c r="F3430" s="77" t="n"/>
      <c r="G3430" s="75" t="n"/>
      <c r="H3430" s="75">
        <f>IF(ISBLANK(E3430),"",IF(OR(D3430="Butterfly",D3430="Butterfly ",D3430="Iron Fly", D3430="Iron Fly "),LEN(E3430)-LEN(SUBSTITUTE(E3430,"/",""))+2,LEN(E3430)-LEN(SUBSTITUTE(E3430,"/",""))+1))</f>
        <v/>
      </c>
      <c r="I3430" s="78">
        <f>IF(ISBLANK(G3430),"",IF(D3430="Stock","0",Key!$A$3*H3430*G3430))</f>
        <v/>
      </c>
      <c r="J3430" s="78">
        <f>IF(ISBLANK(E3430),"",IF(ISNUMBER(SEARCH("/",E3430)), IF(LEN(E3430)-LEN(SUBSTITUTE(E3430,"/",""))=1,(RIGHT(E3430,LEN(E3430)-FIND("/",E3430)))-(LEFT(E3430,FIND("/",E3430)-1)),(MID(E3430, SEARCH("/",E3430) + 1, SEARCH("/",E3430, SEARCH("/",E3430)+1) - SEARCH("/",E3430) - 1))-(LEFT(E3430,FIND("/",E3430)-1))), "NA"))</f>
        <v/>
      </c>
      <c r="K3430" s="79">
        <f>IF(A3430&lt;&gt;"", IF(ISBLANK(L3430), TODAY(), K3430), "")</f>
        <v/>
      </c>
      <c r="L3430" s="78" t="n"/>
      <c r="M3430" s="78">
        <f>IF(ISBLANK(L3430),"",IF(D3430="Stock",IF(C3430="Buy",L3430*G3430,IF(C3430="Sell",(L3430*G3430)-I3430, X)),IF(C3430="Buy",(L3430*G3430*100)+I3430,IF(C3430="Sell",(L3430*G3430*100)-I3430, X))))</f>
        <v/>
      </c>
      <c r="N3430" s="78">
        <f>IF(ISBLANK(L3430),"",IF(AND(C3430="Sell",D3430="Stock"),M3430,IF(ISBLANK(L3430),"",IF(C3430="Buy",M3430, IF(AND(C3430="Sell",J3430="NA"),(E3430*G3430*100*0.1)+I3430, IF(C3430="Sell",(J3430-L3430)*(100*G3430)+I3430))))))</f>
        <v/>
      </c>
      <c r="O3430" s="75" t="n"/>
      <c r="P3430" s="75" t="n"/>
      <c r="Q3430" s="75">
        <f>IF(ISBLANK(P3430),"",IF(D3430="Stock",P3430*G3430,IF(P3430=0,"0",G3430*P3430*100-(G3430*$AF$14))))</f>
        <v/>
      </c>
      <c r="R3430" s="79">
        <f>IF(P3430&lt;&gt;"", TODAY(), "")</f>
        <v/>
      </c>
      <c r="S3430" s="78">
        <f>IF(AND(K3430&lt;&gt;"", R3430&lt;&gt;""), R3430-K3430, "")</f>
        <v/>
      </c>
      <c r="T3430" s="78" t="n"/>
      <c r="U3430" s="92">
        <f>IF(ISBLANK(P3430),"",IF(C3430="Buy",Q3430-M3430+T3430, IF(C3430="Sell",M3430-Q3430-T3430, X)))</f>
        <v/>
      </c>
      <c r="V3430" s="81">
        <f>IF(ISBLANK(P3430),"",U3430/N3430)</f>
        <v/>
      </c>
      <c r="W3430" s="81">
        <f>IF(ISBLANK(P3430),"",IF(S3430=0,(365/0.5)*V3430,(365/S3430)*V3430))</f>
        <v/>
      </c>
      <c r="X3430" s="75" t="n"/>
      <c r="Y3430" s="77" t="n"/>
      <c r="Z3430" s="77" t="n"/>
      <c r="AA3430" s="75" t="n"/>
      <c r="AB3430" s="75" t="n"/>
      <c r="AC3430" s="6" t="n"/>
      <c r="AD3430" s="75" t="n"/>
      <c r="AE3430" s="75" t="n"/>
      <c r="AF3430" s="75" t="n"/>
    </row>
    <row r="3431" ht="15.75" customHeight="1" s="133">
      <c r="A3431" s="75" t="n"/>
      <c r="B3431" s="75" t="n"/>
      <c r="C3431" s="75" t="n"/>
      <c r="D3431" s="75" t="n"/>
      <c r="E3431" s="76" t="n"/>
      <c r="F3431" s="77" t="n"/>
      <c r="G3431" s="75" t="n"/>
      <c r="H3431" s="75">
        <f>IF(ISBLANK(E3431),"",IF(OR(D3431="Butterfly",D3431="Butterfly ",D3431="Iron Fly", D3431="Iron Fly "),LEN(E3431)-LEN(SUBSTITUTE(E3431,"/",""))+2,LEN(E3431)-LEN(SUBSTITUTE(E3431,"/",""))+1))</f>
        <v/>
      </c>
      <c r="I3431" s="78">
        <f>IF(ISBLANK(G3431),"",IF(D3431="Stock","0",Key!$A$3*H3431*G3431))</f>
        <v/>
      </c>
      <c r="J3431" s="78">
        <f>IF(ISBLANK(E3431),"",IF(ISNUMBER(SEARCH("/",E3431)), IF(LEN(E3431)-LEN(SUBSTITUTE(E3431,"/",""))=1,(RIGHT(E3431,LEN(E3431)-FIND("/",E3431)))-(LEFT(E3431,FIND("/",E3431)-1)),(MID(E3431, SEARCH("/",E3431) + 1, SEARCH("/",E3431, SEARCH("/",E3431)+1) - SEARCH("/",E3431) - 1))-(LEFT(E3431,FIND("/",E3431)-1))), "NA"))</f>
        <v/>
      </c>
      <c r="K3431" s="79">
        <f>IF(A3431&lt;&gt;"", IF(ISBLANK(L3431), TODAY(), K3431), "")</f>
        <v/>
      </c>
      <c r="L3431" s="78" t="n"/>
      <c r="M3431" s="78">
        <f>IF(ISBLANK(L3431),"",IF(D3431="Stock",IF(C3431="Buy",L3431*G3431,IF(C3431="Sell",(L3431*G3431)-I3431, X)),IF(C3431="Buy",(L3431*G3431*100)+I3431,IF(C3431="Sell",(L3431*G3431*100)-I3431, X))))</f>
        <v/>
      </c>
      <c r="N3431" s="78">
        <f>IF(ISBLANK(L3431),"",IF(AND(C3431="Sell",D3431="Stock"),M3431,IF(ISBLANK(L3431),"",IF(C3431="Buy",M3431, IF(AND(C3431="Sell",J3431="NA"),(E3431*G3431*100*0.1)+I3431, IF(C3431="Sell",(J3431-L3431)*(100*G3431)+I3431))))))</f>
        <v/>
      </c>
      <c r="O3431" s="75" t="n"/>
      <c r="P3431" s="75" t="n"/>
      <c r="Q3431" s="75">
        <f>IF(ISBLANK(P3431),"",IF(D3431="Stock",P3431*G3431,IF(P3431=0,"0",G3431*P3431*100-(G3431*$AF$14))))</f>
        <v/>
      </c>
      <c r="R3431" s="79">
        <f>IF(P3431&lt;&gt;"", TODAY(), "")</f>
        <v/>
      </c>
      <c r="S3431" s="78">
        <f>IF(AND(K3431&lt;&gt;"", R3431&lt;&gt;""), R3431-K3431, "")</f>
        <v/>
      </c>
      <c r="T3431" s="78" t="n"/>
      <c r="U3431" s="92">
        <f>IF(ISBLANK(P3431),"",IF(C3431="Buy",Q3431-M3431+T3431, IF(C3431="Sell",M3431-Q3431-T3431, X)))</f>
        <v/>
      </c>
      <c r="V3431" s="81">
        <f>IF(ISBLANK(P3431),"",U3431/N3431)</f>
        <v/>
      </c>
      <c r="W3431" s="81">
        <f>IF(ISBLANK(P3431),"",IF(S3431=0,(365/0.5)*V3431,(365/S3431)*V3431))</f>
        <v/>
      </c>
      <c r="X3431" s="75" t="n"/>
      <c r="Y3431" s="77" t="n"/>
      <c r="Z3431" s="77" t="n"/>
      <c r="AA3431" s="75" t="n"/>
      <c r="AB3431" s="75" t="n"/>
      <c r="AC3431" s="6" t="n"/>
      <c r="AD3431" s="75" t="n"/>
      <c r="AE3431" s="75" t="n"/>
      <c r="AF3431" s="75" t="n"/>
    </row>
    <row r="3432" ht="15.75" customHeight="1" s="133">
      <c r="A3432" s="75" t="n"/>
      <c r="B3432" s="75" t="n"/>
      <c r="C3432" s="75" t="n"/>
      <c r="D3432" s="75" t="n"/>
      <c r="E3432" s="76" t="n"/>
      <c r="F3432" s="77" t="n"/>
      <c r="G3432" s="75" t="n"/>
      <c r="H3432" s="75">
        <f>IF(ISBLANK(E3432),"",IF(OR(D3432="Butterfly",D3432="Butterfly ",D3432="Iron Fly", D3432="Iron Fly "),LEN(E3432)-LEN(SUBSTITUTE(E3432,"/",""))+2,LEN(E3432)-LEN(SUBSTITUTE(E3432,"/",""))+1))</f>
        <v/>
      </c>
      <c r="I3432" s="78">
        <f>IF(ISBLANK(G3432),"",IF(D3432="Stock","0",Key!$A$3*H3432*G3432))</f>
        <v/>
      </c>
      <c r="J3432" s="78">
        <f>IF(ISBLANK(E3432),"",IF(ISNUMBER(SEARCH("/",E3432)), IF(LEN(E3432)-LEN(SUBSTITUTE(E3432,"/",""))=1,(RIGHT(E3432,LEN(E3432)-FIND("/",E3432)))-(LEFT(E3432,FIND("/",E3432)-1)),(MID(E3432, SEARCH("/",E3432) + 1, SEARCH("/",E3432, SEARCH("/",E3432)+1) - SEARCH("/",E3432) - 1))-(LEFT(E3432,FIND("/",E3432)-1))), "NA"))</f>
        <v/>
      </c>
      <c r="K3432" s="79">
        <f>IF(A3432&lt;&gt;"", IF(ISBLANK(L3432), TODAY(), K3432), "")</f>
        <v/>
      </c>
      <c r="L3432" s="78" t="n"/>
      <c r="M3432" s="78">
        <f>IF(ISBLANK(L3432),"",IF(D3432="Stock",IF(C3432="Buy",L3432*G3432,IF(C3432="Sell",(L3432*G3432)-I3432, X)),IF(C3432="Buy",(L3432*G3432*100)+I3432,IF(C3432="Sell",(L3432*G3432*100)-I3432, X))))</f>
        <v/>
      </c>
      <c r="N3432" s="78">
        <f>IF(ISBLANK(L3432),"",IF(AND(C3432="Sell",D3432="Stock"),M3432,IF(ISBLANK(L3432),"",IF(C3432="Buy",M3432, IF(AND(C3432="Sell",J3432="NA"),(E3432*G3432*100*0.1)+I3432, IF(C3432="Sell",(J3432-L3432)*(100*G3432)+I3432))))))</f>
        <v/>
      </c>
      <c r="O3432" s="75" t="n"/>
      <c r="P3432" s="75" t="n"/>
      <c r="Q3432" s="75">
        <f>IF(ISBLANK(P3432),"",IF(D3432="Stock",P3432*G3432,IF(P3432=0,"0",G3432*P3432*100-(G3432*$AF$14))))</f>
        <v/>
      </c>
      <c r="R3432" s="79">
        <f>IF(P3432&lt;&gt;"", TODAY(), "")</f>
        <v/>
      </c>
      <c r="S3432" s="78">
        <f>IF(AND(K3432&lt;&gt;"", R3432&lt;&gt;""), R3432-K3432, "")</f>
        <v/>
      </c>
      <c r="T3432" s="78" t="n"/>
      <c r="U3432" s="92">
        <f>IF(ISBLANK(P3432),"",IF(C3432="Buy",Q3432-M3432+T3432, IF(C3432="Sell",M3432-Q3432-T3432, X)))</f>
        <v/>
      </c>
      <c r="V3432" s="81">
        <f>IF(ISBLANK(P3432),"",U3432/N3432)</f>
        <v/>
      </c>
      <c r="W3432" s="81">
        <f>IF(ISBLANK(P3432),"",IF(S3432=0,(365/0.5)*V3432,(365/S3432)*V3432))</f>
        <v/>
      </c>
      <c r="X3432" s="75" t="n"/>
      <c r="Y3432" s="77" t="n"/>
      <c r="Z3432" s="77" t="n"/>
      <c r="AA3432" s="75" t="n"/>
      <c r="AB3432" s="75" t="n"/>
      <c r="AC3432" s="6" t="n"/>
      <c r="AD3432" s="75" t="n"/>
      <c r="AE3432" s="75" t="n"/>
      <c r="AF3432" s="75" t="n"/>
    </row>
    <row r="3433" ht="15.75" customHeight="1" s="133">
      <c r="A3433" s="75" t="n"/>
      <c r="B3433" s="75" t="n"/>
      <c r="C3433" s="75" t="n"/>
      <c r="D3433" s="75" t="n"/>
      <c r="E3433" s="76" t="n"/>
      <c r="F3433" s="77" t="n"/>
      <c r="G3433" s="75" t="n"/>
      <c r="H3433" s="75">
        <f>IF(ISBLANK(E3433),"",IF(OR(D3433="Butterfly",D3433="Butterfly ",D3433="Iron Fly", D3433="Iron Fly "),LEN(E3433)-LEN(SUBSTITUTE(E3433,"/",""))+2,LEN(E3433)-LEN(SUBSTITUTE(E3433,"/",""))+1))</f>
        <v/>
      </c>
      <c r="I3433" s="78">
        <f>IF(ISBLANK(G3433),"",IF(D3433="Stock","0",Key!$A$3*H3433*G3433))</f>
        <v/>
      </c>
      <c r="J3433" s="78">
        <f>IF(ISBLANK(E3433),"",IF(ISNUMBER(SEARCH("/",E3433)), IF(LEN(E3433)-LEN(SUBSTITUTE(E3433,"/",""))=1,(RIGHT(E3433,LEN(E3433)-FIND("/",E3433)))-(LEFT(E3433,FIND("/",E3433)-1)),(MID(E3433, SEARCH("/",E3433) + 1, SEARCH("/",E3433, SEARCH("/",E3433)+1) - SEARCH("/",E3433) - 1))-(LEFT(E3433,FIND("/",E3433)-1))), "NA"))</f>
        <v/>
      </c>
      <c r="K3433" s="79">
        <f>IF(A3433&lt;&gt;"", IF(ISBLANK(L3433), TODAY(), K3433), "")</f>
        <v/>
      </c>
      <c r="L3433" s="78" t="n"/>
      <c r="M3433" s="78">
        <f>IF(ISBLANK(L3433),"",IF(D3433="Stock",IF(C3433="Buy",L3433*G3433,IF(C3433="Sell",(L3433*G3433)-I3433, X)),IF(C3433="Buy",(L3433*G3433*100)+I3433,IF(C3433="Sell",(L3433*G3433*100)-I3433, X))))</f>
        <v/>
      </c>
      <c r="N3433" s="78">
        <f>IF(ISBLANK(L3433),"",IF(AND(C3433="Sell",D3433="Stock"),M3433,IF(ISBLANK(L3433),"",IF(C3433="Buy",M3433, IF(AND(C3433="Sell",J3433="NA"),(E3433*G3433*100*0.1)+I3433, IF(C3433="Sell",(J3433-L3433)*(100*G3433)+I3433))))))</f>
        <v/>
      </c>
      <c r="O3433" s="75" t="n"/>
      <c r="P3433" s="75" t="n"/>
      <c r="Q3433" s="75">
        <f>IF(ISBLANK(P3433),"",IF(D3433="Stock",P3433*G3433,IF(P3433=0,"0",G3433*P3433*100-(G3433*$AF$14))))</f>
        <v/>
      </c>
      <c r="R3433" s="79">
        <f>IF(P3433&lt;&gt;"", TODAY(), "")</f>
        <v/>
      </c>
      <c r="S3433" s="78">
        <f>IF(AND(K3433&lt;&gt;"", R3433&lt;&gt;""), R3433-K3433, "")</f>
        <v/>
      </c>
      <c r="T3433" s="78" t="n"/>
      <c r="U3433" s="92">
        <f>IF(ISBLANK(P3433),"",IF(C3433="Buy",Q3433-M3433+T3433, IF(C3433="Sell",M3433-Q3433-T3433, X)))</f>
        <v/>
      </c>
      <c r="V3433" s="81">
        <f>IF(ISBLANK(P3433),"",U3433/N3433)</f>
        <v/>
      </c>
      <c r="W3433" s="81">
        <f>IF(ISBLANK(P3433),"",IF(S3433=0,(365/0.5)*V3433,(365/S3433)*V3433))</f>
        <v/>
      </c>
      <c r="X3433" s="75" t="n"/>
      <c r="Y3433" s="77" t="n"/>
      <c r="Z3433" s="77" t="n"/>
      <c r="AA3433" s="75" t="n"/>
      <c r="AB3433" s="75" t="n"/>
      <c r="AC3433" s="6" t="n"/>
      <c r="AD3433" s="75" t="n"/>
      <c r="AE3433" s="75" t="n"/>
      <c r="AF3433" s="75" t="n"/>
    </row>
    <row r="3434" ht="15.75" customHeight="1" s="133">
      <c r="A3434" s="75" t="n"/>
      <c r="B3434" s="75" t="n"/>
      <c r="C3434" s="75" t="n"/>
      <c r="D3434" s="75" t="n"/>
      <c r="E3434" s="76" t="n"/>
      <c r="F3434" s="77" t="n"/>
      <c r="G3434" s="75" t="n"/>
      <c r="H3434" s="75">
        <f>IF(ISBLANK(E3434),"",IF(OR(D3434="Butterfly",D3434="Butterfly ",D3434="Iron Fly", D3434="Iron Fly "),LEN(E3434)-LEN(SUBSTITUTE(E3434,"/",""))+2,LEN(E3434)-LEN(SUBSTITUTE(E3434,"/",""))+1))</f>
        <v/>
      </c>
      <c r="I3434" s="78">
        <f>IF(ISBLANK(G3434),"",IF(D3434="Stock","0",Key!$A$3*H3434*G3434))</f>
        <v/>
      </c>
      <c r="J3434" s="78">
        <f>IF(ISBLANK(E3434),"",IF(ISNUMBER(SEARCH("/",E3434)), IF(LEN(E3434)-LEN(SUBSTITUTE(E3434,"/",""))=1,(RIGHT(E3434,LEN(E3434)-FIND("/",E3434)))-(LEFT(E3434,FIND("/",E3434)-1)),(MID(E3434, SEARCH("/",E3434) + 1, SEARCH("/",E3434, SEARCH("/",E3434)+1) - SEARCH("/",E3434) - 1))-(LEFT(E3434,FIND("/",E3434)-1))), "NA"))</f>
        <v/>
      </c>
      <c r="K3434" s="79">
        <f>IF(A3434&lt;&gt;"", IF(ISBLANK(L3434), TODAY(), K3434), "")</f>
        <v/>
      </c>
      <c r="L3434" s="78" t="n"/>
      <c r="M3434" s="78">
        <f>IF(ISBLANK(L3434),"",IF(D3434="Stock",IF(C3434="Buy",L3434*G3434,IF(C3434="Sell",(L3434*G3434)-I3434, X)),IF(C3434="Buy",(L3434*G3434*100)+I3434,IF(C3434="Sell",(L3434*G3434*100)-I3434, X))))</f>
        <v/>
      </c>
      <c r="N3434" s="78">
        <f>IF(ISBLANK(L3434),"",IF(AND(C3434="Sell",D3434="Stock"),M3434,IF(ISBLANK(L3434),"",IF(C3434="Buy",M3434, IF(AND(C3434="Sell",J3434="NA"),(E3434*G3434*100*0.1)+I3434, IF(C3434="Sell",(J3434-L3434)*(100*G3434)+I3434))))))</f>
        <v/>
      </c>
      <c r="O3434" s="75" t="n"/>
      <c r="P3434" s="75" t="n"/>
      <c r="Q3434" s="75">
        <f>IF(ISBLANK(P3434),"",IF(D3434="Stock",P3434*G3434,IF(P3434=0,"0",G3434*P3434*100-(G3434*$AF$14))))</f>
        <v/>
      </c>
      <c r="R3434" s="79">
        <f>IF(P3434&lt;&gt;"", TODAY(), "")</f>
        <v/>
      </c>
      <c r="S3434" s="78">
        <f>IF(AND(K3434&lt;&gt;"", R3434&lt;&gt;""), R3434-K3434, "")</f>
        <v/>
      </c>
      <c r="T3434" s="78" t="n"/>
      <c r="U3434" s="92">
        <f>IF(ISBLANK(P3434),"",IF(C3434="Buy",Q3434-M3434+T3434, IF(C3434="Sell",M3434-Q3434-T3434, X)))</f>
        <v/>
      </c>
      <c r="V3434" s="81">
        <f>IF(ISBLANK(P3434),"",U3434/N3434)</f>
        <v/>
      </c>
      <c r="W3434" s="81">
        <f>IF(ISBLANK(P3434),"",IF(S3434=0,(365/0.5)*V3434,(365/S3434)*V3434))</f>
        <v/>
      </c>
      <c r="X3434" s="75" t="n"/>
      <c r="Y3434" s="77" t="n"/>
      <c r="Z3434" s="77" t="n"/>
      <c r="AA3434" s="75" t="n"/>
      <c r="AB3434" s="75" t="n"/>
      <c r="AC3434" s="6" t="n"/>
      <c r="AD3434" s="75" t="n"/>
      <c r="AE3434" s="75" t="n"/>
      <c r="AF3434" s="75" t="n"/>
    </row>
    <row r="3435" ht="15.75" customHeight="1" s="133">
      <c r="A3435" s="75" t="n"/>
      <c r="B3435" s="75" t="n"/>
      <c r="C3435" s="75" t="n"/>
      <c r="D3435" s="75" t="n"/>
      <c r="E3435" s="76" t="n"/>
      <c r="F3435" s="77" t="n"/>
      <c r="G3435" s="75" t="n"/>
      <c r="H3435" s="75">
        <f>IF(ISBLANK(E3435),"",IF(OR(D3435="Butterfly",D3435="Butterfly ",D3435="Iron Fly", D3435="Iron Fly "),LEN(E3435)-LEN(SUBSTITUTE(E3435,"/",""))+2,LEN(E3435)-LEN(SUBSTITUTE(E3435,"/",""))+1))</f>
        <v/>
      </c>
      <c r="I3435" s="78">
        <f>IF(ISBLANK(G3435),"",IF(D3435="Stock","0",Key!$A$3*H3435*G3435))</f>
        <v/>
      </c>
      <c r="J3435" s="78">
        <f>IF(ISBLANK(E3435),"",IF(ISNUMBER(SEARCH("/",E3435)), IF(LEN(E3435)-LEN(SUBSTITUTE(E3435,"/",""))=1,(RIGHT(E3435,LEN(E3435)-FIND("/",E3435)))-(LEFT(E3435,FIND("/",E3435)-1)),(MID(E3435, SEARCH("/",E3435) + 1, SEARCH("/",E3435, SEARCH("/",E3435)+1) - SEARCH("/",E3435) - 1))-(LEFT(E3435,FIND("/",E3435)-1))), "NA"))</f>
        <v/>
      </c>
      <c r="K3435" s="79">
        <f>IF(A3435&lt;&gt;"", IF(ISBLANK(L3435), TODAY(), K3435), "")</f>
        <v/>
      </c>
      <c r="L3435" s="78" t="n"/>
      <c r="M3435" s="78">
        <f>IF(ISBLANK(L3435),"",IF(D3435="Stock",IF(C3435="Buy",L3435*G3435,IF(C3435="Sell",(L3435*G3435)-I3435, X)),IF(C3435="Buy",(L3435*G3435*100)+I3435,IF(C3435="Sell",(L3435*G3435*100)-I3435, X))))</f>
        <v/>
      </c>
      <c r="N3435" s="78">
        <f>IF(ISBLANK(L3435),"",IF(AND(C3435="Sell",D3435="Stock"),M3435,IF(ISBLANK(L3435),"",IF(C3435="Buy",M3435, IF(AND(C3435="Sell",J3435="NA"),(E3435*G3435*100*0.1)+I3435, IF(C3435="Sell",(J3435-L3435)*(100*G3435)+I3435))))))</f>
        <v/>
      </c>
      <c r="O3435" s="75" t="n"/>
      <c r="P3435" s="75" t="n"/>
      <c r="Q3435" s="75">
        <f>IF(ISBLANK(P3435),"",IF(D3435="Stock",P3435*G3435,IF(P3435=0,"0",G3435*P3435*100-(G3435*$AF$14))))</f>
        <v/>
      </c>
      <c r="R3435" s="79">
        <f>IF(P3435&lt;&gt;"", TODAY(), "")</f>
        <v/>
      </c>
      <c r="S3435" s="78">
        <f>IF(AND(K3435&lt;&gt;"", R3435&lt;&gt;""), R3435-K3435, "")</f>
        <v/>
      </c>
      <c r="T3435" s="78" t="n"/>
      <c r="U3435" s="92">
        <f>IF(ISBLANK(P3435),"",IF(C3435="Buy",Q3435-M3435+T3435, IF(C3435="Sell",M3435-Q3435-T3435, X)))</f>
        <v/>
      </c>
      <c r="V3435" s="81">
        <f>IF(ISBLANK(P3435),"",U3435/N3435)</f>
        <v/>
      </c>
      <c r="W3435" s="81">
        <f>IF(ISBLANK(P3435),"",IF(S3435=0,(365/0.5)*V3435,(365/S3435)*V3435))</f>
        <v/>
      </c>
      <c r="X3435" s="75" t="n"/>
      <c r="Y3435" s="77" t="n"/>
      <c r="Z3435" s="77" t="n"/>
      <c r="AA3435" s="75" t="n"/>
      <c r="AB3435" s="75" t="n"/>
      <c r="AC3435" s="6" t="n"/>
      <c r="AD3435" s="75" t="n"/>
      <c r="AE3435" s="75" t="n"/>
      <c r="AF3435" s="75" t="n"/>
    </row>
    <row r="3436" ht="15.75" customHeight="1" s="133">
      <c r="A3436" s="75" t="n"/>
      <c r="B3436" s="75" t="n"/>
      <c r="C3436" s="75" t="n"/>
      <c r="D3436" s="75" t="n"/>
      <c r="E3436" s="76" t="n"/>
      <c r="F3436" s="77" t="n"/>
      <c r="G3436" s="75" t="n"/>
      <c r="H3436" s="75">
        <f>IF(ISBLANK(E3436),"",IF(OR(D3436="Butterfly",D3436="Butterfly ",D3436="Iron Fly", D3436="Iron Fly "),LEN(E3436)-LEN(SUBSTITUTE(E3436,"/",""))+2,LEN(E3436)-LEN(SUBSTITUTE(E3436,"/",""))+1))</f>
        <v/>
      </c>
      <c r="I3436" s="78">
        <f>IF(ISBLANK(G3436),"",IF(D3436="Stock","0",Key!$A$3*H3436*G3436))</f>
        <v/>
      </c>
      <c r="J3436" s="78">
        <f>IF(ISBLANK(E3436),"",IF(ISNUMBER(SEARCH("/",E3436)), IF(LEN(E3436)-LEN(SUBSTITUTE(E3436,"/",""))=1,(RIGHT(E3436,LEN(E3436)-FIND("/",E3436)))-(LEFT(E3436,FIND("/",E3436)-1)),(MID(E3436, SEARCH("/",E3436) + 1, SEARCH("/",E3436, SEARCH("/",E3436)+1) - SEARCH("/",E3436) - 1))-(LEFT(E3436,FIND("/",E3436)-1))), "NA"))</f>
        <v/>
      </c>
      <c r="K3436" s="79">
        <f>IF(A3436&lt;&gt;"", IF(ISBLANK(L3436), TODAY(), K3436), "")</f>
        <v/>
      </c>
      <c r="L3436" s="78" t="n"/>
      <c r="M3436" s="78">
        <f>IF(ISBLANK(L3436),"",IF(D3436="Stock",IF(C3436="Buy",L3436*G3436,IF(C3436="Sell",(L3436*G3436)-I3436, X)),IF(C3436="Buy",(L3436*G3436*100)+I3436,IF(C3436="Sell",(L3436*G3436*100)-I3436, X))))</f>
        <v/>
      </c>
      <c r="N3436" s="78">
        <f>IF(ISBLANK(L3436),"",IF(AND(C3436="Sell",D3436="Stock"),M3436,IF(ISBLANK(L3436),"",IF(C3436="Buy",M3436, IF(AND(C3436="Sell",J3436="NA"),(E3436*G3436*100*0.1)+I3436, IF(C3436="Sell",(J3436-L3436)*(100*G3436)+I3436))))))</f>
        <v/>
      </c>
      <c r="O3436" s="75" t="n"/>
      <c r="P3436" s="75" t="n"/>
      <c r="Q3436" s="75">
        <f>IF(ISBLANK(P3436),"",IF(D3436="Stock",P3436*G3436,IF(P3436=0,"0",G3436*P3436*100-(G3436*$AF$14))))</f>
        <v/>
      </c>
      <c r="R3436" s="79">
        <f>IF(P3436&lt;&gt;"", TODAY(), "")</f>
        <v/>
      </c>
      <c r="S3436" s="78">
        <f>IF(AND(K3436&lt;&gt;"", R3436&lt;&gt;""), R3436-K3436, "")</f>
        <v/>
      </c>
      <c r="T3436" s="78" t="n"/>
      <c r="U3436" s="92">
        <f>IF(ISBLANK(P3436),"",IF(C3436="Buy",Q3436-M3436+T3436, IF(C3436="Sell",M3436-Q3436-T3436, X)))</f>
        <v/>
      </c>
      <c r="V3436" s="81">
        <f>IF(ISBLANK(P3436),"",U3436/N3436)</f>
        <v/>
      </c>
      <c r="W3436" s="81">
        <f>IF(ISBLANK(P3436),"",IF(S3436=0,(365/0.5)*V3436,(365/S3436)*V3436))</f>
        <v/>
      </c>
      <c r="X3436" s="75" t="n"/>
      <c r="Y3436" s="77" t="n"/>
      <c r="Z3436" s="77" t="n"/>
      <c r="AA3436" s="75" t="n"/>
      <c r="AB3436" s="75" t="n"/>
      <c r="AC3436" s="6" t="n"/>
      <c r="AD3436" s="75" t="n"/>
      <c r="AE3436" s="75" t="n"/>
      <c r="AF3436" s="75" t="n"/>
    </row>
    <row r="3437" ht="15.75" customHeight="1" s="133">
      <c r="A3437" s="75" t="n"/>
      <c r="B3437" s="75" t="n"/>
      <c r="C3437" s="75" t="n"/>
      <c r="D3437" s="75" t="n"/>
      <c r="E3437" s="76" t="n"/>
      <c r="F3437" s="77" t="n"/>
      <c r="G3437" s="75" t="n"/>
      <c r="H3437" s="75">
        <f>IF(ISBLANK(E3437),"",IF(OR(D3437="Butterfly",D3437="Butterfly ",D3437="Iron Fly", D3437="Iron Fly "),LEN(E3437)-LEN(SUBSTITUTE(E3437,"/",""))+2,LEN(E3437)-LEN(SUBSTITUTE(E3437,"/",""))+1))</f>
        <v/>
      </c>
      <c r="I3437" s="78">
        <f>IF(ISBLANK(G3437),"",IF(D3437="Stock","0",Key!$A$3*H3437*G3437))</f>
        <v/>
      </c>
      <c r="J3437" s="78">
        <f>IF(ISBLANK(E3437),"",IF(ISNUMBER(SEARCH("/",E3437)), IF(LEN(E3437)-LEN(SUBSTITUTE(E3437,"/",""))=1,(RIGHT(E3437,LEN(E3437)-FIND("/",E3437)))-(LEFT(E3437,FIND("/",E3437)-1)),(MID(E3437, SEARCH("/",E3437) + 1, SEARCH("/",E3437, SEARCH("/",E3437)+1) - SEARCH("/",E3437) - 1))-(LEFT(E3437,FIND("/",E3437)-1))), "NA"))</f>
        <v/>
      </c>
      <c r="K3437" s="79">
        <f>IF(A3437&lt;&gt;"", IF(ISBLANK(L3437), TODAY(), K3437), "")</f>
        <v/>
      </c>
      <c r="L3437" s="78" t="n"/>
      <c r="M3437" s="78">
        <f>IF(ISBLANK(L3437),"",IF(D3437="Stock",IF(C3437="Buy",L3437*G3437,IF(C3437="Sell",(L3437*G3437)-I3437, X)),IF(C3437="Buy",(L3437*G3437*100)+I3437,IF(C3437="Sell",(L3437*G3437*100)-I3437, X))))</f>
        <v/>
      </c>
      <c r="N3437" s="78">
        <f>IF(ISBLANK(L3437),"",IF(AND(C3437="Sell",D3437="Stock"),M3437,IF(ISBLANK(L3437),"",IF(C3437="Buy",M3437, IF(AND(C3437="Sell",J3437="NA"),(E3437*G3437*100*0.1)+I3437, IF(C3437="Sell",(J3437-L3437)*(100*G3437)+I3437))))))</f>
        <v/>
      </c>
      <c r="O3437" s="75" t="n"/>
      <c r="P3437" s="75" t="n"/>
      <c r="Q3437" s="75">
        <f>IF(ISBLANK(P3437),"",IF(D3437="Stock",P3437*G3437,IF(P3437=0,"0",G3437*P3437*100-(G3437*$AF$14))))</f>
        <v/>
      </c>
      <c r="R3437" s="79">
        <f>IF(P3437&lt;&gt;"", TODAY(), "")</f>
        <v/>
      </c>
      <c r="S3437" s="78">
        <f>IF(AND(K3437&lt;&gt;"", R3437&lt;&gt;""), R3437-K3437, "")</f>
        <v/>
      </c>
      <c r="T3437" s="78" t="n"/>
      <c r="U3437" s="92">
        <f>IF(ISBLANK(P3437),"",IF(C3437="Buy",Q3437-M3437+T3437, IF(C3437="Sell",M3437-Q3437-T3437, X)))</f>
        <v/>
      </c>
      <c r="V3437" s="81">
        <f>IF(ISBLANK(P3437),"",U3437/N3437)</f>
        <v/>
      </c>
      <c r="W3437" s="81">
        <f>IF(ISBLANK(P3437),"",IF(S3437=0,(365/0.5)*V3437,(365/S3437)*V3437))</f>
        <v/>
      </c>
      <c r="X3437" s="75" t="n"/>
      <c r="Y3437" s="77" t="n"/>
      <c r="Z3437" s="77" t="n"/>
      <c r="AA3437" s="75" t="n"/>
      <c r="AB3437" s="75" t="n"/>
      <c r="AC3437" s="6" t="n"/>
      <c r="AD3437" s="75" t="n"/>
      <c r="AE3437" s="75" t="n"/>
      <c r="AF3437" s="75" t="n"/>
    </row>
    <row r="3438" ht="15.75" customHeight="1" s="133">
      <c r="A3438" s="75" t="n"/>
      <c r="B3438" s="75" t="n"/>
      <c r="C3438" s="75" t="n"/>
      <c r="D3438" s="75" t="n"/>
      <c r="E3438" s="76" t="n"/>
      <c r="F3438" s="77" t="n"/>
      <c r="G3438" s="75" t="n"/>
      <c r="H3438" s="75">
        <f>IF(ISBLANK(E3438),"",IF(OR(D3438="Butterfly",D3438="Butterfly ",D3438="Iron Fly", D3438="Iron Fly "),LEN(E3438)-LEN(SUBSTITUTE(E3438,"/",""))+2,LEN(E3438)-LEN(SUBSTITUTE(E3438,"/",""))+1))</f>
        <v/>
      </c>
      <c r="I3438" s="78">
        <f>IF(ISBLANK(G3438),"",IF(D3438="Stock","0",Key!$A$3*H3438*G3438))</f>
        <v/>
      </c>
      <c r="J3438" s="78">
        <f>IF(ISBLANK(E3438),"",IF(ISNUMBER(SEARCH("/",E3438)), IF(LEN(E3438)-LEN(SUBSTITUTE(E3438,"/",""))=1,(RIGHT(E3438,LEN(E3438)-FIND("/",E3438)))-(LEFT(E3438,FIND("/",E3438)-1)),(MID(E3438, SEARCH("/",E3438) + 1, SEARCH("/",E3438, SEARCH("/",E3438)+1) - SEARCH("/",E3438) - 1))-(LEFT(E3438,FIND("/",E3438)-1))), "NA"))</f>
        <v/>
      </c>
      <c r="K3438" s="79">
        <f>IF(A3438&lt;&gt;"", IF(ISBLANK(L3438), TODAY(), K3438), "")</f>
        <v/>
      </c>
      <c r="L3438" s="78" t="n"/>
      <c r="M3438" s="78">
        <f>IF(ISBLANK(L3438),"",IF(D3438="Stock",IF(C3438="Buy",L3438*G3438,IF(C3438="Sell",(L3438*G3438)-I3438, X)),IF(C3438="Buy",(L3438*G3438*100)+I3438,IF(C3438="Sell",(L3438*G3438*100)-I3438, X))))</f>
        <v/>
      </c>
      <c r="N3438" s="78">
        <f>IF(ISBLANK(L3438),"",IF(AND(C3438="Sell",D3438="Stock"),M3438,IF(ISBLANK(L3438),"",IF(C3438="Buy",M3438, IF(AND(C3438="Sell",J3438="NA"),(E3438*G3438*100*0.1)+I3438, IF(C3438="Sell",(J3438-L3438)*(100*G3438)+I3438))))))</f>
        <v/>
      </c>
      <c r="O3438" s="75" t="n"/>
      <c r="P3438" s="75" t="n"/>
      <c r="Q3438" s="75">
        <f>IF(ISBLANK(P3438),"",IF(D3438="Stock",P3438*G3438,IF(P3438=0,"0",G3438*P3438*100-(G3438*$AF$14))))</f>
        <v/>
      </c>
      <c r="R3438" s="79">
        <f>IF(P3438&lt;&gt;"", TODAY(), "")</f>
        <v/>
      </c>
      <c r="S3438" s="78">
        <f>IF(AND(K3438&lt;&gt;"", R3438&lt;&gt;""), R3438-K3438, "")</f>
        <v/>
      </c>
      <c r="T3438" s="78" t="n"/>
      <c r="U3438" s="92">
        <f>IF(ISBLANK(P3438),"",IF(C3438="Buy",Q3438-M3438+T3438, IF(C3438="Sell",M3438-Q3438-T3438, X)))</f>
        <v/>
      </c>
      <c r="V3438" s="81">
        <f>IF(ISBLANK(P3438),"",U3438/N3438)</f>
        <v/>
      </c>
      <c r="W3438" s="81">
        <f>IF(ISBLANK(P3438),"",IF(S3438=0,(365/0.5)*V3438,(365/S3438)*V3438))</f>
        <v/>
      </c>
      <c r="X3438" s="75" t="n"/>
      <c r="Y3438" s="77" t="n"/>
      <c r="Z3438" s="77" t="n"/>
      <c r="AA3438" s="75" t="n"/>
      <c r="AB3438" s="75" t="n"/>
      <c r="AC3438" s="6" t="n"/>
      <c r="AD3438" s="75" t="n"/>
      <c r="AE3438" s="75" t="n"/>
      <c r="AF3438" s="75" t="n"/>
    </row>
    <row r="3439" ht="15.75" customHeight="1" s="133">
      <c r="A3439" s="75" t="n"/>
      <c r="B3439" s="75" t="n"/>
      <c r="C3439" s="75" t="n"/>
      <c r="D3439" s="75" t="n"/>
      <c r="E3439" s="76" t="n"/>
      <c r="F3439" s="77" t="n"/>
      <c r="G3439" s="75" t="n"/>
      <c r="H3439" s="75">
        <f>IF(ISBLANK(E3439),"",IF(OR(D3439="Butterfly",D3439="Butterfly ",D3439="Iron Fly", D3439="Iron Fly "),LEN(E3439)-LEN(SUBSTITUTE(E3439,"/",""))+2,LEN(E3439)-LEN(SUBSTITUTE(E3439,"/",""))+1))</f>
        <v/>
      </c>
      <c r="I3439" s="78">
        <f>IF(ISBLANK(G3439),"",IF(D3439="Stock","0",Key!$A$3*H3439*G3439))</f>
        <v/>
      </c>
      <c r="J3439" s="78">
        <f>IF(ISBLANK(E3439),"",IF(ISNUMBER(SEARCH("/",E3439)), IF(LEN(E3439)-LEN(SUBSTITUTE(E3439,"/",""))=1,(RIGHT(E3439,LEN(E3439)-FIND("/",E3439)))-(LEFT(E3439,FIND("/",E3439)-1)),(MID(E3439, SEARCH("/",E3439) + 1, SEARCH("/",E3439, SEARCH("/",E3439)+1) - SEARCH("/",E3439) - 1))-(LEFT(E3439,FIND("/",E3439)-1))), "NA"))</f>
        <v/>
      </c>
      <c r="K3439" s="79">
        <f>IF(A3439&lt;&gt;"", IF(ISBLANK(L3439), TODAY(), K3439), "")</f>
        <v/>
      </c>
      <c r="L3439" s="78" t="n"/>
      <c r="M3439" s="78">
        <f>IF(ISBLANK(L3439),"",IF(D3439="Stock",IF(C3439="Buy",L3439*G3439,IF(C3439="Sell",(L3439*G3439)-I3439, X)),IF(C3439="Buy",(L3439*G3439*100)+I3439,IF(C3439="Sell",(L3439*G3439*100)-I3439, X))))</f>
        <v/>
      </c>
      <c r="N3439" s="78">
        <f>IF(ISBLANK(L3439),"",IF(AND(C3439="Sell",D3439="Stock"),M3439,IF(ISBLANK(L3439),"",IF(C3439="Buy",M3439, IF(AND(C3439="Sell",J3439="NA"),(E3439*G3439*100*0.1)+I3439, IF(C3439="Sell",(J3439-L3439)*(100*G3439)+I3439))))))</f>
        <v/>
      </c>
      <c r="O3439" s="75" t="n"/>
      <c r="P3439" s="75" t="n"/>
      <c r="Q3439" s="75">
        <f>IF(ISBLANK(P3439),"",IF(D3439="Stock",P3439*G3439,IF(P3439=0,"0",G3439*P3439*100-(G3439*$AF$14))))</f>
        <v/>
      </c>
      <c r="R3439" s="79">
        <f>IF(P3439&lt;&gt;"", TODAY(), "")</f>
        <v/>
      </c>
      <c r="S3439" s="78">
        <f>IF(AND(K3439&lt;&gt;"", R3439&lt;&gt;""), R3439-K3439, "")</f>
        <v/>
      </c>
      <c r="T3439" s="78" t="n"/>
      <c r="U3439" s="92">
        <f>IF(ISBLANK(P3439),"",IF(C3439="Buy",Q3439-M3439+T3439, IF(C3439="Sell",M3439-Q3439-T3439, X)))</f>
        <v/>
      </c>
      <c r="V3439" s="81">
        <f>IF(ISBLANK(P3439),"",U3439/N3439)</f>
        <v/>
      </c>
      <c r="W3439" s="81">
        <f>IF(ISBLANK(P3439),"",IF(S3439=0,(365/0.5)*V3439,(365/S3439)*V3439))</f>
        <v/>
      </c>
      <c r="X3439" s="75" t="n"/>
      <c r="Y3439" s="77" t="n"/>
      <c r="Z3439" s="77" t="n"/>
      <c r="AA3439" s="75" t="n"/>
      <c r="AB3439" s="75" t="n"/>
      <c r="AC3439" s="6" t="n"/>
      <c r="AD3439" s="75" t="n"/>
      <c r="AE3439" s="75" t="n"/>
      <c r="AF3439" s="75" t="n"/>
    </row>
    <row r="3440" ht="15.75" customHeight="1" s="133">
      <c r="A3440" s="75" t="n"/>
      <c r="B3440" s="75" t="n"/>
      <c r="C3440" s="75" t="n"/>
      <c r="D3440" s="75" t="n"/>
      <c r="E3440" s="76" t="n"/>
      <c r="F3440" s="77" t="n"/>
      <c r="G3440" s="75" t="n"/>
      <c r="H3440" s="75">
        <f>IF(ISBLANK(E3440),"",IF(OR(D3440="Butterfly",D3440="Butterfly ",D3440="Iron Fly", D3440="Iron Fly "),LEN(E3440)-LEN(SUBSTITUTE(E3440,"/",""))+2,LEN(E3440)-LEN(SUBSTITUTE(E3440,"/",""))+1))</f>
        <v/>
      </c>
      <c r="I3440" s="78">
        <f>IF(ISBLANK(G3440),"",IF(D3440="Stock","0",Key!$A$3*H3440*G3440))</f>
        <v/>
      </c>
      <c r="J3440" s="78">
        <f>IF(ISBLANK(E3440),"",IF(ISNUMBER(SEARCH("/",E3440)), IF(LEN(E3440)-LEN(SUBSTITUTE(E3440,"/",""))=1,(RIGHT(E3440,LEN(E3440)-FIND("/",E3440)))-(LEFT(E3440,FIND("/",E3440)-1)),(MID(E3440, SEARCH("/",E3440) + 1, SEARCH("/",E3440, SEARCH("/",E3440)+1) - SEARCH("/",E3440) - 1))-(LEFT(E3440,FIND("/",E3440)-1))), "NA"))</f>
        <v/>
      </c>
      <c r="K3440" s="79">
        <f>IF(A3440&lt;&gt;"", IF(ISBLANK(L3440), TODAY(), K3440), "")</f>
        <v/>
      </c>
      <c r="L3440" s="78" t="n"/>
      <c r="M3440" s="78">
        <f>IF(ISBLANK(L3440),"",IF(D3440="Stock",IF(C3440="Buy",L3440*G3440,IF(C3440="Sell",(L3440*G3440)-I3440, X)),IF(C3440="Buy",(L3440*G3440*100)+I3440,IF(C3440="Sell",(L3440*G3440*100)-I3440, X))))</f>
        <v/>
      </c>
      <c r="N3440" s="78">
        <f>IF(ISBLANK(L3440),"",IF(AND(C3440="Sell",D3440="Stock"),M3440,IF(ISBLANK(L3440),"",IF(C3440="Buy",M3440, IF(AND(C3440="Sell",J3440="NA"),(E3440*G3440*100*0.1)+I3440, IF(C3440="Sell",(J3440-L3440)*(100*G3440)+I3440))))))</f>
        <v/>
      </c>
      <c r="O3440" s="75" t="n"/>
      <c r="P3440" s="75" t="n"/>
      <c r="Q3440" s="75">
        <f>IF(ISBLANK(P3440),"",IF(D3440="Stock",P3440*G3440,IF(P3440=0,"0",G3440*P3440*100-(G3440*$AF$14))))</f>
        <v/>
      </c>
      <c r="R3440" s="79">
        <f>IF(P3440&lt;&gt;"", TODAY(), "")</f>
        <v/>
      </c>
      <c r="S3440" s="78">
        <f>IF(AND(K3440&lt;&gt;"", R3440&lt;&gt;""), R3440-K3440, "")</f>
        <v/>
      </c>
      <c r="T3440" s="78" t="n"/>
      <c r="U3440" s="92">
        <f>IF(ISBLANK(P3440),"",IF(C3440="Buy",Q3440-M3440+T3440, IF(C3440="Sell",M3440-Q3440-T3440, X)))</f>
        <v/>
      </c>
      <c r="V3440" s="81">
        <f>IF(ISBLANK(P3440),"",U3440/N3440)</f>
        <v/>
      </c>
      <c r="W3440" s="81">
        <f>IF(ISBLANK(P3440),"",IF(S3440=0,(365/0.5)*V3440,(365/S3440)*V3440))</f>
        <v/>
      </c>
      <c r="X3440" s="75" t="n"/>
      <c r="Y3440" s="77" t="n"/>
      <c r="Z3440" s="77" t="n"/>
      <c r="AA3440" s="75" t="n"/>
      <c r="AB3440" s="75" t="n"/>
      <c r="AC3440" s="6" t="n"/>
      <c r="AD3440" s="75" t="n"/>
      <c r="AE3440" s="75" t="n"/>
      <c r="AF3440" s="75" t="n"/>
    </row>
    <row r="3441" ht="15.75" customHeight="1" s="133">
      <c r="A3441" s="75" t="n"/>
      <c r="B3441" s="75" t="n"/>
      <c r="C3441" s="75" t="n"/>
      <c r="D3441" s="75" t="n"/>
      <c r="E3441" s="76" t="n"/>
      <c r="F3441" s="77" t="n"/>
      <c r="G3441" s="75" t="n"/>
      <c r="H3441" s="75">
        <f>IF(ISBLANK(E3441),"",IF(OR(D3441="Butterfly",D3441="Butterfly ",D3441="Iron Fly", D3441="Iron Fly "),LEN(E3441)-LEN(SUBSTITUTE(E3441,"/",""))+2,LEN(E3441)-LEN(SUBSTITUTE(E3441,"/",""))+1))</f>
        <v/>
      </c>
      <c r="I3441" s="78">
        <f>IF(ISBLANK(G3441),"",IF(D3441="Stock","0",Key!$A$3*H3441*G3441))</f>
        <v/>
      </c>
      <c r="J3441" s="78">
        <f>IF(ISBLANK(E3441),"",IF(ISNUMBER(SEARCH("/",E3441)), IF(LEN(E3441)-LEN(SUBSTITUTE(E3441,"/",""))=1,(RIGHT(E3441,LEN(E3441)-FIND("/",E3441)))-(LEFT(E3441,FIND("/",E3441)-1)),(MID(E3441, SEARCH("/",E3441) + 1, SEARCH("/",E3441, SEARCH("/",E3441)+1) - SEARCH("/",E3441) - 1))-(LEFT(E3441,FIND("/",E3441)-1))), "NA"))</f>
        <v/>
      </c>
      <c r="K3441" s="79">
        <f>IF(A3441&lt;&gt;"", IF(ISBLANK(L3441), TODAY(), K3441), "")</f>
        <v/>
      </c>
      <c r="L3441" s="78" t="n"/>
      <c r="M3441" s="78">
        <f>IF(ISBLANK(L3441),"",IF(D3441="Stock",IF(C3441="Buy",L3441*G3441,IF(C3441="Sell",(L3441*G3441)-I3441, X)),IF(C3441="Buy",(L3441*G3441*100)+I3441,IF(C3441="Sell",(L3441*G3441*100)-I3441, X))))</f>
        <v/>
      </c>
      <c r="N3441" s="78">
        <f>IF(ISBLANK(L3441),"",IF(AND(C3441="Sell",D3441="Stock"),M3441,IF(ISBLANK(L3441),"",IF(C3441="Buy",M3441, IF(AND(C3441="Sell",J3441="NA"),(E3441*G3441*100*0.1)+I3441, IF(C3441="Sell",(J3441-L3441)*(100*G3441)+I3441))))))</f>
        <v/>
      </c>
      <c r="O3441" s="75" t="n"/>
      <c r="P3441" s="75" t="n"/>
      <c r="Q3441" s="75">
        <f>IF(ISBLANK(P3441),"",IF(D3441="Stock",P3441*G3441,IF(P3441=0,"0",G3441*P3441*100-(G3441*$AF$14))))</f>
        <v/>
      </c>
      <c r="R3441" s="79">
        <f>IF(P3441&lt;&gt;"", TODAY(), "")</f>
        <v/>
      </c>
      <c r="S3441" s="78">
        <f>IF(AND(K3441&lt;&gt;"", R3441&lt;&gt;""), R3441-K3441, "")</f>
        <v/>
      </c>
      <c r="T3441" s="78" t="n"/>
      <c r="U3441" s="92">
        <f>IF(ISBLANK(P3441),"",IF(C3441="Buy",Q3441-M3441+T3441, IF(C3441="Sell",M3441-Q3441-T3441, X)))</f>
        <v/>
      </c>
      <c r="V3441" s="81">
        <f>IF(ISBLANK(P3441),"",U3441/N3441)</f>
        <v/>
      </c>
      <c r="W3441" s="81">
        <f>IF(ISBLANK(P3441),"",IF(S3441=0,(365/0.5)*V3441,(365/S3441)*V3441))</f>
        <v/>
      </c>
      <c r="X3441" s="75" t="n"/>
      <c r="Y3441" s="77" t="n"/>
      <c r="Z3441" s="77" t="n"/>
      <c r="AA3441" s="75" t="n"/>
      <c r="AB3441" s="75" t="n"/>
      <c r="AC3441" s="6" t="n"/>
      <c r="AD3441" s="75" t="n"/>
      <c r="AE3441" s="75" t="n"/>
      <c r="AF3441" s="75" t="n"/>
    </row>
    <row r="3442" ht="15.75" customHeight="1" s="133">
      <c r="A3442" s="75" t="n"/>
      <c r="B3442" s="75" t="n"/>
      <c r="C3442" s="75" t="n"/>
      <c r="D3442" s="75" t="n"/>
      <c r="E3442" s="76" t="n"/>
      <c r="F3442" s="77" t="n"/>
      <c r="G3442" s="75" t="n"/>
      <c r="H3442" s="75">
        <f>IF(ISBLANK(E3442),"",IF(OR(D3442="Butterfly",D3442="Butterfly ",D3442="Iron Fly", D3442="Iron Fly "),LEN(E3442)-LEN(SUBSTITUTE(E3442,"/",""))+2,LEN(E3442)-LEN(SUBSTITUTE(E3442,"/",""))+1))</f>
        <v/>
      </c>
      <c r="I3442" s="78">
        <f>IF(ISBLANK(G3442),"",IF(D3442="Stock","0",Key!$A$3*H3442*G3442))</f>
        <v/>
      </c>
      <c r="J3442" s="78">
        <f>IF(ISBLANK(E3442),"",IF(ISNUMBER(SEARCH("/",E3442)), IF(LEN(E3442)-LEN(SUBSTITUTE(E3442,"/",""))=1,(RIGHT(E3442,LEN(E3442)-FIND("/",E3442)))-(LEFT(E3442,FIND("/",E3442)-1)),(MID(E3442, SEARCH("/",E3442) + 1, SEARCH("/",E3442, SEARCH("/",E3442)+1) - SEARCH("/",E3442) - 1))-(LEFT(E3442,FIND("/",E3442)-1))), "NA"))</f>
        <v/>
      </c>
      <c r="K3442" s="79">
        <f>IF(A3442&lt;&gt;"", IF(ISBLANK(L3442), TODAY(), K3442), "")</f>
        <v/>
      </c>
      <c r="L3442" s="78" t="n"/>
      <c r="M3442" s="78">
        <f>IF(ISBLANK(L3442),"",IF(D3442="Stock",IF(C3442="Buy",L3442*G3442,IF(C3442="Sell",(L3442*G3442)-I3442, X)),IF(C3442="Buy",(L3442*G3442*100)+I3442,IF(C3442="Sell",(L3442*G3442*100)-I3442, X))))</f>
        <v/>
      </c>
      <c r="N3442" s="78">
        <f>IF(ISBLANK(L3442),"",IF(AND(C3442="Sell",D3442="Stock"),M3442,IF(ISBLANK(L3442),"",IF(C3442="Buy",M3442, IF(AND(C3442="Sell",J3442="NA"),(E3442*G3442*100*0.1)+I3442, IF(C3442="Sell",(J3442-L3442)*(100*G3442)+I3442))))))</f>
        <v/>
      </c>
      <c r="O3442" s="75" t="n"/>
      <c r="P3442" s="75" t="n"/>
      <c r="Q3442" s="75">
        <f>IF(ISBLANK(P3442),"",IF(D3442="Stock",P3442*G3442,IF(P3442=0,"0",G3442*P3442*100-(G3442*$AF$14))))</f>
        <v/>
      </c>
      <c r="R3442" s="79">
        <f>IF(P3442&lt;&gt;"", TODAY(), "")</f>
        <v/>
      </c>
      <c r="S3442" s="78">
        <f>IF(AND(K3442&lt;&gt;"", R3442&lt;&gt;""), R3442-K3442, "")</f>
        <v/>
      </c>
      <c r="T3442" s="78" t="n"/>
      <c r="U3442" s="92">
        <f>IF(ISBLANK(P3442),"",IF(C3442="Buy",Q3442-M3442+T3442, IF(C3442="Sell",M3442-Q3442-T3442, X)))</f>
        <v/>
      </c>
      <c r="V3442" s="81">
        <f>IF(ISBLANK(P3442),"",U3442/N3442)</f>
        <v/>
      </c>
      <c r="W3442" s="81">
        <f>IF(ISBLANK(P3442),"",IF(S3442=0,(365/0.5)*V3442,(365/S3442)*V3442))</f>
        <v/>
      </c>
      <c r="X3442" s="75" t="n"/>
      <c r="Y3442" s="77" t="n"/>
      <c r="Z3442" s="77" t="n"/>
      <c r="AA3442" s="75" t="n"/>
      <c r="AB3442" s="75" t="n"/>
      <c r="AC3442" s="6" t="n"/>
      <c r="AD3442" s="75" t="n"/>
      <c r="AE3442" s="75" t="n"/>
      <c r="AF3442" s="75" t="n"/>
    </row>
    <row r="3443" ht="15.75" customHeight="1" s="133">
      <c r="A3443" s="75" t="n"/>
      <c r="B3443" s="75" t="n"/>
      <c r="C3443" s="75" t="n"/>
      <c r="D3443" s="75" t="n"/>
      <c r="E3443" s="76" t="n"/>
      <c r="F3443" s="77" t="n"/>
      <c r="G3443" s="75" t="n"/>
      <c r="H3443" s="75">
        <f>IF(ISBLANK(E3443),"",IF(OR(D3443="Butterfly",D3443="Butterfly ",D3443="Iron Fly", D3443="Iron Fly "),LEN(E3443)-LEN(SUBSTITUTE(E3443,"/",""))+2,LEN(E3443)-LEN(SUBSTITUTE(E3443,"/",""))+1))</f>
        <v/>
      </c>
      <c r="I3443" s="78">
        <f>IF(ISBLANK(G3443),"",IF(D3443="Stock","0",Key!$A$3*H3443*G3443))</f>
        <v/>
      </c>
      <c r="J3443" s="78">
        <f>IF(ISBLANK(E3443),"",IF(ISNUMBER(SEARCH("/",E3443)), IF(LEN(E3443)-LEN(SUBSTITUTE(E3443,"/",""))=1,(RIGHT(E3443,LEN(E3443)-FIND("/",E3443)))-(LEFT(E3443,FIND("/",E3443)-1)),(MID(E3443, SEARCH("/",E3443) + 1, SEARCH("/",E3443, SEARCH("/",E3443)+1) - SEARCH("/",E3443) - 1))-(LEFT(E3443,FIND("/",E3443)-1))), "NA"))</f>
        <v/>
      </c>
      <c r="K3443" s="79">
        <f>IF(A3443&lt;&gt;"", IF(ISBLANK(L3443), TODAY(), K3443), "")</f>
        <v/>
      </c>
      <c r="L3443" s="78" t="n"/>
      <c r="M3443" s="78">
        <f>IF(ISBLANK(L3443),"",IF(D3443="Stock",IF(C3443="Buy",L3443*G3443,IF(C3443="Sell",(L3443*G3443)-I3443, X)),IF(C3443="Buy",(L3443*G3443*100)+I3443,IF(C3443="Sell",(L3443*G3443*100)-I3443, X))))</f>
        <v/>
      </c>
      <c r="N3443" s="78">
        <f>IF(ISBLANK(L3443),"",IF(AND(C3443="Sell",D3443="Stock"),M3443,IF(ISBLANK(L3443),"",IF(C3443="Buy",M3443, IF(AND(C3443="Sell",J3443="NA"),(E3443*G3443*100*0.1)+I3443, IF(C3443="Sell",(J3443-L3443)*(100*G3443)+I3443))))))</f>
        <v/>
      </c>
      <c r="O3443" s="75" t="n"/>
      <c r="P3443" s="75" t="n"/>
      <c r="Q3443" s="75">
        <f>IF(ISBLANK(P3443),"",IF(D3443="Stock",P3443*G3443,IF(P3443=0,"0",G3443*P3443*100-(G3443*$AF$14))))</f>
        <v/>
      </c>
      <c r="R3443" s="79">
        <f>IF(P3443&lt;&gt;"", TODAY(), "")</f>
        <v/>
      </c>
      <c r="S3443" s="78">
        <f>IF(AND(K3443&lt;&gt;"", R3443&lt;&gt;""), R3443-K3443, "")</f>
        <v/>
      </c>
      <c r="T3443" s="78" t="n"/>
      <c r="U3443" s="92">
        <f>IF(ISBLANK(P3443),"",IF(C3443="Buy",Q3443-M3443+T3443, IF(C3443="Sell",M3443-Q3443-T3443, X)))</f>
        <v/>
      </c>
      <c r="V3443" s="81">
        <f>IF(ISBLANK(P3443),"",U3443/N3443)</f>
        <v/>
      </c>
      <c r="W3443" s="81">
        <f>IF(ISBLANK(P3443),"",IF(S3443=0,(365/0.5)*V3443,(365/S3443)*V3443))</f>
        <v/>
      </c>
      <c r="X3443" s="75" t="n"/>
      <c r="Y3443" s="77" t="n"/>
      <c r="Z3443" s="77" t="n"/>
      <c r="AA3443" s="75" t="n"/>
      <c r="AB3443" s="75" t="n"/>
      <c r="AC3443" s="6" t="n"/>
      <c r="AD3443" s="75" t="n"/>
      <c r="AE3443" s="75" t="n"/>
      <c r="AF3443" s="75" t="n"/>
    </row>
    <row r="3444" ht="15.75" customHeight="1" s="133">
      <c r="A3444" s="75" t="n"/>
      <c r="B3444" s="75" t="n"/>
      <c r="C3444" s="75" t="n"/>
      <c r="D3444" s="75" t="n"/>
      <c r="E3444" s="76" t="n"/>
      <c r="F3444" s="77" t="n"/>
      <c r="G3444" s="75" t="n"/>
      <c r="H3444" s="75">
        <f>IF(ISBLANK(E3444),"",IF(OR(D3444="Butterfly",D3444="Butterfly ",D3444="Iron Fly", D3444="Iron Fly "),LEN(E3444)-LEN(SUBSTITUTE(E3444,"/",""))+2,LEN(E3444)-LEN(SUBSTITUTE(E3444,"/",""))+1))</f>
        <v/>
      </c>
      <c r="I3444" s="78">
        <f>IF(ISBLANK(G3444),"",IF(D3444="Stock","0",Key!$A$3*H3444*G3444))</f>
        <v/>
      </c>
      <c r="J3444" s="78">
        <f>IF(ISBLANK(E3444),"",IF(ISNUMBER(SEARCH("/",E3444)), IF(LEN(E3444)-LEN(SUBSTITUTE(E3444,"/",""))=1,(RIGHT(E3444,LEN(E3444)-FIND("/",E3444)))-(LEFT(E3444,FIND("/",E3444)-1)),(MID(E3444, SEARCH("/",E3444) + 1, SEARCH("/",E3444, SEARCH("/",E3444)+1) - SEARCH("/",E3444) - 1))-(LEFT(E3444,FIND("/",E3444)-1))), "NA"))</f>
        <v/>
      </c>
      <c r="K3444" s="79">
        <f>IF(A3444&lt;&gt;"", IF(ISBLANK(L3444), TODAY(), K3444), "")</f>
        <v/>
      </c>
      <c r="L3444" s="78" t="n"/>
      <c r="M3444" s="78">
        <f>IF(ISBLANK(L3444),"",IF(D3444="Stock",IF(C3444="Buy",L3444*G3444,IF(C3444="Sell",(L3444*G3444)-I3444, X)),IF(C3444="Buy",(L3444*G3444*100)+I3444,IF(C3444="Sell",(L3444*G3444*100)-I3444, X))))</f>
        <v/>
      </c>
      <c r="N3444" s="78">
        <f>IF(ISBLANK(L3444),"",IF(AND(C3444="Sell",D3444="Stock"),M3444,IF(ISBLANK(L3444),"",IF(C3444="Buy",M3444, IF(AND(C3444="Sell",J3444="NA"),(E3444*G3444*100*0.1)+I3444, IF(C3444="Sell",(J3444-L3444)*(100*G3444)+I3444))))))</f>
        <v/>
      </c>
      <c r="O3444" s="75" t="n"/>
      <c r="P3444" s="75" t="n"/>
      <c r="Q3444" s="75">
        <f>IF(ISBLANK(P3444),"",IF(D3444="Stock",P3444*G3444,IF(P3444=0,"0",G3444*P3444*100-(G3444*$AF$14))))</f>
        <v/>
      </c>
      <c r="R3444" s="79">
        <f>IF(P3444&lt;&gt;"", TODAY(), "")</f>
        <v/>
      </c>
      <c r="S3444" s="78">
        <f>IF(AND(K3444&lt;&gt;"", R3444&lt;&gt;""), R3444-K3444, "")</f>
        <v/>
      </c>
      <c r="T3444" s="78" t="n"/>
      <c r="U3444" s="92">
        <f>IF(ISBLANK(P3444),"",IF(C3444="Buy",Q3444-M3444+T3444, IF(C3444="Sell",M3444-Q3444-T3444, X)))</f>
        <v/>
      </c>
      <c r="V3444" s="81">
        <f>IF(ISBLANK(P3444),"",U3444/N3444)</f>
        <v/>
      </c>
      <c r="W3444" s="81">
        <f>IF(ISBLANK(P3444),"",IF(S3444=0,(365/0.5)*V3444,(365/S3444)*V3444))</f>
        <v/>
      </c>
      <c r="X3444" s="75" t="n"/>
      <c r="Y3444" s="77" t="n"/>
      <c r="Z3444" s="77" t="n"/>
      <c r="AA3444" s="75" t="n"/>
      <c r="AB3444" s="75" t="n"/>
      <c r="AC3444" s="6" t="n"/>
      <c r="AD3444" s="75" t="n"/>
      <c r="AE3444" s="75" t="n"/>
      <c r="AF3444" s="75" t="n"/>
    </row>
    <row r="3445" ht="15.75" customHeight="1" s="133">
      <c r="A3445" s="75" t="n"/>
      <c r="B3445" s="75" t="n"/>
      <c r="C3445" s="75" t="n"/>
      <c r="D3445" s="75" t="n"/>
      <c r="E3445" s="76" t="n"/>
      <c r="F3445" s="77" t="n"/>
      <c r="G3445" s="75" t="n"/>
      <c r="H3445" s="75">
        <f>IF(ISBLANK(E3445),"",IF(OR(D3445="Butterfly",D3445="Butterfly ",D3445="Iron Fly", D3445="Iron Fly "),LEN(E3445)-LEN(SUBSTITUTE(E3445,"/",""))+2,LEN(E3445)-LEN(SUBSTITUTE(E3445,"/",""))+1))</f>
        <v/>
      </c>
      <c r="I3445" s="78">
        <f>IF(ISBLANK(G3445),"",IF(D3445="Stock","0",Key!$A$3*H3445*G3445))</f>
        <v/>
      </c>
      <c r="J3445" s="78">
        <f>IF(ISBLANK(E3445),"",IF(ISNUMBER(SEARCH("/",E3445)), IF(LEN(E3445)-LEN(SUBSTITUTE(E3445,"/",""))=1,(RIGHT(E3445,LEN(E3445)-FIND("/",E3445)))-(LEFT(E3445,FIND("/",E3445)-1)),(MID(E3445, SEARCH("/",E3445) + 1, SEARCH("/",E3445, SEARCH("/",E3445)+1) - SEARCH("/",E3445) - 1))-(LEFT(E3445,FIND("/",E3445)-1))), "NA"))</f>
        <v/>
      </c>
      <c r="K3445" s="79">
        <f>IF(A3445&lt;&gt;"", IF(ISBLANK(L3445), TODAY(), K3445), "")</f>
        <v/>
      </c>
      <c r="L3445" s="78" t="n"/>
      <c r="M3445" s="78">
        <f>IF(ISBLANK(L3445),"",IF(D3445="Stock",IF(C3445="Buy",L3445*G3445,IF(C3445="Sell",(L3445*G3445)-I3445, X)),IF(C3445="Buy",(L3445*G3445*100)+I3445,IF(C3445="Sell",(L3445*G3445*100)-I3445, X))))</f>
        <v/>
      </c>
      <c r="N3445" s="78">
        <f>IF(ISBLANK(L3445),"",IF(AND(C3445="Sell",D3445="Stock"),M3445,IF(ISBLANK(L3445),"",IF(C3445="Buy",M3445, IF(AND(C3445="Sell",J3445="NA"),(E3445*G3445*100*0.1)+I3445, IF(C3445="Sell",(J3445-L3445)*(100*G3445)+I3445))))))</f>
        <v/>
      </c>
      <c r="O3445" s="75" t="n"/>
      <c r="P3445" s="75" t="n"/>
      <c r="Q3445" s="75">
        <f>IF(ISBLANK(P3445),"",IF(D3445="Stock",P3445*G3445,IF(P3445=0,"0",G3445*P3445*100-(G3445*$AF$14))))</f>
        <v/>
      </c>
      <c r="R3445" s="79">
        <f>IF(P3445&lt;&gt;"", TODAY(), "")</f>
        <v/>
      </c>
      <c r="S3445" s="78">
        <f>IF(AND(K3445&lt;&gt;"", R3445&lt;&gt;""), R3445-K3445, "")</f>
        <v/>
      </c>
      <c r="T3445" s="78" t="n"/>
      <c r="U3445" s="92">
        <f>IF(ISBLANK(P3445),"",IF(C3445="Buy",Q3445-M3445+T3445, IF(C3445="Sell",M3445-Q3445-T3445, X)))</f>
        <v/>
      </c>
      <c r="V3445" s="81">
        <f>IF(ISBLANK(P3445),"",U3445/N3445)</f>
        <v/>
      </c>
      <c r="W3445" s="81">
        <f>IF(ISBLANK(P3445),"",IF(S3445=0,(365/0.5)*V3445,(365/S3445)*V3445))</f>
        <v/>
      </c>
      <c r="X3445" s="75" t="n"/>
      <c r="Y3445" s="77" t="n"/>
      <c r="Z3445" s="77" t="n"/>
      <c r="AA3445" s="75" t="n"/>
      <c r="AB3445" s="75" t="n"/>
      <c r="AC3445" s="6" t="n"/>
      <c r="AD3445" s="75" t="n"/>
      <c r="AE3445" s="75" t="n"/>
      <c r="AF3445" s="75" t="n"/>
    </row>
    <row r="3446" ht="15.75" customHeight="1" s="133">
      <c r="A3446" s="75" t="n"/>
      <c r="B3446" s="75" t="n"/>
      <c r="C3446" s="75" t="n"/>
      <c r="D3446" s="75" t="n"/>
      <c r="E3446" s="76" t="n"/>
      <c r="F3446" s="77" t="n"/>
      <c r="G3446" s="75" t="n"/>
      <c r="H3446" s="75">
        <f>IF(ISBLANK(E3446),"",IF(OR(D3446="Butterfly",D3446="Butterfly ",D3446="Iron Fly", D3446="Iron Fly "),LEN(E3446)-LEN(SUBSTITUTE(E3446,"/",""))+2,LEN(E3446)-LEN(SUBSTITUTE(E3446,"/",""))+1))</f>
        <v/>
      </c>
      <c r="I3446" s="78">
        <f>IF(ISBLANK(G3446),"",IF(D3446="Stock","0",Key!$A$3*H3446*G3446))</f>
        <v/>
      </c>
      <c r="J3446" s="78">
        <f>IF(ISBLANK(E3446),"",IF(ISNUMBER(SEARCH("/",E3446)), IF(LEN(E3446)-LEN(SUBSTITUTE(E3446,"/",""))=1,(RIGHT(E3446,LEN(E3446)-FIND("/",E3446)))-(LEFT(E3446,FIND("/",E3446)-1)),(MID(E3446, SEARCH("/",E3446) + 1, SEARCH("/",E3446, SEARCH("/",E3446)+1) - SEARCH("/",E3446) - 1))-(LEFT(E3446,FIND("/",E3446)-1))), "NA"))</f>
        <v/>
      </c>
      <c r="K3446" s="79">
        <f>IF(A3446&lt;&gt;"", IF(ISBLANK(L3446), TODAY(), K3446), "")</f>
        <v/>
      </c>
      <c r="L3446" s="78" t="n"/>
      <c r="M3446" s="78">
        <f>IF(ISBLANK(L3446),"",IF(D3446="Stock",IF(C3446="Buy",L3446*G3446,IF(C3446="Sell",(L3446*G3446)-I3446, X)),IF(C3446="Buy",(L3446*G3446*100)+I3446,IF(C3446="Sell",(L3446*G3446*100)-I3446, X))))</f>
        <v/>
      </c>
      <c r="N3446" s="78">
        <f>IF(ISBLANK(L3446),"",IF(AND(C3446="Sell",D3446="Stock"),M3446,IF(ISBLANK(L3446),"",IF(C3446="Buy",M3446, IF(AND(C3446="Sell",J3446="NA"),(E3446*G3446*100*0.1)+I3446, IF(C3446="Sell",(J3446-L3446)*(100*G3446)+I3446))))))</f>
        <v/>
      </c>
      <c r="O3446" s="75" t="n"/>
      <c r="P3446" s="75" t="n"/>
      <c r="Q3446" s="75">
        <f>IF(ISBLANK(P3446),"",IF(D3446="Stock",P3446*G3446,IF(P3446=0,"0",G3446*P3446*100-(G3446*$AF$14))))</f>
        <v/>
      </c>
      <c r="R3446" s="79">
        <f>IF(P3446&lt;&gt;"", TODAY(), "")</f>
        <v/>
      </c>
      <c r="S3446" s="78">
        <f>IF(AND(K3446&lt;&gt;"", R3446&lt;&gt;""), R3446-K3446, "")</f>
        <v/>
      </c>
      <c r="T3446" s="78" t="n"/>
      <c r="U3446" s="92">
        <f>IF(ISBLANK(P3446),"",IF(C3446="Buy",Q3446-M3446+T3446, IF(C3446="Sell",M3446-Q3446-T3446, X)))</f>
        <v/>
      </c>
      <c r="V3446" s="81">
        <f>IF(ISBLANK(P3446),"",U3446/N3446)</f>
        <v/>
      </c>
      <c r="W3446" s="81">
        <f>IF(ISBLANK(P3446),"",IF(S3446=0,(365/0.5)*V3446,(365/S3446)*V3446))</f>
        <v/>
      </c>
      <c r="X3446" s="75" t="n"/>
      <c r="Y3446" s="77" t="n"/>
      <c r="Z3446" s="77" t="n"/>
      <c r="AA3446" s="75" t="n"/>
      <c r="AB3446" s="75" t="n"/>
      <c r="AC3446" s="6" t="n"/>
      <c r="AD3446" s="75" t="n"/>
      <c r="AE3446" s="75" t="n"/>
      <c r="AF3446" s="75" t="n"/>
    </row>
    <row r="3447" ht="15.75" customHeight="1" s="133">
      <c r="A3447" s="75" t="n"/>
      <c r="B3447" s="75" t="n"/>
      <c r="C3447" s="75" t="n"/>
      <c r="D3447" s="75" t="n"/>
      <c r="E3447" s="76" t="n"/>
      <c r="F3447" s="77" t="n"/>
      <c r="G3447" s="75" t="n"/>
      <c r="H3447" s="75">
        <f>IF(ISBLANK(E3447),"",IF(OR(D3447="Butterfly",D3447="Butterfly ",D3447="Iron Fly", D3447="Iron Fly "),LEN(E3447)-LEN(SUBSTITUTE(E3447,"/",""))+2,LEN(E3447)-LEN(SUBSTITUTE(E3447,"/",""))+1))</f>
        <v/>
      </c>
      <c r="I3447" s="78">
        <f>IF(ISBLANK(G3447),"",IF(D3447="Stock","0",Key!$A$3*H3447*G3447))</f>
        <v/>
      </c>
      <c r="J3447" s="78">
        <f>IF(ISBLANK(E3447),"",IF(ISNUMBER(SEARCH("/",E3447)), IF(LEN(E3447)-LEN(SUBSTITUTE(E3447,"/",""))=1,(RIGHT(E3447,LEN(E3447)-FIND("/",E3447)))-(LEFT(E3447,FIND("/",E3447)-1)),(MID(E3447, SEARCH("/",E3447) + 1, SEARCH("/",E3447, SEARCH("/",E3447)+1) - SEARCH("/",E3447) - 1))-(LEFT(E3447,FIND("/",E3447)-1))), "NA"))</f>
        <v/>
      </c>
      <c r="K3447" s="79">
        <f>IF(A3447&lt;&gt;"", IF(ISBLANK(L3447), TODAY(), K3447), "")</f>
        <v/>
      </c>
      <c r="L3447" s="78" t="n"/>
      <c r="M3447" s="78">
        <f>IF(ISBLANK(L3447),"",IF(D3447="Stock",IF(C3447="Buy",L3447*G3447,IF(C3447="Sell",(L3447*G3447)-I3447, X)),IF(C3447="Buy",(L3447*G3447*100)+I3447,IF(C3447="Sell",(L3447*G3447*100)-I3447, X))))</f>
        <v/>
      </c>
      <c r="N3447" s="78">
        <f>IF(ISBLANK(L3447),"",IF(AND(C3447="Sell",D3447="Stock"),M3447,IF(ISBLANK(L3447),"",IF(C3447="Buy",M3447, IF(AND(C3447="Sell",J3447="NA"),(E3447*G3447*100*0.1)+I3447, IF(C3447="Sell",(J3447-L3447)*(100*G3447)+I3447))))))</f>
        <v/>
      </c>
      <c r="O3447" s="75" t="n"/>
      <c r="P3447" s="75" t="n"/>
      <c r="Q3447" s="75">
        <f>IF(ISBLANK(P3447),"",IF(D3447="Stock",P3447*G3447,IF(P3447=0,"0",G3447*P3447*100-(G3447*$AF$14))))</f>
        <v/>
      </c>
      <c r="R3447" s="79">
        <f>IF(P3447&lt;&gt;"", TODAY(), "")</f>
        <v/>
      </c>
      <c r="S3447" s="78">
        <f>IF(AND(K3447&lt;&gt;"", R3447&lt;&gt;""), R3447-K3447, "")</f>
        <v/>
      </c>
      <c r="T3447" s="78" t="n"/>
      <c r="U3447" s="92">
        <f>IF(ISBLANK(P3447),"",IF(C3447="Buy",Q3447-M3447+T3447, IF(C3447="Sell",M3447-Q3447-T3447, X)))</f>
        <v/>
      </c>
      <c r="V3447" s="81">
        <f>IF(ISBLANK(P3447),"",U3447/N3447)</f>
        <v/>
      </c>
      <c r="W3447" s="81">
        <f>IF(ISBLANK(P3447),"",IF(S3447=0,(365/0.5)*V3447,(365/S3447)*V3447))</f>
        <v/>
      </c>
      <c r="X3447" s="75" t="n"/>
      <c r="Y3447" s="77" t="n"/>
      <c r="Z3447" s="77" t="n"/>
      <c r="AA3447" s="75" t="n"/>
      <c r="AB3447" s="75" t="n"/>
      <c r="AC3447" s="6" t="n"/>
      <c r="AD3447" s="75" t="n"/>
      <c r="AE3447" s="75" t="n"/>
      <c r="AF3447" s="75" t="n"/>
    </row>
    <row r="3448" ht="15.75" customHeight="1" s="133">
      <c r="A3448" s="75" t="n"/>
      <c r="B3448" s="75" t="n"/>
      <c r="C3448" s="75" t="n"/>
      <c r="D3448" s="75" t="n"/>
      <c r="E3448" s="76" t="n"/>
      <c r="F3448" s="77" t="n"/>
      <c r="G3448" s="75" t="n"/>
      <c r="H3448" s="75">
        <f>IF(ISBLANK(E3448),"",IF(OR(D3448="Butterfly",D3448="Butterfly ",D3448="Iron Fly", D3448="Iron Fly "),LEN(E3448)-LEN(SUBSTITUTE(E3448,"/",""))+2,LEN(E3448)-LEN(SUBSTITUTE(E3448,"/",""))+1))</f>
        <v/>
      </c>
      <c r="I3448" s="78">
        <f>IF(ISBLANK(G3448),"",IF(D3448="Stock","0",Key!$A$3*H3448*G3448))</f>
        <v/>
      </c>
      <c r="J3448" s="78">
        <f>IF(ISBLANK(E3448),"",IF(ISNUMBER(SEARCH("/",E3448)), IF(LEN(E3448)-LEN(SUBSTITUTE(E3448,"/",""))=1,(RIGHT(E3448,LEN(E3448)-FIND("/",E3448)))-(LEFT(E3448,FIND("/",E3448)-1)),(MID(E3448, SEARCH("/",E3448) + 1, SEARCH("/",E3448, SEARCH("/",E3448)+1) - SEARCH("/",E3448) - 1))-(LEFT(E3448,FIND("/",E3448)-1))), "NA"))</f>
        <v/>
      </c>
      <c r="K3448" s="79">
        <f>IF(A3448&lt;&gt;"", IF(ISBLANK(L3448), TODAY(), K3448), "")</f>
        <v/>
      </c>
      <c r="L3448" s="78" t="n"/>
      <c r="M3448" s="78">
        <f>IF(ISBLANK(L3448),"",IF(D3448="Stock",IF(C3448="Buy",L3448*G3448,IF(C3448="Sell",(L3448*G3448)-I3448, X)),IF(C3448="Buy",(L3448*G3448*100)+I3448,IF(C3448="Sell",(L3448*G3448*100)-I3448, X))))</f>
        <v/>
      </c>
      <c r="N3448" s="78">
        <f>IF(ISBLANK(L3448),"",IF(AND(C3448="Sell",D3448="Stock"),M3448,IF(ISBLANK(L3448),"",IF(C3448="Buy",M3448, IF(AND(C3448="Sell",J3448="NA"),(E3448*G3448*100*0.1)+I3448, IF(C3448="Sell",(J3448-L3448)*(100*G3448)+I3448))))))</f>
        <v/>
      </c>
      <c r="O3448" s="75" t="n"/>
      <c r="P3448" s="75" t="n"/>
      <c r="Q3448" s="75">
        <f>IF(ISBLANK(P3448),"",IF(D3448="Stock",P3448*G3448,IF(P3448=0,"0",G3448*P3448*100-(G3448*$AF$14))))</f>
        <v/>
      </c>
      <c r="R3448" s="79">
        <f>IF(P3448&lt;&gt;"", TODAY(), "")</f>
        <v/>
      </c>
      <c r="S3448" s="78">
        <f>IF(AND(K3448&lt;&gt;"", R3448&lt;&gt;""), R3448-K3448, "")</f>
        <v/>
      </c>
      <c r="T3448" s="78" t="n"/>
      <c r="U3448" s="92">
        <f>IF(ISBLANK(P3448),"",IF(C3448="Buy",Q3448-M3448+T3448, IF(C3448="Sell",M3448-Q3448-T3448, X)))</f>
        <v/>
      </c>
      <c r="V3448" s="81">
        <f>IF(ISBLANK(P3448),"",U3448/N3448)</f>
        <v/>
      </c>
      <c r="W3448" s="81">
        <f>IF(ISBLANK(P3448),"",IF(S3448=0,(365/0.5)*V3448,(365/S3448)*V3448))</f>
        <v/>
      </c>
      <c r="X3448" s="75" t="n"/>
      <c r="Y3448" s="77" t="n"/>
      <c r="Z3448" s="77" t="n"/>
      <c r="AA3448" s="75" t="n"/>
      <c r="AB3448" s="75" t="n"/>
      <c r="AC3448" s="6" t="n"/>
      <c r="AD3448" s="75" t="n"/>
      <c r="AE3448" s="75" t="n"/>
      <c r="AF3448" s="75" t="n"/>
    </row>
    <row r="3449" ht="15.75" customHeight="1" s="133">
      <c r="A3449" s="75" t="n"/>
      <c r="B3449" s="75" t="n"/>
      <c r="C3449" s="75" t="n"/>
      <c r="D3449" s="75" t="n"/>
      <c r="E3449" s="76" t="n"/>
      <c r="F3449" s="77" t="n"/>
      <c r="G3449" s="75" t="n"/>
      <c r="H3449" s="75">
        <f>IF(ISBLANK(E3449),"",IF(OR(D3449="Butterfly",D3449="Butterfly ",D3449="Iron Fly", D3449="Iron Fly "),LEN(E3449)-LEN(SUBSTITUTE(E3449,"/",""))+2,LEN(E3449)-LEN(SUBSTITUTE(E3449,"/",""))+1))</f>
        <v/>
      </c>
      <c r="I3449" s="78">
        <f>IF(ISBLANK(G3449),"",IF(D3449="Stock","0",Key!$A$3*H3449*G3449))</f>
        <v/>
      </c>
      <c r="J3449" s="78">
        <f>IF(ISBLANK(E3449),"",IF(ISNUMBER(SEARCH("/",E3449)), IF(LEN(E3449)-LEN(SUBSTITUTE(E3449,"/",""))=1,(RIGHT(E3449,LEN(E3449)-FIND("/",E3449)))-(LEFT(E3449,FIND("/",E3449)-1)),(MID(E3449, SEARCH("/",E3449) + 1, SEARCH("/",E3449, SEARCH("/",E3449)+1) - SEARCH("/",E3449) - 1))-(LEFT(E3449,FIND("/",E3449)-1))), "NA"))</f>
        <v/>
      </c>
      <c r="K3449" s="79">
        <f>IF(A3449&lt;&gt;"", IF(ISBLANK(L3449), TODAY(), K3449), "")</f>
        <v/>
      </c>
      <c r="L3449" s="78" t="n"/>
      <c r="M3449" s="78">
        <f>IF(ISBLANK(L3449),"",IF(D3449="Stock",IF(C3449="Buy",L3449*G3449,IF(C3449="Sell",(L3449*G3449)-I3449, X)),IF(C3449="Buy",(L3449*G3449*100)+I3449,IF(C3449="Sell",(L3449*G3449*100)-I3449, X))))</f>
        <v/>
      </c>
      <c r="N3449" s="78">
        <f>IF(ISBLANK(L3449),"",IF(AND(C3449="Sell",D3449="Stock"),M3449,IF(ISBLANK(L3449),"",IF(C3449="Buy",M3449, IF(AND(C3449="Sell",J3449="NA"),(E3449*G3449*100*0.1)+I3449, IF(C3449="Sell",(J3449-L3449)*(100*G3449)+I3449))))))</f>
        <v/>
      </c>
      <c r="O3449" s="75" t="n"/>
      <c r="P3449" s="75" t="n"/>
      <c r="Q3449" s="75">
        <f>IF(ISBLANK(P3449),"",IF(D3449="Stock",P3449*G3449,IF(P3449=0,"0",G3449*P3449*100-(G3449*$AF$14))))</f>
        <v/>
      </c>
      <c r="R3449" s="79">
        <f>IF(P3449&lt;&gt;"", TODAY(), "")</f>
        <v/>
      </c>
      <c r="S3449" s="78">
        <f>IF(AND(K3449&lt;&gt;"", R3449&lt;&gt;""), R3449-K3449, "")</f>
        <v/>
      </c>
      <c r="T3449" s="78" t="n"/>
      <c r="U3449" s="92">
        <f>IF(ISBLANK(P3449),"",IF(C3449="Buy",Q3449-M3449+T3449, IF(C3449="Sell",M3449-Q3449-T3449, X)))</f>
        <v/>
      </c>
      <c r="V3449" s="81">
        <f>IF(ISBLANK(P3449),"",U3449/N3449)</f>
        <v/>
      </c>
      <c r="W3449" s="81">
        <f>IF(ISBLANK(P3449),"",IF(S3449=0,(365/0.5)*V3449,(365/S3449)*V3449))</f>
        <v/>
      </c>
      <c r="X3449" s="75" t="n"/>
      <c r="Y3449" s="77" t="n"/>
      <c r="Z3449" s="77" t="n"/>
      <c r="AA3449" s="75" t="n"/>
      <c r="AB3449" s="75" t="n"/>
      <c r="AC3449" s="6" t="n"/>
      <c r="AD3449" s="75" t="n"/>
      <c r="AE3449" s="75" t="n"/>
      <c r="AF3449" s="75" t="n"/>
    </row>
    <row r="3450" ht="15.75" customHeight="1" s="133">
      <c r="A3450" s="75" t="n"/>
      <c r="B3450" s="75" t="n"/>
      <c r="C3450" s="75" t="n"/>
      <c r="D3450" s="75" t="n"/>
      <c r="E3450" s="76" t="n"/>
      <c r="F3450" s="77" t="n"/>
      <c r="G3450" s="75" t="n"/>
      <c r="H3450" s="75">
        <f>IF(ISBLANK(E3450),"",IF(OR(D3450="Butterfly",D3450="Butterfly ",D3450="Iron Fly", D3450="Iron Fly "),LEN(E3450)-LEN(SUBSTITUTE(E3450,"/",""))+2,LEN(E3450)-LEN(SUBSTITUTE(E3450,"/",""))+1))</f>
        <v/>
      </c>
      <c r="I3450" s="78">
        <f>IF(ISBLANK(G3450),"",IF(D3450="Stock","0",Key!$A$3*H3450*G3450))</f>
        <v/>
      </c>
      <c r="J3450" s="78">
        <f>IF(ISBLANK(E3450),"",IF(ISNUMBER(SEARCH("/",E3450)), IF(LEN(E3450)-LEN(SUBSTITUTE(E3450,"/",""))=1,(RIGHT(E3450,LEN(E3450)-FIND("/",E3450)))-(LEFT(E3450,FIND("/",E3450)-1)),(MID(E3450, SEARCH("/",E3450) + 1, SEARCH("/",E3450, SEARCH("/",E3450)+1) - SEARCH("/",E3450) - 1))-(LEFT(E3450,FIND("/",E3450)-1))), "NA"))</f>
        <v/>
      </c>
      <c r="K3450" s="79">
        <f>IF(A3450&lt;&gt;"", IF(ISBLANK(L3450), TODAY(), K3450), "")</f>
        <v/>
      </c>
      <c r="L3450" s="78" t="n"/>
      <c r="M3450" s="78">
        <f>IF(ISBLANK(L3450),"",IF(D3450="Stock",IF(C3450="Buy",L3450*G3450,IF(C3450="Sell",(L3450*G3450)-I3450, X)),IF(C3450="Buy",(L3450*G3450*100)+I3450,IF(C3450="Sell",(L3450*G3450*100)-I3450, X))))</f>
        <v/>
      </c>
      <c r="N3450" s="78">
        <f>IF(ISBLANK(L3450),"",IF(AND(C3450="Sell",D3450="Stock"),M3450,IF(ISBLANK(L3450),"",IF(C3450="Buy",M3450, IF(AND(C3450="Sell",J3450="NA"),(E3450*G3450*100*0.1)+I3450, IF(C3450="Sell",(J3450-L3450)*(100*G3450)+I3450))))))</f>
        <v/>
      </c>
      <c r="O3450" s="75" t="n"/>
      <c r="P3450" s="75" t="n"/>
      <c r="Q3450" s="75">
        <f>IF(ISBLANK(P3450),"",IF(D3450="Stock",P3450*G3450,IF(P3450=0,"0",G3450*P3450*100-(G3450*$AF$14))))</f>
        <v/>
      </c>
      <c r="R3450" s="79">
        <f>IF(P3450&lt;&gt;"", TODAY(), "")</f>
        <v/>
      </c>
      <c r="S3450" s="78">
        <f>IF(AND(K3450&lt;&gt;"", R3450&lt;&gt;""), R3450-K3450, "")</f>
        <v/>
      </c>
      <c r="T3450" s="78" t="n"/>
      <c r="U3450" s="92">
        <f>IF(ISBLANK(P3450),"",IF(C3450="Buy",Q3450-M3450+T3450, IF(C3450="Sell",M3450-Q3450-T3450, X)))</f>
        <v/>
      </c>
      <c r="V3450" s="81">
        <f>IF(ISBLANK(P3450),"",U3450/N3450)</f>
        <v/>
      </c>
      <c r="W3450" s="81">
        <f>IF(ISBLANK(P3450),"",IF(S3450=0,(365/0.5)*V3450,(365/S3450)*V3450))</f>
        <v/>
      </c>
      <c r="X3450" s="75" t="n"/>
      <c r="Y3450" s="77" t="n"/>
      <c r="Z3450" s="77" t="n"/>
      <c r="AA3450" s="75" t="n"/>
      <c r="AB3450" s="75" t="n"/>
      <c r="AC3450" s="6" t="n"/>
      <c r="AD3450" s="75" t="n"/>
      <c r="AE3450" s="75" t="n"/>
      <c r="AF3450" s="75" t="n"/>
    </row>
    <row r="3451" ht="15.75" customHeight="1" s="133">
      <c r="A3451" s="75" t="n"/>
      <c r="B3451" s="75" t="n"/>
      <c r="C3451" s="75" t="n"/>
      <c r="D3451" s="75" t="n"/>
      <c r="E3451" s="76" t="n"/>
      <c r="F3451" s="77" t="n"/>
      <c r="G3451" s="75" t="n"/>
      <c r="H3451" s="75">
        <f>IF(ISBLANK(E3451),"",IF(OR(D3451="Butterfly",D3451="Butterfly ",D3451="Iron Fly", D3451="Iron Fly "),LEN(E3451)-LEN(SUBSTITUTE(E3451,"/",""))+2,LEN(E3451)-LEN(SUBSTITUTE(E3451,"/",""))+1))</f>
        <v/>
      </c>
      <c r="I3451" s="78">
        <f>IF(ISBLANK(G3451),"",IF(D3451="Stock","0",Key!$A$3*H3451*G3451))</f>
        <v/>
      </c>
      <c r="J3451" s="78">
        <f>IF(ISBLANK(E3451),"",IF(ISNUMBER(SEARCH("/",E3451)), IF(LEN(E3451)-LEN(SUBSTITUTE(E3451,"/",""))=1,(RIGHT(E3451,LEN(E3451)-FIND("/",E3451)))-(LEFT(E3451,FIND("/",E3451)-1)),(MID(E3451, SEARCH("/",E3451) + 1, SEARCH("/",E3451, SEARCH("/",E3451)+1) - SEARCH("/",E3451) - 1))-(LEFT(E3451,FIND("/",E3451)-1))), "NA"))</f>
        <v/>
      </c>
      <c r="K3451" s="79">
        <f>IF(A3451&lt;&gt;"", IF(ISBLANK(L3451), TODAY(), K3451), "")</f>
        <v/>
      </c>
      <c r="L3451" s="78" t="n"/>
      <c r="M3451" s="78">
        <f>IF(ISBLANK(L3451),"",IF(D3451="Stock",IF(C3451="Buy",L3451*G3451,IF(C3451="Sell",(L3451*G3451)-I3451, X)),IF(C3451="Buy",(L3451*G3451*100)+I3451,IF(C3451="Sell",(L3451*G3451*100)-I3451, X))))</f>
        <v/>
      </c>
      <c r="N3451" s="78">
        <f>IF(ISBLANK(L3451),"",IF(AND(C3451="Sell",D3451="Stock"),M3451,IF(ISBLANK(L3451),"",IF(C3451="Buy",M3451, IF(AND(C3451="Sell",J3451="NA"),(E3451*G3451*100*0.1)+I3451, IF(C3451="Sell",(J3451-L3451)*(100*G3451)+I3451))))))</f>
        <v/>
      </c>
      <c r="O3451" s="75" t="n"/>
      <c r="P3451" s="75" t="n"/>
      <c r="Q3451" s="75">
        <f>IF(ISBLANK(P3451),"",IF(D3451="Stock",P3451*G3451,IF(P3451=0,"0",G3451*P3451*100-(G3451*$AF$14))))</f>
        <v/>
      </c>
      <c r="R3451" s="79">
        <f>IF(P3451&lt;&gt;"", TODAY(), "")</f>
        <v/>
      </c>
      <c r="S3451" s="78">
        <f>IF(AND(K3451&lt;&gt;"", R3451&lt;&gt;""), R3451-K3451, "")</f>
        <v/>
      </c>
      <c r="T3451" s="78" t="n"/>
      <c r="U3451" s="92">
        <f>IF(ISBLANK(P3451),"",IF(C3451="Buy",Q3451-M3451+T3451, IF(C3451="Sell",M3451-Q3451-T3451, X)))</f>
        <v/>
      </c>
      <c r="V3451" s="81">
        <f>IF(ISBLANK(P3451),"",U3451/N3451)</f>
        <v/>
      </c>
      <c r="W3451" s="81">
        <f>IF(ISBLANK(P3451),"",IF(S3451=0,(365/0.5)*V3451,(365/S3451)*V3451))</f>
        <v/>
      </c>
      <c r="X3451" s="75" t="n"/>
      <c r="Y3451" s="77" t="n"/>
      <c r="Z3451" s="77" t="n"/>
      <c r="AA3451" s="75" t="n"/>
      <c r="AB3451" s="75" t="n"/>
      <c r="AC3451" s="6" t="n"/>
      <c r="AD3451" s="75" t="n"/>
      <c r="AE3451" s="75" t="n"/>
      <c r="AF3451" s="75" t="n"/>
    </row>
    <row r="3452" ht="15.75" customHeight="1" s="133">
      <c r="A3452" s="75" t="n"/>
      <c r="B3452" s="75" t="n"/>
      <c r="C3452" s="75" t="n"/>
      <c r="D3452" s="75" t="n"/>
      <c r="E3452" s="76" t="n"/>
      <c r="F3452" s="77" t="n"/>
      <c r="G3452" s="75" t="n"/>
      <c r="H3452" s="75">
        <f>IF(ISBLANK(E3452),"",IF(OR(D3452="Butterfly",D3452="Butterfly ",D3452="Iron Fly", D3452="Iron Fly "),LEN(E3452)-LEN(SUBSTITUTE(E3452,"/",""))+2,LEN(E3452)-LEN(SUBSTITUTE(E3452,"/",""))+1))</f>
        <v/>
      </c>
      <c r="I3452" s="78">
        <f>IF(ISBLANK(G3452),"",IF(D3452="Stock","0",Key!$A$3*H3452*G3452))</f>
        <v/>
      </c>
      <c r="J3452" s="78">
        <f>IF(ISBLANK(E3452),"",IF(ISNUMBER(SEARCH("/",E3452)), IF(LEN(E3452)-LEN(SUBSTITUTE(E3452,"/",""))=1,(RIGHT(E3452,LEN(E3452)-FIND("/",E3452)))-(LEFT(E3452,FIND("/",E3452)-1)),(MID(E3452, SEARCH("/",E3452) + 1, SEARCH("/",E3452, SEARCH("/",E3452)+1) - SEARCH("/",E3452) - 1))-(LEFT(E3452,FIND("/",E3452)-1))), "NA"))</f>
        <v/>
      </c>
      <c r="K3452" s="79">
        <f>IF(A3452&lt;&gt;"", IF(ISBLANK(L3452), TODAY(), K3452), "")</f>
        <v/>
      </c>
      <c r="L3452" s="78" t="n"/>
      <c r="M3452" s="78">
        <f>IF(ISBLANK(L3452),"",IF(D3452="Stock",IF(C3452="Buy",L3452*G3452,IF(C3452="Sell",(L3452*G3452)-I3452, X)),IF(C3452="Buy",(L3452*G3452*100)+I3452,IF(C3452="Sell",(L3452*G3452*100)-I3452, X))))</f>
        <v/>
      </c>
      <c r="N3452" s="78">
        <f>IF(ISBLANK(L3452),"",IF(AND(C3452="Sell",D3452="Stock"),M3452,IF(ISBLANK(L3452),"",IF(C3452="Buy",M3452, IF(AND(C3452="Sell",J3452="NA"),(E3452*G3452*100*0.1)+I3452, IF(C3452="Sell",(J3452-L3452)*(100*G3452)+I3452))))))</f>
        <v/>
      </c>
      <c r="O3452" s="75" t="n"/>
      <c r="P3452" s="75" t="n"/>
      <c r="Q3452" s="75">
        <f>IF(ISBLANK(P3452),"",IF(D3452="Stock",P3452*G3452,IF(P3452=0,"0",G3452*P3452*100-(G3452*$AF$14))))</f>
        <v/>
      </c>
      <c r="R3452" s="79">
        <f>IF(P3452&lt;&gt;"", TODAY(), "")</f>
        <v/>
      </c>
      <c r="S3452" s="78">
        <f>IF(AND(K3452&lt;&gt;"", R3452&lt;&gt;""), R3452-K3452, "")</f>
        <v/>
      </c>
      <c r="T3452" s="78" t="n"/>
      <c r="U3452" s="92">
        <f>IF(ISBLANK(P3452),"",IF(C3452="Buy",Q3452-M3452+T3452, IF(C3452="Sell",M3452-Q3452-T3452, X)))</f>
        <v/>
      </c>
      <c r="V3452" s="81">
        <f>IF(ISBLANK(P3452),"",U3452/N3452)</f>
        <v/>
      </c>
      <c r="W3452" s="81">
        <f>IF(ISBLANK(P3452),"",IF(S3452=0,(365/0.5)*V3452,(365/S3452)*V3452))</f>
        <v/>
      </c>
      <c r="X3452" s="75" t="n"/>
      <c r="Y3452" s="77" t="n"/>
      <c r="Z3452" s="77" t="n"/>
      <c r="AA3452" s="75" t="n"/>
      <c r="AB3452" s="75" t="n"/>
      <c r="AC3452" s="6" t="n"/>
      <c r="AD3452" s="75" t="n"/>
      <c r="AE3452" s="75" t="n"/>
      <c r="AF3452" s="75" t="n"/>
    </row>
    <row r="3453" ht="15.75" customHeight="1" s="133">
      <c r="A3453" s="75" t="n"/>
      <c r="B3453" s="75" t="n"/>
      <c r="C3453" s="75" t="n"/>
      <c r="D3453" s="75" t="n"/>
      <c r="E3453" s="76" t="n"/>
      <c r="F3453" s="77" t="n"/>
      <c r="G3453" s="75" t="n"/>
      <c r="H3453" s="75">
        <f>IF(ISBLANK(E3453),"",IF(OR(D3453="Butterfly",D3453="Butterfly ",D3453="Iron Fly", D3453="Iron Fly "),LEN(E3453)-LEN(SUBSTITUTE(E3453,"/",""))+2,LEN(E3453)-LEN(SUBSTITUTE(E3453,"/",""))+1))</f>
        <v/>
      </c>
      <c r="I3453" s="78">
        <f>IF(ISBLANK(G3453),"",IF(D3453="Stock","0",Key!$A$3*H3453*G3453))</f>
        <v/>
      </c>
      <c r="J3453" s="78">
        <f>IF(ISBLANK(E3453),"",IF(ISNUMBER(SEARCH("/",E3453)), IF(LEN(E3453)-LEN(SUBSTITUTE(E3453,"/",""))=1,(RIGHT(E3453,LEN(E3453)-FIND("/",E3453)))-(LEFT(E3453,FIND("/",E3453)-1)),(MID(E3453, SEARCH("/",E3453) + 1, SEARCH("/",E3453, SEARCH("/",E3453)+1) - SEARCH("/",E3453) - 1))-(LEFT(E3453,FIND("/",E3453)-1))), "NA"))</f>
        <v/>
      </c>
      <c r="K3453" s="79">
        <f>IF(A3453&lt;&gt;"", IF(ISBLANK(L3453), TODAY(), K3453), "")</f>
        <v/>
      </c>
      <c r="L3453" s="78" t="n"/>
      <c r="M3453" s="78">
        <f>IF(ISBLANK(L3453),"",IF(D3453="Stock",IF(C3453="Buy",L3453*G3453,IF(C3453="Sell",(L3453*G3453)-I3453, X)),IF(C3453="Buy",(L3453*G3453*100)+I3453,IF(C3453="Sell",(L3453*G3453*100)-I3453, X))))</f>
        <v/>
      </c>
      <c r="N3453" s="78">
        <f>IF(ISBLANK(L3453),"",IF(AND(C3453="Sell",D3453="Stock"),M3453,IF(ISBLANK(L3453),"",IF(C3453="Buy",M3453, IF(AND(C3453="Sell",J3453="NA"),(E3453*G3453*100*0.1)+I3453, IF(C3453="Sell",(J3453-L3453)*(100*G3453)+I3453))))))</f>
        <v/>
      </c>
      <c r="O3453" s="75" t="n"/>
      <c r="P3453" s="75" t="n"/>
      <c r="Q3453" s="75">
        <f>IF(ISBLANK(P3453),"",IF(D3453="Stock",P3453*G3453,IF(P3453=0,"0",G3453*P3453*100-(G3453*$AF$14))))</f>
        <v/>
      </c>
      <c r="R3453" s="79">
        <f>IF(P3453&lt;&gt;"", TODAY(), "")</f>
        <v/>
      </c>
      <c r="S3453" s="78">
        <f>IF(AND(K3453&lt;&gt;"", R3453&lt;&gt;""), R3453-K3453, "")</f>
        <v/>
      </c>
      <c r="T3453" s="78" t="n"/>
      <c r="U3453" s="92">
        <f>IF(ISBLANK(P3453),"",IF(C3453="Buy",Q3453-M3453+T3453, IF(C3453="Sell",M3453-Q3453-T3453, X)))</f>
        <v/>
      </c>
      <c r="V3453" s="81">
        <f>IF(ISBLANK(P3453),"",U3453/N3453)</f>
        <v/>
      </c>
      <c r="W3453" s="81">
        <f>IF(ISBLANK(P3453),"",IF(S3453=0,(365/0.5)*V3453,(365/S3453)*V3453))</f>
        <v/>
      </c>
      <c r="X3453" s="75" t="n"/>
      <c r="Y3453" s="77" t="n"/>
      <c r="Z3453" s="77" t="n"/>
      <c r="AA3453" s="75" t="n"/>
      <c r="AB3453" s="75" t="n"/>
      <c r="AC3453" s="6" t="n"/>
      <c r="AD3453" s="75" t="n"/>
      <c r="AE3453" s="75" t="n"/>
      <c r="AF3453" s="75" t="n"/>
    </row>
    <row r="3454" ht="15.75" customHeight="1" s="133">
      <c r="A3454" s="75" t="n"/>
      <c r="B3454" s="75" t="n"/>
      <c r="C3454" s="75" t="n"/>
      <c r="D3454" s="75" t="n"/>
      <c r="E3454" s="76" t="n"/>
      <c r="F3454" s="77" t="n"/>
      <c r="G3454" s="75" t="n"/>
      <c r="H3454" s="75">
        <f>IF(ISBLANK(E3454),"",IF(OR(D3454="Butterfly",D3454="Butterfly ",D3454="Iron Fly", D3454="Iron Fly "),LEN(E3454)-LEN(SUBSTITUTE(E3454,"/",""))+2,LEN(E3454)-LEN(SUBSTITUTE(E3454,"/",""))+1))</f>
        <v/>
      </c>
      <c r="I3454" s="78">
        <f>IF(ISBLANK(G3454),"",IF(D3454="Stock","0",Key!$A$3*H3454*G3454))</f>
        <v/>
      </c>
      <c r="J3454" s="78">
        <f>IF(ISBLANK(E3454),"",IF(ISNUMBER(SEARCH("/",E3454)), IF(LEN(E3454)-LEN(SUBSTITUTE(E3454,"/",""))=1,(RIGHT(E3454,LEN(E3454)-FIND("/",E3454)))-(LEFT(E3454,FIND("/",E3454)-1)),(MID(E3454, SEARCH("/",E3454) + 1, SEARCH("/",E3454, SEARCH("/",E3454)+1) - SEARCH("/",E3454) - 1))-(LEFT(E3454,FIND("/",E3454)-1))), "NA"))</f>
        <v/>
      </c>
      <c r="K3454" s="79">
        <f>IF(A3454&lt;&gt;"", IF(ISBLANK(L3454), TODAY(), K3454), "")</f>
        <v/>
      </c>
      <c r="L3454" s="78" t="n"/>
      <c r="M3454" s="78">
        <f>IF(ISBLANK(L3454),"",IF(D3454="Stock",IF(C3454="Buy",L3454*G3454,IF(C3454="Sell",(L3454*G3454)-I3454, X)),IF(C3454="Buy",(L3454*G3454*100)+I3454,IF(C3454="Sell",(L3454*G3454*100)-I3454, X))))</f>
        <v/>
      </c>
      <c r="N3454" s="78">
        <f>IF(ISBLANK(L3454),"",IF(AND(C3454="Sell",D3454="Stock"),M3454,IF(ISBLANK(L3454),"",IF(C3454="Buy",M3454, IF(AND(C3454="Sell",J3454="NA"),(E3454*G3454*100*0.1)+I3454, IF(C3454="Sell",(J3454-L3454)*(100*G3454)+I3454))))))</f>
        <v/>
      </c>
      <c r="O3454" s="75" t="n"/>
      <c r="P3454" s="75" t="n"/>
      <c r="Q3454" s="75">
        <f>IF(ISBLANK(P3454),"",IF(D3454="Stock",P3454*G3454,IF(P3454=0,"0",G3454*P3454*100-(G3454*$AF$14))))</f>
        <v/>
      </c>
      <c r="R3454" s="79">
        <f>IF(P3454&lt;&gt;"", TODAY(), "")</f>
        <v/>
      </c>
      <c r="S3454" s="78">
        <f>IF(AND(K3454&lt;&gt;"", R3454&lt;&gt;""), R3454-K3454, "")</f>
        <v/>
      </c>
      <c r="T3454" s="78" t="n"/>
      <c r="U3454" s="92">
        <f>IF(ISBLANK(P3454),"",IF(C3454="Buy",Q3454-M3454+T3454, IF(C3454="Sell",M3454-Q3454-T3454, X)))</f>
        <v/>
      </c>
      <c r="V3454" s="81">
        <f>IF(ISBLANK(P3454),"",U3454/N3454)</f>
        <v/>
      </c>
      <c r="W3454" s="81">
        <f>IF(ISBLANK(P3454),"",IF(S3454=0,(365/0.5)*V3454,(365/S3454)*V3454))</f>
        <v/>
      </c>
      <c r="X3454" s="75" t="n"/>
      <c r="Y3454" s="77" t="n"/>
      <c r="Z3454" s="77" t="n"/>
      <c r="AA3454" s="75" t="n"/>
      <c r="AB3454" s="75" t="n"/>
      <c r="AC3454" s="6" t="n"/>
      <c r="AD3454" s="75" t="n"/>
      <c r="AE3454" s="75" t="n"/>
      <c r="AF3454" s="75" t="n"/>
    </row>
    <row r="3455" ht="15.75" customHeight="1" s="133">
      <c r="A3455" s="75" t="n"/>
      <c r="B3455" s="75" t="n"/>
      <c r="C3455" s="75" t="n"/>
      <c r="D3455" s="75" t="n"/>
      <c r="E3455" s="76" t="n"/>
      <c r="F3455" s="77" t="n"/>
      <c r="G3455" s="75" t="n"/>
      <c r="H3455" s="75">
        <f>IF(ISBLANK(E3455),"",IF(OR(D3455="Butterfly",D3455="Butterfly ",D3455="Iron Fly", D3455="Iron Fly "),LEN(E3455)-LEN(SUBSTITUTE(E3455,"/",""))+2,LEN(E3455)-LEN(SUBSTITUTE(E3455,"/",""))+1))</f>
        <v/>
      </c>
      <c r="I3455" s="78">
        <f>IF(ISBLANK(G3455),"",IF(D3455="Stock","0",Key!$A$3*H3455*G3455))</f>
        <v/>
      </c>
      <c r="J3455" s="78">
        <f>IF(ISBLANK(E3455),"",IF(ISNUMBER(SEARCH("/",E3455)), IF(LEN(E3455)-LEN(SUBSTITUTE(E3455,"/",""))=1,(RIGHT(E3455,LEN(E3455)-FIND("/",E3455)))-(LEFT(E3455,FIND("/",E3455)-1)),(MID(E3455, SEARCH("/",E3455) + 1, SEARCH("/",E3455, SEARCH("/",E3455)+1) - SEARCH("/",E3455) - 1))-(LEFT(E3455,FIND("/",E3455)-1))), "NA"))</f>
        <v/>
      </c>
      <c r="K3455" s="79">
        <f>IF(A3455&lt;&gt;"", IF(ISBLANK(L3455), TODAY(), K3455), "")</f>
        <v/>
      </c>
      <c r="L3455" s="78" t="n"/>
      <c r="M3455" s="78">
        <f>IF(ISBLANK(L3455),"",IF(D3455="Stock",IF(C3455="Buy",L3455*G3455,IF(C3455="Sell",(L3455*G3455)-I3455, X)),IF(C3455="Buy",(L3455*G3455*100)+I3455,IF(C3455="Sell",(L3455*G3455*100)-I3455, X))))</f>
        <v/>
      </c>
      <c r="N3455" s="78">
        <f>IF(ISBLANK(L3455),"",IF(AND(C3455="Sell",D3455="Stock"),M3455,IF(ISBLANK(L3455),"",IF(C3455="Buy",M3455, IF(AND(C3455="Sell",J3455="NA"),(E3455*G3455*100*0.1)+I3455, IF(C3455="Sell",(J3455-L3455)*(100*G3455)+I3455))))))</f>
        <v/>
      </c>
      <c r="O3455" s="75" t="n"/>
      <c r="P3455" s="75" t="n"/>
      <c r="Q3455" s="75">
        <f>IF(ISBLANK(P3455),"",IF(D3455="Stock",P3455*G3455,IF(P3455=0,"0",G3455*P3455*100-(G3455*$AF$14))))</f>
        <v/>
      </c>
      <c r="R3455" s="79">
        <f>IF(P3455&lt;&gt;"", TODAY(), "")</f>
        <v/>
      </c>
      <c r="S3455" s="78">
        <f>IF(AND(K3455&lt;&gt;"", R3455&lt;&gt;""), R3455-K3455, "")</f>
        <v/>
      </c>
      <c r="T3455" s="78" t="n"/>
      <c r="U3455" s="92">
        <f>IF(ISBLANK(P3455),"",IF(C3455="Buy",Q3455-M3455+T3455, IF(C3455="Sell",M3455-Q3455-T3455, X)))</f>
        <v/>
      </c>
      <c r="V3455" s="81">
        <f>IF(ISBLANK(P3455),"",U3455/N3455)</f>
        <v/>
      </c>
      <c r="W3455" s="81">
        <f>IF(ISBLANK(P3455),"",IF(S3455=0,(365/0.5)*V3455,(365/S3455)*V3455))</f>
        <v/>
      </c>
      <c r="X3455" s="75" t="n"/>
      <c r="Y3455" s="77" t="n"/>
      <c r="Z3455" s="77" t="n"/>
      <c r="AA3455" s="75" t="n"/>
      <c r="AB3455" s="75" t="n"/>
      <c r="AC3455" s="6" t="n"/>
      <c r="AD3455" s="75" t="n"/>
      <c r="AE3455" s="75" t="n"/>
      <c r="AF3455" s="75" t="n"/>
    </row>
    <row r="3456" ht="15.75" customHeight="1" s="133">
      <c r="A3456" s="75" t="n"/>
      <c r="B3456" s="75" t="n"/>
      <c r="C3456" s="75" t="n"/>
      <c r="D3456" s="75" t="n"/>
      <c r="E3456" s="76" t="n"/>
      <c r="F3456" s="77" t="n"/>
      <c r="G3456" s="75" t="n"/>
      <c r="H3456" s="75">
        <f>IF(ISBLANK(E3456),"",IF(OR(D3456="Butterfly",D3456="Butterfly ",D3456="Iron Fly", D3456="Iron Fly "),LEN(E3456)-LEN(SUBSTITUTE(E3456,"/",""))+2,LEN(E3456)-LEN(SUBSTITUTE(E3456,"/",""))+1))</f>
        <v/>
      </c>
      <c r="I3456" s="78">
        <f>IF(ISBLANK(G3456),"",IF(D3456="Stock","0",Key!$A$3*H3456*G3456))</f>
        <v/>
      </c>
      <c r="J3456" s="78">
        <f>IF(ISBLANK(E3456),"",IF(ISNUMBER(SEARCH("/",E3456)), IF(LEN(E3456)-LEN(SUBSTITUTE(E3456,"/",""))=1,(RIGHT(E3456,LEN(E3456)-FIND("/",E3456)))-(LEFT(E3456,FIND("/",E3456)-1)),(MID(E3456, SEARCH("/",E3456) + 1, SEARCH("/",E3456, SEARCH("/",E3456)+1) - SEARCH("/",E3456) - 1))-(LEFT(E3456,FIND("/",E3456)-1))), "NA"))</f>
        <v/>
      </c>
      <c r="K3456" s="79">
        <f>IF(A3456&lt;&gt;"", IF(ISBLANK(L3456), TODAY(), K3456), "")</f>
        <v/>
      </c>
      <c r="L3456" s="78" t="n"/>
      <c r="M3456" s="78">
        <f>IF(ISBLANK(L3456),"",IF(D3456="Stock",IF(C3456="Buy",L3456*G3456,IF(C3456="Sell",(L3456*G3456)-I3456, X)),IF(C3456="Buy",(L3456*G3456*100)+I3456,IF(C3456="Sell",(L3456*G3456*100)-I3456, X))))</f>
        <v/>
      </c>
      <c r="N3456" s="78">
        <f>IF(ISBLANK(L3456),"",IF(AND(C3456="Sell",D3456="Stock"),M3456,IF(ISBLANK(L3456),"",IF(C3456="Buy",M3456, IF(AND(C3456="Sell",J3456="NA"),(E3456*G3456*100*0.1)+I3456, IF(C3456="Sell",(J3456-L3456)*(100*G3456)+I3456))))))</f>
        <v/>
      </c>
      <c r="O3456" s="75" t="n"/>
      <c r="P3456" s="75" t="n"/>
      <c r="Q3456" s="75">
        <f>IF(ISBLANK(P3456),"",IF(D3456="Stock",P3456*G3456,IF(P3456=0,"0",G3456*P3456*100-(G3456*$AF$14))))</f>
        <v/>
      </c>
      <c r="R3456" s="79">
        <f>IF(P3456&lt;&gt;"", TODAY(), "")</f>
        <v/>
      </c>
      <c r="S3456" s="78">
        <f>IF(AND(K3456&lt;&gt;"", R3456&lt;&gt;""), R3456-K3456, "")</f>
        <v/>
      </c>
      <c r="T3456" s="78" t="n"/>
      <c r="U3456" s="92">
        <f>IF(ISBLANK(P3456),"",IF(C3456="Buy",Q3456-M3456+T3456, IF(C3456="Sell",M3456-Q3456-T3456, X)))</f>
        <v/>
      </c>
      <c r="V3456" s="81">
        <f>IF(ISBLANK(P3456),"",U3456/N3456)</f>
        <v/>
      </c>
      <c r="W3456" s="81">
        <f>IF(ISBLANK(P3456),"",IF(S3456=0,(365/0.5)*V3456,(365/S3456)*V3456))</f>
        <v/>
      </c>
      <c r="X3456" s="75" t="n"/>
      <c r="Y3456" s="77" t="n"/>
      <c r="Z3456" s="77" t="n"/>
      <c r="AA3456" s="75" t="n"/>
      <c r="AB3456" s="75" t="n"/>
      <c r="AC3456" s="6" t="n"/>
      <c r="AD3456" s="75" t="n"/>
      <c r="AE3456" s="75" t="n"/>
      <c r="AF3456" s="75" t="n"/>
    </row>
    <row r="3457" ht="15.75" customHeight="1" s="133">
      <c r="A3457" s="75" t="n"/>
      <c r="B3457" s="75" t="n"/>
      <c r="C3457" s="75" t="n"/>
      <c r="D3457" s="75" t="n"/>
      <c r="E3457" s="76" t="n"/>
      <c r="F3457" s="77" t="n"/>
      <c r="G3457" s="75" t="n"/>
      <c r="H3457" s="75">
        <f>IF(ISBLANK(E3457),"",IF(OR(D3457="Butterfly",D3457="Butterfly ",D3457="Iron Fly", D3457="Iron Fly "),LEN(E3457)-LEN(SUBSTITUTE(E3457,"/",""))+2,LEN(E3457)-LEN(SUBSTITUTE(E3457,"/",""))+1))</f>
        <v/>
      </c>
      <c r="I3457" s="78">
        <f>IF(ISBLANK(G3457),"",IF(D3457="Stock","0",Key!$A$3*H3457*G3457))</f>
        <v/>
      </c>
      <c r="J3457" s="78">
        <f>IF(ISBLANK(E3457),"",IF(ISNUMBER(SEARCH("/",E3457)), IF(LEN(E3457)-LEN(SUBSTITUTE(E3457,"/",""))=1,(RIGHT(E3457,LEN(E3457)-FIND("/",E3457)))-(LEFT(E3457,FIND("/",E3457)-1)),(MID(E3457, SEARCH("/",E3457) + 1, SEARCH("/",E3457, SEARCH("/",E3457)+1) - SEARCH("/",E3457) - 1))-(LEFT(E3457,FIND("/",E3457)-1))), "NA"))</f>
        <v/>
      </c>
      <c r="K3457" s="79">
        <f>IF(A3457&lt;&gt;"", IF(ISBLANK(L3457), TODAY(), K3457), "")</f>
        <v/>
      </c>
      <c r="L3457" s="78" t="n"/>
      <c r="M3457" s="78">
        <f>IF(ISBLANK(L3457),"",IF(D3457="Stock",IF(C3457="Buy",L3457*G3457,IF(C3457="Sell",(L3457*G3457)-I3457, X)),IF(C3457="Buy",(L3457*G3457*100)+I3457,IF(C3457="Sell",(L3457*G3457*100)-I3457, X))))</f>
        <v/>
      </c>
      <c r="N3457" s="78">
        <f>IF(ISBLANK(L3457),"",IF(AND(C3457="Sell",D3457="Stock"),M3457,IF(ISBLANK(L3457),"",IF(C3457="Buy",M3457, IF(AND(C3457="Sell",J3457="NA"),(E3457*G3457*100*0.1)+I3457, IF(C3457="Sell",(J3457-L3457)*(100*G3457)+I3457))))))</f>
        <v/>
      </c>
      <c r="O3457" s="75" t="n"/>
      <c r="P3457" s="75" t="n"/>
      <c r="Q3457" s="75">
        <f>IF(ISBLANK(P3457),"",IF(D3457="Stock",P3457*G3457,IF(P3457=0,"0",G3457*P3457*100-(G3457*$AF$14))))</f>
        <v/>
      </c>
      <c r="R3457" s="79">
        <f>IF(P3457&lt;&gt;"", TODAY(), "")</f>
        <v/>
      </c>
      <c r="S3457" s="78">
        <f>IF(AND(K3457&lt;&gt;"", R3457&lt;&gt;""), R3457-K3457, "")</f>
        <v/>
      </c>
      <c r="T3457" s="78" t="n"/>
      <c r="U3457" s="92">
        <f>IF(ISBLANK(P3457),"",IF(C3457="Buy",Q3457-M3457+T3457, IF(C3457="Sell",M3457-Q3457-T3457, X)))</f>
        <v/>
      </c>
      <c r="V3457" s="81">
        <f>IF(ISBLANK(P3457),"",U3457/N3457)</f>
        <v/>
      </c>
      <c r="W3457" s="81">
        <f>IF(ISBLANK(P3457),"",IF(S3457=0,(365/0.5)*V3457,(365/S3457)*V3457))</f>
        <v/>
      </c>
      <c r="X3457" s="75" t="n"/>
      <c r="Y3457" s="77" t="n"/>
      <c r="Z3457" s="77" t="n"/>
      <c r="AA3457" s="75" t="n"/>
      <c r="AB3457" s="75" t="n"/>
      <c r="AC3457" s="6" t="n"/>
      <c r="AD3457" s="75" t="n"/>
      <c r="AE3457" s="75" t="n"/>
      <c r="AF3457" s="75" t="n"/>
    </row>
    <row r="3458" ht="15.75" customHeight="1" s="133">
      <c r="A3458" s="75" t="n"/>
      <c r="B3458" s="75" t="n"/>
      <c r="C3458" s="75" t="n"/>
      <c r="D3458" s="75" t="n"/>
      <c r="E3458" s="76" t="n"/>
      <c r="F3458" s="77" t="n"/>
      <c r="G3458" s="75" t="n"/>
      <c r="H3458" s="75">
        <f>IF(ISBLANK(E3458),"",IF(OR(D3458="Butterfly",D3458="Butterfly ",D3458="Iron Fly", D3458="Iron Fly "),LEN(E3458)-LEN(SUBSTITUTE(E3458,"/",""))+2,LEN(E3458)-LEN(SUBSTITUTE(E3458,"/",""))+1))</f>
        <v/>
      </c>
      <c r="I3458" s="78">
        <f>IF(ISBLANK(G3458),"",IF(D3458="Stock","0",Key!$A$3*H3458*G3458))</f>
        <v/>
      </c>
      <c r="J3458" s="78">
        <f>IF(ISBLANK(E3458),"",IF(ISNUMBER(SEARCH("/",E3458)), IF(LEN(E3458)-LEN(SUBSTITUTE(E3458,"/",""))=1,(RIGHT(E3458,LEN(E3458)-FIND("/",E3458)))-(LEFT(E3458,FIND("/",E3458)-1)),(MID(E3458, SEARCH("/",E3458) + 1, SEARCH("/",E3458, SEARCH("/",E3458)+1) - SEARCH("/",E3458) - 1))-(LEFT(E3458,FIND("/",E3458)-1))), "NA"))</f>
        <v/>
      </c>
      <c r="K3458" s="79">
        <f>IF(A3458&lt;&gt;"", IF(ISBLANK(L3458), TODAY(), K3458), "")</f>
        <v/>
      </c>
      <c r="L3458" s="78" t="n"/>
      <c r="M3458" s="78">
        <f>IF(ISBLANK(L3458),"",IF(D3458="Stock",IF(C3458="Buy",L3458*G3458,IF(C3458="Sell",(L3458*G3458)-I3458, X)),IF(C3458="Buy",(L3458*G3458*100)+I3458,IF(C3458="Sell",(L3458*G3458*100)-I3458, X))))</f>
        <v/>
      </c>
      <c r="N3458" s="78">
        <f>IF(ISBLANK(L3458),"",IF(AND(C3458="Sell",D3458="Stock"),M3458,IF(ISBLANK(L3458),"",IF(C3458="Buy",M3458, IF(AND(C3458="Sell",J3458="NA"),(E3458*G3458*100*0.1)+I3458, IF(C3458="Sell",(J3458-L3458)*(100*G3458)+I3458))))))</f>
        <v/>
      </c>
      <c r="O3458" s="75" t="n"/>
      <c r="P3458" s="75" t="n"/>
      <c r="Q3458" s="75">
        <f>IF(ISBLANK(P3458),"",IF(D3458="Stock",P3458*G3458,IF(P3458=0,"0",G3458*P3458*100-(G3458*$AF$14))))</f>
        <v/>
      </c>
      <c r="R3458" s="79">
        <f>IF(P3458&lt;&gt;"", TODAY(), "")</f>
        <v/>
      </c>
      <c r="S3458" s="78">
        <f>IF(AND(K3458&lt;&gt;"", R3458&lt;&gt;""), R3458-K3458, "")</f>
        <v/>
      </c>
      <c r="T3458" s="78" t="n"/>
      <c r="U3458" s="92">
        <f>IF(ISBLANK(P3458),"",IF(C3458="Buy",Q3458-M3458+T3458, IF(C3458="Sell",M3458-Q3458-T3458, X)))</f>
        <v/>
      </c>
      <c r="V3458" s="81">
        <f>IF(ISBLANK(P3458),"",U3458/N3458)</f>
        <v/>
      </c>
      <c r="W3458" s="81">
        <f>IF(ISBLANK(P3458),"",IF(S3458=0,(365/0.5)*V3458,(365/S3458)*V3458))</f>
        <v/>
      </c>
      <c r="X3458" s="75" t="n"/>
      <c r="Y3458" s="77" t="n"/>
      <c r="Z3458" s="77" t="n"/>
      <c r="AA3458" s="75" t="n"/>
      <c r="AB3458" s="75" t="n"/>
      <c r="AC3458" s="6" t="n"/>
      <c r="AD3458" s="75" t="n"/>
      <c r="AE3458" s="75" t="n"/>
      <c r="AF3458" s="75" t="n"/>
    </row>
    <row r="3459" ht="15.75" customHeight="1" s="133">
      <c r="A3459" s="75" t="n"/>
      <c r="B3459" s="75" t="n"/>
      <c r="C3459" s="75" t="n"/>
      <c r="D3459" s="75" t="n"/>
      <c r="E3459" s="76" t="n"/>
      <c r="F3459" s="77" t="n"/>
      <c r="G3459" s="75" t="n"/>
      <c r="H3459" s="75">
        <f>IF(ISBLANK(E3459),"",IF(OR(D3459="Butterfly",D3459="Butterfly ",D3459="Iron Fly", D3459="Iron Fly "),LEN(E3459)-LEN(SUBSTITUTE(E3459,"/",""))+2,LEN(E3459)-LEN(SUBSTITUTE(E3459,"/",""))+1))</f>
        <v/>
      </c>
      <c r="I3459" s="78">
        <f>IF(ISBLANK(G3459),"",IF(D3459="Stock","0",Key!$A$3*H3459*G3459))</f>
        <v/>
      </c>
      <c r="J3459" s="78">
        <f>IF(ISBLANK(E3459),"",IF(ISNUMBER(SEARCH("/",E3459)), IF(LEN(E3459)-LEN(SUBSTITUTE(E3459,"/",""))=1,(RIGHT(E3459,LEN(E3459)-FIND("/",E3459)))-(LEFT(E3459,FIND("/",E3459)-1)),(MID(E3459, SEARCH("/",E3459) + 1, SEARCH("/",E3459, SEARCH("/",E3459)+1) - SEARCH("/",E3459) - 1))-(LEFT(E3459,FIND("/",E3459)-1))), "NA"))</f>
        <v/>
      </c>
      <c r="K3459" s="79">
        <f>IF(A3459&lt;&gt;"", IF(ISBLANK(L3459), TODAY(), K3459), "")</f>
        <v/>
      </c>
      <c r="L3459" s="78" t="n"/>
      <c r="M3459" s="78">
        <f>IF(ISBLANK(L3459),"",IF(D3459="Stock",IF(C3459="Buy",L3459*G3459,IF(C3459="Sell",(L3459*G3459)-I3459, X)),IF(C3459="Buy",(L3459*G3459*100)+I3459,IF(C3459="Sell",(L3459*G3459*100)-I3459, X))))</f>
        <v/>
      </c>
      <c r="N3459" s="78">
        <f>IF(ISBLANK(L3459),"",IF(AND(C3459="Sell",D3459="Stock"),M3459,IF(ISBLANK(L3459),"",IF(C3459="Buy",M3459, IF(AND(C3459="Sell",J3459="NA"),(E3459*G3459*100*0.1)+I3459, IF(C3459="Sell",(J3459-L3459)*(100*G3459)+I3459))))))</f>
        <v/>
      </c>
      <c r="O3459" s="75" t="n"/>
      <c r="P3459" s="75" t="n"/>
      <c r="Q3459" s="75">
        <f>IF(ISBLANK(P3459),"",IF(D3459="Stock",P3459*G3459,IF(P3459=0,"0",G3459*P3459*100-(G3459*$AF$14))))</f>
        <v/>
      </c>
      <c r="R3459" s="79">
        <f>IF(P3459&lt;&gt;"", TODAY(), "")</f>
        <v/>
      </c>
      <c r="S3459" s="78">
        <f>IF(AND(K3459&lt;&gt;"", R3459&lt;&gt;""), R3459-K3459, "")</f>
        <v/>
      </c>
      <c r="T3459" s="78" t="n"/>
      <c r="U3459" s="92">
        <f>IF(ISBLANK(P3459),"",IF(C3459="Buy",Q3459-M3459+T3459, IF(C3459="Sell",M3459-Q3459-T3459, X)))</f>
        <v/>
      </c>
      <c r="V3459" s="81">
        <f>IF(ISBLANK(P3459),"",U3459/N3459)</f>
        <v/>
      </c>
      <c r="W3459" s="81">
        <f>IF(ISBLANK(P3459),"",IF(S3459=0,(365/0.5)*V3459,(365/S3459)*V3459))</f>
        <v/>
      </c>
      <c r="X3459" s="75" t="n"/>
      <c r="Y3459" s="77" t="n"/>
      <c r="Z3459" s="77" t="n"/>
      <c r="AA3459" s="75" t="n"/>
      <c r="AB3459" s="75" t="n"/>
      <c r="AC3459" s="6" t="n"/>
      <c r="AD3459" s="75" t="n"/>
      <c r="AE3459" s="75" t="n"/>
      <c r="AF3459" s="75" t="n"/>
    </row>
    <row r="3460" ht="15.75" customHeight="1" s="133">
      <c r="A3460" s="75" t="n"/>
      <c r="B3460" s="75" t="n"/>
      <c r="C3460" s="75" t="n"/>
      <c r="D3460" s="75" t="n"/>
      <c r="E3460" s="76" t="n"/>
      <c r="F3460" s="77" t="n"/>
      <c r="G3460" s="75" t="n"/>
      <c r="H3460" s="75">
        <f>IF(ISBLANK(E3460),"",IF(OR(D3460="Butterfly",D3460="Butterfly ",D3460="Iron Fly", D3460="Iron Fly "),LEN(E3460)-LEN(SUBSTITUTE(E3460,"/",""))+2,LEN(E3460)-LEN(SUBSTITUTE(E3460,"/",""))+1))</f>
        <v/>
      </c>
      <c r="I3460" s="78">
        <f>IF(ISBLANK(G3460),"",IF(D3460="Stock","0",Key!$A$3*H3460*G3460))</f>
        <v/>
      </c>
      <c r="J3460" s="78">
        <f>IF(ISBLANK(E3460),"",IF(ISNUMBER(SEARCH("/",E3460)), IF(LEN(E3460)-LEN(SUBSTITUTE(E3460,"/",""))=1,(RIGHT(E3460,LEN(E3460)-FIND("/",E3460)))-(LEFT(E3460,FIND("/",E3460)-1)),(MID(E3460, SEARCH("/",E3460) + 1, SEARCH("/",E3460, SEARCH("/",E3460)+1) - SEARCH("/",E3460) - 1))-(LEFT(E3460,FIND("/",E3460)-1))), "NA"))</f>
        <v/>
      </c>
      <c r="K3460" s="79">
        <f>IF(A3460&lt;&gt;"", IF(ISBLANK(L3460), TODAY(), K3460), "")</f>
        <v/>
      </c>
      <c r="L3460" s="78" t="n"/>
      <c r="M3460" s="78">
        <f>IF(ISBLANK(L3460),"",IF(D3460="Stock",IF(C3460="Buy",L3460*G3460,IF(C3460="Sell",(L3460*G3460)-I3460, X)),IF(C3460="Buy",(L3460*G3460*100)+I3460,IF(C3460="Sell",(L3460*G3460*100)-I3460, X))))</f>
        <v/>
      </c>
      <c r="N3460" s="78">
        <f>IF(ISBLANK(L3460),"",IF(AND(C3460="Sell",D3460="Stock"),M3460,IF(ISBLANK(L3460),"",IF(C3460="Buy",M3460, IF(AND(C3460="Sell",J3460="NA"),(E3460*G3460*100*0.1)+I3460, IF(C3460="Sell",(J3460-L3460)*(100*G3460)+I3460))))))</f>
        <v/>
      </c>
      <c r="O3460" s="75" t="n"/>
      <c r="P3460" s="75" t="n"/>
      <c r="Q3460" s="75">
        <f>IF(ISBLANK(P3460),"",IF(D3460="Stock",P3460*G3460,IF(P3460=0,"0",G3460*P3460*100-(G3460*$AF$14))))</f>
        <v/>
      </c>
      <c r="R3460" s="79">
        <f>IF(P3460&lt;&gt;"", TODAY(), "")</f>
        <v/>
      </c>
      <c r="S3460" s="78">
        <f>IF(AND(K3460&lt;&gt;"", R3460&lt;&gt;""), R3460-K3460, "")</f>
        <v/>
      </c>
      <c r="T3460" s="78" t="n"/>
      <c r="U3460" s="92">
        <f>IF(ISBLANK(P3460),"",IF(C3460="Buy",Q3460-M3460+T3460, IF(C3460="Sell",M3460-Q3460-T3460, X)))</f>
        <v/>
      </c>
      <c r="V3460" s="81">
        <f>IF(ISBLANK(P3460),"",U3460/N3460)</f>
        <v/>
      </c>
      <c r="W3460" s="81">
        <f>IF(ISBLANK(P3460),"",IF(S3460=0,(365/0.5)*V3460,(365/S3460)*V3460))</f>
        <v/>
      </c>
      <c r="X3460" s="75" t="n"/>
      <c r="Y3460" s="77" t="n"/>
      <c r="Z3460" s="77" t="n"/>
      <c r="AA3460" s="75" t="n"/>
      <c r="AB3460" s="75" t="n"/>
      <c r="AC3460" s="6" t="n"/>
      <c r="AD3460" s="75" t="n"/>
      <c r="AE3460" s="75" t="n"/>
      <c r="AF3460" s="75" t="n"/>
    </row>
    <row r="3461" ht="15.75" customHeight="1" s="133">
      <c r="A3461" s="75" t="n"/>
      <c r="B3461" s="75" t="n"/>
      <c r="C3461" s="75" t="n"/>
      <c r="D3461" s="75" t="n"/>
      <c r="E3461" s="76" t="n"/>
      <c r="F3461" s="77" t="n"/>
      <c r="G3461" s="75" t="n"/>
      <c r="H3461" s="75">
        <f>IF(ISBLANK(E3461),"",IF(OR(D3461="Butterfly",D3461="Butterfly ",D3461="Iron Fly", D3461="Iron Fly "),LEN(E3461)-LEN(SUBSTITUTE(E3461,"/",""))+2,LEN(E3461)-LEN(SUBSTITUTE(E3461,"/",""))+1))</f>
        <v/>
      </c>
      <c r="I3461" s="78">
        <f>IF(ISBLANK(G3461),"",IF(D3461="Stock","0",Key!$A$3*H3461*G3461))</f>
        <v/>
      </c>
      <c r="J3461" s="78">
        <f>IF(ISBLANK(E3461),"",IF(ISNUMBER(SEARCH("/",E3461)), IF(LEN(E3461)-LEN(SUBSTITUTE(E3461,"/",""))=1,(RIGHT(E3461,LEN(E3461)-FIND("/",E3461)))-(LEFT(E3461,FIND("/",E3461)-1)),(MID(E3461, SEARCH("/",E3461) + 1, SEARCH("/",E3461, SEARCH("/",E3461)+1) - SEARCH("/",E3461) - 1))-(LEFT(E3461,FIND("/",E3461)-1))), "NA"))</f>
        <v/>
      </c>
      <c r="K3461" s="79">
        <f>IF(A3461&lt;&gt;"", IF(ISBLANK(L3461), TODAY(), K3461), "")</f>
        <v/>
      </c>
      <c r="L3461" s="78" t="n"/>
      <c r="M3461" s="78">
        <f>IF(ISBLANK(L3461),"",IF(D3461="Stock",IF(C3461="Buy",L3461*G3461,IF(C3461="Sell",(L3461*G3461)-I3461, X)),IF(C3461="Buy",(L3461*G3461*100)+I3461,IF(C3461="Sell",(L3461*G3461*100)-I3461, X))))</f>
        <v/>
      </c>
      <c r="N3461" s="78">
        <f>IF(ISBLANK(L3461),"",IF(AND(C3461="Sell",D3461="Stock"),M3461,IF(ISBLANK(L3461),"",IF(C3461="Buy",M3461, IF(AND(C3461="Sell",J3461="NA"),(E3461*G3461*100*0.1)+I3461, IF(C3461="Sell",(J3461-L3461)*(100*G3461)+I3461))))))</f>
        <v/>
      </c>
      <c r="O3461" s="75" t="n"/>
      <c r="P3461" s="75" t="n"/>
      <c r="Q3461" s="75">
        <f>IF(ISBLANK(P3461),"",IF(D3461="Stock",P3461*G3461,IF(P3461=0,"0",G3461*P3461*100-(G3461*$AF$14))))</f>
        <v/>
      </c>
      <c r="R3461" s="79">
        <f>IF(P3461&lt;&gt;"", TODAY(), "")</f>
        <v/>
      </c>
      <c r="S3461" s="78">
        <f>IF(AND(K3461&lt;&gt;"", R3461&lt;&gt;""), R3461-K3461, "")</f>
        <v/>
      </c>
      <c r="T3461" s="78" t="n"/>
      <c r="U3461" s="92">
        <f>IF(ISBLANK(P3461),"",IF(C3461="Buy",Q3461-M3461+T3461, IF(C3461="Sell",M3461-Q3461-T3461, X)))</f>
        <v/>
      </c>
      <c r="V3461" s="81">
        <f>IF(ISBLANK(P3461),"",U3461/N3461)</f>
        <v/>
      </c>
      <c r="W3461" s="81">
        <f>IF(ISBLANK(P3461),"",IF(S3461=0,(365/0.5)*V3461,(365/S3461)*V3461))</f>
        <v/>
      </c>
      <c r="X3461" s="75" t="n"/>
      <c r="Y3461" s="77" t="n"/>
      <c r="Z3461" s="77" t="n"/>
      <c r="AA3461" s="75" t="n"/>
      <c r="AB3461" s="75" t="n"/>
      <c r="AC3461" s="6" t="n"/>
      <c r="AD3461" s="75" t="n"/>
      <c r="AE3461" s="75" t="n"/>
      <c r="AF3461" s="75" t="n"/>
    </row>
    <row r="3462" ht="15.75" customHeight="1" s="133">
      <c r="A3462" s="75" t="n"/>
      <c r="B3462" s="75" t="n"/>
      <c r="C3462" s="75" t="n"/>
      <c r="D3462" s="75" t="n"/>
      <c r="E3462" s="76" t="n"/>
      <c r="F3462" s="77" t="n"/>
      <c r="G3462" s="75" t="n"/>
      <c r="H3462" s="75">
        <f>IF(ISBLANK(E3462),"",IF(OR(D3462="Butterfly",D3462="Butterfly ",D3462="Iron Fly", D3462="Iron Fly "),LEN(E3462)-LEN(SUBSTITUTE(E3462,"/",""))+2,LEN(E3462)-LEN(SUBSTITUTE(E3462,"/",""))+1))</f>
        <v/>
      </c>
      <c r="I3462" s="78">
        <f>IF(ISBLANK(G3462),"",IF(D3462="Stock","0",Key!$A$3*H3462*G3462))</f>
        <v/>
      </c>
      <c r="J3462" s="78">
        <f>IF(ISBLANK(E3462),"",IF(ISNUMBER(SEARCH("/",E3462)), IF(LEN(E3462)-LEN(SUBSTITUTE(E3462,"/",""))=1,(RIGHT(E3462,LEN(E3462)-FIND("/",E3462)))-(LEFT(E3462,FIND("/",E3462)-1)),(MID(E3462, SEARCH("/",E3462) + 1, SEARCH("/",E3462, SEARCH("/",E3462)+1) - SEARCH("/",E3462) - 1))-(LEFT(E3462,FIND("/",E3462)-1))), "NA"))</f>
        <v/>
      </c>
      <c r="K3462" s="79">
        <f>IF(A3462&lt;&gt;"", IF(ISBLANK(L3462), TODAY(), K3462), "")</f>
        <v/>
      </c>
      <c r="L3462" s="78" t="n"/>
      <c r="M3462" s="78">
        <f>IF(ISBLANK(L3462),"",IF(D3462="Stock",IF(C3462="Buy",L3462*G3462,IF(C3462="Sell",(L3462*G3462)-I3462, X)),IF(C3462="Buy",(L3462*G3462*100)+I3462,IF(C3462="Sell",(L3462*G3462*100)-I3462, X))))</f>
        <v/>
      </c>
      <c r="N3462" s="78">
        <f>IF(ISBLANK(L3462),"",IF(AND(C3462="Sell",D3462="Stock"),M3462,IF(ISBLANK(L3462),"",IF(C3462="Buy",M3462, IF(AND(C3462="Sell",J3462="NA"),(E3462*G3462*100*0.1)+I3462, IF(C3462="Sell",(J3462-L3462)*(100*G3462)+I3462))))))</f>
        <v/>
      </c>
      <c r="O3462" s="75" t="n"/>
      <c r="P3462" s="75" t="n"/>
      <c r="Q3462" s="75">
        <f>IF(ISBLANK(P3462),"",IF(D3462="Stock",P3462*G3462,IF(P3462=0,"0",G3462*P3462*100-(G3462*$AF$14))))</f>
        <v/>
      </c>
      <c r="R3462" s="79">
        <f>IF(P3462&lt;&gt;"", TODAY(), "")</f>
        <v/>
      </c>
      <c r="S3462" s="78">
        <f>IF(AND(K3462&lt;&gt;"", R3462&lt;&gt;""), R3462-K3462, "")</f>
        <v/>
      </c>
      <c r="T3462" s="78" t="n"/>
      <c r="U3462" s="92">
        <f>IF(ISBLANK(P3462),"",IF(C3462="Buy",Q3462-M3462+T3462, IF(C3462="Sell",M3462-Q3462-T3462, X)))</f>
        <v/>
      </c>
      <c r="V3462" s="81">
        <f>IF(ISBLANK(P3462),"",U3462/N3462)</f>
        <v/>
      </c>
      <c r="W3462" s="81">
        <f>IF(ISBLANK(P3462),"",IF(S3462=0,(365/0.5)*V3462,(365/S3462)*V3462))</f>
        <v/>
      </c>
      <c r="X3462" s="75" t="n"/>
      <c r="Y3462" s="77" t="n"/>
      <c r="Z3462" s="77" t="n"/>
      <c r="AA3462" s="75" t="n"/>
      <c r="AB3462" s="75" t="n"/>
      <c r="AC3462" s="6" t="n"/>
      <c r="AD3462" s="75" t="n"/>
      <c r="AE3462" s="75" t="n"/>
      <c r="AF3462" s="75" t="n"/>
    </row>
    <row r="3463" ht="15.75" customHeight="1" s="133">
      <c r="A3463" s="75" t="n"/>
      <c r="B3463" s="75" t="n"/>
      <c r="C3463" s="75" t="n"/>
      <c r="D3463" s="75" t="n"/>
      <c r="E3463" s="76" t="n"/>
      <c r="F3463" s="77" t="n"/>
      <c r="G3463" s="75" t="n"/>
      <c r="H3463" s="75">
        <f>IF(ISBLANK(E3463),"",IF(OR(D3463="Butterfly",D3463="Butterfly ",D3463="Iron Fly", D3463="Iron Fly "),LEN(E3463)-LEN(SUBSTITUTE(E3463,"/",""))+2,LEN(E3463)-LEN(SUBSTITUTE(E3463,"/",""))+1))</f>
        <v/>
      </c>
      <c r="I3463" s="78">
        <f>IF(ISBLANK(G3463),"",IF(D3463="Stock","0",Key!$A$3*H3463*G3463))</f>
        <v/>
      </c>
      <c r="J3463" s="78">
        <f>IF(ISBLANK(E3463),"",IF(ISNUMBER(SEARCH("/",E3463)), IF(LEN(E3463)-LEN(SUBSTITUTE(E3463,"/",""))=1,(RIGHT(E3463,LEN(E3463)-FIND("/",E3463)))-(LEFT(E3463,FIND("/",E3463)-1)),(MID(E3463, SEARCH("/",E3463) + 1, SEARCH("/",E3463, SEARCH("/",E3463)+1) - SEARCH("/",E3463) - 1))-(LEFT(E3463,FIND("/",E3463)-1))), "NA"))</f>
        <v/>
      </c>
      <c r="K3463" s="79">
        <f>IF(A3463&lt;&gt;"", IF(ISBLANK(L3463), TODAY(), K3463), "")</f>
        <v/>
      </c>
      <c r="L3463" s="78" t="n"/>
      <c r="M3463" s="78">
        <f>IF(ISBLANK(L3463),"",IF(D3463="Stock",IF(C3463="Buy",L3463*G3463,IF(C3463="Sell",(L3463*G3463)-I3463, X)),IF(C3463="Buy",(L3463*G3463*100)+I3463,IF(C3463="Sell",(L3463*G3463*100)-I3463, X))))</f>
        <v/>
      </c>
      <c r="N3463" s="78">
        <f>IF(ISBLANK(L3463),"",IF(AND(C3463="Sell",D3463="Stock"),M3463,IF(ISBLANK(L3463),"",IF(C3463="Buy",M3463, IF(AND(C3463="Sell",J3463="NA"),(E3463*G3463*100*0.1)+I3463, IF(C3463="Sell",(J3463-L3463)*(100*G3463)+I3463))))))</f>
        <v/>
      </c>
      <c r="O3463" s="75" t="n"/>
      <c r="P3463" s="75" t="n"/>
      <c r="Q3463" s="75">
        <f>IF(ISBLANK(P3463),"",IF(D3463="Stock",P3463*G3463,IF(P3463=0,"0",G3463*P3463*100-(G3463*$AF$14))))</f>
        <v/>
      </c>
      <c r="R3463" s="79">
        <f>IF(P3463&lt;&gt;"", TODAY(), "")</f>
        <v/>
      </c>
      <c r="S3463" s="78">
        <f>IF(AND(K3463&lt;&gt;"", R3463&lt;&gt;""), R3463-K3463, "")</f>
        <v/>
      </c>
      <c r="T3463" s="78" t="n"/>
      <c r="U3463" s="92">
        <f>IF(ISBLANK(P3463),"",IF(C3463="Buy",Q3463-M3463+T3463, IF(C3463="Sell",M3463-Q3463-T3463, X)))</f>
        <v/>
      </c>
      <c r="V3463" s="81">
        <f>IF(ISBLANK(P3463),"",U3463/N3463)</f>
        <v/>
      </c>
      <c r="W3463" s="81">
        <f>IF(ISBLANK(P3463),"",IF(S3463=0,(365/0.5)*V3463,(365/S3463)*V3463))</f>
        <v/>
      </c>
      <c r="X3463" s="75" t="n"/>
      <c r="Y3463" s="77" t="n"/>
      <c r="Z3463" s="77" t="n"/>
      <c r="AA3463" s="75" t="n"/>
      <c r="AB3463" s="75" t="n"/>
      <c r="AC3463" s="6" t="n"/>
      <c r="AD3463" s="75" t="n"/>
      <c r="AE3463" s="75" t="n"/>
      <c r="AF3463" s="75" t="n"/>
    </row>
    <row r="3464" ht="15.75" customHeight="1" s="133">
      <c r="A3464" s="75" t="n"/>
      <c r="B3464" s="75" t="n"/>
      <c r="C3464" s="75" t="n"/>
      <c r="D3464" s="75" t="n"/>
      <c r="E3464" s="76" t="n"/>
      <c r="F3464" s="77" t="n"/>
      <c r="G3464" s="75" t="n"/>
      <c r="H3464" s="75">
        <f>IF(ISBLANK(E3464),"",IF(OR(D3464="Butterfly",D3464="Butterfly ",D3464="Iron Fly", D3464="Iron Fly "),LEN(E3464)-LEN(SUBSTITUTE(E3464,"/",""))+2,LEN(E3464)-LEN(SUBSTITUTE(E3464,"/",""))+1))</f>
        <v/>
      </c>
      <c r="I3464" s="78">
        <f>IF(ISBLANK(G3464),"",IF(D3464="Stock","0",Key!$A$3*H3464*G3464))</f>
        <v/>
      </c>
      <c r="J3464" s="78">
        <f>IF(ISBLANK(E3464),"",IF(ISNUMBER(SEARCH("/",E3464)), IF(LEN(E3464)-LEN(SUBSTITUTE(E3464,"/",""))=1,(RIGHT(E3464,LEN(E3464)-FIND("/",E3464)))-(LEFT(E3464,FIND("/",E3464)-1)),(MID(E3464, SEARCH("/",E3464) + 1, SEARCH("/",E3464, SEARCH("/",E3464)+1) - SEARCH("/",E3464) - 1))-(LEFT(E3464,FIND("/",E3464)-1))), "NA"))</f>
        <v/>
      </c>
      <c r="K3464" s="79">
        <f>IF(A3464&lt;&gt;"", IF(ISBLANK(L3464), TODAY(), K3464), "")</f>
        <v/>
      </c>
      <c r="L3464" s="78" t="n"/>
      <c r="M3464" s="78">
        <f>IF(ISBLANK(L3464),"",IF(D3464="Stock",IF(C3464="Buy",L3464*G3464,IF(C3464="Sell",(L3464*G3464)-I3464, X)),IF(C3464="Buy",(L3464*G3464*100)+I3464,IF(C3464="Sell",(L3464*G3464*100)-I3464, X))))</f>
        <v/>
      </c>
      <c r="N3464" s="78">
        <f>IF(ISBLANK(L3464),"",IF(AND(C3464="Sell",D3464="Stock"),M3464,IF(ISBLANK(L3464),"",IF(C3464="Buy",M3464, IF(AND(C3464="Sell",J3464="NA"),(E3464*G3464*100*0.1)+I3464, IF(C3464="Sell",(J3464-L3464)*(100*G3464)+I3464))))))</f>
        <v/>
      </c>
      <c r="O3464" s="75" t="n"/>
      <c r="P3464" s="75" t="n"/>
      <c r="Q3464" s="75">
        <f>IF(ISBLANK(P3464),"",IF(D3464="Stock",P3464*G3464,IF(P3464=0,"0",G3464*P3464*100-(G3464*$AF$14))))</f>
        <v/>
      </c>
      <c r="R3464" s="79">
        <f>IF(P3464&lt;&gt;"", TODAY(), "")</f>
        <v/>
      </c>
      <c r="S3464" s="78">
        <f>IF(AND(K3464&lt;&gt;"", R3464&lt;&gt;""), R3464-K3464, "")</f>
        <v/>
      </c>
      <c r="T3464" s="78" t="n"/>
      <c r="U3464" s="92">
        <f>IF(ISBLANK(P3464),"",IF(C3464="Buy",Q3464-M3464+T3464, IF(C3464="Sell",M3464-Q3464-T3464, X)))</f>
        <v/>
      </c>
      <c r="V3464" s="81">
        <f>IF(ISBLANK(P3464),"",U3464/N3464)</f>
        <v/>
      </c>
      <c r="W3464" s="81">
        <f>IF(ISBLANK(P3464),"",IF(S3464=0,(365/0.5)*V3464,(365/S3464)*V3464))</f>
        <v/>
      </c>
      <c r="X3464" s="75" t="n"/>
      <c r="Y3464" s="77" t="n"/>
      <c r="Z3464" s="77" t="n"/>
      <c r="AA3464" s="75" t="n"/>
      <c r="AB3464" s="75" t="n"/>
      <c r="AC3464" s="6" t="n"/>
      <c r="AD3464" s="75" t="n"/>
      <c r="AE3464" s="75" t="n"/>
      <c r="AF3464" s="75" t="n"/>
    </row>
    <row r="3465" ht="15.75" customHeight="1" s="133">
      <c r="A3465" s="75" t="n"/>
      <c r="B3465" s="75" t="n"/>
      <c r="C3465" s="75" t="n"/>
      <c r="D3465" s="75" t="n"/>
      <c r="E3465" s="76" t="n"/>
      <c r="F3465" s="77" t="n"/>
      <c r="G3465" s="75" t="n"/>
      <c r="H3465" s="75">
        <f>IF(ISBLANK(E3465),"",IF(OR(D3465="Butterfly",D3465="Butterfly ",D3465="Iron Fly", D3465="Iron Fly "),LEN(E3465)-LEN(SUBSTITUTE(E3465,"/",""))+2,LEN(E3465)-LEN(SUBSTITUTE(E3465,"/",""))+1))</f>
        <v/>
      </c>
      <c r="I3465" s="78">
        <f>IF(ISBLANK(G3465),"",IF(D3465="Stock","0",Key!$A$3*H3465*G3465))</f>
        <v/>
      </c>
      <c r="J3465" s="78">
        <f>IF(ISBLANK(E3465),"",IF(ISNUMBER(SEARCH("/",E3465)), IF(LEN(E3465)-LEN(SUBSTITUTE(E3465,"/",""))=1,(RIGHT(E3465,LEN(E3465)-FIND("/",E3465)))-(LEFT(E3465,FIND("/",E3465)-1)),(MID(E3465, SEARCH("/",E3465) + 1, SEARCH("/",E3465, SEARCH("/",E3465)+1) - SEARCH("/",E3465) - 1))-(LEFT(E3465,FIND("/",E3465)-1))), "NA"))</f>
        <v/>
      </c>
      <c r="K3465" s="79">
        <f>IF(A3465&lt;&gt;"", IF(ISBLANK(L3465), TODAY(), K3465), "")</f>
        <v/>
      </c>
      <c r="L3465" s="78" t="n"/>
      <c r="M3465" s="78">
        <f>IF(ISBLANK(L3465),"",IF(D3465="Stock",IF(C3465="Buy",L3465*G3465,IF(C3465="Sell",(L3465*G3465)-I3465, X)),IF(C3465="Buy",(L3465*G3465*100)+I3465,IF(C3465="Sell",(L3465*G3465*100)-I3465, X))))</f>
        <v/>
      </c>
      <c r="N3465" s="78">
        <f>IF(ISBLANK(L3465),"",IF(AND(C3465="Sell",D3465="Stock"),M3465,IF(ISBLANK(L3465),"",IF(C3465="Buy",M3465, IF(AND(C3465="Sell",J3465="NA"),(E3465*G3465*100*0.1)+I3465, IF(C3465="Sell",(J3465-L3465)*(100*G3465)+I3465))))))</f>
        <v/>
      </c>
      <c r="O3465" s="75" t="n"/>
      <c r="P3465" s="75" t="n"/>
      <c r="Q3465" s="75">
        <f>IF(ISBLANK(P3465),"",IF(D3465="Stock",P3465*G3465,IF(P3465=0,"0",G3465*P3465*100-(G3465*$AF$14))))</f>
        <v/>
      </c>
      <c r="R3465" s="79">
        <f>IF(P3465&lt;&gt;"", TODAY(), "")</f>
        <v/>
      </c>
      <c r="S3465" s="78">
        <f>IF(AND(K3465&lt;&gt;"", R3465&lt;&gt;""), R3465-K3465, "")</f>
        <v/>
      </c>
      <c r="T3465" s="78" t="n"/>
      <c r="U3465" s="92">
        <f>IF(ISBLANK(P3465),"",IF(C3465="Buy",Q3465-M3465+T3465, IF(C3465="Sell",M3465-Q3465-T3465, X)))</f>
        <v/>
      </c>
      <c r="V3465" s="81">
        <f>IF(ISBLANK(P3465),"",U3465/N3465)</f>
        <v/>
      </c>
      <c r="W3465" s="81">
        <f>IF(ISBLANK(P3465),"",IF(S3465=0,(365/0.5)*V3465,(365/S3465)*V3465))</f>
        <v/>
      </c>
      <c r="X3465" s="75" t="n"/>
      <c r="Y3465" s="77" t="n"/>
      <c r="Z3465" s="77" t="n"/>
      <c r="AA3465" s="75" t="n"/>
      <c r="AB3465" s="75" t="n"/>
      <c r="AC3465" s="6" t="n"/>
      <c r="AD3465" s="75" t="n"/>
      <c r="AE3465" s="75" t="n"/>
      <c r="AF3465" s="75" t="n"/>
    </row>
    <row r="3466" ht="15.75" customHeight="1" s="133">
      <c r="A3466" s="75" t="n"/>
      <c r="B3466" s="75" t="n"/>
      <c r="C3466" s="75" t="n"/>
      <c r="D3466" s="75" t="n"/>
      <c r="E3466" s="76" t="n"/>
      <c r="F3466" s="77" t="n"/>
      <c r="G3466" s="75" t="n"/>
      <c r="H3466" s="75">
        <f>IF(ISBLANK(E3466),"",IF(OR(D3466="Butterfly",D3466="Butterfly ",D3466="Iron Fly", D3466="Iron Fly "),LEN(E3466)-LEN(SUBSTITUTE(E3466,"/",""))+2,LEN(E3466)-LEN(SUBSTITUTE(E3466,"/",""))+1))</f>
        <v/>
      </c>
      <c r="I3466" s="78">
        <f>IF(ISBLANK(G3466),"",IF(D3466="Stock","0",Key!$A$3*H3466*G3466))</f>
        <v/>
      </c>
      <c r="J3466" s="78">
        <f>IF(ISBLANK(E3466),"",IF(ISNUMBER(SEARCH("/",E3466)), IF(LEN(E3466)-LEN(SUBSTITUTE(E3466,"/",""))=1,(RIGHT(E3466,LEN(E3466)-FIND("/",E3466)))-(LEFT(E3466,FIND("/",E3466)-1)),(MID(E3466, SEARCH("/",E3466) + 1, SEARCH("/",E3466, SEARCH("/",E3466)+1) - SEARCH("/",E3466) - 1))-(LEFT(E3466,FIND("/",E3466)-1))), "NA"))</f>
        <v/>
      </c>
      <c r="K3466" s="79">
        <f>IF(A3466&lt;&gt;"", IF(ISBLANK(L3466), TODAY(), K3466), "")</f>
        <v/>
      </c>
      <c r="L3466" s="78" t="n"/>
      <c r="M3466" s="78">
        <f>IF(ISBLANK(L3466),"",IF(D3466="Stock",IF(C3466="Buy",L3466*G3466,IF(C3466="Sell",(L3466*G3466)-I3466, X)),IF(C3466="Buy",(L3466*G3466*100)+I3466,IF(C3466="Sell",(L3466*G3466*100)-I3466, X))))</f>
        <v/>
      </c>
      <c r="N3466" s="78">
        <f>IF(ISBLANK(L3466),"",IF(AND(C3466="Sell",D3466="Stock"),M3466,IF(ISBLANK(L3466),"",IF(C3466="Buy",M3466, IF(AND(C3466="Sell",J3466="NA"),(E3466*G3466*100*0.1)+I3466, IF(C3466="Sell",(J3466-L3466)*(100*G3466)+I3466))))))</f>
        <v/>
      </c>
      <c r="O3466" s="75" t="n"/>
      <c r="P3466" s="75" t="n"/>
      <c r="Q3466" s="75">
        <f>IF(ISBLANK(P3466),"",IF(D3466="Stock",P3466*G3466,IF(P3466=0,"0",G3466*P3466*100-(G3466*$AF$14))))</f>
        <v/>
      </c>
      <c r="R3466" s="79">
        <f>IF(P3466&lt;&gt;"", TODAY(), "")</f>
        <v/>
      </c>
      <c r="S3466" s="78">
        <f>IF(AND(K3466&lt;&gt;"", R3466&lt;&gt;""), R3466-K3466, "")</f>
        <v/>
      </c>
      <c r="T3466" s="78" t="n"/>
      <c r="U3466" s="92">
        <f>IF(ISBLANK(P3466),"",IF(C3466="Buy",Q3466-M3466+T3466, IF(C3466="Sell",M3466-Q3466-T3466, X)))</f>
        <v/>
      </c>
      <c r="V3466" s="81">
        <f>IF(ISBLANK(P3466),"",U3466/N3466)</f>
        <v/>
      </c>
      <c r="W3466" s="81">
        <f>IF(ISBLANK(P3466),"",IF(S3466=0,(365/0.5)*V3466,(365/S3466)*V3466))</f>
        <v/>
      </c>
      <c r="X3466" s="75" t="n"/>
      <c r="Y3466" s="77" t="n"/>
      <c r="Z3466" s="77" t="n"/>
      <c r="AA3466" s="75" t="n"/>
      <c r="AB3466" s="75" t="n"/>
      <c r="AC3466" s="6" t="n"/>
      <c r="AD3466" s="75" t="n"/>
      <c r="AE3466" s="75" t="n"/>
      <c r="AF3466" s="75" t="n"/>
    </row>
    <row r="3467" ht="15.75" customHeight="1" s="133">
      <c r="A3467" s="75" t="n"/>
      <c r="B3467" s="75" t="n"/>
      <c r="C3467" s="75" t="n"/>
      <c r="D3467" s="75" t="n"/>
      <c r="E3467" s="76" t="n"/>
      <c r="F3467" s="77" t="n"/>
      <c r="G3467" s="75" t="n"/>
      <c r="H3467" s="75">
        <f>IF(ISBLANK(E3467),"",IF(OR(D3467="Butterfly",D3467="Butterfly ",D3467="Iron Fly", D3467="Iron Fly "),LEN(E3467)-LEN(SUBSTITUTE(E3467,"/",""))+2,LEN(E3467)-LEN(SUBSTITUTE(E3467,"/",""))+1))</f>
        <v/>
      </c>
      <c r="I3467" s="78">
        <f>IF(ISBLANK(G3467),"",IF(D3467="Stock","0",Key!$A$3*H3467*G3467))</f>
        <v/>
      </c>
      <c r="J3467" s="78">
        <f>IF(ISBLANK(E3467),"",IF(ISNUMBER(SEARCH("/",E3467)), IF(LEN(E3467)-LEN(SUBSTITUTE(E3467,"/",""))=1,(RIGHT(E3467,LEN(E3467)-FIND("/",E3467)))-(LEFT(E3467,FIND("/",E3467)-1)),(MID(E3467, SEARCH("/",E3467) + 1, SEARCH("/",E3467, SEARCH("/",E3467)+1) - SEARCH("/",E3467) - 1))-(LEFT(E3467,FIND("/",E3467)-1))), "NA"))</f>
        <v/>
      </c>
      <c r="K3467" s="79">
        <f>IF(A3467&lt;&gt;"", IF(ISBLANK(L3467), TODAY(), K3467), "")</f>
        <v/>
      </c>
      <c r="L3467" s="78" t="n"/>
      <c r="M3467" s="78">
        <f>IF(ISBLANK(L3467),"",IF(D3467="Stock",IF(C3467="Buy",L3467*G3467,IF(C3467="Sell",(L3467*G3467)-I3467, X)),IF(C3467="Buy",(L3467*G3467*100)+I3467,IF(C3467="Sell",(L3467*G3467*100)-I3467, X))))</f>
        <v/>
      </c>
      <c r="N3467" s="78">
        <f>IF(ISBLANK(L3467),"",IF(AND(C3467="Sell",D3467="Stock"),M3467,IF(ISBLANK(L3467),"",IF(C3467="Buy",M3467, IF(AND(C3467="Sell",J3467="NA"),(E3467*G3467*100*0.1)+I3467, IF(C3467="Sell",(J3467-L3467)*(100*G3467)+I3467))))))</f>
        <v/>
      </c>
      <c r="O3467" s="75" t="n"/>
      <c r="P3467" s="75" t="n"/>
      <c r="Q3467" s="75">
        <f>IF(ISBLANK(P3467),"",IF(D3467="Stock",P3467*G3467,IF(P3467=0,"0",G3467*P3467*100-(G3467*$AF$14))))</f>
        <v/>
      </c>
      <c r="R3467" s="79">
        <f>IF(P3467&lt;&gt;"", TODAY(), "")</f>
        <v/>
      </c>
      <c r="S3467" s="78">
        <f>IF(AND(K3467&lt;&gt;"", R3467&lt;&gt;""), R3467-K3467, "")</f>
        <v/>
      </c>
      <c r="T3467" s="78" t="n"/>
      <c r="U3467" s="92">
        <f>IF(ISBLANK(P3467),"",IF(C3467="Buy",Q3467-M3467+T3467, IF(C3467="Sell",M3467-Q3467-T3467, X)))</f>
        <v/>
      </c>
      <c r="V3467" s="81">
        <f>IF(ISBLANK(P3467),"",U3467/N3467)</f>
        <v/>
      </c>
      <c r="W3467" s="81">
        <f>IF(ISBLANK(P3467),"",IF(S3467=0,(365/0.5)*V3467,(365/S3467)*V3467))</f>
        <v/>
      </c>
      <c r="X3467" s="75" t="n"/>
      <c r="Y3467" s="77" t="n"/>
      <c r="Z3467" s="77" t="n"/>
      <c r="AA3467" s="75" t="n"/>
      <c r="AB3467" s="75" t="n"/>
      <c r="AC3467" s="6" t="n"/>
      <c r="AD3467" s="75" t="n"/>
      <c r="AE3467" s="75" t="n"/>
      <c r="AF3467" s="75" t="n"/>
    </row>
    <row r="3468" ht="15.75" customHeight="1" s="133">
      <c r="A3468" s="75" t="n"/>
      <c r="B3468" s="75" t="n"/>
      <c r="C3468" s="75" t="n"/>
      <c r="D3468" s="75" t="n"/>
      <c r="E3468" s="76" t="n"/>
      <c r="F3468" s="77" t="n"/>
      <c r="G3468" s="75" t="n"/>
      <c r="H3468" s="75">
        <f>IF(ISBLANK(E3468),"",IF(OR(D3468="Butterfly",D3468="Butterfly ",D3468="Iron Fly", D3468="Iron Fly "),LEN(E3468)-LEN(SUBSTITUTE(E3468,"/",""))+2,LEN(E3468)-LEN(SUBSTITUTE(E3468,"/",""))+1))</f>
        <v/>
      </c>
      <c r="I3468" s="78">
        <f>IF(ISBLANK(G3468),"",IF(D3468="Stock","0",Key!$A$3*H3468*G3468))</f>
        <v/>
      </c>
      <c r="J3468" s="78">
        <f>IF(ISBLANK(E3468),"",IF(ISNUMBER(SEARCH("/",E3468)), IF(LEN(E3468)-LEN(SUBSTITUTE(E3468,"/",""))=1,(RIGHT(E3468,LEN(E3468)-FIND("/",E3468)))-(LEFT(E3468,FIND("/",E3468)-1)),(MID(E3468, SEARCH("/",E3468) + 1, SEARCH("/",E3468, SEARCH("/",E3468)+1) - SEARCH("/",E3468) - 1))-(LEFT(E3468,FIND("/",E3468)-1))), "NA"))</f>
        <v/>
      </c>
      <c r="K3468" s="79">
        <f>IF(A3468&lt;&gt;"", IF(ISBLANK(L3468), TODAY(), K3468), "")</f>
        <v/>
      </c>
      <c r="L3468" s="78" t="n"/>
      <c r="M3468" s="78">
        <f>IF(ISBLANK(L3468),"",IF(D3468="Stock",IF(C3468="Buy",L3468*G3468,IF(C3468="Sell",(L3468*G3468)-I3468, X)),IF(C3468="Buy",(L3468*G3468*100)+I3468,IF(C3468="Sell",(L3468*G3468*100)-I3468, X))))</f>
        <v/>
      </c>
      <c r="N3468" s="78">
        <f>IF(ISBLANK(L3468),"",IF(AND(C3468="Sell",D3468="Stock"),M3468,IF(ISBLANK(L3468),"",IF(C3468="Buy",M3468, IF(AND(C3468="Sell",J3468="NA"),(E3468*G3468*100*0.1)+I3468, IF(C3468="Sell",(J3468-L3468)*(100*G3468)+I3468))))))</f>
        <v/>
      </c>
      <c r="O3468" s="75" t="n"/>
      <c r="P3468" s="75" t="n"/>
      <c r="Q3468" s="75">
        <f>IF(ISBLANK(P3468),"",IF(D3468="Stock",P3468*G3468,IF(P3468=0,"0",G3468*P3468*100-(G3468*$AF$14))))</f>
        <v/>
      </c>
      <c r="R3468" s="79">
        <f>IF(P3468&lt;&gt;"", TODAY(), "")</f>
        <v/>
      </c>
      <c r="S3468" s="78">
        <f>IF(AND(K3468&lt;&gt;"", R3468&lt;&gt;""), R3468-K3468, "")</f>
        <v/>
      </c>
      <c r="T3468" s="78" t="n"/>
      <c r="U3468" s="92">
        <f>IF(ISBLANK(P3468),"",IF(C3468="Buy",Q3468-M3468+T3468, IF(C3468="Sell",M3468-Q3468-T3468, X)))</f>
        <v/>
      </c>
      <c r="V3468" s="81">
        <f>IF(ISBLANK(P3468),"",U3468/N3468)</f>
        <v/>
      </c>
      <c r="W3468" s="81">
        <f>IF(ISBLANK(P3468),"",IF(S3468=0,(365/0.5)*V3468,(365/S3468)*V3468))</f>
        <v/>
      </c>
      <c r="X3468" s="75" t="n"/>
      <c r="Y3468" s="77" t="n"/>
      <c r="Z3468" s="77" t="n"/>
      <c r="AA3468" s="75" t="n"/>
      <c r="AB3468" s="75" t="n"/>
      <c r="AC3468" s="6" t="n"/>
      <c r="AD3468" s="75" t="n"/>
      <c r="AE3468" s="75" t="n"/>
      <c r="AF3468" s="75" t="n"/>
    </row>
    <row r="3469" ht="15.75" customHeight="1" s="133">
      <c r="A3469" s="75" t="n"/>
      <c r="B3469" s="75" t="n"/>
      <c r="C3469" s="75" t="n"/>
      <c r="D3469" s="75" t="n"/>
      <c r="E3469" s="76" t="n"/>
      <c r="F3469" s="77" t="n"/>
      <c r="G3469" s="75" t="n"/>
      <c r="H3469" s="75">
        <f>IF(ISBLANK(E3469),"",IF(OR(D3469="Butterfly",D3469="Butterfly ",D3469="Iron Fly", D3469="Iron Fly "),LEN(E3469)-LEN(SUBSTITUTE(E3469,"/",""))+2,LEN(E3469)-LEN(SUBSTITUTE(E3469,"/",""))+1))</f>
        <v/>
      </c>
      <c r="I3469" s="78">
        <f>IF(ISBLANK(G3469),"",IF(D3469="Stock","0",Key!$A$3*H3469*G3469))</f>
        <v/>
      </c>
      <c r="J3469" s="78">
        <f>IF(ISBLANK(E3469),"",IF(ISNUMBER(SEARCH("/",E3469)), IF(LEN(E3469)-LEN(SUBSTITUTE(E3469,"/",""))=1,(RIGHT(E3469,LEN(E3469)-FIND("/",E3469)))-(LEFT(E3469,FIND("/",E3469)-1)),(MID(E3469, SEARCH("/",E3469) + 1, SEARCH("/",E3469, SEARCH("/",E3469)+1) - SEARCH("/",E3469) - 1))-(LEFT(E3469,FIND("/",E3469)-1))), "NA"))</f>
        <v/>
      </c>
      <c r="K3469" s="79">
        <f>IF(A3469&lt;&gt;"", IF(ISBLANK(L3469), TODAY(), K3469), "")</f>
        <v/>
      </c>
      <c r="L3469" s="78" t="n"/>
      <c r="M3469" s="78">
        <f>IF(ISBLANK(L3469),"",IF(D3469="Stock",IF(C3469="Buy",L3469*G3469,IF(C3469="Sell",(L3469*G3469)-I3469, X)),IF(C3469="Buy",(L3469*G3469*100)+I3469,IF(C3469="Sell",(L3469*G3469*100)-I3469, X))))</f>
        <v/>
      </c>
      <c r="N3469" s="78">
        <f>IF(ISBLANK(L3469),"",IF(AND(C3469="Sell",D3469="Stock"),M3469,IF(ISBLANK(L3469),"",IF(C3469="Buy",M3469, IF(AND(C3469="Sell",J3469="NA"),(E3469*G3469*100*0.1)+I3469, IF(C3469="Sell",(J3469-L3469)*(100*G3469)+I3469))))))</f>
        <v/>
      </c>
      <c r="O3469" s="75" t="n"/>
      <c r="P3469" s="75" t="n"/>
      <c r="Q3469" s="75">
        <f>IF(ISBLANK(P3469),"",IF(D3469="Stock",P3469*G3469,IF(P3469=0,"0",G3469*P3469*100-(G3469*$AF$14))))</f>
        <v/>
      </c>
      <c r="R3469" s="79">
        <f>IF(P3469&lt;&gt;"", TODAY(), "")</f>
        <v/>
      </c>
      <c r="S3469" s="78">
        <f>IF(AND(K3469&lt;&gt;"", R3469&lt;&gt;""), R3469-K3469, "")</f>
        <v/>
      </c>
      <c r="T3469" s="78" t="n"/>
      <c r="U3469" s="92">
        <f>IF(ISBLANK(P3469),"",IF(C3469="Buy",Q3469-M3469+T3469, IF(C3469="Sell",M3469-Q3469-T3469, X)))</f>
        <v/>
      </c>
      <c r="V3469" s="81">
        <f>IF(ISBLANK(P3469),"",U3469/N3469)</f>
        <v/>
      </c>
      <c r="W3469" s="81">
        <f>IF(ISBLANK(P3469),"",IF(S3469=0,(365/0.5)*V3469,(365/S3469)*V3469))</f>
        <v/>
      </c>
      <c r="X3469" s="75" t="n"/>
      <c r="Y3469" s="77" t="n"/>
      <c r="Z3469" s="77" t="n"/>
      <c r="AA3469" s="75" t="n"/>
      <c r="AB3469" s="75" t="n"/>
      <c r="AC3469" s="6" t="n"/>
      <c r="AD3469" s="75" t="n"/>
      <c r="AE3469" s="75" t="n"/>
      <c r="AF3469" s="75" t="n"/>
    </row>
    <row r="3470" ht="15.75" customHeight="1" s="133">
      <c r="A3470" s="75" t="n"/>
      <c r="B3470" s="75" t="n"/>
      <c r="C3470" s="75" t="n"/>
      <c r="D3470" s="75" t="n"/>
      <c r="E3470" s="76" t="n"/>
      <c r="F3470" s="77" t="n"/>
      <c r="G3470" s="75" t="n"/>
      <c r="H3470" s="75">
        <f>IF(ISBLANK(E3470),"",IF(OR(D3470="Butterfly",D3470="Butterfly ",D3470="Iron Fly", D3470="Iron Fly "),LEN(E3470)-LEN(SUBSTITUTE(E3470,"/",""))+2,LEN(E3470)-LEN(SUBSTITUTE(E3470,"/",""))+1))</f>
        <v/>
      </c>
      <c r="I3470" s="78">
        <f>IF(ISBLANK(G3470),"",IF(D3470="Stock","0",Key!$A$3*H3470*G3470))</f>
        <v/>
      </c>
      <c r="J3470" s="78">
        <f>IF(ISBLANK(E3470),"",IF(ISNUMBER(SEARCH("/",E3470)), IF(LEN(E3470)-LEN(SUBSTITUTE(E3470,"/",""))=1,(RIGHT(E3470,LEN(E3470)-FIND("/",E3470)))-(LEFT(E3470,FIND("/",E3470)-1)),(MID(E3470, SEARCH("/",E3470) + 1, SEARCH("/",E3470, SEARCH("/",E3470)+1) - SEARCH("/",E3470) - 1))-(LEFT(E3470,FIND("/",E3470)-1))), "NA"))</f>
        <v/>
      </c>
      <c r="K3470" s="79">
        <f>IF(A3470&lt;&gt;"", IF(ISBLANK(L3470), TODAY(), K3470), "")</f>
        <v/>
      </c>
      <c r="L3470" s="78" t="n"/>
      <c r="M3470" s="78">
        <f>IF(ISBLANK(L3470),"",IF(D3470="Stock",IF(C3470="Buy",L3470*G3470,IF(C3470="Sell",(L3470*G3470)-I3470, X)),IF(C3470="Buy",(L3470*G3470*100)+I3470,IF(C3470="Sell",(L3470*G3470*100)-I3470, X))))</f>
        <v/>
      </c>
      <c r="N3470" s="78">
        <f>IF(ISBLANK(L3470),"",IF(AND(C3470="Sell",D3470="Stock"),M3470,IF(ISBLANK(L3470),"",IF(C3470="Buy",M3470, IF(AND(C3470="Sell",J3470="NA"),(E3470*G3470*100*0.1)+I3470, IF(C3470="Sell",(J3470-L3470)*(100*G3470)+I3470))))))</f>
        <v/>
      </c>
      <c r="O3470" s="75" t="n"/>
      <c r="P3470" s="75" t="n"/>
      <c r="Q3470" s="75">
        <f>IF(ISBLANK(P3470),"",IF(D3470="Stock",P3470*G3470,IF(P3470=0,"0",G3470*P3470*100-(G3470*$AF$14))))</f>
        <v/>
      </c>
      <c r="R3470" s="79">
        <f>IF(P3470&lt;&gt;"", TODAY(), "")</f>
        <v/>
      </c>
      <c r="S3470" s="78">
        <f>IF(AND(K3470&lt;&gt;"", R3470&lt;&gt;""), R3470-K3470, "")</f>
        <v/>
      </c>
      <c r="T3470" s="78" t="n"/>
      <c r="U3470" s="92">
        <f>IF(ISBLANK(P3470),"",IF(C3470="Buy",Q3470-M3470+T3470, IF(C3470="Sell",M3470-Q3470-T3470, X)))</f>
        <v/>
      </c>
      <c r="V3470" s="81">
        <f>IF(ISBLANK(P3470),"",U3470/N3470)</f>
        <v/>
      </c>
      <c r="W3470" s="81">
        <f>IF(ISBLANK(P3470),"",IF(S3470=0,(365/0.5)*V3470,(365/S3470)*V3470))</f>
        <v/>
      </c>
      <c r="X3470" s="75" t="n"/>
      <c r="Y3470" s="77" t="n"/>
      <c r="Z3470" s="77" t="n"/>
      <c r="AA3470" s="75" t="n"/>
      <c r="AB3470" s="75" t="n"/>
      <c r="AC3470" s="6" t="n"/>
      <c r="AD3470" s="75" t="n"/>
      <c r="AE3470" s="75" t="n"/>
      <c r="AF3470" s="75" t="n"/>
    </row>
    <row r="3471" ht="15.75" customHeight="1" s="133">
      <c r="A3471" s="75" t="n"/>
      <c r="B3471" s="75" t="n"/>
      <c r="C3471" s="75" t="n"/>
      <c r="D3471" s="75" t="n"/>
      <c r="E3471" s="76" t="n"/>
      <c r="F3471" s="77" t="n"/>
      <c r="G3471" s="75" t="n"/>
      <c r="H3471" s="75">
        <f>IF(ISBLANK(E3471),"",IF(OR(D3471="Butterfly",D3471="Butterfly ",D3471="Iron Fly", D3471="Iron Fly "),LEN(E3471)-LEN(SUBSTITUTE(E3471,"/",""))+2,LEN(E3471)-LEN(SUBSTITUTE(E3471,"/",""))+1))</f>
        <v/>
      </c>
      <c r="I3471" s="78">
        <f>IF(ISBLANK(G3471),"",IF(D3471="Stock","0",Key!$A$3*H3471*G3471))</f>
        <v/>
      </c>
      <c r="J3471" s="78">
        <f>IF(ISBLANK(E3471),"",IF(ISNUMBER(SEARCH("/",E3471)), IF(LEN(E3471)-LEN(SUBSTITUTE(E3471,"/",""))=1,(RIGHT(E3471,LEN(E3471)-FIND("/",E3471)))-(LEFT(E3471,FIND("/",E3471)-1)),(MID(E3471, SEARCH("/",E3471) + 1, SEARCH("/",E3471, SEARCH("/",E3471)+1) - SEARCH("/",E3471) - 1))-(LEFT(E3471,FIND("/",E3471)-1))), "NA"))</f>
        <v/>
      </c>
      <c r="K3471" s="79">
        <f>IF(A3471&lt;&gt;"", IF(ISBLANK(L3471), TODAY(), K3471), "")</f>
        <v/>
      </c>
      <c r="L3471" s="78" t="n"/>
      <c r="M3471" s="78">
        <f>IF(ISBLANK(L3471),"",IF(D3471="Stock",IF(C3471="Buy",L3471*G3471,IF(C3471="Sell",(L3471*G3471)-I3471, X)),IF(C3471="Buy",(L3471*G3471*100)+I3471,IF(C3471="Sell",(L3471*G3471*100)-I3471, X))))</f>
        <v/>
      </c>
      <c r="N3471" s="78">
        <f>IF(ISBLANK(L3471),"",IF(AND(C3471="Sell",D3471="Stock"),M3471,IF(ISBLANK(L3471),"",IF(C3471="Buy",M3471, IF(AND(C3471="Sell",J3471="NA"),(E3471*G3471*100*0.1)+I3471, IF(C3471="Sell",(J3471-L3471)*(100*G3471)+I3471))))))</f>
        <v/>
      </c>
      <c r="O3471" s="75" t="n"/>
      <c r="P3471" s="75" t="n"/>
      <c r="Q3471" s="75">
        <f>IF(ISBLANK(P3471),"",IF(D3471="Stock",P3471*G3471,IF(P3471=0,"0",G3471*P3471*100-(G3471*$AF$14))))</f>
        <v/>
      </c>
      <c r="R3471" s="79">
        <f>IF(P3471&lt;&gt;"", TODAY(), "")</f>
        <v/>
      </c>
      <c r="S3471" s="78">
        <f>IF(AND(K3471&lt;&gt;"", R3471&lt;&gt;""), R3471-K3471, "")</f>
        <v/>
      </c>
      <c r="T3471" s="78" t="n"/>
      <c r="U3471" s="92">
        <f>IF(ISBLANK(P3471),"",IF(C3471="Buy",Q3471-M3471+T3471, IF(C3471="Sell",M3471-Q3471-T3471, X)))</f>
        <v/>
      </c>
      <c r="V3471" s="81">
        <f>IF(ISBLANK(P3471),"",U3471/N3471)</f>
        <v/>
      </c>
      <c r="W3471" s="81">
        <f>IF(ISBLANK(P3471),"",IF(S3471=0,(365/0.5)*V3471,(365/S3471)*V3471))</f>
        <v/>
      </c>
      <c r="X3471" s="75" t="n"/>
      <c r="Y3471" s="77" t="n"/>
      <c r="Z3471" s="77" t="n"/>
      <c r="AA3471" s="75" t="n"/>
      <c r="AB3471" s="75" t="n"/>
      <c r="AC3471" s="6" t="n"/>
      <c r="AD3471" s="75" t="n"/>
      <c r="AE3471" s="75" t="n"/>
      <c r="AF3471" s="75" t="n"/>
    </row>
    <row r="3472" ht="15.75" customHeight="1" s="133">
      <c r="A3472" s="75" t="n"/>
      <c r="B3472" s="75" t="n"/>
      <c r="C3472" s="75" t="n"/>
      <c r="D3472" s="75" t="n"/>
      <c r="E3472" s="76" t="n"/>
      <c r="F3472" s="77" t="n"/>
      <c r="G3472" s="75" t="n"/>
      <c r="H3472" s="75">
        <f>IF(ISBLANK(E3472),"",IF(OR(D3472="Butterfly",D3472="Butterfly ",D3472="Iron Fly", D3472="Iron Fly "),LEN(E3472)-LEN(SUBSTITUTE(E3472,"/",""))+2,LEN(E3472)-LEN(SUBSTITUTE(E3472,"/",""))+1))</f>
        <v/>
      </c>
      <c r="I3472" s="78">
        <f>IF(ISBLANK(G3472),"",IF(D3472="Stock","0",Key!$A$3*H3472*G3472))</f>
        <v/>
      </c>
      <c r="J3472" s="78">
        <f>IF(ISBLANK(E3472),"",IF(ISNUMBER(SEARCH("/",E3472)), IF(LEN(E3472)-LEN(SUBSTITUTE(E3472,"/",""))=1,(RIGHT(E3472,LEN(E3472)-FIND("/",E3472)))-(LEFT(E3472,FIND("/",E3472)-1)),(MID(E3472, SEARCH("/",E3472) + 1, SEARCH("/",E3472, SEARCH("/",E3472)+1) - SEARCH("/",E3472) - 1))-(LEFT(E3472,FIND("/",E3472)-1))), "NA"))</f>
        <v/>
      </c>
      <c r="K3472" s="79">
        <f>IF(A3472&lt;&gt;"", IF(ISBLANK(L3472), TODAY(), K3472), "")</f>
        <v/>
      </c>
      <c r="L3472" s="78" t="n"/>
      <c r="M3472" s="78">
        <f>IF(ISBLANK(L3472),"",IF(D3472="Stock",IF(C3472="Buy",L3472*G3472,IF(C3472="Sell",(L3472*G3472)-I3472, X)),IF(C3472="Buy",(L3472*G3472*100)+I3472,IF(C3472="Sell",(L3472*G3472*100)-I3472, X))))</f>
        <v/>
      </c>
      <c r="N3472" s="78">
        <f>IF(ISBLANK(L3472),"",IF(AND(C3472="Sell",D3472="Stock"),M3472,IF(ISBLANK(L3472),"",IF(C3472="Buy",M3472, IF(AND(C3472="Sell",J3472="NA"),(E3472*G3472*100*0.1)+I3472, IF(C3472="Sell",(J3472-L3472)*(100*G3472)+I3472))))))</f>
        <v/>
      </c>
      <c r="O3472" s="75" t="n"/>
      <c r="P3472" s="75" t="n"/>
      <c r="Q3472" s="75">
        <f>IF(ISBLANK(P3472),"",IF(D3472="Stock",P3472*G3472,IF(P3472=0,"0",G3472*P3472*100-(G3472*$AF$14))))</f>
        <v/>
      </c>
      <c r="R3472" s="79">
        <f>IF(P3472&lt;&gt;"", TODAY(), "")</f>
        <v/>
      </c>
      <c r="S3472" s="78">
        <f>IF(AND(K3472&lt;&gt;"", R3472&lt;&gt;""), R3472-K3472, "")</f>
        <v/>
      </c>
      <c r="T3472" s="78" t="n"/>
      <c r="U3472" s="92">
        <f>IF(ISBLANK(P3472),"",IF(C3472="Buy",Q3472-M3472+T3472, IF(C3472="Sell",M3472-Q3472-T3472, X)))</f>
        <v/>
      </c>
      <c r="V3472" s="81">
        <f>IF(ISBLANK(P3472),"",U3472/N3472)</f>
        <v/>
      </c>
      <c r="W3472" s="81">
        <f>IF(ISBLANK(P3472),"",IF(S3472=0,(365/0.5)*V3472,(365/S3472)*V3472))</f>
        <v/>
      </c>
      <c r="X3472" s="75" t="n"/>
      <c r="Y3472" s="77" t="n"/>
      <c r="Z3472" s="77" t="n"/>
      <c r="AA3472" s="75" t="n"/>
      <c r="AB3472" s="75" t="n"/>
      <c r="AC3472" s="6" t="n"/>
      <c r="AD3472" s="75" t="n"/>
      <c r="AE3472" s="75" t="n"/>
      <c r="AF3472" s="75" t="n"/>
    </row>
    <row r="3473" ht="15.75" customHeight="1" s="133">
      <c r="A3473" s="75" t="n"/>
      <c r="B3473" s="75" t="n"/>
      <c r="C3473" s="75" t="n"/>
      <c r="D3473" s="75" t="n"/>
      <c r="E3473" s="76" t="n"/>
      <c r="F3473" s="77" t="n"/>
      <c r="G3473" s="75" t="n"/>
      <c r="H3473" s="75">
        <f>IF(ISBLANK(E3473),"",IF(OR(D3473="Butterfly",D3473="Butterfly ",D3473="Iron Fly", D3473="Iron Fly "),LEN(E3473)-LEN(SUBSTITUTE(E3473,"/",""))+2,LEN(E3473)-LEN(SUBSTITUTE(E3473,"/",""))+1))</f>
        <v/>
      </c>
      <c r="I3473" s="78">
        <f>IF(ISBLANK(G3473),"",IF(D3473="Stock","0",Key!$A$3*H3473*G3473))</f>
        <v/>
      </c>
      <c r="J3473" s="78">
        <f>IF(ISBLANK(E3473),"",IF(ISNUMBER(SEARCH("/",E3473)), IF(LEN(E3473)-LEN(SUBSTITUTE(E3473,"/",""))=1,(RIGHT(E3473,LEN(E3473)-FIND("/",E3473)))-(LEFT(E3473,FIND("/",E3473)-1)),(MID(E3473, SEARCH("/",E3473) + 1, SEARCH("/",E3473, SEARCH("/",E3473)+1) - SEARCH("/",E3473) - 1))-(LEFT(E3473,FIND("/",E3473)-1))), "NA"))</f>
        <v/>
      </c>
      <c r="K3473" s="79">
        <f>IF(A3473&lt;&gt;"", IF(ISBLANK(L3473), TODAY(), K3473), "")</f>
        <v/>
      </c>
      <c r="L3473" s="78" t="n"/>
      <c r="M3473" s="78">
        <f>IF(ISBLANK(L3473),"",IF(D3473="Stock",IF(C3473="Buy",L3473*G3473,IF(C3473="Sell",(L3473*G3473)-I3473, X)),IF(C3473="Buy",(L3473*G3473*100)+I3473,IF(C3473="Sell",(L3473*G3473*100)-I3473, X))))</f>
        <v/>
      </c>
      <c r="N3473" s="78">
        <f>IF(ISBLANK(L3473),"",IF(AND(C3473="Sell",D3473="Stock"),M3473,IF(ISBLANK(L3473),"",IF(C3473="Buy",M3473, IF(AND(C3473="Sell",J3473="NA"),(E3473*G3473*100*0.1)+I3473, IF(C3473="Sell",(J3473-L3473)*(100*G3473)+I3473))))))</f>
        <v/>
      </c>
      <c r="O3473" s="75" t="n"/>
      <c r="P3473" s="75" t="n"/>
      <c r="Q3473" s="75">
        <f>IF(ISBLANK(P3473),"",IF(D3473="Stock",P3473*G3473,IF(P3473=0,"0",G3473*P3473*100-(G3473*$AF$14))))</f>
        <v/>
      </c>
      <c r="R3473" s="79">
        <f>IF(P3473&lt;&gt;"", TODAY(), "")</f>
        <v/>
      </c>
      <c r="S3473" s="78">
        <f>IF(AND(K3473&lt;&gt;"", R3473&lt;&gt;""), R3473-K3473, "")</f>
        <v/>
      </c>
      <c r="T3473" s="78" t="n"/>
      <c r="U3473" s="92">
        <f>IF(ISBLANK(P3473),"",IF(C3473="Buy",Q3473-M3473+T3473, IF(C3473="Sell",M3473-Q3473-T3473, X)))</f>
        <v/>
      </c>
      <c r="V3473" s="81">
        <f>IF(ISBLANK(P3473),"",U3473/N3473)</f>
        <v/>
      </c>
      <c r="W3473" s="81">
        <f>IF(ISBLANK(P3473),"",IF(S3473=0,(365/0.5)*V3473,(365/S3473)*V3473))</f>
        <v/>
      </c>
      <c r="X3473" s="75" t="n"/>
      <c r="Y3473" s="77" t="n"/>
      <c r="Z3473" s="77" t="n"/>
      <c r="AA3473" s="75" t="n"/>
      <c r="AB3473" s="75" t="n"/>
      <c r="AC3473" s="6" t="n"/>
      <c r="AD3473" s="75" t="n"/>
      <c r="AE3473" s="75" t="n"/>
      <c r="AF3473" s="75" t="n"/>
    </row>
    <row r="3474" ht="15.75" customHeight="1" s="133">
      <c r="A3474" s="75" t="n"/>
      <c r="B3474" s="75" t="n"/>
      <c r="C3474" s="75" t="n"/>
      <c r="D3474" s="75" t="n"/>
      <c r="E3474" s="76" t="n"/>
      <c r="F3474" s="77" t="n"/>
      <c r="G3474" s="75" t="n"/>
      <c r="H3474" s="75">
        <f>IF(ISBLANK(E3474),"",IF(OR(D3474="Butterfly",D3474="Butterfly ",D3474="Iron Fly", D3474="Iron Fly "),LEN(E3474)-LEN(SUBSTITUTE(E3474,"/",""))+2,LEN(E3474)-LEN(SUBSTITUTE(E3474,"/",""))+1))</f>
        <v/>
      </c>
      <c r="I3474" s="78">
        <f>IF(ISBLANK(G3474),"",IF(D3474="Stock","0",Key!$A$3*H3474*G3474))</f>
        <v/>
      </c>
      <c r="J3474" s="78">
        <f>IF(ISBLANK(E3474),"",IF(ISNUMBER(SEARCH("/",E3474)), IF(LEN(E3474)-LEN(SUBSTITUTE(E3474,"/",""))=1,(RIGHT(E3474,LEN(E3474)-FIND("/",E3474)))-(LEFT(E3474,FIND("/",E3474)-1)),(MID(E3474, SEARCH("/",E3474) + 1, SEARCH("/",E3474, SEARCH("/",E3474)+1) - SEARCH("/",E3474) - 1))-(LEFT(E3474,FIND("/",E3474)-1))), "NA"))</f>
        <v/>
      </c>
      <c r="K3474" s="79">
        <f>IF(A3474&lt;&gt;"", IF(ISBLANK(L3474), TODAY(), K3474), "")</f>
        <v/>
      </c>
      <c r="L3474" s="78" t="n"/>
      <c r="M3474" s="78">
        <f>IF(ISBLANK(L3474),"",IF(D3474="Stock",IF(C3474="Buy",L3474*G3474,IF(C3474="Sell",(L3474*G3474)-I3474, X)),IF(C3474="Buy",(L3474*G3474*100)+I3474,IF(C3474="Sell",(L3474*G3474*100)-I3474, X))))</f>
        <v/>
      </c>
      <c r="N3474" s="78">
        <f>IF(ISBLANK(L3474),"",IF(AND(C3474="Sell",D3474="Stock"),M3474,IF(ISBLANK(L3474),"",IF(C3474="Buy",M3474, IF(AND(C3474="Sell",J3474="NA"),(E3474*G3474*100*0.1)+I3474, IF(C3474="Sell",(J3474-L3474)*(100*G3474)+I3474))))))</f>
        <v/>
      </c>
      <c r="O3474" s="75" t="n"/>
      <c r="P3474" s="75" t="n"/>
      <c r="Q3474" s="75">
        <f>IF(ISBLANK(P3474),"",IF(D3474="Stock",P3474*G3474,IF(P3474=0,"0",G3474*P3474*100-(G3474*$AF$14))))</f>
        <v/>
      </c>
      <c r="R3474" s="79">
        <f>IF(P3474&lt;&gt;"", TODAY(), "")</f>
        <v/>
      </c>
      <c r="S3474" s="78">
        <f>IF(AND(K3474&lt;&gt;"", R3474&lt;&gt;""), R3474-K3474, "")</f>
        <v/>
      </c>
      <c r="T3474" s="78" t="n"/>
      <c r="U3474" s="92">
        <f>IF(ISBLANK(P3474),"",IF(C3474="Buy",Q3474-M3474+T3474, IF(C3474="Sell",M3474-Q3474-T3474, X)))</f>
        <v/>
      </c>
      <c r="V3474" s="81">
        <f>IF(ISBLANK(P3474),"",U3474/N3474)</f>
        <v/>
      </c>
      <c r="W3474" s="81">
        <f>IF(ISBLANK(P3474),"",IF(S3474=0,(365/0.5)*V3474,(365/S3474)*V3474))</f>
        <v/>
      </c>
      <c r="X3474" s="75" t="n"/>
      <c r="Y3474" s="77" t="n"/>
      <c r="Z3474" s="77" t="n"/>
      <c r="AA3474" s="75" t="n"/>
      <c r="AB3474" s="75" t="n"/>
      <c r="AC3474" s="6" t="n"/>
      <c r="AD3474" s="75" t="n"/>
      <c r="AE3474" s="75" t="n"/>
      <c r="AF3474" s="75" t="n"/>
    </row>
    <row r="3475" ht="15.75" customHeight="1" s="133">
      <c r="A3475" s="75" t="n"/>
      <c r="B3475" s="75" t="n"/>
      <c r="C3475" s="75" t="n"/>
      <c r="D3475" s="75" t="n"/>
      <c r="E3475" s="76" t="n"/>
      <c r="F3475" s="77" t="n"/>
      <c r="G3475" s="75" t="n"/>
      <c r="H3475" s="75">
        <f>IF(ISBLANK(E3475),"",IF(OR(D3475="Butterfly",D3475="Butterfly ",D3475="Iron Fly", D3475="Iron Fly "),LEN(E3475)-LEN(SUBSTITUTE(E3475,"/",""))+2,LEN(E3475)-LEN(SUBSTITUTE(E3475,"/",""))+1))</f>
        <v/>
      </c>
      <c r="I3475" s="78">
        <f>IF(ISBLANK(G3475),"",IF(D3475="Stock","0",Key!$A$3*H3475*G3475))</f>
        <v/>
      </c>
      <c r="J3475" s="78">
        <f>IF(ISBLANK(E3475),"",IF(ISNUMBER(SEARCH("/",E3475)), IF(LEN(E3475)-LEN(SUBSTITUTE(E3475,"/",""))=1,(RIGHT(E3475,LEN(E3475)-FIND("/",E3475)))-(LEFT(E3475,FIND("/",E3475)-1)),(MID(E3475, SEARCH("/",E3475) + 1, SEARCH("/",E3475, SEARCH("/",E3475)+1) - SEARCH("/",E3475) - 1))-(LEFT(E3475,FIND("/",E3475)-1))), "NA"))</f>
        <v/>
      </c>
      <c r="K3475" s="79">
        <f>IF(A3475&lt;&gt;"", IF(ISBLANK(L3475), TODAY(), K3475), "")</f>
        <v/>
      </c>
      <c r="L3475" s="78" t="n"/>
      <c r="M3475" s="78">
        <f>IF(ISBLANK(L3475),"",IF(D3475="Stock",IF(C3475="Buy",L3475*G3475,IF(C3475="Sell",(L3475*G3475)-I3475, X)),IF(C3475="Buy",(L3475*G3475*100)+I3475,IF(C3475="Sell",(L3475*G3475*100)-I3475, X))))</f>
        <v/>
      </c>
      <c r="N3475" s="78">
        <f>IF(ISBLANK(L3475),"",IF(AND(C3475="Sell",D3475="Stock"),M3475,IF(ISBLANK(L3475),"",IF(C3475="Buy",M3475, IF(AND(C3475="Sell",J3475="NA"),(E3475*G3475*100*0.1)+I3475, IF(C3475="Sell",(J3475-L3475)*(100*G3475)+I3475))))))</f>
        <v/>
      </c>
      <c r="O3475" s="75" t="n"/>
      <c r="P3475" s="75" t="n"/>
      <c r="Q3475" s="75">
        <f>IF(ISBLANK(P3475),"",IF(D3475="Stock",P3475*G3475,IF(P3475=0,"0",G3475*P3475*100-(G3475*$AF$14))))</f>
        <v/>
      </c>
      <c r="R3475" s="79">
        <f>IF(P3475&lt;&gt;"", TODAY(), "")</f>
        <v/>
      </c>
      <c r="S3475" s="78">
        <f>IF(AND(K3475&lt;&gt;"", R3475&lt;&gt;""), R3475-K3475, "")</f>
        <v/>
      </c>
      <c r="T3475" s="78" t="n"/>
      <c r="U3475" s="92">
        <f>IF(ISBLANK(P3475),"",IF(C3475="Buy",Q3475-M3475+T3475, IF(C3475="Sell",M3475-Q3475-T3475, X)))</f>
        <v/>
      </c>
      <c r="V3475" s="81">
        <f>IF(ISBLANK(P3475),"",U3475/N3475)</f>
        <v/>
      </c>
      <c r="W3475" s="81">
        <f>IF(ISBLANK(P3475),"",IF(S3475=0,(365/0.5)*V3475,(365/S3475)*V3475))</f>
        <v/>
      </c>
      <c r="X3475" s="75" t="n"/>
      <c r="Y3475" s="77" t="n"/>
      <c r="Z3475" s="77" t="n"/>
      <c r="AA3475" s="75" t="n"/>
      <c r="AB3475" s="75" t="n"/>
      <c r="AC3475" s="6" t="n"/>
      <c r="AD3475" s="75" t="n"/>
      <c r="AE3475" s="75" t="n"/>
      <c r="AF3475" s="75" t="n"/>
    </row>
    <row r="3476" ht="15.75" customHeight="1" s="133">
      <c r="A3476" s="75" t="n"/>
      <c r="B3476" s="75" t="n"/>
      <c r="C3476" s="75" t="n"/>
      <c r="D3476" s="75" t="n"/>
      <c r="E3476" s="76" t="n"/>
      <c r="F3476" s="77" t="n"/>
      <c r="G3476" s="75" t="n"/>
      <c r="H3476" s="75">
        <f>IF(ISBLANK(E3476),"",IF(OR(D3476="Butterfly",D3476="Butterfly ",D3476="Iron Fly", D3476="Iron Fly "),LEN(E3476)-LEN(SUBSTITUTE(E3476,"/",""))+2,LEN(E3476)-LEN(SUBSTITUTE(E3476,"/",""))+1))</f>
        <v/>
      </c>
      <c r="I3476" s="78">
        <f>IF(ISBLANK(G3476),"",IF(D3476="Stock","0",Key!$A$3*H3476*G3476))</f>
        <v/>
      </c>
      <c r="J3476" s="78">
        <f>IF(ISBLANK(E3476),"",IF(ISNUMBER(SEARCH("/",E3476)), IF(LEN(E3476)-LEN(SUBSTITUTE(E3476,"/",""))=1,(RIGHT(E3476,LEN(E3476)-FIND("/",E3476)))-(LEFT(E3476,FIND("/",E3476)-1)),(MID(E3476, SEARCH("/",E3476) + 1, SEARCH("/",E3476, SEARCH("/",E3476)+1) - SEARCH("/",E3476) - 1))-(LEFT(E3476,FIND("/",E3476)-1))), "NA"))</f>
        <v/>
      </c>
      <c r="K3476" s="79">
        <f>IF(A3476&lt;&gt;"", IF(ISBLANK(L3476), TODAY(), K3476), "")</f>
        <v/>
      </c>
      <c r="L3476" s="78" t="n"/>
      <c r="M3476" s="78">
        <f>IF(ISBLANK(L3476),"",IF(D3476="Stock",IF(C3476="Buy",L3476*G3476,IF(C3476="Sell",(L3476*G3476)-I3476, X)),IF(C3476="Buy",(L3476*G3476*100)+I3476,IF(C3476="Sell",(L3476*G3476*100)-I3476, X))))</f>
        <v/>
      </c>
      <c r="N3476" s="78">
        <f>IF(ISBLANK(L3476),"",IF(AND(C3476="Sell",D3476="Stock"),M3476,IF(ISBLANK(L3476),"",IF(C3476="Buy",M3476, IF(AND(C3476="Sell",J3476="NA"),(E3476*G3476*100*0.1)+I3476, IF(C3476="Sell",(J3476-L3476)*(100*G3476)+I3476))))))</f>
        <v/>
      </c>
      <c r="O3476" s="75" t="n"/>
      <c r="P3476" s="75" t="n"/>
      <c r="Q3476" s="75">
        <f>IF(ISBLANK(P3476),"",IF(D3476="Stock",P3476*G3476,IF(P3476=0,"0",G3476*P3476*100-(G3476*$AF$14))))</f>
        <v/>
      </c>
      <c r="R3476" s="79">
        <f>IF(P3476&lt;&gt;"", TODAY(), "")</f>
        <v/>
      </c>
      <c r="S3476" s="78">
        <f>IF(AND(K3476&lt;&gt;"", R3476&lt;&gt;""), R3476-K3476, "")</f>
        <v/>
      </c>
      <c r="T3476" s="78" t="n"/>
      <c r="U3476" s="92">
        <f>IF(ISBLANK(P3476),"",IF(C3476="Buy",Q3476-M3476+T3476, IF(C3476="Sell",M3476-Q3476-T3476, X)))</f>
        <v/>
      </c>
      <c r="V3476" s="81">
        <f>IF(ISBLANK(P3476),"",U3476/N3476)</f>
        <v/>
      </c>
      <c r="W3476" s="81">
        <f>IF(ISBLANK(P3476),"",IF(S3476=0,(365/0.5)*V3476,(365/S3476)*V3476))</f>
        <v/>
      </c>
      <c r="X3476" s="75" t="n"/>
      <c r="Y3476" s="77" t="n"/>
      <c r="Z3476" s="77" t="n"/>
      <c r="AA3476" s="75" t="n"/>
      <c r="AB3476" s="75" t="n"/>
      <c r="AC3476" s="6" t="n"/>
      <c r="AD3476" s="75" t="n"/>
      <c r="AE3476" s="75" t="n"/>
      <c r="AF3476" s="75" t="n"/>
    </row>
    <row r="3477" ht="15.75" customHeight="1" s="133">
      <c r="A3477" s="75" t="n"/>
      <c r="B3477" s="75" t="n"/>
      <c r="C3477" s="75" t="n"/>
      <c r="D3477" s="75" t="n"/>
      <c r="E3477" s="76" t="n"/>
      <c r="F3477" s="77" t="n"/>
      <c r="G3477" s="75" t="n"/>
      <c r="H3477" s="75">
        <f>IF(ISBLANK(E3477),"",IF(OR(D3477="Butterfly",D3477="Butterfly ",D3477="Iron Fly", D3477="Iron Fly "),LEN(E3477)-LEN(SUBSTITUTE(E3477,"/",""))+2,LEN(E3477)-LEN(SUBSTITUTE(E3477,"/",""))+1))</f>
        <v/>
      </c>
      <c r="I3477" s="78">
        <f>IF(ISBLANK(G3477),"",IF(D3477="Stock","0",Key!$A$3*H3477*G3477))</f>
        <v/>
      </c>
      <c r="J3477" s="78">
        <f>IF(ISBLANK(E3477),"",IF(ISNUMBER(SEARCH("/",E3477)), IF(LEN(E3477)-LEN(SUBSTITUTE(E3477,"/",""))=1,(RIGHT(E3477,LEN(E3477)-FIND("/",E3477)))-(LEFT(E3477,FIND("/",E3477)-1)),(MID(E3477, SEARCH("/",E3477) + 1, SEARCH("/",E3477, SEARCH("/",E3477)+1) - SEARCH("/",E3477) - 1))-(LEFT(E3477,FIND("/",E3477)-1))), "NA"))</f>
        <v/>
      </c>
      <c r="K3477" s="79">
        <f>IF(A3477&lt;&gt;"", IF(ISBLANK(L3477), TODAY(), K3477), "")</f>
        <v/>
      </c>
      <c r="L3477" s="78" t="n"/>
      <c r="M3477" s="78">
        <f>IF(ISBLANK(L3477),"",IF(D3477="Stock",IF(C3477="Buy",L3477*G3477,IF(C3477="Sell",(L3477*G3477)-I3477, X)),IF(C3477="Buy",(L3477*G3477*100)+I3477,IF(C3477="Sell",(L3477*G3477*100)-I3477, X))))</f>
        <v/>
      </c>
      <c r="N3477" s="78">
        <f>IF(ISBLANK(L3477),"",IF(AND(C3477="Sell",D3477="Stock"),M3477,IF(ISBLANK(L3477),"",IF(C3477="Buy",M3477, IF(AND(C3477="Sell",J3477="NA"),(E3477*G3477*100*0.1)+I3477, IF(C3477="Sell",(J3477-L3477)*(100*G3477)+I3477))))))</f>
        <v/>
      </c>
      <c r="O3477" s="75" t="n"/>
      <c r="P3477" s="75" t="n"/>
      <c r="Q3477" s="75">
        <f>IF(ISBLANK(P3477),"",IF(D3477="Stock",P3477*G3477,IF(P3477=0,"0",G3477*P3477*100-(G3477*$AF$14))))</f>
        <v/>
      </c>
      <c r="R3477" s="79">
        <f>IF(P3477&lt;&gt;"", TODAY(), "")</f>
        <v/>
      </c>
      <c r="S3477" s="78">
        <f>IF(AND(K3477&lt;&gt;"", R3477&lt;&gt;""), R3477-K3477, "")</f>
        <v/>
      </c>
      <c r="T3477" s="78" t="n"/>
      <c r="U3477" s="92">
        <f>IF(ISBLANK(P3477),"",IF(C3477="Buy",Q3477-M3477+T3477, IF(C3477="Sell",M3477-Q3477-T3477, X)))</f>
        <v/>
      </c>
      <c r="V3477" s="81">
        <f>IF(ISBLANK(P3477),"",U3477/N3477)</f>
        <v/>
      </c>
      <c r="W3477" s="81">
        <f>IF(ISBLANK(P3477),"",IF(S3477=0,(365/0.5)*V3477,(365/S3477)*V3477))</f>
        <v/>
      </c>
      <c r="X3477" s="75" t="n"/>
      <c r="Y3477" s="77" t="n"/>
      <c r="Z3477" s="77" t="n"/>
      <c r="AA3477" s="75" t="n"/>
      <c r="AB3477" s="75" t="n"/>
      <c r="AC3477" s="6" t="n"/>
      <c r="AD3477" s="75" t="n"/>
      <c r="AE3477" s="75" t="n"/>
      <c r="AF3477" s="75" t="n"/>
    </row>
    <row r="3478" ht="15.75" customHeight="1" s="133">
      <c r="A3478" s="75" t="n"/>
      <c r="B3478" s="75" t="n"/>
      <c r="C3478" s="75" t="n"/>
      <c r="D3478" s="75" t="n"/>
      <c r="E3478" s="76" t="n"/>
      <c r="F3478" s="77" t="n"/>
      <c r="G3478" s="75" t="n"/>
      <c r="H3478" s="75">
        <f>IF(ISBLANK(E3478),"",IF(OR(D3478="Butterfly",D3478="Butterfly ",D3478="Iron Fly", D3478="Iron Fly "),LEN(E3478)-LEN(SUBSTITUTE(E3478,"/",""))+2,LEN(E3478)-LEN(SUBSTITUTE(E3478,"/",""))+1))</f>
        <v/>
      </c>
      <c r="I3478" s="78">
        <f>IF(ISBLANK(G3478),"",IF(D3478="Stock","0",Key!$A$3*H3478*G3478))</f>
        <v/>
      </c>
      <c r="J3478" s="78">
        <f>IF(ISBLANK(E3478),"",IF(ISNUMBER(SEARCH("/",E3478)), IF(LEN(E3478)-LEN(SUBSTITUTE(E3478,"/",""))=1,(RIGHT(E3478,LEN(E3478)-FIND("/",E3478)))-(LEFT(E3478,FIND("/",E3478)-1)),(MID(E3478, SEARCH("/",E3478) + 1, SEARCH("/",E3478, SEARCH("/",E3478)+1) - SEARCH("/",E3478) - 1))-(LEFT(E3478,FIND("/",E3478)-1))), "NA"))</f>
        <v/>
      </c>
      <c r="K3478" s="79">
        <f>IF(A3478&lt;&gt;"", IF(ISBLANK(L3478), TODAY(), K3478), "")</f>
        <v/>
      </c>
      <c r="L3478" s="78" t="n"/>
      <c r="M3478" s="78">
        <f>IF(ISBLANK(L3478),"",IF(D3478="Stock",IF(C3478="Buy",L3478*G3478,IF(C3478="Sell",(L3478*G3478)-I3478, X)),IF(C3478="Buy",(L3478*G3478*100)+I3478,IF(C3478="Sell",(L3478*G3478*100)-I3478, X))))</f>
        <v/>
      </c>
      <c r="N3478" s="78">
        <f>IF(ISBLANK(L3478),"",IF(AND(C3478="Sell",D3478="Stock"),M3478,IF(ISBLANK(L3478),"",IF(C3478="Buy",M3478, IF(AND(C3478="Sell",J3478="NA"),(E3478*G3478*100*0.1)+I3478, IF(C3478="Sell",(J3478-L3478)*(100*G3478)+I3478))))))</f>
        <v/>
      </c>
      <c r="O3478" s="75" t="n"/>
      <c r="P3478" s="75" t="n"/>
      <c r="Q3478" s="75">
        <f>IF(ISBLANK(P3478),"",IF(D3478="Stock",P3478*G3478,IF(P3478=0,"0",G3478*P3478*100-(G3478*$AF$14))))</f>
        <v/>
      </c>
      <c r="R3478" s="79">
        <f>IF(P3478&lt;&gt;"", TODAY(), "")</f>
        <v/>
      </c>
      <c r="S3478" s="78">
        <f>IF(AND(K3478&lt;&gt;"", R3478&lt;&gt;""), R3478-K3478, "")</f>
        <v/>
      </c>
      <c r="T3478" s="78" t="n"/>
      <c r="U3478" s="92">
        <f>IF(ISBLANK(P3478),"",IF(C3478="Buy",Q3478-M3478+T3478, IF(C3478="Sell",M3478-Q3478-T3478, X)))</f>
        <v/>
      </c>
      <c r="V3478" s="81">
        <f>IF(ISBLANK(P3478),"",U3478/N3478)</f>
        <v/>
      </c>
      <c r="W3478" s="81">
        <f>IF(ISBLANK(P3478),"",IF(S3478=0,(365/0.5)*V3478,(365/S3478)*V3478))</f>
        <v/>
      </c>
      <c r="X3478" s="75" t="n"/>
      <c r="Y3478" s="77" t="n"/>
      <c r="Z3478" s="77" t="n"/>
      <c r="AA3478" s="75" t="n"/>
      <c r="AB3478" s="75" t="n"/>
      <c r="AC3478" s="6" t="n"/>
      <c r="AD3478" s="75" t="n"/>
      <c r="AE3478" s="75" t="n"/>
      <c r="AF3478" s="75" t="n"/>
    </row>
    <row r="3479" ht="15.75" customHeight="1" s="133">
      <c r="A3479" s="75" t="n"/>
      <c r="B3479" s="75" t="n"/>
      <c r="C3479" s="75" t="n"/>
      <c r="D3479" s="75" t="n"/>
      <c r="E3479" s="76" t="n"/>
      <c r="F3479" s="77" t="n"/>
      <c r="G3479" s="75" t="n"/>
      <c r="H3479" s="75">
        <f>IF(ISBLANK(E3479),"",IF(OR(D3479="Butterfly",D3479="Butterfly ",D3479="Iron Fly", D3479="Iron Fly "),LEN(E3479)-LEN(SUBSTITUTE(E3479,"/",""))+2,LEN(E3479)-LEN(SUBSTITUTE(E3479,"/",""))+1))</f>
        <v/>
      </c>
      <c r="I3479" s="78">
        <f>IF(ISBLANK(G3479),"",IF(D3479="Stock","0",Key!$A$3*H3479*G3479))</f>
        <v/>
      </c>
      <c r="J3479" s="78">
        <f>IF(ISBLANK(E3479),"",IF(ISNUMBER(SEARCH("/",E3479)), IF(LEN(E3479)-LEN(SUBSTITUTE(E3479,"/",""))=1,(RIGHT(E3479,LEN(E3479)-FIND("/",E3479)))-(LEFT(E3479,FIND("/",E3479)-1)),(MID(E3479, SEARCH("/",E3479) + 1, SEARCH("/",E3479, SEARCH("/",E3479)+1) - SEARCH("/",E3479) - 1))-(LEFT(E3479,FIND("/",E3479)-1))), "NA"))</f>
        <v/>
      </c>
      <c r="K3479" s="79">
        <f>IF(A3479&lt;&gt;"", IF(ISBLANK(L3479), TODAY(), K3479), "")</f>
        <v/>
      </c>
      <c r="L3479" s="78" t="n"/>
      <c r="M3479" s="78">
        <f>IF(ISBLANK(L3479),"",IF(D3479="Stock",IF(C3479="Buy",L3479*G3479,IF(C3479="Sell",(L3479*G3479)-I3479, X)),IF(C3479="Buy",(L3479*G3479*100)+I3479,IF(C3479="Sell",(L3479*G3479*100)-I3479, X))))</f>
        <v/>
      </c>
      <c r="N3479" s="78">
        <f>IF(ISBLANK(L3479),"",IF(AND(C3479="Sell",D3479="Stock"),M3479,IF(ISBLANK(L3479),"",IF(C3479="Buy",M3479, IF(AND(C3479="Sell",J3479="NA"),(E3479*G3479*100*0.1)+I3479, IF(C3479="Sell",(J3479-L3479)*(100*G3479)+I3479))))))</f>
        <v/>
      </c>
      <c r="O3479" s="75" t="n"/>
      <c r="P3479" s="75" t="n"/>
      <c r="Q3479" s="75">
        <f>IF(ISBLANK(P3479),"",IF(D3479="Stock",P3479*G3479,IF(P3479=0,"0",G3479*P3479*100-(G3479*$AF$14))))</f>
        <v/>
      </c>
      <c r="R3479" s="79">
        <f>IF(P3479&lt;&gt;"", TODAY(), "")</f>
        <v/>
      </c>
      <c r="S3479" s="78">
        <f>IF(AND(K3479&lt;&gt;"", R3479&lt;&gt;""), R3479-K3479, "")</f>
        <v/>
      </c>
      <c r="T3479" s="78" t="n"/>
      <c r="U3479" s="92">
        <f>IF(ISBLANK(P3479),"",IF(C3479="Buy",Q3479-M3479+T3479, IF(C3479="Sell",M3479-Q3479-T3479, X)))</f>
        <v/>
      </c>
      <c r="V3479" s="81">
        <f>IF(ISBLANK(P3479),"",U3479/N3479)</f>
        <v/>
      </c>
      <c r="W3479" s="81">
        <f>IF(ISBLANK(P3479),"",IF(S3479=0,(365/0.5)*V3479,(365/S3479)*V3479))</f>
        <v/>
      </c>
      <c r="X3479" s="75" t="n"/>
      <c r="Y3479" s="77" t="n"/>
      <c r="Z3479" s="77" t="n"/>
      <c r="AA3479" s="75" t="n"/>
      <c r="AB3479" s="75" t="n"/>
      <c r="AC3479" s="6" t="n"/>
      <c r="AD3479" s="75" t="n"/>
      <c r="AE3479" s="75" t="n"/>
      <c r="AF3479" s="75" t="n"/>
    </row>
    <row r="3480" ht="15.75" customHeight="1" s="133">
      <c r="A3480" s="75" t="n"/>
      <c r="B3480" s="75" t="n"/>
      <c r="C3480" s="75" t="n"/>
      <c r="D3480" s="75" t="n"/>
      <c r="E3480" s="76" t="n"/>
      <c r="F3480" s="77" t="n"/>
      <c r="G3480" s="75" t="n"/>
      <c r="H3480" s="75">
        <f>IF(ISBLANK(E3480),"",IF(OR(D3480="Butterfly",D3480="Butterfly ",D3480="Iron Fly", D3480="Iron Fly "),LEN(E3480)-LEN(SUBSTITUTE(E3480,"/",""))+2,LEN(E3480)-LEN(SUBSTITUTE(E3480,"/",""))+1))</f>
        <v/>
      </c>
      <c r="I3480" s="78">
        <f>IF(ISBLANK(G3480),"",IF(D3480="Stock","0",Key!$A$3*H3480*G3480))</f>
        <v/>
      </c>
      <c r="J3480" s="78">
        <f>IF(ISBLANK(E3480),"",IF(ISNUMBER(SEARCH("/",E3480)), IF(LEN(E3480)-LEN(SUBSTITUTE(E3480,"/",""))=1,(RIGHT(E3480,LEN(E3480)-FIND("/",E3480)))-(LEFT(E3480,FIND("/",E3480)-1)),(MID(E3480, SEARCH("/",E3480) + 1, SEARCH("/",E3480, SEARCH("/",E3480)+1) - SEARCH("/",E3480) - 1))-(LEFT(E3480,FIND("/",E3480)-1))), "NA"))</f>
        <v/>
      </c>
      <c r="K3480" s="79">
        <f>IF(A3480&lt;&gt;"", IF(ISBLANK(L3480), TODAY(), K3480), "")</f>
        <v/>
      </c>
      <c r="L3480" s="78" t="n"/>
      <c r="M3480" s="78">
        <f>IF(ISBLANK(L3480),"",IF(D3480="Stock",IF(C3480="Buy",L3480*G3480,IF(C3480="Sell",(L3480*G3480)-I3480, X)),IF(C3480="Buy",(L3480*G3480*100)+I3480,IF(C3480="Sell",(L3480*G3480*100)-I3480, X))))</f>
        <v/>
      </c>
      <c r="N3480" s="78">
        <f>IF(ISBLANK(L3480),"",IF(AND(C3480="Sell",D3480="Stock"),M3480,IF(ISBLANK(L3480),"",IF(C3480="Buy",M3480, IF(AND(C3480="Sell",J3480="NA"),(E3480*G3480*100*0.1)+I3480, IF(C3480="Sell",(J3480-L3480)*(100*G3480)+I3480))))))</f>
        <v/>
      </c>
      <c r="O3480" s="75" t="n"/>
      <c r="P3480" s="75" t="n"/>
      <c r="Q3480" s="75">
        <f>IF(ISBLANK(P3480),"",IF(D3480="Stock",P3480*G3480,IF(P3480=0,"0",G3480*P3480*100-(G3480*$AF$14))))</f>
        <v/>
      </c>
      <c r="R3480" s="79">
        <f>IF(P3480&lt;&gt;"", TODAY(), "")</f>
        <v/>
      </c>
      <c r="S3480" s="78">
        <f>IF(AND(K3480&lt;&gt;"", R3480&lt;&gt;""), R3480-K3480, "")</f>
        <v/>
      </c>
      <c r="T3480" s="78" t="n"/>
      <c r="U3480" s="92">
        <f>IF(ISBLANK(P3480),"",IF(C3480="Buy",Q3480-M3480+T3480, IF(C3480="Sell",M3480-Q3480-T3480, X)))</f>
        <v/>
      </c>
      <c r="V3480" s="81">
        <f>IF(ISBLANK(P3480),"",U3480/N3480)</f>
        <v/>
      </c>
      <c r="W3480" s="81">
        <f>IF(ISBLANK(P3480),"",IF(S3480=0,(365/0.5)*V3480,(365/S3480)*V3480))</f>
        <v/>
      </c>
      <c r="X3480" s="75" t="n"/>
      <c r="Y3480" s="77" t="n"/>
      <c r="Z3480" s="77" t="n"/>
      <c r="AA3480" s="75" t="n"/>
      <c r="AB3480" s="75" t="n"/>
      <c r="AC3480" s="6" t="n"/>
      <c r="AD3480" s="75" t="n"/>
      <c r="AE3480" s="75" t="n"/>
      <c r="AF3480" s="75" t="n"/>
    </row>
    <row r="3481" ht="15.75" customHeight="1" s="133">
      <c r="A3481" s="75" t="n"/>
      <c r="B3481" s="75" t="n"/>
      <c r="C3481" s="75" t="n"/>
      <c r="D3481" s="75" t="n"/>
      <c r="E3481" s="76" t="n"/>
      <c r="F3481" s="77" t="n"/>
      <c r="G3481" s="75" t="n"/>
      <c r="H3481" s="75">
        <f>IF(ISBLANK(E3481),"",IF(OR(D3481="Butterfly",D3481="Butterfly ",D3481="Iron Fly", D3481="Iron Fly "),LEN(E3481)-LEN(SUBSTITUTE(E3481,"/",""))+2,LEN(E3481)-LEN(SUBSTITUTE(E3481,"/",""))+1))</f>
        <v/>
      </c>
      <c r="I3481" s="78">
        <f>IF(ISBLANK(G3481),"",IF(D3481="Stock","0",Key!$A$3*H3481*G3481))</f>
        <v/>
      </c>
      <c r="J3481" s="78">
        <f>IF(ISBLANK(E3481),"",IF(ISNUMBER(SEARCH("/",E3481)), IF(LEN(E3481)-LEN(SUBSTITUTE(E3481,"/",""))=1,(RIGHT(E3481,LEN(E3481)-FIND("/",E3481)))-(LEFT(E3481,FIND("/",E3481)-1)),(MID(E3481, SEARCH("/",E3481) + 1, SEARCH("/",E3481, SEARCH("/",E3481)+1) - SEARCH("/",E3481) - 1))-(LEFT(E3481,FIND("/",E3481)-1))), "NA"))</f>
        <v/>
      </c>
      <c r="K3481" s="79">
        <f>IF(A3481&lt;&gt;"", IF(ISBLANK(L3481), TODAY(), K3481), "")</f>
        <v/>
      </c>
      <c r="L3481" s="78" t="n"/>
      <c r="M3481" s="78">
        <f>IF(ISBLANK(L3481),"",IF(D3481="Stock",IF(C3481="Buy",L3481*G3481,IF(C3481="Sell",(L3481*G3481)-I3481, X)),IF(C3481="Buy",(L3481*G3481*100)+I3481,IF(C3481="Sell",(L3481*G3481*100)-I3481, X))))</f>
        <v/>
      </c>
      <c r="N3481" s="78">
        <f>IF(ISBLANK(L3481),"",IF(AND(C3481="Sell",D3481="Stock"),M3481,IF(ISBLANK(L3481),"",IF(C3481="Buy",M3481, IF(AND(C3481="Sell",J3481="NA"),(E3481*G3481*100*0.1)+I3481, IF(C3481="Sell",(J3481-L3481)*(100*G3481)+I3481))))))</f>
        <v/>
      </c>
      <c r="O3481" s="75" t="n"/>
      <c r="P3481" s="75" t="n"/>
      <c r="Q3481" s="75">
        <f>IF(ISBLANK(P3481),"",IF(D3481="Stock",P3481*G3481,IF(P3481=0,"0",G3481*P3481*100-(G3481*$AF$14))))</f>
        <v/>
      </c>
      <c r="R3481" s="79">
        <f>IF(P3481&lt;&gt;"", TODAY(), "")</f>
        <v/>
      </c>
      <c r="S3481" s="78">
        <f>IF(AND(K3481&lt;&gt;"", R3481&lt;&gt;""), R3481-K3481, "")</f>
        <v/>
      </c>
      <c r="T3481" s="78" t="n"/>
      <c r="U3481" s="92">
        <f>IF(ISBLANK(P3481),"",IF(C3481="Buy",Q3481-M3481+T3481, IF(C3481="Sell",M3481-Q3481-T3481, X)))</f>
        <v/>
      </c>
      <c r="V3481" s="81">
        <f>IF(ISBLANK(P3481),"",U3481/N3481)</f>
        <v/>
      </c>
      <c r="W3481" s="81">
        <f>IF(ISBLANK(P3481),"",IF(S3481=0,(365/0.5)*V3481,(365/S3481)*V3481))</f>
        <v/>
      </c>
      <c r="X3481" s="75" t="n"/>
      <c r="Y3481" s="77" t="n"/>
      <c r="Z3481" s="77" t="n"/>
      <c r="AA3481" s="75" t="n"/>
      <c r="AB3481" s="75" t="n"/>
      <c r="AC3481" s="6" t="n"/>
      <c r="AD3481" s="75" t="n"/>
      <c r="AE3481" s="75" t="n"/>
      <c r="AF3481" s="75" t="n"/>
    </row>
    <row r="3482" ht="15.75" customHeight="1" s="133">
      <c r="A3482" s="75" t="n"/>
      <c r="B3482" s="75" t="n"/>
      <c r="C3482" s="75" t="n"/>
      <c r="D3482" s="75" t="n"/>
      <c r="E3482" s="76" t="n"/>
      <c r="F3482" s="77" t="n"/>
      <c r="G3482" s="75" t="n"/>
      <c r="H3482" s="75">
        <f>IF(ISBLANK(E3482),"",IF(OR(D3482="Butterfly",D3482="Butterfly ",D3482="Iron Fly", D3482="Iron Fly "),LEN(E3482)-LEN(SUBSTITUTE(E3482,"/",""))+2,LEN(E3482)-LEN(SUBSTITUTE(E3482,"/",""))+1))</f>
        <v/>
      </c>
      <c r="I3482" s="78">
        <f>IF(ISBLANK(G3482),"",IF(D3482="Stock","0",Key!$A$3*H3482*G3482))</f>
        <v/>
      </c>
      <c r="J3482" s="78">
        <f>IF(ISBLANK(E3482),"",IF(ISNUMBER(SEARCH("/",E3482)), IF(LEN(E3482)-LEN(SUBSTITUTE(E3482,"/",""))=1,(RIGHT(E3482,LEN(E3482)-FIND("/",E3482)))-(LEFT(E3482,FIND("/",E3482)-1)),(MID(E3482, SEARCH("/",E3482) + 1, SEARCH("/",E3482, SEARCH("/",E3482)+1) - SEARCH("/",E3482) - 1))-(LEFT(E3482,FIND("/",E3482)-1))), "NA"))</f>
        <v/>
      </c>
      <c r="K3482" s="79">
        <f>IF(A3482&lt;&gt;"", IF(ISBLANK(L3482), TODAY(), K3482), "")</f>
        <v/>
      </c>
      <c r="L3482" s="78" t="n"/>
      <c r="M3482" s="78">
        <f>IF(ISBLANK(L3482),"",IF(D3482="Stock",IF(C3482="Buy",L3482*G3482,IF(C3482="Sell",(L3482*G3482)-I3482, X)),IF(C3482="Buy",(L3482*G3482*100)+I3482,IF(C3482="Sell",(L3482*G3482*100)-I3482, X))))</f>
        <v/>
      </c>
      <c r="N3482" s="78">
        <f>IF(ISBLANK(L3482),"",IF(AND(C3482="Sell",D3482="Stock"),M3482,IF(ISBLANK(L3482),"",IF(C3482="Buy",M3482, IF(AND(C3482="Sell",J3482="NA"),(E3482*G3482*100*0.1)+I3482, IF(C3482="Sell",(J3482-L3482)*(100*G3482)+I3482))))))</f>
        <v/>
      </c>
      <c r="O3482" s="75" t="n"/>
      <c r="P3482" s="75" t="n"/>
      <c r="Q3482" s="75">
        <f>IF(ISBLANK(P3482),"",IF(D3482="Stock",P3482*G3482,IF(P3482=0,"0",G3482*P3482*100-(G3482*$AF$14))))</f>
        <v/>
      </c>
      <c r="R3482" s="79">
        <f>IF(P3482&lt;&gt;"", TODAY(), "")</f>
        <v/>
      </c>
      <c r="S3482" s="78">
        <f>IF(AND(K3482&lt;&gt;"", R3482&lt;&gt;""), R3482-K3482, "")</f>
        <v/>
      </c>
      <c r="T3482" s="78" t="n"/>
      <c r="U3482" s="92">
        <f>IF(ISBLANK(P3482),"",IF(C3482="Buy",Q3482-M3482+T3482, IF(C3482="Sell",M3482-Q3482-T3482, X)))</f>
        <v/>
      </c>
      <c r="V3482" s="81">
        <f>IF(ISBLANK(P3482),"",U3482/N3482)</f>
        <v/>
      </c>
      <c r="W3482" s="81">
        <f>IF(ISBLANK(P3482),"",IF(S3482=0,(365/0.5)*V3482,(365/S3482)*V3482))</f>
        <v/>
      </c>
      <c r="X3482" s="75" t="n"/>
      <c r="Y3482" s="77" t="n"/>
      <c r="Z3482" s="77" t="n"/>
      <c r="AA3482" s="75" t="n"/>
      <c r="AB3482" s="75" t="n"/>
      <c r="AC3482" s="6" t="n"/>
      <c r="AD3482" s="75" t="n"/>
      <c r="AE3482" s="75" t="n"/>
      <c r="AF3482" s="75" t="n"/>
    </row>
    <row r="3483" ht="15.75" customHeight="1" s="133">
      <c r="A3483" s="75" t="n"/>
      <c r="B3483" s="75" t="n"/>
      <c r="C3483" s="75" t="n"/>
      <c r="D3483" s="75" t="n"/>
      <c r="E3483" s="76" t="n"/>
      <c r="F3483" s="77" t="n"/>
      <c r="G3483" s="75" t="n"/>
      <c r="H3483" s="75">
        <f>IF(ISBLANK(E3483),"",IF(OR(D3483="Butterfly",D3483="Butterfly ",D3483="Iron Fly", D3483="Iron Fly "),LEN(E3483)-LEN(SUBSTITUTE(E3483,"/",""))+2,LEN(E3483)-LEN(SUBSTITUTE(E3483,"/",""))+1))</f>
        <v/>
      </c>
      <c r="I3483" s="78">
        <f>IF(ISBLANK(G3483),"",IF(D3483="Stock","0",Key!$A$3*H3483*G3483))</f>
        <v/>
      </c>
      <c r="J3483" s="78">
        <f>IF(ISBLANK(E3483),"",IF(ISNUMBER(SEARCH("/",E3483)), IF(LEN(E3483)-LEN(SUBSTITUTE(E3483,"/",""))=1,(RIGHT(E3483,LEN(E3483)-FIND("/",E3483)))-(LEFT(E3483,FIND("/",E3483)-1)),(MID(E3483, SEARCH("/",E3483) + 1, SEARCH("/",E3483, SEARCH("/",E3483)+1) - SEARCH("/",E3483) - 1))-(LEFT(E3483,FIND("/",E3483)-1))), "NA"))</f>
        <v/>
      </c>
      <c r="K3483" s="79">
        <f>IF(A3483&lt;&gt;"", IF(ISBLANK(L3483), TODAY(), K3483), "")</f>
        <v/>
      </c>
      <c r="L3483" s="78" t="n"/>
      <c r="M3483" s="78">
        <f>IF(ISBLANK(L3483),"",IF(D3483="Stock",IF(C3483="Buy",L3483*G3483,IF(C3483="Sell",(L3483*G3483)-I3483, X)),IF(C3483="Buy",(L3483*G3483*100)+I3483,IF(C3483="Sell",(L3483*G3483*100)-I3483, X))))</f>
        <v/>
      </c>
      <c r="N3483" s="78">
        <f>IF(ISBLANK(L3483),"",IF(AND(C3483="Sell",D3483="Stock"),M3483,IF(ISBLANK(L3483),"",IF(C3483="Buy",M3483, IF(AND(C3483="Sell",J3483="NA"),(E3483*G3483*100*0.1)+I3483, IF(C3483="Sell",(J3483-L3483)*(100*G3483)+I3483))))))</f>
        <v/>
      </c>
      <c r="O3483" s="75" t="n"/>
      <c r="P3483" s="75" t="n"/>
      <c r="Q3483" s="75">
        <f>IF(ISBLANK(P3483),"",IF(D3483="Stock",P3483*G3483,IF(P3483=0,"0",G3483*P3483*100-(G3483*$AF$14))))</f>
        <v/>
      </c>
      <c r="R3483" s="79">
        <f>IF(P3483&lt;&gt;"", TODAY(), "")</f>
        <v/>
      </c>
      <c r="S3483" s="78">
        <f>IF(AND(K3483&lt;&gt;"", R3483&lt;&gt;""), R3483-K3483, "")</f>
        <v/>
      </c>
      <c r="T3483" s="78" t="n"/>
      <c r="U3483" s="92">
        <f>IF(ISBLANK(P3483),"",IF(C3483="Buy",Q3483-M3483+T3483, IF(C3483="Sell",M3483-Q3483-T3483, X)))</f>
        <v/>
      </c>
      <c r="V3483" s="81">
        <f>IF(ISBLANK(P3483),"",U3483/N3483)</f>
        <v/>
      </c>
      <c r="W3483" s="81">
        <f>IF(ISBLANK(P3483),"",IF(S3483=0,(365/0.5)*V3483,(365/S3483)*V3483))</f>
        <v/>
      </c>
      <c r="X3483" s="75" t="n"/>
      <c r="Y3483" s="77" t="n"/>
      <c r="Z3483" s="77" t="n"/>
      <c r="AA3483" s="75" t="n"/>
      <c r="AB3483" s="75" t="n"/>
      <c r="AC3483" s="6" t="n"/>
      <c r="AD3483" s="75" t="n"/>
      <c r="AE3483" s="75" t="n"/>
      <c r="AF3483" s="75" t="n"/>
    </row>
    <row r="3484" ht="15.75" customHeight="1" s="133">
      <c r="A3484" s="75" t="n"/>
      <c r="B3484" s="75" t="n"/>
      <c r="C3484" s="75" t="n"/>
      <c r="D3484" s="75" t="n"/>
      <c r="E3484" s="76" t="n"/>
      <c r="F3484" s="77" t="n"/>
      <c r="G3484" s="75" t="n"/>
      <c r="H3484" s="75">
        <f>IF(ISBLANK(E3484),"",IF(OR(D3484="Butterfly",D3484="Butterfly ",D3484="Iron Fly", D3484="Iron Fly "),LEN(E3484)-LEN(SUBSTITUTE(E3484,"/",""))+2,LEN(E3484)-LEN(SUBSTITUTE(E3484,"/",""))+1))</f>
        <v/>
      </c>
      <c r="I3484" s="78">
        <f>IF(ISBLANK(G3484),"",IF(D3484="Stock","0",Key!$A$3*H3484*G3484))</f>
        <v/>
      </c>
      <c r="J3484" s="78">
        <f>IF(ISBLANK(E3484),"",IF(ISNUMBER(SEARCH("/",E3484)), IF(LEN(E3484)-LEN(SUBSTITUTE(E3484,"/",""))=1,(RIGHT(E3484,LEN(E3484)-FIND("/",E3484)))-(LEFT(E3484,FIND("/",E3484)-1)),(MID(E3484, SEARCH("/",E3484) + 1, SEARCH("/",E3484, SEARCH("/",E3484)+1) - SEARCH("/",E3484) - 1))-(LEFT(E3484,FIND("/",E3484)-1))), "NA"))</f>
        <v/>
      </c>
      <c r="K3484" s="79">
        <f>IF(A3484&lt;&gt;"", IF(ISBLANK(L3484), TODAY(), K3484), "")</f>
        <v/>
      </c>
      <c r="L3484" s="78" t="n"/>
      <c r="M3484" s="78">
        <f>IF(ISBLANK(L3484),"",IF(D3484="Stock",IF(C3484="Buy",L3484*G3484,IF(C3484="Sell",(L3484*G3484)-I3484, X)),IF(C3484="Buy",(L3484*G3484*100)+I3484,IF(C3484="Sell",(L3484*G3484*100)-I3484, X))))</f>
        <v/>
      </c>
      <c r="N3484" s="78">
        <f>IF(ISBLANK(L3484),"",IF(AND(C3484="Sell",D3484="Stock"),M3484,IF(ISBLANK(L3484),"",IF(C3484="Buy",M3484, IF(AND(C3484="Sell",J3484="NA"),(E3484*G3484*100*0.1)+I3484, IF(C3484="Sell",(J3484-L3484)*(100*G3484)+I3484))))))</f>
        <v/>
      </c>
      <c r="O3484" s="75" t="n"/>
      <c r="P3484" s="75" t="n"/>
      <c r="Q3484" s="75">
        <f>IF(ISBLANK(P3484),"",IF(D3484="Stock",P3484*G3484,IF(P3484=0,"0",G3484*P3484*100-(G3484*$AF$14))))</f>
        <v/>
      </c>
      <c r="R3484" s="79">
        <f>IF(P3484&lt;&gt;"", TODAY(), "")</f>
        <v/>
      </c>
      <c r="S3484" s="78">
        <f>IF(AND(K3484&lt;&gt;"", R3484&lt;&gt;""), R3484-K3484, "")</f>
        <v/>
      </c>
      <c r="T3484" s="78" t="n"/>
      <c r="U3484" s="92">
        <f>IF(ISBLANK(P3484),"",IF(C3484="Buy",Q3484-M3484+T3484, IF(C3484="Sell",M3484-Q3484-T3484, X)))</f>
        <v/>
      </c>
      <c r="V3484" s="81">
        <f>IF(ISBLANK(P3484),"",U3484/N3484)</f>
        <v/>
      </c>
      <c r="W3484" s="81">
        <f>IF(ISBLANK(P3484),"",IF(S3484=0,(365/0.5)*V3484,(365/S3484)*V3484))</f>
        <v/>
      </c>
      <c r="X3484" s="75" t="n"/>
      <c r="Y3484" s="77" t="n"/>
      <c r="Z3484" s="77" t="n"/>
      <c r="AA3484" s="75" t="n"/>
      <c r="AB3484" s="75" t="n"/>
      <c r="AC3484" s="6" t="n"/>
      <c r="AD3484" s="75" t="n"/>
      <c r="AE3484" s="75" t="n"/>
      <c r="AF3484" s="75" t="n"/>
    </row>
    <row r="3485" ht="15.75" customHeight="1" s="133">
      <c r="A3485" s="75" t="n"/>
      <c r="B3485" s="75" t="n"/>
      <c r="C3485" s="75" t="n"/>
      <c r="D3485" s="75" t="n"/>
      <c r="E3485" s="76" t="n"/>
      <c r="F3485" s="77" t="n"/>
      <c r="G3485" s="75" t="n"/>
      <c r="H3485" s="75">
        <f>IF(ISBLANK(E3485),"",IF(OR(D3485="Butterfly",D3485="Butterfly ",D3485="Iron Fly", D3485="Iron Fly "),LEN(E3485)-LEN(SUBSTITUTE(E3485,"/",""))+2,LEN(E3485)-LEN(SUBSTITUTE(E3485,"/",""))+1))</f>
        <v/>
      </c>
      <c r="I3485" s="78">
        <f>IF(ISBLANK(G3485),"",IF(D3485="Stock","0",Key!$A$3*H3485*G3485))</f>
        <v/>
      </c>
      <c r="J3485" s="78">
        <f>IF(ISBLANK(E3485),"",IF(ISNUMBER(SEARCH("/",E3485)), IF(LEN(E3485)-LEN(SUBSTITUTE(E3485,"/",""))=1,(RIGHT(E3485,LEN(E3485)-FIND("/",E3485)))-(LEFT(E3485,FIND("/",E3485)-1)),(MID(E3485, SEARCH("/",E3485) + 1, SEARCH("/",E3485, SEARCH("/",E3485)+1) - SEARCH("/",E3485) - 1))-(LEFT(E3485,FIND("/",E3485)-1))), "NA"))</f>
        <v/>
      </c>
      <c r="K3485" s="79">
        <f>IF(A3485&lt;&gt;"", IF(ISBLANK(L3485), TODAY(), K3485), "")</f>
        <v/>
      </c>
      <c r="L3485" s="78" t="n"/>
      <c r="M3485" s="78">
        <f>IF(ISBLANK(L3485),"",IF(D3485="Stock",IF(C3485="Buy",L3485*G3485,IF(C3485="Sell",(L3485*G3485)-I3485, X)),IF(C3485="Buy",(L3485*G3485*100)+I3485,IF(C3485="Sell",(L3485*G3485*100)-I3485, X))))</f>
        <v/>
      </c>
      <c r="N3485" s="78">
        <f>IF(ISBLANK(L3485),"",IF(AND(C3485="Sell",D3485="Stock"),M3485,IF(ISBLANK(L3485),"",IF(C3485="Buy",M3485, IF(AND(C3485="Sell",J3485="NA"),(E3485*G3485*100*0.1)+I3485, IF(C3485="Sell",(J3485-L3485)*(100*G3485)+I3485))))))</f>
        <v/>
      </c>
      <c r="O3485" s="75" t="n"/>
      <c r="P3485" s="75" t="n"/>
      <c r="Q3485" s="75">
        <f>IF(ISBLANK(P3485),"",IF(D3485="Stock",P3485*G3485,IF(P3485=0,"0",G3485*P3485*100-(G3485*$AF$14))))</f>
        <v/>
      </c>
      <c r="R3485" s="79">
        <f>IF(P3485&lt;&gt;"", TODAY(), "")</f>
        <v/>
      </c>
      <c r="S3485" s="78">
        <f>IF(AND(K3485&lt;&gt;"", R3485&lt;&gt;""), R3485-K3485, "")</f>
        <v/>
      </c>
      <c r="T3485" s="78" t="n"/>
      <c r="U3485" s="92">
        <f>IF(ISBLANK(P3485),"",IF(C3485="Buy",Q3485-M3485+T3485, IF(C3485="Sell",M3485-Q3485-T3485, X)))</f>
        <v/>
      </c>
      <c r="V3485" s="81">
        <f>IF(ISBLANK(P3485),"",U3485/N3485)</f>
        <v/>
      </c>
      <c r="W3485" s="81">
        <f>IF(ISBLANK(P3485),"",IF(S3485=0,(365/0.5)*V3485,(365/S3485)*V3485))</f>
        <v/>
      </c>
      <c r="X3485" s="75" t="n"/>
      <c r="Y3485" s="77" t="n"/>
      <c r="Z3485" s="77" t="n"/>
      <c r="AA3485" s="75" t="n"/>
      <c r="AB3485" s="75" t="n"/>
      <c r="AC3485" s="6" t="n"/>
      <c r="AD3485" s="75" t="n"/>
      <c r="AE3485" s="75" t="n"/>
      <c r="AF3485" s="75" t="n"/>
    </row>
    <row r="3486" ht="15.75" customHeight="1" s="133">
      <c r="A3486" s="75" t="n"/>
      <c r="B3486" s="75" t="n"/>
      <c r="C3486" s="75" t="n"/>
      <c r="D3486" s="75" t="n"/>
      <c r="E3486" s="76" t="n"/>
      <c r="F3486" s="77" t="n"/>
      <c r="G3486" s="75" t="n"/>
      <c r="H3486" s="75">
        <f>IF(ISBLANK(E3486),"",IF(OR(D3486="Butterfly",D3486="Butterfly ",D3486="Iron Fly", D3486="Iron Fly "),LEN(E3486)-LEN(SUBSTITUTE(E3486,"/",""))+2,LEN(E3486)-LEN(SUBSTITUTE(E3486,"/",""))+1))</f>
        <v/>
      </c>
      <c r="I3486" s="78">
        <f>IF(ISBLANK(G3486),"",IF(D3486="Stock","0",Key!$A$3*H3486*G3486))</f>
        <v/>
      </c>
      <c r="J3486" s="78">
        <f>IF(ISBLANK(E3486),"",IF(ISNUMBER(SEARCH("/",E3486)), IF(LEN(E3486)-LEN(SUBSTITUTE(E3486,"/",""))=1,(RIGHT(E3486,LEN(E3486)-FIND("/",E3486)))-(LEFT(E3486,FIND("/",E3486)-1)),(MID(E3486, SEARCH("/",E3486) + 1, SEARCH("/",E3486, SEARCH("/",E3486)+1) - SEARCH("/",E3486) - 1))-(LEFT(E3486,FIND("/",E3486)-1))), "NA"))</f>
        <v/>
      </c>
      <c r="K3486" s="79">
        <f>IF(A3486&lt;&gt;"", IF(ISBLANK(L3486), TODAY(), K3486), "")</f>
        <v/>
      </c>
      <c r="L3486" s="78" t="n"/>
      <c r="M3486" s="78">
        <f>IF(ISBLANK(L3486),"",IF(D3486="Stock",IF(C3486="Buy",L3486*G3486,IF(C3486="Sell",(L3486*G3486)-I3486, X)),IF(C3486="Buy",(L3486*G3486*100)+I3486,IF(C3486="Sell",(L3486*G3486*100)-I3486, X))))</f>
        <v/>
      </c>
      <c r="N3486" s="78">
        <f>IF(ISBLANK(L3486),"",IF(AND(C3486="Sell",D3486="Stock"),M3486,IF(ISBLANK(L3486),"",IF(C3486="Buy",M3486, IF(AND(C3486="Sell",J3486="NA"),(E3486*G3486*100*0.1)+I3486, IF(C3486="Sell",(J3486-L3486)*(100*G3486)+I3486))))))</f>
        <v/>
      </c>
      <c r="O3486" s="75" t="n"/>
      <c r="P3486" s="75" t="n"/>
      <c r="Q3486" s="75">
        <f>IF(ISBLANK(P3486),"",IF(D3486="Stock",P3486*G3486,IF(P3486=0,"0",G3486*P3486*100-(G3486*$AF$14))))</f>
        <v/>
      </c>
      <c r="R3486" s="79">
        <f>IF(P3486&lt;&gt;"", TODAY(), "")</f>
        <v/>
      </c>
      <c r="S3486" s="78">
        <f>IF(AND(K3486&lt;&gt;"", R3486&lt;&gt;""), R3486-K3486, "")</f>
        <v/>
      </c>
      <c r="T3486" s="78" t="n"/>
      <c r="U3486" s="92">
        <f>IF(ISBLANK(P3486),"",IF(C3486="Buy",Q3486-M3486+T3486, IF(C3486="Sell",M3486-Q3486-T3486, X)))</f>
        <v/>
      </c>
      <c r="V3486" s="81">
        <f>IF(ISBLANK(P3486),"",U3486/N3486)</f>
        <v/>
      </c>
      <c r="W3486" s="81">
        <f>IF(ISBLANK(P3486),"",IF(S3486=0,(365/0.5)*V3486,(365/S3486)*V3486))</f>
        <v/>
      </c>
      <c r="X3486" s="75" t="n"/>
      <c r="Y3486" s="77" t="n"/>
      <c r="Z3486" s="77" t="n"/>
      <c r="AA3486" s="75" t="n"/>
      <c r="AB3486" s="75" t="n"/>
      <c r="AC3486" s="6" t="n"/>
      <c r="AD3486" s="75" t="n"/>
      <c r="AE3486" s="75" t="n"/>
      <c r="AF3486" s="75" t="n"/>
    </row>
    <row r="3487" ht="15.75" customHeight="1" s="133">
      <c r="A3487" s="75" t="n"/>
      <c r="B3487" s="75" t="n"/>
      <c r="C3487" s="75" t="n"/>
      <c r="D3487" s="75" t="n"/>
      <c r="E3487" s="76" t="n"/>
      <c r="F3487" s="77" t="n"/>
      <c r="G3487" s="75" t="n"/>
      <c r="H3487" s="75">
        <f>IF(ISBLANK(E3487),"",IF(OR(D3487="Butterfly",D3487="Butterfly ",D3487="Iron Fly", D3487="Iron Fly "),LEN(E3487)-LEN(SUBSTITUTE(E3487,"/",""))+2,LEN(E3487)-LEN(SUBSTITUTE(E3487,"/",""))+1))</f>
        <v/>
      </c>
      <c r="I3487" s="78">
        <f>IF(ISBLANK(G3487),"",IF(D3487="Stock","0",Key!$A$3*H3487*G3487))</f>
        <v/>
      </c>
      <c r="J3487" s="78">
        <f>IF(ISBLANK(E3487),"",IF(ISNUMBER(SEARCH("/",E3487)), IF(LEN(E3487)-LEN(SUBSTITUTE(E3487,"/",""))=1,(RIGHT(E3487,LEN(E3487)-FIND("/",E3487)))-(LEFT(E3487,FIND("/",E3487)-1)),(MID(E3487, SEARCH("/",E3487) + 1, SEARCH("/",E3487, SEARCH("/",E3487)+1) - SEARCH("/",E3487) - 1))-(LEFT(E3487,FIND("/",E3487)-1))), "NA"))</f>
        <v/>
      </c>
      <c r="K3487" s="79">
        <f>IF(A3487&lt;&gt;"", IF(ISBLANK(L3487), TODAY(), K3487), "")</f>
        <v/>
      </c>
      <c r="L3487" s="78" t="n"/>
      <c r="M3487" s="78">
        <f>IF(ISBLANK(L3487),"",IF(D3487="Stock",IF(C3487="Buy",L3487*G3487,IF(C3487="Sell",(L3487*G3487)-I3487, X)),IF(C3487="Buy",(L3487*G3487*100)+I3487,IF(C3487="Sell",(L3487*G3487*100)-I3487, X))))</f>
        <v/>
      </c>
      <c r="N3487" s="78">
        <f>IF(ISBLANK(L3487),"",IF(AND(C3487="Sell",D3487="Stock"),M3487,IF(ISBLANK(L3487),"",IF(C3487="Buy",M3487, IF(AND(C3487="Sell",J3487="NA"),(E3487*G3487*100*0.1)+I3487, IF(C3487="Sell",(J3487-L3487)*(100*G3487)+I3487))))))</f>
        <v/>
      </c>
      <c r="O3487" s="75" t="n"/>
      <c r="P3487" s="75" t="n"/>
      <c r="Q3487" s="75">
        <f>IF(ISBLANK(P3487),"",IF(D3487="Stock",P3487*G3487,IF(P3487=0,"0",G3487*P3487*100-(G3487*$AF$14))))</f>
        <v/>
      </c>
      <c r="R3487" s="79">
        <f>IF(P3487&lt;&gt;"", TODAY(), "")</f>
        <v/>
      </c>
      <c r="S3487" s="78">
        <f>IF(AND(K3487&lt;&gt;"", R3487&lt;&gt;""), R3487-K3487, "")</f>
        <v/>
      </c>
      <c r="T3487" s="78" t="n"/>
      <c r="U3487" s="92">
        <f>IF(ISBLANK(P3487),"",IF(C3487="Buy",Q3487-M3487+T3487, IF(C3487="Sell",M3487-Q3487-T3487, X)))</f>
        <v/>
      </c>
      <c r="V3487" s="81">
        <f>IF(ISBLANK(P3487),"",U3487/N3487)</f>
        <v/>
      </c>
      <c r="W3487" s="81">
        <f>IF(ISBLANK(P3487),"",IF(S3487=0,(365/0.5)*V3487,(365/S3487)*V3487))</f>
        <v/>
      </c>
      <c r="X3487" s="75" t="n"/>
      <c r="Y3487" s="77" t="n"/>
      <c r="Z3487" s="77" t="n"/>
      <c r="AA3487" s="75" t="n"/>
      <c r="AB3487" s="75" t="n"/>
      <c r="AC3487" s="6" t="n"/>
      <c r="AD3487" s="75" t="n"/>
      <c r="AE3487" s="75" t="n"/>
      <c r="AF3487" s="75" t="n"/>
    </row>
    <row r="3488" ht="15.75" customHeight="1" s="133">
      <c r="A3488" s="75" t="n"/>
      <c r="B3488" s="75" t="n"/>
      <c r="C3488" s="75" t="n"/>
      <c r="D3488" s="75" t="n"/>
      <c r="E3488" s="76" t="n"/>
      <c r="F3488" s="77" t="n"/>
      <c r="G3488" s="75" t="n"/>
      <c r="H3488" s="75">
        <f>IF(ISBLANK(E3488),"",IF(OR(D3488="Butterfly",D3488="Butterfly ",D3488="Iron Fly", D3488="Iron Fly "),LEN(E3488)-LEN(SUBSTITUTE(E3488,"/",""))+2,LEN(E3488)-LEN(SUBSTITUTE(E3488,"/",""))+1))</f>
        <v/>
      </c>
      <c r="I3488" s="78">
        <f>IF(ISBLANK(G3488),"",IF(D3488="Stock","0",Key!$A$3*H3488*G3488))</f>
        <v/>
      </c>
      <c r="J3488" s="78">
        <f>IF(ISBLANK(E3488),"",IF(ISNUMBER(SEARCH("/",E3488)), IF(LEN(E3488)-LEN(SUBSTITUTE(E3488,"/",""))=1,(RIGHT(E3488,LEN(E3488)-FIND("/",E3488)))-(LEFT(E3488,FIND("/",E3488)-1)),(MID(E3488, SEARCH("/",E3488) + 1, SEARCH("/",E3488, SEARCH("/",E3488)+1) - SEARCH("/",E3488) - 1))-(LEFT(E3488,FIND("/",E3488)-1))), "NA"))</f>
        <v/>
      </c>
      <c r="K3488" s="79">
        <f>IF(A3488&lt;&gt;"", IF(ISBLANK(L3488), TODAY(), K3488), "")</f>
        <v/>
      </c>
      <c r="L3488" s="78" t="n"/>
      <c r="M3488" s="78">
        <f>IF(ISBLANK(L3488),"",IF(D3488="Stock",IF(C3488="Buy",L3488*G3488,IF(C3488="Sell",(L3488*G3488)-I3488, X)),IF(C3488="Buy",(L3488*G3488*100)+I3488,IF(C3488="Sell",(L3488*G3488*100)-I3488, X))))</f>
        <v/>
      </c>
      <c r="N3488" s="78">
        <f>IF(ISBLANK(L3488),"",IF(AND(C3488="Sell",D3488="Stock"),M3488,IF(ISBLANK(L3488),"",IF(C3488="Buy",M3488, IF(AND(C3488="Sell",J3488="NA"),(E3488*G3488*100*0.1)+I3488, IF(C3488="Sell",(J3488-L3488)*(100*G3488)+I3488))))))</f>
        <v/>
      </c>
      <c r="O3488" s="75" t="n"/>
      <c r="P3488" s="75" t="n"/>
      <c r="Q3488" s="75">
        <f>IF(ISBLANK(P3488),"",IF(D3488="Stock",P3488*G3488,IF(P3488=0,"0",G3488*P3488*100-(G3488*$AF$14))))</f>
        <v/>
      </c>
      <c r="R3488" s="79">
        <f>IF(P3488&lt;&gt;"", TODAY(), "")</f>
        <v/>
      </c>
      <c r="S3488" s="78">
        <f>IF(AND(K3488&lt;&gt;"", R3488&lt;&gt;""), R3488-K3488, "")</f>
        <v/>
      </c>
      <c r="T3488" s="78" t="n"/>
      <c r="U3488" s="92">
        <f>IF(ISBLANK(P3488),"",IF(C3488="Buy",Q3488-M3488+T3488, IF(C3488="Sell",M3488-Q3488-T3488, X)))</f>
        <v/>
      </c>
      <c r="V3488" s="81">
        <f>IF(ISBLANK(P3488),"",U3488/N3488)</f>
        <v/>
      </c>
      <c r="W3488" s="81">
        <f>IF(ISBLANK(P3488),"",IF(S3488=0,(365/0.5)*V3488,(365/S3488)*V3488))</f>
        <v/>
      </c>
      <c r="X3488" s="75" t="n"/>
      <c r="Y3488" s="77" t="n"/>
      <c r="Z3488" s="77" t="n"/>
      <c r="AA3488" s="75" t="n"/>
      <c r="AB3488" s="75" t="n"/>
      <c r="AC3488" s="6" t="n"/>
      <c r="AD3488" s="75" t="n"/>
      <c r="AE3488" s="75" t="n"/>
      <c r="AF3488" s="75" t="n"/>
    </row>
    <row r="3489" ht="15.75" customHeight="1" s="133">
      <c r="A3489" s="75" t="n"/>
      <c r="B3489" s="75" t="n"/>
      <c r="C3489" s="75" t="n"/>
      <c r="D3489" s="75" t="n"/>
      <c r="E3489" s="76" t="n"/>
      <c r="F3489" s="77" t="n"/>
      <c r="G3489" s="75" t="n"/>
      <c r="H3489" s="75">
        <f>IF(ISBLANK(E3489),"",IF(OR(D3489="Butterfly",D3489="Butterfly ",D3489="Iron Fly", D3489="Iron Fly "),LEN(E3489)-LEN(SUBSTITUTE(E3489,"/",""))+2,LEN(E3489)-LEN(SUBSTITUTE(E3489,"/",""))+1))</f>
        <v/>
      </c>
      <c r="I3489" s="78">
        <f>IF(ISBLANK(G3489),"",IF(D3489="Stock","0",Key!$A$3*H3489*G3489))</f>
        <v/>
      </c>
      <c r="J3489" s="78">
        <f>IF(ISBLANK(E3489),"",IF(ISNUMBER(SEARCH("/",E3489)), IF(LEN(E3489)-LEN(SUBSTITUTE(E3489,"/",""))=1,(RIGHT(E3489,LEN(E3489)-FIND("/",E3489)))-(LEFT(E3489,FIND("/",E3489)-1)),(MID(E3489, SEARCH("/",E3489) + 1, SEARCH("/",E3489, SEARCH("/",E3489)+1) - SEARCH("/",E3489) - 1))-(LEFT(E3489,FIND("/",E3489)-1))), "NA"))</f>
        <v/>
      </c>
      <c r="K3489" s="79">
        <f>IF(A3489&lt;&gt;"", IF(ISBLANK(L3489), TODAY(), K3489), "")</f>
        <v/>
      </c>
      <c r="L3489" s="78" t="n"/>
      <c r="M3489" s="78">
        <f>IF(ISBLANK(L3489),"",IF(D3489="Stock",IF(C3489="Buy",L3489*G3489,IF(C3489="Sell",(L3489*G3489)-I3489, X)),IF(C3489="Buy",(L3489*G3489*100)+I3489,IF(C3489="Sell",(L3489*G3489*100)-I3489, X))))</f>
        <v/>
      </c>
      <c r="N3489" s="78">
        <f>IF(ISBLANK(L3489),"",IF(AND(C3489="Sell",D3489="Stock"),M3489,IF(ISBLANK(L3489),"",IF(C3489="Buy",M3489, IF(AND(C3489="Sell",J3489="NA"),(E3489*G3489*100*0.1)+I3489, IF(C3489="Sell",(J3489-L3489)*(100*G3489)+I3489))))))</f>
        <v/>
      </c>
      <c r="O3489" s="75" t="n"/>
      <c r="P3489" s="75" t="n"/>
      <c r="Q3489" s="75">
        <f>IF(ISBLANK(P3489),"",IF(D3489="Stock",P3489*G3489,IF(P3489=0,"0",G3489*P3489*100-(G3489*$AF$14))))</f>
        <v/>
      </c>
      <c r="R3489" s="79">
        <f>IF(P3489&lt;&gt;"", TODAY(), "")</f>
        <v/>
      </c>
      <c r="S3489" s="78">
        <f>IF(AND(K3489&lt;&gt;"", R3489&lt;&gt;""), R3489-K3489, "")</f>
        <v/>
      </c>
      <c r="T3489" s="78" t="n"/>
      <c r="U3489" s="92">
        <f>IF(ISBLANK(P3489),"",IF(C3489="Buy",Q3489-M3489+T3489, IF(C3489="Sell",M3489-Q3489-T3489, X)))</f>
        <v/>
      </c>
      <c r="V3489" s="81">
        <f>IF(ISBLANK(P3489),"",U3489/N3489)</f>
        <v/>
      </c>
      <c r="W3489" s="81">
        <f>IF(ISBLANK(P3489),"",IF(S3489=0,(365/0.5)*V3489,(365/S3489)*V3489))</f>
        <v/>
      </c>
      <c r="X3489" s="75" t="n"/>
      <c r="Y3489" s="77" t="n"/>
      <c r="Z3489" s="77" t="n"/>
      <c r="AA3489" s="75" t="n"/>
      <c r="AB3489" s="75" t="n"/>
      <c r="AC3489" s="6" t="n"/>
      <c r="AD3489" s="75" t="n"/>
      <c r="AE3489" s="75" t="n"/>
      <c r="AF3489" s="75" t="n"/>
    </row>
    <row r="3490" ht="15.75" customHeight="1" s="133">
      <c r="A3490" s="75" t="n"/>
      <c r="B3490" s="75" t="n"/>
      <c r="C3490" s="75" t="n"/>
      <c r="D3490" s="75" t="n"/>
      <c r="E3490" s="76" t="n"/>
      <c r="F3490" s="77" t="n"/>
      <c r="G3490" s="75" t="n"/>
      <c r="H3490" s="75">
        <f>IF(ISBLANK(E3490),"",IF(OR(D3490="Butterfly",D3490="Butterfly ",D3490="Iron Fly", D3490="Iron Fly "),LEN(E3490)-LEN(SUBSTITUTE(E3490,"/",""))+2,LEN(E3490)-LEN(SUBSTITUTE(E3490,"/",""))+1))</f>
        <v/>
      </c>
      <c r="I3490" s="78">
        <f>IF(ISBLANK(G3490),"",IF(D3490="Stock","0",Key!$A$3*H3490*G3490))</f>
        <v/>
      </c>
      <c r="J3490" s="78">
        <f>IF(ISBLANK(E3490),"",IF(ISNUMBER(SEARCH("/",E3490)), IF(LEN(E3490)-LEN(SUBSTITUTE(E3490,"/",""))=1,(RIGHT(E3490,LEN(E3490)-FIND("/",E3490)))-(LEFT(E3490,FIND("/",E3490)-1)),(MID(E3490, SEARCH("/",E3490) + 1, SEARCH("/",E3490, SEARCH("/",E3490)+1) - SEARCH("/",E3490) - 1))-(LEFT(E3490,FIND("/",E3490)-1))), "NA"))</f>
        <v/>
      </c>
      <c r="K3490" s="79">
        <f>IF(A3490&lt;&gt;"", IF(ISBLANK(L3490), TODAY(), K3490), "")</f>
        <v/>
      </c>
      <c r="L3490" s="78" t="n"/>
      <c r="M3490" s="78">
        <f>IF(ISBLANK(L3490),"",IF(D3490="Stock",IF(C3490="Buy",L3490*G3490,IF(C3490="Sell",(L3490*G3490)-I3490, X)),IF(C3490="Buy",(L3490*G3490*100)+I3490,IF(C3490="Sell",(L3490*G3490*100)-I3490, X))))</f>
        <v/>
      </c>
      <c r="N3490" s="78">
        <f>IF(ISBLANK(L3490),"",IF(AND(C3490="Sell",D3490="Stock"),M3490,IF(ISBLANK(L3490),"",IF(C3490="Buy",M3490, IF(AND(C3490="Sell",J3490="NA"),(E3490*G3490*100*0.1)+I3490, IF(C3490="Sell",(J3490-L3490)*(100*G3490)+I3490))))))</f>
        <v/>
      </c>
      <c r="O3490" s="75" t="n"/>
      <c r="P3490" s="75" t="n"/>
      <c r="Q3490" s="75">
        <f>IF(ISBLANK(P3490),"",IF(D3490="Stock",P3490*G3490,IF(P3490=0,"0",G3490*P3490*100-(G3490*$AF$14))))</f>
        <v/>
      </c>
      <c r="R3490" s="79">
        <f>IF(P3490&lt;&gt;"", TODAY(), "")</f>
        <v/>
      </c>
      <c r="S3490" s="78">
        <f>IF(AND(K3490&lt;&gt;"", R3490&lt;&gt;""), R3490-K3490, "")</f>
        <v/>
      </c>
      <c r="T3490" s="78" t="n"/>
      <c r="U3490" s="92">
        <f>IF(ISBLANK(P3490),"",IF(C3490="Buy",Q3490-M3490+T3490, IF(C3490="Sell",M3490-Q3490-T3490, X)))</f>
        <v/>
      </c>
      <c r="V3490" s="81">
        <f>IF(ISBLANK(P3490),"",U3490/N3490)</f>
        <v/>
      </c>
      <c r="W3490" s="81">
        <f>IF(ISBLANK(P3490),"",IF(S3490=0,(365/0.5)*V3490,(365/S3490)*V3490))</f>
        <v/>
      </c>
      <c r="X3490" s="75" t="n"/>
      <c r="Y3490" s="77" t="n"/>
      <c r="Z3490" s="77" t="n"/>
      <c r="AA3490" s="75" t="n"/>
      <c r="AB3490" s="75" t="n"/>
      <c r="AC3490" s="6" t="n"/>
      <c r="AD3490" s="75" t="n"/>
      <c r="AE3490" s="75" t="n"/>
      <c r="AF3490" s="75" t="n"/>
    </row>
    <row r="3491" ht="15.75" customHeight="1" s="133">
      <c r="A3491" s="75" t="n"/>
      <c r="B3491" s="75" t="n"/>
      <c r="C3491" s="75" t="n"/>
      <c r="D3491" s="75" t="n"/>
      <c r="E3491" s="76" t="n"/>
      <c r="F3491" s="77" t="n"/>
      <c r="G3491" s="75" t="n"/>
      <c r="H3491" s="75">
        <f>IF(ISBLANK(E3491),"",IF(OR(D3491="Butterfly",D3491="Butterfly ",D3491="Iron Fly", D3491="Iron Fly "),LEN(E3491)-LEN(SUBSTITUTE(E3491,"/",""))+2,LEN(E3491)-LEN(SUBSTITUTE(E3491,"/",""))+1))</f>
        <v/>
      </c>
      <c r="I3491" s="78">
        <f>IF(ISBLANK(G3491),"",IF(D3491="Stock","0",Key!$A$3*H3491*G3491))</f>
        <v/>
      </c>
      <c r="J3491" s="78">
        <f>IF(ISBLANK(E3491),"",IF(ISNUMBER(SEARCH("/",E3491)), IF(LEN(E3491)-LEN(SUBSTITUTE(E3491,"/",""))=1,(RIGHT(E3491,LEN(E3491)-FIND("/",E3491)))-(LEFT(E3491,FIND("/",E3491)-1)),(MID(E3491, SEARCH("/",E3491) + 1, SEARCH("/",E3491, SEARCH("/",E3491)+1) - SEARCH("/",E3491) - 1))-(LEFT(E3491,FIND("/",E3491)-1))), "NA"))</f>
        <v/>
      </c>
      <c r="K3491" s="79">
        <f>IF(A3491&lt;&gt;"", IF(ISBLANK(L3491), TODAY(), K3491), "")</f>
        <v/>
      </c>
      <c r="L3491" s="78" t="n"/>
      <c r="M3491" s="78">
        <f>IF(ISBLANK(L3491),"",IF(D3491="Stock",IF(C3491="Buy",L3491*G3491,IF(C3491="Sell",(L3491*G3491)-I3491, X)),IF(C3491="Buy",(L3491*G3491*100)+I3491,IF(C3491="Sell",(L3491*G3491*100)-I3491, X))))</f>
        <v/>
      </c>
      <c r="N3491" s="78">
        <f>IF(ISBLANK(L3491),"",IF(AND(C3491="Sell",D3491="Stock"),M3491,IF(ISBLANK(L3491),"",IF(C3491="Buy",M3491, IF(AND(C3491="Sell",J3491="NA"),(E3491*G3491*100*0.1)+I3491, IF(C3491="Sell",(J3491-L3491)*(100*G3491)+I3491))))))</f>
        <v/>
      </c>
      <c r="O3491" s="75" t="n"/>
      <c r="P3491" s="75" t="n"/>
      <c r="Q3491" s="75">
        <f>IF(ISBLANK(P3491),"",IF(D3491="Stock",P3491*G3491,IF(P3491=0,"0",G3491*P3491*100-(G3491*$AF$14))))</f>
        <v/>
      </c>
      <c r="R3491" s="79">
        <f>IF(P3491&lt;&gt;"", TODAY(), "")</f>
        <v/>
      </c>
      <c r="S3491" s="78">
        <f>IF(AND(K3491&lt;&gt;"", R3491&lt;&gt;""), R3491-K3491, "")</f>
        <v/>
      </c>
      <c r="T3491" s="78" t="n"/>
      <c r="U3491" s="92">
        <f>IF(ISBLANK(P3491),"",IF(C3491="Buy",Q3491-M3491+T3491, IF(C3491="Sell",M3491-Q3491-T3491, X)))</f>
        <v/>
      </c>
      <c r="V3491" s="81">
        <f>IF(ISBLANK(P3491),"",U3491/N3491)</f>
        <v/>
      </c>
      <c r="W3491" s="81">
        <f>IF(ISBLANK(P3491),"",IF(S3491=0,(365/0.5)*V3491,(365/S3491)*V3491))</f>
        <v/>
      </c>
      <c r="X3491" s="75" t="n"/>
      <c r="Y3491" s="77" t="n"/>
      <c r="Z3491" s="77" t="n"/>
      <c r="AA3491" s="75" t="n"/>
      <c r="AB3491" s="75" t="n"/>
      <c r="AC3491" s="6" t="n"/>
      <c r="AD3491" s="75" t="n"/>
      <c r="AE3491" s="75" t="n"/>
      <c r="AF3491" s="75" t="n"/>
    </row>
    <row r="3492" ht="15.75" customHeight="1" s="133">
      <c r="A3492" s="75" t="n"/>
      <c r="B3492" s="75" t="n"/>
      <c r="C3492" s="75" t="n"/>
      <c r="D3492" s="75" t="n"/>
      <c r="E3492" s="76" t="n"/>
      <c r="F3492" s="77" t="n"/>
      <c r="G3492" s="75" t="n"/>
      <c r="H3492" s="75">
        <f>IF(ISBLANK(E3492),"",IF(OR(D3492="Butterfly",D3492="Butterfly ",D3492="Iron Fly", D3492="Iron Fly "),LEN(E3492)-LEN(SUBSTITUTE(E3492,"/",""))+2,LEN(E3492)-LEN(SUBSTITUTE(E3492,"/",""))+1))</f>
        <v/>
      </c>
      <c r="I3492" s="78">
        <f>IF(ISBLANK(G3492),"",IF(D3492="Stock","0",Key!$A$3*H3492*G3492))</f>
        <v/>
      </c>
      <c r="J3492" s="78">
        <f>IF(ISBLANK(E3492),"",IF(ISNUMBER(SEARCH("/",E3492)), IF(LEN(E3492)-LEN(SUBSTITUTE(E3492,"/",""))=1,(RIGHT(E3492,LEN(E3492)-FIND("/",E3492)))-(LEFT(E3492,FIND("/",E3492)-1)),(MID(E3492, SEARCH("/",E3492) + 1, SEARCH("/",E3492, SEARCH("/",E3492)+1) - SEARCH("/",E3492) - 1))-(LEFT(E3492,FIND("/",E3492)-1))), "NA"))</f>
        <v/>
      </c>
      <c r="K3492" s="79">
        <f>IF(A3492&lt;&gt;"", IF(ISBLANK(L3492), TODAY(), K3492), "")</f>
        <v/>
      </c>
      <c r="L3492" s="78" t="n"/>
      <c r="M3492" s="78">
        <f>IF(ISBLANK(L3492),"",IF(D3492="Stock",IF(C3492="Buy",L3492*G3492,IF(C3492="Sell",(L3492*G3492)-I3492, X)),IF(C3492="Buy",(L3492*G3492*100)+I3492,IF(C3492="Sell",(L3492*G3492*100)-I3492, X))))</f>
        <v/>
      </c>
      <c r="N3492" s="78">
        <f>IF(ISBLANK(L3492),"",IF(AND(C3492="Sell",D3492="Stock"),M3492,IF(ISBLANK(L3492),"",IF(C3492="Buy",M3492, IF(AND(C3492="Sell",J3492="NA"),(E3492*G3492*100*0.1)+I3492, IF(C3492="Sell",(J3492-L3492)*(100*G3492)+I3492))))))</f>
        <v/>
      </c>
      <c r="O3492" s="75" t="n"/>
      <c r="P3492" s="75" t="n"/>
      <c r="Q3492" s="75">
        <f>IF(ISBLANK(P3492),"",IF(D3492="Stock",P3492*G3492,IF(P3492=0,"0",G3492*P3492*100-(G3492*$AF$14))))</f>
        <v/>
      </c>
      <c r="R3492" s="79">
        <f>IF(P3492&lt;&gt;"", TODAY(), "")</f>
        <v/>
      </c>
      <c r="S3492" s="78">
        <f>IF(AND(K3492&lt;&gt;"", R3492&lt;&gt;""), R3492-K3492, "")</f>
        <v/>
      </c>
      <c r="T3492" s="78" t="n"/>
      <c r="U3492" s="92">
        <f>IF(ISBLANK(P3492),"",IF(C3492="Buy",Q3492-M3492+T3492, IF(C3492="Sell",M3492-Q3492-T3492, X)))</f>
        <v/>
      </c>
      <c r="V3492" s="81">
        <f>IF(ISBLANK(P3492),"",U3492/N3492)</f>
        <v/>
      </c>
      <c r="W3492" s="81">
        <f>IF(ISBLANK(P3492),"",IF(S3492=0,(365/0.5)*V3492,(365/S3492)*V3492))</f>
        <v/>
      </c>
      <c r="X3492" s="75" t="n"/>
      <c r="Y3492" s="77" t="n"/>
      <c r="Z3492" s="77" t="n"/>
      <c r="AA3492" s="75" t="n"/>
      <c r="AB3492" s="75" t="n"/>
      <c r="AC3492" s="6" t="n"/>
      <c r="AD3492" s="75" t="n"/>
      <c r="AE3492" s="75" t="n"/>
      <c r="AF3492" s="75" t="n"/>
    </row>
    <row r="3493" ht="15.75" customHeight="1" s="133">
      <c r="A3493" s="75" t="n"/>
      <c r="B3493" s="75" t="n"/>
      <c r="C3493" s="75" t="n"/>
      <c r="D3493" s="75" t="n"/>
      <c r="E3493" s="76" t="n"/>
      <c r="F3493" s="77" t="n"/>
      <c r="G3493" s="75" t="n"/>
      <c r="H3493" s="75">
        <f>IF(ISBLANK(E3493),"",IF(OR(D3493="Butterfly",D3493="Butterfly ",D3493="Iron Fly", D3493="Iron Fly "),LEN(E3493)-LEN(SUBSTITUTE(E3493,"/",""))+2,LEN(E3493)-LEN(SUBSTITUTE(E3493,"/",""))+1))</f>
        <v/>
      </c>
      <c r="I3493" s="78">
        <f>IF(ISBLANK(G3493),"",IF(D3493="Stock","0",Key!$A$3*H3493*G3493))</f>
        <v/>
      </c>
      <c r="J3493" s="78">
        <f>IF(ISBLANK(E3493),"",IF(ISNUMBER(SEARCH("/",E3493)), IF(LEN(E3493)-LEN(SUBSTITUTE(E3493,"/",""))=1,(RIGHT(E3493,LEN(E3493)-FIND("/",E3493)))-(LEFT(E3493,FIND("/",E3493)-1)),(MID(E3493, SEARCH("/",E3493) + 1, SEARCH("/",E3493, SEARCH("/",E3493)+1) - SEARCH("/",E3493) - 1))-(LEFT(E3493,FIND("/",E3493)-1))), "NA"))</f>
        <v/>
      </c>
      <c r="K3493" s="79">
        <f>IF(A3493&lt;&gt;"", IF(ISBLANK(L3493), TODAY(), K3493), "")</f>
        <v/>
      </c>
      <c r="L3493" s="78" t="n"/>
      <c r="M3493" s="78">
        <f>IF(ISBLANK(L3493),"",IF(D3493="Stock",IF(C3493="Buy",L3493*G3493,IF(C3493="Sell",(L3493*G3493)-I3493, X)),IF(C3493="Buy",(L3493*G3493*100)+I3493,IF(C3493="Sell",(L3493*G3493*100)-I3493, X))))</f>
        <v/>
      </c>
      <c r="N3493" s="78">
        <f>IF(ISBLANK(L3493),"",IF(AND(C3493="Sell",D3493="Stock"),M3493,IF(ISBLANK(L3493),"",IF(C3493="Buy",M3493, IF(AND(C3493="Sell",J3493="NA"),(E3493*G3493*100*0.1)+I3493, IF(C3493="Sell",(J3493-L3493)*(100*G3493)+I3493))))))</f>
        <v/>
      </c>
      <c r="O3493" s="75" t="n"/>
      <c r="P3493" s="75" t="n"/>
      <c r="Q3493" s="75">
        <f>IF(ISBLANK(P3493),"",IF(D3493="Stock",P3493*G3493,IF(P3493=0,"0",G3493*P3493*100-(G3493*$AF$14))))</f>
        <v/>
      </c>
      <c r="R3493" s="79">
        <f>IF(P3493&lt;&gt;"", TODAY(), "")</f>
        <v/>
      </c>
      <c r="S3493" s="78">
        <f>IF(AND(K3493&lt;&gt;"", R3493&lt;&gt;""), R3493-K3493, "")</f>
        <v/>
      </c>
      <c r="T3493" s="78" t="n"/>
      <c r="U3493" s="92">
        <f>IF(ISBLANK(P3493),"",IF(C3493="Buy",Q3493-M3493+T3493, IF(C3493="Sell",M3493-Q3493-T3493, X)))</f>
        <v/>
      </c>
      <c r="V3493" s="81">
        <f>IF(ISBLANK(P3493),"",U3493/N3493)</f>
        <v/>
      </c>
      <c r="W3493" s="81">
        <f>IF(ISBLANK(P3493),"",IF(S3493=0,(365/0.5)*V3493,(365/S3493)*V3493))</f>
        <v/>
      </c>
      <c r="X3493" s="75" t="n"/>
      <c r="Y3493" s="77" t="n"/>
      <c r="Z3493" s="77" t="n"/>
      <c r="AA3493" s="75" t="n"/>
      <c r="AB3493" s="75" t="n"/>
      <c r="AC3493" s="6" t="n"/>
      <c r="AD3493" s="75" t="n"/>
      <c r="AE3493" s="75" t="n"/>
      <c r="AF3493" s="75" t="n"/>
    </row>
    <row r="3494" ht="15.75" customHeight="1" s="133">
      <c r="A3494" s="75" t="n"/>
      <c r="B3494" s="75" t="n"/>
      <c r="C3494" s="75" t="n"/>
      <c r="D3494" s="75" t="n"/>
      <c r="E3494" s="76" t="n"/>
      <c r="F3494" s="77" t="n"/>
      <c r="G3494" s="75" t="n"/>
      <c r="H3494" s="75">
        <f>IF(ISBLANK(E3494),"",IF(OR(D3494="Butterfly",D3494="Butterfly ",D3494="Iron Fly", D3494="Iron Fly "),LEN(E3494)-LEN(SUBSTITUTE(E3494,"/",""))+2,LEN(E3494)-LEN(SUBSTITUTE(E3494,"/",""))+1))</f>
        <v/>
      </c>
      <c r="I3494" s="78">
        <f>IF(ISBLANK(G3494),"",IF(D3494="Stock","0",Key!$A$3*H3494*G3494))</f>
        <v/>
      </c>
      <c r="J3494" s="78">
        <f>IF(ISBLANK(E3494),"",IF(ISNUMBER(SEARCH("/",E3494)), IF(LEN(E3494)-LEN(SUBSTITUTE(E3494,"/",""))=1,(RIGHT(E3494,LEN(E3494)-FIND("/",E3494)))-(LEFT(E3494,FIND("/",E3494)-1)),(MID(E3494, SEARCH("/",E3494) + 1, SEARCH("/",E3494, SEARCH("/",E3494)+1) - SEARCH("/",E3494) - 1))-(LEFT(E3494,FIND("/",E3494)-1))), "NA"))</f>
        <v/>
      </c>
      <c r="K3494" s="79">
        <f>IF(A3494&lt;&gt;"", IF(ISBLANK(L3494), TODAY(), K3494), "")</f>
        <v/>
      </c>
      <c r="L3494" s="78" t="n"/>
      <c r="M3494" s="78">
        <f>IF(ISBLANK(L3494),"",IF(D3494="Stock",IF(C3494="Buy",L3494*G3494,IF(C3494="Sell",(L3494*G3494)-I3494, X)),IF(C3494="Buy",(L3494*G3494*100)+I3494,IF(C3494="Sell",(L3494*G3494*100)-I3494, X))))</f>
        <v/>
      </c>
      <c r="N3494" s="78">
        <f>IF(ISBLANK(L3494),"",IF(AND(C3494="Sell",D3494="Stock"),M3494,IF(ISBLANK(L3494),"",IF(C3494="Buy",M3494, IF(AND(C3494="Sell",J3494="NA"),(E3494*G3494*100*0.1)+I3494, IF(C3494="Sell",(J3494-L3494)*(100*G3494)+I3494))))))</f>
        <v/>
      </c>
      <c r="O3494" s="75" t="n"/>
      <c r="P3494" s="75" t="n"/>
      <c r="Q3494" s="75">
        <f>IF(ISBLANK(P3494),"",IF(D3494="Stock",P3494*G3494,IF(P3494=0,"0",G3494*P3494*100-(G3494*$AF$14))))</f>
        <v/>
      </c>
      <c r="R3494" s="79">
        <f>IF(P3494&lt;&gt;"", TODAY(), "")</f>
        <v/>
      </c>
      <c r="S3494" s="78">
        <f>IF(AND(K3494&lt;&gt;"", R3494&lt;&gt;""), R3494-K3494, "")</f>
        <v/>
      </c>
      <c r="T3494" s="78" t="n"/>
      <c r="U3494" s="92">
        <f>IF(ISBLANK(P3494),"",IF(C3494="Buy",Q3494-M3494+T3494, IF(C3494="Sell",M3494-Q3494-T3494, X)))</f>
        <v/>
      </c>
      <c r="V3494" s="81">
        <f>IF(ISBLANK(P3494),"",U3494/N3494)</f>
        <v/>
      </c>
      <c r="W3494" s="81">
        <f>IF(ISBLANK(P3494),"",IF(S3494=0,(365/0.5)*V3494,(365/S3494)*V3494))</f>
        <v/>
      </c>
      <c r="X3494" s="75" t="n"/>
      <c r="Y3494" s="77" t="n"/>
      <c r="Z3494" s="77" t="n"/>
      <c r="AA3494" s="75" t="n"/>
      <c r="AB3494" s="75" t="n"/>
      <c r="AC3494" s="6" t="n"/>
      <c r="AD3494" s="75" t="n"/>
      <c r="AE3494" s="75" t="n"/>
      <c r="AF3494" s="75" t="n"/>
    </row>
    <row r="3495" ht="15.75" customHeight="1" s="133">
      <c r="A3495" s="75" t="n"/>
      <c r="B3495" s="75" t="n"/>
      <c r="C3495" s="75" t="n"/>
      <c r="D3495" s="75" t="n"/>
      <c r="E3495" s="76" t="n"/>
      <c r="F3495" s="77" t="n"/>
      <c r="G3495" s="75" t="n"/>
      <c r="H3495" s="75">
        <f>IF(ISBLANK(E3495),"",IF(OR(D3495="Butterfly",D3495="Butterfly ",D3495="Iron Fly", D3495="Iron Fly "),LEN(E3495)-LEN(SUBSTITUTE(E3495,"/",""))+2,LEN(E3495)-LEN(SUBSTITUTE(E3495,"/",""))+1))</f>
        <v/>
      </c>
      <c r="I3495" s="78">
        <f>IF(ISBLANK(G3495),"",IF(D3495="Stock","0",Key!$A$3*H3495*G3495))</f>
        <v/>
      </c>
      <c r="J3495" s="78">
        <f>IF(ISBLANK(E3495),"",IF(ISNUMBER(SEARCH("/",E3495)), IF(LEN(E3495)-LEN(SUBSTITUTE(E3495,"/",""))=1,(RIGHT(E3495,LEN(E3495)-FIND("/",E3495)))-(LEFT(E3495,FIND("/",E3495)-1)),(MID(E3495, SEARCH("/",E3495) + 1, SEARCH("/",E3495, SEARCH("/",E3495)+1) - SEARCH("/",E3495) - 1))-(LEFT(E3495,FIND("/",E3495)-1))), "NA"))</f>
        <v/>
      </c>
      <c r="K3495" s="79">
        <f>IF(A3495&lt;&gt;"", IF(ISBLANK(L3495), TODAY(), K3495), "")</f>
        <v/>
      </c>
      <c r="L3495" s="78" t="n"/>
      <c r="M3495" s="78">
        <f>IF(ISBLANK(L3495),"",IF(D3495="Stock",IF(C3495="Buy",L3495*G3495,IF(C3495="Sell",(L3495*G3495)-I3495, X)),IF(C3495="Buy",(L3495*G3495*100)+I3495,IF(C3495="Sell",(L3495*G3495*100)-I3495, X))))</f>
        <v/>
      </c>
      <c r="N3495" s="78">
        <f>IF(ISBLANK(L3495),"",IF(AND(C3495="Sell",D3495="Stock"),M3495,IF(ISBLANK(L3495),"",IF(C3495="Buy",M3495, IF(AND(C3495="Sell",J3495="NA"),(E3495*G3495*100*0.1)+I3495, IF(C3495="Sell",(J3495-L3495)*(100*G3495)+I3495))))))</f>
        <v/>
      </c>
      <c r="O3495" s="75" t="n"/>
      <c r="P3495" s="75" t="n"/>
      <c r="Q3495" s="75">
        <f>IF(ISBLANK(P3495),"",IF(D3495="Stock",P3495*G3495,IF(P3495=0,"0",G3495*P3495*100-(G3495*$AF$14))))</f>
        <v/>
      </c>
      <c r="R3495" s="79">
        <f>IF(P3495&lt;&gt;"", TODAY(), "")</f>
        <v/>
      </c>
      <c r="S3495" s="78">
        <f>IF(AND(K3495&lt;&gt;"", R3495&lt;&gt;""), R3495-K3495, "")</f>
        <v/>
      </c>
      <c r="T3495" s="78" t="n"/>
      <c r="U3495" s="92">
        <f>IF(ISBLANK(P3495),"",IF(C3495="Buy",Q3495-M3495+T3495, IF(C3495="Sell",M3495-Q3495-T3495, X)))</f>
        <v/>
      </c>
      <c r="V3495" s="81">
        <f>IF(ISBLANK(P3495),"",U3495/N3495)</f>
        <v/>
      </c>
      <c r="W3495" s="81">
        <f>IF(ISBLANK(P3495),"",IF(S3495=0,(365/0.5)*V3495,(365/S3495)*V3495))</f>
        <v/>
      </c>
      <c r="X3495" s="75" t="n"/>
      <c r="Y3495" s="77" t="n"/>
      <c r="Z3495" s="77" t="n"/>
      <c r="AA3495" s="75" t="n"/>
      <c r="AB3495" s="75" t="n"/>
      <c r="AC3495" s="6" t="n"/>
      <c r="AD3495" s="75" t="n"/>
      <c r="AE3495" s="75" t="n"/>
      <c r="AF3495" s="75" t="n"/>
    </row>
    <row r="3496" ht="15.75" customHeight="1" s="133">
      <c r="A3496" s="75" t="n"/>
      <c r="B3496" s="75" t="n"/>
      <c r="C3496" s="75" t="n"/>
      <c r="D3496" s="75" t="n"/>
      <c r="E3496" s="76" t="n"/>
      <c r="F3496" s="77" t="n"/>
      <c r="G3496" s="75" t="n"/>
      <c r="H3496" s="75">
        <f>IF(ISBLANK(E3496),"",IF(OR(D3496="Butterfly",D3496="Butterfly ",D3496="Iron Fly", D3496="Iron Fly "),LEN(E3496)-LEN(SUBSTITUTE(E3496,"/",""))+2,LEN(E3496)-LEN(SUBSTITUTE(E3496,"/",""))+1))</f>
        <v/>
      </c>
      <c r="I3496" s="78">
        <f>IF(ISBLANK(G3496),"",IF(D3496="Stock","0",Key!$A$3*H3496*G3496))</f>
        <v/>
      </c>
      <c r="J3496" s="78">
        <f>IF(ISBLANK(E3496),"",IF(ISNUMBER(SEARCH("/",E3496)), IF(LEN(E3496)-LEN(SUBSTITUTE(E3496,"/",""))=1,(RIGHT(E3496,LEN(E3496)-FIND("/",E3496)))-(LEFT(E3496,FIND("/",E3496)-1)),(MID(E3496, SEARCH("/",E3496) + 1, SEARCH("/",E3496, SEARCH("/",E3496)+1) - SEARCH("/",E3496) - 1))-(LEFT(E3496,FIND("/",E3496)-1))), "NA"))</f>
        <v/>
      </c>
      <c r="K3496" s="79">
        <f>IF(A3496&lt;&gt;"", IF(ISBLANK(L3496), TODAY(), K3496), "")</f>
        <v/>
      </c>
      <c r="L3496" s="78" t="n"/>
      <c r="M3496" s="78">
        <f>IF(ISBLANK(L3496),"",IF(D3496="Stock",IF(C3496="Buy",L3496*G3496,IF(C3496="Sell",(L3496*G3496)-I3496, X)),IF(C3496="Buy",(L3496*G3496*100)+I3496,IF(C3496="Sell",(L3496*G3496*100)-I3496, X))))</f>
        <v/>
      </c>
      <c r="N3496" s="78">
        <f>IF(ISBLANK(L3496),"",IF(AND(C3496="Sell",D3496="Stock"),M3496,IF(ISBLANK(L3496),"",IF(C3496="Buy",M3496, IF(AND(C3496="Sell",J3496="NA"),(E3496*G3496*100*0.1)+I3496, IF(C3496="Sell",(J3496-L3496)*(100*G3496)+I3496))))))</f>
        <v/>
      </c>
      <c r="O3496" s="75" t="n"/>
      <c r="P3496" s="75" t="n"/>
      <c r="Q3496" s="75">
        <f>IF(ISBLANK(P3496),"",IF(D3496="Stock",P3496*G3496,IF(P3496=0,"0",G3496*P3496*100-(G3496*$AF$14))))</f>
        <v/>
      </c>
      <c r="R3496" s="79">
        <f>IF(P3496&lt;&gt;"", TODAY(), "")</f>
        <v/>
      </c>
      <c r="S3496" s="78">
        <f>IF(AND(K3496&lt;&gt;"", R3496&lt;&gt;""), R3496-K3496, "")</f>
        <v/>
      </c>
      <c r="T3496" s="78" t="n"/>
      <c r="U3496" s="92">
        <f>IF(ISBLANK(P3496),"",IF(C3496="Buy",Q3496-M3496+T3496, IF(C3496="Sell",M3496-Q3496-T3496, X)))</f>
        <v/>
      </c>
      <c r="V3496" s="81">
        <f>IF(ISBLANK(P3496),"",U3496/N3496)</f>
        <v/>
      </c>
      <c r="W3496" s="81">
        <f>IF(ISBLANK(P3496),"",IF(S3496=0,(365/0.5)*V3496,(365/S3496)*V3496))</f>
        <v/>
      </c>
      <c r="X3496" s="75" t="n"/>
      <c r="Y3496" s="77" t="n"/>
      <c r="Z3496" s="77" t="n"/>
      <c r="AA3496" s="75" t="n"/>
      <c r="AB3496" s="75" t="n"/>
      <c r="AC3496" s="6" t="n"/>
      <c r="AD3496" s="75" t="n"/>
      <c r="AE3496" s="75" t="n"/>
      <c r="AF3496" s="75" t="n"/>
    </row>
    <row r="3497" ht="15.75" customHeight="1" s="133">
      <c r="A3497" s="75" t="n"/>
      <c r="B3497" s="75" t="n"/>
      <c r="C3497" s="75" t="n"/>
      <c r="D3497" s="75" t="n"/>
      <c r="E3497" s="76" t="n"/>
      <c r="F3497" s="77" t="n"/>
      <c r="G3497" s="75" t="n"/>
      <c r="H3497" s="75">
        <f>IF(ISBLANK(E3497),"",IF(OR(D3497="Butterfly",D3497="Butterfly ",D3497="Iron Fly", D3497="Iron Fly "),LEN(E3497)-LEN(SUBSTITUTE(E3497,"/",""))+2,LEN(E3497)-LEN(SUBSTITUTE(E3497,"/",""))+1))</f>
        <v/>
      </c>
      <c r="I3497" s="78">
        <f>IF(ISBLANK(G3497),"",IF(D3497="Stock","0",Key!$A$3*H3497*G3497))</f>
        <v/>
      </c>
      <c r="J3497" s="78">
        <f>IF(ISBLANK(E3497),"",IF(ISNUMBER(SEARCH("/",E3497)), IF(LEN(E3497)-LEN(SUBSTITUTE(E3497,"/",""))=1,(RIGHT(E3497,LEN(E3497)-FIND("/",E3497)))-(LEFT(E3497,FIND("/",E3497)-1)),(MID(E3497, SEARCH("/",E3497) + 1, SEARCH("/",E3497, SEARCH("/",E3497)+1) - SEARCH("/",E3497) - 1))-(LEFT(E3497,FIND("/",E3497)-1))), "NA"))</f>
        <v/>
      </c>
      <c r="K3497" s="79">
        <f>IF(A3497&lt;&gt;"", IF(ISBLANK(L3497), TODAY(), K3497), "")</f>
        <v/>
      </c>
      <c r="L3497" s="78" t="n"/>
      <c r="M3497" s="78">
        <f>IF(ISBLANK(L3497),"",IF(D3497="Stock",IF(C3497="Buy",L3497*G3497,IF(C3497="Sell",(L3497*G3497)-I3497, X)),IF(C3497="Buy",(L3497*G3497*100)+I3497,IF(C3497="Sell",(L3497*G3497*100)-I3497, X))))</f>
        <v/>
      </c>
      <c r="N3497" s="78">
        <f>IF(ISBLANK(L3497),"",IF(AND(C3497="Sell",D3497="Stock"),M3497,IF(ISBLANK(L3497),"",IF(C3497="Buy",M3497, IF(AND(C3497="Sell",J3497="NA"),(E3497*G3497*100*0.1)+I3497, IF(C3497="Sell",(J3497-L3497)*(100*G3497)+I3497))))))</f>
        <v/>
      </c>
      <c r="O3497" s="75" t="n"/>
      <c r="P3497" s="75" t="n"/>
      <c r="Q3497" s="75">
        <f>IF(ISBLANK(P3497),"",IF(D3497="Stock",P3497*G3497,IF(P3497=0,"0",G3497*P3497*100-(G3497*$AF$14))))</f>
        <v/>
      </c>
      <c r="R3497" s="79">
        <f>IF(P3497&lt;&gt;"", TODAY(), "")</f>
        <v/>
      </c>
      <c r="S3497" s="78">
        <f>IF(AND(K3497&lt;&gt;"", R3497&lt;&gt;""), R3497-K3497, "")</f>
        <v/>
      </c>
      <c r="T3497" s="78" t="n"/>
      <c r="U3497" s="92">
        <f>IF(ISBLANK(P3497),"",IF(C3497="Buy",Q3497-M3497+T3497, IF(C3497="Sell",M3497-Q3497-T3497, X)))</f>
        <v/>
      </c>
      <c r="V3497" s="81">
        <f>IF(ISBLANK(P3497),"",U3497/N3497)</f>
        <v/>
      </c>
      <c r="W3497" s="81">
        <f>IF(ISBLANK(P3497),"",IF(S3497=0,(365/0.5)*V3497,(365/S3497)*V3497))</f>
        <v/>
      </c>
      <c r="X3497" s="75" t="n"/>
      <c r="Y3497" s="77" t="n"/>
      <c r="Z3497" s="77" t="n"/>
      <c r="AA3497" s="75" t="n"/>
      <c r="AB3497" s="75" t="n"/>
      <c r="AC3497" s="6" t="n"/>
      <c r="AD3497" s="75" t="n"/>
      <c r="AE3497" s="75" t="n"/>
      <c r="AF3497" s="75" t="n"/>
    </row>
    <row r="3498" ht="15.75" customHeight="1" s="133">
      <c r="A3498" s="75" t="n"/>
      <c r="B3498" s="75" t="n"/>
      <c r="C3498" s="75" t="n"/>
      <c r="D3498" s="75" t="n"/>
      <c r="E3498" s="76" t="n"/>
      <c r="F3498" s="77" t="n"/>
      <c r="G3498" s="75" t="n"/>
      <c r="H3498" s="75">
        <f>IF(ISBLANK(E3498),"",IF(OR(D3498="Butterfly",D3498="Butterfly ",D3498="Iron Fly", D3498="Iron Fly "),LEN(E3498)-LEN(SUBSTITUTE(E3498,"/",""))+2,LEN(E3498)-LEN(SUBSTITUTE(E3498,"/",""))+1))</f>
        <v/>
      </c>
      <c r="I3498" s="78">
        <f>IF(ISBLANK(G3498),"",IF(D3498="Stock","0",Key!$A$3*H3498*G3498))</f>
        <v/>
      </c>
      <c r="J3498" s="78">
        <f>IF(ISBLANK(E3498),"",IF(ISNUMBER(SEARCH("/",E3498)), IF(LEN(E3498)-LEN(SUBSTITUTE(E3498,"/",""))=1,(RIGHT(E3498,LEN(E3498)-FIND("/",E3498)))-(LEFT(E3498,FIND("/",E3498)-1)),(MID(E3498, SEARCH("/",E3498) + 1, SEARCH("/",E3498, SEARCH("/",E3498)+1) - SEARCH("/",E3498) - 1))-(LEFT(E3498,FIND("/",E3498)-1))), "NA"))</f>
        <v/>
      </c>
      <c r="K3498" s="79">
        <f>IF(A3498&lt;&gt;"", IF(ISBLANK(L3498), TODAY(), K3498), "")</f>
        <v/>
      </c>
      <c r="L3498" s="78" t="n"/>
      <c r="M3498" s="78">
        <f>IF(ISBLANK(L3498),"",IF(D3498="Stock",IF(C3498="Buy",L3498*G3498,IF(C3498="Sell",(L3498*G3498)-I3498, X)),IF(C3498="Buy",(L3498*G3498*100)+I3498,IF(C3498="Sell",(L3498*G3498*100)-I3498, X))))</f>
        <v/>
      </c>
      <c r="N3498" s="78">
        <f>IF(ISBLANK(L3498),"",IF(AND(C3498="Sell",D3498="Stock"),M3498,IF(ISBLANK(L3498),"",IF(C3498="Buy",M3498, IF(AND(C3498="Sell",J3498="NA"),(E3498*G3498*100*0.1)+I3498, IF(C3498="Sell",(J3498-L3498)*(100*G3498)+I3498))))))</f>
        <v/>
      </c>
      <c r="O3498" s="75" t="n"/>
      <c r="P3498" s="75" t="n"/>
      <c r="Q3498" s="75">
        <f>IF(ISBLANK(P3498),"",IF(D3498="Stock",P3498*G3498,IF(P3498=0,"0",G3498*P3498*100-(G3498*$AF$14))))</f>
        <v/>
      </c>
      <c r="R3498" s="79">
        <f>IF(P3498&lt;&gt;"", TODAY(), "")</f>
        <v/>
      </c>
      <c r="S3498" s="78">
        <f>IF(AND(K3498&lt;&gt;"", R3498&lt;&gt;""), R3498-K3498, "")</f>
        <v/>
      </c>
      <c r="T3498" s="78" t="n"/>
      <c r="U3498" s="92">
        <f>IF(ISBLANK(P3498),"",IF(C3498="Buy",Q3498-M3498+T3498, IF(C3498="Sell",M3498-Q3498-T3498, X)))</f>
        <v/>
      </c>
      <c r="V3498" s="81">
        <f>IF(ISBLANK(P3498),"",U3498/N3498)</f>
        <v/>
      </c>
      <c r="W3498" s="81">
        <f>IF(ISBLANK(P3498),"",IF(S3498=0,(365/0.5)*V3498,(365/S3498)*V3498))</f>
        <v/>
      </c>
      <c r="X3498" s="75" t="n"/>
      <c r="Y3498" s="77" t="n"/>
      <c r="Z3498" s="77" t="n"/>
      <c r="AA3498" s="75" t="n"/>
      <c r="AB3498" s="75" t="n"/>
      <c r="AC3498" s="6" t="n"/>
      <c r="AD3498" s="75" t="n"/>
      <c r="AE3498" s="75" t="n"/>
      <c r="AF3498" s="75" t="n"/>
    </row>
    <row r="3499" ht="15.75" customHeight="1" s="133">
      <c r="A3499" s="75" t="n"/>
      <c r="B3499" s="75" t="n"/>
      <c r="C3499" s="75" t="n"/>
      <c r="D3499" s="75" t="n"/>
      <c r="E3499" s="76" t="n"/>
      <c r="F3499" s="77" t="n"/>
      <c r="G3499" s="75" t="n"/>
      <c r="H3499" s="75">
        <f>IF(ISBLANK(E3499),"",IF(OR(D3499="Butterfly",D3499="Butterfly ",D3499="Iron Fly", D3499="Iron Fly "),LEN(E3499)-LEN(SUBSTITUTE(E3499,"/",""))+2,LEN(E3499)-LEN(SUBSTITUTE(E3499,"/",""))+1))</f>
        <v/>
      </c>
      <c r="I3499" s="78">
        <f>IF(ISBLANK(G3499),"",IF(D3499="Stock","0",Key!$A$3*H3499*G3499))</f>
        <v/>
      </c>
      <c r="J3499" s="78">
        <f>IF(ISBLANK(E3499),"",IF(ISNUMBER(SEARCH("/",E3499)), IF(LEN(E3499)-LEN(SUBSTITUTE(E3499,"/",""))=1,(RIGHT(E3499,LEN(E3499)-FIND("/",E3499)))-(LEFT(E3499,FIND("/",E3499)-1)),(MID(E3499, SEARCH("/",E3499) + 1, SEARCH("/",E3499, SEARCH("/",E3499)+1) - SEARCH("/",E3499) - 1))-(LEFT(E3499,FIND("/",E3499)-1))), "NA"))</f>
        <v/>
      </c>
      <c r="K3499" s="79">
        <f>IF(A3499&lt;&gt;"", IF(ISBLANK(L3499), TODAY(), K3499), "")</f>
        <v/>
      </c>
      <c r="L3499" s="78" t="n"/>
      <c r="M3499" s="78">
        <f>IF(ISBLANK(L3499),"",IF(D3499="Stock",IF(C3499="Buy",L3499*G3499,IF(C3499="Sell",(L3499*G3499)-I3499, X)),IF(C3499="Buy",(L3499*G3499*100)+I3499,IF(C3499="Sell",(L3499*G3499*100)-I3499, X))))</f>
        <v/>
      </c>
      <c r="N3499" s="78">
        <f>IF(ISBLANK(L3499),"",IF(AND(C3499="Sell",D3499="Stock"),M3499,IF(ISBLANK(L3499),"",IF(C3499="Buy",M3499, IF(AND(C3499="Sell",J3499="NA"),(E3499*G3499*100*0.1)+I3499, IF(C3499="Sell",(J3499-L3499)*(100*G3499)+I3499))))))</f>
        <v/>
      </c>
      <c r="O3499" s="75" t="n"/>
      <c r="P3499" s="75" t="n"/>
      <c r="Q3499" s="75">
        <f>IF(ISBLANK(P3499),"",IF(D3499="Stock",P3499*G3499,IF(P3499=0,"0",G3499*P3499*100-(G3499*$AF$14))))</f>
        <v/>
      </c>
      <c r="R3499" s="79">
        <f>IF(P3499&lt;&gt;"", TODAY(), "")</f>
        <v/>
      </c>
      <c r="S3499" s="78">
        <f>IF(AND(K3499&lt;&gt;"", R3499&lt;&gt;""), R3499-K3499, "")</f>
        <v/>
      </c>
      <c r="T3499" s="78" t="n"/>
      <c r="U3499" s="92">
        <f>IF(ISBLANK(P3499),"",IF(C3499="Buy",Q3499-M3499+T3499, IF(C3499="Sell",M3499-Q3499-T3499, X)))</f>
        <v/>
      </c>
      <c r="V3499" s="81">
        <f>IF(ISBLANK(P3499),"",U3499/N3499)</f>
        <v/>
      </c>
      <c r="W3499" s="81">
        <f>IF(ISBLANK(P3499),"",IF(S3499=0,(365/0.5)*V3499,(365/S3499)*V3499))</f>
        <v/>
      </c>
      <c r="X3499" s="75" t="n"/>
      <c r="Y3499" s="77" t="n"/>
      <c r="Z3499" s="77" t="n"/>
      <c r="AA3499" s="75" t="n"/>
      <c r="AB3499" s="75" t="n"/>
      <c r="AC3499" s="6" t="n"/>
      <c r="AD3499" s="75" t="n"/>
      <c r="AE3499" s="75" t="n"/>
      <c r="AF3499" s="75" t="n"/>
    </row>
    <row r="3500" ht="15.75" customHeight="1" s="133">
      <c r="A3500" s="75" t="n"/>
      <c r="B3500" s="75" t="n"/>
      <c r="C3500" s="75" t="n"/>
      <c r="D3500" s="75" t="n"/>
      <c r="E3500" s="76" t="n"/>
      <c r="F3500" s="77" t="n"/>
      <c r="G3500" s="75" t="n"/>
      <c r="H3500" s="75">
        <f>IF(ISBLANK(E3500),"",IF(OR(D3500="Butterfly",D3500="Butterfly ",D3500="Iron Fly", D3500="Iron Fly "),LEN(E3500)-LEN(SUBSTITUTE(E3500,"/",""))+2,LEN(E3500)-LEN(SUBSTITUTE(E3500,"/",""))+1))</f>
        <v/>
      </c>
      <c r="I3500" s="78">
        <f>IF(ISBLANK(G3500),"",IF(D3500="Stock","0",Key!$A$3*H3500*G3500))</f>
        <v/>
      </c>
      <c r="J3500" s="78">
        <f>IF(ISBLANK(E3500),"",IF(ISNUMBER(SEARCH("/",E3500)), IF(LEN(E3500)-LEN(SUBSTITUTE(E3500,"/",""))=1,(RIGHT(E3500,LEN(E3500)-FIND("/",E3500)))-(LEFT(E3500,FIND("/",E3500)-1)),(MID(E3500, SEARCH("/",E3500) + 1, SEARCH("/",E3500, SEARCH("/",E3500)+1) - SEARCH("/",E3500) - 1))-(LEFT(E3500,FIND("/",E3500)-1))), "NA"))</f>
        <v/>
      </c>
      <c r="K3500" s="79">
        <f>IF(A3500&lt;&gt;"", IF(ISBLANK(L3500), TODAY(), K3500), "")</f>
        <v/>
      </c>
      <c r="L3500" s="78" t="n"/>
      <c r="M3500" s="78">
        <f>IF(ISBLANK(L3500),"",IF(D3500="Stock",IF(C3500="Buy",L3500*G3500,IF(C3500="Sell",(L3500*G3500)-I3500, X)),IF(C3500="Buy",(L3500*G3500*100)+I3500,IF(C3500="Sell",(L3500*G3500*100)-I3500, X))))</f>
        <v/>
      </c>
      <c r="N3500" s="78">
        <f>IF(ISBLANK(L3500),"",IF(AND(C3500="Sell",D3500="Stock"),M3500,IF(ISBLANK(L3500),"",IF(C3500="Buy",M3500, IF(AND(C3500="Sell",J3500="NA"),(E3500*G3500*100*0.1)+I3500, IF(C3500="Sell",(J3500-L3500)*(100*G3500)+I3500))))))</f>
        <v/>
      </c>
      <c r="O3500" s="75" t="n"/>
      <c r="P3500" s="75" t="n"/>
      <c r="Q3500" s="75">
        <f>IF(ISBLANK(P3500),"",IF(D3500="Stock",P3500*G3500,IF(P3500=0,"0",G3500*P3500*100-(G3500*$AF$14))))</f>
        <v/>
      </c>
      <c r="R3500" s="79">
        <f>IF(P3500&lt;&gt;"", TODAY(), "")</f>
        <v/>
      </c>
      <c r="S3500" s="78">
        <f>IF(AND(K3500&lt;&gt;"", R3500&lt;&gt;""), R3500-K3500, "")</f>
        <v/>
      </c>
      <c r="T3500" s="78" t="n"/>
      <c r="U3500" s="92">
        <f>IF(ISBLANK(P3500),"",IF(C3500="Buy",Q3500-M3500+T3500, IF(C3500="Sell",M3500-Q3500-T3500, X)))</f>
        <v/>
      </c>
      <c r="V3500" s="81">
        <f>IF(ISBLANK(P3500),"",U3500/N3500)</f>
        <v/>
      </c>
      <c r="W3500" s="81">
        <f>IF(ISBLANK(P3500),"",IF(S3500=0,(365/0.5)*V3500,(365/S3500)*V3500))</f>
        <v/>
      </c>
      <c r="X3500" s="75" t="n"/>
      <c r="Y3500" s="77" t="n"/>
      <c r="Z3500" s="77" t="n"/>
      <c r="AA3500" s="75" t="n"/>
      <c r="AB3500" s="75" t="n"/>
      <c r="AC3500" s="6" t="n"/>
      <c r="AD3500" s="75" t="n"/>
      <c r="AE3500" s="75" t="n"/>
      <c r="AF3500" s="75" t="n"/>
    </row>
    <row r="3501" ht="15.75" customHeight="1" s="133">
      <c r="A3501" s="75" t="n"/>
      <c r="B3501" s="75" t="n"/>
      <c r="C3501" s="75" t="n"/>
      <c r="D3501" s="75" t="n"/>
      <c r="E3501" s="76" t="n"/>
      <c r="F3501" s="77" t="n"/>
      <c r="G3501" s="75" t="n"/>
      <c r="H3501" s="75">
        <f>IF(ISBLANK(E3501),"",IF(OR(D3501="Butterfly",D3501="Butterfly ",D3501="Iron Fly", D3501="Iron Fly "),LEN(E3501)-LEN(SUBSTITUTE(E3501,"/",""))+2,LEN(E3501)-LEN(SUBSTITUTE(E3501,"/",""))+1))</f>
        <v/>
      </c>
      <c r="I3501" s="78">
        <f>IF(ISBLANK(G3501),"",IF(D3501="Stock","0",Key!$A$3*H3501*G3501))</f>
        <v/>
      </c>
      <c r="J3501" s="78">
        <f>IF(ISBLANK(E3501),"",IF(ISNUMBER(SEARCH("/",E3501)), IF(LEN(E3501)-LEN(SUBSTITUTE(E3501,"/",""))=1,(RIGHT(E3501,LEN(E3501)-FIND("/",E3501)))-(LEFT(E3501,FIND("/",E3501)-1)),(MID(E3501, SEARCH("/",E3501) + 1, SEARCH("/",E3501, SEARCH("/",E3501)+1) - SEARCH("/",E3501) - 1))-(LEFT(E3501,FIND("/",E3501)-1))), "NA"))</f>
        <v/>
      </c>
      <c r="K3501" s="79">
        <f>IF(A3501&lt;&gt;"", IF(ISBLANK(L3501), TODAY(), K3501), "")</f>
        <v/>
      </c>
      <c r="L3501" s="78" t="n"/>
      <c r="M3501" s="78">
        <f>IF(ISBLANK(L3501),"",IF(D3501="Stock",IF(C3501="Buy",L3501*G3501,IF(C3501="Sell",(L3501*G3501)-I3501, X)),IF(C3501="Buy",(L3501*G3501*100)+I3501,IF(C3501="Sell",(L3501*G3501*100)-I3501, X))))</f>
        <v/>
      </c>
      <c r="N3501" s="78">
        <f>IF(ISBLANK(L3501),"",IF(AND(C3501="Sell",D3501="Stock"),M3501,IF(ISBLANK(L3501),"",IF(C3501="Buy",M3501, IF(AND(C3501="Sell",J3501="NA"),(E3501*G3501*100*0.1)+I3501, IF(C3501="Sell",(J3501-L3501)*(100*G3501)+I3501))))))</f>
        <v/>
      </c>
      <c r="O3501" s="75" t="n"/>
      <c r="P3501" s="75" t="n"/>
      <c r="Q3501" s="75">
        <f>IF(ISBLANK(P3501),"",IF(D3501="Stock",P3501*G3501,IF(P3501=0,"0",G3501*P3501*100-(G3501*$AF$14))))</f>
        <v/>
      </c>
      <c r="R3501" s="79">
        <f>IF(P3501&lt;&gt;"", TODAY(), "")</f>
        <v/>
      </c>
      <c r="S3501" s="78">
        <f>IF(AND(K3501&lt;&gt;"", R3501&lt;&gt;""), R3501-K3501, "")</f>
        <v/>
      </c>
      <c r="T3501" s="78" t="n"/>
      <c r="U3501" s="92">
        <f>IF(ISBLANK(P3501),"",IF(C3501="Buy",Q3501-M3501+T3501, IF(C3501="Sell",M3501-Q3501-T3501, X)))</f>
        <v/>
      </c>
      <c r="V3501" s="81">
        <f>IF(ISBLANK(P3501),"",U3501/N3501)</f>
        <v/>
      </c>
      <c r="W3501" s="81">
        <f>IF(ISBLANK(P3501),"",IF(S3501=0,(365/0.5)*V3501,(365/S3501)*V3501))</f>
        <v/>
      </c>
      <c r="X3501" s="75" t="n"/>
      <c r="Y3501" s="77" t="n"/>
      <c r="Z3501" s="77" t="n"/>
      <c r="AA3501" s="75" t="n"/>
      <c r="AB3501" s="75" t="n"/>
      <c r="AC3501" s="6" t="n"/>
      <c r="AD3501" s="75" t="n"/>
      <c r="AE3501" s="75" t="n"/>
      <c r="AF3501" s="75" t="n"/>
    </row>
    <row r="3502" ht="15.75" customHeight="1" s="133">
      <c r="A3502" s="75" t="n"/>
      <c r="B3502" s="75" t="n"/>
      <c r="C3502" s="75" t="n"/>
      <c r="D3502" s="75" t="n"/>
      <c r="E3502" s="76" t="n"/>
      <c r="F3502" s="77" t="n"/>
      <c r="G3502" s="75" t="n"/>
      <c r="H3502" s="75">
        <f>IF(ISBLANK(E3502),"",IF(OR(D3502="Butterfly",D3502="Butterfly ",D3502="Iron Fly", D3502="Iron Fly "),LEN(E3502)-LEN(SUBSTITUTE(E3502,"/",""))+2,LEN(E3502)-LEN(SUBSTITUTE(E3502,"/",""))+1))</f>
        <v/>
      </c>
      <c r="I3502" s="78">
        <f>IF(ISBLANK(G3502),"",IF(D3502="Stock","0",Key!$A$3*H3502*G3502))</f>
        <v/>
      </c>
      <c r="J3502" s="78">
        <f>IF(ISBLANK(E3502),"",IF(ISNUMBER(SEARCH("/",E3502)), IF(LEN(E3502)-LEN(SUBSTITUTE(E3502,"/",""))=1,(RIGHT(E3502,LEN(E3502)-FIND("/",E3502)))-(LEFT(E3502,FIND("/",E3502)-1)),(MID(E3502, SEARCH("/",E3502) + 1, SEARCH("/",E3502, SEARCH("/",E3502)+1) - SEARCH("/",E3502) - 1))-(LEFT(E3502,FIND("/",E3502)-1))), "NA"))</f>
        <v/>
      </c>
      <c r="K3502" s="79">
        <f>IF(A3502&lt;&gt;"", IF(ISBLANK(L3502), TODAY(), K3502), "")</f>
        <v/>
      </c>
      <c r="L3502" s="78" t="n"/>
      <c r="M3502" s="78">
        <f>IF(ISBLANK(L3502),"",IF(D3502="Stock",IF(C3502="Buy",L3502*G3502,IF(C3502="Sell",(L3502*G3502)-I3502, X)),IF(C3502="Buy",(L3502*G3502*100)+I3502,IF(C3502="Sell",(L3502*G3502*100)-I3502, X))))</f>
        <v/>
      </c>
      <c r="N3502" s="78">
        <f>IF(ISBLANK(L3502),"",IF(AND(C3502="Sell",D3502="Stock"),M3502,IF(ISBLANK(L3502),"",IF(C3502="Buy",M3502, IF(AND(C3502="Sell",J3502="NA"),(E3502*G3502*100*0.1)+I3502, IF(C3502="Sell",(J3502-L3502)*(100*G3502)+I3502))))))</f>
        <v/>
      </c>
      <c r="O3502" s="75" t="n"/>
      <c r="P3502" s="75" t="n"/>
      <c r="Q3502" s="75">
        <f>IF(ISBLANK(P3502),"",IF(D3502="Stock",P3502*G3502,IF(P3502=0,"0",G3502*P3502*100-(G3502*$AF$14))))</f>
        <v/>
      </c>
      <c r="R3502" s="79">
        <f>IF(P3502&lt;&gt;"", TODAY(), "")</f>
        <v/>
      </c>
      <c r="S3502" s="78">
        <f>IF(AND(K3502&lt;&gt;"", R3502&lt;&gt;""), R3502-K3502, "")</f>
        <v/>
      </c>
      <c r="T3502" s="78" t="n"/>
      <c r="U3502" s="92">
        <f>IF(ISBLANK(P3502),"",IF(C3502="Buy",Q3502-M3502+T3502, IF(C3502="Sell",M3502-Q3502-T3502, X)))</f>
        <v/>
      </c>
      <c r="V3502" s="81">
        <f>IF(ISBLANK(P3502),"",U3502/N3502)</f>
        <v/>
      </c>
      <c r="W3502" s="81">
        <f>IF(ISBLANK(P3502),"",IF(S3502=0,(365/0.5)*V3502,(365/S3502)*V3502))</f>
        <v/>
      </c>
      <c r="X3502" s="75" t="n"/>
      <c r="Y3502" s="77" t="n"/>
      <c r="Z3502" s="77" t="n"/>
      <c r="AA3502" s="75" t="n"/>
      <c r="AB3502" s="75" t="n"/>
      <c r="AC3502" s="6" t="n"/>
      <c r="AD3502" s="75" t="n"/>
      <c r="AE3502" s="75" t="n"/>
      <c r="AF3502" s="75" t="n"/>
    </row>
    <row r="3503" ht="15.75" customHeight="1" s="133">
      <c r="A3503" s="75" t="n"/>
      <c r="B3503" s="75" t="n"/>
      <c r="C3503" s="75" t="n"/>
      <c r="D3503" s="75" t="n"/>
      <c r="E3503" s="76" t="n"/>
      <c r="F3503" s="77" t="n"/>
      <c r="G3503" s="75" t="n"/>
      <c r="H3503" s="75">
        <f>IF(ISBLANK(E3503),"",IF(OR(D3503="Butterfly",D3503="Butterfly ",D3503="Iron Fly", D3503="Iron Fly "),LEN(E3503)-LEN(SUBSTITUTE(E3503,"/",""))+2,LEN(E3503)-LEN(SUBSTITUTE(E3503,"/",""))+1))</f>
        <v/>
      </c>
      <c r="I3503" s="78">
        <f>IF(ISBLANK(G3503),"",IF(D3503="Stock","0",Key!$A$3*H3503*G3503))</f>
        <v/>
      </c>
      <c r="J3503" s="78">
        <f>IF(ISBLANK(E3503),"",IF(ISNUMBER(SEARCH("/",E3503)), IF(LEN(E3503)-LEN(SUBSTITUTE(E3503,"/",""))=1,(RIGHT(E3503,LEN(E3503)-FIND("/",E3503)))-(LEFT(E3503,FIND("/",E3503)-1)),(MID(E3503, SEARCH("/",E3503) + 1, SEARCH("/",E3503, SEARCH("/",E3503)+1) - SEARCH("/",E3503) - 1))-(LEFT(E3503,FIND("/",E3503)-1))), "NA"))</f>
        <v/>
      </c>
      <c r="K3503" s="79">
        <f>IF(A3503&lt;&gt;"", IF(ISBLANK(L3503), TODAY(), K3503), "")</f>
        <v/>
      </c>
      <c r="L3503" s="78" t="n"/>
      <c r="M3503" s="78">
        <f>IF(ISBLANK(L3503),"",IF(D3503="Stock",IF(C3503="Buy",L3503*G3503,IF(C3503="Sell",(L3503*G3503)-I3503, X)),IF(C3503="Buy",(L3503*G3503*100)+I3503,IF(C3503="Sell",(L3503*G3503*100)-I3503, X))))</f>
        <v/>
      </c>
      <c r="N3503" s="78">
        <f>IF(ISBLANK(L3503),"",IF(AND(C3503="Sell",D3503="Stock"),M3503,IF(ISBLANK(L3503),"",IF(C3503="Buy",M3503, IF(AND(C3503="Sell",J3503="NA"),(E3503*G3503*100*0.1)+I3503, IF(C3503="Sell",(J3503-L3503)*(100*G3503)+I3503))))))</f>
        <v/>
      </c>
      <c r="O3503" s="75" t="n"/>
      <c r="P3503" s="75" t="n"/>
      <c r="Q3503" s="75">
        <f>IF(ISBLANK(P3503),"",IF(D3503="Stock",P3503*G3503,IF(P3503=0,"0",G3503*P3503*100-(G3503*$AF$14))))</f>
        <v/>
      </c>
      <c r="R3503" s="79">
        <f>IF(P3503&lt;&gt;"", TODAY(), "")</f>
        <v/>
      </c>
      <c r="S3503" s="78">
        <f>IF(AND(K3503&lt;&gt;"", R3503&lt;&gt;""), R3503-K3503, "")</f>
        <v/>
      </c>
      <c r="T3503" s="78" t="n"/>
      <c r="U3503" s="92">
        <f>IF(ISBLANK(P3503),"",IF(C3503="Buy",Q3503-M3503+T3503, IF(C3503="Sell",M3503-Q3503-T3503, X)))</f>
        <v/>
      </c>
      <c r="V3503" s="81">
        <f>IF(ISBLANK(P3503),"",U3503/N3503)</f>
        <v/>
      </c>
      <c r="W3503" s="81">
        <f>IF(ISBLANK(P3503),"",IF(S3503=0,(365/0.5)*V3503,(365/S3503)*V3503))</f>
        <v/>
      </c>
      <c r="X3503" s="75" t="n"/>
      <c r="Y3503" s="77" t="n"/>
      <c r="Z3503" s="77" t="n"/>
      <c r="AA3503" s="75" t="n"/>
      <c r="AB3503" s="75" t="n"/>
      <c r="AC3503" s="6" t="n"/>
      <c r="AD3503" s="75" t="n"/>
      <c r="AE3503" s="75" t="n"/>
      <c r="AF3503" s="75" t="n"/>
    </row>
    <row r="3504" ht="15.75" customHeight="1" s="133">
      <c r="A3504" s="75" t="n"/>
      <c r="B3504" s="75" t="n"/>
      <c r="C3504" s="75" t="n"/>
      <c r="D3504" s="75" t="n"/>
      <c r="E3504" s="76" t="n"/>
      <c r="F3504" s="77" t="n"/>
      <c r="G3504" s="75" t="n"/>
      <c r="H3504" s="75">
        <f>IF(ISBLANK(E3504),"",IF(OR(D3504="Butterfly",D3504="Butterfly ",D3504="Iron Fly", D3504="Iron Fly "),LEN(E3504)-LEN(SUBSTITUTE(E3504,"/",""))+2,LEN(E3504)-LEN(SUBSTITUTE(E3504,"/",""))+1))</f>
        <v/>
      </c>
      <c r="I3504" s="78">
        <f>IF(ISBLANK(G3504),"",IF(D3504="Stock","0",Key!$A$3*H3504*G3504))</f>
        <v/>
      </c>
      <c r="J3504" s="78">
        <f>IF(ISBLANK(E3504),"",IF(ISNUMBER(SEARCH("/",E3504)), IF(LEN(E3504)-LEN(SUBSTITUTE(E3504,"/",""))=1,(RIGHT(E3504,LEN(E3504)-FIND("/",E3504)))-(LEFT(E3504,FIND("/",E3504)-1)),(MID(E3504, SEARCH("/",E3504) + 1, SEARCH("/",E3504, SEARCH("/",E3504)+1) - SEARCH("/",E3504) - 1))-(LEFT(E3504,FIND("/",E3504)-1))), "NA"))</f>
        <v/>
      </c>
      <c r="K3504" s="79">
        <f>IF(A3504&lt;&gt;"", IF(ISBLANK(L3504), TODAY(), K3504), "")</f>
        <v/>
      </c>
      <c r="L3504" s="78" t="n"/>
      <c r="M3504" s="78">
        <f>IF(ISBLANK(L3504),"",IF(D3504="Stock",IF(C3504="Buy",L3504*G3504,IF(C3504="Sell",(L3504*G3504)-I3504, X)),IF(C3504="Buy",(L3504*G3504*100)+I3504,IF(C3504="Sell",(L3504*G3504*100)-I3504, X))))</f>
        <v/>
      </c>
      <c r="N3504" s="78">
        <f>IF(ISBLANK(L3504),"",IF(AND(C3504="Sell",D3504="Stock"),M3504,IF(ISBLANK(L3504),"",IF(C3504="Buy",M3504, IF(AND(C3504="Sell",J3504="NA"),(E3504*G3504*100*0.1)+I3504, IF(C3504="Sell",(J3504-L3504)*(100*G3504)+I3504))))))</f>
        <v/>
      </c>
      <c r="O3504" s="75" t="n"/>
      <c r="P3504" s="75" t="n"/>
      <c r="Q3504" s="75">
        <f>IF(ISBLANK(P3504),"",IF(D3504="Stock",P3504*G3504,IF(P3504=0,"0",G3504*P3504*100-(G3504*$AF$14))))</f>
        <v/>
      </c>
      <c r="R3504" s="79">
        <f>IF(P3504&lt;&gt;"", TODAY(), "")</f>
        <v/>
      </c>
      <c r="S3504" s="78">
        <f>IF(AND(K3504&lt;&gt;"", R3504&lt;&gt;""), R3504-K3504, "")</f>
        <v/>
      </c>
      <c r="T3504" s="78" t="n"/>
      <c r="U3504" s="92">
        <f>IF(ISBLANK(P3504),"",IF(C3504="Buy",Q3504-M3504+T3504, IF(C3504="Sell",M3504-Q3504-T3504, X)))</f>
        <v/>
      </c>
      <c r="V3504" s="81">
        <f>IF(ISBLANK(P3504),"",U3504/N3504)</f>
        <v/>
      </c>
      <c r="W3504" s="81">
        <f>IF(ISBLANK(P3504),"",IF(S3504=0,(365/0.5)*V3504,(365/S3504)*V3504))</f>
        <v/>
      </c>
      <c r="X3504" s="75" t="n"/>
      <c r="Y3504" s="77" t="n"/>
      <c r="Z3504" s="77" t="n"/>
      <c r="AA3504" s="75" t="n"/>
      <c r="AB3504" s="75" t="n"/>
      <c r="AC3504" s="6" t="n"/>
      <c r="AD3504" s="75" t="n"/>
      <c r="AE3504" s="75" t="n"/>
      <c r="AF3504" s="75" t="n"/>
    </row>
    <row r="3505" ht="15.75" customHeight="1" s="133">
      <c r="A3505" s="75" t="n"/>
      <c r="B3505" s="75" t="n"/>
      <c r="C3505" s="75" t="n"/>
      <c r="D3505" s="75" t="n"/>
      <c r="E3505" s="76" t="n"/>
      <c r="F3505" s="77" t="n"/>
      <c r="G3505" s="75" t="n"/>
      <c r="H3505" s="75">
        <f>IF(ISBLANK(E3505),"",IF(OR(D3505="Butterfly",D3505="Butterfly ",D3505="Iron Fly", D3505="Iron Fly "),LEN(E3505)-LEN(SUBSTITUTE(E3505,"/",""))+2,LEN(E3505)-LEN(SUBSTITUTE(E3505,"/",""))+1))</f>
        <v/>
      </c>
      <c r="I3505" s="78">
        <f>IF(ISBLANK(G3505),"",IF(D3505="Stock","0",Key!$A$3*H3505*G3505))</f>
        <v/>
      </c>
      <c r="J3505" s="78">
        <f>IF(ISBLANK(E3505),"",IF(ISNUMBER(SEARCH("/",E3505)), IF(LEN(E3505)-LEN(SUBSTITUTE(E3505,"/",""))=1,(RIGHT(E3505,LEN(E3505)-FIND("/",E3505)))-(LEFT(E3505,FIND("/",E3505)-1)),(MID(E3505, SEARCH("/",E3505) + 1, SEARCH("/",E3505, SEARCH("/",E3505)+1) - SEARCH("/",E3505) - 1))-(LEFT(E3505,FIND("/",E3505)-1))), "NA"))</f>
        <v/>
      </c>
      <c r="K3505" s="79">
        <f>IF(A3505&lt;&gt;"", IF(ISBLANK(L3505), TODAY(), K3505), "")</f>
        <v/>
      </c>
      <c r="L3505" s="78" t="n"/>
      <c r="M3505" s="78">
        <f>IF(ISBLANK(L3505),"",IF(D3505="Stock",IF(C3505="Buy",L3505*G3505,IF(C3505="Sell",(L3505*G3505)-I3505, X)),IF(C3505="Buy",(L3505*G3505*100)+I3505,IF(C3505="Sell",(L3505*G3505*100)-I3505, X))))</f>
        <v/>
      </c>
      <c r="N3505" s="78">
        <f>IF(ISBLANK(L3505),"",IF(AND(C3505="Sell",D3505="Stock"),M3505,IF(ISBLANK(L3505),"",IF(C3505="Buy",M3505, IF(AND(C3505="Sell",J3505="NA"),(E3505*G3505*100*0.1)+I3505, IF(C3505="Sell",(J3505-L3505)*(100*G3505)+I3505))))))</f>
        <v/>
      </c>
      <c r="O3505" s="75" t="n"/>
      <c r="P3505" s="75" t="n"/>
      <c r="Q3505" s="75">
        <f>IF(ISBLANK(P3505),"",IF(D3505="Stock",P3505*G3505,IF(P3505=0,"0",G3505*P3505*100-(G3505*$AF$14))))</f>
        <v/>
      </c>
      <c r="R3505" s="79">
        <f>IF(P3505&lt;&gt;"", TODAY(), "")</f>
        <v/>
      </c>
      <c r="S3505" s="78">
        <f>IF(AND(K3505&lt;&gt;"", R3505&lt;&gt;""), R3505-K3505, "")</f>
        <v/>
      </c>
      <c r="T3505" s="78" t="n"/>
      <c r="U3505" s="92">
        <f>IF(ISBLANK(P3505),"",IF(C3505="Buy",Q3505-M3505+T3505, IF(C3505="Sell",M3505-Q3505-T3505, X)))</f>
        <v/>
      </c>
      <c r="V3505" s="81">
        <f>IF(ISBLANK(P3505),"",U3505/N3505)</f>
        <v/>
      </c>
      <c r="W3505" s="81">
        <f>IF(ISBLANK(P3505),"",IF(S3505=0,(365/0.5)*V3505,(365/S3505)*V3505))</f>
        <v/>
      </c>
      <c r="X3505" s="75" t="n"/>
      <c r="Y3505" s="77" t="n"/>
      <c r="Z3505" s="77" t="n"/>
      <c r="AA3505" s="75" t="n"/>
      <c r="AB3505" s="75" t="n"/>
      <c r="AC3505" s="6" t="n"/>
      <c r="AD3505" s="75" t="n"/>
      <c r="AE3505" s="75" t="n"/>
      <c r="AF3505" s="75" t="n"/>
    </row>
    <row r="3506" ht="15.75" customHeight="1" s="133">
      <c r="A3506" s="75" t="n"/>
      <c r="B3506" s="75" t="n"/>
      <c r="C3506" s="75" t="n"/>
      <c r="D3506" s="75" t="n"/>
      <c r="E3506" s="76" t="n"/>
      <c r="F3506" s="77" t="n"/>
      <c r="G3506" s="75" t="n"/>
      <c r="H3506" s="75">
        <f>IF(ISBLANK(E3506),"",IF(OR(D3506="Butterfly",D3506="Butterfly ",D3506="Iron Fly", D3506="Iron Fly "),LEN(E3506)-LEN(SUBSTITUTE(E3506,"/",""))+2,LEN(E3506)-LEN(SUBSTITUTE(E3506,"/",""))+1))</f>
        <v/>
      </c>
      <c r="I3506" s="78">
        <f>IF(ISBLANK(G3506),"",IF(D3506="Stock","0",Key!$A$3*H3506*G3506))</f>
        <v/>
      </c>
      <c r="J3506" s="78">
        <f>IF(ISBLANK(E3506),"",IF(ISNUMBER(SEARCH("/",E3506)), IF(LEN(E3506)-LEN(SUBSTITUTE(E3506,"/",""))=1,(RIGHT(E3506,LEN(E3506)-FIND("/",E3506)))-(LEFT(E3506,FIND("/",E3506)-1)),(MID(E3506, SEARCH("/",E3506) + 1, SEARCH("/",E3506, SEARCH("/",E3506)+1) - SEARCH("/",E3506) - 1))-(LEFT(E3506,FIND("/",E3506)-1))), "NA"))</f>
        <v/>
      </c>
      <c r="K3506" s="79">
        <f>IF(A3506&lt;&gt;"", IF(ISBLANK(L3506), TODAY(), K3506), "")</f>
        <v/>
      </c>
      <c r="L3506" s="78" t="n"/>
      <c r="M3506" s="78">
        <f>IF(ISBLANK(L3506),"",IF(D3506="Stock",IF(C3506="Buy",L3506*G3506,IF(C3506="Sell",(L3506*G3506)-I3506, X)),IF(C3506="Buy",(L3506*G3506*100)+I3506,IF(C3506="Sell",(L3506*G3506*100)-I3506, X))))</f>
        <v/>
      </c>
      <c r="N3506" s="78">
        <f>IF(ISBLANK(L3506),"",IF(AND(C3506="Sell",D3506="Stock"),M3506,IF(ISBLANK(L3506),"",IF(C3506="Buy",M3506, IF(AND(C3506="Sell",J3506="NA"),(E3506*G3506*100*0.1)+I3506, IF(C3506="Sell",(J3506-L3506)*(100*G3506)+I3506))))))</f>
        <v/>
      </c>
      <c r="O3506" s="75" t="n"/>
      <c r="P3506" s="75" t="n"/>
      <c r="Q3506" s="75">
        <f>IF(ISBLANK(P3506),"",IF(D3506="Stock",P3506*G3506,IF(P3506=0,"0",G3506*P3506*100-(G3506*$AF$14))))</f>
        <v/>
      </c>
      <c r="R3506" s="79">
        <f>IF(P3506&lt;&gt;"", TODAY(), "")</f>
        <v/>
      </c>
      <c r="S3506" s="78">
        <f>IF(AND(K3506&lt;&gt;"", R3506&lt;&gt;""), R3506-K3506, "")</f>
        <v/>
      </c>
      <c r="T3506" s="78" t="n"/>
      <c r="U3506" s="92">
        <f>IF(ISBLANK(P3506),"",IF(C3506="Buy",Q3506-M3506+T3506, IF(C3506="Sell",M3506-Q3506-T3506, X)))</f>
        <v/>
      </c>
      <c r="V3506" s="81">
        <f>IF(ISBLANK(P3506),"",U3506/N3506)</f>
        <v/>
      </c>
      <c r="W3506" s="81">
        <f>IF(ISBLANK(P3506),"",IF(S3506=0,(365/0.5)*V3506,(365/S3506)*V3506))</f>
        <v/>
      </c>
      <c r="X3506" s="75" t="n"/>
      <c r="Y3506" s="77" t="n"/>
      <c r="Z3506" s="77" t="n"/>
      <c r="AA3506" s="75" t="n"/>
      <c r="AB3506" s="75" t="n"/>
      <c r="AC3506" s="6" t="n"/>
      <c r="AD3506" s="75" t="n"/>
      <c r="AE3506" s="75" t="n"/>
      <c r="AF3506" s="75" t="n"/>
    </row>
    <row r="3507" ht="15.75" customHeight="1" s="133">
      <c r="A3507" s="75" t="n"/>
      <c r="B3507" s="75" t="n"/>
      <c r="C3507" s="75" t="n"/>
      <c r="D3507" s="75" t="n"/>
      <c r="E3507" s="76" t="n"/>
      <c r="F3507" s="77" t="n"/>
      <c r="G3507" s="75" t="n"/>
      <c r="H3507" s="75">
        <f>IF(ISBLANK(E3507),"",IF(OR(D3507="Butterfly",D3507="Butterfly ",D3507="Iron Fly", D3507="Iron Fly "),LEN(E3507)-LEN(SUBSTITUTE(E3507,"/",""))+2,LEN(E3507)-LEN(SUBSTITUTE(E3507,"/",""))+1))</f>
        <v/>
      </c>
      <c r="I3507" s="78">
        <f>IF(ISBLANK(G3507),"",IF(D3507="Stock","0",Key!$A$3*H3507*G3507))</f>
        <v/>
      </c>
      <c r="J3507" s="78">
        <f>IF(ISBLANK(E3507),"",IF(ISNUMBER(SEARCH("/",E3507)), IF(LEN(E3507)-LEN(SUBSTITUTE(E3507,"/",""))=1,(RIGHT(E3507,LEN(E3507)-FIND("/",E3507)))-(LEFT(E3507,FIND("/",E3507)-1)),(MID(E3507, SEARCH("/",E3507) + 1, SEARCH("/",E3507, SEARCH("/",E3507)+1) - SEARCH("/",E3507) - 1))-(LEFT(E3507,FIND("/",E3507)-1))), "NA"))</f>
        <v/>
      </c>
      <c r="K3507" s="79">
        <f>IF(A3507&lt;&gt;"", IF(ISBLANK(L3507), TODAY(), K3507), "")</f>
        <v/>
      </c>
      <c r="L3507" s="78" t="n"/>
      <c r="M3507" s="78">
        <f>IF(ISBLANK(L3507),"",IF(D3507="Stock",IF(C3507="Buy",L3507*G3507,IF(C3507="Sell",(L3507*G3507)-I3507, X)),IF(C3507="Buy",(L3507*G3507*100)+I3507,IF(C3507="Sell",(L3507*G3507*100)-I3507, X))))</f>
        <v/>
      </c>
      <c r="N3507" s="78">
        <f>IF(ISBLANK(L3507),"",IF(AND(C3507="Sell",D3507="Stock"),M3507,IF(ISBLANK(L3507),"",IF(C3507="Buy",M3507, IF(AND(C3507="Sell",J3507="NA"),(E3507*G3507*100*0.1)+I3507, IF(C3507="Sell",(J3507-L3507)*(100*G3507)+I3507))))))</f>
        <v/>
      </c>
      <c r="O3507" s="75" t="n"/>
      <c r="P3507" s="75" t="n"/>
      <c r="Q3507" s="75">
        <f>IF(ISBLANK(P3507),"",IF(D3507="Stock",P3507*G3507,IF(P3507=0,"0",G3507*P3507*100-(G3507*$AF$14))))</f>
        <v/>
      </c>
      <c r="R3507" s="79">
        <f>IF(P3507&lt;&gt;"", TODAY(), "")</f>
        <v/>
      </c>
      <c r="S3507" s="78">
        <f>IF(AND(K3507&lt;&gt;"", R3507&lt;&gt;""), R3507-K3507, "")</f>
        <v/>
      </c>
      <c r="T3507" s="78" t="n"/>
      <c r="U3507" s="92">
        <f>IF(ISBLANK(P3507),"",IF(C3507="Buy",Q3507-M3507+T3507, IF(C3507="Sell",M3507-Q3507-T3507, X)))</f>
        <v/>
      </c>
      <c r="V3507" s="81">
        <f>IF(ISBLANK(P3507),"",U3507/N3507)</f>
        <v/>
      </c>
      <c r="W3507" s="81">
        <f>IF(ISBLANK(P3507),"",IF(S3507=0,(365/0.5)*V3507,(365/S3507)*V3507))</f>
        <v/>
      </c>
      <c r="X3507" s="75" t="n"/>
      <c r="Y3507" s="77" t="n"/>
      <c r="Z3507" s="77" t="n"/>
      <c r="AA3507" s="75" t="n"/>
      <c r="AB3507" s="75" t="n"/>
      <c r="AC3507" s="6" t="n"/>
      <c r="AD3507" s="75" t="n"/>
      <c r="AE3507" s="75" t="n"/>
      <c r="AF3507" s="75" t="n"/>
    </row>
    <row r="3508" ht="15.75" customHeight="1" s="133">
      <c r="A3508" s="75" t="n"/>
      <c r="B3508" s="75" t="n"/>
      <c r="C3508" s="75" t="n"/>
      <c r="D3508" s="75" t="n"/>
      <c r="E3508" s="76" t="n"/>
      <c r="F3508" s="77" t="n"/>
      <c r="G3508" s="75" t="n"/>
      <c r="H3508" s="75">
        <f>IF(ISBLANK(E3508),"",IF(OR(D3508="Butterfly",D3508="Butterfly ",D3508="Iron Fly", D3508="Iron Fly "),LEN(E3508)-LEN(SUBSTITUTE(E3508,"/",""))+2,LEN(E3508)-LEN(SUBSTITUTE(E3508,"/",""))+1))</f>
        <v/>
      </c>
      <c r="I3508" s="78">
        <f>IF(ISBLANK(G3508),"",IF(D3508="Stock","0",Key!$A$3*H3508*G3508))</f>
        <v/>
      </c>
      <c r="J3508" s="78">
        <f>IF(ISBLANK(E3508),"",IF(ISNUMBER(SEARCH("/",E3508)), IF(LEN(E3508)-LEN(SUBSTITUTE(E3508,"/",""))=1,(RIGHT(E3508,LEN(E3508)-FIND("/",E3508)))-(LEFT(E3508,FIND("/",E3508)-1)),(MID(E3508, SEARCH("/",E3508) + 1, SEARCH("/",E3508, SEARCH("/",E3508)+1) - SEARCH("/",E3508) - 1))-(LEFT(E3508,FIND("/",E3508)-1))), "NA"))</f>
        <v/>
      </c>
      <c r="K3508" s="79">
        <f>IF(A3508&lt;&gt;"", IF(ISBLANK(L3508), TODAY(), K3508), "")</f>
        <v/>
      </c>
      <c r="L3508" s="78" t="n"/>
      <c r="M3508" s="78">
        <f>IF(ISBLANK(L3508),"",IF(D3508="Stock",IF(C3508="Buy",L3508*G3508,IF(C3508="Sell",(L3508*G3508)-I3508, X)),IF(C3508="Buy",(L3508*G3508*100)+I3508,IF(C3508="Sell",(L3508*G3508*100)-I3508, X))))</f>
        <v/>
      </c>
      <c r="N3508" s="78">
        <f>IF(ISBLANK(L3508),"",IF(AND(C3508="Sell",D3508="Stock"),M3508,IF(ISBLANK(L3508),"",IF(C3508="Buy",M3508, IF(AND(C3508="Sell",J3508="NA"),(E3508*G3508*100*0.1)+I3508, IF(C3508="Sell",(J3508-L3508)*(100*G3508)+I3508))))))</f>
        <v/>
      </c>
      <c r="O3508" s="75" t="n"/>
      <c r="P3508" s="75" t="n"/>
      <c r="Q3508" s="75">
        <f>IF(ISBLANK(P3508),"",IF(D3508="Stock",P3508*G3508,IF(P3508=0,"0",G3508*P3508*100-(G3508*$AF$14))))</f>
        <v/>
      </c>
      <c r="R3508" s="79">
        <f>IF(P3508&lt;&gt;"", TODAY(), "")</f>
        <v/>
      </c>
      <c r="S3508" s="78">
        <f>IF(AND(K3508&lt;&gt;"", R3508&lt;&gt;""), R3508-K3508, "")</f>
        <v/>
      </c>
      <c r="T3508" s="78" t="n"/>
      <c r="U3508" s="92">
        <f>IF(ISBLANK(P3508),"",IF(C3508="Buy",Q3508-M3508+T3508, IF(C3508="Sell",M3508-Q3508-T3508, X)))</f>
        <v/>
      </c>
      <c r="V3508" s="81">
        <f>IF(ISBLANK(P3508),"",U3508/N3508)</f>
        <v/>
      </c>
      <c r="W3508" s="81">
        <f>IF(ISBLANK(P3508),"",IF(S3508=0,(365/0.5)*V3508,(365/S3508)*V3508))</f>
        <v/>
      </c>
      <c r="X3508" s="75" t="n"/>
      <c r="Y3508" s="77" t="n"/>
      <c r="Z3508" s="77" t="n"/>
      <c r="AA3508" s="75" t="n"/>
      <c r="AB3508" s="75" t="n"/>
      <c r="AC3508" s="6" t="n"/>
      <c r="AD3508" s="75" t="n"/>
      <c r="AE3508" s="75" t="n"/>
      <c r="AF3508" s="75" t="n"/>
    </row>
    <row r="3509" ht="15.75" customHeight="1" s="133">
      <c r="A3509" s="75" t="n"/>
      <c r="B3509" s="75" t="n"/>
      <c r="C3509" s="75" t="n"/>
      <c r="D3509" s="75" t="n"/>
      <c r="E3509" s="76" t="n"/>
      <c r="F3509" s="77" t="n"/>
      <c r="G3509" s="75" t="n"/>
      <c r="H3509" s="75">
        <f>IF(ISBLANK(E3509),"",IF(OR(D3509="Butterfly",D3509="Butterfly ",D3509="Iron Fly", D3509="Iron Fly "),LEN(E3509)-LEN(SUBSTITUTE(E3509,"/",""))+2,LEN(E3509)-LEN(SUBSTITUTE(E3509,"/",""))+1))</f>
        <v/>
      </c>
      <c r="I3509" s="78">
        <f>IF(ISBLANK(G3509),"",IF(D3509="Stock","0",Key!$A$3*H3509*G3509))</f>
        <v/>
      </c>
      <c r="J3509" s="78">
        <f>IF(ISBLANK(E3509),"",IF(ISNUMBER(SEARCH("/",E3509)), IF(LEN(E3509)-LEN(SUBSTITUTE(E3509,"/",""))=1,(RIGHT(E3509,LEN(E3509)-FIND("/",E3509)))-(LEFT(E3509,FIND("/",E3509)-1)),(MID(E3509, SEARCH("/",E3509) + 1, SEARCH("/",E3509, SEARCH("/",E3509)+1) - SEARCH("/",E3509) - 1))-(LEFT(E3509,FIND("/",E3509)-1))), "NA"))</f>
        <v/>
      </c>
      <c r="K3509" s="79">
        <f>IF(A3509&lt;&gt;"", IF(ISBLANK(L3509), TODAY(), K3509), "")</f>
        <v/>
      </c>
      <c r="L3509" s="78" t="n"/>
      <c r="M3509" s="78">
        <f>IF(ISBLANK(L3509),"",IF(D3509="Stock",IF(C3509="Buy",L3509*G3509,IF(C3509="Sell",(L3509*G3509)-I3509, X)),IF(C3509="Buy",(L3509*G3509*100)+I3509,IF(C3509="Sell",(L3509*G3509*100)-I3509, X))))</f>
        <v/>
      </c>
      <c r="N3509" s="78">
        <f>IF(ISBLANK(L3509),"",IF(AND(C3509="Sell",D3509="Stock"),M3509,IF(ISBLANK(L3509),"",IF(C3509="Buy",M3509, IF(AND(C3509="Sell",J3509="NA"),(E3509*G3509*100*0.1)+I3509, IF(C3509="Sell",(J3509-L3509)*(100*G3509)+I3509))))))</f>
        <v/>
      </c>
      <c r="O3509" s="75" t="n"/>
      <c r="P3509" s="75" t="n"/>
      <c r="Q3509" s="75">
        <f>IF(ISBLANK(P3509),"",IF(D3509="Stock",P3509*G3509,IF(P3509=0,"0",G3509*P3509*100-(G3509*$AF$14))))</f>
        <v/>
      </c>
      <c r="R3509" s="79">
        <f>IF(P3509&lt;&gt;"", TODAY(), "")</f>
        <v/>
      </c>
      <c r="S3509" s="78">
        <f>IF(AND(K3509&lt;&gt;"", R3509&lt;&gt;""), R3509-K3509, "")</f>
        <v/>
      </c>
      <c r="T3509" s="78" t="n"/>
      <c r="U3509" s="92">
        <f>IF(ISBLANK(P3509),"",IF(C3509="Buy",Q3509-M3509+T3509, IF(C3509="Sell",M3509-Q3509-T3509, X)))</f>
        <v/>
      </c>
      <c r="V3509" s="81">
        <f>IF(ISBLANK(P3509),"",U3509/N3509)</f>
        <v/>
      </c>
      <c r="W3509" s="81">
        <f>IF(ISBLANK(P3509),"",IF(S3509=0,(365/0.5)*V3509,(365/S3509)*V3509))</f>
        <v/>
      </c>
      <c r="X3509" s="75" t="n"/>
      <c r="Y3509" s="77" t="n"/>
      <c r="Z3509" s="77" t="n"/>
      <c r="AA3509" s="75" t="n"/>
      <c r="AB3509" s="75" t="n"/>
      <c r="AC3509" s="6" t="n"/>
      <c r="AD3509" s="75" t="n"/>
      <c r="AE3509" s="75" t="n"/>
      <c r="AF3509" s="75" t="n"/>
    </row>
    <row r="3510" ht="15.75" customHeight="1" s="133">
      <c r="A3510" s="75" t="n"/>
      <c r="B3510" s="75" t="n"/>
      <c r="C3510" s="75" t="n"/>
      <c r="D3510" s="75" t="n"/>
      <c r="E3510" s="76" t="n"/>
      <c r="F3510" s="77" t="n"/>
      <c r="G3510" s="75" t="n"/>
      <c r="H3510" s="75">
        <f>IF(ISBLANK(E3510),"",IF(OR(D3510="Butterfly",D3510="Butterfly ",D3510="Iron Fly", D3510="Iron Fly "),LEN(E3510)-LEN(SUBSTITUTE(E3510,"/",""))+2,LEN(E3510)-LEN(SUBSTITUTE(E3510,"/",""))+1))</f>
        <v/>
      </c>
      <c r="I3510" s="78">
        <f>IF(ISBLANK(G3510),"",IF(D3510="Stock","0",Key!$A$3*H3510*G3510))</f>
        <v/>
      </c>
      <c r="J3510" s="78">
        <f>IF(ISBLANK(E3510),"",IF(ISNUMBER(SEARCH("/",E3510)), IF(LEN(E3510)-LEN(SUBSTITUTE(E3510,"/",""))=1,(RIGHT(E3510,LEN(E3510)-FIND("/",E3510)))-(LEFT(E3510,FIND("/",E3510)-1)),(MID(E3510, SEARCH("/",E3510) + 1, SEARCH("/",E3510, SEARCH("/",E3510)+1) - SEARCH("/",E3510) - 1))-(LEFT(E3510,FIND("/",E3510)-1))), "NA"))</f>
        <v/>
      </c>
      <c r="K3510" s="79">
        <f>IF(A3510&lt;&gt;"", IF(ISBLANK(L3510), TODAY(), K3510), "")</f>
        <v/>
      </c>
      <c r="L3510" s="78" t="n"/>
      <c r="M3510" s="78">
        <f>IF(ISBLANK(L3510),"",IF(D3510="Stock",IF(C3510="Buy",L3510*G3510,IF(C3510="Sell",(L3510*G3510)-I3510, X)),IF(C3510="Buy",(L3510*G3510*100)+I3510,IF(C3510="Sell",(L3510*G3510*100)-I3510, X))))</f>
        <v/>
      </c>
      <c r="N3510" s="78">
        <f>IF(ISBLANK(L3510),"",IF(AND(C3510="Sell",D3510="Stock"),M3510,IF(ISBLANK(L3510),"",IF(C3510="Buy",M3510, IF(AND(C3510="Sell",J3510="NA"),(E3510*G3510*100*0.1)+I3510, IF(C3510="Sell",(J3510-L3510)*(100*G3510)+I3510))))))</f>
        <v/>
      </c>
      <c r="O3510" s="75" t="n"/>
      <c r="P3510" s="75" t="n"/>
      <c r="Q3510" s="75">
        <f>IF(ISBLANK(P3510),"",IF(D3510="Stock",P3510*G3510,IF(P3510=0,"0",G3510*P3510*100-(G3510*$AF$14))))</f>
        <v/>
      </c>
      <c r="R3510" s="79">
        <f>IF(P3510&lt;&gt;"", TODAY(), "")</f>
        <v/>
      </c>
      <c r="S3510" s="78">
        <f>IF(AND(K3510&lt;&gt;"", R3510&lt;&gt;""), R3510-K3510, "")</f>
        <v/>
      </c>
      <c r="T3510" s="78" t="n"/>
      <c r="U3510" s="92">
        <f>IF(ISBLANK(P3510),"",IF(C3510="Buy",Q3510-M3510+T3510, IF(C3510="Sell",M3510-Q3510-T3510, X)))</f>
        <v/>
      </c>
      <c r="V3510" s="81">
        <f>IF(ISBLANK(P3510),"",U3510/N3510)</f>
        <v/>
      </c>
      <c r="W3510" s="81">
        <f>IF(ISBLANK(P3510),"",IF(S3510=0,(365/0.5)*V3510,(365/S3510)*V3510))</f>
        <v/>
      </c>
      <c r="X3510" s="75" t="n"/>
      <c r="Y3510" s="77" t="n"/>
      <c r="Z3510" s="77" t="n"/>
      <c r="AA3510" s="75" t="n"/>
      <c r="AB3510" s="75" t="n"/>
      <c r="AC3510" s="6" t="n"/>
      <c r="AD3510" s="75" t="n"/>
      <c r="AE3510" s="75" t="n"/>
      <c r="AF3510" s="75" t="n"/>
    </row>
    <row r="3511" ht="15.75" customHeight="1" s="133">
      <c r="A3511" s="75" t="n"/>
      <c r="B3511" s="75" t="n"/>
      <c r="C3511" s="75" t="n"/>
      <c r="D3511" s="75" t="n"/>
      <c r="E3511" s="76" t="n"/>
      <c r="F3511" s="77" t="n"/>
      <c r="G3511" s="75" t="n"/>
      <c r="H3511" s="75">
        <f>IF(ISBLANK(E3511),"",IF(OR(D3511="Butterfly",D3511="Butterfly ",D3511="Iron Fly", D3511="Iron Fly "),LEN(E3511)-LEN(SUBSTITUTE(E3511,"/",""))+2,LEN(E3511)-LEN(SUBSTITUTE(E3511,"/",""))+1))</f>
        <v/>
      </c>
      <c r="I3511" s="78">
        <f>IF(ISBLANK(G3511),"",IF(D3511="Stock","0",Key!$A$3*H3511*G3511))</f>
        <v/>
      </c>
      <c r="J3511" s="78">
        <f>IF(ISBLANK(E3511),"",IF(ISNUMBER(SEARCH("/",E3511)), IF(LEN(E3511)-LEN(SUBSTITUTE(E3511,"/",""))=1,(RIGHT(E3511,LEN(E3511)-FIND("/",E3511)))-(LEFT(E3511,FIND("/",E3511)-1)),(MID(E3511, SEARCH("/",E3511) + 1, SEARCH("/",E3511, SEARCH("/",E3511)+1) - SEARCH("/",E3511) - 1))-(LEFT(E3511,FIND("/",E3511)-1))), "NA"))</f>
        <v/>
      </c>
      <c r="K3511" s="79">
        <f>IF(A3511&lt;&gt;"", IF(ISBLANK(L3511), TODAY(), K3511), "")</f>
        <v/>
      </c>
      <c r="L3511" s="78" t="n"/>
      <c r="M3511" s="78">
        <f>IF(ISBLANK(L3511),"",IF(D3511="Stock",IF(C3511="Buy",L3511*G3511,IF(C3511="Sell",(L3511*G3511)-I3511, X)),IF(C3511="Buy",(L3511*G3511*100)+I3511,IF(C3511="Sell",(L3511*G3511*100)-I3511, X))))</f>
        <v/>
      </c>
      <c r="N3511" s="78">
        <f>IF(ISBLANK(L3511),"",IF(AND(C3511="Sell",D3511="Stock"),M3511,IF(ISBLANK(L3511),"",IF(C3511="Buy",M3511, IF(AND(C3511="Sell",J3511="NA"),(E3511*G3511*100*0.1)+I3511, IF(C3511="Sell",(J3511-L3511)*(100*G3511)+I3511))))))</f>
        <v/>
      </c>
      <c r="O3511" s="75" t="n"/>
      <c r="P3511" s="75" t="n"/>
      <c r="Q3511" s="75">
        <f>IF(ISBLANK(P3511),"",IF(D3511="Stock",P3511*G3511,IF(P3511=0,"0",G3511*P3511*100-(G3511*$AF$14))))</f>
        <v/>
      </c>
      <c r="R3511" s="79">
        <f>IF(P3511&lt;&gt;"", TODAY(), "")</f>
        <v/>
      </c>
      <c r="S3511" s="78">
        <f>IF(AND(K3511&lt;&gt;"", R3511&lt;&gt;""), R3511-K3511, "")</f>
        <v/>
      </c>
      <c r="T3511" s="78" t="n"/>
      <c r="U3511" s="92">
        <f>IF(ISBLANK(P3511),"",IF(C3511="Buy",Q3511-M3511+T3511, IF(C3511="Sell",M3511-Q3511-T3511, X)))</f>
        <v/>
      </c>
      <c r="V3511" s="81">
        <f>IF(ISBLANK(P3511),"",U3511/N3511)</f>
        <v/>
      </c>
      <c r="W3511" s="81">
        <f>IF(ISBLANK(P3511),"",IF(S3511=0,(365/0.5)*V3511,(365/S3511)*V3511))</f>
        <v/>
      </c>
      <c r="X3511" s="75" t="n"/>
      <c r="Y3511" s="77" t="n"/>
      <c r="Z3511" s="77" t="n"/>
      <c r="AA3511" s="75" t="n"/>
      <c r="AB3511" s="75" t="n"/>
      <c r="AC3511" s="6" t="n"/>
      <c r="AD3511" s="75" t="n"/>
      <c r="AE3511" s="75" t="n"/>
      <c r="AF3511" s="75" t="n"/>
    </row>
    <row r="3512" ht="15.75" customHeight="1" s="133">
      <c r="A3512" s="75" t="n"/>
      <c r="B3512" s="75" t="n"/>
      <c r="C3512" s="75" t="n"/>
      <c r="D3512" s="75" t="n"/>
      <c r="E3512" s="76" t="n"/>
      <c r="F3512" s="77" t="n"/>
      <c r="G3512" s="75" t="n"/>
      <c r="H3512" s="75">
        <f>IF(ISBLANK(E3512),"",IF(OR(D3512="Butterfly",D3512="Butterfly ",D3512="Iron Fly", D3512="Iron Fly "),LEN(E3512)-LEN(SUBSTITUTE(E3512,"/",""))+2,LEN(E3512)-LEN(SUBSTITUTE(E3512,"/",""))+1))</f>
        <v/>
      </c>
      <c r="I3512" s="78">
        <f>IF(ISBLANK(G3512),"",IF(D3512="Stock","0",Key!$A$3*H3512*G3512))</f>
        <v/>
      </c>
      <c r="J3512" s="78">
        <f>IF(ISBLANK(E3512),"",IF(ISNUMBER(SEARCH("/",E3512)), IF(LEN(E3512)-LEN(SUBSTITUTE(E3512,"/",""))=1,(RIGHT(E3512,LEN(E3512)-FIND("/",E3512)))-(LEFT(E3512,FIND("/",E3512)-1)),(MID(E3512, SEARCH("/",E3512) + 1, SEARCH("/",E3512, SEARCH("/",E3512)+1) - SEARCH("/",E3512) - 1))-(LEFT(E3512,FIND("/",E3512)-1))), "NA"))</f>
        <v/>
      </c>
      <c r="K3512" s="79">
        <f>IF(A3512&lt;&gt;"", IF(ISBLANK(L3512), TODAY(), K3512), "")</f>
        <v/>
      </c>
      <c r="L3512" s="78" t="n"/>
      <c r="M3512" s="78">
        <f>IF(ISBLANK(L3512),"",IF(D3512="Stock",IF(C3512="Buy",L3512*G3512,IF(C3512="Sell",(L3512*G3512)-I3512, X)),IF(C3512="Buy",(L3512*G3512*100)+I3512,IF(C3512="Sell",(L3512*G3512*100)-I3512, X))))</f>
        <v/>
      </c>
      <c r="N3512" s="78">
        <f>IF(ISBLANK(L3512),"",IF(AND(C3512="Sell",D3512="Stock"),M3512,IF(ISBLANK(L3512),"",IF(C3512="Buy",M3512, IF(AND(C3512="Sell",J3512="NA"),(E3512*G3512*100*0.1)+I3512, IF(C3512="Sell",(J3512-L3512)*(100*G3512)+I3512))))))</f>
        <v/>
      </c>
      <c r="O3512" s="75" t="n"/>
      <c r="P3512" s="75" t="n"/>
      <c r="Q3512" s="75">
        <f>IF(ISBLANK(P3512),"",IF(D3512="Stock",P3512*G3512,IF(P3512=0,"0",G3512*P3512*100-(G3512*$AF$14))))</f>
        <v/>
      </c>
      <c r="R3512" s="79">
        <f>IF(P3512&lt;&gt;"", TODAY(), "")</f>
        <v/>
      </c>
      <c r="S3512" s="78">
        <f>IF(AND(K3512&lt;&gt;"", R3512&lt;&gt;""), R3512-K3512, "")</f>
        <v/>
      </c>
      <c r="T3512" s="78" t="n"/>
      <c r="U3512" s="92">
        <f>IF(ISBLANK(P3512),"",IF(C3512="Buy",Q3512-M3512+T3512, IF(C3512="Sell",M3512-Q3512-T3512, X)))</f>
        <v/>
      </c>
      <c r="V3512" s="81">
        <f>IF(ISBLANK(P3512),"",U3512/N3512)</f>
        <v/>
      </c>
      <c r="W3512" s="81">
        <f>IF(ISBLANK(P3512),"",IF(S3512=0,(365/0.5)*V3512,(365/S3512)*V3512))</f>
        <v/>
      </c>
      <c r="X3512" s="75" t="n"/>
      <c r="Y3512" s="77" t="n"/>
      <c r="Z3512" s="77" t="n"/>
      <c r="AA3512" s="75" t="n"/>
      <c r="AB3512" s="75" t="n"/>
      <c r="AC3512" s="6" t="n"/>
      <c r="AD3512" s="75" t="n"/>
      <c r="AE3512" s="75" t="n"/>
      <c r="AF3512" s="75" t="n"/>
    </row>
    <row r="3513" ht="15.75" customHeight="1" s="133">
      <c r="A3513" s="75" t="n"/>
      <c r="B3513" s="75" t="n"/>
      <c r="C3513" s="75" t="n"/>
      <c r="D3513" s="75" t="n"/>
      <c r="E3513" s="76" t="n"/>
      <c r="F3513" s="77" t="n"/>
      <c r="G3513" s="75" t="n"/>
      <c r="H3513" s="75">
        <f>IF(ISBLANK(E3513),"",IF(OR(D3513="Butterfly",D3513="Butterfly ",D3513="Iron Fly", D3513="Iron Fly "),LEN(E3513)-LEN(SUBSTITUTE(E3513,"/",""))+2,LEN(E3513)-LEN(SUBSTITUTE(E3513,"/",""))+1))</f>
        <v/>
      </c>
      <c r="I3513" s="78">
        <f>IF(ISBLANK(G3513),"",IF(D3513="Stock","0",Key!$A$3*H3513*G3513))</f>
        <v/>
      </c>
      <c r="J3513" s="78">
        <f>IF(ISBLANK(E3513),"",IF(ISNUMBER(SEARCH("/",E3513)), IF(LEN(E3513)-LEN(SUBSTITUTE(E3513,"/",""))=1,(RIGHT(E3513,LEN(E3513)-FIND("/",E3513)))-(LEFT(E3513,FIND("/",E3513)-1)),(MID(E3513, SEARCH("/",E3513) + 1, SEARCH("/",E3513, SEARCH("/",E3513)+1) - SEARCH("/",E3513) - 1))-(LEFT(E3513,FIND("/",E3513)-1))), "NA"))</f>
        <v/>
      </c>
      <c r="K3513" s="79">
        <f>IF(A3513&lt;&gt;"", IF(ISBLANK(L3513), TODAY(), K3513), "")</f>
        <v/>
      </c>
      <c r="L3513" s="78" t="n"/>
      <c r="M3513" s="78">
        <f>IF(ISBLANK(L3513),"",IF(D3513="Stock",IF(C3513="Buy",L3513*G3513,IF(C3513="Sell",(L3513*G3513)-I3513, X)),IF(C3513="Buy",(L3513*G3513*100)+I3513,IF(C3513="Sell",(L3513*G3513*100)-I3513, X))))</f>
        <v/>
      </c>
      <c r="N3513" s="78">
        <f>IF(ISBLANK(L3513),"",IF(AND(C3513="Sell",D3513="Stock"),M3513,IF(ISBLANK(L3513),"",IF(C3513="Buy",M3513, IF(AND(C3513="Sell",J3513="NA"),(E3513*G3513*100*0.1)+I3513, IF(C3513="Sell",(J3513-L3513)*(100*G3513)+I3513))))))</f>
        <v/>
      </c>
      <c r="O3513" s="75" t="n"/>
      <c r="P3513" s="75" t="n"/>
      <c r="Q3513" s="75">
        <f>IF(ISBLANK(P3513),"",IF(D3513="Stock",P3513*G3513,IF(P3513=0,"0",G3513*P3513*100-(G3513*$AF$14))))</f>
        <v/>
      </c>
      <c r="R3513" s="79">
        <f>IF(P3513&lt;&gt;"", TODAY(), "")</f>
        <v/>
      </c>
      <c r="S3513" s="78">
        <f>IF(AND(K3513&lt;&gt;"", R3513&lt;&gt;""), R3513-K3513, "")</f>
        <v/>
      </c>
      <c r="T3513" s="78" t="n"/>
      <c r="U3513" s="92">
        <f>IF(ISBLANK(P3513),"",IF(C3513="Buy",Q3513-M3513+T3513, IF(C3513="Sell",M3513-Q3513-T3513, X)))</f>
        <v/>
      </c>
      <c r="V3513" s="81">
        <f>IF(ISBLANK(P3513),"",U3513/N3513)</f>
        <v/>
      </c>
      <c r="W3513" s="81">
        <f>IF(ISBLANK(P3513),"",IF(S3513=0,(365/0.5)*V3513,(365/S3513)*V3513))</f>
        <v/>
      </c>
      <c r="X3513" s="75" t="n"/>
      <c r="Y3513" s="77" t="n"/>
      <c r="Z3513" s="77" t="n"/>
      <c r="AA3513" s="75" t="n"/>
      <c r="AB3513" s="75" t="n"/>
      <c r="AC3513" s="6" t="n"/>
      <c r="AD3513" s="75" t="n"/>
      <c r="AE3513" s="75" t="n"/>
      <c r="AF3513" s="75" t="n"/>
    </row>
    <row r="3514" ht="15.75" customHeight="1" s="133">
      <c r="A3514" s="75" t="n"/>
      <c r="B3514" s="75" t="n"/>
      <c r="C3514" s="75" t="n"/>
      <c r="D3514" s="75" t="n"/>
      <c r="E3514" s="76" t="n"/>
      <c r="F3514" s="77" t="n"/>
      <c r="G3514" s="75" t="n"/>
      <c r="H3514" s="75">
        <f>IF(ISBLANK(E3514),"",IF(OR(D3514="Butterfly",D3514="Butterfly ",D3514="Iron Fly", D3514="Iron Fly "),LEN(E3514)-LEN(SUBSTITUTE(E3514,"/",""))+2,LEN(E3514)-LEN(SUBSTITUTE(E3514,"/",""))+1))</f>
        <v/>
      </c>
      <c r="I3514" s="78">
        <f>IF(ISBLANK(G3514),"",IF(D3514="Stock","0",Key!$A$3*H3514*G3514))</f>
        <v/>
      </c>
      <c r="J3514" s="78">
        <f>IF(ISBLANK(E3514),"",IF(ISNUMBER(SEARCH("/",E3514)), IF(LEN(E3514)-LEN(SUBSTITUTE(E3514,"/",""))=1,(RIGHT(E3514,LEN(E3514)-FIND("/",E3514)))-(LEFT(E3514,FIND("/",E3514)-1)),(MID(E3514, SEARCH("/",E3514) + 1, SEARCH("/",E3514, SEARCH("/",E3514)+1) - SEARCH("/",E3514) - 1))-(LEFT(E3514,FIND("/",E3514)-1))), "NA"))</f>
        <v/>
      </c>
      <c r="K3514" s="79">
        <f>IF(A3514&lt;&gt;"", IF(ISBLANK(L3514), TODAY(), K3514), "")</f>
        <v/>
      </c>
      <c r="L3514" s="78" t="n"/>
      <c r="M3514" s="78">
        <f>IF(ISBLANK(L3514),"",IF(D3514="Stock",IF(C3514="Buy",L3514*G3514,IF(C3514="Sell",(L3514*G3514)-I3514, X)),IF(C3514="Buy",(L3514*G3514*100)+I3514,IF(C3514="Sell",(L3514*G3514*100)-I3514, X))))</f>
        <v/>
      </c>
      <c r="N3514" s="78">
        <f>IF(ISBLANK(L3514),"",IF(AND(C3514="Sell",D3514="Stock"),M3514,IF(ISBLANK(L3514),"",IF(C3514="Buy",M3514, IF(AND(C3514="Sell",J3514="NA"),(E3514*G3514*100*0.1)+I3514, IF(C3514="Sell",(J3514-L3514)*(100*G3514)+I3514))))))</f>
        <v/>
      </c>
      <c r="O3514" s="75" t="n"/>
      <c r="P3514" s="75" t="n"/>
      <c r="Q3514" s="75">
        <f>IF(ISBLANK(P3514),"",IF(D3514="Stock",P3514*G3514,IF(P3514=0,"0",G3514*P3514*100-(G3514*$AF$14))))</f>
        <v/>
      </c>
      <c r="R3514" s="79">
        <f>IF(P3514&lt;&gt;"", TODAY(), "")</f>
        <v/>
      </c>
      <c r="S3514" s="78">
        <f>IF(AND(K3514&lt;&gt;"", R3514&lt;&gt;""), R3514-K3514, "")</f>
        <v/>
      </c>
      <c r="T3514" s="78" t="n"/>
      <c r="U3514" s="92">
        <f>IF(ISBLANK(P3514),"",IF(C3514="Buy",Q3514-M3514+T3514, IF(C3514="Sell",M3514-Q3514-T3514, X)))</f>
        <v/>
      </c>
      <c r="V3514" s="81">
        <f>IF(ISBLANK(P3514),"",U3514/N3514)</f>
        <v/>
      </c>
      <c r="W3514" s="81">
        <f>IF(ISBLANK(P3514),"",IF(S3514=0,(365/0.5)*V3514,(365/S3514)*V3514))</f>
        <v/>
      </c>
      <c r="X3514" s="75" t="n"/>
      <c r="Y3514" s="77" t="n"/>
      <c r="Z3514" s="77" t="n"/>
      <c r="AA3514" s="75" t="n"/>
      <c r="AB3514" s="75" t="n"/>
      <c r="AC3514" s="6" t="n"/>
      <c r="AD3514" s="75" t="n"/>
      <c r="AE3514" s="75" t="n"/>
      <c r="AF3514" s="75" t="n"/>
    </row>
    <row r="3515" ht="15.75" customHeight="1" s="133">
      <c r="A3515" s="75" t="n"/>
      <c r="B3515" s="75" t="n"/>
      <c r="C3515" s="75" t="n"/>
      <c r="D3515" s="75" t="n"/>
      <c r="E3515" s="76" t="n"/>
      <c r="F3515" s="77" t="n"/>
      <c r="G3515" s="75" t="n"/>
      <c r="H3515" s="75">
        <f>IF(ISBLANK(E3515),"",IF(OR(D3515="Butterfly",D3515="Butterfly ",D3515="Iron Fly", D3515="Iron Fly "),LEN(E3515)-LEN(SUBSTITUTE(E3515,"/",""))+2,LEN(E3515)-LEN(SUBSTITUTE(E3515,"/",""))+1))</f>
        <v/>
      </c>
      <c r="I3515" s="78">
        <f>IF(ISBLANK(G3515),"",IF(D3515="Stock","0",Key!$A$3*H3515*G3515))</f>
        <v/>
      </c>
      <c r="J3515" s="78">
        <f>IF(ISBLANK(E3515),"",IF(ISNUMBER(SEARCH("/",E3515)), IF(LEN(E3515)-LEN(SUBSTITUTE(E3515,"/",""))=1,(RIGHT(E3515,LEN(E3515)-FIND("/",E3515)))-(LEFT(E3515,FIND("/",E3515)-1)),(MID(E3515, SEARCH("/",E3515) + 1, SEARCH("/",E3515, SEARCH("/",E3515)+1) - SEARCH("/",E3515) - 1))-(LEFT(E3515,FIND("/",E3515)-1))), "NA"))</f>
        <v/>
      </c>
      <c r="K3515" s="79">
        <f>IF(A3515&lt;&gt;"", IF(ISBLANK(L3515), TODAY(), K3515), "")</f>
        <v/>
      </c>
      <c r="L3515" s="78" t="n"/>
      <c r="M3515" s="78">
        <f>IF(ISBLANK(L3515),"",IF(D3515="Stock",IF(C3515="Buy",L3515*G3515,IF(C3515="Sell",(L3515*G3515)-I3515, X)),IF(C3515="Buy",(L3515*G3515*100)+I3515,IF(C3515="Sell",(L3515*G3515*100)-I3515, X))))</f>
        <v/>
      </c>
      <c r="N3515" s="78">
        <f>IF(ISBLANK(L3515),"",IF(AND(C3515="Sell",D3515="Stock"),M3515,IF(ISBLANK(L3515),"",IF(C3515="Buy",M3515, IF(AND(C3515="Sell",J3515="NA"),(E3515*G3515*100*0.1)+I3515, IF(C3515="Sell",(J3515-L3515)*(100*G3515)+I3515))))))</f>
        <v/>
      </c>
      <c r="O3515" s="75" t="n"/>
      <c r="P3515" s="75" t="n"/>
      <c r="Q3515" s="75">
        <f>IF(ISBLANK(P3515),"",IF(D3515="Stock",P3515*G3515,IF(P3515=0,"0",G3515*P3515*100-(G3515*$AF$14))))</f>
        <v/>
      </c>
      <c r="R3515" s="79">
        <f>IF(P3515&lt;&gt;"", TODAY(), "")</f>
        <v/>
      </c>
      <c r="S3515" s="78">
        <f>IF(AND(K3515&lt;&gt;"", R3515&lt;&gt;""), R3515-K3515, "")</f>
        <v/>
      </c>
      <c r="T3515" s="78" t="n"/>
      <c r="U3515" s="92">
        <f>IF(ISBLANK(P3515),"",IF(C3515="Buy",Q3515-M3515+T3515, IF(C3515="Sell",M3515-Q3515-T3515, X)))</f>
        <v/>
      </c>
      <c r="V3515" s="81">
        <f>IF(ISBLANK(P3515),"",U3515/N3515)</f>
        <v/>
      </c>
      <c r="W3515" s="81">
        <f>IF(ISBLANK(P3515),"",IF(S3515=0,(365/0.5)*V3515,(365/S3515)*V3515))</f>
        <v/>
      </c>
      <c r="X3515" s="75" t="n"/>
      <c r="Y3515" s="77" t="n"/>
      <c r="Z3515" s="77" t="n"/>
      <c r="AA3515" s="75" t="n"/>
      <c r="AB3515" s="75" t="n"/>
      <c r="AC3515" s="6" t="n"/>
      <c r="AD3515" s="75" t="n"/>
      <c r="AE3515" s="75" t="n"/>
      <c r="AF3515" s="75" t="n"/>
    </row>
    <row r="3516" ht="15.75" customHeight="1" s="133">
      <c r="A3516" s="75" t="n"/>
      <c r="B3516" s="75" t="n"/>
      <c r="C3516" s="75" t="n"/>
      <c r="D3516" s="75" t="n"/>
      <c r="E3516" s="76" t="n"/>
      <c r="F3516" s="77" t="n"/>
      <c r="G3516" s="75" t="n"/>
      <c r="H3516" s="75">
        <f>IF(ISBLANK(E3516),"",IF(OR(D3516="Butterfly",D3516="Butterfly ",D3516="Iron Fly", D3516="Iron Fly "),LEN(E3516)-LEN(SUBSTITUTE(E3516,"/",""))+2,LEN(E3516)-LEN(SUBSTITUTE(E3516,"/",""))+1))</f>
        <v/>
      </c>
      <c r="I3516" s="78">
        <f>IF(ISBLANK(G3516),"",IF(D3516="Stock","0",Key!$A$3*H3516*G3516))</f>
        <v/>
      </c>
      <c r="J3516" s="78">
        <f>IF(ISBLANK(E3516),"",IF(ISNUMBER(SEARCH("/",E3516)), IF(LEN(E3516)-LEN(SUBSTITUTE(E3516,"/",""))=1,(RIGHT(E3516,LEN(E3516)-FIND("/",E3516)))-(LEFT(E3516,FIND("/",E3516)-1)),(MID(E3516, SEARCH("/",E3516) + 1, SEARCH("/",E3516, SEARCH("/",E3516)+1) - SEARCH("/",E3516) - 1))-(LEFT(E3516,FIND("/",E3516)-1))), "NA"))</f>
        <v/>
      </c>
      <c r="K3516" s="79">
        <f>IF(A3516&lt;&gt;"", IF(ISBLANK(L3516), TODAY(), K3516), "")</f>
        <v/>
      </c>
      <c r="L3516" s="78" t="n"/>
      <c r="M3516" s="78">
        <f>IF(ISBLANK(L3516),"",IF(D3516="Stock",IF(C3516="Buy",L3516*G3516,IF(C3516="Sell",(L3516*G3516)-I3516, X)),IF(C3516="Buy",(L3516*G3516*100)+I3516,IF(C3516="Sell",(L3516*G3516*100)-I3516, X))))</f>
        <v/>
      </c>
      <c r="N3516" s="78">
        <f>IF(ISBLANK(L3516),"",IF(AND(C3516="Sell",D3516="Stock"),M3516,IF(ISBLANK(L3516),"",IF(C3516="Buy",M3516, IF(AND(C3516="Sell",J3516="NA"),(E3516*G3516*100*0.1)+I3516, IF(C3516="Sell",(J3516-L3516)*(100*G3516)+I3516))))))</f>
        <v/>
      </c>
      <c r="O3516" s="75" t="n"/>
      <c r="P3516" s="75" t="n"/>
      <c r="Q3516" s="75">
        <f>IF(ISBLANK(P3516),"",IF(D3516="Stock",P3516*G3516,IF(P3516=0,"0",G3516*P3516*100-(G3516*$AF$14))))</f>
        <v/>
      </c>
      <c r="R3516" s="79">
        <f>IF(P3516&lt;&gt;"", TODAY(), "")</f>
        <v/>
      </c>
      <c r="S3516" s="78">
        <f>IF(AND(K3516&lt;&gt;"", R3516&lt;&gt;""), R3516-K3516, "")</f>
        <v/>
      </c>
      <c r="T3516" s="78" t="n"/>
      <c r="U3516" s="92">
        <f>IF(ISBLANK(P3516),"",IF(C3516="Buy",Q3516-M3516+T3516, IF(C3516="Sell",M3516-Q3516-T3516, X)))</f>
        <v/>
      </c>
      <c r="V3516" s="81">
        <f>IF(ISBLANK(P3516),"",U3516/N3516)</f>
        <v/>
      </c>
      <c r="W3516" s="81">
        <f>IF(ISBLANK(P3516),"",IF(S3516=0,(365/0.5)*V3516,(365/S3516)*V3516))</f>
        <v/>
      </c>
      <c r="X3516" s="75" t="n"/>
      <c r="Y3516" s="77" t="n"/>
      <c r="Z3516" s="77" t="n"/>
      <c r="AA3516" s="75" t="n"/>
      <c r="AB3516" s="75" t="n"/>
      <c r="AC3516" s="6" t="n"/>
      <c r="AD3516" s="75" t="n"/>
      <c r="AE3516" s="75" t="n"/>
      <c r="AF3516" s="75" t="n"/>
    </row>
    <row r="3517" ht="15.75" customHeight="1" s="133">
      <c r="A3517" s="75" t="n"/>
      <c r="B3517" s="75" t="n"/>
      <c r="C3517" s="75" t="n"/>
      <c r="D3517" s="75" t="n"/>
      <c r="E3517" s="76" t="n"/>
      <c r="F3517" s="77" t="n"/>
      <c r="G3517" s="75" t="n"/>
      <c r="H3517" s="75">
        <f>IF(ISBLANK(E3517),"",IF(OR(D3517="Butterfly",D3517="Butterfly ",D3517="Iron Fly", D3517="Iron Fly "),LEN(E3517)-LEN(SUBSTITUTE(E3517,"/",""))+2,LEN(E3517)-LEN(SUBSTITUTE(E3517,"/",""))+1))</f>
        <v/>
      </c>
      <c r="I3517" s="78">
        <f>IF(ISBLANK(G3517),"",IF(D3517="Stock","0",Key!$A$3*H3517*G3517))</f>
        <v/>
      </c>
      <c r="J3517" s="78">
        <f>IF(ISBLANK(E3517),"",IF(ISNUMBER(SEARCH("/",E3517)), IF(LEN(E3517)-LEN(SUBSTITUTE(E3517,"/",""))=1,(RIGHT(E3517,LEN(E3517)-FIND("/",E3517)))-(LEFT(E3517,FIND("/",E3517)-1)),(MID(E3517, SEARCH("/",E3517) + 1, SEARCH("/",E3517, SEARCH("/",E3517)+1) - SEARCH("/",E3517) - 1))-(LEFT(E3517,FIND("/",E3517)-1))), "NA"))</f>
        <v/>
      </c>
      <c r="K3517" s="79">
        <f>IF(A3517&lt;&gt;"", IF(ISBLANK(L3517), TODAY(), K3517), "")</f>
        <v/>
      </c>
      <c r="L3517" s="78" t="n"/>
      <c r="M3517" s="78">
        <f>IF(ISBLANK(L3517),"",IF(D3517="Stock",IF(C3517="Buy",L3517*G3517,IF(C3517="Sell",(L3517*G3517)-I3517, X)),IF(C3517="Buy",(L3517*G3517*100)+I3517,IF(C3517="Sell",(L3517*G3517*100)-I3517, X))))</f>
        <v/>
      </c>
      <c r="N3517" s="78">
        <f>IF(ISBLANK(L3517),"",IF(AND(C3517="Sell",D3517="Stock"),M3517,IF(ISBLANK(L3517),"",IF(C3517="Buy",M3517, IF(AND(C3517="Sell",J3517="NA"),(E3517*G3517*100*0.1)+I3517, IF(C3517="Sell",(J3517-L3517)*(100*G3517)+I3517))))))</f>
        <v/>
      </c>
      <c r="O3517" s="75" t="n"/>
      <c r="P3517" s="75" t="n"/>
      <c r="Q3517" s="75">
        <f>IF(ISBLANK(P3517),"",IF(D3517="Stock",P3517*G3517,IF(P3517=0,"0",G3517*P3517*100-(G3517*$AF$14))))</f>
        <v/>
      </c>
      <c r="R3517" s="79">
        <f>IF(P3517&lt;&gt;"", TODAY(), "")</f>
        <v/>
      </c>
      <c r="S3517" s="78">
        <f>IF(AND(K3517&lt;&gt;"", R3517&lt;&gt;""), R3517-K3517, "")</f>
        <v/>
      </c>
      <c r="T3517" s="78" t="n"/>
      <c r="U3517" s="92">
        <f>IF(ISBLANK(P3517),"",IF(C3517="Buy",Q3517-M3517+T3517, IF(C3517="Sell",M3517-Q3517-T3517, X)))</f>
        <v/>
      </c>
      <c r="V3517" s="81">
        <f>IF(ISBLANK(P3517),"",U3517/N3517)</f>
        <v/>
      </c>
      <c r="W3517" s="81">
        <f>IF(ISBLANK(P3517),"",IF(S3517=0,(365/0.5)*V3517,(365/S3517)*V3517))</f>
        <v/>
      </c>
      <c r="X3517" s="75" t="n"/>
      <c r="Y3517" s="77" t="n"/>
      <c r="Z3517" s="77" t="n"/>
      <c r="AA3517" s="75" t="n"/>
      <c r="AB3517" s="75" t="n"/>
      <c r="AC3517" s="6" t="n"/>
      <c r="AD3517" s="75" t="n"/>
      <c r="AE3517" s="75" t="n"/>
      <c r="AF3517" s="75" t="n"/>
    </row>
    <row r="3518" ht="15.75" customHeight="1" s="133">
      <c r="A3518" s="75" t="n"/>
      <c r="B3518" s="75" t="n"/>
      <c r="C3518" s="75" t="n"/>
      <c r="D3518" s="75" t="n"/>
      <c r="E3518" s="76" t="n"/>
      <c r="F3518" s="77" t="n"/>
      <c r="G3518" s="75" t="n"/>
      <c r="H3518" s="75">
        <f>IF(ISBLANK(E3518),"",IF(OR(D3518="Butterfly",D3518="Butterfly ",D3518="Iron Fly", D3518="Iron Fly "),LEN(E3518)-LEN(SUBSTITUTE(E3518,"/",""))+2,LEN(E3518)-LEN(SUBSTITUTE(E3518,"/",""))+1))</f>
        <v/>
      </c>
      <c r="I3518" s="78">
        <f>IF(ISBLANK(G3518),"",IF(D3518="Stock","0",Key!$A$3*H3518*G3518))</f>
        <v/>
      </c>
      <c r="J3518" s="78">
        <f>IF(ISBLANK(E3518),"",IF(ISNUMBER(SEARCH("/",E3518)), IF(LEN(E3518)-LEN(SUBSTITUTE(E3518,"/",""))=1,(RIGHT(E3518,LEN(E3518)-FIND("/",E3518)))-(LEFT(E3518,FIND("/",E3518)-1)),(MID(E3518, SEARCH("/",E3518) + 1, SEARCH("/",E3518, SEARCH("/",E3518)+1) - SEARCH("/",E3518) - 1))-(LEFT(E3518,FIND("/",E3518)-1))), "NA"))</f>
        <v/>
      </c>
      <c r="K3518" s="79">
        <f>IF(A3518&lt;&gt;"", IF(ISBLANK(L3518), TODAY(), K3518), "")</f>
        <v/>
      </c>
      <c r="L3518" s="78" t="n"/>
      <c r="M3518" s="78">
        <f>IF(ISBLANK(L3518),"",IF(D3518="Stock",IF(C3518="Buy",L3518*G3518,IF(C3518="Sell",(L3518*G3518)-I3518, X)),IF(C3518="Buy",(L3518*G3518*100)+I3518,IF(C3518="Sell",(L3518*G3518*100)-I3518, X))))</f>
        <v/>
      </c>
      <c r="N3518" s="78">
        <f>IF(ISBLANK(L3518),"",IF(AND(C3518="Sell",D3518="Stock"),M3518,IF(ISBLANK(L3518),"",IF(C3518="Buy",M3518, IF(AND(C3518="Sell",J3518="NA"),(E3518*G3518*100*0.1)+I3518, IF(C3518="Sell",(J3518-L3518)*(100*G3518)+I3518))))))</f>
        <v/>
      </c>
      <c r="O3518" s="75" t="n"/>
      <c r="P3518" s="75" t="n"/>
      <c r="Q3518" s="75">
        <f>IF(ISBLANK(P3518),"",IF(D3518="Stock",P3518*G3518,IF(P3518=0,"0",G3518*P3518*100-(G3518*$AF$14))))</f>
        <v/>
      </c>
      <c r="R3518" s="79">
        <f>IF(P3518&lt;&gt;"", TODAY(), "")</f>
        <v/>
      </c>
      <c r="S3518" s="78">
        <f>IF(AND(K3518&lt;&gt;"", R3518&lt;&gt;""), R3518-K3518, "")</f>
        <v/>
      </c>
      <c r="T3518" s="78" t="n"/>
      <c r="U3518" s="92">
        <f>IF(ISBLANK(P3518),"",IF(C3518="Buy",Q3518-M3518+T3518, IF(C3518="Sell",M3518-Q3518-T3518, X)))</f>
        <v/>
      </c>
      <c r="V3518" s="81">
        <f>IF(ISBLANK(P3518),"",U3518/N3518)</f>
        <v/>
      </c>
      <c r="W3518" s="81">
        <f>IF(ISBLANK(P3518),"",IF(S3518=0,(365/0.5)*V3518,(365/S3518)*V3518))</f>
        <v/>
      </c>
      <c r="X3518" s="75" t="n"/>
      <c r="Y3518" s="77" t="n"/>
      <c r="Z3518" s="77" t="n"/>
      <c r="AA3518" s="75" t="n"/>
      <c r="AB3518" s="75" t="n"/>
      <c r="AC3518" s="6" t="n"/>
      <c r="AD3518" s="75" t="n"/>
      <c r="AE3518" s="75" t="n"/>
      <c r="AF3518" s="75" t="n"/>
    </row>
    <row r="3519" ht="15.75" customHeight="1" s="133">
      <c r="A3519" s="75" t="n"/>
      <c r="B3519" s="75" t="n"/>
      <c r="C3519" s="75" t="n"/>
      <c r="D3519" s="75" t="n"/>
      <c r="E3519" s="76" t="n"/>
      <c r="F3519" s="77" t="n"/>
      <c r="G3519" s="75" t="n"/>
      <c r="H3519" s="75">
        <f>IF(ISBLANK(E3519),"",IF(OR(D3519="Butterfly",D3519="Butterfly ",D3519="Iron Fly", D3519="Iron Fly "),LEN(E3519)-LEN(SUBSTITUTE(E3519,"/",""))+2,LEN(E3519)-LEN(SUBSTITUTE(E3519,"/",""))+1))</f>
        <v/>
      </c>
      <c r="I3519" s="78">
        <f>IF(ISBLANK(G3519),"",IF(D3519="Stock","0",Key!$A$3*H3519*G3519))</f>
        <v/>
      </c>
      <c r="J3519" s="78">
        <f>IF(ISBLANK(E3519),"",IF(ISNUMBER(SEARCH("/",E3519)), IF(LEN(E3519)-LEN(SUBSTITUTE(E3519,"/",""))=1,(RIGHT(E3519,LEN(E3519)-FIND("/",E3519)))-(LEFT(E3519,FIND("/",E3519)-1)),(MID(E3519, SEARCH("/",E3519) + 1, SEARCH("/",E3519, SEARCH("/",E3519)+1) - SEARCH("/",E3519) - 1))-(LEFT(E3519,FIND("/",E3519)-1))), "NA"))</f>
        <v/>
      </c>
      <c r="K3519" s="79">
        <f>IF(A3519&lt;&gt;"", IF(ISBLANK(L3519), TODAY(), K3519), "")</f>
        <v/>
      </c>
      <c r="L3519" s="78" t="n"/>
      <c r="M3519" s="78">
        <f>IF(ISBLANK(L3519),"",IF(D3519="Stock",IF(C3519="Buy",L3519*G3519,IF(C3519="Sell",(L3519*G3519)-I3519, X)),IF(C3519="Buy",(L3519*G3519*100)+I3519,IF(C3519="Sell",(L3519*G3519*100)-I3519, X))))</f>
        <v/>
      </c>
      <c r="N3519" s="78">
        <f>IF(ISBLANK(L3519),"",IF(AND(C3519="Sell",D3519="Stock"),M3519,IF(ISBLANK(L3519),"",IF(C3519="Buy",M3519, IF(AND(C3519="Sell",J3519="NA"),(E3519*G3519*100*0.1)+I3519, IF(C3519="Sell",(J3519-L3519)*(100*G3519)+I3519))))))</f>
        <v/>
      </c>
      <c r="O3519" s="75" t="n"/>
      <c r="P3519" s="75" t="n"/>
      <c r="Q3519" s="75">
        <f>IF(ISBLANK(P3519),"",IF(D3519="Stock",P3519*G3519,IF(P3519=0,"0",G3519*P3519*100-(G3519*$AF$14))))</f>
        <v/>
      </c>
      <c r="R3519" s="79">
        <f>IF(P3519&lt;&gt;"", TODAY(), "")</f>
        <v/>
      </c>
      <c r="S3519" s="78">
        <f>IF(AND(K3519&lt;&gt;"", R3519&lt;&gt;""), R3519-K3519, "")</f>
        <v/>
      </c>
      <c r="T3519" s="78" t="n"/>
      <c r="U3519" s="92">
        <f>IF(ISBLANK(P3519),"",IF(C3519="Buy",Q3519-M3519+T3519, IF(C3519="Sell",M3519-Q3519-T3519, X)))</f>
        <v/>
      </c>
      <c r="V3519" s="81">
        <f>IF(ISBLANK(P3519),"",U3519/N3519)</f>
        <v/>
      </c>
      <c r="W3519" s="81">
        <f>IF(ISBLANK(P3519),"",IF(S3519=0,(365/0.5)*V3519,(365/S3519)*V3519))</f>
        <v/>
      </c>
      <c r="X3519" s="75" t="n"/>
      <c r="Y3519" s="77" t="n"/>
      <c r="Z3519" s="77" t="n"/>
      <c r="AA3519" s="75" t="n"/>
      <c r="AB3519" s="75" t="n"/>
      <c r="AC3519" s="6" t="n"/>
      <c r="AD3519" s="75" t="n"/>
      <c r="AE3519" s="75" t="n"/>
      <c r="AF3519" s="75" t="n"/>
    </row>
    <row r="3520" ht="15.75" customHeight="1" s="133">
      <c r="A3520" s="75" t="n"/>
      <c r="B3520" s="75" t="n"/>
      <c r="C3520" s="75" t="n"/>
      <c r="D3520" s="75" t="n"/>
      <c r="E3520" s="76" t="n"/>
      <c r="F3520" s="77" t="n"/>
      <c r="G3520" s="75" t="n"/>
      <c r="H3520" s="75">
        <f>IF(ISBLANK(E3520),"",IF(OR(D3520="Butterfly",D3520="Butterfly ",D3520="Iron Fly", D3520="Iron Fly "),LEN(E3520)-LEN(SUBSTITUTE(E3520,"/",""))+2,LEN(E3520)-LEN(SUBSTITUTE(E3520,"/",""))+1))</f>
        <v/>
      </c>
      <c r="I3520" s="78">
        <f>IF(ISBLANK(G3520),"",IF(D3520="Stock","0",Key!$A$3*H3520*G3520))</f>
        <v/>
      </c>
      <c r="J3520" s="78">
        <f>IF(ISBLANK(E3520),"",IF(ISNUMBER(SEARCH("/",E3520)), IF(LEN(E3520)-LEN(SUBSTITUTE(E3520,"/",""))=1,(RIGHT(E3520,LEN(E3520)-FIND("/",E3520)))-(LEFT(E3520,FIND("/",E3520)-1)),(MID(E3520, SEARCH("/",E3520) + 1, SEARCH("/",E3520, SEARCH("/",E3520)+1) - SEARCH("/",E3520) - 1))-(LEFT(E3520,FIND("/",E3520)-1))), "NA"))</f>
        <v/>
      </c>
      <c r="K3520" s="79">
        <f>IF(A3520&lt;&gt;"", IF(ISBLANK(L3520), TODAY(), K3520), "")</f>
        <v/>
      </c>
      <c r="L3520" s="78" t="n"/>
      <c r="M3520" s="78">
        <f>IF(ISBLANK(L3520),"",IF(D3520="Stock",IF(C3520="Buy",L3520*G3520,IF(C3520="Sell",(L3520*G3520)-I3520, X)),IF(C3520="Buy",(L3520*G3520*100)+I3520,IF(C3520="Sell",(L3520*G3520*100)-I3520, X))))</f>
        <v/>
      </c>
      <c r="N3520" s="78">
        <f>IF(ISBLANK(L3520),"",IF(AND(C3520="Sell",D3520="Stock"),M3520,IF(ISBLANK(L3520),"",IF(C3520="Buy",M3520, IF(AND(C3520="Sell",J3520="NA"),(E3520*G3520*100*0.1)+I3520, IF(C3520="Sell",(J3520-L3520)*(100*G3520)+I3520))))))</f>
        <v/>
      </c>
      <c r="O3520" s="75" t="n"/>
      <c r="P3520" s="75" t="n"/>
      <c r="Q3520" s="75">
        <f>IF(ISBLANK(P3520),"",IF(D3520="Stock",P3520*G3520,IF(P3520=0,"0",G3520*P3520*100-(G3520*$AF$14))))</f>
        <v/>
      </c>
      <c r="R3520" s="79">
        <f>IF(P3520&lt;&gt;"", TODAY(), "")</f>
        <v/>
      </c>
      <c r="S3520" s="78">
        <f>IF(AND(K3520&lt;&gt;"", R3520&lt;&gt;""), R3520-K3520, "")</f>
        <v/>
      </c>
      <c r="T3520" s="78" t="n"/>
      <c r="U3520" s="92">
        <f>IF(ISBLANK(P3520),"",IF(C3520="Buy",Q3520-M3520+T3520, IF(C3520="Sell",M3520-Q3520-T3520, X)))</f>
        <v/>
      </c>
      <c r="V3520" s="81">
        <f>IF(ISBLANK(P3520),"",U3520/N3520)</f>
        <v/>
      </c>
      <c r="W3520" s="81">
        <f>IF(ISBLANK(P3520),"",IF(S3520=0,(365/0.5)*V3520,(365/S3520)*V3520))</f>
        <v/>
      </c>
      <c r="X3520" s="75" t="n"/>
      <c r="Y3520" s="77" t="n"/>
      <c r="Z3520" s="77" t="n"/>
      <c r="AA3520" s="75" t="n"/>
      <c r="AB3520" s="75" t="n"/>
      <c r="AC3520" s="6" t="n"/>
      <c r="AD3520" s="75" t="n"/>
      <c r="AE3520" s="75" t="n"/>
      <c r="AF3520" s="75" t="n"/>
    </row>
    <row r="3521" ht="15.75" customHeight="1" s="133">
      <c r="A3521" s="75" t="n"/>
      <c r="B3521" s="75" t="n"/>
      <c r="C3521" s="75" t="n"/>
      <c r="D3521" s="75" t="n"/>
      <c r="E3521" s="76" t="n"/>
      <c r="F3521" s="77" t="n"/>
      <c r="G3521" s="75" t="n"/>
      <c r="H3521" s="75">
        <f>IF(ISBLANK(E3521),"",IF(OR(D3521="Butterfly",D3521="Butterfly ",D3521="Iron Fly", D3521="Iron Fly "),LEN(E3521)-LEN(SUBSTITUTE(E3521,"/",""))+2,LEN(E3521)-LEN(SUBSTITUTE(E3521,"/",""))+1))</f>
        <v/>
      </c>
      <c r="I3521" s="78">
        <f>IF(ISBLANK(G3521),"",IF(D3521="Stock","0",Key!$A$3*H3521*G3521))</f>
        <v/>
      </c>
      <c r="J3521" s="78">
        <f>IF(ISBLANK(E3521),"",IF(ISNUMBER(SEARCH("/",E3521)), IF(LEN(E3521)-LEN(SUBSTITUTE(E3521,"/",""))=1,(RIGHT(E3521,LEN(E3521)-FIND("/",E3521)))-(LEFT(E3521,FIND("/",E3521)-1)),(MID(E3521, SEARCH("/",E3521) + 1, SEARCH("/",E3521, SEARCH("/",E3521)+1) - SEARCH("/",E3521) - 1))-(LEFT(E3521,FIND("/",E3521)-1))), "NA"))</f>
        <v/>
      </c>
      <c r="K3521" s="79">
        <f>IF(A3521&lt;&gt;"", IF(ISBLANK(L3521), TODAY(), K3521), "")</f>
        <v/>
      </c>
      <c r="L3521" s="78" t="n"/>
      <c r="M3521" s="78">
        <f>IF(ISBLANK(L3521),"",IF(D3521="Stock",IF(C3521="Buy",L3521*G3521,IF(C3521="Sell",(L3521*G3521)-I3521, X)),IF(C3521="Buy",(L3521*G3521*100)+I3521,IF(C3521="Sell",(L3521*G3521*100)-I3521, X))))</f>
        <v/>
      </c>
      <c r="N3521" s="78">
        <f>IF(ISBLANK(L3521),"",IF(AND(C3521="Sell",D3521="Stock"),M3521,IF(ISBLANK(L3521),"",IF(C3521="Buy",M3521, IF(AND(C3521="Sell",J3521="NA"),(E3521*G3521*100*0.1)+I3521, IF(C3521="Sell",(J3521-L3521)*(100*G3521)+I3521))))))</f>
        <v/>
      </c>
      <c r="O3521" s="75" t="n"/>
      <c r="P3521" s="75" t="n"/>
      <c r="Q3521" s="75">
        <f>IF(ISBLANK(P3521),"",IF(D3521="Stock",P3521*G3521,IF(P3521=0,"0",G3521*P3521*100-(G3521*$AF$14))))</f>
        <v/>
      </c>
      <c r="R3521" s="79">
        <f>IF(P3521&lt;&gt;"", TODAY(), "")</f>
        <v/>
      </c>
      <c r="S3521" s="78">
        <f>IF(AND(K3521&lt;&gt;"", R3521&lt;&gt;""), R3521-K3521, "")</f>
        <v/>
      </c>
      <c r="T3521" s="78" t="n"/>
      <c r="U3521" s="92">
        <f>IF(ISBLANK(P3521),"",IF(C3521="Buy",Q3521-M3521+T3521, IF(C3521="Sell",M3521-Q3521-T3521, X)))</f>
        <v/>
      </c>
      <c r="V3521" s="81">
        <f>IF(ISBLANK(P3521),"",U3521/N3521)</f>
        <v/>
      </c>
      <c r="W3521" s="81">
        <f>IF(ISBLANK(P3521),"",IF(S3521=0,(365/0.5)*V3521,(365/S3521)*V3521))</f>
        <v/>
      </c>
      <c r="X3521" s="75" t="n"/>
      <c r="Y3521" s="77" t="n"/>
      <c r="Z3521" s="77" t="n"/>
      <c r="AA3521" s="75" t="n"/>
      <c r="AB3521" s="75" t="n"/>
      <c r="AC3521" s="6" t="n"/>
      <c r="AD3521" s="75" t="n"/>
      <c r="AE3521" s="75" t="n"/>
      <c r="AF3521" s="75" t="n"/>
    </row>
    <row r="3522" ht="15.75" customHeight="1" s="133">
      <c r="A3522" s="75" t="n"/>
      <c r="B3522" s="75" t="n"/>
      <c r="C3522" s="75" t="n"/>
      <c r="D3522" s="75" t="n"/>
      <c r="E3522" s="76" t="n"/>
      <c r="F3522" s="77" t="n"/>
      <c r="G3522" s="75" t="n"/>
      <c r="H3522" s="75">
        <f>IF(ISBLANK(E3522),"",IF(OR(D3522="Butterfly",D3522="Butterfly ",D3522="Iron Fly", D3522="Iron Fly "),LEN(E3522)-LEN(SUBSTITUTE(E3522,"/",""))+2,LEN(E3522)-LEN(SUBSTITUTE(E3522,"/",""))+1))</f>
        <v/>
      </c>
      <c r="I3522" s="78">
        <f>IF(ISBLANK(G3522),"",IF(D3522="Stock","0",Key!$A$3*H3522*G3522))</f>
        <v/>
      </c>
      <c r="J3522" s="78">
        <f>IF(ISBLANK(E3522),"",IF(ISNUMBER(SEARCH("/",E3522)), IF(LEN(E3522)-LEN(SUBSTITUTE(E3522,"/",""))=1,(RIGHT(E3522,LEN(E3522)-FIND("/",E3522)))-(LEFT(E3522,FIND("/",E3522)-1)),(MID(E3522, SEARCH("/",E3522) + 1, SEARCH("/",E3522, SEARCH("/",E3522)+1) - SEARCH("/",E3522) - 1))-(LEFT(E3522,FIND("/",E3522)-1))), "NA"))</f>
        <v/>
      </c>
      <c r="K3522" s="79">
        <f>IF(A3522&lt;&gt;"", IF(ISBLANK(L3522), TODAY(), K3522), "")</f>
        <v/>
      </c>
      <c r="L3522" s="78" t="n"/>
      <c r="M3522" s="78">
        <f>IF(ISBLANK(L3522),"",IF(D3522="Stock",IF(C3522="Buy",L3522*G3522,IF(C3522="Sell",(L3522*G3522)-I3522, X)),IF(C3522="Buy",(L3522*G3522*100)+I3522,IF(C3522="Sell",(L3522*G3522*100)-I3522, X))))</f>
        <v/>
      </c>
      <c r="N3522" s="78">
        <f>IF(ISBLANK(L3522),"",IF(AND(C3522="Sell",D3522="Stock"),M3522,IF(ISBLANK(L3522),"",IF(C3522="Buy",M3522, IF(AND(C3522="Sell",J3522="NA"),(E3522*G3522*100*0.1)+I3522, IF(C3522="Sell",(J3522-L3522)*(100*G3522)+I3522))))))</f>
        <v/>
      </c>
      <c r="O3522" s="75" t="n"/>
      <c r="P3522" s="75" t="n"/>
      <c r="Q3522" s="75">
        <f>IF(ISBLANK(P3522),"",IF(D3522="Stock",P3522*G3522,IF(P3522=0,"0",G3522*P3522*100-(G3522*$AF$14))))</f>
        <v/>
      </c>
      <c r="R3522" s="79">
        <f>IF(P3522&lt;&gt;"", TODAY(), "")</f>
        <v/>
      </c>
      <c r="S3522" s="78">
        <f>IF(AND(K3522&lt;&gt;"", R3522&lt;&gt;""), R3522-K3522, "")</f>
        <v/>
      </c>
      <c r="T3522" s="78" t="n"/>
      <c r="U3522" s="92">
        <f>IF(ISBLANK(P3522),"",IF(C3522="Buy",Q3522-M3522+T3522, IF(C3522="Sell",M3522-Q3522-T3522, X)))</f>
        <v/>
      </c>
      <c r="V3522" s="81">
        <f>IF(ISBLANK(P3522),"",U3522/N3522)</f>
        <v/>
      </c>
      <c r="W3522" s="81">
        <f>IF(ISBLANK(P3522),"",IF(S3522=0,(365/0.5)*V3522,(365/S3522)*V3522))</f>
        <v/>
      </c>
      <c r="X3522" s="75" t="n"/>
      <c r="Y3522" s="77" t="n"/>
      <c r="Z3522" s="77" t="n"/>
      <c r="AA3522" s="75" t="n"/>
      <c r="AB3522" s="75" t="n"/>
      <c r="AC3522" s="6" t="n"/>
      <c r="AD3522" s="75" t="n"/>
      <c r="AE3522" s="75" t="n"/>
      <c r="AF3522" s="75" t="n"/>
    </row>
    <row r="3523" ht="15.75" customHeight="1" s="133">
      <c r="A3523" s="75" t="n"/>
      <c r="B3523" s="75" t="n"/>
      <c r="C3523" s="75" t="n"/>
      <c r="D3523" s="75" t="n"/>
      <c r="E3523" s="76" t="n"/>
      <c r="F3523" s="77" t="n"/>
      <c r="G3523" s="75" t="n"/>
      <c r="H3523" s="75">
        <f>IF(ISBLANK(E3523),"",IF(OR(D3523="Butterfly",D3523="Butterfly ",D3523="Iron Fly", D3523="Iron Fly "),LEN(E3523)-LEN(SUBSTITUTE(E3523,"/",""))+2,LEN(E3523)-LEN(SUBSTITUTE(E3523,"/",""))+1))</f>
        <v/>
      </c>
      <c r="I3523" s="78">
        <f>IF(ISBLANK(G3523),"",IF(D3523="Stock","0",Key!$A$3*H3523*G3523))</f>
        <v/>
      </c>
      <c r="J3523" s="78">
        <f>IF(ISBLANK(E3523),"",IF(ISNUMBER(SEARCH("/",E3523)), IF(LEN(E3523)-LEN(SUBSTITUTE(E3523,"/",""))=1,(RIGHT(E3523,LEN(E3523)-FIND("/",E3523)))-(LEFT(E3523,FIND("/",E3523)-1)),(MID(E3523, SEARCH("/",E3523) + 1, SEARCH("/",E3523, SEARCH("/",E3523)+1) - SEARCH("/",E3523) - 1))-(LEFT(E3523,FIND("/",E3523)-1))), "NA"))</f>
        <v/>
      </c>
      <c r="K3523" s="79">
        <f>IF(A3523&lt;&gt;"", IF(ISBLANK(L3523), TODAY(), K3523), "")</f>
        <v/>
      </c>
      <c r="L3523" s="78" t="n"/>
      <c r="M3523" s="78">
        <f>IF(ISBLANK(L3523),"",IF(D3523="Stock",IF(C3523="Buy",L3523*G3523,IF(C3523="Sell",(L3523*G3523)-I3523, X)),IF(C3523="Buy",(L3523*G3523*100)+I3523,IF(C3523="Sell",(L3523*G3523*100)-I3523, X))))</f>
        <v/>
      </c>
      <c r="N3523" s="78">
        <f>IF(ISBLANK(L3523),"",IF(AND(C3523="Sell",D3523="Stock"),M3523,IF(ISBLANK(L3523),"",IF(C3523="Buy",M3523, IF(AND(C3523="Sell",J3523="NA"),(E3523*G3523*100*0.1)+I3523, IF(C3523="Sell",(J3523-L3523)*(100*G3523)+I3523))))))</f>
        <v/>
      </c>
      <c r="O3523" s="75" t="n"/>
      <c r="P3523" s="75" t="n"/>
      <c r="Q3523" s="75">
        <f>IF(ISBLANK(P3523),"",IF(D3523="Stock",P3523*G3523,IF(P3523=0,"0",G3523*P3523*100-(G3523*$AF$14))))</f>
        <v/>
      </c>
      <c r="R3523" s="79">
        <f>IF(P3523&lt;&gt;"", TODAY(), "")</f>
        <v/>
      </c>
      <c r="S3523" s="78">
        <f>IF(AND(K3523&lt;&gt;"", R3523&lt;&gt;""), R3523-K3523, "")</f>
        <v/>
      </c>
      <c r="T3523" s="78" t="n"/>
      <c r="U3523" s="92">
        <f>IF(ISBLANK(P3523),"",IF(C3523="Buy",Q3523-M3523+T3523, IF(C3523="Sell",M3523-Q3523-T3523, X)))</f>
        <v/>
      </c>
      <c r="V3523" s="81">
        <f>IF(ISBLANK(P3523),"",U3523/N3523)</f>
        <v/>
      </c>
      <c r="W3523" s="81">
        <f>IF(ISBLANK(P3523),"",IF(S3523=0,(365/0.5)*V3523,(365/S3523)*V3523))</f>
        <v/>
      </c>
      <c r="X3523" s="75" t="n"/>
      <c r="Y3523" s="77" t="n"/>
      <c r="Z3523" s="77" t="n"/>
      <c r="AA3523" s="75" t="n"/>
      <c r="AB3523" s="75" t="n"/>
      <c r="AC3523" s="6" t="n"/>
      <c r="AD3523" s="75" t="n"/>
      <c r="AE3523" s="75" t="n"/>
      <c r="AF3523" s="75" t="n"/>
    </row>
    <row r="3524" ht="15.75" customHeight="1" s="133">
      <c r="A3524" s="75" t="n"/>
      <c r="B3524" s="75" t="n"/>
      <c r="C3524" s="75" t="n"/>
      <c r="D3524" s="75" t="n"/>
      <c r="E3524" s="76" t="n"/>
      <c r="F3524" s="77" t="n"/>
      <c r="G3524" s="75" t="n"/>
      <c r="H3524" s="75">
        <f>IF(ISBLANK(E3524),"",IF(OR(D3524="Butterfly",D3524="Butterfly ",D3524="Iron Fly", D3524="Iron Fly "),LEN(E3524)-LEN(SUBSTITUTE(E3524,"/",""))+2,LEN(E3524)-LEN(SUBSTITUTE(E3524,"/",""))+1))</f>
        <v/>
      </c>
      <c r="I3524" s="78">
        <f>IF(ISBLANK(G3524),"",IF(D3524="Stock","0",Key!$A$3*H3524*G3524))</f>
        <v/>
      </c>
      <c r="J3524" s="78">
        <f>IF(ISBLANK(E3524),"",IF(ISNUMBER(SEARCH("/",E3524)), IF(LEN(E3524)-LEN(SUBSTITUTE(E3524,"/",""))=1,(RIGHT(E3524,LEN(E3524)-FIND("/",E3524)))-(LEFT(E3524,FIND("/",E3524)-1)),(MID(E3524, SEARCH("/",E3524) + 1, SEARCH("/",E3524, SEARCH("/",E3524)+1) - SEARCH("/",E3524) - 1))-(LEFT(E3524,FIND("/",E3524)-1))), "NA"))</f>
        <v/>
      </c>
      <c r="K3524" s="79">
        <f>IF(A3524&lt;&gt;"", IF(ISBLANK(L3524), TODAY(), K3524), "")</f>
        <v/>
      </c>
      <c r="L3524" s="78" t="n"/>
      <c r="M3524" s="78">
        <f>IF(ISBLANK(L3524),"",IF(D3524="Stock",IF(C3524="Buy",L3524*G3524,IF(C3524="Sell",(L3524*G3524)-I3524, X)),IF(C3524="Buy",(L3524*G3524*100)+I3524,IF(C3524="Sell",(L3524*G3524*100)-I3524, X))))</f>
        <v/>
      </c>
      <c r="N3524" s="78">
        <f>IF(ISBLANK(L3524),"",IF(AND(C3524="Sell",D3524="Stock"),M3524,IF(ISBLANK(L3524),"",IF(C3524="Buy",M3524, IF(AND(C3524="Sell",J3524="NA"),(E3524*G3524*100*0.1)+I3524, IF(C3524="Sell",(J3524-L3524)*(100*G3524)+I3524))))))</f>
        <v/>
      </c>
      <c r="O3524" s="75" t="n"/>
      <c r="P3524" s="75" t="n"/>
      <c r="Q3524" s="75">
        <f>IF(ISBLANK(P3524),"",IF(D3524="Stock",P3524*G3524,IF(P3524=0,"0",G3524*P3524*100-(G3524*$AF$14))))</f>
        <v/>
      </c>
      <c r="R3524" s="79">
        <f>IF(P3524&lt;&gt;"", TODAY(), "")</f>
        <v/>
      </c>
      <c r="S3524" s="78">
        <f>IF(AND(K3524&lt;&gt;"", R3524&lt;&gt;""), R3524-K3524, "")</f>
        <v/>
      </c>
      <c r="T3524" s="78" t="n"/>
      <c r="U3524" s="92">
        <f>IF(ISBLANK(P3524),"",IF(C3524="Buy",Q3524-M3524+T3524, IF(C3524="Sell",M3524-Q3524-T3524, X)))</f>
        <v/>
      </c>
      <c r="V3524" s="81">
        <f>IF(ISBLANK(P3524),"",U3524/N3524)</f>
        <v/>
      </c>
      <c r="W3524" s="81">
        <f>IF(ISBLANK(P3524),"",IF(S3524=0,(365/0.5)*V3524,(365/S3524)*V3524))</f>
        <v/>
      </c>
      <c r="X3524" s="75" t="n"/>
      <c r="Y3524" s="77" t="n"/>
      <c r="Z3524" s="77" t="n"/>
      <c r="AA3524" s="75" t="n"/>
      <c r="AB3524" s="75" t="n"/>
      <c r="AC3524" s="6" t="n"/>
      <c r="AD3524" s="75" t="n"/>
      <c r="AE3524" s="75" t="n"/>
      <c r="AF3524" s="75" t="n"/>
    </row>
    <row r="3525" ht="15.75" customHeight="1" s="133">
      <c r="A3525" s="75" t="n"/>
      <c r="B3525" s="75" t="n"/>
      <c r="C3525" s="75" t="n"/>
      <c r="D3525" s="75" t="n"/>
      <c r="E3525" s="76" t="n"/>
      <c r="F3525" s="77" t="n"/>
      <c r="G3525" s="75" t="n"/>
      <c r="H3525" s="75">
        <f>IF(ISBLANK(E3525),"",IF(OR(D3525="Butterfly",D3525="Butterfly ",D3525="Iron Fly", D3525="Iron Fly "),LEN(E3525)-LEN(SUBSTITUTE(E3525,"/",""))+2,LEN(E3525)-LEN(SUBSTITUTE(E3525,"/",""))+1))</f>
        <v/>
      </c>
      <c r="I3525" s="78">
        <f>IF(ISBLANK(G3525),"",IF(D3525="Stock","0",Key!$A$3*H3525*G3525))</f>
        <v/>
      </c>
      <c r="J3525" s="78">
        <f>IF(ISBLANK(E3525),"",IF(ISNUMBER(SEARCH("/",E3525)), IF(LEN(E3525)-LEN(SUBSTITUTE(E3525,"/",""))=1,(RIGHT(E3525,LEN(E3525)-FIND("/",E3525)))-(LEFT(E3525,FIND("/",E3525)-1)),(MID(E3525, SEARCH("/",E3525) + 1, SEARCH("/",E3525, SEARCH("/",E3525)+1) - SEARCH("/",E3525) - 1))-(LEFT(E3525,FIND("/",E3525)-1))), "NA"))</f>
        <v/>
      </c>
      <c r="K3525" s="79">
        <f>IF(A3525&lt;&gt;"", IF(ISBLANK(L3525), TODAY(), K3525), "")</f>
        <v/>
      </c>
      <c r="L3525" s="78" t="n"/>
      <c r="M3525" s="78">
        <f>IF(ISBLANK(L3525),"",IF(D3525="Stock",IF(C3525="Buy",L3525*G3525,IF(C3525="Sell",(L3525*G3525)-I3525, X)),IF(C3525="Buy",(L3525*G3525*100)+I3525,IF(C3525="Sell",(L3525*G3525*100)-I3525, X))))</f>
        <v/>
      </c>
      <c r="N3525" s="78">
        <f>IF(ISBLANK(L3525),"",IF(AND(C3525="Sell",D3525="Stock"),M3525,IF(ISBLANK(L3525),"",IF(C3525="Buy",M3525, IF(AND(C3525="Sell",J3525="NA"),(E3525*G3525*100*0.1)+I3525, IF(C3525="Sell",(J3525-L3525)*(100*G3525)+I3525))))))</f>
        <v/>
      </c>
      <c r="O3525" s="75" t="n"/>
      <c r="P3525" s="75" t="n"/>
      <c r="Q3525" s="75">
        <f>IF(ISBLANK(P3525),"",IF(D3525="Stock",P3525*G3525,IF(P3525=0,"0",G3525*P3525*100-(G3525*$AF$14))))</f>
        <v/>
      </c>
      <c r="R3525" s="79">
        <f>IF(P3525&lt;&gt;"", TODAY(), "")</f>
        <v/>
      </c>
      <c r="S3525" s="78">
        <f>IF(AND(K3525&lt;&gt;"", R3525&lt;&gt;""), R3525-K3525, "")</f>
        <v/>
      </c>
      <c r="T3525" s="78" t="n"/>
      <c r="U3525" s="92">
        <f>IF(ISBLANK(P3525),"",IF(C3525="Buy",Q3525-M3525+T3525, IF(C3525="Sell",M3525-Q3525-T3525, X)))</f>
        <v/>
      </c>
      <c r="V3525" s="81">
        <f>IF(ISBLANK(P3525),"",U3525/N3525)</f>
        <v/>
      </c>
      <c r="W3525" s="81">
        <f>IF(ISBLANK(P3525),"",IF(S3525=0,(365/0.5)*V3525,(365/S3525)*V3525))</f>
        <v/>
      </c>
      <c r="X3525" s="75" t="n"/>
      <c r="Y3525" s="77" t="n"/>
      <c r="Z3525" s="77" t="n"/>
      <c r="AA3525" s="75" t="n"/>
      <c r="AB3525" s="75" t="n"/>
      <c r="AC3525" s="6" t="n"/>
      <c r="AD3525" s="75" t="n"/>
      <c r="AE3525" s="75" t="n"/>
      <c r="AF3525" s="75" t="n"/>
    </row>
    <row r="3526" ht="15.75" customHeight="1" s="133">
      <c r="A3526" s="75" t="n"/>
      <c r="B3526" s="75" t="n"/>
      <c r="C3526" s="75" t="n"/>
      <c r="D3526" s="75" t="n"/>
      <c r="E3526" s="76" t="n"/>
      <c r="F3526" s="77" t="n"/>
      <c r="G3526" s="75" t="n"/>
      <c r="H3526" s="75">
        <f>IF(ISBLANK(E3526),"",IF(OR(D3526="Butterfly",D3526="Butterfly ",D3526="Iron Fly", D3526="Iron Fly "),LEN(E3526)-LEN(SUBSTITUTE(E3526,"/",""))+2,LEN(E3526)-LEN(SUBSTITUTE(E3526,"/",""))+1))</f>
        <v/>
      </c>
      <c r="I3526" s="78">
        <f>IF(ISBLANK(G3526),"",IF(D3526="Stock","0",Key!$A$3*H3526*G3526))</f>
        <v/>
      </c>
      <c r="J3526" s="78">
        <f>IF(ISBLANK(E3526),"",IF(ISNUMBER(SEARCH("/",E3526)), IF(LEN(E3526)-LEN(SUBSTITUTE(E3526,"/",""))=1,(RIGHT(E3526,LEN(E3526)-FIND("/",E3526)))-(LEFT(E3526,FIND("/",E3526)-1)),(MID(E3526, SEARCH("/",E3526) + 1, SEARCH("/",E3526, SEARCH("/",E3526)+1) - SEARCH("/",E3526) - 1))-(LEFT(E3526,FIND("/",E3526)-1))), "NA"))</f>
        <v/>
      </c>
      <c r="K3526" s="79">
        <f>IF(A3526&lt;&gt;"", IF(ISBLANK(L3526), TODAY(), K3526), "")</f>
        <v/>
      </c>
      <c r="L3526" s="78" t="n"/>
      <c r="M3526" s="78">
        <f>IF(ISBLANK(L3526),"",IF(D3526="Stock",IF(C3526="Buy",L3526*G3526,IF(C3526="Sell",(L3526*G3526)-I3526, X)),IF(C3526="Buy",(L3526*G3526*100)+I3526,IF(C3526="Sell",(L3526*G3526*100)-I3526, X))))</f>
        <v/>
      </c>
      <c r="N3526" s="78">
        <f>IF(ISBLANK(L3526),"",IF(AND(C3526="Sell",D3526="Stock"),M3526,IF(ISBLANK(L3526),"",IF(C3526="Buy",M3526, IF(AND(C3526="Sell",J3526="NA"),(E3526*G3526*100*0.1)+I3526, IF(C3526="Sell",(J3526-L3526)*(100*G3526)+I3526))))))</f>
        <v/>
      </c>
      <c r="O3526" s="75" t="n"/>
      <c r="P3526" s="75" t="n"/>
      <c r="Q3526" s="75">
        <f>IF(ISBLANK(P3526),"",IF(D3526="Stock",P3526*G3526,IF(P3526=0,"0",G3526*P3526*100-(G3526*$AF$14))))</f>
        <v/>
      </c>
      <c r="R3526" s="79">
        <f>IF(P3526&lt;&gt;"", TODAY(), "")</f>
        <v/>
      </c>
      <c r="S3526" s="78">
        <f>IF(AND(K3526&lt;&gt;"", R3526&lt;&gt;""), R3526-K3526, "")</f>
        <v/>
      </c>
      <c r="T3526" s="78" t="n"/>
      <c r="U3526" s="92">
        <f>IF(ISBLANK(P3526),"",IF(C3526="Buy",Q3526-M3526+T3526, IF(C3526="Sell",M3526-Q3526-T3526, X)))</f>
        <v/>
      </c>
      <c r="V3526" s="81">
        <f>IF(ISBLANK(P3526),"",U3526/N3526)</f>
        <v/>
      </c>
      <c r="W3526" s="81">
        <f>IF(ISBLANK(P3526),"",IF(S3526=0,(365/0.5)*V3526,(365/S3526)*V3526))</f>
        <v/>
      </c>
      <c r="X3526" s="75" t="n"/>
      <c r="Y3526" s="77" t="n"/>
      <c r="Z3526" s="77" t="n"/>
      <c r="AA3526" s="75" t="n"/>
      <c r="AB3526" s="75" t="n"/>
      <c r="AC3526" s="6" t="n"/>
      <c r="AD3526" s="75" t="n"/>
      <c r="AE3526" s="75" t="n"/>
      <c r="AF3526" s="75" t="n"/>
    </row>
    <row r="3527" ht="15.75" customHeight="1" s="133">
      <c r="A3527" s="75" t="n"/>
      <c r="B3527" s="75" t="n"/>
      <c r="C3527" s="75" t="n"/>
      <c r="D3527" s="75" t="n"/>
      <c r="E3527" s="76" t="n"/>
      <c r="F3527" s="77" t="n"/>
      <c r="G3527" s="75" t="n"/>
      <c r="H3527" s="75">
        <f>IF(ISBLANK(E3527),"",IF(OR(D3527="Butterfly",D3527="Butterfly ",D3527="Iron Fly", D3527="Iron Fly "),LEN(E3527)-LEN(SUBSTITUTE(E3527,"/",""))+2,LEN(E3527)-LEN(SUBSTITUTE(E3527,"/",""))+1))</f>
        <v/>
      </c>
      <c r="I3527" s="78">
        <f>IF(ISBLANK(G3527),"",IF(D3527="Stock","0",Key!$A$3*H3527*G3527))</f>
        <v/>
      </c>
      <c r="J3527" s="78">
        <f>IF(ISBLANK(E3527),"",IF(ISNUMBER(SEARCH("/",E3527)), IF(LEN(E3527)-LEN(SUBSTITUTE(E3527,"/",""))=1,(RIGHT(E3527,LEN(E3527)-FIND("/",E3527)))-(LEFT(E3527,FIND("/",E3527)-1)),(MID(E3527, SEARCH("/",E3527) + 1, SEARCH("/",E3527, SEARCH("/",E3527)+1) - SEARCH("/",E3527) - 1))-(LEFT(E3527,FIND("/",E3527)-1))), "NA"))</f>
        <v/>
      </c>
      <c r="K3527" s="79">
        <f>IF(A3527&lt;&gt;"", IF(ISBLANK(L3527), TODAY(), K3527), "")</f>
        <v/>
      </c>
      <c r="L3527" s="78" t="n"/>
      <c r="M3527" s="78">
        <f>IF(ISBLANK(L3527),"",IF(D3527="Stock",IF(C3527="Buy",L3527*G3527,IF(C3527="Sell",(L3527*G3527)-I3527, X)),IF(C3527="Buy",(L3527*G3527*100)+I3527,IF(C3527="Sell",(L3527*G3527*100)-I3527, X))))</f>
        <v/>
      </c>
      <c r="N3527" s="78">
        <f>IF(ISBLANK(L3527),"",IF(AND(C3527="Sell",D3527="Stock"),M3527,IF(ISBLANK(L3527),"",IF(C3527="Buy",M3527, IF(AND(C3527="Sell",J3527="NA"),(E3527*G3527*100*0.1)+I3527, IF(C3527="Sell",(J3527-L3527)*(100*G3527)+I3527))))))</f>
        <v/>
      </c>
      <c r="O3527" s="75" t="n"/>
      <c r="P3527" s="75" t="n"/>
      <c r="Q3527" s="75">
        <f>IF(ISBLANK(P3527),"",IF(D3527="Stock",P3527*G3527,IF(P3527=0,"0",G3527*P3527*100-(G3527*$AF$14))))</f>
        <v/>
      </c>
      <c r="R3527" s="79">
        <f>IF(P3527&lt;&gt;"", TODAY(), "")</f>
        <v/>
      </c>
      <c r="S3527" s="78">
        <f>IF(AND(K3527&lt;&gt;"", R3527&lt;&gt;""), R3527-K3527, "")</f>
        <v/>
      </c>
      <c r="T3527" s="78" t="n"/>
      <c r="U3527" s="92">
        <f>IF(ISBLANK(P3527),"",IF(C3527="Buy",Q3527-M3527+T3527, IF(C3527="Sell",M3527-Q3527-T3527, X)))</f>
        <v/>
      </c>
      <c r="V3527" s="81">
        <f>IF(ISBLANK(P3527),"",U3527/N3527)</f>
        <v/>
      </c>
      <c r="W3527" s="81">
        <f>IF(ISBLANK(P3527),"",IF(S3527=0,(365/0.5)*V3527,(365/S3527)*V3527))</f>
        <v/>
      </c>
      <c r="X3527" s="75" t="n"/>
      <c r="Y3527" s="77" t="n"/>
      <c r="Z3527" s="77" t="n"/>
      <c r="AA3527" s="75" t="n"/>
      <c r="AB3527" s="75" t="n"/>
      <c r="AC3527" s="6" t="n"/>
      <c r="AD3527" s="75" t="n"/>
      <c r="AE3527" s="75" t="n"/>
      <c r="AF3527" s="75" t="n"/>
    </row>
    <row r="3528" ht="15.75" customHeight="1" s="133">
      <c r="A3528" s="75" t="n"/>
      <c r="B3528" s="75" t="n"/>
      <c r="C3528" s="75" t="n"/>
      <c r="D3528" s="75" t="n"/>
      <c r="E3528" s="76" t="n"/>
      <c r="F3528" s="77" t="n"/>
      <c r="G3528" s="75" t="n"/>
      <c r="H3528" s="75">
        <f>IF(ISBLANK(E3528),"",IF(OR(D3528="Butterfly",D3528="Butterfly ",D3528="Iron Fly", D3528="Iron Fly "),LEN(E3528)-LEN(SUBSTITUTE(E3528,"/",""))+2,LEN(E3528)-LEN(SUBSTITUTE(E3528,"/",""))+1))</f>
        <v/>
      </c>
      <c r="I3528" s="78">
        <f>IF(ISBLANK(G3528),"",IF(D3528="Stock","0",Key!$A$3*H3528*G3528))</f>
        <v/>
      </c>
      <c r="J3528" s="78">
        <f>IF(ISBLANK(E3528),"",IF(ISNUMBER(SEARCH("/",E3528)), IF(LEN(E3528)-LEN(SUBSTITUTE(E3528,"/",""))=1,(RIGHT(E3528,LEN(E3528)-FIND("/",E3528)))-(LEFT(E3528,FIND("/",E3528)-1)),(MID(E3528, SEARCH("/",E3528) + 1, SEARCH("/",E3528, SEARCH("/",E3528)+1) - SEARCH("/",E3528) - 1))-(LEFT(E3528,FIND("/",E3528)-1))), "NA"))</f>
        <v/>
      </c>
      <c r="K3528" s="79">
        <f>IF(A3528&lt;&gt;"", IF(ISBLANK(L3528), TODAY(), K3528), "")</f>
        <v/>
      </c>
      <c r="L3528" s="78" t="n"/>
      <c r="M3528" s="78">
        <f>IF(ISBLANK(L3528),"",IF(D3528="Stock",IF(C3528="Buy",L3528*G3528,IF(C3528="Sell",(L3528*G3528)-I3528, X)),IF(C3528="Buy",(L3528*G3528*100)+I3528,IF(C3528="Sell",(L3528*G3528*100)-I3528, X))))</f>
        <v/>
      </c>
      <c r="N3528" s="78">
        <f>IF(ISBLANK(L3528),"",IF(AND(C3528="Sell",D3528="Stock"),M3528,IF(ISBLANK(L3528),"",IF(C3528="Buy",M3528, IF(AND(C3528="Sell",J3528="NA"),(E3528*G3528*100*0.1)+I3528, IF(C3528="Sell",(J3528-L3528)*(100*G3528)+I3528))))))</f>
        <v/>
      </c>
      <c r="O3528" s="75" t="n"/>
      <c r="P3528" s="75" t="n"/>
      <c r="Q3528" s="75">
        <f>IF(ISBLANK(P3528),"",IF(D3528="Stock",P3528*G3528,IF(P3528=0,"0",G3528*P3528*100-(G3528*$AF$14))))</f>
        <v/>
      </c>
      <c r="R3528" s="79">
        <f>IF(P3528&lt;&gt;"", TODAY(), "")</f>
        <v/>
      </c>
      <c r="S3528" s="78">
        <f>IF(AND(K3528&lt;&gt;"", R3528&lt;&gt;""), R3528-K3528, "")</f>
        <v/>
      </c>
      <c r="T3528" s="78" t="n"/>
      <c r="U3528" s="92">
        <f>IF(ISBLANK(P3528),"",IF(C3528="Buy",Q3528-M3528+T3528, IF(C3528="Sell",M3528-Q3528-T3528, X)))</f>
        <v/>
      </c>
      <c r="V3528" s="81">
        <f>IF(ISBLANK(P3528),"",U3528/N3528)</f>
        <v/>
      </c>
      <c r="W3528" s="81">
        <f>IF(ISBLANK(P3528),"",IF(S3528=0,(365/0.5)*V3528,(365/S3528)*V3528))</f>
        <v/>
      </c>
      <c r="X3528" s="75" t="n"/>
      <c r="Y3528" s="77" t="n"/>
      <c r="Z3528" s="77" t="n"/>
      <c r="AA3528" s="75" t="n"/>
      <c r="AB3528" s="75" t="n"/>
      <c r="AC3528" s="6" t="n"/>
      <c r="AD3528" s="75" t="n"/>
      <c r="AE3528" s="75" t="n"/>
      <c r="AF3528" s="75" t="n"/>
    </row>
    <row r="3529" ht="15.75" customHeight="1" s="133">
      <c r="A3529" s="75" t="n"/>
      <c r="B3529" s="75" t="n"/>
      <c r="C3529" s="75" t="n"/>
      <c r="D3529" s="75" t="n"/>
      <c r="E3529" s="76" t="n"/>
      <c r="F3529" s="77" t="n"/>
      <c r="G3529" s="75" t="n"/>
      <c r="H3529" s="75">
        <f>IF(ISBLANK(E3529),"",IF(OR(D3529="Butterfly",D3529="Butterfly ",D3529="Iron Fly", D3529="Iron Fly "),LEN(E3529)-LEN(SUBSTITUTE(E3529,"/",""))+2,LEN(E3529)-LEN(SUBSTITUTE(E3529,"/",""))+1))</f>
        <v/>
      </c>
      <c r="I3529" s="78">
        <f>IF(ISBLANK(G3529),"",IF(D3529="Stock","0",Key!$A$3*H3529*G3529))</f>
        <v/>
      </c>
      <c r="J3529" s="78">
        <f>IF(ISBLANK(E3529),"",IF(ISNUMBER(SEARCH("/",E3529)), IF(LEN(E3529)-LEN(SUBSTITUTE(E3529,"/",""))=1,(RIGHT(E3529,LEN(E3529)-FIND("/",E3529)))-(LEFT(E3529,FIND("/",E3529)-1)),(MID(E3529, SEARCH("/",E3529) + 1, SEARCH("/",E3529, SEARCH("/",E3529)+1) - SEARCH("/",E3529) - 1))-(LEFT(E3529,FIND("/",E3529)-1))), "NA"))</f>
        <v/>
      </c>
      <c r="K3529" s="79">
        <f>IF(A3529&lt;&gt;"", IF(ISBLANK(L3529), TODAY(), K3529), "")</f>
        <v/>
      </c>
      <c r="L3529" s="78" t="n"/>
      <c r="M3529" s="78">
        <f>IF(ISBLANK(L3529),"",IF(D3529="Stock",IF(C3529="Buy",L3529*G3529,IF(C3529="Sell",(L3529*G3529)-I3529, X)),IF(C3529="Buy",(L3529*G3529*100)+I3529,IF(C3529="Sell",(L3529*G3529*100)-I3529, X))))</f>
        <v/>
      </c>
      <c r="N3529" s="78">
        <f>IF(ISBLANK(L3529),"",IF(AND(C3529="Sell",D3529="Stock"),M3529,IF(ISBLANK(L3529),"",IF(C3529="Buy",M3529, IF(AND(C3529="Sell",J3529="NA"),(E3529*G3529*100*0.1)+I3529, IF(C3529="Sell",(J3529-L3529)*(100*G3529)+I3529))))))</f>
        <v/>
      </c>
      <c r="O3529" s="75" t="n"/>
      <c r="P3529" s="75" t="n"/>
      <c r="Q3529" s="75">
        <f>IF(ISBLANK(P3529),"",IF(D3529="Stock",P3529*G3529,IF(P3529=0,"0",G3529*P3529*100-(G3529*$AF$14))))</f>
        <v/>
      </c>
      <c r="R3529" s="79">
        <f>IF(P3529&lt;&gt;"", TODAY(), "")</f>
        <v/>
      </c>
      <c r="S3529" s="78">
        <f>IF(AND(K3529&lt;&gt;"", R3529&lt;&gt;""), R3529-K3529, "")</f>
        <v/>
      </c>
      <c r="T3529" s="78" t="n"/>
      <c r="U3529" s="92">
        <f>IF(ISBLANK(P3529),"",IF(C3529="Buy",Q3529-M3529+T3529, IF(C3529="Sell",M3529-Q3529-T3529, X)))</f>
        <v/>
      </c>
      <c r="V3529" s="81">
        <f>IF(ISBLANK(P3529),"",U3529/N3529)</f>
        <v/>
      </c>
      <c r="W3529" s="81">
        <f>IF(ISBLANK(P3529),"",IF(S3529=0,(365/0.5)*V3529,(365/S3529)*V3529))</f>
        <v/>
      </c>
      <c r="X3529" s="75" t="n"/>
      <c r="Y3529" s="77" t="n"/>
      <c r="Z3529" s="77" t="n"/>
      <c r="AA3529" s="75" t="n"/>
      <c r="AB3529" s="75" t="n"/>
      <c r="AC3529" s="6" t="n"/>
      <c r="AD3529" s="75" t="n"/>
      <c r="AE3529" s="75" t="n"/>
      <c r="AF3529" s="75" t="n"/>
    </row>
    <row r="3530" ht="15.75" customHeight="1" s="133">
      <c r="A3530" s="75" t="n"/>
      <c r="B3530" s="75" t="n"/>
      <c r="C3530" s="75" t="n"/>
      <c r="D3530" s="75" t="n"/>
      <c r="E3530" s="76" t="n"/>
      <c r="F3530" s="77" t="n"/>
      <c r="G3530" s="75" t="n"/>
      <c r="H3530" s="75">
        <f>IF(ISBLANK(E3530),"",IF(OR(D3530="Butterfly",D3530="Butterfly ",D3530="Iron Fly", D3530="Iron Fly "),LEN(E3530)-LEN(SUBSTITUTE(E3530,"/",""))+2,LEN(E3530)-LEN(SUBSTITUTE(E3530,"/",""))+1))</f>
        <v/>
      </c>
      <c r="I3530" s="78">
        <f>IF(ISBLANK(G3530),"",IF(D3530="Stock","0",Key!$A$3*H3530*G3530))</f>
        <v/>
      </c>
      <c r="J3530" s="78">
        <f>IF(ISBLANK(E3530),"",IF(ISNUMBER(SEARCH("/",E3530)), IF(LEN(E3530)-LEN(SUBSTITUTE(E3530,"/",""))=1,(RIGHT(E3530,LEN(E3530)-FIND("/",E3530)))-(LEFT(E3530,FIND("/",E3530)-1)),(MID(E3530, SEARCH("/",E3530) + 1, SEARCH("/",E3530, SEARCH("/",E3530)+1) - SEARCH("/",E3530) - 1))-(LEFT(E3530,FIND("/",E3530)-1))), "NA"))</f>
        <v/>
      </c>
      <c r="K3530" s="79">
        <f>IF(A3530&lt;&gt;"", IF(ISBLANK(L3530), TODAY(), K3530), "")</f>
        <v/>
      </c>
      <c r="L3530" s="78" t="n"/>
      <c r="M3530" s="78">
        <f>IF(ISBLANK(L3530),"",IF(D3530="Stock",IF(C3530="Buy",L3530*G3530,IF(C3530="Sell",(L3530*G3530)-I3530, X)),IF(C3530="Buy",(L3530*G3530*100)+I3530,IF(C3530="Sell",(L3530*G3530*100)-I3530, X))))</f>
        <v/>
      </c>
      <c r="N3530" s="78">
        <f>IF(ISBLANK(L3530),"",IF(AND(C3530="Sell",D3530="Stock"),M3530,IF(ISBLANK(L3530),"",IF(C3530="Buy",M3530, IF(AND(C3530="Sell",J3530="NA"),(E3530*G3530*100*0.1)+I3530, IF(C3530="Sell",(J3530-L3530)*(100*G3530)+I3530))))))</f>
        <v/>
      </c>
      <c r="O3530" s="75" t="n"/>
      <c r="P3530" s="75" t="n"/>
      <c r="Q3530" s="75">
        <f>IF(ISBLANK(P3530),"",IF(D3530="Stock",P3530*G3530,IF(P3530=0,"0",G3530*P3530*100-(G3530*$AF$14))))</f>
        <v/>
      </c>
      <c r="R3530" s="79">
        <f>IF(P3530&lt;&gt;"", TODAY(), "")</f>
        <v/>
      </c>
      <c r="S3530" s="78">
        <f>IF(AND(K3530&lt;&gt;"", R3530&lt;&gt;""), R3530-K3530, "")</f>
        <v/>
      </c>
      <c r="T3530" s="78" t="n"/>
      <c r="U3530" s="92">
        <f>IF(ISBLANK(P3530),"",IF(C3530="Buy",Q3530-M3530+T3530, IF(C3530="Sell",M3530-Q3530-T3530, X)))</f>
        <v/>
      </c>
      <c r="V3530" s="81">
        <f>IF(ISBLANK(P3530),"",U3530/N3530)</f>
        <v/>
      </c>
      <c r="W3530" s="81">
        <f>IF(ISBLANK(P3530),"",IF(S3530=0,(365/0.5)*V3530,(365/S3530)*V3530))</f>
        <v/>
      </c>
      <c r="X3530" s="75" t="n"/>
      <c r="Y3530" s="77" t="n"/>
      <c r="Z3530" s="77" t="n"/>
      <c r="AA3530" s="75" t="n"/>
      <c r="AB3530" s="75" t="n"/>
      <c r="AC3530" s="6" t="n"/>
      <c r="AD3530" s="75" t="n"/>
      <c r="AE3530" s="75" t="n"/>
      <c r="AF3530" s="75" t="n"/>
    </row>
    <row r="3531" ht="15.75" customHeight="1" s="133">
      <c r="A3531" s="75" t="n"/>
      <c r="B3531" s="75" t="n"/>
      <c r="C3531" s="75" t="n"/>
      <c r="D3531" s="75" t="n"/>
      <c r="E3531" s="76" t="n"/>
      <c r="F3531" s="77" t="n"/>
      <c r="G3531" s="75" t="n"/>
      <c r="H3531" s="75">
        <f>IF(ISBLANK(E3531),"",IF(OR(D3531="Butterfly",D3531="Butterfly ",D3531="Iron Fly", D3531="Iron Fly "),LEN(E3531)-LEN(SUBSTITUTE(E3531,"/",""))+2,LEN(E3531)-LEN(SUBSTITUTE(E3531,"/",""))+1))</f>
        <v/>
      </c>
      <c r="I3531" s="78">
        <f>IF(ISBLANK(G3531),"",IF(D3531="Stock","0",Key!$A$3*H3531*G3531))</f>
        <v/>
      </c>
      <c r="J3531" s="78">
        <f>IF(ISBLANK(E3531),"",IF(ISNUMBER(SEARCH("/",E3531)), IF(LEN(E3531)-LEN(SUBSTITUTE(E3531,"/",""))=1,(RIGHT(E3531,LEN(E3531)-FIND("/",E3531)))-(LEFT(E3531,FIND("/",E3531)-1)),(MID(E3531, SEARCH("/",E3531) + 1, SEARCH("/",E3531, SEARCH("/",E3531)+1) - SEARCH("/",E3531) - 1))-(LEFT(E3531,FIND("/",E3531)-1))), "NA"))</f>
        <v/>
      </c>
      <c r="K3531" s="79">
        <f>IF(A3531&lt;&gt;"", IF(ISBLANK(L3531), TODAY(), K3531), "")</f>
        <v/>
      </c>
      <c r="L3531" s="78" t="n"/>
      <c r="M3531" s="78">
        <f>IF(ISBLANK(L3531),"",IF(D3531="Stock",IF(C3531="Buy",L3531*G3531,IF(C3531="Sell",(L3531*G3531)-I3531, X)),IF(C3531="Buy",(L3531*G3531*100)+I3531,IF(C3531="Sell",(L3531*G3531*100)-I3531, X))))</f>
        <v/>
      </c>
      <c r="N3531" s="78">
        <f>IF(ISBLANK(L3531),"",IF(AND(C3531="Sell",D3531="Stock"),M3531,IF(ISBLANK(L3531),"",IF(C3531="Buy",M3531, IF(AND(C3531="Sell",J3531="NA"),(E3531*G3531*100*0.1)+I3531, IF(C3531="Sell",(J3531-L3531)*(100*G3531)+I3531))))))</f>
        <v/>
      </c>
      <c r="O3531" s="75" t="n"/>
      <c r="P3531" s="75" t="n"/>
      <c r="Q3531" s="75">
        <f>IF(ISBLANK(P3531),"",IF(D3531="Stock",P3531*G3531,IF(P3531=0,"0",G3531*P3531*100-(G3531*$AF$14))))</f>
        <v/>
      </c>
      <c r="R3531" s="79">
        <f>IF(P3531&lt;&gt;"", TODAY(), "")</f>
        <v/>
      </c>
      <c r="S3531" s="78">
        <f>IF(AND(K3531&lt;&gt;"", R3531&lt;&gt;""), R3531-K3531, "")</f>
        <v/>
      </c>
      <c r="T3531" s="78" t="n"/>
      <c r="U3531" s="92">
        <f>IF(ISBLANK(P3531),"",IF(C3531="Buy",Q3531-M3531+T3531, IF(C3531="Sell",M3531-Q3531-T3531, X)))</f>
        <v/>
      </c>
      <c r="V3531" s="81">
        <f>IF(ISBLANK(P3531),"",U3531/N3531)</f>
        <v/>
      </c>
      <c r="W3531" s="81">
        <f>IF(ISBLANK(P3531),"",IF(S3531=0,(365/0.5)*V3531,(365/S3531)*V3531))</f>
        <v/>
      </c>
      <c r="X3531" s="75" t="n"/>
      <c r="Y3531" s="77" t="n"/>
      <c r="Z3531" s="77" t="n"/>
      <c r="AA3531" s="75" t="n"/>
      <c r="AB3531" s="75" t="n"/>
      <c r="AC3531" s="6" t="n"/>
      <c r="AD3531" s="75" t="n"/>
      <c r="AE3531" s="75" t="n"/>
      <c r="AF3531" s="75" t="n"/>
    </row>
    <row r="3532" ht="15.75" customHeight="1" s="133">
      <c r="A3532" s="75" t="n"/>
      <c r="B3532" s="75" t="n"/>
      <c r="C3532" s="75" t="n"/>
      <c r="D3532" s="75" t="n"/>
      <c r="E3532" s="76" t="n"/>
      <c r="F3532" s="77" t="n"/>
      <c r="G3532" s="75" t="n"/>
      <c r="H3532" s="75">
        <f>IF(ISBLANK(E3532),"",IF(OR(D3532="Butterfly",D3532="Butterfly ",D3532="Iron Fly", D3532="Iron Fly "),LEN(E3532)-LEN(SUBSTITUTE(E3532,"/",""))+2,LEN(E3532)-LEN(SUBSTITUTE(E3532,"/",""))+1))</f>
        <v/>
      </c>
      <c r="I3532" s="78">
        <f>IF(ISBLANK(G3532),"",IF(D3532="Stock","0",Key!$A$3*H3532*G3532))</f>
        <v/>
      </c>
      <c r="J3532" s="78">
        <f>IF(ISBLANK(E3532),"",IF(ISNUMBER(SEARCH("/",E3532)), IF(LEN(E3532)-LEN(SUBSTITUTE(E3532,"/",""))=1,(RIGHT(E3532,LEN(E3532)-FIND("/",E3532)))-(LEFT(E3532,FIND("/",E3532)-1)),(MID(E3532, SEARCH("/",E3532) + 1, SEARCH("/",E3532, SEARCH("/",E3532)+1) - SEARCH("/",E3532) - 1))-(LEFT(E3532,FIND("/",E3532)-1))), "NA"))</f>
        <v/>
      </c>
      <c r="K3532" s="79">
        <f>IF(A3532&lt;&gt;"", IF(ISBLANK(L3532), TODAY(), K3532), "")</f>
        <v/>
      </c>
      <c r="L3532" s="78" t="n"/>
      <c r="M3532" s="78">
        <f>IF(ISBLANK(L3532),"",IF(D3532="Stock",IF(C3532="Buy",L3532*G3532,IF(C3532="Sell",(L3532*G3532)-I3532, X)),IF(C3532="Buy",(L3532*G3532*100)+I3532,IF(C3532="Sell",(L3532*G3532*100)-I3532, X))))</f>
        <v/>
      </c>
      <c r="N3532" s="78">
        <f>IF(ISBLANK(L3532),"",IF(AND(C3532="Sell",D3532="Stock"),M3532,IF(ISBLANK(L3532),"",IF(C3532="Buy",M3532, IF(AND(C3532="Sell",J3532="NA"),(E3532*G3532*100*0.1)+I3532, IF(C3532="Sell",(J3532-L3532)*(100*G3532)+I3532))))))</f>
        <v/>
      </c>
      <c r="O3532" s="75" t="n"/>
      <c r="P3532" s="75" t="n"/>
      <c r="Q3532" s="75">
        <f>IF(ISBLANK(P3532),"",IF(D3532="Stock",P3532*G3532,IF(P3532=0,"0",G3532*P3532*100-(G3532*$AF$14))))</f>
        <v/>
      </c>
      <c r="R3532" s="79">
        <f>IF(P3532&lt;&gt;"", TODAY(), "")</f>
        <v/>
      </c>
      <c r="S3532" s="78">
        <f>IF(AND(K3532&lt;&gt;"", R3532&lt;&gt;""), R3532-K3532, "")</f>
        <v/>
      </c>
      <c r="T3532" s="78" t="n"/>
      <c r="U3532" s="92">
        <f>IF(ISBLANK(P3532),"",IF(C3532="Buy",Q3532-M3532+T3532, IF(C3532="Sell",M3532-Q3532-T3532, X)))</f>
        <v/>
      </c>
      <c r="V3532" s="81">
        <f>IF(ISBLANK(P3532),"",U3532/N3532)</f>
        <v/>
      </c>
      <c r="W3532" s="81">
        <f>IF(ISBLANK(P3532),"",IF(S3532=0,(365/0.5)*V3532,(365/S3532)*V3532))</f>
        <v/>
      </c>
      <c r="X3532" s="75" t="n"/>
      <c r="Y3532" s="77" t="n"/>
      <c r="Z3532" s="77" t="n"/>
      <c r="AA3532" s="75" t="n"/>
      <c r="AB3532" s="75" t="n"/>
      <c r="AC3532" s="6" t="n"/>
      <c r="AD3532" s="75" t="n"/>
      <c r="AE3532" s="75" t="n"/>
      <c r="AF3532" s="75" t="n"/>
    </row>
    <row r="3533" ht="15.75" customHeight="1" s="133">
      <c r="A3533" s="75" t="n"/>
      <c r="B3533" s="75" t="n"/>
      <c r="C3533" s="75" t="n"/>
      <c r="D3533" s="75" t="n"/>
      <c r="E3533" s="76" t="n"/>
      <c r="F3533" s="77" t="n"/>
      <c r="G3533" s="75" t="n"/>
      <c r="H3533" s="75">
        <f>IF(ISBLANK(E3533),"",IF(OR(D3533="Butterfly",D3533="Butterfly ",D3533="Iron Fly", D3533="Iron Fly "),LEN(E3533)-LEN(SUBSTITUTE(E3533,"/",""))+2,LEN(E3533)-LEN(SUBSTITUTE(E3533,"/",""))+1))</f>
        <v/>
      </c>
      <c r="I3533" s="78">
        <f>IF(ISBLANK(G3533),"",IF(D3533="Stock","0",Key!$A$3*H3533*G3533))</f>
        <v/>
      </c>
      <c r="J3533" s="78">
        <f>IF(ISBLANK(E3533),"",IF(ISNUMBER(SEARCH("/",E3533)), IF(LEN(E3533)-LEN(SUBSTITUTE(E3533,"/",""))=1,(RIGHT(E3533,LEN(E3533)-FIND("/",E3533)))-(LEFT(E3533,FIND("/",E3533)-1)),(MID(E3533, SEARCH("/",E3533) + 1, SEARCH("/",E3533, SEARCH("/",E3533)+1) - SEARCH("/",E3533) - 1))-(LEFT(E3533,FIND("/",E3533)-1))), "NA"))</f>
        <v/>
      </c>
      <c r="K3533" s="79">
        <f>IF(A3533&lt;&gt;"", IF(ISBLANK(L3533), TODAY(), K3533), "")</f>
        <v/>
      </c>
      <c r="L3533" s="78" t="n"/>
      <c r="M3533" s="78">
        <f>IF(ISBLANK(L3533),"",IF(D3533="Stock",IF(C3533="Buy",L3533*G3533,IF(C3533="Sell",(L3533*G3533)-I3533, X)),IF(C3533="Buy",(L3533*G3533*100)+I3533,IF(C3533="Sell",(L3533*G3533*100)-I3533, X))))</f>
        <v/>
      </c>
      <c r="N3533" s="78">
        <f>IF(ISBLANK(L3533),"",IF(AND(C3533="Sell",D3533="Stock"),M3533,IF(ISBLANK(L3533),"",IF(C3533="Buy",M3533, IF(AND(C3533="Sell",J3533="NA"),(E3533*G3533*100*0.1)+I3533, IF(C3533="Sell",(J3533-L3533)*(100*G3533)+I3533))))))</f>
        <v/>
      </c>
      <c r="O3533" s="75" t="n"/>
      <c r="P3533" s="75" t="n"/>
      <c r="Q3533" s="75">
        <f>IF(ISBLANK(P3533),"",IF(D3533="Stock",P3533*G3533,IF(P3533=0,"0",G3533*P3533*100-(G3533*$AF$14))))</f>
        <v/>
      </c>
      <c r="R3533" s="79">
        <f>IF(P3533&lt;&gt;"", TODAY(), "")</f>
        <v/>
      </c>
      <c r="S3533" s="78">
        <f>IF(AND(K3533&lt;&gt;"", R3533&lt;&gt;""), R3533-K3533, "")</f>
        <v/>
      </c>
      <c r="T3533" s="78" t="n"/>
      <c r="U3533" s="92">
        <f>IF(ISBLANK(P3533),"",IF(C3533="Buy",Q3533-M3533+T3533, IF(C3533="Sell",M3533-Q3533-T3533, X)))</f>
        <v/>
      </c>
      <c r="V3533" s="81">
        <f>IF(ISBLANK(P3533),"",U3533/N3533)</f>
        <v/>
      </c>
      <c r="W3533" s="81">
        <f>IF(ISBLANK(P3533),"",IF(S3533=0,(365/0.5)*V3533,(365/S3533)*V3533))</f>
        <v/>
      </c>
      <c r="X3533" s="75" t="n"/>
      <c r="Y3533" s="77" t="n"/>
      <c r="Z3533" s="77" t="n"/>
      <c r="AA3533" s="75" t="n"/>
      <c r="AB3533" s="75" t="n"/>
      <c r="AC3533" s="6" t="n"/>
      <c r="AD3533" s="75" t="n"/>
      <c r="AE3533" s="75" t="n"/>
      <c r="AF3533" s="75" t="n"/>
    </row>
    <row r="3534" ht="15.75" customHeight="1" s="133">
      <c r="A3534" s="75" t="n"/>
      <c r="B3534" s="75" t="n"/>
      <c r="C3534" s="75" t="n"/>
      <c r="D3534" s="75" t="n"/>
      <c r="E3534" s="76" t="n"/>
      <c r="F3534" s="77" t="n"/>
      <c r="G3534" s="75" t="n"/>
      <c r="H3534" s="75">
        <f>IF(ISBLANK(E3534),"",IF(OR(D3534="Butterfly",D3534="Butterfly ",D3534="Iron Fly", D3534="Iron Fly "),LEN(E3534)-LEN(SUBSTITUTE(E3534,"/",""))+2,LEN(E3534)-LEN(SUBSTITUTE(E3534,"/",""))+1))</f>
        <v/>
      </c>
      <c r="I3534" s="78">
        <f>IF(ISBLANK(G3534),"",IF(D3534="Stock","0",Key!$A$3*H3534*G3534))</f>
        <v/>
      </c>
      <c r="J3534" s="78">
        <f>IF(ISBLANK(E3534),"",IF(ISNUMBER(SEARCH("/",E3534)), IF(LEN(E3534)-LEN(SUBSTITUTE(E3534,"/",""))=1,(RIGHT(E3534,LEN(E3534)-FIND("/",E3534)))-(LEFT(E3534,FIND("/",E3534)-1)),(MID(E3534, SEARCH("/",E3534) + 1, SEARCH("/",E3534, SEARCH("/",E3534)+1) - SEARCH("/",E3534) - 1))-(LEFT(E3534,FIND("/",E3534)-1))), "NA"))</f>
        <v/>
      </c>
      <c r="K3534" s="79">
        <f>IF(A3534&lt;&gt;"", IF(ISBLANK(L3534), TODAY(), K3534), "")</f>
        <v/>
      </c>
      <c r="L3534" s="78" t="n"/>
      <c r="M3534" s="78">
        <f>IF(ISBLANK(L3534),"",IF(D3534="Stock",IF(C3534="Buy",L3534*G3534,IF(C3534="Sell",(L3534*G3534)-I3534, X)),IF(C3534="Buy",(L3534*G3534*100)+I3534,IF(C3534="Sell",(L3534*G3534*100)-I3534, X))))</f>
        <v/>
      </c>
      <c r="N3534" s="78">
        <f>IF(ISBLANK(L3534),"",IF(AND(C3534="Sell",D3534="Stock"),M3534,IF(ISBLANK(L3534),"",IF(C3534="Buy",M3534, IF(AND(C3534="Sell",J3534="NA"),(E3534*G3534*100*0.1)+I3534, IF(C3534="Sell",(J3534-L3534)*(100*G3534)+I3534))))))</f>
        <v/>
      </c>
      <c r="O3534" s="75" t="n"/>
      <c r="P3534" s="75" t="n"/>
      <c r="Q3534" s="75">
        <f>IF(ISBLANK(P3534),"",IF(D3534="Stock",P3534*G3534,IF(P3534=0,"0",G3534*P3534*100-(G3534*$AF$14))))</f>
        <v/>
      </c>
      <c r="R3534" s="79">
        <f>IF(P3534&lt;&gt;"", TODAY(), "")</f>
        <v/>
      </c>
      <c r="S3534" s="78">
        <f>IF(AND(K3534&lt;&gt;"", R3534&lt;&gt;""), R3534-K3534, "")</f>
        <v/>
      </c>
      <c r="T3534" s="78" t="n"/>
      <c r="U3534" s="92">
        <f>IF(ISBLANK(P3534),"",IF(C3534="Buy",Q3534-M3534+T3534, IF(C3534="Sell",M3534-Q3534-T3534, X)))</f>
        <v/>
      </c>
      <c r="V3534" s="81">
        <f>IF(ISBLANK(P3534),"",U3534/N3534)</f>
        <v/>
      </c>
      <c r="W3534" s="81">
        <f>IF(ISBLANK(P3534),"",IF(S3534=0,(365/0.5)*V3534,(365/S3534)*V3534))</f>
        <v/>
      </c>
      <c r="X3534" s="75" t="n"/>
      <c r="Y3534" s="77" t="n"/>
      <c r="Z3534" s="77" t="n"/>
      <c r="AA3534" s="75" t="n"/>
      <c r="AB3534" s="75" t="n"/>
      <c r="AC3534" s="6" t="n"/>
      <c r="AD3534" s="75" t="n"/>
      <c r="AE3534" s="75" t="n"/>
      <c r="AF3534" s="75" t="n"/>
    </row>
    <row r="3535" ht="15.75" customHeight="1" s="133">
      <c r="A3535" s="75" t="n"/>
      <c r="B3535" s="75" t="n"/>
      <c r="C3535" s="75" t="n"/>
      <c r="D3535" s="75" t="n"/>
      <c r="E3535" s="76" t="n"/>
      <c r="F3535" s="77" t="n"/>
      <c r="G3535" s="75" t="n"/>
      <c r="H3535" s="75">
        <f>IF(ISBLANK(E3535),"",IF(OR(D3535="Butterfly",D3535="Butterfly ",D3535="Iron Fly", D3535="Iron Fly "),LEN(E3535)-LEN(SUBSTITUTE(E3535,"/",""))+2,LEN(E3535)-LEN(SUBSTITUTE(E3535,"/",""))+1))</f>
        <v/>
      </c>
      <c r="I3535" s="78">
        <f>IF(ISBLANK(G3535),"",IF(D3535="Stock","0",Key!$A$3*H3535*G3535))</f>
        <v/>
      </c>
      <c r="J3535" s="78">
        <f>IF(ISBLANK(E3535),"",IF(ISNUMBER(SEARCH("/",E3535)), IF(LEN(E3535)-LEN(SUBSTITUTE(E3535,"/",""))=1,(RIGHT(E3535,LEN(E3535)-FIND("/",E3535)))-(LEFT(E3535,FIND("/",E3535)-1)),(MID(E3535, SEARCH("/",E3535) + 1, SEARCH("/",E3535, SEARCH("/",E3535)+1) - SEARCH("/",E3535) - 1))-(LEFT(E3535,FIND("/",E3535)-1))), "NA"))</f>
        <v/>
      </c>
      <c r="K3535" s="79">
        <f>IF(A3535&lt;&gt;"", IF(ISBLANK(L3535), TODAY(), K3535), "")</f>
        <v/>
      </c>
      <c r="L3535" s="78" t="n"/>
      <c r="M3535" s="78">
        <f>IF(ISBLANK(L3535),"",IF(D3535="Stock",IF(C3535="Buy",L3535*G3535,IF(C3535="Sell",(L3535*G3535)-I3535, X)),IF(C3535="Buy",(L3535*G3535*100)+I3535,IF(C3535="Sell",(L3535*G3535*100)-I3535, X))))</f>
        <v/>
      </c>
      <c r="N3535" s="78">
        <f>IF(ISBLANK(L3535),"",IF(AND(C3535="Sell",D3535="Stock"),M3535,IF(ISBLANK(L3535),"",IF(C3535="Buy",M3535, IF(AND(C3535="Sell",J3535="NA"),(E3535*G3535*100*0.1)+I3535, IF(C3535="Sell",(J3535-L3535)*(100*G3535)+I3535))))))</f>
        <v/>
      </c>
      <c r="O3535" s="75" t="n"/>
      <c r="P3535" s="75" t="n"/>
      <c r="Q3535" s="75">
        <f>IF(ISBLANK(P3535),"",IF(D3535="Stock",P3535*G3535,IF(P3535=0,"0",G3535*P3535*100-(G3535*$AF$14))))</f>
        <v/>
      </c>
      <c r="R3535" s="79">
        <f>IF(P3535&lt;&gt;"", TODAY(), "")</f>
        <v/>
      </c>
      <c r="S3535" s="78">
        <f>IF(AND(K3535&lt;&gt;"", R3535&lt;&gt;""), R3535-K3535, "")</f>
        <v/>
      </c>
      <c r="T3535" s="78" t="n"/>
      <c r="U3535" s="92">
        <f>IF(ISBLANK(P3535),"",IF(C3535="Buy",Q3535-M3535+T3535, IF(C3535="Sell",M3535-Q3535-T3535, X)))</f>
        <v/>
      </c>
      <c r="V3535" s="81">
        <f>IF(ISBLANK(P3535),"",U3535/N3535)</f>
        <v/>
      </c>
      <c r="W3535" s="81">
        <f>IF(ISBLANK(P3535),"",IF(S3535=0,(365/0.5)*V3535,(365/S3535)*V3535))</f>
        <v/>
      </c>
      <c r="X3535" s="75" t="n"/>
      <c r="Y3535" s="77" t="n"/>
      <c r="Z3535" s="77" t="n"/>
      <c r="AA3535" s="75" t="n"/>
      <c r="AB3535" s="75" t="n"/>
      <c r="AC3535" s="6" t="n"/>
      <c r="AD3535" s="75" t="n"/>
      <c r="AE3535" s="75" t="n"/>
      <c r="AF3535" s="75" t="n"/>
    </row>
    <row r="3536" ht="15.75" customHeight="1" s="133">
      <c r="A3536" s="75" t="n"/>
      <c r="B3536" s="75" t="n"/>
      <c r="C3536" s="75" t="n"/>
      <c r="D3536" s="75" t="n"/>
      <c r="E3536" s="76" t="n"/>
      <c r="F3536" s="77" t="n"/>
      <c r="G3536" s="75" t="n"/>
      <c r="H3536" s="75">
        <f>IF(ISBLANK(E3536),"",IF(OR(D3536="Butterfly",D3536="Butterfly ",D3536="Iron Fly", D3536="Iron Fly "),LEN(E3536)-LEN(SUBSTITUTE(E3536,"/",""))+2,LEN(E3536)-LEN(SUBSTITUTE(E3536,"/",""))+1))</f>
        <v/>
      </c>
      <c r="I3536" s="78">
        <f>IF(ISBLANK(G3536),"",IF(D3536="Stock","0",Key!$A$3*H3536*G3536))</f>
        <v/>
      </c>
      <c r="J3536" s="78">
        <f>IF(ISBLANK(E3536),"",IF(ISNUMBER(SEARCH("/",E3536)), IF(LEN(E3536)-LEN(SUBSTITUTE(E3536,"/",""))=1,(RIGHT(E3536,LEN(E3536)-FIND("/",E3536)))-(LEFT(E3536,FIND("/",E3536)-1)),(MID(E3536, SEARCH("/",E3536) + 1, SEARCH("/",E3536, SEARCH("/",E3536)+1) - SEARCH("/",E3536) - 1))-(LEFT(E3536,FIND("/",E3536)-1))), "NA"))</f>
        <v/>
      </c>
      <c r="K3536" s="79">
        <f>IF(A3536&lt;&gt;"", IF(ISBLANK(L3536), TODAY(), K3536), "")</f>
        <v/>
      </c>
      <c r="L3536" s="78" t="n"/>
      <c r="M3536" s="78">
        <f>IF(ISBLANK(L3536),"",IF(D3536="Stock",IF(C3536="Buy",L3536*G3536,IF(C3536="Sell",(L3536*G3536)-I3536, X)),IF(C3536="Buy",(L3536*G3536*100)+I3536,IF(C3536="Sell",(L3536*G3536*100)-I3536, X))))</f>
        <v/>
      </c>
      <c r="N3536" s="78">
        <f>IF(ISBLANK(L3536),"",IF(AND(C3536="Sell",D3536="Stock"),M3536,IF(ISBLANK(L3536),"",IF(C3536="Buy",M3536, IF(AND(C3536="Sell",J3536="NA"),(E3536*G3536*100*0.1)+I3536, IF(C3536="Sell",(J3536-L3536)*(100*G3536)+I3536))))))</f>
        <v/>
      </c>
      <c r="O3536" s="75" t="n"/>
      <c r="P3536" s="75" t="n"/>
      <c r="Q3536" s="75">
        <f>IF(ISBLANK(P3536),"",IF(D3536="Stock",P3536*G3536,IF(P3536=0,"0",G3536*P3536*100-(G3536*$AF$14))))</f>
        <v/>
      </c>
      <c r="R3536" s="79">
        <f>IF(P3536&lt;&gt;"", TODAY(), "")</f>
        <v/>
      </c>
      <c r="S3536" s="78">
        <f>IF(AND(K3536&lt;&gt;"", R3536&lt;&gt;""), R3536-K3536, "")</f>
        <v/>
      </c>
      <c r="T3536" s="78" t="n"/>
      <c r="U3536" s="92">
        <f>IF(ISBLANK(P3536),"",IF(C3536="Buy",Q3536-M3536+T3536, IF(C3536="Sell",M3536-Q3536-T3536, X)))</f>
        <v/>
      </c>
      <c r="V3536" s="81">
        <f>IF(ISBLANK(P3536),"",U3536/N3536)</f>
        <v/>
      </c>
      <c r="W3536" s="81">
        <f>IF(ISBLANK(P3536),"",IF(S3536=0,(365/0.5)*V3536,(365/S3536)*V3536))</f>
        <v/>
      </c>
      <c r="X3536" s="75" t="n"/>
      <c r="Y3536" s="77" t="n"/>
      <c r="Z3536" s="77" t="n"/>
      <c r="AA3536" s="75" t="n"/>
      <c r="AB3536" s="75" t="n"/>
      <c r="AC3536" s="6" t="n"/>
      <c r="AD3536" s="75" t="n"/>
      <c r="AE3536" s="75" t="n"/>
      <c r="AF3536" s="75" t="n"/>
    </row>
    <row r="3537" ht="15.75" customHeight="1" s="133">
      <c r="A3537" s="75" t="n"/>
      <c r="B3537" s="75" t="n"/>
      <c r="C3537" s="75" t="n"/>
      <c r="D3537" s="75" t="n"/>
      <c r="E3537" s="76" t="n"/>
      <c r="F3537" s="77" t="n"/>
      <c r="G3537" s="75" t="n"/>
      <c r="H3537" s="75">
        <f>IF(ISBLANK(E3537),"",IF(OR(D3537="Butterfly",D3537="Butterfly ",D3537="Iron Fly", D3537="Iron Fly "),LEN(E3537)-LEN(SUBSTITUTE(E3537,"/",""))+2,LEN(E3537)-LEN(SUBSTITUTE(E3537,"/",""))+1))</f>
        <v/>
      </c>
      <c r="I3537" s="78">
        <f>IF(ISBLANK(G3537),"",IF(D3537="Stock","0",Key!$A$3*H3537*G3537))</f>
        <v/>
      </c>
      <c r="J3537" s="78">
        <f>IF(ISBLANK(E3537),"",IF(ISNUMBER(SEARCH("/",E3537)), IF(LEN(E3537)-LEN(SUBSTITUTE(E3537,"/",""))=1,(RIGHT(E3537,LEN(E3537)-FIND("/",E3537)))-(LEFT(E3537,FIND("/",E3537)-1)),(MID(E3537, SEARCH("/",E3537) + 1, SEARCH("/",E3537, SEARCH("/",E3537)+1) - SEARCH("/",E3537) - 1))-(LEFT(E3537,FIND("/",E3537)-1))), "NA"))</f>
        <v/>
      </c>
      <c r="K3537" s="79">
        <f>IF(A3537&lt;&gt;"", IF(ISBLANK(L3537), TODAY(), K3537), "")</f>
        <v/>
      </c>
      <c r="L3537" s="78" t="n"/>
      <c r="M3537" s="78">
        <f>IF(ISBLANK(L3537),"",IF(D3537="Stock",IF(C3537="Buy",L3537*G3537,IF(C3537="Sell",(L3537*G3537)-I3537, X)),IF(C3537="Buy",(L3537*G3537*100)+I3537,IF(C3537="Sell",(L3537*G3537*100)-I3537, X))))</f>
        <v/>
      </c>
      <c r="N3537" s="78">
        <f>IF(ISBLANK(L3537),"",IF(AND(C3537="Sell",D3537="Stock"),M3537,IF(ISBLANK(L3537),"",IF(C3537="Buy",M3537, IF(AND(C3537="Sell",J3537="NA"),(E3537*G3537*100*0.1)+I3537, IF(C3537="Sell",(J3537-L3537)*(100*G3537)+I3537))))))</f>
        <v/>
      </c>
      <c r="O3537" s="75" t="n"/>
      <c r="P3537" s="75" t="n"/>
      <c r="Q3537" s="75">
        <f>IF(ISBLANK(P3537),"",IF(D3537="Stock",P3537*G3537,IF(P3537=0,"0",G3537*P3537*100-(G3537*$AF$14))))</f>
        <v/>
      </c>
      <c r="R3537" s="79">
        <f>IF(P3537&lt;&gt;"", TODAY(), "")</f>
        <v/>
      </c>
      <c r="S3537" s="78">
        <f>IF(AND(K3537&lt;&gt;"", R3537&lt;&gt;""), R3537-K3537, "")</f>
        <v/>
      </c>
      <c r="T3537" s="78" t="n"/>
      <c r="U3537" s="92">
        <f>IF(ISBLANK(P3537),"",IF(C3537="Buy",Q3537-M3537+T3537, IF(C3537="Sell",M3537-Q3537-T3537, X)))</f>
        <v/>
      </c>
      <c r="V3537" s="81">
        <f>IF(ISBLANK(P3537),"",U3537/N3537)</f>
        <v/>
      </c>
      <c r="W3537" s="81">
        <f>IF(ISBLANK(P3537),"",IF(S3537=0,(365/0.5)*V3537,(365/S3537)*V3537))</f>
        <v/>
      </c>
      <c r="X3537" s="75" t="n"/>
      <c r="Y3537" s="77" t="n"/>
      <c r="Z3537" s="77" t="n"/>
      <c r="AA3537" s="75" t="n"/>
      <c r="AB3537" s="75" t="n"/>
      <c r="AC3537" s="6" t="n"/>
      <c r="AD3537" s="75" t="n"/>
      <c r="AE3537" s="75" t="n"/>
      <c r="AF3537" s="75" t="n"/>
    </row>
    <row r="3538" ht="15.75" customHeight="1" s="133">
      <c r="A3538" s="75" t="n"/>
      <c r="B3538" s="75" t="n"/>
      <c r="C3538" s="75" t="n"/>
      <c r="D3538" s="75" t="n"/>
      <c r="E3538" s="76" t="n"/>
      <c r="F3538" s="77" t="n"/>
      <c r="G3538" s="75" t="n"/>
      <c r="H3538" s="75">
        <f>IF(ISBLANK(E3538),"",IF(OR(D3538="Butterfly",D3538="Butterfly ",D3538="Iron Fly", D3538="Iron Fly "),LEN(E3538)-LEN(SUBSTITUTE(E3538,"/",""))+2,LEN(E3538)-LEN(SUBSTITUTE(E3538,"/",""))+1))</f>
        <v/>
      </c>
      <c r="I3538" s="78">
        <f>IF(ISBLANK(G3538),"",IF(D3538="Stock","0",Key!$A$3*H3538*G3538))</f>
        <v/>
      </c>
      <c r="J3538" s="78">
        <f>IF(ISBLANK(E3538),"",IF(ISNUMBER(SEARCH("/",E3538)), IF(LEN(E3538)-LEN(SUBSTITUTE(E3538,"/",""))=1,(RIGHT(E3538,LEN(E3538)-FIND("/",E3538)))-(LEFT(E3538,FIND("/",E3538)-1)),(MID(E3538, SEARCH("/",E3538) + 1, SEARCH("/",E3538, SEARCH("/",E3538)+1) - SEARCH("/",E3538) - 1))-(LEFT(E3538,FIND("/",E3538)-1))), "NA"))</f>
        <v/>
      </c>
      <c r="K3538" s="79">
        <f>IF(A3538&lt;&gt;"", IF(ISBLANK(L3538), TODAY(), K3538), "")</f>
        <v/>
      </c>
      <c r="L3538" s="78" t="n"/>
      <c r="M3538" s="78">
        <f>IF(ISBLANK(L3538),"",IF(D3538="Stock",IF(C3538="Buy",L3538*G3538,IF(C3538="Sell",(L3538*G3538)-I3538, X)),IF(C3538="Buy",(L3538*G3538*100)+I3538,IF(C3538="Sell",(L3538*G3538*100)-I3538, X))))</f>
        <v/>
      </c>
      <c r="N3538" s="78">
        <f>IF(ISBLANK(L3538),"",IF(AND(C3538="Sell",D3538="Stock"),M3538,IF(ISBLANK(L3538),"",IF(C3538="Buy",M3538, IF(AND(C3538="Sell",J3538="NA"),(E3538*G3538*100*0.1)+I3538, IF(C3538="Sell",(J3538-L3538)*(100*G3538)+I3538))))))</f>
        <v/>
      </c>
      <c r="O3538" s="75" t="n"/>
      <c r="P3538" s="75" t="n"/>
      <c r="Q3538" s="75">
        <f>IF(ISBLANK(P3538),"",IF(D3538="Stock",P3538*G3538,IF(P3538=0,"0",G3538*P3538*100-(G3538*$AF$14))))</f>
        <v/>
      </c>
      <c r="R3538" s="79">
        <f>IF(P3538&lt;&gt;"", TODAY(), "")</f>
        <v/>
      </c>
      <c r="S3538" s="78">
        <f>IF(AND(K3538&lt;&gt;"", R3538&lt;&gt;""), R3538-K3538, "")</f>
        <v/>
      </c>
      <c r="T3538" s="78" t="n"/>
      <c r="U3538" s="92">
        <f>IF(ISBLANK(P3538),"",IF(C3538="Buy",Q3538-M3538+T3538, IF(C3538="Sell",M3538-Q3538-T3538, X)))</f>
        <v/>
      </c>
      <c r="V3538" s="81">
        <f>IF(ISBLANK(P3538),"",U3538/N3538)</f>
        <v/>
      </c>
      <c r="W3538" s="81">
        <f>IF(ISBLANK(P3538),"",IF(S3538=0,(365/0.5)*V3538,(365/S3538)*V3538))</f>
        <v/>
      </c>
      <c r="X3538" s="75" t="n"/>
      <c r="Y3538" s="77" t="n"/>
      <c r="Z3538" s="77" t="n"/>
      <c r="AA3538" s="75" t="n"/>
      <c r="AB3538" s="75" t="n"/>
      <c r="AC3538" s="6" t="n"/>
      <c r="AD3538" s="75" t="n"/>
      <c r="AE3538" s="75" t="n"/>
      <c r="AF3538" s="75" t="n"/>
    </row>
    <row r="3539" ht="15.75" customHeight="1" s="133">
      <c r="A3539" s="75" t="n"/>
      <c r="B3539" s="75" t="n"/>
      <c r="C3539" s="75" t="n"/>
      <c r="D3539" s="75" t="n"/>
      <c r="E3539" s="76" t="n"/>
      <c r="F3539" s="77" t="n"/>
      <c r="G3539" s="75" t="n"/>
      <c r="H3539" s="75">
        <f>IF(ISBLANK(E3539),"",IF(OR(D3539="Butterfly",D3539="Butterfly ",D3539="Iron Fly", D3539="Iron Fly "),LEN(E3539)-LEN(SUBSTITUTE(E3539,"/",""))+2,LEN(E3539)-LEN(SUBSTITUTE(E3539,"/",""))+1))</f>
        <v/>
      </c>
      <c r="I3539" s="78">
        <f>IF(ISBLANK(G3539),"",IF(D3539="Stock","0",Key!$A$3*H3539*G3539))</f>
        <v/>
      </c>
      <c r="J3539" s="78">
        <f>IF(ISBLANK(E3539),"",IF(ISNUMBER(SEARCH("/",E3539)), IF(LEN(E3539)-LEN(SUBSTITUTE(E3539,"/",""))=1,(RIGHT(E3539,LEN(E3539)-FIND("/",E3539)))-(LEFT(E3539,FIND("/",E3539)-1)),(MID(E3539, SEARCH("/",E3539) + 1, SEARCH("/",E3539, SEARCH("/",E3539)+1) - SEARCH("/",E3539) - 1))-(LEFT(E3539,FIND("/",E3539)-1))), "NA"))</f>
        <v/>
      </c>
      <c r="K3539" s="79">
        <f>IF(A3539&lt;&gt;"", IF(ISBLANK(L3539), TODAY(), K3539), "")</f>
        <v/>
      </c>
      <c r="L3539" s="78" t="n"/>
      <c r="M3539" s="78">
        <f>IF(ISBLANK(L3539),"",IF(D3539="Stock",IF(C3539="Buy",L3539*G3539,IF(C3539="Sell",(L3539*G3539)-I3539, X)),IF(C3539="Buy",(L3539*G3539*100)+I3539,IF(C3539="Sell",(L3539*G3539*100)-I3539, X))))</f>
        <v/>
      </c>
      <c r="N3539" s="78">
        <f>IF(ISBLANK(L3539),"",IF(AND(C3539="Sell",D3539="Stock"),M3539,IF(ISBLANK(L3539),"",IF(C3539="Buy",M3539, IF(AND(C3539="Sell",J3539="NA"),(E3539*G3539*100*0.1)+I3539, IF(C3539="Sell",(J3539-L3539)*(100*G3539)+I3539))))))</f>
        <v/>
      </c>
      <c r="O3539" s="75" t="n"/>
      <c r="P3539" s="75" t="n"/>
      <c r="Q3539" s="75">
        <f>IF(ISBLANK(P3539),"",IF(D3539="Stock",P3539*G3539,IF(P3539=0,"0",G3539*P3539*100-(G3539*$AF$14))))</f>
        <v/>
      </c>
      <c r="R3539" s="79">
        <f>IF(P3539&lt;&gt;"", TODAY(), "")</f>
        <v/>
      </c>
      <c r="S3539" s="78">
        <f>IF(AND(K3539&lt;&gt;"", R3539&lt;&gt;""), R3539-K3539, "")</f>
        <v/>
      </c>
      <c r="T3539" s="78" t="n"/>
      <c r="U3539" s="92">
        <f>IF(ISBLANK(P3539),"",IF(C3539="Buy",Q3539-M3539+T3539, IF(C3539="Sell",M3539-Q3539-T3539, X)))</f>
        <v/>
      </c>
      <c r="V3539" s="81">
        <f>IF(ISBLANK(P3539),"",U3539/N3539)</f>
        <v/>
      </c>
      <c r="W3539" s="81">
        <f>IF(ISBLANK(P3539),"",IF(S3539=0,(365/0.5)*V3539,(365/S3539)*V3539))</f>
        <v/>
      </c>
      <c r="X3539" s="75" t="n"/>
      <c r="Y3539" s="77" t="n"/>
      <c r="Z3539" s="77" t="n"/>
      <c r="AA3539" s="75" t="n"/>
      <c r="AB3539" s="75" t="n"/>
      <c r="AC3539" s="6" t="n"/>
      <c r="AD3539" s="75" t="n"/>
      <c r="AE3539" s="75" t="n"/>
      <c r="AF3539" s="75" t="n"/>
    </row>
    <row r="3540" ht="15.75" customHeight="1" s="133">
      <c r="A3540" s="75" t="n"/>
      <c r="B3540" s="75" t="n"/>
      <c r="C3540" s="75" t="n"/>
      <c r="D3540" s="75" t="n"/>
      <c r="E3540" s="76" t="n"/>
      <c r="F3540" s="77" t="n"/>
      <c r="G3540" s="75" t="n"/>
      <c r="H3540" s="75">
        <f>IF(ISBLANK(E3540),"",IF(OR(D3540="Butterfly",D3540="Butterfly ",D3540="Iron Fly", D3540="Iron Fly "),LEN(E3540)-LEN(SUBSTITUTE(E3540,"/",""))+2,LEN(E3540)-LEN(SUBSTITUTE(E3540,"/",""))+1))</f>
        <v/>
      </c>
      <c r="I3540" s="78">
        <f>IF(ISBLANK(G3540),"",IF(D3540="Stock","0",Key!$A$3*H3540*G3540))</f>
        <v/>
      </c>
      <c r="J3540" s="78">
        <f>IF(ISBLANK(E3540),"",IF(ISNUMBER(SEARCH("/",E3540)), IF(LEN(E3540)-LEN(SUBSTITUTE(E3540,"/",""))=1,(RIGHT(E3540,LEN(E3540)-FIND("/",E3540)))-(LEFT(E3540,FIND("/",E3540)-1)),(MID(E3540, SEARCH("/",E3540) + 1, SEARCH("/",E3540, SEARCH("/",E3540)+1) - SEARCH("/",E3540) - 1))-(LEFT(E3540,FIND("/",E3540)-1))), "NA"))</f>
        <v/>
      </c>
      <c r="K3540" s="79">
        <f>IF(A3540&lt;&gt;"", IF(ISBLANK(L3540), TODAY(), K3540), "")</f>
        <v/>
      </c>
      <c r="L3540" s="78" t="n"/>
      <c r="M3540" s="78">
        <f>IF(ISBLANK(L3540),"",IF(D3540="Stock",IF(C3540="Buy",L3540*G3540,IF(C3540="Sell",(L3540*G3540)-I3540, X)),IF(C3540="Buy",(L3540*G3540*100)+I3540,IF(C3540="Sell",(L3540*G3540*100)-I3540, X))))</f>
        <v/>
      </c>
      <c r="N3540" s="78">
        <f>IF(ISBLANK(L3540),"",IF(AND(C3540="Sell",D3540="Stock"),M3540,IF(ISBLANK(L3540),"",IF(C3540="Buy",M3540, IF(AND(C3540="Sell",J3540="NA"),(E3540*G3540*100*0.1)+I3540, IF(C3540="Sell",(J3540-L3540)*(100*G3540)+I3540))))))</f>
        <v/>
      </c>
      <c r="O3540" s="75" t="n"/>
      <c r="P3540" s="75" t="n"/>
      <c r="Q3540" s="75">
        <f>IF(ISBLANK(P3540),"",IF(D3540="Stock",P3540*G3540,IF(P3540=0,"0",G3540*P3540*100-(G3540*$AF$14))))</f>
        <v/>
      </c>
      <c r="R3540" s="79">
        <f>IF(P3540&lt;&gt;"", TODAY(), "")</f>
        <v/>
      </c>
      <c r="S3540" s="78">
        <f>IF(AND(K3540&lt;&gt;"", R3540&lt;&gt;""), R3540-K3540, "")</f>
        <v/>
      </c>
      <c r="T3540" s="78" t="n"/>
      <c r="U3540" s="92">
        <f>IF(ISBLANK(P3540),"",IF(C3540="Buy",Q3540-M3540+T3540, IF(C3540="Sell",M3540-Q3540-T3540, X)))</f>
        <v/>
      </c>
      <c r="V3540" s="81">
        <f>IF(ISBLANK(P3540),"",U3540/N3540)</f>
        <v/>
      </c>
      <c r="W3540" s="81">
        <f>IF(ISBLANK(P3540),"",IF(S3540=0,(365/0.5)*V3540,(365/S3540)*V3540))</f>
        <v/>
      </c>
      <c r="X3540" s="75" t="n"/>
      <c r="Y3540" s="77" t="n"/>
      <c r="Z3540" s="77" t="n"/>
      <c r="AA3540" s="75" t="n"/>
      <c r="AB3540" s="75" t="n"/>
      <c r="AC3540" s="6" t="n"/>
      <c r="AD3540" s="75" t="n"/>
      <c r="AE3540" s="75" t="n"/>
      <c r="AF3540" s="75" t="n"/>
    </row>
    <row r="3541" ht="15.75" customHeight="1" s="133">
      <c r="A3541" s="75" t="n"/>
      <c r="B3541" s="75" t="n"/>
      <c r="C3541" s="75" t="n"/>
      <c r="D3541" s="75" t="n"/>
      <c r="E3541" s="76" t="n"/>
      <c r="F3541" s="77" t="n"/>
      <c r="G3541" s="75" t="n"/>
      <c r="H3541" s="75">
        <f>IF(ISBLANK(E3541),"",IF(OR(D3541="Butterfly",D3541="Butterfly ",D3541="Iron Fly", D3541="Iron Fly "),LEN(E3541)-LEN(SUBSTITUTE(E3541,"/",""))+2,LEN(E3541)-LEN(SUBSTITUTE(E3541,"/",""))+1))</f>
        <v/>
      </c>
      <c r="I3541" s="78">
        <f>IF(ISBLANK(G3541),"",IF(D3541="Stock","0",Key!$A$3*H3541*G3541))</f>
        <v/>
      </c>
      <c r="J3541" s="78">
        <f>IF(ISBLANK(E3541),"",IF(ISNUMBER(SEARCH("/",E3541)), IF(LEN(E3541)-LEN(SUBSTITUTE(E3541,"/",""))=1,(RIGHT(E3541,LEN(E3541)-FIND("/",E3541)))-(LEFT(E3541,FIND("/",E3541)-1)),(MID(E3541, SEARCH("/",E3541) + 1, SEARCH("/",E3541, SEARCH("/",E3541)+1) - SEARCH("/",E3541) - 1))-(LEFT(E3541,FIND("/",E3541)-1))), "NA"))</f>
        <v/>
      </c>
      <c r="K3541" s="79">
        <f>IF(A3541&lt;&gt;"", IF(ISBLANK(L3541), TODAY(), K3541), "")</f>
        <v/>
      </c>
      <c r="L3541" s="78" t="n"/>
      <c r="M3541" s="78">
        <f>IF(ISBLANK(L3541),"",IF(D3541="Stock",IF(C3541="Buy",L3541*G3541,IF(C3541="Sell",(L3541*G3541)-I3541, X)),IF(C3541="Buy",(L3541*G3541*100)+I3541,IF(C3541="Sell",(L3541*G3541*100)-I3541, X))))</f>
        <v/>
      </c>
      <c r="N3541" s="78">
        <f>IF(ISBLANK(L3541),"",IF(AND(C3541="Sell",D3541="Stock"),M3541,IF(ISBLANK(L3541),"",IF(C3541="Buy",M3541, IF(AND(C3541="Sell",J3541="NA"),(E3541*G3541*100*0.1)+I3541, IF(C3541="Sell",(J3541-L3541)*(100*G3541)+I3541))))))</f>
        <v/>
      </c>
      <c r="O3541" s="75" t="n"/>
      <c r="P3541" s="75" t="n"/>
      <c r="Q3541" s="75">
        <f>IF(ISBLANK(P3541),"",IF(D3541="Stock",P3541*G3541,IF(P3541=0,"0",G3541*P3541*100-(G3541*$AF$14))))</f>
        <v/>
      </c>
      <c r="R3541" s="79">
        <f>IF(P3541&lt;&gt;"", TODAY(), "")</f>
        <v/>
      </c>
      <c r="S3541" s="78">
        <f>IF(AND(K3541&lt;&gt;"", R3541&lt;&gt;""), R3541-K3541, "")</f>
        <v/>
      </c>
      <c r="T3541" s="78" t="n"/>
      <c r="U3541" s="92">
        <f>IF(ISBLANK(P3541),"",IF(C3541="Buy",Q3541-M3541+T3541, IF(C3541="Sell",M3541-Q3541-T3541, X)))</f>
        <v/>
      </c>
      <c r="V3541" s="81">
        <f>IF(ISBLANK(P3541),"",U3541/N3541)</f>
        <v/>
      </c>
      <c r="W3541" s="81">
        <f>IF(ISBLANK(P3541),"",IF(S3541=0,(365/0.5)*V3541,(365/S3541)*V3541))</f>
        <v/>
      </c>
      <c r="X3541" s="75" t="n"/>
      <c r="Y3541" s="77" t="n"/>
      <c r="Z3541" s="77" t="n"/>
      <c r="AA3541" s="75" t="n"/>
      <c r="AB3541" s="75" t="n"/>
      <c r="AC3541" s="6" t="n"/>
      <c r="AD3541" s="75" t="n"/>
      <c r="AE3541" s="75" t="n"/>
      <c r="AF3541" s="75" t="n"/>
    </row>
    <row r="3542" ht="15.75" customHeight="1" s="133">
      <c r="A3542" s="75" t="n"/>
      <c r="B3542" s="75" t="n"/>
      <c r="C3542" s="75" t="n"/>
      <c r="D3542" s="75" t="n"/>
      <c r="E3542" s="76" t="n"/>
      <c r="F3542" s="77" t="n"/>
      <c r="G3542" s="75" t="n"/>
      <c r="H3542" s="75">
        <f>IF(ISBLANK(E3542),"",IF(OR(D3542="Butterfly",D3542="Butterfly ",D3542="Iron Fly", D3542="Iron Fly "),LEN(E3542)-LEN(SUBSTITUTE(E3542,"/",""))+2,LEN(E3542)-LEN(SUBSTITUTE(E3542,"/",""))+1))</f>
        <v/>
      </c>
      <c r="I3542" s="78">
        <f>IF(ISBLANK(G3542),"",IF(D3542="Stock","0",Key!$A$3*H3542*G3542))</f>
        <v/>
      </c>
      <c r="J3542" s="78">
        <f>IF(ISBLANK(E3542),"",IF(ISNUMBER(SEARCH("/",E3542)), IF(LEN(E3542)-LEN(SUBSTITUTE(E3542,"/",""))=1,(RIGHT(E3542,LEN(E3542)-FIND("/",E3542)))-(LEFT(E3542,FIND("/",E3542)-1)),(MID(E3542, SEARCH("/",E3542) + 1, SEARCH("/",E3542, SEARCH("/",E3542)+1) - SEARCH("/",E3542) - 1))-(LEFT(E3542,FIND("/",E3542)-1))), "NA"))</f>
        <v/>
      </c>
      <c r="K3542" s="79">
        <f>IF(A3542&lt;&gt;"", IF(ISBLANK(L3542), TODAY(), K3542), "")</f>
        <v/>
      </c>
      <c r="L3542" s="78" t="n"/>
      <c r="M3542" s="78">
        <f>IF(ISBLANK(L3542),"",IF(D3542="Stock",IF(C3542="Buy",L3542*G3542,IF(C3542="Sell",(L3542*G3542)-I3542, X)),IF(C3542="Buy",(L3542*G3542*100)+I3542,IF(C3542="Sell",(L3542*G3542*100)-I3542, X))))</f>
        <v/>
      </c>
      <c r="N3542" s="78">
        <f>IF(ISBLANK(L3542),"",IF(AND(C3542="Sell",D3542="Stock"),M3542,IF(ISBLANK(L3542),"",IF(C3542="Buy",M3542, IF(AND(C3542="Sell",J3542="NA"),(E3542*G3542*100*0.1)+I3542, IF(C3542="Sell",(J3542-L3542)*(100*G3542)+I3542))))))</f>
        <v/>
      </c>
      <c r="O3542" s="75" t="n"/>
      <c r="P3542" s="75" t="n"/>
      <c r="Q3542" s="75">
        <f>IF(ISBLANK(P3542),"",IF(D3542="Stock",P3542*G3542,IF(P3542=0,"0",G3542*P3542*100-(G3542*$AF$14))))</f>
        <v/>
      </c>
      <c r="R3542" s="79">
        <f>IF(P3542&lt;&gt;"", TODAY(), "")</f>
        <v/>
      </c>
      <c r="S3542" s="78">
        <f>IF(AND(K3542&lt;&gt;"", R3542&lt;&gt;""), R3542-K3542, "")</f>
        <v/>
      </c>
      <c r="T3542" s="78" t="n"/>
      <c r="U3542" s="92">
        <f>IF(ISBLANK(P3542),"",IF(C3542="Buy",Q3542-M3542+T3542, IF(C3542="Sell",M3542-Q3542-T3542, X)))</f>
        <v/>
      </c>
      <c r="V3542" s="81">
        <f>IF(ISBLANK(P3542),"",U3542/N3542)</f>
        <v/>
      </c>
      <c r="W3542" s="81">
        <f>IF(ISBLANK(P3542),"",IF(S3542=0,(365/0.5)*V3542,(365/S3542)*V3542))</f>
        <v/>
      </c>
      <c r="X3542" s="75" t="n"/>
      <c r="Y3542" s="77" t="n"/>
      <c r="Z3542" s="77" t="n"/>
      <c r="AA3542" s="75" t="n"/>
      <c r="AB3542" s="75" t="n"/>
      <c r="AC3542" s="6" t="n"/>
      <c r="AD3542" s="75" t="n"/>
      <c r="AE3542" s="75" t="n"/>
      <c r="AF3542" s="75" t="n"/>
    </row>
    <row r="3543" ht="15.75" customHeight="1" s="133">
      <c r="A3543" s="75" t="n"/>
      <c r="B3543" s="75" t="n"/>
      <c r="C3543" s="75" t="n"/>
      <c r="D3543" s="75" t="n"/>
      <c r="E3543" s="76" t="n"/>
      <c r="F3543" s="77" t="n"/>
      <c r="G3543" s="75" t="n"/>
      <c r="H3543" s="75">
        <f>IF(ISBLANK(E3543),"",IF(OR(D3543="Butterfly",D3543="Butterfly ",D3543="Iron Fly", D3543="Iron Fly "),LEN(E3543)-LEN(SUBSTITUTE(E3543,"/",""))+2,LEN(E3543)-LEN(SUBSTITUTE(E3543,"/",""))+1))</f>
        <v/>
      </c>
      <c r="I3543" s="78">
        <f>IF(ISBLANK(G3543),"",IF(D3543="Stock","0",Key!$A$3*H3543*G3543))</f>
        <v/>
      </c>
      <c r="J3543" s="78">
        <f>IF(ISBLANK(E3543),"",IF(ISNUMBER(SEARCH("/",E3543)), IF(LEN(E3543)-LEN(SUBSTITUTE(E3543,"/",""))=1,(RIGHT(E3543,LEN(E3543)-FIND("/",E3543)))-(LEFT(E3543,FIND("/",E3543)-1)),(MID(E3543, SEARCH("/",E3543) + 1, SEARCH("/",E3543, SEARCH("/",E3543)+1) - SEARCH("/",E3543) - 1))-(LEFT(E3543,FIND("/",E3543)-1))), "NA"))</f>
        <v/>
      </c>
      <c r="K3543" s="79">
        <f>IF(A3543&lt;&gt;"", IF(ISBLANK(L3543), TODAY(), K3543), "")</f>
        <v/>
      </c>
      <c r="L3543" s="78" t="n"/>
      <c r="M3543" s="78">
        <f>IF(ISBLANK(L3543),"",IF(D3543="Stock",IF(C3543="Buy",L3543*G3543,IF(C3543="Sell",(L3543*G3543)-I3543, X)),IF(C3543="Buy",(L3543*G3543*100)+I3543,IF(C3543="Sell",(L3543*G3543*100)-I3543, X))))</f>
        <v/>
      </c>
      <c r="N3543" s="78">
        <f>IF(ISBLANK(L3543),"",IF(AND(C3543="Sell",D3543="Stock"),M3543,IF(ISBLANK(L3543),"",IF(C3543="Buy",M3543, IF(AND(C3543="Sell",J3543="NA"),(E3543*G3543*100*0.1)+I3543, IF(C3543="Sell",(J3543-L3543)*(100*G3543)+I3543))))))</f>
        <v/>
      </c>
      <c r="O3543" s="75" t="n"/>
      <c r="P3543" s="75" t="n"/>
      <c r="Q3543" s="75">
        <f>IF(ISBLANK(P3543),"",IF(D3543="Stock",P3543*G3543,IF(P3543=0,"0",G3543*P3543*100-(G3543*$AF$14))))</f>
        <v/>
      </c>
      <c r="R3543" s="79">
        <f>IF(P3543&lt;&gt;"", TODAY(), "")</f>
        <v/>
      </c>
      <c r="S3543" s="78">
        <f>IF(AND(K3543&lt;&gt;"", R3543&lt;&gt;""), R3543-K3543, "")</f>
        <v/>
      </c>
      <c r="T3543" s="78" t="n"/>
      <c r="U3543" s="92">
        <f>IF(ISBLANK(P3543),"",IF(C3543="Buy",Q3543-M3543+T3543, IF(C3543="Sell",M3543-Q3543-T3543, X)))</f>
        <v/>
      </c>
      <c r="V3543" s="81">
        <f>IF(ISBLANK(P3543),"",U3543/N3543)</f>
        <v/>
      </c>
      <c r="W3543" s="81">
        <f>IF(ISBLANK(P3543),"",IF(S3543=0,(365/0.5)*V3543,(365/S3543)*V3543))</f>
        <v/>
      </c>
      <c r="X3543" s="75" t="n"/>
      <c r="Y3543" s="77" t="n"/>
      <c r="Z3543" s="77" t="n"/>
      <c r="AA3543" s="75" t="n"/>
      <c r="AB3543" s="75" t="n"/>
      <c r="AC3543" s="6" t="n"/>
      <c r="AD3543" s="75" t="n"/>
      <c r="AE3543" s="75" t="n"/>
      <c r="AF3543" s="75" t="n"/>
    </row>
    <row r="3544" ht="15.75" customHeight="1" s="133">
      <c r="A3544" s="75" t="n"/>
      <c r="B3544" s="75" t="n"/>
      <c r="C3544" s="75" t="n"/>
      <c r="D3544" s="75" t="n"/>
      <c r="E3544" s="76" t="n"/>
      <c r="F3544" s="77" t="n"/>
      <c r="G3544" s="75" t="n"/>
      <c r="H3544" s="75">
        <f>IF(ISBLANK(E3544),"",IF(OR(D3544="Butterfly",D3544="Butterfly ",D3544="Iron Fly", D3544="Iron Fly "),LEN(E3544)-LEN(SUBSTITUTE(E3544,"/",""))+2,LEN(E3544)-LEN(SUBSTITUTE(E3544,"/",""))+1))</f>
        <v/>
      </c>
      <c r="I3544" s="78">
        <f>IF(ISBLANK(G3544),"",IF(D3544="Stock","0",Key!$A$3*H3544*G3544))</f>
        <v/>
      </c>
      <c r="J3544" s="78">
        <f>IF(ISBLANK(E3544),"",IF(ISNUMBER(SEARCH("/",E3544)), IF(LEN(E3544)-LEN(SUBSTITUTE(E3544,"/",""))=1,(RIGHT(E3544,LEN(E3544)-FIND("/",E3544)))-(LEFT(E3544,FIND("/",E3544)-1)),(MID(E3544, SEARCH("/",E3544) + 1, SEARCH("/",E3544, SEARCH("/",E3544)+1) - SEARCH("/",E3544) - 1))-(LEFT(E3544,FIND("/",E3544)-1))), "NA"))</f>
        <v/>
      </c>
      <c r="K3544" s="79">
        <f>IF(A3544&lt;&gt;"", IF(ISBLANK(L3544), TODAY(), K3544), "")</f>
        <v/>
      </c>
      <c r="L3544" s="78" t="n"/>
      <c r="M3544" s="78">
        <f>IF(ISBLANK(L3544),"",IF(D3544="Stock",IF(C3544="Buy",L3544*G3544,IF(C3544="Sell",(L3544*G3544)-I3544, X)),IF(C3544="Buy",(L3544*G3544*100)+I3544,IF(C3544="Sell",(L3544*G3544*100)-I3544, X))))</f>
        <v/>
      </c>
      <c r="N3544" s="78">
        <f>IF(ISBLANK(L3544),"",IF(AND(C3544="Sell",D3544="Stock"),M3544,IF(ISBLANK(L3544),"",IF(C3544="Buy",M3544, IF(AND(C3544="Sell",J3544="NA"),(E3544*G3544*100*0.1)+I3544, IF(C3544="Sell",(J3544-L3544)*(100*G3544)+I3544))))))</f>
        <v/>
      </c>
      <c r="O3544" s="75" t="n"/>
      <c r="P3544" s="75" t="n"/>
      <c r="Q3544" s="75">
        <f>IF(ISBLANK(P3544),"",IF(D3544="Stock",P3544*G3544,IF(P3544=0,"0",G3544*P3544*100-(G3544*$AF$14))))</f>
        <v/>
      </c>
      <c r="R3544" s="79">
        <f>IF(P3544&lt;&gt;"", TODAY(), "")</f>
        <v/>
      </c>
      <c r="S3544" s="78">
        <f>IF(AND(K3544&lt;&gt;"", R3544&lt;&gt;""), R3544-K3544, "")</f>
        <v/>
      </c>
      <c r="T3544" s="78" t="n"/>
      <c r="U3544" s="92">
        <f>IF(ISBLANK(P3544),"",IF(C3544="Buy",Q3544-M3544+T3544, IF(C3544="Sell",M3544-Q3544-T3544, X)))</f>
        <v/>
      </c>
      <c r="V3544" s="81">
        <f>IF(ISBLANK(P3544),"",U3544/N3544)</f>
        <v/>
      </c>
      <c r="W3544" s="81">
        <f>IF(ISBLANK(P3544),"",IF(S3544=0,(365/0.5)*V3544,(365/S3544)*V3544))</f>
        <v/>
      </c>
      <c r="X3544" s="75" t="n"/>
      <c r="Y3544" s="77" t="n"/>
      <c r="Z3544" s="77" t="n"/>
      <c r="AA3544" s="75" t="n"/>
      <c r="AB3544" s="75" t="n"/>
      <c r="AC3544" s="6" t="n"/>
      <c r="AD3544" s="75" t="n"/>
      <c r="AE3544" s="75" t="n"/>
      <c r="AF3544" s="75" t="n"/>
    </row>
    <row r="3545" ht="15.75" customHeight="1" s="133">
      <c r="A3545" s="75" t="n"/>
      <c r="B3545" s="75" t="n"/>
      <c r="C3545" s="75" t="n"/>
      <c r="D3545" s="75" t="n"/>
      <c r="E3545" s="76" t="n"/>
      <c r="F3545" s="77" t="n"/>
      <c r="G3545" s="75" t="n"/>
      <c r="H3545" s="75">
        <f>IF(ISBLANK(E3545),"",IF(OR(D3545="Butterfly",D3545="Butterfly ",D3545="Iron Fly", D3545="Iron Fly "),LEN(E3545)-LEN(SUBSTITUTE(E3545,"/",""))+2,LEN(E3545)-LEN(SUBSTITUTE(E3545,"/",""))+1))</f>
        <v/>
      </c>
      <c r="I3545" s="78">
        <f>IF(ISBLANK(G3545),"",IF(D3545="Stock","0",Key!$A$3*H3545*G3545))</f>
        <v/>
      </c>
      <c r="J3545" s="78">
        <f>IF(ISBLANK(E3545),"",IF(ISNUMBER(SEARCH("/",E3545)), IF(LEN(E3545)-LEN(SUBSTITUTE(E3545,"/",""))=1,(RIGHT(E3545,LEN(E3545)-FIND("/",E3545)))-(LEFT(E3545,FIND("/",E3545)-1)),(MID(E3545, SEARCH("/",E3545) + 1, SEARCH("/",E3545, SEARCH("/",E3545)+1) - SEARCH("/",E3545) - 1))-(LEFT(E3545,FIND("/",E3545)-1))), "NA"))</f>
        <v/>
      </c>
      <c r="K3545" s="79">
        <f>IF(A3545&lt;&gt;"", IF(ISBLANK(L3545), TODAY(), K3545), "")</f>
        <v/>
      </c>
      <c r="L3545" s="78" t="n"/>
      <c r="M3545" s="78">
        <f>IF(ISBLANK(L3545),"",IF(D3545="Stock",IF(C3545="Buy",L3545*G3545,IF(C3545="Sell",(L3545*G3545)-I3545, X)),IF(C3545="Buy",(L3545*G3545*100)+I3545,IF(C3545="Sell",(L3545*G3545*100)-I3545, X))))</f>
        <v/>
      </c>
      <c r="N3545" s="78">
        <f>IF(ISBLANK(L3545),"",IF(AND(C3545="Sell",D3545="Stock"),M3545,IF(ISBLANK(L3545),"",IF(C3545="Buy",M3545, IF(AND(C3545="Sell",J3545="NA"),(E3545*G3545*100*0.1)+I3545, IF(C3545="Sell",(J3545-L3545)*(100*G3545)+I3545))))))</f>
        <v/>
      </c>
      <c r="O3545" s="75" t="n"/>
      <c r="P3545" s="75" t="n"/>
      <c r="Q3545" s="75">
        <f>IF(ISBLANK(P3545),"",IF(D3545="Stock",P3545*G3545,IF(P3545=0,"0",G3545*P3545*100-(G3545*$AF$14))))</f>
        <v/>
      </c>
      <c r="R3545" s="79">
        <f>IF(P3545&lt;&gt;"", TODAY(), "")</f>
        <v/>
      </c>
      <c r="S3545" s="78">
        <f>IF(AND(K3545&lt;&gt;"", R3545&lt;&gt;""), R3545-K3545, "")</f>
        <v/>
      </c>
      <c r="T3545" s="78" t="n"/>
      <c r="U3545" s="92">
        <f>IF(ISBLANK(P3545),"",IF(C3545="Buy",Q3545-M3545+T3545, IF(C3545="Sell",M3545-Q3545-T3545, X)))</f>
        <v/>
      </c>
      <c r="V3545" s="81">
        <f>IF(ISBLANK(P3545),"",U3545/N3545)</f>
        <v/>
      </c>
      <c r="W3545" s="81">
        <f>IF(ISBLANK(P3545),"",IF(S3545=0,(365/0.5)*V3545,(365/S3545)*V3545))</f>
        <v/>
      </c>
      <c r="X3545" s="75" t="n"/>
      <c r="Y3545" s="77" t="n"/>
      <c r="Z3545" s="77" t="n"/>
      <c r="AA3545" s="75" t="n"/>
      <c r="AB3545" s="75" t="n"/>
      <c r="AC3545" s="6" t="n"/>
      <c r="AD3545" s="75" t="n"/>
      <c r="AE3545" s="75" t="n"/>
      <c r="AF3545" s="75" t="n"/>
    </row>
    <row r="3546" ht="15.75" customHeight="1" s="133">
      <c r="A3546" s="75" t="n"/>
      <c r="B3546" s="75" t="n"/>
      <c r="C3546" s="75" t="n"/>
      <c r="D3546" s="75" t="n"/>
      <c r="E3546" s="76" t="n"/>
      <c r="F3546" s="77" t="n"/>
      <c r="G3546" s="75" t="n"/>
      <c r="H3546" s="75">
        <f>IF(ISBLANK(E3546),"",IF(OR(D3546="Butterfly",D3546="Butterfly ",D3546="Iron Fly", D3546="Iron Fly "),LEN(E3546)-LEN(SUBSTITUTE(E3546,"/",""))+2,LEN(E3546)-LEN(SUBSTITUTE(E3546,"/",""))+1))</f>
        <v/>
      </c>
      <c r="I3546" s="78">
        <f>IF(ISBLANK(G3546),"",IF(D3546="Stock","0",Key!$A$3*H3546*G3546))</f>
        <v/>
      </c>
      <c r="J3546" s="78">
        <f>IF(ISBLANK(E3546),"",IF(ISNUMBER(SEARCH("/",E3546)), IF(LEN(E3546)-LEN(SUBSTITUTE(E3546,"/",""))=1,(RIGHT(E3546,LEN(E3546)-FIND("/",E3546)))-(LEFT(E3546,FIND("/",E3546)-1)),(MID(E3546, SEARCH("/",E3546) + 1, SEARCH("/",E3546, SEARCH("/",E3546)+1) - SEARCH("/",E3546) - 1))-(LEFT(E3546,FIND("/",E3546)-1))), "NA"))</f>
        <v/>
      </c>
      <c r="K3546" s="79">
        <f>IF(A3546&lt;&gt;"", IF(ISBLANK(L3546), TODAY(), K3546), "")</f>
        <v/>
      </c>
      <c r="L3546" s="78" t="n"/>
      <c r="M3546" s="78">
        <f>IF(ISBLANK(L3546),"",IF(D3546="Stock",IF(C3546="Buy",L3546*G3546,IF(C3546="Sell",(L3546*G3546)-I3546, X)),IF(C3546="Buy",(L3546*G3546*100)+I3546,IF(C3546="Sell",(L3546*G3546*100)-I3546, X))))</f>
        <v/>
      </c>
      <c r="N3546" s="78">
        <f>IF(ISBLANK(L3546),"",IF(AND(C3546="Sell",D3546="Stock"),M3546,IF(ISBLANK(L3546),"",IF(C3546="Buy",M3546, IF(AND(C3546="Sell",J3546="NA"),(E3546*G3546*100*0.1)+I3546, IF(C3546="Sell",(J3546-L3546)*(100*G3546)+I3546))))))</f>
        <v/>
      </c>
      <c r="O3546" s="75" t="n"/>
      <c r="P3546" s="75" t="n"/>
      <c r="Q3546" s="75">
        <f>IF(ISBLANK(P3546),"",IF(D3546="Stock",P3546*G3546,IF(P3546=0,"0",G3546*P3546*100-(G3546*$AF$14))))</f>
        <v/>
      </c>
      <c r="R3546" s="79">
        <f>IF(P3546&lt;&gt;"", TODAY(), "")</f>
        <v/>
      </c>
      <c r="S3546" s="78">
        <f>IF(AND(K3546&lt;&gt;"", R3546&lt;&gt;""), R3546-K3546, "")</f>
        <v/>
      </c>
      <c r="T3546" s="78" t="n"/>
      <c r="U3546" s="92">
        <f>IF(ISBLANK(P3546),"",IF(C3546="Buy",Q3546-M3546+T3546, IF(C3546="Sell",M3546-Q3546-T3546, X)))</f>
        <v/>
      </c>
      <c r="V3546" s="81">
        <f>IF(ISBLANK(P3546),"",U3546/N3546)</f>
        <v/>
      </c>
      <c r="W3546" s="81">
        <f>IF(ISBLANK(P3546),"",IF(S3546=0,(365/0.5)*V3546,(365/S3546)*V3546))</f>
        <v/>
      </c>
      <c r="X3546" s="75" t="n"/>
      <c r="Y3546" s="77" t="n"/>
      <c r="Z3546" s="77" t="n"/>
      <c r="AA3546" s="75" t="n"/>
      <c r="AB3546" s="75" t="n"/>
      <c r="AC3546" s="6" t="n"/>
      <c r="AD3546" s="75" t="n"/>
      <c r="AE3546" s="75" t="n"/>
      <c r="AF3546" s="75" t="n"/>
    </row>
    <row r="3547" ht="15.75" customHeight="1" s="133">
      <c r="A3547" s="75" t="n"/>
      <c r="B3547" s="75" t="n"/>
      <c r="C3547" s="75" t="n"/>
      <c r="D3547" s="75" t="n"/>
      <c r="E3547" s="76" t="n"/>
      <c r="F3547" s="77" t="n"/>
      <c r="G3547" s="75" t="n"/>
      <c r="H3547" s="75">
        <f>IF(ISBLANK(E3547),"",IF(OR(D3547="Butterfly",D3547="Butterfly ",D3547="Iron Fly", D3547="Iron Fly "),LEN(E3547)-LEN(SUBSTITUTE(E3547,"/",""))+2,LEN(E3547)-LEN(SUBSTITUTE(E3547,"/",""))+1))</f>
        <v/>
      </c>
      <c r="I3547" s="78">
        <f>IF(ISBLANK(G3547),"",IF(D3547="Stock","0",Key!$A$3*H3547*G3547))</f>
        <v/>
      </c>
      <c r="J3547" s="78">
        <f>IF(ISBLANK(E3547),"",IF(ISNUMBER(SEARCH("/",E3547)), IF(LEN(E3547)-LEN(SUBSTITUTE(E3547,"/",""))=1,(RIGHT(E3547,LEN(E3547)-FIND("/",E3547)))-(LEFT(E3547,FIND("/",E3547)-1)),(MID(E3547, SEARCH("/",E3547) + 1, SEARCH("/",E3547, SEARCH("/",E3547)+1) - SEARCH("/",E3547) - 1))-(LEFT(E3547,FIND("/",E3547)-1))), "NA"))</f>
        <v/>
      </c>
      <c r="K3547" s="79">
        <f>IF(A3547&lt;&gt;"", IF(ISBLANK(L3547), TODAY(), K3547), "")</f>
        <v/>
      </c>
      <c r="L3547" s="78" t="n"/>
      <c r="M3547" s="78">
        <f>IF(ISBLANK(L3547),"",IF(D3547="Stock",IF(C3547="Buy",L3547*G3547,IF(C3547="Sell",(L3547*G3547)-I3547, X)),IF(C3547="Buy",(L3547*G3547*100)+I3547,IF(C3547="Sell",(L3547*G3547*100)-I3547, X))))</f>
        <v/>
      </c>
      <c r="N3547" s="78">
        <f>IF(ISBLANK(L3547),"",IF(AND(C3547="Sell",D3547="Stock"),M3547,IF(ISBLANK(L3547),"",IF(C3547="Buy",M3547, IF(AND(C3547="Sell",J3547="NA"),(E3547*G3547*100*0.1)+I3547, IF(C3547="Sell",(J3547-L3547)*(100*G3547)+I3547))))))</f>
        <v/>
      </c>
      <c r="O3547" s="75" t="n"/>
      <c r="P3547" s="75" t="n"/>
      <c r="Q3547" s="75">
        <f>IF(ISBLANK(P3547),"",IF(D3547="Stock",P3547*G3547,IF(P3547=0,"0",G3547*P3547*100-(G3547*$AF$14))))</f>
        <v/>
      </c>
      <c r="R3547" s="79">
        <f>IF(P3547&lt;&gt;"", TODAY(), "")</f>
        <v/>
      </c>
      <c r="S3547" s="78">
        <f>IF(AND(K3547&lt;&gt;"", R3547&lt;&gt;""), R3547-K3547, "")</f>
        <v/>
      </c>
      <c r="T3547" s="78" t="n"/>
      <c r="U3547" s="92">
        <f>IF(ISBLANK(P3547),"",IF(C3547="Buy",Q3547-M3547+T3547, IF(C3547="Sell",M3547-Q3547-T3547, X)))</f>
        <v/>
      </c>
      <c r="V3547" s="81">
        <f>IF(ISBLANK(P3547),"",U3547/N3547)</f>
        <v/>
      </c>
      <c r="W3547" s="81">
        <f>IF(ISBLANK(P3547),"",IF(S3547=0,(365/0.5)*V3547,(365/S3547)*V3547))</f>
        <v/>
      </c>
      <c r="X3547" s="75" t="n"/>
      <c r="Y3547" s="77" t="n"/>
      <c r="Z3547" s="77" t="n"/>
      <c r="AA3547" s="75" t="n"/>
      <c r="AB3547" s="75" t="n"/>
      <c r="AC3547" s="6" t="n"/>
      <c r="AD3547" s="75" t="n"/>
      <c r="AE3547" s="75" t="n"/>
      <c r="AF3547" s="75" t="n"/>
    </row>
    <row r="3548" ht="15.75" customHeight="1" s="133">
      <c r="A3548" s="75" t="n"/>
      <c r="B3548" s="75" t="n"/>
      <c r="C3548" s="75" t="n"/>
      <c r="D3548" s="75" t="n"/>
      <c r="E3548" s="76" t="n"/>
      <c r="F3548" s="77" t="n"/>
      <c r="G3548" s="75" t="n"/>
      <c r="H3548" s="75">
        <f>IF(ISBLANK(E3548),"",IF(OR(D3548="Butterfly",D3548="Butterfly ",D3548="Iron Fly", D3548="Iron Fly "),LEN(E3548)-LEN(SUBSTITUTE(E3548,"/",""))+2,LEN(E3548)-LEN(SUBSTITUTE(E3548,"/",""))+1))</f>
        <v/>
      </c>
      <c r="I3548" s="78">
        <f>IF(ISBLANK(G3548),"",IF(D3548="Stock","0",Key!$A$3*H3548*G3548))</f>
        <v/>
      </c>
      <c r="J3548" s="78">
        <f>IF(ISBLANK(E3548),"",IF(ISNUMBER(SEARCH("/",E3548)), IF(LEN(E3548)-LEN(SUBSTITUTE(E3548,"/",""))=1,(RIGHT(E3548,LEN(E3548)-FIND("/",E3548)))-(LEFT(E3548,FIND("/",E3548)-1)),(MID(E3548, SEARCH("/",E3548) + 1, SEARCH("/",E3548, SEARCH("/",E3548)+1) - SEARCH("/",E3548) - 1))-(LEFT(E3548,FIND("/",E3548)-1))), "NA"))</f>
        <v/>
      </c>
      <c r="K3548" s="79">
        <f>IF(A3548&lt;&gt;"", IF(ISBLANK(L3548), TODAY(), K3548), "")</f>
        <v/>
      </c>
      <c r="L3548" s="78" t="n"/>
      <c r="M3548" s="78">
        <f>IF(ISBLANK(L3548),"",IF(D3548="Stock",IF(C3548="Buy",L3548*G3548,IF(C3548="Sell",(L3548*G3548)-I3548, X)),IF(C3548="Buy",(L3548*G3548*100)+I3548,IF(C3548="Sell",(L3548*G3548*100)-I3548, X))))</f>
        <v/>
      </c>
      <c r="N3548" s="78">
        <f>IF(ISBLANK(L3548),"",IF(AND(C3548="Sell",D3548="Stock"),M3548,IF(ISBLANK(L3548),"",IF(C3548="Buy",M3548, IF(AND(C3548="Sell",J3548="NA"),(E3548*G3548*100*0.1)+I3548, IF(C3548="Sell",(J3548-L3548)*(100*G3548)+I3548))))))</f>
        <v/>
      </c>
      <c r="O3548" s="75" t="n"/>
      <c r="P3548" s="75" t="n"/>
      <c r="Q3548" s="75">
        <f>IF(ISBLANK(P3548),"",IF(D3548="Stock",P3548*G3548,IF(P3548=0,"0",G3548*P3548*100-(G3548*$AF$14))))</f>
        <v/>
      </c>
      <c r="R3548" s="79">
        <f>IF(P3548&lt;&gt;"", TODAY(), "")</f>
        <v/>
      </c>
      <c r="S3548" s="78">
        <f>IF(AND(K3548&lt;&gt;"", R3548&lt;&gt;""), R3548-K3548, "")</f>
        <v/>
      </c>
      <c r="T3548" s="78" t="n"/>
      <c r="U3548" s="92">
        <f>IF(ISBLANK(P3548),"",IF(C3548="Buy",Q3548-M3548+T3548, IF(C3548="Sell",M3548-Q3548-T3548, X)))</f>
        <v/>
      </c>
      <c r="V3548" s="81">
        <f>IF(ISBLANK(P3548),"",U3548/N3548)</f>
        <v/>
      </c>
      <c r="W3548" s="81">
        <f>IF(ISBLANK(P3548),"",IF(S3548=0,(365/0.5)*V3548,(365/S3548)*V3548))</f>
        <v/>
      </c>
      <c r="X3548" s="75" t="n"/>
      <c r="Y3548" s="77" t="n"/>
      <c r="Z3548" s="77" t="n"/>
      <c r="AA3548" s="75" t="n"/>
      <c r="AB3548" s="75" t="n"/>
      <c r="AC3548" s="6" t="n"/>
      <c r="AD3548" s="75" t="n"/>
      <c r="AE3548" s="75" t="n"/>
      <c r="AF3548" s="75" t="n"/>
    </row>
    <row r="3549" ht="15.75" customHeight="1" s="133">
      <c r="A3549" s="75" t="n"/>
      <c r="B3549" s="75" t="n"/>
      <c r="C3549" s="75" t="n"/>
      <c r="D3549" s="75" t="n"/>
      <c r="E3549" s="76" t="n"/>
      <c r="F3549" s="77" t="n"/>
      <c r="G3549" s="75" t="n"/>
      <c r="H3549" s="75">
        <f>IF(ISBLANK(E3549),"",IF(OR(D3549="Butterfly",D3549="Butterfly ",D3549="Iron Fly", D3549="Iron Fly "),LEN(E3549)-LEN(SUBSTITUTE(E3549,"/",""))+2,LEN(E3549)-LEN(SUBSTITUTE(E3549,"/",""))+1))</f>
        <v/>
      </c>
      <c r="I3549" s="78">
        <f>IF(ISBLANK(G3549),"",IF(D3549="Stock","0",Key!$A$3*H3549*G3549))</f>
        <v/>
      </c>
      <c r="J3549" s="78">
        <f>IF(ISBLANK(E3549),"",IF(ISNUMBER(SEARCH("/",E3549)), IF(LEN(E3549)-LEN(SUBSTITUTE(E3549,"/",""))=1,(RIGHT(E3549,LEN(E3549)-FIND("/",E3549)))-(LEFT(E3549,FIND("/",E3549)-1)),(MID(E3549, SEARCH("/",E3549) + 1, SEARCH("/",E3549, SEARCH("/",E3549)+1) - SEARCH("/",E3549) - 1))-(LEFT(E3549,FIND("/",E3549)-1))), "NA"))</f>
        <v/>
      </c>
      <c r="K3549" s="79">
        <f>IF(A3549&lt;&gt;"", IF(ISBLANK(L3549), TODAY(), K3549), "")</f>
        <v/>
      </c>
      <c r="L3549" s="78" t="n"/>
      <c r="M3549" s="78">
        <f>IF(ISBLANK(L3549),"",IF(D3549="Stock",IF(C3549="Buy",L3549*G3549,IF(C3549="Sell",(L3549*G3549)-I3549, X)),IF(C3549="Buy",(L3549*G3549*100)+I3549,IF(C3549="Sell",(L3549*G3549*100)-I3549, X))))</f>
        <v/>
      </c>
      <c r="N3549" s="78">
        <f>IF(ISBLANK(L3549),"",IF(AND(C3549="Sell",D3549="Stock"),M3549,IF(ISBLANK(L3549),"",IF(C3549="Buy",M3549, IF(AND(C3549="Sell",J3549="NA"),(E3549*G3549*100*0.1)+I3549, IF(C3549="Sell",(J3549-L3549)*(100*G3549)+I3549))))))</f>
        <v/>
      </c>
      <c r="O3549" s="75" t="n"/>
      <c r="P3549" s="75" t="n"/>
      <c r="Q3549" s="75">
        <f>IF(ISBLANK(P3549),"",IF(D3549="Stock",P3549*G3549,IF(P3549=0,"0",G3549*P3549*100-(G3549*$AF$14))))</f>
        <v/>
      </c>
      <c r="R3549" s="79">
        <f>IF(P3549&lt;&gt;"", TODAY(), "")</f>
        <v/>
      </c>
      <c r="S3549" s="78">
        <f>IF(AND(K3549&lt;&gt;"", R3549&lt;&gt;""), R3549-K3549, "")</f>
        <v/>
      </c>
      <c r="T3549" s="78" t="n"/>
      <c r="U3549" s="92">
        <f>IF(ISBLANK(P3549),"",IF(C3549="Buy",Q3549-M3549+T3549, IF(C3549="Sell",M3549-Q3549-T3549, X)))</f>
        <v/>
      </c>
      <c r="V3549" s="81">
        <f>IF(ISBLANK(P3549),"",U3549/N3549)</f>
        <v/>
      </c>
      <c r="W3549" s="81">
        <f>IF(ISBLANK(P3549),"",IF(S3549=0,(365/0.5)*V3549,(365/S3549)*V3549))</f>
        <v/>
      </c>
      <c r="X3549" s="75" t="n"/>
      <c r="Y3549" s="77" t="n"/>
      <c r="Z3549" s="77" t="n"/>
      <c r="AA3549" s="75" t="n"/>
      <c r="AB3549" s="75" t="n"/>
      <c r="AC3549" s="6" t="n"/>
      <c r="AD3549" s="75" t="n"/>
      <c r="AE3549" s="75" t="n"/>
      <c r="AF3549" s="75" t="n"/>
    </row>
    <row r="3550" ht="15.75" customHeight="1" s="133">
      <c r="A3550" s="75" t="n"/>
      <c r="B3550" s="75" t="n"/>
      <c r="C3550" s="75" t="n"/>
      <c r="D3550" s="75" t="n"/>
      <c r="E3550" s="76" t="n"/>
      <c r="F3550" s="77" t="n"/>
      <c r="G3550" s="75" t="n"/>
      <c r="H3550" s="75">
        <f>IF(ISBLANK(E3550),"",IF(OR(D3550="Butterfly",D3550="Butterfly ",D3550="Iron Fly", D3550="Iron Fly "),LEN(E3550)-LEN(SUBSTITUTE(E3550,"/",""))+2,LEN(E3550)-LEN(SUBSTITUTE(E3550,"/",""))+1))</f>
        <v/>
      </c>
      <c r="I3550" s="78">
        <f>IF(ISBLANK(G3550),"",IF(D3550="Stock","0",Key!$A$3*H3550*G3550))</f>
        <v/>
      </c>
      <c r="J3550" s="78">
        <f>IF(ISBLANK(E3550),"",IF(ISNUMBER(SEARCH("/",E3550)), IF(LEN(E3550)-LEN(SUBSTITUTE(E3550,"/",""))=1,(RIGHT(E3550,LEN(E3550)-FIND("/",E3550)))-(LEFT(E3550,FIND("/",E3550)-1)),(MID(E3550, SEARCH("/",E3550) + 1, SEARCH("/",E3550, SEARCH("/",E3550)+1) - SEARCH("/",E3550) - 1))-(LEFT(E3550,FIND("/",E3550)-1))), "NA"))</f>
        <v/>
      </c>
      <c r="K3550" s="79">
        <f>IF(A3550&lt;&gt;"", IF(ISBLANK(L3550), TODAY(), K3550), "")</f>
        <v/>
      </c>
      <c r="L3550" s="78" t="n"/>
      <c r="M3550" s="78">
        <f>IF(ISBLANK(L3550),"",IF(D3550="Stock",IF(C3550="Buy",L3550*G3550,IF(C3550="Sell",(L3550*G3550)-I3550, X)),IF(C3550="Buy",(L3550*G3550*100)+I3550,IF(C3550="Sell",(L3550*G3550*100)-I3550, X))))</f>
        <v/>
      </c>
      <c r="N3550" s="78">
        <f>IF(ISBLANK(L3550),"",IF(AND(C3550="Sell",D3550="Stock"),M3550,IF(ISBLANK(L3550),"",IF(C3550="Buy",M3550, IF(AND(C3550="Sell",J3550="NA"),(E3550*G3550*100*0.1)+I3550, IF(C3550="Sell",(J3550-L3550)*(100*G3550)+I3550))))))</f>
        <v/>
      </c>
      <c r="O3550" s="75" t="n"/>
      <c r="P3550" s="75" t="n"/>
      <c r="Q3550" s="75">
        <f>IF(ISBLANK(P3550),"",IF(D3550="Stock",P3550*G3550,IF(P3550=0,"0",G3550*P3550*100-(G3550*$AF$14))))</f>
        <v/>
      </c>
      <c r="R3550" s="79">
        <f>IF(P3550&lt;&gt;"", TODAY(), "")</f>
        <v/>
      </c>
      <c r="S3550" s="78">
        <f>IF(AND(K3550&lt;&gt;"", R3550&lt;&gt;""), R3550-K3550, "")</f>
        <v/>
      </c>
      <c r="T3550" s="78" t="n"/>
      <c r="U3550" s="92">
        <f>IF(ISBLANK(P3550),"",IF(C3550="Buy",Q3550-M3550+T3550, IF(C3550="Sell",M3550-Q3550-T3550, X)))</f>
        <v/>
      </c>
      <c r="V3550" s="81">
        <f>IF(ISBLANK(P3550),"",U3550/N3550)</f>
        <v/>
      </c>
      <c r="W3550" s="81">
        <f>IF(ISBLANK(P3550),"",IF(S3550=0,(365/0.5)*V3550,(365/S3550)*V3550))</f>
        <v/>
      </c>
      <c r="X3550" s="75" t="n"/>
      <c r="Y3550" s="77" t="n"/>
      <c r="Z3550" s="77" t="n"/>
      <c r="AA3550" s="75" t="n"/>
      <c r="AB3550" s="75" t="n"/>
      <c r="AC3550" s="6" t="n"/>
      <c r="AD3550" s="75" t="n"/>
      <c r="AE3550" s="75" t="n"/>
      <c r="AF3550" s="75" t="n"/>
    </row>
    <row r="3551" ht="15.75" customHeight="1" s="133">
      <c r="A3551" s="75" t="n"/>
      <c r="B3551" s="75" t="n"/>
      <c r="C3551" s="75" t="n"/>
      <c r="D3551" s="75" t="n"/>
      <c r="E3551" s="76" t="n"/>
      <c r="F3551" s="77" t="n"/>
      <c r="G3551" s="75" t="n"/>
      <c r="H3551" s="75">
        <f>IF(ISBLANK(E3551),"",IF(OR(D3551="Butterfly",D3551="Butterfly ",D3551="Iron Fly", D3551="Iron Fly "),LEN(E3551)-LEN(SUBSTITUTE(E3551,"/",""))+2,LEN(E3551)-LEN(SUBSTITUTE(E3551,"/",""))+1))</f>
        <v/>
      </c>
      <c r="I3551" s="78">
        <f>IF(ISBLANK(G3551),"",IF(D3551="Stock","0",Key!$A$3*H3551*G3551))</f>
        <v/>
      </c>
      <c r="J3551" s="78">
        <f>IF(ISBLANK(E3551),"",IF(ISNUMBER(SEARCH("/",E3551)), IF(LEN(E3551)-LEN(SUBSTITUTE(E3551,"/",""))=1,(RIGHT(E3551,LEN(E3551)-FIND("/",E3551)))-(LEFT(E3551,FIND("/",E3551)-1)),(MID(E3551, SEARCH("/",E3551) + 1, SEARCH("/",E3551, SEARCH("/",E3551)+1) - SEARCH("/",E3551) - 1))-(LEFT(E3551,FIND("/",E3551)-1))), "NA"))</f>
        <v/>
      </c>
      <c r="K3551" s="79">
        <f>IF(A3551&lt;&gt;"", IF(ISBLANK(L3551), TODAY(), K3551), "")</f>
        <v/>
      </c>
      <c r="L3551" s="78" t="n"/>
      <c r="M3551" s="78">
        <f>IF(ISBLANK(L3551),"",IF(D3551="Stock",IF(C3551="Buy",L3551*G3551,IF(C3551="Sell",(L3551*G3551)-I3551, X)),IF(C3551="Buy",(L3551*G3551*100)+I3551,IF(C3551="Sell",(L3551*G3551*100)-I3551, X))))</f>
        <v/>
      </c>
      <c r="N3551" s="78">
        <f>IF(ISBLANK(L3551),"",IF(AND(C3551="Sell",D3551="Stock"),M3551,IF(ISBLANK(L3551),"",IF(C3551="Buy",M3551, IF(AND(C3551="Sell",J3551="NA"),(E3551*G3551*100*0.1)+I3551, IF(C3551="Sell",(J3551-L3551)*(100*G3551)+I3551))))))</f>
        <v/>
      </c>
      <c r="O3551" s="75" t="n"/>
      <c r="P3551" s="75" t="n"/>
      <c r="Q3551" s="75">
        <f>IF(ISBLANK(P3551),"",IF(D3551="Stock",P3551*G3551,IF(P3551=0,"0",G3551*P3551*100-(G3551*$AF$14))))</f>
        <v/>
      </c>
      <c r="R3551" s="79">
        <f>IF(P3551&lt;&gt;"", TODAY(), "")</f>
        <v/>
      </c>
      <c r="S3551" s="78">
        <f>IF(AND(K3551&lt;&gt;"", R3551&lt;&gt;""), R3551-K3551, "")</f>
        <v/>
      </c>
      <c r="T3551" s="78" t="n"/>
      <c r="U3551" s="92">
        <f>IF(ISBLANK(P3551),"",IF(C3551="Buy",Q3551-M3551+T3551, IF(C3551="Sell",M3551-Q3551-T3551, X)))</f>
        <v/>
      </c>
      <c r="V3551" s="81">
        <f>IF(ISBLANK(P3551),"",U3551/N3551)</f>
        <v/>
      </c>
      <c r="W3551" s="81">
        <f>IF(ISBLANK(P3551),"",IF(S3551=0,(365/0.5)*V3551,(365/S3551)*V3551))</f>
        <v/>
      </c>
      <c r="X3551" s="75" t="n"/>
      <c r="Y3551" s="77" t="n"/>
      <c r="Z3551" s="77" t="n"/>
      <c r="AA3551" s="75" t="n"/>
      <c r="AB3551" s="75" t="n"/>
      <c r="AC3551" s="6" t="n"/>
      <c r="AD3551" s="75" t="n"/>
      <c r="AE3551" s="75" t="n"/>
      <c r="AF3551" s="75" t="n"/>
    </row>
    <row r="3552" ht="15.75" customHeight="1" s="133">
      <c r="A3552" s="75" t="n"/>
      <c r="B3552" s="75" t="n"/>
      <c r="C3552" s="75" t="n"/>
      <c r="D3552" s="75" t="n"/>
      <c r="E3552" s="76" t="n"/>
      <c r="F3552" s="77" t="n"/>
      <c r="G3552" s="75" t="n"/>
      <c r="H3552" s="75">
        <f>IF(ISBLANK(E3552),"",IF(OR(D3552="Butterfly",D3552="Butterfly ",D3552="Iron Fly", D3552="Iron Fly "),LEN(E3552)-LEN(SUBSTITUTE(E3552,"/",""))+2,LEN(E3552)-LEN(SUBSTITUTE(E3552,"/",""))+1))</f>
        <v/>
      </c>
      <c r="I3552" s="78">
        <f>IF(ISBLANK(G3552),"",IF(D3552="Stock","0",Key!$A$3*H3552*G3552))</f>
        <v/>
      </c>
      <c r="J3552" s="78">
        <f>IF(ISBLANK(E3552),"",IF(ISNUMBER(SEARCH("/",E3552)), IF(LEN(E3552)-LEN(SUBSTITUTE(E3552,"/",""))=1,(RIGHT(E3552,LEN(E3552)-FIND("/",E3552)))-(LEFT(E3552,FIND("/",E3552)-1)),(MID(E3552, SEARCH("/",E3552) + 1, SEARCH("/",E3552, SEARCH("/",E3552)+1) - SEARCH("/",E3552) - 1))-(LEFT(E3552,FIND("/",E3552)-1))), "NA"))</f>
        <v/>
      </c>
      <c r="K3552" s="79">
        <f>IF(A3552&lt;&gt;"", IF(ISBLANK(L3552), TODAY(), K3552), "")</f>
        <v/>
      </c>
      <c r="L3552" s="78" t="n"/>
      <c r="M3552" s="78">
        <f>IF(ISBLANK(L3552),"",IF(D3552="Stock",IF(C3552="Buy",L3552*G3552,IF(C3552="Sell",(L3552*G3552)-I3552, X)),IF(C3552="Buy",(L3552*G3552*100)+I3552,IF(C3552="Sell",(L3552*G3552*100)-I3552, X))))</f>
        <v/>
      </c>
      <c r="N3552" s="78">
        <f>IF(ISBLANK(L3552),"",IF(AND(C3552="Sell",D3552="Stock"),M3552,IF(ISBLANK(L3552),"",IF(C3552="Buy",M3552, IF(AND(C3552="Sell",J3552="NA"),(E3552*G3552*100*0.1)+I3552, IF(C3552="Sell",(J3552-L3552)*(100*G3552)+I3552))))))</f>
        <v/>
      </c>
      <c r="O3552" s="75" t="n"/>
      <c r="P3552" s="75" t="n"/>
      <c r="Q3552" s="75">
        <f>IF(ISBLANK(P3552),"",IF(D3552="Stock",P3552*G3552,IF(P3552=0,"0",G3552*P3552*100-(G3552*$AF$14))))</f>
        <v/>
      </c>
      <c r="R3552" s="79">
        <f>IF(P3552&lt;&gt;"", TODAY(), "")</f>
        <v/>
      </c>
      <c r="S3552" s="78">
        <f>IF(AND(K3552&lt;&gt;"", R3552&lt;&gt;""), R3552-K3552, "")</f>
        <v/>
      </c>
      <c r="T3552" s="78" t="n"/>
      <c r="U3552" s="92">
        <f>IF(ISBLANK(P3552),"",IF(C3552="Buy",Q3552-M3552+T3552, IF(C3552="Sell",M3552-Q3552-T3552, X)))</f>
        <v/>
      </c>
      <c r="V3552" s="81">
        <f>IF(ISBLANK(P3552),"",U3552/N3552)</f>
        <v/>
      </c>
      <c r="W3552" s="81">
        <f>IF(ISBLANK(P3552),"",IF(S3552=0,(365/0.5)*V3552,(365/S3552)*V3552))</f>
        <v/>
      </c>
      <c r="X3552" s="75" t="n"/>
      <c r="Y3552" s="77" t="n"/>
      <c r="Z3552" s="77" t="n"/>
      <c r="AA3552" s="75" t="n"/>
      <c r="AB3552" s="75" t="n"/>
      <c r="AC3552" s="6" t="n"/>
      <c r="AD3552" s="75" t="n"/>
      <c r="AE3552" s="75" t="n"/>
      <c r="AF3552" s="75" t="n"/>
    </row>
    <row r="3553" ht="15.75" customHeight="1" s="133">
      <c r="A3553" s="75" t="n"/>
      <c r="B3553" s="75" t="n"/>
      <c r="C3553" s="75" t="n"/>
      <c r="D3553" s="75" t="n"/>
      <c r="E3553" s="76" t="n"/>
      <c r="F3553" s="77" t="n"/>
      <c r="G3553" s="75" t="n"/>
      <c r="H3553" s="75">
        <f>IF(ISBLANK(E3553),"",IF(OR(D3553="Butterfly",D3553="Butterfly ",D3553="Iron Fly", D3553="Iron Fly "),LEN(E3553)-LEN(SUBSTITUTE(E3553,"/",""))+2,LEN(E3553)-LEN(SUBSTITUTE(E3553,"/",""))+1))</f>
        <v/>
      </c>
      <c r="I3553" s="78">
        <f>IF(ISBLANK(G3553),"",IF(D3553="Stock","0",Key!$A$3*H3553*G3553))</f>
        <v/>
      </c>
      <c r="J3553" s="78">
        <f>IF(ISBLANK(E3553),"",IF(ISNUMBER(SEARCH("/",E3553)), IF(LEN(E3553)-LEN(SUBSTITUTE(E3553,"/",""))=1,(RIGHT(E3553,LEN(E3553)-FIND("/",E3553)))-(LEFT(E3553,FIND("/",E3553)-1)),(MID(E3553, SEARCH("/",E3553) + 1, SEARCH("/",E3553, SEARCH("/",E3553)+1) - SEARCH("/",E3553) - 1))-(LEFT(E3553,FIND("/",E3553)-1))), "NA"))</f>
        <v/>
      </c>
      <c r="K3553" s="79">
        <f>IF(A3553&lt;&gt;"", IF(ISBLANK(L3553), TODAY(), K3553), "")</f>
        <v/>
      </c>
      <c r="L3553" s="78" t="n"/>
      <c r="M3553" s="78">
        <f>IF(ISBLANK(L3553),"",IF(D3553="Stock",IF(C3553="Buy",L3553*G3553,IF(C3553="Sell",(L3553*G3553)-I3553, X)),IF(C3553="Buy",(L3553*G3553*100)+I3553,IF(C3553="Sell",(L3553*G3553*100)-I3553, X))))</f>
        <v/>
      </c>
      <c r="N3553" s="78">
        <f>IF(ISBLANK(L3553),"",IF(AND(C3553="Sell",D3553="Stock"),M3553,IF(ISBLANK(L3553),"",IF(C3553="Buy",M3553, IF(AND(C3553="Sell",J3553="NA"),(E3553*G3553*100*0.1)+I3553, IF(C3553="Sell",(J3553-L3553)*(100*G3553)+I3553))))))</f>
        <v/>
      </c>
      <c r="O3553" s="75" t="n"/>
      <c r="P3553" s="75" t="n"/>
      <c r="Q3553" s="75">
        <f>IF(ISBLANK(P3553),"",IF(D3553="Stock",P3553*G3553,IF(P3553=0,"0",G3553*P3553*100-(G3553*$AF$14))))</f>
        <v/>
      </c>
      <c r="R3553" s="79">
        <f>IF(P3553&lt;&gt;"", TODAY(), "")</f>
        <v/>
      </c>
      <c r="S3553" s="78">
        <f>IF(AND(K3553&lt;&gt;"", R3553&lt;&gt;""), R3553-K3553, "")</f>
        <v/>
      </c>
      <c r="T3553" s="78" t="n"/>
      <c r="U3553" s="92">
        <f>IF(ISBLANK(P3553),"",IF(C3553="Buy",Q3553-M3553+T3553, IF(C3553="Sell",M3553-Q3553-T3553, X)))</f>
        <v/>
      </c>
      <c r="V3553" s="81">
        <f>IF(ISBLANK(P3553),"",U3553/N3553)</f>
        <v/>
      </c>
      <c r="W3553" s="81">
        <f>IF(ISBLANK(P3553),"",IF(S3553=0,(365/0.5)*V3553,(365/S3553)*V3553))</f>
        <v/>
      </c>
      <c r="X3553" s="75" t="n"/>
      <c r="Y3553" s="77" t="n"/>
      <c r="Z3553" s="77" t="n"/>
      <c r="AA3553" s="75" t="n"/>
      <c r="AB3553" s="75" t="n"/>
      <c r="AC3553" s="6" t="n"/>
      <c r="AD3553" s="75" t="n"/>
      <c r="AE3553" s="75" t="n"/>
      <c r="AF3553" s="75" t="n"/>
    </row>
    <row r="3554" ht="15.75" customHeight="1" s="133">
      <c r="A3554" s="75" t="n"/>
      <c r="B3554" s="75" t="n"/>
      <c r="C3554" s="75" t="n"/>
      <c r="D3554" s="75" t="n"/>
      <c r="E3554" s="76" t="n"/>
      <c r="F3554" s="77" t="n"/>
      <c r="G3554" s="75" t="n"/>
      <c r="H3554" s="75">
        <f>IF(ISBLANK(E3554),"",IF(OR(D3554="Butterfly",D3554="Butterfly ",D3554="Iron Fly", D3554="Iron Fly "),LEN(E3554)-LEN(SUBSTITUTE(E3554,"/",""))+2,LEN(E3554)-LEN(SUBSTITUTE(E3554,"/",""))+1))</f>
        <v/>
      </c>
      <c r="I3554" s="78">
        <f>IF(ISBLANK(G3554),"",IF(D3554="Stock","0",Key!$A$3*H3554*G3554))</f>
        <v/>
      </c>
      <c r="J3554" s="78">
        <f>IF(ISBLANK(E3554),"",IF(ISNUMBER(SEARCH("/",E3554)), IF(LEN(E3554)-LEN(SUBSTITUTE(E3554,"/",""))=1,(RIGHT(E3554,LEN(E3554)-FIND("/",E3554)))-(LEFT(E3554,FIND("/",E3554)-1)),(MID(E3554, SEARCH("/",E3554) + 1, SEARCH("/",E3554, SEARCH("/",E3554)+1) - SEARCH("/",E3554) - 1))-(LEFT(E3554,FIND("/",E3554)-1))), "NA"))</f>
        <v/>
      </c>
      <c r="K3554" s="79">
        <f>IF(A3554&lt;&gt;"", IF(ISBLANK(L3554), TODAY(), K3554), "")</f>
        <v/>
      </c>
      <c r="L3554" s="78" t="n"/>
      <c r="M3554" s="78">
        <f>IF(ISBLANK(L3554),"",IF(D3554="Stock",IF(C3554="Buy",L3554*G3554,IF(C3554="Sell",(L3554*G3554)-I3554, X)),IF(C3554="Buy",(L3554*G3554*100)+I3554,IF(C3554="Sell",(L3554*G3554*100)-I3554, X))))</f>
        <v/>
      </c>
      <c r="N3554" s="78">
        <f>IF(ISBLANK(L3554),"",IF(AND(C3554="Sell",D3554="Stock"),M3554,IF(ISBLANK(L3554),"",IF(C3554="Buy",M3554, IF(AND(C3554="Sell",J3554="NA"),(E3554*G3554*100*0.1)+I3554, IF(C3554="Sell",(J3554-L3554)*(100*G3554)+I3554))))))</f>
        <v/>
      </c>
      <c r="O3554" s="75" t="n"/>
      <c r="P3554" s="75" t="n"/>
      <c r="Q3554" s="75">
        <f>IF(ISBLANK(P3554),"",IF(D3554="Stock",P3554*G3554,IF(P3554=0,"0",G3554*P3554*100-(G3554*$AF$14))))</f>
        <v/>
      </c>
      <c r="R3554" s="79">
        <f>IF(P3554&lt;&gt;"", TODAY(), "")</f>
        <v/>
      </c>
      <c r="S3554" s="78">
        <f>IF(AND(K3554&lt;&gt;"", R3554&lt;&gt;""), R3554-K3554, "")</f>
        <v/>
      </c>
      <c r="T3554" s="78" t="n"/>
      <c r="U3554" s="92">
        <f>IF(ISBLANK(P3554),"",IF(C3554="Buy",Q3554-M3554+T3554, IF(C3554="Sell",M3554-Q3554-T3554, X)))</f>
        <v/>
      </c>
      <c r="V3554" s="81">
        <f>IF(ISBLANK(P3554),"",U3554/N3554)</f>
        <v/>
      </c>
      <c r="W3554" s="81">
        <f>IF(ISBLANK(P3554),"",IF(S3554=0,(365/0.5)*V3554,(365/S3554)*V3554))</f>
        <v/>
      </c>
      <c r="X3554" s="75" t="n"/>
      <c r="Y3554" s="77" t="n"/>
      <c r="Z3554" s="77" t="n"/>
      <c r="AA3554" s="75" t="n"/>
      <c r="AB3554" s="75" t="n"/>
      <c r="AC3554" s="6" t="n"/>
      <c r="AD3554" s="75" t="n"/>
      <c r="AE3554" s="75" t="n"/>
      <c r="AF3554" s="75" t="n"/>
    </row>
    <row r="3555" ht="15.75" customHeight="1" s="133">
      <c r="A3555" s="75" t="n"/>
      <c r="B3555" s="75" t="n"/>
      <c r="C3555" s="75" t="n"/>
      <c r="D3555" s="75" t="n"/>
      <c r="E3555" s="76" t="n"/>
      <c r="F3555" s="77" t="n"/>
      <c r="G3555" s="75" t="n"/>
      <c r="H3555" s="75">
        <f>IF(ISBLANK(E3555),"",IF(OR(D3555="Butterfly",D3555="Butterfly ",D3555="Iron Fly", D3555="Iron Fly "),LEN(E3555)-LEN(SUBSTITUTE(E3555,"/",""))+2,LEN(E3555)-LEN(SUBSTITUTE(E3555,"/",""))+1))</f>
        <v/>
      </c>
      <c r="I3555" s="78">
        <f>IF(ISBLANK(G3555),"",IF(D3555="Stock","0",Key!$A$3*H3555*G3555))</f>
        <v/>
      </c>
      <c r="J3555" s="78">
        <f>IF(ISBLANK(E3555),"",IF(ISNUMBER(SEARCH("/",E3555)), IF(LEN(E3555)-LEN(SUBSTITUTE(E3555,"/",""))=1,(RIGHT(E3555,LEN(E3555)-FIND("/",E3555)))-(LEFT(E3555,FIND("/",E3555)-1)),(MID(E3555, SEARCH("/",E3555) + 1, SEARCH("/",E3555, SEARCH("/",E3555)+1) - SEARCH("/",E3555) - 1))-(LEFT(E3555,FIND("/",E3555)-1))), "NA"))</f>
        <v/>
      </c>
      <c r="K3555" s="79">
        <f>IF(A3555&lt;&gt;"", IF(ISBLANK(L3555), TODAY(), K3555), "")</f>
        <v/>
      </c>
      <c r="L3555" s="78" t="n"/>
      <c r="M3555" s="78">
        <f>IF(ISBLANK(L3555),"",IF(D3555="Stock",IF(C3555="Buy",L3555*G3555,IF(C3555="Sell",(L3555*G3555)-I3555, X)),IF(C3555="Buy",(L3555*G3555*100)+I3555,IF(C3555="Sell",(L3555*G3555*100)-I3555, X))))</f>
        <v/>
      </c>
      <c r="N3555" s="78">
        <f>IF(ISBLANK(L3555),"",IF(AND(C3555="Sell",D3555="Stock"),M3555,IF(ISBLANK(L3555),"",IF(C3555="Buy",M3555, IF(AND(C3555="Sell",J3555="NA"),(E3555*G3555*100*0.1)+I3555, IF(C3555="Sell",(J3555-L3555)*(100*G3555)+I3555))))))</f>
        <v/>
      </c>
      <c r="O3555" s="75" t="n"/>
      <c r="P3555" s="75" t="n"/>
      <c r="Q3555" s="75">
        <f>IF(ISBLANK(P3555),"",IF(D3555="Stock",P3555*G3555,IF(P3555=0,"0",G3555*P3555*100-(G3555*$AF$14))))</f>
        <v/>
      </c>
      <c r="R3555" s="79">
        <f>IF(P3555&lt;&gt;"", TODAY(), "")</f>
        <v/>
      </c>
      <c r="S3555" s="78">
        <f>IF(AND(K3555&lt;&gt;"", R3555&lt;&gt;""), R3555-K3555, "")</f>
        <v/>
      </c>
      <c r="T3555" s="78" t="n"/>
      <c r="U3555" s="92">
        <f>IF(ISBLANK(P3555),"",IF(C3555="Buy",Q3555-M3555+T3555, IF(C3555="Sell",M3555-Q3555-T3555, X)))</f>
        <v/>
      </c>
      <c r="V3555" s="81">
        <f>IF(ISBLANK(P3555),"",U3555/N3555)</f>
        <v/>
      </c>
      <c r="W3555" s="81">
        <f>IF(ISBLANK(P3555),"",IF(S3555=0,(365/0.5)*V3555,(365/S3555)*V3555))</f>
        <v/>
      </c>
      <c r="X3555" s="75" t="n"/>
      <c r="Y3555" s="77" t="n"/>
      <c r="Z3555" s="77" t="n"/>
      <c r="AA3555" s="75" t="n"/>
      <c r="AB3555" s="75" t="n"/>
      <c r="AC3555" s="6" t="n"/>
      <c r="AD3555" s="75" t="n"/>
      <c r="AE3555" s="75" t="n"/>
      <c r="AF3555" s="75" t="n"/>
    </row>
    <row r="3556" ht="15.75" customHeight="1" s="133">
      <c r="A3556" s="75" t="n"/>
      <c r="B3556" s="75" t="n"/>
      <c r="C3556" s="75" t="n"/>
      <c r="D3556" s="75" t="n"/>
      <c r="E3556" s="76" t="n"/>
      <c r="F3556" s="77" t="n"/>
      <c r="G3556" s="75" t="n"/>
      <c r="H3556" s="75">
        <f>IF(ISBLANK(E3556),"",IF(OR(D3556="Butterfly",D3556="Butterfly ",D3556="Iron Fly", D3556="Iron Fly "),LEN(E3556)-LEN(SUBSTITUTE(E3556,"/",""))+2,LEN(E3556)-LEN(SUBSTITUTE(E3556,"/",""))+1))</f>
        <v/>
      </c>
      <c r="I3556" s="78">
        <f>IF(ISBLANK(G3556),"",IF(D3556="Stock","0",Key!$A$3*H3556*G3556))</f>
        <v/>
      </c>
      <c r="J3556" s="78">
        <f>IF(ISBLANK(E3556),"",IF(ISNUMBER(SEARCH("/",E3556)), IF(LEN(E3556)-LEN(SUBSTITUTE(E3556,"/",""))=1,(RIGHT(E3556,LEN(E3556)-FIND("/",E3556)))-(LEFT(E3556,FIND("/",E3556)-1)),(MID(E3556, SEARCH("/",E3556) + 1, SEARCH("/",E3556, SEARCH("/",E3556)+1) - SEARCH("/",E3556) - 1))-(LEFT(E3556,FIND("/",E3556)-1))), "NA"))</f>
        <v/>
      </c>
      <c r="K3556" s="79">
        <f>IF(A3556&lt;&gt;"", IF(ISBLANK(L3556), TODAY(), K3556), "")</f>
        <v/>
      </c>
      <c r="L3556" s="78" t="n"/>
      <c r="M3556" s="78">
        <f>IF(ISBLANK(L3556),"",IF(D3556="Stock",IF(C3556="Buy",L3556*G3556,IF(C3556="Sell",(L3556*G3556)-I3556, X)),IF(C3556="Buy",(L3556*G3556*100)+I3556,IF(C3556="Sell",(L3556*G3556*100)-I3556, X))))</f>
        <v/>
      </c>
      <c r="N3556" s="78">
        <f>IF(ISBLANK(L3556),"",IF(AND(C3556="Sell",D3556="Stock"),M3556,IF(ISBLANK(L3556),"",IF(C3556="Buy",M3556, IF(AND(C3556="Sell",J3556="NA"),(E3556*G3556*100*0.1)+I3556, IF(C3556="Sell",(J3556-L3556)*(100*G3556)+I3556))))))</f>
        <v/>
      </c>
      <c r="O3556" s="75" t="n"/>
      <c r="P3556" s="75" t="n"/>
      <c r="Q3556" s="75">
        <f>IF(ISBLANK(P3556),"",IF(D3556="Stock",P3556*G3556,IF(P3556=0,"0",G3556*P3556*100-(G3556*$AF$14))))</f>
        <v/>
      </c>
      <c r="R3556" s="79">
        <f>IF(P3556&lt;&gt;"", TODAY(), "")</f>
        <v/>
      </c>
      <c r="S3556" s="78">
        <f>IF(AND(K3556&lt;&gt;"", R3556&lt;&gt;""), R3556-K3556, "")</f>
        <v/>
      </c>
      <c r="T3556" s="78" t="n"/>
      <c r="U3556" s="92">
        <f>IF(ISBLANK(P3556),"",IF(C3556="Buy",Q3556-M3556+T3556, IF(C3556="Sell",M3556-Q3556-T3556, X)))</f>
        <v/>
      </c>
      <c r="V3556" s="81">
        <f>IF(ISBLANK(P3556),"",U3556/N3556)</f>
        <v/>
      </c>
      <c r="W3556" s="81">
        <f>IF(ISBLANK(P3556),"",IF(S3556=0,(365/0.5)*V3556,(365/S3556)*V3556))</f>
        <v/>
      </c>
      <c r="X3556" s="75" t="n"/>
      <c r="Y3556" s="77" t="n"/>
      <c r="Z3556" s="77" t="n"/>
      <c r="AA3556" s="75" t="n"/>
      <c r="AB3556" s="75" t="n"/>
      <c r="AC3556" s="6" t="n"/>
      <c r="AD3556" s="75" t="n"/>
      <c r="AE3556" s="75" t="n"/>
      <c r="AF3556" s="75" t="n"/>
    </row>
    <row r="3557" ht="15.75" customHeight="1" s="133">
      <c r="A3557" s="75" t="n"/>
      <c r="B3557" s="75" t="n"/>
      <c r="C3557" s="75" t="n"/>
      <c r="D3557" s="75" t="n"/>
      <c r="E3557" s="76" t="n"/>
      <c r="F3557" s="77" t="n"/>
      <c r="G3557" s="75" t="n"/>
      <c r="H3557" s="75">
        <f>IF(ISBLANK(E3557),"",IF(OR(D3557="Butterfly",D3557="Butterfly ",D3557="Iron Fly", D3557="Iron Fly "),LEN(E3557)-LEN(SUBSTITUTE(E3557,"/",""))+2,LEN(E3557)-LEN(SUBSTITUTE(E3557,"/",""))+1))</f>
        <v/>
      </c>
      <c r="I3557" s="78">
        <f>IF(ISBLANK(G3557),"",IF(D3557="Stock","0",Key!$A$3*H3557*G3557))</f>
        <v/>
      </c>
      <c r="J3557" s="78">
        <f>IF(ISBLANK(E3557),"",IF(ISNUMBER(SEARCH("/",E3557)), IF(LEN(E3557)-LEN(SUBSTITUTE(E3557,"/",""))=1,(RIGHT(E3557,LEN(E3557)-FIND("/",E3557)))-(LEFT(E3557,FIND("/",E3557)-1)),(MID(E3557, SEARCH("/",E3557) + 1, SEARCH("/",E3557, SEARCH("/",E3557)+1) - SEARCH("/",E3557) - 1))-(LEFT(E3557,FIND("/",E3557)-1))), "NA"))</f>
        <v/>
      </c>
      <c r="K3557" s="79">
        <f>IF(A3557&lt;&gt;"", IF(ISBLANK(L3557), TODAY(), K3557), "")</f>
        <v/>
      </c>
      <c r="L3557" s="78" t="n"/>
      <c r="M3557" s="78">
        <f>IF(ISBLANK(L3557),"",IF(D3557="Stock",IF(C3557="Buy",L3557*G3557,IF(C3557="Sell",(L3557*G3557)-I3557, X)),IF(C3557="Buy",(L3557*G3557*100)+I3557,IF(C3557="Sell",(L3557*G3557*100)-I3557, X))))</f>
        <v/>
      </c>
      <c r="N3557" s="78">
        <f>IF(ISBLANK(L3557),"",IF(AND(C3557="Sell",D3557="Stock"),M3557,IF(ISBLANK(L3557),"",IF(C3557="Buy",M3557, IF(AND(C3557="Sell",J3557="NA"),(E3557*G3557*100*0.1)+I3557, IF(C3557="Sell",(J3557-L3557)*(100*G3557)+I3557))))))</f>
        <v/>
      </c>
      <c r="O3557" s="75" t="n"/>
      <c r="P3557" s="75" t="n"/>
      <c r="Q3557" s="75">
        <f>IF(ISBLANK(P3557),"",IF(D3557="Stock",P3557*G3557,IF(P3557=0,"0",G3557*P3557*100-(G3557*$AF$14))))</f>
        <v/>
      </c>
      <c r="R3557" s="79">
        <f>IF(P3557&lt;&gt;"", TODAY(), "")</f>
        <v/>
      </c>
      <c r="S3557" s="78">
        <f>IF(AND(K3557&lt;&gt;"", R3557&lt;&gt;""), R3557-K3557, "")</f>
        <v/>
      </c>
      <c r="T3557" s="78" t="n"/>
      <c r="U3557" s="92">
        <f>IF(ISBLANK(P3557),"",IF(C3557="Buy",Q3557-M3557+T3557, IF(C3557="Sell",M3557-Q3557-T3557, X)))</f>
        <v/>
      </c>
      <c r="V3557" s="81">
        <f>IF(ISBLANK(P3557),"",U3557/N3557)</f>
        <v/>
      </c>
      <c r="W3557" s="81">
        <f>IF(ISBLANK(P3557),"",IF(S3557=0,(365/0.5)*V3557,(365/S3557)*V3557))</f>
        <v/>
      </c>
      <c r="X3557" s="75" t="n"/>
      <c r="Y3557" s="77" t="n"/>
      <c r="Z3557" s="77" t="n"/>
      <c r="AA3557" s="75" t="n"/>
      <c r="AB3557" s="75" t="n"/>
      <c r="AC3557" s="6" t="n"/>
      <c r="AD3557" s="75" t="n"/>
      <c r="AE3557" s="75" t="n"/>
      <c r="AF3557" s="75" t="n"/>
    </row>
    <row r="3558" ht="15.75" customHeight="1" s="133">
      <c r="A3558" s="75" t="n"/>
      <c r="B3558" s="75" t="n"/>
      <c r="C3558" s="75" t="n"/>
      <c r="D3558" s="75" t="n"/>
      <c r="E3558" s="76" t="n"/>
      <c r="F3558" s="77" t="n"/>
      <c r="G3558" s="75" t="n"/>
      <c r="H3558" s="75">
        <f>IF(ISBLANK(E3558),"",IF(OR(D3558="Butterfly",D3558="Butterfly ",D3558="Iron Fly", D3558="Iron Fly "),LEN(E3558)-LEN(SUBSTITUTE(E3558,"/",""))+2,LEN(E3558)-LEN(SUBSTITUTE(E3558,"/",""))+1))</f>
        <v/>
      </c>
      <c r="I3558" s="78">
        <f>IF(ISBLANK(G3558),"",IF(D3558="Stock","0",Key!$A$3*H3558*G3558))</f>
        <v/>
      </c>
      <c r="J3558" s="78">
        <f>IF(ISBLANK(E3558),"",IF(ISNUMBER(SEARCH("/",E3558)), IF(LEN(E3558)-LEN(SUBSTITUTE(E3558,"/",""))=1,(RIGHT(E3558,LEN(E3558)-FIND("/",E3558)))-(LEFT(E3558,FIND("/",E3558)-1)),(MID(E3558, SEARCH("/",E3558) + 1, SEARCH("/",E3558, SEARCH("/",E3558)+1) - SEARCH("/",E3558) - 1))-(LEFT(E3558,FIND("/",E3558)-1))), "NA"))</f>
        <v/>
      </c>
      <c r="K3558" s="79">
        <f>IF(A3558&lt;&gt;"", IF(ISBLANK(L3558), TODAY(), K3558), "")</f>
        <v/>
      </c>
      <c r="L3558" s="78" t="n"/>
      <c r="M3558" s="78">
        <f>IF(ISBLANK(L3558),"",IF(D3558="Stock",IF(C3558="Buy",L3558*G3558,IF(C3558="Sell",(L3558*G3558)-I3558, X)),IF(C3558="Buy",(L3558*G3558*100)+I3558,IF(C3558="Sell",(L3558*G3558*100)-I3558, X))))</f>
        <v/>
      </c>
      <c r="N3558" s="78">
        <f>IF(ISBLANK(L3558),"",IF(AND(C3558="Sell",D3558="Stock"),M3558,IF(ISBLANK(L3558),"",IF(C3558="Buy",M3558, IF(AND(C3558="Sell",J3558="NA"),(E3558*G3558*100*0.1)+I3558, IF(C3558="Sell",(J3558-L3558)*(100*G3558)+I3558))))))</f>
        <v/>
      </c>
      <c r="O3558" s="75" t="n"/>
      <c r="P3558" s="75" t="n"/>
      <c r="Q3558" s="75">
        <f>IF(ISBLANK(P3558),"",IF(D3558="Stock",P3558*G3558,IF(P3558=0,"0",G3558*P3558*100-(G3558*$AF$14))))</f>
        <v/>
      </c>
      <c r="R3558" s="79">
        <f>IF(P3558&lt;&gt;"", TODAY(), "")</f>
        <v/>
      </c>
      <c r="S3558" s="78">
        <f>IF(AND(K3558&lt;&gt;"", R3558&lt;&gt;""), R3558-K3558, "")</f>
        <v/>
      </c>
      <c r="T3558" s="78" t="n"/>
      <c r="U3558" s="92">
        <f>IF(ISBLANK(P3558),"",IF(C3558="Buy",Q3558-M3558+T3558, IF(C3558="Sell",M3558-Q3558-T3558, X)))</f>
        <v/>
      </c>
      <c r="V3558" s="81">
        <f>IF(ISBLANK(P3558),"",U3558/N3558)</f>
        <v/>
      </c>
      <c r="W3558" s="81">
        <f>IF(ISBLANK(P3558),"",IF(S3558=0,(365/0.5)*V3558,(365/S3558)*V3558))</f>
        <v/>
      </c>
      <c r="X3558" s="75" t="n"/>
      <c r="Y3558" s="77" t="n"/>
      <c r="Z3558" s="77" t="n"/>
      <c r="AA3558" s="75" t="n"/>
      <c r="AB3558" s="75" t="n"/>
      <c r="AC3558" s="6" t="n"/>
      <c r="AD3558" s="75" t="n"/>
      <c r="AE3558" s="75" t="n"/>
      <c r="AF3558" s="75" t="n"/>
    </row>
    <row r="3559" ht="15.75" customHeight="1" s="133">
      <c r="A3559" s="75" t="n"/>
      <c r="B3559" s="75" t="n"/>
      <c r="C3559" s="75" t="n"/>
      <c r="D3559" s="75" t="n"/>
      <c r="E3559" s="76" t="n"/>
      <c r="F3559" s="77" t="n"/>
      <c r="G3559" s="75" t="n"/>
      <c r="H3559" s="75">
        <f>IF(ISBLANK(E3559),"",IF(OR(D3559="Butterfly",D3559="Butterfly ",D3559="Iron Fly", D3559="Iron Fly "),LEN(E3559)-LEN(SUBSTITUTE(E3559,"/",""))+2,LEN(E3559)-LEN(SUBSTITUTE(E3559,"/",""))+1))</f>
        <v/>
      </c>
      <c r="I3559" s="78">
        <f>IF(ISBLANK(G3559),"",IF(D3559="Stock","0",Key!$A$3*H3559*G3559))</f>
        <v/>
      </c>
      <c r="J3559" s="78">
        <f>IF(ISBLANK(E3559),"",IF(ISNUMBER(SEARCH("/",E3559)), IF(LEN(E3559)-LEN(SUBSTITUTE(E3559,"/",""))=1,(RIGHT(E3559,LEN(E3559)-FIND("/",E3559)))-(LEFT(E3559,FIND("/",E3559)-1)),(MID(E3559, SEARCH("/",E3559) + 1, SEARCH("/",E3559, SEARCH("/",E3559)+1) - SEARCH("/",E3559) - 1))-(LEFT(E3559,FIND("/",E3559)-1))), "NA"))</f>
        <v/>
      </c>
      <c r="K3559" s="79">
        <f>IF(A3559&lt;&gt;"", IF(ISBLANK(L3559), TODAY(), K3559), "")</f>
        <v/>
      </c>
      <c r="L3559" s="78" t="n"/>
      <c r="M3559" s="78">
        <f>IF(ISBLANK(L3559),"",IF(D3559="Stock",IF(C3559="Buy",L3559*G3559,IF(C3559="Sell",(L3559*G3559)-I3559, X)),IF(C3559="Buy",(L3559*G3559*100)+I3559,IF(C3559="Sell",(L3559*G3559*100)-I3559, X))))</f>
        <v/>
      </c>
      <c r="N3559" s="78">
        <f>IF(ISBLANK(L3559),"",IF(AND(C3559="Sell",D3559="Stock"),M3559,IF(ISBLANK(L3559),"",IF(C3559="Buy",M3559, IF(AND(C3559="Sell",J3559="NA"),(E3559*G3559*100*0.1)+I3559, IF(C3559="Sell",(J3559-L3559)*(100*G3559)+I3559))))))</f>
        <v/>
      </c>
      <c r="O3559" s="75" t="n"/>
      <c r="P3559" s="75" t="n"/>
      <c r="Q3559" s="75">
        <f>IF(ISBLANK(P3559),"",IF(D3559="Stock",P3559*G3559,IF(P3559=0,"0",G3559*P3559*100-(G3559*$AF$14))))</f>
        <v/>
      </c>
      <c r="R3559" s="79">
        <f>IF(P3559&lt;&gt;"", TODAY(), "")</f>
        <v/>
      </c>
      <c r="S3559" s="78">
        <f>IF(AND(K3559&lt;&gt;"", R3559&lt;&gt;""), R3559-K3559, "")</f>
        <v/>
      </c>
      <c r="T3559" s="78" t="n"/>
      <c r="U3559" s="92">
        <f>IF(ISBLANK(P3559),"",IF(C3559="Buy",Q3559-M3559+T3559, IF(C3559="Sell",M3559-Q3559-T3559, X)))</f>
        <v/>
      </c>
      <c r="V3559" s="81">
        <f>IF(ISBLANK(P3559),"",U3559/N3559)</f>
        <v/>
      </c>
      <c r="W3559" s="81">
        <f>IF(ISBLANK(P3559),"",IF(S3559=0,(365/0.5)*V3559,(365/S3559)*V3559))</f>
        <v/>
      </c>
      <c r="X3559" s="75" t="n"/>
      <c r="Y3559" s="77" t="n"/>
      <c r="Z3559" s="77" t="n"/>
      <c r="AA3559" s="75" t="n"/>
      <c r="AB3559" s="75" t="n"/>
      <c r="AC3559" s="6" t="n"/>
      <c r="AD3559" s="75" t="n"/>
      <c r="AE3559" s="75" t="n"/>
      <c r="AF3559" s="75" t="n"/>
    </row>
    <row r="3560" ht="15.75" customHeight="1" s="133">
      <c r="A3560" s="75" t="n"/>
      <c r="B3560" s="75" t="n"/>
      <c r="C3560" s="75" t="n"/>
      <c r="D3560" s="75" t="n"/>
      <c r="E3560" s="76" t="n"/>
      <c r="F3560" s="77" t="n"/>
      <c r="G3560" s="75" t="n"/>
      <c r="H3560" s="75">
        <f>IF(ISBLANK(E3560),"",IF(OR(D3560="Butterfly",D3560="Butterfly ",D3560="Iron Fly", D3560="Iron Fly "),LEN(E3560)-LEN(SUBSTITUTE(E3560,"/",""))+2,LEN(E3560)-LEN(SUBSTITUTE(E3560,"/",""))+1))</f>
        <v/>
      </c>
      <c r="I3560" s="78">
        <f>IF(ISBLANK(G3560),"",IF(D3560="Stock","0",Key!$A$3*H3560*G3560))</f>
        <v/>
      </c>
      <c r="J3560" s="78">
        <f>IF(ISBLANK(E3560),"",IF(ISNUMBER(SEARCH("/",E3560)), IF(LEN(E3560)-LEN(SUBSTITUTE(E3560,"/",""))=1,(RIGHT(E3560,LEN(E3560)-FIND("/",E3560)))-(LEFT(E3560,FIND("/",E3560)-1)),(MID(E3560, SEARCH("/",E3560) + 1, SEARCH("/",E3560, SEARCH("/",E3560)+1) - SEARCH("/",E3560) - 1))-(LEFT(E3560,FIND("/",E3560)-1))), "NA"))</f>
        <v/>
      </c>
      <c r="K3560" s="79">
        <f>IF(A3560&lt;&gt;"", IF(ISBLANK(L3560), TODAY(), K3560), "")</f>
        <v/>
      </c>
      <c r="L3560" s="78" t="n"/>
      <c r="M3560" s="78">
        <f>IF(ISBLANK(L3560),"",IF(D3560="Stock",IF(C3560="Buy",L3560*G3560,IF(C3560="Sell",(L3560*G3560)-I3560, X)),IF(C3560="Buy",(L3560*G3560*100)+I3560,IF(C3560="Sell",(L3560*G3560*100)-I3560, X))))</f>
        <v/>
      </c>
      <c r="N3560" s="78">
        <f>IF(ISBLANK(L3560),"",IF(AND(C3560="Sell",D3560="Stock"),M3560,IF(ISBLANK(L3560),"",IF(C3560="Buy",M3560, IF(AND(C3560="Sell",J3560="NA"),(E3560*G3560*100*0.1)+I3560, IF(C3560="Sell",(J3560-L3560)*(100*G3560)+I3560))))))</f>
        <v/>
      </c>
      <c r="O3560" s="75" t="n"/>
      <c r="P3560" s="75" t="n"/>
      <c r="Q3560" s="75">
        <f>IF(ISBLANK(P3560),"",IF(D3560="Stock",P3560*G3560,IF(P3560=0,"0",G3560*P3560*100-(G3560*$AF$14))))</f>
        <v/>
      </c>
      <c r="R3560" s="79">
        <f>IF(P3560&lt;&gt;"", TODAY(), "")</f>
        <v/>
      </c>
      <c r="S3560" s="78">
        <f>IF(AND(K3560&lt;&gt;"", R3560&lt;&gt;""), R3560-K3560, "")</f>
        <v/>
      </c>
      <c r="T3560" s="78" t="n"/>
      <c r="U3560" s="92">
        <f>IF(ISBLANK(P3560),"",IF(C3560="Buy",Q3560-M3560+T3560, IF(C3560="Sell",M3560-Q3560-T3560, X)))</f>
        <v/>
      </c>
      <c r="V3560" s="81">
        <f>IF(ISBLANK(P3560),"",U3560/N3560)</f>
        <v/>
      </c>
      <c r="W3560" s="81">
        <f>IF(ISBLANK(P3560),"",IF(S3560=0,(365/0.5)*V3560,(365/S3560)*V3560))</f>
        <v/>
      </c>
      <c r="X3560" s="75" t="n"/>
      <c r="Y3560" s="77" t="n"/>
      <c r="Z3560" s="77" t="n"/>
      <c r="AA3560" s="75" t="n"/>
      <c r="AB3560" s="75" t="n"/>
      <c r="AC3560" s="6" t="n"/>
      <c r="AD3560" s="75" t="n"/>
      <c r="AE3560" s="75" t="n"/>
      <c r="AF3560" s="75" t="n"/>
    </row>
    <row r="3561" ht="15.75" customHeight="1" s="133">
      <c r="A3561" s="75" t="n"/>
      <c r="B3561" s="75" t="n"/>
      <c r="C3561" s="75" t="n"/>
      <c r="D3561" s="75" t="n"/>
      <c r="E3561" s="76" t="n"/>
      <c r="F3561" s="77" t="n"/>
      <c r="G3561" s="75" t="n"/>
      <c r="H3561" s="75">
        <f>IF(ISBLANK(E3561),"",IF(OR(D3561="Butterfly",D3561="Butterfly ",D3561="Iron Fly", D3561="Iron Fly "),LEN(E3561)-LEN(SUBSTITUTE(E3561,"/",""))+2,LEN(E3561)-LEN(SUBSTITUTE(E3561,"/",""))+1))</f>
        <v/>
      </c>
      <c r="I3561" s="78">
        <f>IF(ISBLANK(G3561),"",IF(D3561="Stock","0",Key!$A$3*H3561*G3561))</f>
        <v/>
      </c>
      <c r="J3561" s="78">
        <f>IF(ISBLANK(E3561),"",IF(ISNUMBER(SEARCH("/",E3561)), IF(LEN(E3561)-LEN(SUBSTITUTE(E3561,"/",""))=1,(RIGHT(E3561,LEN(E3561)-FIND("/",E3561)))-(LEFT(E3561,FIND("/",E3561)-1)),(MID(E3561, SEARCH("/",E3561) + 1, SEARCH("/",E3561, SEARCH("/",E3561)+1) - SEARCH("/",E3561) - 1))-(LEFT(E3561,FIND("/",E3561)-1))), "NA"))</f>
        <v/>
      </c>
      <c r="K3561" s="79">
        <f>IF(A3561&lt;&gt;"", IF(ISBLANK(L3561), TODAY(), K3561), "")</f>
        <v/>
      </c>
      <c r="L3561" s="78" t="n"/>
      <c r="M3561" s="78">
        <f>IF(ISBLANK(L3561),"",IF(D3561="Stock",IF(C3561="Buy",L3561*G3561,IF(C3561="Sell",(L3561*G3561)-I3561, X)),IF(C3561="Buy",(L3561*G3561*100)+I3561,IF(C3561="Sell",(L3561*G3561*100)-I3561, X))))</f>
        <v/>
      </c>
      <c r="N3561" s="78">
        <f>IF(ISBLANK(L3561),"",IF(AND(C3561="Sell",D3561="Stock"),M3561,IF(ISBLANK(L3561),"",IF(C3561="Buy",M3561, IF(AND(C3561="Sell",J3561="NA"),(E3561*G3561*100*0.1)+I3561, IF(C3561="Sell",(J3561-L3561)*(100*G3561)+I3561))))))</f>
        <v/>
      </c>
      <c r="O3561" s="75" t="n"/>
      <c r="P3561" s="75" t="n"/>
      <c r="Q3561" s="75">
        <f>IF(ISBLANK(P3561),"",IF(D3561="Stock",P3561*G3561,IF(P3561=0,"0",G3561*P3561*100-(G3561*$AF$14))))</f>
        <v/>
      </c>
      <c r="R3561" s="79">
        <f>IF(P3561&lt;&gt;"", TODAY(), "")</f>
        <v/>
      </c>
      <c r="S3561" s="78">
        <f>IF(AND(K3561&lt;&gt;"", R3561&lt;&gt;""), R3561-K3561, "")</f>
        <v/>
      </c>
      <c r="T3561" s="78" t="n"/>
      <c r="U3561" s="92">
        <f>IF(ISBLANK(P3561),"",IF(C3561="Buy",Q3561-M3561+T3561, IF(C3561="Sell",M3561-Q3561-T3561, X)))</f>
        <v/>
      </c>
      <c r="V3561" s="81">
        <f>IF(ISBLANK(P3561),"",U3561/N3561)</f>
        <v/>
      </c>
      <c r="W3561" s="81">
        <f>IF(ISBLANK(P3561),"",IF(S3561=0,(365/0.5)*V3561,(365/S3561)*V3561))</f>
        <v/>
      </c>
      <c r="X3561" s="75" t="n"/>
      <c r="Y3561" s="77" t="n"/>
      <c r="Z3561" s="77" t="n"/>
      <c r="AA3561" s="75" t="n"/>
      <c r="AB3561" s="75" t="n"/>
      <c r="AC3561" s="6" t="n"/>
      <c r="AD3561" s="75" t="n"/>
      <c r="AE3561" s="75" t="n"/>
      <c r="AF3561" s="75" t="n"/>
    </row>
    <row r="3562" ht="15.75" customHeight="1" s="133">
      <c r="A3562" s="75" t="n"/>
      <c r="B3562" s="75" t="n"/>
      <c r="C3562" s="75" t="n"/>
      <c r="D3562" s="75" t="n"/>
      <c r="E3562" s="76" t="n"/>
      <c r="F3562" s="77" t="n"/>
      <c r="G3562" s="75" t="n"/>
      <c r="H3562" s="75">
        <f>IF(ISBLANK(E3562),"",IF(OR(D3562="Butterfly",D3562="Butterfly ",D3562="Iron Fly", D3562="Iron Fly "),LEN(E3562)-LEN(SUBSTITUTE(E3562,"/",""))+2,LEN(E3562)-LEN(SUBSTITUTE(E3562,"/",""))+1))</f>
        <v/>
      </c>
      <c r="I3562" s="78">
        <f>IF(ISBLANK(G3562),"",IF(D3562="Stock","0",Key!$A$3*H3562*G3562))</f>
        <v/>
      </c>
      <c r="J3562" s="78">
        <f>IF(ISBLANK(E3562),"",IF(ISNUMBER(SEARCH("/",E3562)), IF(LEN(E3562)-LEN(SUBSTITUTE(E3562,"/",""))=1,(RIGHT(E3562,LEN(E3562)-FIND("/",E3562)))-(LEFT(E3562,FIND("/",E3562)-1)),(MID(E3562, SEARCH("/",E3562) + 1, SEARCH("/",E3562, SEARCH("/",E3562)+1) - SEARCH("/",E3562) - 1))-(LEFT(E3562,FIND("/",E3562)-1))), "NA"))</f>
        <v/>
      </c>
      <c r="K3562" s="79">
        <f>IF(A3562&lt;&gt;"", IF(ISBLANK(L3562), TODAY(), K3562), "")</f>
        <v/>
      </c>
      <c r="L3562" s="78" t="n"/>
      <c r="M3562" s="78">
        <f>IF(ISBLANK(L3562),"",IF(D3562="Stock",IF(C3562="Buy",L3562*G3562,IF(C3562="Sell",(L3562*G3562)-I3562, X)),IF(C3562="Buy",(L3562*G3562*100)+I3562,IF(C3562="Sell",(L3562*G3562*100)-I3562, X))))</f>
        <v/>
      </c>
      <c r="N3562" s="78">
        <f>IF(ISBLANK(L3562),"",IF(AND(C3562="Sell",D3562="Stock"),M3562,IF(ISBLANK(L3562),"",IF(C3562="Buy",M3562, IF(AND(C3562="Sell",J3562="NA"),(E3562*G3562*100*0.1)+I3562, IF(C3562="Sell",(J3562-L3562)*(100*G3562)+I3562))))))</f>
        <v/>
      </c>
      <c r="O3562" s="75" t="n"/>
      <c r="P3562" s="75" t="n"/>
      <c r="Q3562" s="75">
        <f>IF(ISBLANK(P3562),"",IF(D3562="Stock",P3562*G3562,IF(P3562=0,"0",G3562*P3562*100-(G3562*$AF$14))))</f>
        <v/>
      </c>
      <c r="R3562" s="79">
        <f>IF(P3562&lt;&gt;"", TODAY(), "")</f>
        <v/>
      </c>
      <c r="S3562" s="78">
        <f>IF(AND(K3562&lt;&gt;"", R3562&lt;&gt;""), R3562-K3562, "")</f>
        <v/>
      </c>
      <c r="T3562" s="78" t="n"/>
      <c r="U3562" s="92">
        <f>IF(ISBLANK(P3562),"",IF(C3562="Buy",Q3562-M3562+T3562, IF(C3562="Sell",M3562-Q3562-T3562, X)))</f>
        <v/>
      </c>
      <c r="V3562" s="81">
        <f>IF(ISBLANK(P3562),"",U3562/N3562)</f>
        <v/>
      </c>
      <c r="W3562" s="81">
        <f>IF(ISBLANK(P3562),"",IF(S3562=0,(365/0.5)*V3562,(365/S3562)*V3562))</f>
        <v/>
      </c>
      <c r="X3562" s="75" t="n"/>
      <c r="Y3562" s="77" t="n"/>
      <c r="Z3562" s="77" t="n"/>
      <c r="AA3562" s="75" t="n"/>
      <c r="AB3562" s="75" t="n"/>
      <c r="AC3562" s="6" t="n"/>
      <c r="AD3562" s="75" t="n"/>
      <c r="AE3562" s="75" t="n"/>
      <c r="AF3562" s="75" t="n"/>
    </row>
    <row r="3563" ht="15.75" customHeight="1" s="133">
      <c r="A3563" s="75" t="n"/>
      <c r="B3563" s="75" t="n"/>
      <c r="C3563" s="75" t="n"/>
      <c r="D3563" s="75" t="n"/>
      <c r="E3563" s="76" t="n"/>
      <c r="F3563" s="77" t="n"/>
      <c r="G3563" s="75" t="n"/>
      <c r="H3563" s="75">
        <f>IF(ISBLANK(E3563),"",IF(OR(D3563="Butterfly",D3563="Butterfly ",D3563="Iron Fly", D3563="Iron Fly "),LEN(E3563)-LEN(SUBSTITUTE(E3563,"/",""))+2,LEN(E3563)-LEN(SUBSTITUTE(E3563,"/",""))+1))</f>
        <v/>
      </c>
      <c r="I3563" s="78">
        <f>IF(ISBLANK(G3563),"",IF(D3563="Stock","0",Key!$A$3*H3563*G3563))</f>
        <v/>
      </c>
      <c r="J3563" s="78">
        <f>IF(ISBLANK(E3563),"",IF(ISNUMBER(SEARCH("/",E3563)), IF(LEN(E3563)-LEN(SUBSTITUTE(E3563,"/",""))=1,(RIGHT(E3563,LEN(E3563)-FIND("/",E3563)))-(LEFT(E3563,FIND("/",E3563)-1)),(MID(E3563, SEARCH("/",E3563) + 1, SEARCH("/",E3563, SEARCH("/",E3563)+1) - SEARCH("/",E3563) - 1))-(LEFT(E3563,FIND("/",E3563)-1))), "NA"))</f>
        <v/>
      </c>
      <c r="K3563" s="79">
        <f>IF(A3563&lt;&gt;"", IF(ISBLANK(L3563), TODAY(), K3563), "")</f>
        <v/>
      </c>
      <c r="L3563" s="78" t="n"/>
      <c r="M3563" s="78">
        <f>IF(ISBLANK(L3563),"",IF(D3563="Stock",IF(C3563="Buy",L3563*G3563,IF(C3563="Sell",(L3563*G3563)-I3563, X)),IF(C3563="Buy",(L3563*G3563*100)+I3563,IF(C3563="Sell",(L3563*G3563*100)-I3563, X))))</f>
        <v/>
      </c>
      <c r="N3563" s="78">
        <f>IF(ISBLANK(L3563),"",IF(AND(C3563="Sell",D3563="Stock"),M3563,IF(ISBLANK(L3563),"",IF(C3563="Buy",M3563, IF(AND(C3563="Sell",J3563="NA"),(E3563*G3563*100*0.1)+I3563, IF(C3563="Sell",(J3563-L3563)*(100*G3563)+I3563))))))</f>
        <v/>
      </c>
      <c r="O3563" s="75" t="n"/>
      <c r="P3563" s="75" t="n"/>
      <c r="Q3563" s="75">
        <f>IF(ISBLANK(P3563),"",IF(D3563="Stock",P3563*G3563,IF(P3563=0,"0",G3563*P3563*100-(G3563*$AF$14))))</f>
        <v/>
      </c>
      <c r="R3563" s="79">
        <f>IF(P3563&lt;&gt;"", TODAY(), "")</f>
        <v/>
      </c>
      <c r="S3563" s="78">
        <f>IF(AND(K3563&lt;&gt;"", R3563&lt;&gt;""), R3563-K3563, "")</f>
        <v/>
      </c>
      <c r="T3563" s="78" t="n"/>
      <c r="U3563" s="92">
        <f>IF(ISBLANK(P3563),"",IF(C3563="Buy",Q3563-M3563+T3563, IF(C3563="Sell",M3563-Q3563-T3563, X)))</f>
        <v/>
      </c>
      <c r="V3563" s="81">
        <f>IF(ISBLANK(P3563),"",U3563/N3563)</f>
        <v/>
      </c>
      <c r="W3563" s="81">
        <f>IF(ISBLANK(P3563),"",IF(S3563=0,(365/0.5)*V3563,(365/S3563)*V3563))</f>
        <v/>
      </c>
      <c r="X3563" s="75" t="n"/>
      <c r="Y3563" s="77" t="n"/>
      <c r="Z3563" s="77" t="n"/>
      <c r="AA3563" s="75" t="n"/>
      <c r="AB3563" s="75" t="n"/>
      <c r="AC3563" s="6" t="n"/>
      <c r="AD3563" s="75" t="n"/>
      <c r="AE3563" s="75" t="n"/>
      <c r="AF3563" s="75" t="n"/>
    </row>
    <row r="3564" ht="15.75" customHeight="1" s="133">
      <c r="A3564" s="75" t="n"/>
      <c r="B3564" s="75" t="n"/>
      <c r="C3564" s="75" t="n"/>
      <c r="D3564" s="75" t="n"/>
      <c r="E3564" s="76" t="n"/>
      <c r="F3564" s="77" t="n"/>
      <c r="G3564" s="75" t="n"/>
      <c r="H3564" s="75">
        <f>IF(ISBLANK(E3564),"",IF(OR(D3564="Butterfly",D3564="Butterfly ",D3564="Iron Fly", D3564="Iron Fly "),LEN(E3564)-LEN(SUBSTITUTE(E3564,"/",""))+2,LEN(E3564)-LEN(SUBSTITUTE(E3564,"/",""))+1))</f>
        <v/>
      </c>
      <c r="I3564" s="78">
        <f>IF(ISBLANK(G3564),"",IF(D3564="Stock","0",Key!$A$3*H3564*G3564))</f>
        <v/>
      </c>
      <c r="J3564" s="78">
        <f>IF(ISBLANK(E3564),"",IF(ISNUMBER(SEARCH("/",E3564)), IF(LEN(E3564)-LEN(SUBSTITUTE(E3564,"/",""))=1,(RIGHT(E3564,LEN(E3564)-FIND("/",E3564)))-(LEFT(E3564,FIND("/",E3564)-1)),(MID(E3564, SEARCH("/",E3564) + 1, SEARCH("/",E3564, SEARCH("/",E3564)+1) - SEARCH("/",E3564) - 1))-(LEFT(E3564,FIND("/",E3564)-1))), "NA"))</f>
        <v/>
      </c>
      <c r="K3564" s="79">
        <f>IF(A3564&lt;&gt;"", IF(ISBLANK(L3564), TODAY(), K3564), "")</f>
        <v/>
      </c>
      <c r="L3564" s="78" t="n"/>
      <c r="M3564" s="78">
        <f>IF(ISBLANK(L3564),"",IF(D3564="Stock",IF(C3564="Buy",L3564*G3564,IF(C3564="Sell",(L3564*G3564)-I3564, X)),IF(C3564="Buy",(L3564*G3564*100)+I3564,IF(C3564="Sell",(L3564*G3564*100)-I3564, X))))</f>
        <v/>
      </c>
      <c r="N3564" s="78">
        <f>IF(ISBLANK(L3564),"",IF(AND(C3564="Sell",D3564="Stock"),M3564,IF(ISBLANK(L3564),"",IF(C3564="Buy",M3564, IF(AND(C3564="Sell",J3564="NA"),(E3564*G3564*100*0.1)+I3564, IF(C3564="Sell",(J3564-L3564)*(100*G3564)+I3564))))))</f>
        <v/>
      </c>
      <c r="O3564" s="75" t="n"/>
      <c r="P3564" s="75" t="n"/>
      <c r="Q3564" s="75">
        <f>IF(ISBLANK(P3564),"",IF(D3564="Stock",P3564*G3564,IF(P3564=0,"0",G3564*P3564*100-(G3564*$AF$14))))</f>
        <v/>
      </c>
      <c r="R3564" s="79">
        <f>IF(P3564&lt;&gt;"", TODAY(), "")</f>
        <v/>
      </c>
      <c r="S3564" s="78">
        <f>IF(AND(K3564&lt;&gt;"", R3564&lt;&gt;""), R3564-K3564, "")</f>
        <v/>
      </c>
      <c r="T3564" s="78" t="n"/>
      <c r="U3564" s="92">
        <f>IF(ISBLANK(P3564),"",IF(C3564="Buy",Q3564-M3564+T3564, IF(C3564="Sell",M3564-Q3564-T3564, X)))</f>
        <v/>
      </c>
      <c r="V3564" s="81">
        <f>IF(ISBLANK(P3564),"",U3564/N3564)</f>
        <v/>
      </c>
      <c r="W3564" s="81">
        <f>IF(ISBLANK(P3564),"",IF(S3564=0,(365/0.5)*V3564,(365/S3564)*V3564))</f>
        <v/>
      </c>
      <c r="X3564" s="75" t="n"/>
      <c r="Y3564" s="77" t="n"/>
      <c r="Z3564" s="77" t="n"/>
      <c r="AA3564" s="75" t="n"/>
      <c r="AB3564" s="75" t="n"/>
      <c r="AC3564" s="6" t="n"/>
      <c r="AD3564" s="75" t="n"/>
      <c r="AE3564" s="75" t="n"/>
      <c r="AF3564" s="75" t="n"/>
    </row>
    <row r="3565" ht="15.75" customHeight="1" s="133">
      <c r="A3565" s="75" t="n"/>
      <c r="B3565" s="75" t="n"/>
      <c r="C3565" s="75" t="n"/>
      <c r="D3565" s="75" t="n"/>
      <c r="E3565" s="76" t="n"/>
      <c r="F3565" s="77" t="n"/>
      <c r="G3565" s="75" t="n"/>
      <c r="H3565" s="75">
        <f>IF(ISBLANK(E3565),"",IF(OR(D3565="Butterfly",D3565="Butterfly ",D3565="Iron Fly", D3565="Iron Fly "),LEN(E3565)-LEN(SUBSTITUTE(E3565,"/",""))+2,LEN(E3565)-LEN(SUBSTITUTE(E3565,"/",""))+1))</f>
        <v/>
      </c>
      <c r="I3565" s="78">
        <f>IF(ISBLANK(G3565),"",IF(D3565="Stock","0",Key!$A$3*H3565*G3565))</f>
        <v/>
      </c>
      <c r="J3565" s="78">
        <f>IF(ISBLANK(E3565),"",IF(ISNUMBER(SEARCH("/",E3565)), IF(LEN(E3565)-LEN(SUBSTITUTE(E3565,"/",""))=1,(RIGHT(E3565,LEN(E3565)-FIND("/",E3565)))-(LEFT(E3565,FIND("/",E3565)-1)),(MID(E3565, SEARCH("/",E3565) + 1, SEARCH("/",E3565, SEARCH("/",E3565)+1) - SEARCH("/",E3565) - 1))-(LEFT(E3565,FIND("/",E3565)-1))), "NA"))</f>
        <v/>
      </c>
      <c r="K3565" s="79">
        <f>IF(A3565&lt;&gt;"", IF(ISBLANK(L3565), TODAY(), K3565), "")</f>
        <v/>
      </c>
      <c r="L3565" s="78" t="n"/>
      <c r="M3565" s="78">
        <f>IF(ISBLANK(L3565),"",IF(D3565="Stock",IF(C3565="Buy",L3565*G3565,IF(C3565="Sell",(L3565*G3565)-I3565, X)),IF(C3565="Buy",(L3565*G3565*100)+I3565,IF(C3565="Sell",(L3565*G3565*100)-I3565, X))))</f>
        <v/>
      </c>
      <c r="N3565" s="78">
        <f>IF(ISBLANK(L3565),"",IF(AND(C3565="Sell",D3565="Stock"),M3565,IF(ISBLANK(L3565),"",IF(C3565="Buy",M3565, IF(AND(C3565="Sell",J3565="NA"),(E3565*G3565*100*0.1)+I3565, IF(C3565="Sell",(J3565-L3565)*(100*G3565)+I3565))))))</f>
        <v/>
      </c>
      <c r="O3565" s="75" t="n"/>
      <c r="P3565" s="75" t="n"/>
      <c r="Q3565" s="75">
        <f>IF(ISBLANK(P3565),"",IF(D3565="Stock",P3565*G3565,IF(P3565=0,"0",G3565*P3565*100-(G3565*$AF$14))))</f>
        <v/>
      </c>
      <c r="R3565" s="79">
        <f>IF(P3565&lt;&gt;"", TODAY(), "")</f>
        <v/>
      </c>
      <c r="S3565" s="78">
        <f>IF(AND(K3565&lt;&gt;"", R3565&lt;&gt;""), R3565-K3565, "")</f>
        <v/>
      </c>
      <c r="T3565" s="78" t="n"/>
      <c r="U3565" s="92">
        <f>IF(ISBLANK(P3565),"",IF(C3565="Buy",Q3565-M3565+T3565, IF(C3565="Sell",M3565-Q3565-T3565, X)))</f>
        <v/>
      </c>
      <c r="V3565" s="81">
        <f>IF(ISBLANK(P3565),"",U3565/N3565)</f>
        <v/>
      </c>
      <c r="W3565" s="81">
        <f>IF(ISBLANK(P3565),"",IF(S3565=0,(365/0.5)*V3565,(365/S3565)*V3565))</f>
        <v/>
      </c>
      <c r="X3565" s="75" t="n"/>
      <c r="Y3565" s="77" t="n"/>
      <c r="Z3565" s="77" t="n"/>
      <c r="AA3565" s="75" t="n"/>
      <c r="AB3565" s="75" t="n"/>
      <c r="AC3565" s="6" t="n"/>
      <c r="AD3565" s="75" t="n"/>
      <c r="AE3565" s="75" t="n"/>
      <c r="AF3565" s="75" t="n"/>
    </row>
    <row r="3566" ht="15.75" customHeight="1" s="133">
      <c r="A3566" s="75" t="n"/>
      <c r="B3566" s="75" t="n"/>
      <c r="C3566" s="75" t="n"/>
      <c r="D3566" s="75" t="n"/>
      <c r="E3566" s="76" t="n"/>
      <c r="F3566" s="77" t="n"/>
      <c r="G3566" s="75" t="n"/>
      <c r="H3566" s="75">
        <f>IF(ISBLANK(E3566),"",IF(OR(D3566="Butterfly",D3566="Butterfly ",D3566="Iron Fly", D3566="Iron Fly "),LEN(E3566)-LEN(SUBSTITUTE(E3566,"/",""))+2,LEN(E3566)-LEN(SUBSTITUTE(E3566,"/",""))+1))</f>
        <v/>
      </c>
      <c r="I3566" s="78">
        <f>IF(ISBLANK(G3566),"",IF(D3566="Stock","0",Key!$A$3*H3566*G3566))</f>
        <v/>
      </c>
      <c r="J3566" s="78">
        <f>IF(ISBLANK(E3566),"",IF(ISNUMBER(SEARCH("/",E3566)), IF(LEN(E3566)-LEN(SUBSTITUTE(E3566,"/",""))=1,(RIGHT(E3566,LEN(E3566)-FIND("/",E3566)))-(LEFT(E3566,FIND("/",E3566)-1)),(MID(E3566, SEARCH("/",E3566) + 1, SEARCH("/",E3566, SEARCH("/",E3566)+1) - SEARCH("/",E3566) - 1))-(LEFT(E3566,FIND("/",E3566)-1))), "NA"))</f>
        <v/>
      </c>
      <c r="K3566" s="79">
        <f>IF(A3566&lt;&gt;"", IF(ISBLANK(L3566), TODAY(), K3566), "")</f>
        <v/>
      </c>
      <c r="L3566" s="78" t="n"/>
      <c r="M3566" s="78">
        <f>IF(ISBLANK(L3566),"",IF(D3566="Stock",IF(C3566="Buy",L3566*G3566,IF(C3566="Sell",(L3566*G3566)-I3566, X)),IF(C3566="Buy",(L3566*G3566*100)+I3566,IF(C3566="Sell",(L3566*G3566*100)-I3566, X))))</f>
        <v/>
      </c>
      <c r="N3566" s="78">
        <f>IF(ISBLANK(L3566),"",IF(AND(C3566="Sell",D3566="Stock"),M3566,IF(ISBLANK(L3566),"",IF(C3566="Buy",M3566, IF(AND(C3566="Sell",J3566="NA"),(E3566*G3566*100*0.1)+I3566, IF(C3566="Sell",(J3566-L3566)*(100*G3566)+I3566))))))</f>
        <v/>
      </c>
      <c r="O3566" s="75" t="n"/>
      <c r="P3566" s="75" t="n"/>
      <c r="Q3566" s="75">
        <f>IF(ISBLANK(P3566),"",IF(D3566="Stock",P3566*G3566,IF(P3566=0,"0",G3566*P3566*100-(G3566*$AF$14))))</f>
        <v/>
      </c>
      <c r="R3566" s="79">
        <f>IF(P3566&lt;&gt;"", TODAY(), "")</f>
        <v/>
      </c>
      <c r="S3566" s="78">
        <f>IF(AND(K3566&lt;&gt;"", R3566&lt;&gt;""), R3566-K3566, "")</f>
        <v/>
      </c>
      <c r="T3566" s="78" t="n"/>
      <c r="U3566" s="92">
        <f>IF(ISBLANK(P3566),"",IF(C3566="Buy",Q3566-M3566+T3566, IF(C3566="Sell",M3566-Q3566-T3566, X)))</f>
        <v/>
      </c>
      <c r="V3566" s="81">
        <f>IF(ISBLANK(P3566),"",U3566/N3566)</f>
        <v/>
      </c>
      <c r="W3566" s="81">
        <f>IF(ISBLANK(P3566),"",IF(S3566=0,(365/0.5)*V3566,(365/S3566)*V3566))</f>
        <v/>
      </c>
      <c r="X3566" s="75" t="n"/>
      <c r="Y3566" s="77" t="n"/>
      <c r="Z3566" s="77" t="n"/>
      <c r="AA3566" s="75" t="n"/>
      <c r="AB3566" s="75" t="n"/>
      <c r="AC3566" s="6" t="n"/>
      <c r="AD3566" s="75" t="n"/>
      <c r="AE3566" s="75" t="n"/>
      <c r="AF3566" s="75" t="n"/>
    </row>
    <row r="3567" ht="15.75" customHeight="1" s="133">
      <c r="A3567" s="75" t="n"/>
      <c r="B3567" s="75" t="n"/>
      <c r="C3567" s="75" t="n"/>
      <c r="D3567" s="75" t="n"/>
      <c r="E3567" s="76" t="n"/>
      <c r="F3567" s="77" t="n"/>
      <c r="G3567" s="75" t="n"/>
      <c r="H3567" s="75">
        <f>IF(ISBLANK(E3567),"",IF(OR(D3567="Butterfly",D3567="Butterfly ",D3567="Iron Fly", D3567="Iron Fly "),LEN(E3567)-LEN(SUBSTITUTE(E3567,"/",""))+2,LEN(E3567)-LEN(SUBSTITUTE(E3567,"/",""))+1))</f>
        <v/>
      </c>
      <c r="I3567" s="78">
        <f>IF(ISBLANK(G3567),"",IF(D3567="Stock","0",Key!$A$3*H3567*G3567))</f>
        <v/>
      </c>
      <c r="J3567" s="78">
        <f>IF(ISBLANK(E3567),"",IF(ISNUMBER(SEARCH("/",E3567)), IF(LEN(E3567)-LEN(SUBSTITUTE(E3567,"/",""))=1,(RIGHT(E3567,LEN(E3567)-FIND("/",E3567)))-(LEFT(E3567,FIND("/",E3567)-1)),(MID(E3567, SEARCH("/",E3567) + 1, SEARCH("/",E3567, SEARCH("/",E3567)+1) - SEARCH("/",E3567) - 1))-(LEFT(E3567,FIND("/",E3567)-1))), "NA"))</f>
        <v/>
      </c>
      <c r="K3567" s="79">
        <f>IF(A3567&lt;&gt;"", IF(ISBLANK(L3567), TODAY(), K3567), "")</f>
        <v/>
      </c>
      <c r="L3567" s="78" t="n"/>
      <c r="M3567" s="78">
        <f>IF(ISBLANK(L3567),"",IF(D3567="Stock",IF(C3567="Buy",L3567*G3567,IF(C3567="Sell",(L3567*G3567)-I3567, X)),IF(C3567="Buy",(L3567*G3567*100)+I3567,IF(C3567="Sell",(L3567*G3567*100)-I3567, X))))</f>
        <v/>
      </c>
      <c r="N3567" s="78">
        <f>IF(ISBLANK(L3567),"",IF(AND(C3567="Sell",D3567="Stock"),M3567,IF(ISBLANK(L3567),"",IF(C3567="Buy",M3567, IF(AND(C3567="Sell",J3567="NA"),(E3567*G3567*100*0.1)+I3567, IF(C3567="Sell",(J3567-L3567)*(100*G3567)+I3567))))))</f>
        <v/>
      </c>
      <c r="O3567" s="75" t="n"/>
      <c r="P3567" s="75" t="n"/>
      <c r="Q3567" s="75">
        <f>IF(ISBLANK(P3567),"",IF(D3567="Stock",P3567*G3567,IF(P3567=0,"0",G3567*P3567*100-(G3567*$AF$14))))</f>
        <v/>
      </c>
      <c r="R3567" s="79">
        <f>IF(P3567&lt;&gt;"", TODAY(), "")</f>
        <v/>
      </c>
      <c r="S3567" s="78">
        <f>IF(AND(K3567&lt;&gt;"", R3567&lt;&gt;""), R3567-K3567, "")</f>
        <v/>
      </c>
      <c r="T3567" s="78" t="n"/>
      <c r="U3567" s="92">
        <f>IF(ISBLANK(P3567),"",IF(C3567="Buy",Q3567-M3567+T3567, IF(C3567="Sell",M3567-Q3567-T3567, X)))</f>
        <v/>
      </c>
      <c r="V3567" s="81">
        <f>IF(ISBLANK(P3567),"",U3567/N3567)</f>
        <v/>
      </c>
      <c r="W3567" s="81">
        <f>IF(ISBLANK(P3567),"",IF(S3567=0,(365/0.5)*V3567,(365/S3567)*V3567))</f>
        <v/>
      </c>
      <c r="X3567" s="75" t="n"/>
      <c r="Y3567" s="77" t="n"/>
      <c r="Z3567" s="77" t="n"/>
      <c r="AA3567" s="75" t="n"/>
      <c r="AB3567" s="75" t="n"/>
      <c r="AC3567" s="6" t="n"/>
      <c r="AD3567" s="75" t="n"/>
      <c r="AE3567" s="75" t="n"/>
      <c r="AF3567" s="75" t="n"/>
    </row>
    <row r="3568" ht="15.75" customHeight="1" s="133">
      <c r="A3568" s="75" t="n"/>
      <c r="B3568" s="75" t="n"/>
      <c r="C3568" s="75" t="n"/>
      <c r="D3568" s="75" t="n"/>
      <c r="E3568" s="76" t="n"/>
      <c r="F3568" s="77" t="n"/>
      <c r="G3568" s="75" t="n"/>
      <c r="H3568" s="75">
        <f>IF(ISBLANK(E3568),"",IF(OR(D3568="Butterfly",D3568="Butterfly ",D3568="Iron Fly", D3568="Iron Fly "),LEN(E3568)-LEN(SUBSTITUTE(E3568,"/",""))+2,LEN(E3568)-LEN(SUBSTITUTE(E3568,"/",""))+1))</f>
        <v/>
      </c>
      <c r="I3568" s="78">
        <f>IF(ISBLANK(G3568),"",IF(D3568="Stock","0",Key!$A$3*H3568*G3568))</f>
        <v/>
      </c>
      <c r="J3568" s="78">
        <f>IF(ISBLANK(E3568),"",IF(ISNUMBER(SEARCH("/",E3568)), IF(LEN(E3568)-LEN(SUBSTITUTE(E3568,"/",""))=1,(RIGHT(E3568,LEN(E3568)-FIND("/",E3568)))-(LEFT(E3568,FIND("/",E3568)-1)),(MID(E3568, SEARCH("/",E3568) + 1, SEARCH("/",E3568, SEARCH("/",E3568)+1) - SEARCH("/",E3568) - 1))-(LEFT(E3568,FIND("/",E3568)-1))), "NA"))</f>
        <v/>
      </c>
      <c r="K3568" s="79">
        <f>IF(A3568&lt;&gt;"", IF(ISBLANK(L3568), TODAY(), K3568), "")</f>
        <v/>
      </c>
      <c r="L3568" s="78" t="n"/>
      <c r="M3568" s="78">
        <f>IF(ISBLANK(L3568),"",IF(D3568="Stock",IF(C3568="Buy",L3568*G3568,IF(C3568="Sell",(L3568*G3568)-I3568, X)),IF(C3568="Buy",(L3568*G3568*100)+I3568,IF(C3568="Sell",(L3568*G3568*100)-I3568, X))))</f>
        <v/>
      </c>
      <c r="N3568" s="78">
        <f>IF(ISBLANK(L3568),"",IF(AND(C3568="Sell",D3568="Stock"),M3568,IF(ISBLANK(L3568),"",IF(C3568="Buy",M3568, IF(AND(C3568="Sell",J3568="NA"),(E3568*G3568*100*0.1)+I3568, IF(C3568="Sell",(J3568-L3568)*(100*G3568)+I3568))))))</f>
        <v/>
      </c>
      <c r="O3568" s="75" t="n"/>
      <c r="P3568" s="75" t="n"/>
      <c r="Q3568" s="75">
        <f>IF(ISBLANK(P3568),"",IF(D3568="Stock",P3568*G3568,IF(P3568=0,"0",G3568*P3568*100-(G3568*$AF$14))))</f>
        <v/>
      </c>
      <c r="R3568" s="79">
        <f>IF(P3568&lt;&gt;"", TODAY(), "")</f>
        <v/>
      </c>
      <c r="S3568" s="78">
        <f>IF(AND(K3568&lt;&gt;"", R3568&lt;&gt;""), R3568-K3568, "")</f>
        <v/>
      </c>
      <c r="T3568" s="78" t="n"/>
      <c r="U3568" s="92">
        <f>IF(ISBLANK(P3568),"",IF(C3568="Buy",Q3568-M3568+T3568, IF(C3568="Sell",M3568-Q3568-T3568, X)))</f>
        <v/>
      </c>
      <c r="V3568" s="81">
        <f>IF(ISBLANK(P3568),"",U3568/N3568)</f>
        <v/>
      </c>
      <c r="W3568" s="81">
        <f>IF(ISBLANK(P3568),"",IF(S3568=0,(365/0.5)*V3568,(365/S3568)*V3568))</f>
        <v/>
      </c>
      <c r="X3568" s="75" t="n"/>
      <c r="Y3568" s="77" t="n"/>
      <c r="Z3568" s="77" t="n"/>
      <c r="AA3568" s="75" t="n"/>
      <c r="AB3568" s="75" t="n"/>
      <c r="AC3568" s="6" t="n"/>
      <c r="AD3568" s="75" t="n"/>
      <c r="AE3568" s="75" t="n"/>
      <c r="AF3568" s="75" t="n"/>
    </row>
    <row r="3569" ht="15.75" customHeight="1" s="133">
      <c r="A3569" s="75" t="n"/>
      <c r="B3569" s="75" t="n"/>
      <c r="C3569" s="75" t="n"/>
      <c r="D3569" s="75" t="n"/>
      <c r="E3569" s="76" t="n"/>
      <c r="F3569" s="77" t="n"/>
      <c r="G3569" s="75" t="n"/>
      <c r="H3569" s="75">
        <f>IF(ISBLANK(E3569),"",IF(OR(D3569="Butterfly",D3569="Butterfly ",D3569="Iron Fly", D3569="Iron Fly "),LEN(E3569)-LEN(SUBSTITUTE(E3569,"/",""))+2,LEN(E3569)-LEN(SUBSTITUTE(E3569,"/",""))+1))</f>
        <v/>
      </c>
      <c r="I3569" s="78">
        <f>IF(ISBLANK(G3569),"",IF(D3569="Stock","0",Key!$A$3*H3569*G3569))</f>
        <v/>
      </c>
      <c r="J3569" s="78">
        <f>IF(ISBLANK(E3569),"",IF(ISNUMBER(SEARCH("/",E3569)), IF(LEN(E3569)-LEN(SUBSTITUTE(E3569,"/",""))=1,(RIGHT(E3569,LEN(E3569)-FIND("/",E3569)))-(LEFT(E3569,FIND("/",E3569)-1)),(MID(E3569, SEARCH("/",E3569) + 1, SEARCH("/",E3569, SEARCH("/",E3569)+1) - SEARCH("/",E3569) - 1))-(LEFT(E3569,FIND("/",E3569)-1))), "NA"))</f>
        <v/>
      </c>
      <c r="K3569" s="79">
        <f>IF(A3569&lt;&gt;"", IF(ISBLANK(L3569), TODAY(), K3569), "")</f>
        <v/>
      </c>
      <c r="L3569" s="78" t="n"/>
      <c r="M3569" s="78">
        <f>IF(ISBLANK(L3569),"",IF(D3569="Stock",IF(C3569="Buy",L3569*G3569,IF(C3569="Sell",(L3569*G3569)-I3569, X)),IF(C3569="Buy",(L3569*G3569*100)+I3569,IF(C3569="Sell",(L3569*G3569*100)-I3569, X))))</f>
        <v/>
      </c>
      <c r="N3569" s="78">
        <f>IF(ISBLANK(L3569),"",IF(AND(C3569="Sell",D3569="Stock"),M3569,IF(ISBLANK(L3569),"",IF(C3569="Buy",M3569, IF(AND(C3569="Sell",J3569="NA"),(E3569*G3569*100*0.1)+I3569, IF(C3569="Sell",(J3569-L3569)*(100*G3569)+I3569))))))</f>
        <v/>
      </c>
      <c r="O3569" s="75" t="n"/>
      <c r="P3569" s="75" t="n"/>
      <c r="Q3569" s="75">
        <f>IF(ISBLANK(P3569),"",IF(D3569="Stock",P3569*G3569,IF(P3569=0,"0",G3569*P3569*100-(G3569*$AF$14))))</f>
        <v/>
      </c>
      <c r="R3569" s="79">
        <f>IF(P3569&lt;&gt;"", TODAY(), "")</f>
        <v/>
      </c>
      <c r="S3569" s="78">
        <f>IF(AND(K3569&lt;&gt;"", R3569&lt;&gt;""), R3569-K3569, "")</f>
        <v/>
      </c>
      <c r="T3569" s="78" t="n"/>
      <c r="U3569" s="92">
        <f>IF(ISBLANK(P3569),"",IF(C3569="Buy",Q3569-M3569+T3569, IF(C3569="Sell",M3569-Q3569-T3569, X)))</f>
        <v/>
      </c>
      <c r="V3569" s="81">
        <f>IF(ISBLANK(P3569),"",U3569/N3569)</f>
        <v/>
      </c>
      <c r="W3569" s="81">
        <f>IF(ISBLANK(P3569),"",IF(S3569=0,(365/0.5)*V3569,(365/S3569)*V3569))</f>
        <v/>
      </c>
      <c r="X3569" s="75" t="n"/>
      <c r="Y3569" s="77" t="n"/>
      <c r="Z3569" s="77" t="n"/>
      <c r="AA3569" s="75" t="n"/>
      <c r="AB3569" s="75" t="n"/>
      <c r="AC3569" s="6" t="n"/>
      <c r="AD3569" s="75" t="n"/>
      <c r="AE3569" s="75" t="n"/>
      <c r="AF3569" s="75" t="n"/>
    </row>
    <row r="3570" ht="15.75" customHeight="1" s="133">
      <c r="A3570" s="75" t="n"/>
      <c r="B3570" s="75" t="n"/>
      <c r="C3570" s="75" t="n"/>
      <c r="D3570" s="75" t="n"/>
      <c r="E3570" s="76" t="n"/>
      <c r="F3570" s="77" t="n"/>
      <c r="G3570" s="75" t="n"/>
      <c r="H3570" s="75">
        <f>IF(ISBLANK(E3570),"",IF(OR(D3570="Butterfly",D3570="Butterfly ",D3570="Iron Fly", D3570="Iron Fly "),LEN(E3570)-LEN(SUBSTITUTE(E3570,"/",""))+2,LEN(E3570)-LEN(SUBSTITUTE(E3570,"/",""))+1))</f>
        <v/>
      </c>
      <c r="I3570" s="78">
        <f>IF(ISBLANK(G3570),"",IF(D3570="Stock","0",Key!$A$3*H3570*G3570))</f>
        <v/>
      </c>
      <c r="J3570" s="78">
        <f>IF(ISBLANK(E3570),"",IF(ISNUMBER(SEARCH("/",E3570)), IF(LEN(E3570)-LEN(SUBSTITUTE(E3570,"/",""))=1,(RIGHT(E3570,LEN(E3570)-FIND("/",E3570)))-(LEFT(E3570,FIND("/",E3570)-1)),(MID(E3570, SEARCH("/",E3570) + 1, SEARCH("/",E3570, SEARCH("/",E3570)+1) - SEARCH("/",E3570) - 1))-(LEFT(E3570,FIND("/",E3570)-1))), "NA"))</f>
        <v/>
      </c>
      <c r="K3570" s="79">
        <f>IF(A3570&lt;&gt;"", IF(ISBLANK(L3570), TODAY(), K3570), "")</f>
        <v/>
      </c>
      <c r="L3570" s="78" t="n"/>
      <c r="M3570" s="78">
        <f>IF(ISBLANK(L3570),"",IF(D3570="Stock",IF(C3570="Buy",L3570*G3570,IF(C3570="Sell",(L3570*G3570)-I3570, X)),IF(C3570="Buy",(L3570*G3570*100)+I3570,IF(C3570="Sell",(L3570*G3570*100)-I3570, X))))</f>
        <v/>
      </c>
      <c r="N3570" s="78">
        <f>IF(ISBLANK(L3570),"",IF(AND(C3570="Sell",D3570="Stock"),M3570,IF(ISBLANK(L3570),"",IF(C3570="Buy",M3570, IF(AND(C3570="Sell",J3570="NA"),(E3570*G3570*100*0.1)+I3570, IF(C3570="Sell",(J3570-L3570)*(100*G3570)+I3570))))))</f>
        <v/>
      </c>
      <c r="O3570" s="75" t="n"/>
      <c r="P3570" s="75" t="n"/>
      <c r="Q3570" s="75">
        <f>IF(ISBLANK(P3570),"",IF(D3570="Stock",P3570*G3570,IF(P3570=0,"0",G3570*P3570*100-(G3570*$AF$14))))</f>
        <v/>
      </c>
      <c r="R3570" s="79">
        <f>IF(P3570&lt;&gt;"", TODAY(), "")</f>
        <v/>
      </c>
      <c r="S3570" s="78">
        <f>IF(AND(K3570&lt;&gt;"", R3570&lt;&gt;""), R3570-K3570, "")</f>
        <v/>
      </c>
      <c r="T3570" s="78" t="n"/>
      <c r="U3570" s="92">
        <f>IF(ISBLANK(P3570),"",IF(C3570="Buy",Q3570-M3570+T3570, IF(C3570="Sell",M3570-Q3570-T3570, X)))</f>
        <v/>
      </c>
      <c r="V3570" s="81">
        <f>IF(ISBLANK(P3570),"",U3570/N3570)</f>
        <v/>
      </c>
      <c r="W3570" s="81">
        <f>IF(ISBLANK(P3570),"",IF(S3570=0,(365/0.5)*V3570,(365/S3570)*V3570))</f>
        <v/>
      </c>
      <c r="X3570" s="75" t="n"/>
      <c r="Y3570" s="77" t="n"/>
      <c r="Z3570" s="77" t="n"/>
      <c r="AA3570" s="75" t="n"/>
      <c r="AB3570" s="75" t="n"/>
      <c r="AC3570" s="6" t="n"/>
      <c r="AD3570" s="75" t="n"/>
      <c r="AE3570" s="75" t="n"/>
      <c r="AF3570" s="75" t="n"/>
    </row>
    <row r="3571" ht="15.75" customHeight="1" s="133">
      <c r="A3571" s="75" t="n"/>
      <c r="B3571" s="75" t="n"/>
      <c r="C3571" s="75" t="n"/>
      <c r="D3571" s="75" t="n"/>
      <c r="E3571" s="76" t="n"/>
      <c r="F3571" s="77" t="n"/>
      <c r="G3571" s="75" t="n"/>
      <c r="H3571" s="75">
        <f>IF(ISBLANK(E3571),"",IF(OR(D3571="Butterfly",D3571="Butterfly ",D3571="Iron Fly", D3571="Iron Fly "),LEN(E3571)-LEN(SUBSTITUTE(E3571,"/",""))+2,LEN(E3571)-LEN(SUBSTITUTE(E3571,"/",""))+1))</f>
        <v/>
      </c>
      <c r="I3571" s="78">
        <f>IF(ISBLANK(G3571),"",IF(D3571="Stock","0",Key!$A$3*H3571*G3571))</f>
        <v/>
      </c>
      <c r="J3571" s="78">
        <f>IF(ISBLANK(E3571),"",IF(ISNUMBER(SEARCH("/",E3571)), IF(LEN(E3571)-LEN(SUBSTITUTE(E3571,"/",""))=1,(RIGHT(E3571,LEN(E3571)-FIND("/",E3571)))-(LEFT(E3571,FIND("/",E3571)-1)),(MID(E3571, SEARCH("/",E3571) + 1, SEARCH("/",E3571, SEARCH("/",E3571)+1) - SEARCH("/",E3571) - 1))-(LEFT(E3571,FIND("/",E3571)-1))), "NA"))</f>
        <v/>
      </c>
      <c r="K3571" s="79">
        <f>IF(A3571&lt;&gt;"", IF(ISBLANK(L3571), TODAY(), K3571), "")</f>
        <v/>
      </c>
      <c r="L3571" s="78" t="n"/>
      <c r="M3571" s="78">
        <f>IF(ISBLANK(L3571),"",IF(D3571="Stock",IF(C3571="Buy",L3571*G3571,IF(C3571="Sell",(L3571*G3571)-I3571, X)),IF(C3571="Buy",(L3571*G3571*100)+I3571,IF(C3571="Sell",(L3571*G3571*100)-I3571, X))))</f>
        <v/>
      </c>
      <c r="N3571" s="78">
        <f>IF(ISBLANK(L3571),"",IF(AND(C3571="Sell",D3571="Stock"),M3571,IF(ISBLANK(L3571),"",IF(C3571="Buy",M3571, IF(AND(C3571="Sell",J3571="NA"),(E3571*G3571*100*0.1)+I3571, IF(C3571="Sell",(J3571-L3571)*(100*G3571)+I3571))))))</f>
        <v/>
      </c>
      <c r="O3571" s="75" t="n"/>
      <c r="P3571" s="75" t="n"/>
      <c r="Q3571" s="75">
        <f>IF(ISBLANK(P3571),"",IF(D3571="Stock",P3571*G3571,IF(P3571=0,"0",G3571*P3571*100-(G3571*$AF$14))))</f>
        <v/>
      </c>
      <c r="R3571" s="79">
        <f>IF(P3571&lt;&gt;"", TODAY(), "")</f>
        <v/>
      </c>
      <c r="S3571" s="78">
        <f>IF(AND(K3571&lt;&gt;"", R3571&lt;&gt;""), R3571-K3571, "")</f>
        <v/>
      </c>
      <c r="T3571" s="78" t="n"/>
      <c r="U3571" s="92">
        <f>IF(ISBLANK(P3571),"",IF(C3571="Buy",Q3571-M3571+T3571, IF(C3571="Sell",M3571-Q3571-T3571, X)))</f>
        <v/>
      </c>
      <c r="V3571" s="81">
        <f>IF(ISBLANK(P3571),"",U3571/N3571)</f>
        <v/>
      </c>
      <c r="W3571" s="81">
        <f>IF(ISBLANK(P3571),"",IF(S3571=0,(365/0.5)*V3571,(365/S3571)*V3571))</f>
        <v/>
      </c>
      <c r="X3571" s="75" t="n"/>
      <c r="Y3571" s="77" t="n"/>
      <c r="Z3571" s="77" t="n"/>
      <c r="AA3571" s="75" t="n"/>
      <c r="AB3571" s="75" t="n"/>
      <c r="AC3571" s="6" t="n"/>
      <c r="AD3571" s="75" t="n"/>
      <c r="AE3571" s="75" t="n"/>
      <c r="AF3571" s="75" t="n"/>
    </row>
    <row r="3572" ht="15.75" customHeight="1" s="133">
      <c r="A3572" s="75" t="n"/>
      <c r="B3572" s="75" t="n"/>
      <c r="C3572" s="75" t="n"/>
      <c r="D3572" s="75" t="n"/>
      <c r="E3572" s="76" t="n"/>
      <c r="F3572" s="77" t="n"/>
      <c r="G3572" s="75" t="n"/>
      <c r="H3572" s="75">
        <f>IF(ISBLANK(E3572),"",IF(OR(D3572="Butterfly",D3572="Butterfly ",D3572="Iron Fly", D3572="Iron Fly "),LEN(E3572)-LEN(SUBSTITUTE(E3572,"/",""))+2,LEN(E3572)-LEN(SUBSTITUTE(E3572,"/",""))+1))</f>
        <v/>
      </c>
      <c r="I3572" s="78">
        <f>IF(ISBLANK(G3572),"",IF(D3572="Stock","0",Key!$A$3*H3572*G3572))</f>
        <v/>
      </c>
      <c r="J3572" s="78">
        <f>IF(ISBLANK(E3572),"",IF(ISNUMBER(SEARCH("/",E3572)), IF(LEN(E3572)-LEN(SUBSTITUTE(E3572,"/",""))=1,(RIGHT(E3572,LEN(E3572)-FIND("/",E3572)))-(LEFT(E3572,FIND("/",E3572)-1)),(MID(E3572, SEARCH("/",E3572) + 1, SEARCH("/",E3572, SEARCH("/",E3572)+1) - SEARCH("/",E3572) - 1))-(LEFT(E3572,FIND("/",E3572)-1))), "NA"))</f>
        <v/>
      </c>
      <c r="K3572" s="79">
        <f>IF(A3572&lt;&gt;"", IF(ISBLANK(L3572), TODAY(), K3572), "")</f>
        <v/>
      </c>
      <c r="L3572" s="78" t="n"/>
      <c r="M3572" s="78">
        <f>IF(ISBLANK(L3572),"",IF(D3572="Stock",IF(C3572="Buy",L3572*G3572,IF(C3572="Sell",(L3572*G3572)-I3572, X)),IF(C3572="Buy",(L3572*G3572*100)+I3572,IF(C3572="Sell",(L3572*G3572*100)-I3572, X))))</f>
        <v/>
      </c>
      <c r="N3572" s="78">
        <f>IF(ISBLANK(L3572),"",IF(AND(C3572="Sell",D3572="Stock"),M3572,IF(ISBLANK(L3572),"",IF(C3572="Buy",M3572, IF(AND(C3572="Sell",J3572="NA"),(E3572*G3572*100*0.1)+I3572, IF(C3572="Sell",(J3572-L3572)*(100*G3572)+I3572))))))</f>
        <v/>
      </c>
      <c r="O3572" s="75" t="n"/>
      <c r="P3572" s="75" t="n"/>
      <c r="Q3572" s="75">
        <f>IF(ISBLANK(P3572),"",IF(D3572="Stock",P3572*G3572,IF(P3572=0,"0",G3572*P3572*100-(G3572*$AF$14))))</f>
        <v/>
      </c>
      <c r="R3572" s="79">
        <f>IF(P3572&lt;&gt;"", TODAY(), "")</f>
        <v/>
      </c>
      <c r="S3572" s="78">
        <f>IF(AND(K3572&lt;&gt;"", R3572&lt;&gt;""), R3572-K3572, "")</f>
        <v/>
      </c>
      <c r="T3572" s="78" t="n"/>
      <c r="U3572" s="92">
        <f>IF(ISBLANK(P3572),"",IF(C3572="Buy",Q3572-M3572+T3572, IF(C3572="Sell",M3572-Q3572-T3572, X)))</f>
        <v/>
      </c>
      <c r="V3572" s="81">
        <f>IF(ISBLANK(P3572),"",U3572/N3572)</f>
        <v/>
      </c>
      <c r="W3572" s="81">
        <f>IF(ISBLANK(P3572),"",IF(S3572=0,(365/0.5)*V3572,(365/S3572)*V3572))</f>
        <v/>
      </c>
      <c r="X3572" s="75" t="n"/>
      <c r="Y3572" s="77" t="n"/>
      <c r="Z3572" s="77" t="n"/>
      <c r="AA3572" s="75" t="n"/>
      <c r="AB3572" s="75" t="n"/>
      <c r="AC3572" s="6" t="n"/>
      <c r="AD3572" s="75" t="n"/>
      <c r="AE3572" s="75" t="n"/>
      <c r="AF3572" s="75" t="n"/>
    </row>
    <row r="3573" ht="15.75" customHeight="1" s="133">
      <c r="A3573" s="75" t="n"/>
      <c r="B3573" s="75" t="n"/>
      <c r="C3573" s="75" t="n"/>
      <c r="D3573" s="75" t="n"/>
      <c r="E3573" s="76" t="n"/>
      <c r="F3573" s="77" t="n"/>
      <c r="G3573" s="75" t="n"/>
      <c r="H3573" s="75">
        <f>IF(ISBLANK(E3573),"",IF(OR(D3573="Butterfly",D3573="Butterfly ",D3573="Iron Fly", D3573="Iron Fly "),LEN(E3573)-LEN(SUBSTITUTE(E3573,"/",""))+2,LEN(E3573)-LEN(SUBSTITUTE(E3573,"/",""))+1))</f>
        <v/>
      </c>
      <c r="I3573" s="78">
        <f>IF(ISBLANK(G3573),"",IF(D3573="Stock","0",Key!$A$3*H3573*G3573))</f>
        <v/>
      </c>
      <c r="J3573" s="78">
        <f>IF(ISBLANK(E3573),"",IF(ISNUMBER(SEARCH("/",E3573)), IF(LEN(E3573)-LEN(SUBSTITUTE(E3573,"/",""))=1,(RIGHT(E3573,LEN(E3573)-FIND("/",E3573)))-(LEFT(E3573,FIND("/",E3573)-1)),(MID(E3573, SEARCH("/",E3573) + 1, SEARCH("/",E3573, SEARCH("/",E3573)+1) - SEARCH("/",E3573) - 1))-(LEFT(E3573,FIND("/",E3573)-1))), "NA"))</f>
        <v/>
      </c>
      <c r="K3573" s="79">
        <f>IF(A3573&lt;&gt;"", IF(ISBLANK(L3573), TODAY(), K3573), "")</f>
        <v/>
      </c>
      <c r="L3573" s="78" t="n"/>
      <c r="M3573" s="78">
        <f>IF(ISBLANK(L3573),"",IF(D3573="Stock",IF(C3573="Buy",L3573*G3573,IF(C3573="Sell",(L3573*G3573)-I3573, X)),IF(C3573="Buy",(L3573*G3573*100)+I3573,IF(C3573="Sell",(L3573*G3573*100)-I3573, X))))</f>
        <v/>
      </c>
      <c r="N3573" s="78">
        <f>IF(ISBLANK(L3573),"",IF(AND(C3573="Sell",D3573="Stock"),M3573,IF(ISBLANK(L3573),"",IF(C3573="Buy",M3573, IF(AND(C3573="Sell",J3573="NA"),(E3573*G3573*100*0.1)+I3573, IF(C3573="Sell",(J3573-L3573)*(100*G3573)+I3573))))))</f>
        <v/>
      </c>
      <c r="O3573" s="75" t="n"/>
      <c r="P3573" s="75" t="n"/>
      <c r="Q3573" s="75">
        <f>IF(ISBLANK(P3573),"",IF(D3573="Stock",P3573*G3573,IF(P3573=0,"0",G3573*P3573*100-(G3573*$AF$14))))</f>
        <v/>
      </c>
      <c r="R3573" s="79">
        <f>IF(P3573&lt;&gt;"", TODAY(), "")</f>
        <v/>
      </c>
      <c r="S3573" s="78">
        <f>IF(AND(K3573&lt;&gt;"", R3573&lt;&gt;""), R3573-K3573, "")</f>
        <v/>
      </c>
      <c r="T3573" s="78" t="n"/>
      <c r="U3573" s="92">
        <f>IF(ISBLANK(P3573),"",IF(C3573="Buy",Q3573-M3573+T3573, IF(C3573="Sell",M3573-Q3573-T3573, X)))</f>
        <v/>
      </c>
      <c r="V3573" s="81">
        <f>IF(ISBLANK(P3573),"",U3573/N3573)</f>
        <v/>
      </c>
      <c r="W3573" s="81">
        <f>IF(ISBLANK(P3573),"",IF(S3573=0,(365/0.5)*V3573,(365/S3573)*V3573))</f>
        <v/>
      </c>
      <c r="X3573" s="75" t="n"/>
      <c r="Y3573" s="77" t="n"/>
      <c r="Z3573" s="77" t="n"/>
      <c r="AA3573" s="75" t="n"/>
      <c r="AB3573" s="75" t="n"/>
      <c r="AC3573" s="6" t="n"/>
      <c r="AD3573" s="75" t="n"/>
      <c r="AE3573" s="75" t="n"/>
      <c r="AF3573" s="75" t="n"/>
    </row>
    <row r="3574" ht="15.75" customHeight="1" s="133">
      <c r="A3574" s="75" t="n"/>
      <c r="B3574" s="75" t="n"/>
      <c r="C3574" s="75" t="n"/>
      <c r="D3574" s="75" t="n"/>
      <c r="E3574" s="76" t="n"/>
      <c r="F3574" s="77" t="n"/>
      <c r="G3574" s="75" t="n"/>
      <c r="H3574" s="75">
        <f>IF(ISBLANK(E3574),"",IF(OR(D3574="Butterfly",D3574="Butterfly ",D3574="Iron Fly", D3574="Iron Fly "),LEN(E3574)-LEN(SUBSTITUTE(E3574,"/",""))+2,LEN(E3574)-LEN(SUBSTITUTE(E3574,"/",""))+1))</f>
        <v/>
      </c>
      <c r="I3574" s="78">
        <f>IF(ISBLANK(G3574),"",IF(D3574="Stock","0",Key!$A$3*H3574*G3574))</f>
        <v/>
      </c>
      <c r="J3574" s="78">
        <f>IF(ISBLANK(E3574),"",IF(ISNUMBER(SEARCH("/",E3574)), IF(LEN(E3574)-LEN(SUBSTITUTE(E3574,"/",""))=1,(RIGHT(E3574,LEN(E3574)-FIND("/",E3574)))-(LEFT(E3574,FIND("/",E3574)-1)),(MID(E3574, SEARCH("/",E3574) + 1, SEARCH("/",E3574, SEARCH("/",E3574)+1) - SEARCH("/",E3574) - 1))-(LEFT(E3574,FIND("/",E3574)-1))), "NA"))</f>
        <v/>
      </c>
      <c r="K3574" s="79">
        <f>IF(A3574&lt;&gt;"", IF(ISBLANK(L3574), TODAY(), K3574), "")</f>
        <v/>
      </c>
      <c r="L3574" s="78" t="n"/>
      <c r="M3574" s="78">
        <f>IF(ISBLANK(L3574),"",IF(D3574="Stock",IF(C3574="Buy",L3574*G3574,IF(C3574="Sell",(L3574*G3574)-I3574, X)),IF(C3574="Buy",(L3574*G3574*100)+I3574,IF(C3574="Sell",(L3574*G3574*100)-I3574, X))))</f>
        <v/>
      </c>
      <c r="N3574" s="78">
        <f>IF(ISBLANK(L3574),"",IF(AND(C3574="Sell",D3574="Stock"),M3574,IF(ISBLANK(L3574),"",IF(C3574="Buy",M3574, IF(AND(C3574="Sell",J3574="NA"),(E3574*G3574*100*0.1)+I3574, IF(C3574="Sell",(J3574-L3574)*(100*G3574)+I3574))))))</f>
        <v/>
      </c>
      <c r="O3574" s="75" t="n"/>
      <c r="P3574" s="75" t="n"/>
      <c r="Q3574" s="75">
        <f>IF(ISBLANK(P3574),"",IF(D3574="Stock",P3574*G3574,IF(P3574=0,"0",G3574*P3574*100-(G3574*$AF$14))))</f>
        <v/>
      </c>
      <c r="R3574" s="79">
        <f>IF(P3574&lt;&gt;"", TODAY(), "")</f>
        <v/>
      </c>
      <c r="S3574" s="78">
        <f>IF(AND(K3574&lt;&gt;"", R3574&lt;&gt;""), R3574-K3574, "")</f>
        <v/>
      </c>
      <c r="T3574" s="78" t="n"/>
      <c r="U3574" s="92">
        <f>IF(ISBLANK(P3574),"",IF(C3574="Buy",Q3574-M3574+T3574, IF(C3574="Sell",M3574-Q3574-T3574, X)))</f>
        <v/>
      </c>
      <c r="V3574" s="81">
        <f>IF(ISBLANK(P3574),"",U3574/N3574)</f>
        <v/>
      </c>
      <c r="W3574" s="81">
        <f>IF(ISBLANK(P3574),"",IF(S3574=0,(365/0.5)*V3574,(365/S3574)*V3574))</f>
        <v/>
      </c>
      <c r="X3574" s="75" t="n"/>
      <c r="Y3574" s="77" t="n"/>
      <c r="Z3574" s="77" t="n"/>
      <c r="AA3574" s="75" t="n"/>
      <c r="AB3574" s="75" t="n"/>
      <c r="AC3574" s="6" t="n"/>
      <c r="AD3574" s="75" t="n"/>
      <c r="AE3574" s="75" t="n"/>
      <c r="AF3574" s="75" t="n"/>
    </row>
    <row r="3575" ht="15.75" customHeight="1" s="133">
      <c r="A3575" s="75" t="n"/>
      <c r="B3575" s="75" t="n"/>
      <c r="C3575" s="75" t="n"/>
      <c r="D3575" s="75" t="n"/>
      <c r="E3575" s="76" t="n"/>
      <c r="F3575" s="77" t="n"/>
      <c r="G3575" s="75" t="n"/>
      <c r="H3575" s="75">
        <f>IF(ISBLANK(E3575),"",IF(OR(D3575="Butterfly",D3575="Butterfly ",D3575="Iron Fly", D3575="Iron Fly "),LEN(E3575)-LEN(SUBSTITUTE(E3575,"/",""))+2,LEN(E3575)-LEN(SUBSTITUTE(E3575,"/",""))+1))</f>
        <v/>
      </c>
      <c r="I3575" s="78">
        <f>IF(ISBLANK(G3575),"",IF(D3575="Stock","0",Key!$A$3*H3575*G3575))</f>
        <v/>
      </c>
      <c r="J3575" s="78">
        <f>IF(ISBLANK(E3575),"",IF(ISNUMBER(SEARCH("/",E3575)), IF(LEN(E3575)-LEN(SUBSTITUTE(E3575,"/",""))=1,(RIGHT(E3575,LEN(E3575)-FIND("/",E3575)))-(LEFT(E3575,FIND("/",E3575)-1)),(MID(E3575, SEARCH("/",E3575) + 1, SEARCH("/",E3575, SEARCH("/",E3575)+1) - SEARCH("/",E3575) - 1))-(LEFT(E3575,FIND("/",E3575)-1))), "NA"))</f>
        <v/>
      </c>
      <c r="K3575" s="79">
        <f>IF(A3575&lt;&gt;"", IF(ISBLANK(L3575), TODAY(), K3575), "")</f>
        <v/>
      </c>
      <c r="L3575" s="78" t="n"/>
      <c r="M3575" s="78">
        <f>IF(ISBLANK(L3575),"",IF(D3575="Stock",IF(C3575="Buy",L3575*G3575,IF(C3575="Sell",(L3575*G3575)-I3575, X)),IF(C3575="Buy",(L3575*G3575*100)+I3575,IF(C3575="Sell",(L3575*G3575*100)-I3575, X))))</f>
        <v/>
      </c>
      <c r="N3575" s="78">
        <f>IF(ISBLANK(L3575),"",IF(AND(C3575="Sell",D3575="Stock"),M3575,IF(ISBLANK(L3575),"",IF(C3575="Buy",M3575, IF(AND(C3575="Sell",J3575="NA"),(E3575*G3575*100*0.1)+I3575, IF(C3575="Sell",(J3575-L3575)*(100*G3575)+I3575))))))</f>
        <v/>
      </c>
      <c r="O3575" s="75" t="n"/>
      <c r="P3575" s="75" t="n"/>
      <c r="Q3575" s="75">
        <f>IF(ISBLANK(P3575),"",IF(D3575="Stock",P3575*G3575,IF(P3575=0,"0",G3575*P3575*100-(G3575*$AF$14))))</f>
        <v/>
      </c>
      <c r="R3575" s="79">
        <f>IF(P3575&lt;&gt;"", TODAY(), "")</f>
        <v/>
      </c>
      <c r="S3575" s="78">
        <f>IF(AND(K3575&lt;&gt;"", R3575&lt;&gt;""), R3575-K3575, "")</f>
        <v/>
      </c>
      <c r="T3575" s="78" t="n"/>
      <c r="U3575" s="92">
        <f>IF(ISBLANK(P3575),"",IF(C3575="Buy",Q3575-M3575+T3575, IF(C3575="Sell",M3575-Q3575-T3575, X)))</f>
        <v/>
      </c>
      <c r="V3575" s="81">
        <f>IF(ISBLANK(P3575),"",U3575/N3575)</f>
        <v/>
      </c>
      <c r="W3575" s="81">
        <f>IF(ISBLANK(P3575),"",IF(S3575=0,(365/0.5)*V3575,(365/S3575)*V3575))</f>
        <v/>
      </c>
      <c r="X3575" s="75" t="n"/>
      <c r="Y3575" s="77" t="n"/>
      <c r="Z3575" s="77" t="n"/>
      <c r="AA3575" s="75" t="n"/>
      <c r="AB3575" s="75" t="n"/>
      <c r="AC3575" s="6" t="n"/>
      <c r="AD3575" s="75" t="n"/>
      <c r="AE3575" s="75" t="n"/>
      <c r="AF3575" s="75" t="n"/>
    </row>
    <row r="3576" ht="15.75" customHeight="1" s="133">
      <c r="A3576" s="75" t="n"/>
      <c r="B3576" s="75" t="n"/>
      <c r="C3576" s="75" t="n"/>
      <c r="D3576" s="75" t="n"/>
      <c r="E3576" s="76" t="n"/>
      <c r="F3576" s="77" t="n"/>
      <c r="G3576" s="75" t="n"/>
      <c r="H3576" s="75">
        <f>IF(ISBLANK(E3576),"",IF(OR(D3576="Butterfly",D3576="Butterfly ",D3576="Iron Fly", D3576="Iron Fly "),LEN(E3576)-LEN(SUBSTITUTE(E3576,"/",""))+2,LEN(E3576)-LEN(SUBSTITUTE(E3576,"/",""))+1))</f>
        <v/>
      </c>
      <c r="I3576" s="78">
        <f>IF(ISBLANK(G3576),"",IF(D3576="Stock","0",Key!$A$3*H3576*G3576))</f>
        <v/>
      </c>
      <c r="J3576" s="78">
        <f>IF(ISBLANK(E3576),"",IF(ISNUMBER(SEARCH("/",E3576)), IF(LEN(E3576)-LEN(SUBSTITUTE(E3576,"/",""))=1,(RIGHT(E3576,LEN(E3576)-FIND("/",E3576)))-(LEFT(E3576,FIND("/",E3576)-1)),(MID(E3576, SEARCH("/",E3576) + 1, SEARCH("/",E3576, SEARCH("/",E3576)+1) - SEARCH("/",E3576) - 1))-(LEFT(E3576,FIND("/",E3576)-1))), "NA"))</f>
        <v/>
      </c>
      <c r="K3576" s="79">
        <f>IF(A3576&lt;&gt;"", IF(ISBLANK(L3576), TODAY(), K3576), "")</f>
        <v/>
      </c>
      <c r="L3576" s="78" t="n"/>
      <c r="M3576" s="78">
        <f>IF(ISBLANK(L3576),"",IF(D3576="Stock",IF(C3576="Buy",L3576*G3576,IF(C3576="Sell",(L3576*G3576)-I3576, X)),IF(C3576="Buy",(L3576*G3576*100)+I3576,IF(C3576="Sell",(L3576*G3576*100)-I3576, X))))</f>
        <v/>
      </c>
      <c r="N3576" s="78">
        <f>IF(ISBLANK(L3576),"",IF(AND(C3576="Sell",D3576="Stock"),M3576,IF(ISBLANK(L3576),"",IF(C3576="Buy",M3576, IF(AND(C3576="Sell",J3576="NA"),(E3576*G3576*100*0.1)+I3576, IF(C3576="Sell",(J3576-L3576)*(100*G3576)+I3576))))))</f>
        <v/>
      </c>
      <c r="O3576" s="75" t="n"/>
      <c r="P3576" s="75" t="n"/>
      <c r="Q3576" s="75">
        <f>IF(ISBLANK(P3576),"",IF(D3576="Stock",P3576*G3576,IF(P3576=0,"0",G3576*P3576*100-(G3576*$AF$14))))</f>
        <v/>
      </c>
      <c r="R3576" s="79">
        <f>IF(P3576&lt;&gt;"", TODAY(), "")</f>
        <v/>
      </c>
      <c r="S3576" s="78">
        <f>IF(AND(K3576&lt;&gt;"", R3576&lt;&gt;""), R3576-K3576, "")</f>
        <v/>
      </c>
      <c r="T3576" s="78" t="n"/>
      <c r="U3576" s="92">
        <f>IF(ISBLANK(P3576),"",IF(C3576="Buy",Q3576-M3576+T3576, IF(C3576="Sell",M3576-Q3576-T3576, X)))</f>
        <v/>
      </c>
      <c r="V3576" s="81">
        <f>IF(ISBLANK(P3576),"",U3576/N3576)</f>
        <v/>
      </c>
      <c r="W3576" s="81">
        <f>IF(ISBLANK(P3576),"",IF(S3576=0,(365/0.5)*V3576,(365/S3576)*V3576))</f>
        <v/>
      </c>
      <c r="X3576" s="75" t="n"/>
      <c r="Y3576" s="77" t="n"/>
      <c r="Z3576" s="77" t="n"/>
      <c r="AA3576" s="75" t="n"/>
      <c r="AB3576" s="75" t="n"/>
      <c r="AC3576" s="6" t="n"/>
      <c r="AD3576" s="75" t="n"/>
      <c r="AE3576" s="75" t="n"/>
      <c r="AF3576" s="75" t="n"/>
    </row>
    <row r="3577" ht="15.75" customHeight="1" s="133">
      <c r="A3577" s="75" t="n"/>
      <c r="B3577" s="75" t="n"/>
      <c r="C3577" s="75" t="n"/>
      <c r="D3577" s="75" t="n"/>
      <c r="E3577" s="76" t="n"/>
      <c r="F3577" s="77" t="n"/>
      <c r="G3577" s="75" t="n"/>
      <c r="H3577" s="75">
        <f>IF(ISBLANK(E3577),"",IF(OR(D3577="Butterfly",D3577="Butterfly ",D3577="Iron Fly", D3577="Iron Fly "),LEN(E3577)-LEN(SUBSTITUTE(E3577,"/",""))+2,LEN(E3577)-LEN(SUBSTITUTE(E3577,"/",""))+1))</f>
        <v/>
      </c>
      <c r="I3577" s="78">
        <f>IF(ISBLANK(G3577),"",IF(D3577="Stock","0",Key!$A$3*H3577*G3577))</f>
        <v/>
      </c>
      <c r="J3577" s="78">
        <f>IF(ISBLANK(E3577),"",IF(ISNUMBER(SEARCH("/",E3577)), IF(LEN(E3577)-LEN(SUBSTITUTE(E3577,"/",""))=1,(RIGHT(E3577,LEN(E3577)-FIND("/",E3577)))-(LEFT(E3577,FIND("/",E3577)-1)),(MID(E3577, SEARCH("/",E3577) + 1, SEARCH("/",E3577, SEARCH("/",E3577)+1) - SEARCH("/",E3577) - 1))-(LEFT(E3577,FIND("/",E3577)-1))), "NA"))</f>
        <v/>
      </c>
      <c r="K3577" s="79">
        <f>IF(A3577&lt;&gt;"", IF(ISBLANK(L3577), TODAY(), K3577), "")</f>
        <v/>
      </c>
      <c r="L3577" s="78" t="n"/>
      <c r="M3577" s="78">
        <f>IF(ISBLANK(L3577),"",IF(D3577="Stock",IF(C3577="Buy",L3577*G3577,IF(C3577="Sell",(L3577*G3577)-I3577, X)),IF(C3577="Buy",(L3577*G3577*100)+I3577,IF(C3577="Sell",(L3577*G3577*100)-I3577, X))))</f>
        <v/>
      </c>
      <c r="N3577" s="78">
        <f>IF(ISBLANK(L3577),"",IF(AND(C3577="Sell",D3577="Stock"),M3577,IF(ISBLANK(L3577),"",IF(C3577="Buy",M3577, IF(AND(C3577="Sell",J3577="NA"),(E3577*G3577*100*0.1)+I3577, IF(C3577="Sell",(J3577-L3577)*(100*G3577)+I3577))))))</f>
        <v/>
      </c>
      <c r="O3577" s="75" t="n"/>
      <c r="P3577" s="75" t="n"/>
      <c r="Q3577" s="75">
        <f>IF(ISBLANK(P3577),"",IF(D3577="Stock",P3577*G3577,IF(P3577=0,"0",G3577*P3577*100-(G3577*$AF$14))))</f>
        <v/>
      </c>
      <c r="R3577" s="79">
        <f>IF(P3577&lt;&gt;"", TODAY(), "")</f>
        <v/>
      </c>
      <c r="S3577" s="78">
        <f>IF(AND(K3577&lt;&gt;"", R3577&lt;&gt;""), R3577-K3577, "")</f>
        <v/>
      </c>
      <c r="T3577" s="78" t="n"/>
      <c r="U3577" s="92">
        <f>IF(ISBLANK(P3577),"",IF(C3577="Buy",Q3577-M3577+T3577, IF(C3577="Sell",M3577-Q3577-T3577, X)))</f>
        <v/>
      </c>
      <c r="V3577" s="81">
        <f>IF(ISBLANK(P3577),"",U3577/N3577)</f>
        <v/>
      </c>
      <c r="W3577" s="81">
        <f>IF(ISBLANK(P3577),"",IF(S3577=0,(365/0.5)*V3577,(365/S3577)*V3577))</f>
        <v/>
      </c>
      <c r="X3577" s="75" t="n"/>
      <c r="Y3577" s="77" t="n"/>
      <c r="Z3577" s="77" t="n"/>
      <c r="AA3577" s="75" t="n"/>
      <c r="AB3577" s="75" t="n"/>
      <c r="AC3577" s="6" t="n"/>
      <c r="AD3577" s="75" t="n"/>
      <c r="AE3577" s="75" t="n"/>
      <c r="AF3577" s="75" t="n"/>
    </row>
    <row r="3578" ht="15.75" customHeight="1" s="133">
      <c r="A3578" s="75" t="n"/>
      <c r="B3578" s="75" t="n"/>
      <c r="C3578" s="75" t="n"/>
      <c r="D3578" s="75" t="n"/>
      <c r="E3578" s="76" t="n"/>
      <c r="F3578" s="77" t="n"/>
      <c r="G3578" s="75" t="n"/>
      <c r="H3578" s="75">
        <f>IF(ISBLANK(E3578),"",IF(OR(D3578="Butterfly",D3578="Butterfly ",D3578="Iron Fly", D3578="Iron Fly "),LEN(E3578)-LEN(SUBSTITUTE(E3578,"/",""))+2,LEN(E3578)-LEN(SUBSTITUTE(E3578,"/",""))+1))</f>
        <v/>
      </c>
      <c r="I3578" s="78">
        <f>IF(ISBLANK(G3578),"",IF(D3578="Stock","0",Key!$A$3*H3578*G3578))</f>
        <v/>
      </c>
      <c r="J3578" s="78">
        <f>IF(ISBLANK(E3578),"",IF(ISNUMBER(SEARCH("/",E3578)), IF(LEN(E3578)-LEN(SUBSTITUTE(E3578,"/",""))=1,(RIGHT(E3578,LEN(E3578)-FIND("/",E3578)))-(LEFT(E3578,FIND("/",E3578)-1)),(MID(E3578, SEARCH("/",E3578) + 1, SEARCH("/",E3578, SEARCH("/",E3578)+1) - SEARCH("/",E3578) - 1))-(LEFT(E3578,FIND("/",E3578)-1))), "NA"))</f>
        <v/>
      </c>
      <c r="K3578" s="79">
        <f>IF(A3578&lt;&gt;"", IF(ISBLANK(L3578), TODAY(), K3578), "")</f>
        <v/>
      </c>
      <c r="L3578" s="78" t="n"/>
      <c r="M3578" s="78">
        <f>IF(ISBLANK(L3578),"",IF(D3578="Stock",IF(C3578="Buy",L3578*G3578,IF(C3578="Sell",(L3578*G3578)-I3578, X)),IF(C3578="Buy",(L3578*G3578*100)+I3578,IF(C3578="Sell",(L3578*G3578*100)-I3578, X))))</f>
        <v/>
      </c>
      <c r="N3578" s="78">
        <f>IF(ISBLANK(L3578),"",IF(AND(C3578="Sell",D3578="Stock"),M3578,IF(ISBLANK(L3578),"",IF(C3578="Buy",M3578, IF(AND(C3578="Sell",J3578="NA"),(E3578*G3578*100*0.1)+I3578, IF(C3578="Sell",(J3578-L3578)*(100*G3578)+I3578))))))</f>
        <v/>
      </c>
      <c r="O3578" s="75" t="n"/>
      <c r="P3578" s="75" t="n"/>
      <c r="Q3578" s="75">
        <f>IF(ISBLANK(P3578),"",IF(D3578="Stock",P3578*G3578,IF(P3578=0,"0",G3578*P3578*100-(G3578*$AF$14))))</f>
        <v/>
      </c>
      <c r="R3578" s="79">
        <f>IF(P3578&lt;&gt;"", TODAY(), "")</f>
        <v/>
      </c>
      <c r="S3578" s="78">
        <f>IF(AND(K3578&lt;&gt;"", R3578&lt;&gt;""), R3578-K3578, "")</f>
        <v/>
      </c>
      <c r="T3578" s="78" t="n"/>
      <c r="U3578" s="92">
        <f>IF(ISBLANK(P3578),"",IF(C3578="Buy",Q3578-M3578+T3578, IF(C3578="Sell",M3578-Q3578-T3578, X)))</f>
        <v/>
      </c>
      <c r="V3578" s="81">
        <f>IF(ISBLANK(P3578),"",U3578/N3578)</f>
        <v/>
      </c>
      <c r="W3578" s="81">
        <f>IF(ISBLANK(P3578),"",IF(S3578=0,(365/0.5)*V3578,(365/S3578)*V3578))</f>
        <v/>
      </c>
      <c r="X3578" s="75" t="n"/>
      <c r="Y3578" s="77" t="n"/>
      <c r="Z3578" s="77" t="n"/>
      <c r="AA3578" s="75" t="n"/>
      <c r="AB3578" s="75" t="n"/>
      <c r="AC3578" s="6" t="n"/>
      <c r="AD3578" s="75" t="n"/>
      <c r="AE3578" s="75" t="n"/>
      <c r="AF3578" s="75" t="n"/>
    </row>
    <row r="3579" ht="15.75" customHeight="1" s="133">
      <c r="A3579" s="75" t="n"/>
      <c r="B3579" s="75" t="n"/>
      <c r="C3579" s="75" t="n"/>
      <c r="D3579" s="75" t="n"/>
      <c r="E3579" s="76" t="n"/>
      <c r="F3579" s="77" t="n"/>
      <c r="G3579" s="75" t="n"/>
      <c r="H3579" s="75">
        <f>IF(ISBLANK(E3579),"",IF(OR(D3579="Butterfly",D3579="Butterfly ",D3579="Iron Fly", D3579="Iron Fly "),LEN(E3579)-LEN(SUBSTITUTE(E3579,"/",""))+2,LEN(E3579)-LEN(SUBSTITUTE(E3579,"/",""))+1))</f>
        <v/>
      </c>
      <c r="I3579" s="78">
        <f>IF(ISBLANK(G3579),"",IF(D3579="Stock","0",Key!$A$3*H3579*G3579))</f>
        <v/>
      </c>
      <c r="J3579" s="78">
        <f>IF(ISBLANK(E3579),"",IF(ISNUMBER(SEARCH("/",E3579)), IF(LEN(E3579)-LEN(SUBSTITUTE(E3579,"/",""))=1,(RIGHT(E3579,LEN(E3579)-FIND("/",E3579)))-(LEFT(E3579,FIND("/",E3579)-1)),(MID(E3579, SEARCH("/",E3579) + 1, SEARCH("/",E3579, SEARCH("/",E3579)+1) - SEARCH("/",E3579) - 1))-(LEFT(E3579,FIND("/",E3579)-1))), "NA"))</f>
        <v/>
      </c>
      <c r="K3579" s="79">
        <f>IF(A3579&lt;&gt;"", IF(ISBLANK(L3579), TODAY(), K3579), "")</f>
        <v/>
      </c>
      <c r="L3579" s="78" t="n"/>
      <c r="M3579" s="78">
        <f>IF(ISBLANK(L3579),"",IF(D3579="Stock",IF(C3579="Buy",L3579*G3579,IF(C3579="Sell",(L3579*G3579)-I3579, X)),IF(C3579="Buy",(L3579*G3579*100)+I3579,IF(C3579="Sell",(L3579*G3579*100)-I3579, X))))</f>
        <v/>
      </c>
      <c r="N3579" s="78">
        <f>IF(ISBLANK(L3579),"",IF(AND(C3579="Sell",D3579="Stock"),M3579,IF(ISBLANK(L3579),"",IF(C3579="Buy",M3579, IF(AND(C3579="Sell",J3579="NA"),(E3579*G3579*100*0.1)+I3579, IF(C3579="Sell",(J3579-L3579)*(100*G3579)+I3579))))))</f>
        <v/>
      </c>
      <c r="O3579" s="75" t="n"/>
      <c r="P3579" s="75" t="n"/>
      <c r="Q3579" s="75">
        <f>IF(ISBLANK(P3579),"",IF(D3579="Stock",P3579*G3579,IF(P3579=0,"0",G3579*P3579*100-(G3579*$AF$14))))</f>
        <v/>
      </c>
      <c r="R3579" s="79">
        <f>IF(P3579&lt;&gt;"", TODAY(), "")</f>
        <v/>
      </c>
      <c r="S3579" s="78">
        <f>IF(AND(K3579&lt;&gt;"", R3579&lt;&gt;""), R3579-K3579, "")</f>
        <v/>
      </c>
      <c r="T3579" s="78" t="n"/>
      <c r="U3579" s="92">
        <f>IF(ISBLANK(P3579),"",IF(C3579="Buy",Q3579-M3579+T3579, IF(C3579="Sell",M3579-Q3579-T3579, X)))</f>
        <v/>
      </c>
      <c r="V3579" s="81">
        <f>IF(ISBLANK(P3579),"",U3579/N3579)</f>
        <v/>
      </c>
      <c r="W3579" s="81">
        <f>IF(ISBLANK(P3579),"",IF(S3579=0,(365/0.5)*V3579,(365/S3579)*V3579))</f>
        <v/>
      </c>
      <c r="X3579" s="75" t="n"/>
      <c r="Y3579" s="77" t="n"/>
      <c r="Z3579" s="77" t="n"/>
      <c r="AA3579" s="75" t="n"/>
      <c r="AB3579" s="75" t="n"/>
      <c r="AC3579" s="6" t="n"/>
      <c r="AD3579" s="75" t="n"/>
      <c r="AE3579" s="75" t="n"/>
      <c r="AF3579" s="75" t="n"/>
    </row>
    <row r="3580" ht="15.75" customHeight="1" s="133">
      <c r="A3580" s="75" t="n"/>
      <c r="B3580" s="75" t="n"/>
      <c r="C3580" s="75" t="n"/>
      <c r="D3580" s="75" t="n"/>
      <c r="E3580" s="76" t="n"/>
      <c r="F3580" s="77" t="n"/>
      <c r="G3580" s="75" t="n"/>
      <c r="H3580" s="75">
        <f>IF(ISBLANK(E3580),"",IF(OR(D3580="Butterfly",D3580="Butterfly ",D3580="Iron Fly", D3580="Iron Fly "),LEN(E3580)-LEN(SUBSTITUTE(E3580,"/",""))+2,LEN(E3580)-LEN(SUBSTITUTE(E3580,"/",""))+1))</f>
        <v/>
      </c>
      <c r="I3580" s="78">
        <f>IF(ISBLANK(G3580),"",IF(D3580="Stock","0",Key!$A$3*H3580*G3580))</f>
        <v/>
      </c>
      <c r="J3580" s="78">
        <f>IF(ISBLANK(E3580),"",IF(ISNUMBER(SEARCH("/",E3580)), IF(LEN(E3580)-LEN(SUBSTITUTE(E3580,"/",""))=1,(RIGHT(E3580,LEN(E3580)-FIND("/",E3580)))-(LEFT(E3580,FIND("/",E3580)-1)),(MID(E3580, SEARCH("/",E3580) + 1, SEARCH("/",E3580, SEARCH("/",E3580)+1) - SEARCH("/",E3580) - 1))-(LEFT(E3580,FIND("/",E3580)-1))), "NA"))</f>
        <v/>
      </c>
      <c r="K3580" s="79">
        <f>IF(A3580&lt;&gt;"", IF(ISBLANK(L3580), TODAY(), K3580), "")</f>
        <v/>
      </c>
      <c r="L3580" s="78" t="n"/>
      <c r="M3580" s="78">
        <f>IF(ISBLANK(L3580),"",IF(D3580="Stock",IF(C3580="Buy",L3580*G3580,IF(C3580="Sell",(L3580*G3580)-I3580, X)),IF(C3580="Buy",(L3580*G3580*100)+I3580,IF(C3580="Sell",(L3580*G3580*100)-I3580, X))))</f>
        <v/>
      </c>
      <c r="N3580" s="78">
        <f>IF(ISBLANK(L3580),"",IF(AND(C3580="Sell",D3580="Stock"),M3580,IF(ISBLANK(L3580),"",IF(C3580="Buy",M3580, IF(AND(C3580="Sell",J3580="NA"),(E3580*G3580*100*0.1)+I3580, IF(C3580="Sell",(J3580-L3580)*(100*G3580)+I3580))))))</f>
        <v/>
      </c>
      <c r="O3580" s="75" t="n"/>
      <c r="P3580" s="75" t="n"/>
      <c r="Q3580" s="75">
        <f>IF(ISBLANK(P3580),"",IF(D3580="Stock",P3580*G3580,IF(P3580=0,"0",G3580*P3580*100-(G3580*$AF$14))))</f>
        <v/>
      </c>
      <c r="R3580" s="79">
        <f>IF(P3580&lt;&gt;"", TODAY(), "")</f>
        <v/>
      </c>
      <c r="S3580" s="78">
        <f>IF(AND(K3580&lt;&gt;"", R3580&lt;&gt;""), R3580-K3580, "")</f>
        <v/>
      </c>
      <c r="T3580" s="78" t="n"/>
      <c r="U3580" s="92">
        <f>IF(ISBLANK(P3580),"",IF(C3580="Buy",Q3580-M3580+T3580, IF(C3580="Sell",M3580-Q3580-T3580, X)))</f>
        <v/>
      </c>
      <c r="V3580" s="81">
        <f>IF(ISBLANK(P3580),"",U3580/N3580)</f>
        <v/>
      </c>
      <c r="W3580" s="81">
        <f>IF(ISBLANK(P3580),"",IF(S3580=0,(365/0.5)*V3580,(365/S3580)*V3580))</f>
        <v/>
      </c>
      <c r="X3580" s="75" t="n"/>
      <c r="Y3580" s="77" t="n"/>
      <c r="Z3580" s="77" t="n"/>
      <c r="AA3580" s="75" t="n"/>
      <c r="AB3580" s="75" t="n"/>
      <c r="AC3580" s="6" t="n"/>
      <c r="AD3580" s="75" t="n"/>
      <c r="AE3580" s="75" t="n"/>
      <c r="AF3580" s="75" t="n"/>
    </row>
    <row r="3581" ht="15.75" customHeight="1" s="133">
      <c r="A3581" s="75" t="n"/>
      <c r="B3581" s="75" t="n"/>
      <c r="C3581" s="75" t="n"/>
      <c r="D3581" s="75" t="n"/>
      <c r="E3581" s="76" t="n"/>
      <c r="F3581" s="77" t="n"/>
      <c r="G3581" s="75" t="n"/>
      <c r="H3581" s="75">
        <f>IF(ISBLANK(E3581),"",IF(OR(D3581="Butterfly",D3581="Butterfly ",D3581="Iron Fly", D3581="Iron Fly "),LEN(E3581)-LEN(SUBSTITUTE(E3581,"/",""))+2,LEN(E3581)-LEN(SUBSTITUTE(E3581,"/",""))+1))</f>
        <v/>
      </c>
      <c r="I3581" s="78">
        <f>IF(ISBLANK(G3581),"",IF(D3581="Stock","0",Key!$A$3*H3581*G3581))</f>
        <v/>
      </c>
      <c r="J3581" s="78">
        <f>IF(ISBLANK(E3581),"",IF(ISNUMBER(SEARCH("/",E3581)), IF(LEN(E3581)-LEN(SUBSTITUTE(E3581,"/",""))=1,(RIGHT(E3581,LEN(E3581)-FIND("/",E3581)))-(LEFT(E3581,FIND("/",E3581)-1)),(MID(E3581, SEARCH("/",E3581) + 1, SEARCH("/",E3581, SEARCH("/",E3581)+1) - SEARCH("/",E3581) - 1))-(LEFT(E3581,FIND("/",E3581)-1))), "NA"))</f>
        <v/>
      </c>
      <c r="K3581" s="79">
        <f>IF(A3581&lt;&gt;"", IF(ISBLANK(L3581), TODAY(), K3581), "")</f>
        <v/>
      </c>
      <c r="L3581" s="78" t="n"/>
      <c r="M3581" s="78">
        <f>IF(ISBLANK(L3581),"",IF(D3581="Stock",IF(C3581="Buy",L3581*G3581,IF(C3581="Sell",(L3581*G3581)-I3581, X)),IF(C3581="Buy",(L3581*G3581*100)+I3581,IF(C3581="Sell",(L3581*G3581*100)-I3581, X))))</f>
        <v/>
      </c>
      <c r="N3581" s="78">
        <f>IF(ISBLANK(L3581),"",IF(AND(C3581="Sell",D3581="Stock"),M3581,IF(ISBLANK(L3581),"",IF(C3581="Buy",M3581, IF(AND(C3581="Sell",J3581="NA"),(E3581*G3581*100*0.1)+I3581, IF(C3581="Sell",(J3581-L3581)*(100*G3581)+I3581))))))</f>
        <v/>
      </c>
      <c r="O3581" s="75" t="n"/>
      <c r="P3581" s="75" t="n"/>
      <c r="Q3581" s="75">
        <f>IF(ISBLANK(P3581),"",IF(D3581="Stock",P3581*G3581,IF(P3581=0,"0",G3581*P3581*100-(G3581*$AF$14))))</f>
        <v/>
      </c>
      <c r="R3581" s="79">
        <f>IF(P3581&lt;&gt;"", TODAY(), "")</f>
        <v/>
      </c>
      <c r="S3581" s="78">
        <f>IF(AND(K3581&lt;&gt;"", R3581&lt;&gt;""), R3581-K3581, "")</f>
        <v/>
      </c>
      <c r="T3581" s="78" t="n"/>
      <c r="U3581" s="92">
        <f>IF(ISBLANK(P3581),"",IF(C3581="Buy",Q3581-M3581+T3581, IF(C3581="Sell",M3581-Q3581-T3581, X)))</f>
        <v/>
      </c>
      <c r="V3581" s="81">
        <f>IF(ISBLANK(P3581),"",U3581/N3581)</f>
        <v/>
      </c>
      <c r="W3581" s="81">
        <f>IF(ISBLANK(P3581),"",IF(S3581=0,(365/0.5)*V3581,(365/S3581)*V3581))</f>
        <v/>
      </c>
      <c r="X3581" s="75" t="n"/>
      <c r="Y3581" s="77" t="n"/>
      <c r="Z3581" s="77" t="n"/>
      <c r="AA3581" s="75" t="n"/>
      <c r="AB3581" s="75" t="n"/>
      <c r="AC3581" s="6" t="n"/>
      <c r="AD3581" s="75" t="n"/>
      <c r="AE3581" s="75" t="n"/>
      <c r="AF3581" s="75" t="n"/>
    </row>
    <row r="3582" ht="15.75" customHeight="1" s="133">
      <c r="A3582" s="75" t="n"/>
      <c r="B3582" s="75" t="n"/>
      <c r="C3582" s="75" t="n"/>
      <c r="D3582" s="75" t="n"/>
      <c r="E3582" s="76" t="n"/>
      <c r="F3582" s="77" t="n"/>
      <c r="G3582" s="75" t="n"/>
      <c r="H3582" s="75">
        <f>IF(ISBLANK(E3582),"",IF(OR(D3582="Butterfly",D3582="Butterfly ",D3582="Iron Fly", D3582="Iron Fly "),LEN(E3582)-LEN(SUBSTITUTE(E3582,"/",""))+2,LEN(E3582)-LEN(SUBSTITUTE(E3582,"/",""))+1))</f>
        <v/>
      </c>
      <c r="I3582" s="78">
        <f>IF(ISBLANK(G3582),"",IF(D3582="Stock","0",Key!$A$3*H3582*G3582))</f>
        <v/>
      </c>
      <c r="J3582" s="78">
        <f>IF(ISBLANK(E3582),"",IF(ISNUMBER(SEARCH("/",E3582)), IF(LEN(E3582)-LEN(SUBSTITUTE(E3582,"/",""))=1,(RIGHT(E3582,LEN(E3582)-FIND("/",E3582)))-(LEFT(E3582,FIND("/",E3582)-1)),(MID(E3582, SEARCH("/",E3582) + 1, SEARCH("/",E3582, SEARCH("/",E3582)+1) - SEARCH("/",E3582) - 1))-(LEFT(E3582,FIND("/",E3582)-1))), "NA"))</f>
        <v/>
      </c>
      <c r="K3582" s="79">
        <f>IF(A3582&lt;&gt;"", IF(ISBLANK(L3582), TODAY(), K3582), "")</f>
        <v/>
      </c>
      <c r="L3582" s="78" t="n"/>
      <c r="M3582" s="78">
        <f>IF(ISBLANK(L3582),"",IF(D3582="Stock",IF(C3582="Buy",L3582*G3582,IF(C3582="Sell",(L3582*G3582)-I3582, X)),IF(C3582="Buy",(L3582*G3582*100)+I3582,IF(C3582="Sell",(L3582*G3582*100)-I3582, X))))</f>
        <v/>
      </c>
      <c r="N3582" s="78">
        <f>IF(ISBLANK(L3582),"",IF(AND(C3582="Sell",D3582="Stock"),M3582,IF(ISBLANK(L3582),"",IF(C3582="Buy",M3582, IF(AND(C3582="Sell",J3582="NA"),(E3582*G3582*100*0.1)+I3582, IF(C3582="Sell",(J3582-L3582)*(100*G3582)+I3582))))))</f>
        <v/>
      </c>
      <c r="O3582" s="75" t="n"/>
      <c r="P3582" s="75" t="n"/>
      <c r="Q3582" s="75">
        <f>IF(ISBLANK(P3582),"",IF(D3582="Stock",P3582*G3582,IF(P3582=0,"0",G3582*P3582*100-(G3582*$AF$14))))</f>
        <v/>
      </c>
      <c r="R3582" s="79">
        <f>IF(P3582&lt;&gt;"", TODAY(), "")</f>
        <v/>
      </c>
      <c r="S3582" s="78">
        <f>IF(AND(K3582&lt;&gt;"", R3582&lt;&gt;""), R3582-K3582, "")</f>
        <v/>
      </c>
      <c r="T3582" s="78" t="n"/>
      <c r="U3582" s="92">
        <f>IF(ISBLANK(P3582),"",IF(C3582="Buy",Q3582-M3582+T3582, IF(C3582="Sell",M3582-Q3582-T3582, X)))</f>
        <v/>
      </c>
      <c r="V3582" s="81">
        <f>IF(ISBLANK(P3582),"",U3582/N3582)</f>
        <v/>
      </c>
      <c r="W3582" s="81">
        <f>IF(ISBLANK(P3582),"",IF(S3582=0,(365/0.5)*V3582,(365/S3582)*V3582))</f>
        <v/>
      </c>
      <c r="X3582" s="75" t="n"/>
      <c r="Y3582" s="77" t="n"/>
      <c r="Z3582" s="77" t="n"/>
      <c r="AA3582" s="75" t="n"/>
      <c r="AB3582" s="75" t="n"/>
      <c r="AC3582" s="6" t="n"/>
      <c r="AD3582" s="75" t="n"/>
      <c r="AE3582" s="75" t="n"/>
      <c r="AF3582" s="75" t="n"/>
    </row>
    <row r="3583" ht="15.75" customHeight="1" s="133">
      <c r="A3583" s="75" t="n"/>
      <c r="B3583" s="75" t="n"/>
      <c r="C3583" s="75" t="n"/>
      <c r="D3583" s="75" t="n"/>
      <c r="E3583" s="76" t="n"/>
      <c r="F3583" s="77" t="n"/>
      <c r="G3583" s="75" t="n"/>
      <c r="H3583" s="75">
        <f>IF(ISBLANK(E3583),"",IF(OR(D3583="Butterfly",D3583="Butterfly ",D3583="Iron Fly", D3583="Iron Fly "),LEN(E3583)-LEN(SUBSTITUTE(E3583,"/",""))+2,LEN(E3583)-LEN(SUBSTITUTE(E3583,"/",""))+1))</f>
        <v/>
      </c>
      <c r="I3583" s="78">
        <f>IF(ISBLANK(G3583),"",IF(D3583="Stock","0",Key!$A$3*H3583*G3583))</f>
        <v/>
      </c>
      <c r="J3583" s="78">
        <f>IF(ISBLANK(E3583),"",IF(ISNUMBER(SEARCH("/",E3583)), IF(LEN(E3583)-LEN(SUBSTITUTE(E3583,"/",""))=1,(RIGHT(E3583,LEN(E3583)-FIND("/",E3583)))-(LEFT(E3583,FIND("/",E3583)-1)),(MID(E3583, SEARCH("/",E3583) + 1, SEARCH("/",E3583, SEARCH("/",E3583)+1) - SEARCH("/",E3583) - 1))-(LEFT(E3583,FIND("/",E3583)-1))), "NA"))</f>
        <v/>
      </c>
      <c r="K3583" s="79">
        <f>IF(A3583&lt;&gt;"", IF(ISBLANK(L3583), TODAY(), K3583), "")</f>
        <v/>
      </c>
      <c r="L3583" s="78" t="n"/>
      <c r="M3583" s="78">
        <f>IF(ISBLANK(L3583),"",IF(D3583="Stock",IF(C3583="Buy",L3583*G3583,IF(C3583="Sell",(L3583*G3583)-I3583, X)),IF(C3583="Buy",(L3583*G3583*100)+I3583,IF(C3583="Sell",(L3583*G3583*100)-I3583, X))))</f>
        <v/>
      </c>
      <c r="N3583" s="78">
        <f>IF(ISBLANK(L3583),"",IF(AND(C3583="Sell",D3583="Stock"),M3583,IF(ISBLANK(L3583),"",IF(C3583="Buy",M3583, IF(AND(C3583="Sell",J3583="NA"),(E3583*G3583*100*0.1)+I3583, IF(C3583="Sell",(J3583-L3583)*(100*G3583)+I3583))))))</f>
        <v/>
      </c>
      <c r="O3583" s="75" t="n"/>
      <c r="P3583" s="75" t="n"/>
      <c r="Q3583" s="75">
        <f>IF(ISBLANK(P3583),"",IF(D3583="Stock",P3583*G3583,IF(P3583=0,"0",G3583*P3583*100-(G3583*$AF$14))))</f>
        <v/>
      </c>
      <c r="R3583" s="79">
        <f>IF(P3583&lt;&gt;"", TODAY(), "")</f>
        <v/>
      </c>
      <c r="S3583" s="78">
        <f>IF(AND(K3583&lt;&gt;"", R3583&lt;&gt;""), R3583-K3583, "")</f>
        <v/>
      </c>
      <c r="T3583" s="78" t="n"/>
      <c r="U3583" s="92">
        <f>IF(ISBLANK(P3583),"",IF(C3583="Buy",Q3583-M3583+T3583, IF(C3583="Sell",M3583-Q3583-T3583, X)))</f>
        <v/>
      </c>
      <c r="V3583" s="81">
        <f>IF(ISBLANK(P3583),"",U3583/N3583)</f>
        <v/>
      </c>
      <c r="W3583" s="81">
        <f>IF(ISBLANK(P3583),"",IF(S3583=0,(365/0.5)*V3583,(365/S3583)*V3583))</f>
        <v/>
      </c>
      <c r="X3583" s="75" t="n"/>
      <c r="Y3583" s="77" t="n"/>
      <c r="Z3583" s="77" t="n"/>
      <c r="AA3583" s="75" t="n"/>
      <c r="AB3583" s="75" t="n"/>
      <c r="AC3583" s="6" t="n"/>
      <c r="AD3583" s="75" t="n"/>
      <c r="AE3583" s="75" t="n"/>
      <c r="AF3583" s="75" t="n"/>
    </row>
    <row r="3584" ht="15.75" customHeight="1" s="133">
      <c r="A3584" s="75" t="n"/>
      <c r="B3584" s="75" t="n"/>
      <c r="C3584" s="75" t="n"/>
      <c r="D3584" s="75" t="n"/>
      <c r="E3584" s="76" t="n"/>
      <c r="F3584" s="77" t="n"/>
      <c r="G3584" s="75" t="n"/>
      <c r="H3584" s="75">
        <f>IF(ISBLANK(E3584),"",IF(OR(D3584="Butterfly",D3584="Butterfly ",D3584="Iron Fly", D3584="Iron Fly "),LEN(E3584)-LEN(SUBSTITUTE(E3584,"/",""))+2,LEN(E3584)-LEN(SUBSTITUTE(E3584,"/",""))+1))</f>
        <v/>
      </c>
      <c r="I3584" s="78">
        <f>IF(ISBLANK(G3584),"",IF(D3584="Stock","0",Key!$A$3*H3584*G3584))</f>
        <v/>
      </c>
      <c r="J3584" s="78">
        <f>IF(ISBLANK(E3584),"",IF(ISNUMBER(SEARCH("/",E3584)), IF(LEN(E3584)-LEN(SUBSTITUTE(E3584,"/",""))=1,(RIGHT(E3584,LEN(E3584)-FIND("/",E3584)))-(LEFT(E3584,FIND("/",E3584)-1)),(MID(E3584, SEARCH("/",E3584) + 1, SEARCH("/",E3584, SEARCH("/",E3584)+1) - SEARCH("/",E3584) - 1))-(LEFT(E3584,FIND("/",E3584)-1))), "NA"))</f>
        <v/>
      </c>
      <c r="K3584" s="79">
        <f>IF(A3584&lt;&gt;"", IF(ISBLANK(L3584), TODAY(), K3584), "")</f>
        <v/>
      </c>
      <c r="L3584" s="78" t="n"/>
      <c r="M3584" s="78">
        <f>IF(ISBLANK(L3584),"",IF(D3584="Stock",IF(C3584="Buy",L3584*G3584,IF(C3584="Sell",(L3584*G3584)-I3584, X)),IF(C3584="Buy",(L3584*G3584*100)+I3584,IF(C3584="Sell",(L3584*G3584*100)-I3584, X))))</f>
        <v/>
      </c>
      <c r="N3584" s="78">
        <f>IF(ISBLANK(L3584),"",IF(AND(C3584="Sell",D3584="Stock"),M3584,IF(ISBLANK(L3584),"",IF(C3584="Buy",M3584, IF(AND(C3584="Sell",J3584="NA"),(E3584*G3584*100*0.1)+I3584, IF(C3584="Sell",(J3584-L3584)*(100*G3584)+I3584))))))</f>
        <v/>
      </c>
      <c r="O3584" s="75" t="n"/>
      <c r="P3584" s="75" t="n"/>
      <c r="Q3584" s="75">
        <f>IF(ISBLANK(P3584),"",IF(D3584="Stock",P3584*G3584,IF(P3584=0,"0",G3584*P3584*100-(G3584*$AF$14))))</f>
        <v/>
      </c>
      <c r="R3584" s="79">
        <f>IF(P3584&lt;&gt;"", TODAY(), "")</f>
        <v/>
      </c>
      <c r="S3584" s="78">
        <f>IF(AND(K3584&lt;&gt;"", R3584&lt;&gt;""), R3584-K3584, "")</f>
        <v/>
      </c>
      <c r="T3584" s="78" t="n"/>
      <c r="U3584" s="92">
        <f>IF(ISBLANK(P3584),"",IF(C3584="Buy",Q3584-M3584+T3584, IF(C3584="Sell",M3584-Q3584-T3584, X)))</f>
        <v/>
      </c>
      <c r="V3584" s="81">
        <f>IF(ISBLANK(P3584),"",U3584/N3584)</f>
        <v/>
      </c>
      <c r="W3584" s="81">
        <f>IF(ISBLANK(P3584),"",IF(S3584=0,(365/0.5)*V3584,(365/S3584)*V3584))</f>
        <v/>
      </c>
      <c r="X3584" s="75" t="n"/>
      <c r="Y3584" s="77" t="n"/>
      <c r="Z3584" s="77" t="n"/>
      <c r="AA3584" s="75" t="n"/>
      <c r="AB3584" s="75" t="n"/>
      <c r="AC3584" s="6" t="n"/>
      <c r="AD3584" s="75" t="n"/>
      <c r="AE3584" s="75" t="n"/>
      <c r="AF3584" s="75" t="n"/>
    </row>
    <row r="3585" ht="15.75" customHeight="1" s="133">
      <c r="A3585" s="75" t="n"/>
      <c r="B3585" s="75" t="n"/>
      <c r="C3585" s="75" t="n"/>
      <c r="D3585" s="75" t="n"/>
      <c r="E3585" s="76" t="n"/>
      <c r="F3585" s="77" t="n"/>
      <c r="G3585" s="75" t="n"/>
      <c r="H3585" s="75">
        <f>IF(ISBLANK(E3585),"",IF(OR(D3585="Butterfly",D3585="Butterfly ",D3585="Iron Fly", D3585="Iron Fly "),LEN(E3585)-LEN(SUBSTITUTE(E3585,"/",""))+2,LEN(E3585)-LEN(SUBSTITUTE(E3585,"/",""))+1))</f>
        <v/>
      </c>
      <c r="I3585" s="78">
        <f>IF(ISBLANK(G3585),"",IF(D3585="Stock","0",Key!$A$3*H3585*G3585))</f>
        <v/>
      </c>
      <c r="J3585" s="78">
        <f>IF(ISBLANK(E3585),"",IF(ISNUMBER(SEARCH("/",E3585)), IF(LEN(E3585)-LEN(SUBSTITUTE(E3585,"/",""))=1,(RIGHT(E3585,LEN(E3585)-FIND("/",E3585)))-(LEFT(E3585,FIND("/",E3585)-1)),(MID(E3585, SEARCH("/",E3585) + 1, SEARCH("/",E3585, SEARCH("/",E3585)+1) - SEARCH("/",E3585) - 1))-(LEFT(E3585,FIND("/",E3585)-1))), "NA"))</f>
        <v/>
      </c>
      <c r="K3585" s="79">
        <f>IF(A3585&lt;&gt;"", IF(ISBLANK(L3585), TODAY(), K3585), "")</f>
        <v/>
      </c>
      <c r="L3585" s="78" t="n"/>
      <c r="M3585" s="78">
        <f>IF(ISBLANK(L3585),"",IF(D3585="Stock",IF(C3585="Buy",L3585*G3585,IF(C3585="Sell",(L3585*G3585)-I3585, X)),IF(C3585="Buy",(L3585*G3585*100)+I3585,IF(C3585="Sell",(L3585*G3585*100)-I3585, X))))</f>
        <v/>
      </c>
      <c r="N3585" s="78">
        <f>IF(ISBLANK(L3585),"",IF(AND(C3585="Sell",D3585="Stock"),M3585,IF(ISBLANK(L3585),"",IF(C3585="Buy",M3585, IF(AND(C3585="Sell",J3585="NA"),(E3585*G3585*100*0.1)+I3585, IF(C3585="Sell",(J3585-L3585)*(100*G3585)+I3585))))))</f>
        <v/>
      </c>
      <c r="O3585" s="75" t="n"/>
      <c r="P3585" s="75" t="n"/>
      <c r="Q3585" s="75">
        <f>IF(ISBLANK(P3585),"",IF(D3585="Stock",P3585*G3585,IF(P3585=0,"0",G3585*P3585*100-(G3585*$AF$14))))</f>
        <v/>
      </c>
      <c r="R3585" s="79">
        <f>IF(P3585&lt;&gt;"", TODAY(), "")</f>
        <v/>
      </c>
      <c r="S3585" s="78">
        <f>IF(AND(K3585&lt;&gt;"", R3585&lt;&gt;""), R3585-K3585, "")</f>
        <v/>
      </c>
      <c r="T3585" s="78" t="n"/>
      <c r="U3585" s="92">
        <f>IF(ISBLANK(P3585),"",IF(C3585="Buy",Q3585-M3585+T3585, IF(C3585="Sell",M3585-Q3585-T3585, X)))</f>
        <v/>
      </c>
      <c r="V3585" s="81">
        <f>IF(ISBLANK(P3585),"",U3585/N3585)</f>
        <v/>
      </c>
      <c r="W3585" s="81">
        <f>IF(ISBLANK(P3585),"",IF(S3585=0,(365/0.5)*V3585,(365/S3585)*V3585))</f>
        <v/>
      </c>
      <c r="X3585" s="75" t="n"/>
      <c r="Y3585" s="77" t="n"/>
      <c r="Z3585" s="77" t="n"/>
      <c r="AA3585" s="75" t="n"/>
      <c r="AB3585" s="75" t="n"/>
      <c r="AC3585" s="6" t="n"/>
      <c r="AD3585" s="75" t="n"/>
      <c r="AE3585" s="75" t="n"/>
      <c r="AF3585" s="75" t="n"/>
    </row>
    <row r="3586" ht="15.75" customHeight="1" s="133">
      <c r="A3586" s="75" t="n"/>
      <c r="B3586" s="75" t="n"/>
      <c r="C3586" s="75" t="n"/>
      <c r="D3586" s="75" t="n"/>
      <c r="E3586" s="76" t="n"/>
      <c r="F3586" s="77" t="n"/>
      <c r="G3586" s="75" t="n"/>
      <c r="H3586" s="75">
        <f>IF(ISBLANK(E3586),"",IF(OR(D3586="Butterfly",D3586="Butterfly ",D3586="Iron Fly", D3586="Iron Fly "),LEN(E3586)-LEN(SUBSTITUTE(E3586,"/",""))+2,LEN(E3586)-LEN(SUBSTITUTE(E3586,"/",""))+1))</f>
        <v/>
      </c>
      <c r="I3586" s="78">
        <f>IF(ISBLANK(G3586),"",IF(D3586="Stock","0",Key!$A$3*H3586*G3586))</f>
        <v/>
      </c>
      <c r="J3586" s="78">
        <f>IF(ISBLANK(E3586),"",IF(ISNUMBER(SEARCH("/",E3586)), IF(LEN(E3586)-LEN(SUBSTITUTE(E3586,"/",""))=1,(RIGHT(E3586,LEN(E3586)-FIND("/",E3586)))-(LEFT(E3586,FIND("/",E3586)-1)),(MID(E3586, SEARCH("/",E3586) + 1, SEARCH("/",E3586, SEARCH("/",E3586)+1) - SEARCH("/",E3586) - 1))-(LEFT(E3586,FIND("/",E3586)-1))), "NA"))</f>
        <v/>
      </c>
      <c r="K3586" s="79">
        <f>IF(A3586&lt;&gt;"", IF(ISBLANK(L3586), TODAY(), K3586), "")</f>
        <v/>
      </c>
      <c r="L3586" s="78" t="n"/>
      <c r="M3586" s="78">
        <f>IF(ISBLANK(L3586),"",IF(D3586="Stock",IF(C3586="Buy",L3586*G3586,IF(C3586="Sell",(L3586*G3586)-I3586, X)),IF(C3586="Buy",(L3586*G3586*100)+I3586,IF(C3586="Sell",(L3586*G3586*100)-I3586, X))))</f>
        <v/>
      </c>
      <c r="N3586" s="78">
        <f>IF(ISBLANK(L3586),"",IF(AND(C3586="Sell",D3586="Stock"),M3586,IF(ISBLANK(L3586),"",IF(C3586="Buy",M3586, IF(AND(C3586="Sell",J3586="NA"),(E3586*G3586*100*0.1)+I3586, IF(C3586="Sell",(J3586-L3586)*(100*G3586)+I3586))))))</f>
        <v/>
      </c>
      <c r="O3586" s="75" t="n"/>
      <c r="P3586" s="75" t="n"/>
      <c r="Q3586" s="75">
        <f>IF(ISBLANK(P3586),"",IF(D3586="Stock",P3586*G3586,IF(P3586=0,"0",G3586*P3586*100-(G3586*$AF$14))))</f>
        <v/>
      </c>
      <c r="R3586" s="79">
        <f>IF(P3586&lt;&gt;"", TODAY(), "")</f>
        <v/>
      </c>
      <c r="S3586" s="78">
        <f>IF(AND(K3586&lt;&gt;"", R3586&lt;&gt;""), R3586-K3586, "")</f>
        <v/>
      </c>
      <c r="T3586" s="78" t="n"/>
      <c r="U3586" s="92">
        <f>IF(ISBLANK(P3586),"",IF(C3586="Buy",Q3586-M3586+T3586, IF(C3586="Sell",M3586-Q3586-T3586, X)))</f>
        <v/>
      </c>
      <c r="V3586" s="81">
        <f>IF(ISBLANK(P3586),"",U3586/N3586)</f>
        <v/>
      </c>
      <c r="W3586" s="81">
        <f>IF(ISBLANK(P3586),"",IF(S3586=0,(365/0.5)*V3586,(365/S3586)*V3586))</f>
        <v/>
      </c>
      <c r="X3586" s="75" t="n"/>
      <c r="Y3586" s="77" t="n"/>
      <c r="Z3586" s="77" t="n"/>
      <c r="AA3586" s="75" t="n"/>
      <c r="AB3586" s="75" t="n"/>
      <c r="AC3586" s="6" t="n"/>
      <c r="AD3586" s="75" t="n"/>
      <c r="AE3586" s="75" t="n"/>
      <c r="AF3586" s="75" t="n"/>
    </row>
    <row r="3587" ht="15.75" customHeight="1" s="133">
      <c r="A3587" s="75" t="n"/>
      <c r="B3587" s="75" t="n"/>
      <c r="C3587" s="75" t="n"/>
      <c r="D3587" s="75" t="n"/>
      <c r="E3587" s="76" t="n"/>
      <c r="F3587" s="77" t="n"/>
      <c r="G3587" s="75" t="n"/>
      <c r="H3587" s="75">
        <f>IF(ISBLANK(E3587),"",IF(OR(D3587="Butterfly",D3587="Butterfly ",D3587="Iron Fly", D3587="Iron Fly "),LEN(E3587)-LEN(SUBSTITUTE(E3587,"/",""))+2,LEN(E3587)-LEN(SUBSTITUTE(E3587,"/",""))+1))</f>
        <v/>
      </c>
      <c r="I3587" s="78">
        <f>IF(ISBLANK(G3587),"",IF(D3587="Stock","0",Key!$A$3*H3587*G3587))</f>
        <v/>
      </c>
      <c r="J3587" s="78">
        <f>IF(ISBLANK(E3587),"",IF(ISNUMBER(SEARCH("/",E3587)), IF(LEN(E3587)-LEN(SUBSTITUTE(E3587,"/",""))=1,(RIGHT(E3587,LEN(E3587)-FIND("/",E3587)))-(LEFT(E3587,FIND("/",E3587)-1)),(MID(E3587, SEARCH("/",E3587) + 1, SEARCH("/",E3587, SEARCH("/",E3587)+1) - SEARCH("/",E3587) - 1))-(LEFT(E3587,FIND("/",E3587)-1))), "NA"))</f>
        <v/>
      </c>
      <c r="K3587" s="79">
        <f>IF(A3587&lt;&gt;"", IF(ISBLANK(L3587), TODAY(), K3587), "")</f>
        <v/>
      </c>
      <c r="L3587" s="78" t="n"/>
      <c r="M3587" s="78">
        <f>IF(ISBLANK(L3587),"",IF(D3587="Stock",IF(C3587="Buy",L3587*G3587,IF(C3587="Sell",(L3587*G3587)-I3587, X)),IF(C3587="Buy",(L3587*G3587*100)+I3587,IF(C3587="Sell",(L3587*G3587*100)-I3587, X))))</f>
        <v/>
      </c>
      <c r="N3587" s="78">
        <f>IF(ISBLANK(L3587),"",IF(AND(C3587="Sell",D3587="Stock"),M3587,IF(ISBLANK(L3587),"",IF(C3587="Buy",M3587, IF(AND(C3587="Sell",J3587="NA"),(E3587*G3587*100*0.1)+I3587, IF(C3587="Sell",(J3587-L3587)*(100*G3587)+I3587))))))</f>
        <v/>
      </c>
      <c r="O3587" s="75" t="n"/>
      <c r="P3587" s="75" t="n"/>
      <c r="Q3587" s="75">
        <f>IF(ISBLANK(P3587),"",IF(D3587="Stock",P3587*G3587,IF(P3587=0,"0",G3587*P3587*100-(G3587*$AF$14))))</f>
        <v/>
      </c>
      <c r="R3587" s="79">
        <f>IF(P3587&lt;&gt;"", TODAY(), "")</f>
        <v/>
      </c>
      <c r="S3587" s="78">
        <f>IF(AND(K3587&lt;&gt;"", R3587&lt;&gt;""), R3587-K3587, "")</f>
        <v/>
      </c>
      <c r="T3587" s="78" t="n"/>
      <c r="U3587" s="92">
        <f>IF(ISBLANK(P3587),"",IF(C3587="Buy",Q3587-M3587+T3587, IF(C3587="Sell",M3587-Q3587-T3587, X)))</f>
        <v/>
      </c>
      <c r="V3587" s="81">
        <f>IF(ISBLANK(P3587),"",U3587/N3587)</f>
        <v/>
      </c>
      <c r="W3587" s="81">
        <f>IF(ISBLANK(P3587),"",IF(S3587=0,(365/0.5)*V3587,(365/S3587)*V3587))</f>
        <v/>
      </c>
      <c r="X3587" s="75" t="n"/>
      <c r="Y3587" s="77" t="n"/>
      <c r="Z3587" s="77" t="n"/>
      <c r="AA3587" s="75" t="n"/>
      <c r="AB3587" s="75" t="n"/>
      <c r="AC3587" s="6" t="n"/>
      <c r="AD3587" s="75" t="n"/>
      <c r="AE3587" s="75" t="n"/>
      <c r="AF3587" s="75" t="n"/>
    </row>
    <row r="3588" ht="15.75" customHeight="1" s="133">
      <c r="A3588" s="75" t="n"/>
      <c r="B3588" s="75" t="n"/>
      <c r="C3588" s="75" t="n"/>
      <c r="D3588" s="75" t="n"/>
      <c r="E3588" s="76" t="n"/>
      <c r="F3588" s="77" t="n"/>
      <c r="G3588" s="75" t="n"/>
      <c r="H3588" s="75">
        <f>IF(ISBLANK(E3588),"",IF(OR(D3588="Butterfly",D3588="Butterfly ",D3588="Iron Fly", D3588="Iron Fly "),LEN(E3588)-LEN(SUBSTITUTE(E3588,"/",""))+2,LEN(E3588)-LEN(SUBSTITUTE(E3588,"/",""))+1))</f>
        <v/>
      </c>
      <c r="I3588" s="78">
        <f>IF(ISBLANK(G3588),"",IF(D3588="Stock","0",Key!$A$3*H3588*G3588))</f>
        <v/>
      </c>
      <c r="J3588" s="78">
        <f>IF(ISBLANK(E3588),"",IF(ISNUMBER(SEARCH("/",E3588)), IF(LEN(E3588)-LEN(SUBSTITUTE(E3588,"/",""))=1,(RIGHT(E3588,LEN(E3588)-FIND("/",E3588)))-(LEFT(E3588,FIND("/",E3588)-1)),(MID(E3588, SEARCH("/",E3588) + 1, SEARCH("/",E3588, SEARCH("/",E3588)+1) - SEARCH("/",E3588) - 1))-(LEFT(E3588,FIND("/",E3588)-1))), "NA"))</f>
        <v/>
      </c>
      <c r="K3588" s="79">
        <f>IF(A3588&lt;&gt;"", IF(ISBLANK(L3588), TODAY(), K3588), "")</f>
        <v/>
      </c>
      <c r="L3588" s="78" t="n"/>
      <c r="M3588" s="78">
        <f>IF(ISBLANK(L3588),"",IF(D3588="Stock",IF(C3588="Buy",L3588*G3588,IF(C3588="Sell",(L3588*G3588)-I3588, X)),IF(C3588="Buy",(L3588*G3588*100)+I3588,IF(C3588="Sell",(L3588*G3588*100)-I3588, X))))</f>
        <v/>
      </c>
      <c r="N3588" s="78">
        <f>IF(ISBLANK(L3588),"",IF(AND(C3588="Sell",D3588="Stock"),M3588,IF(ISBLANK(L3588),"",IF(C3588="Buy",M3588, IF(AND(C3588="Sell",J3588="NA"),(E3588*G3588*100*0.1)+I3588, IF(C3588="Sell",(J3588-L3588)*(100*G3588)+I3588))))))</f>
        <v/>
      </c>
      <c r="O3588" s="75" t="n"/>
      <c r="P3588" s="75" t="n"/>
      <c r="Q3588" s="75">
        <f>IF(ISBLANK(P3588),"",IF(D3588="Stock",P3588*G3588,IF(P3588=0,"0",G3588*P3588*100-(G3588*$AF$14))))</f>
        <v/>
      </c>
      <c r="R3588" s="79">
        <f>IF(P3588&lt;&gt;"", TODAY(), "")</f>
        <v/>
      </c>
      <c r="S3588" s="78">
        <f>IF(AND(K3588&lt;&gt;"", R3588&lt;&gt;""), R3588-K3588, "")</f>
        <v/>
      </c>
      <c r="T3588" s="78" t="n"/>
      <c r="U3588" s="92">
        <f>IF(ISBLANK(P3588),"",IF(C3588="Buy",Q3588-M3588+T3588, IF(C3588="Sell",M3588-Q3588-T3588, X)))</f>
        <v/>
      </c>
      <c r="V3588" s="81">
        <f>IF(ISBLANK(P3588),"",U3588/N3588)</f>
        <v/>
      </c>
      <c r="W3588" s="81">
        <f>IF(ISBLANK(P3588),"",IF(S3588=0,(365/0.5)*V3588,(365/S3588)*V3588))</f>
        <v/>
      </c>
      <c r="X3588" s="75" t="n"/>
      <c r="Y3588" s="77" t="n"/>
      <c r="Z3588" s="77" t="n"/>
      <c r="AA3588" s="75" t="n"/>
      <c r="AB3588" s="75" t="n"/>
      <c r="AC3588" s="6" t="n"/>
      <c r="AD3588" s="75" t="n"/>
      <c r="AE3588" s="75" t="n"/>
      <c r="AF3588" s="75" t="n"/>
    </row>
    <row r="3589" ht="15.75" customHeight="1" s="133">
      <c r="A3589" s="75" t="n"/>
      <c r="B3589" s="75" t="n"/>
      <c r="C3589" s="75" t="n"/>
      <c r="D3589" s="75" t="n"/>
      <c r="E3589" s="76" t="n"/>
      <c r="F3589" s="77" t="n"/>
      <c r="G3589" s="75" t="n"/>
      <c r="H3589" s="75">
        <f>IF(ISBLANK(E3589),"",IF(OR(D3589="Butterfly",D3589="Butterfly ",D3589="Iron Fly", D3589="Iron Fly "),LEN(E3589)-LEN(SUBSTITUTE(E3589,"/",""))+2,LEN(E3589)-LEN(SUBSTITUTE(E3589,"/",""))+1))</f>
        <v/>
      </c>
      <c r="I3589" s="78">
        <f>IF(ISBLANK(G3589),"",IF(D3589="Stock","0",Key!$A$3*H3589*G3589))</f>
        <v/>
      </c>
      <c r="J3589" s="78">
        <f>IF(ISBLANK(E3589),"",IF(ISNUMBER(SEARCH("/",E3589)), IF(LEN(E3589)-LEN(SUBSTITUTE(E3589,"/",""))=1,(RIGHT(E3589,LEN(E3589)-FIND("/",E3589)))-(LEFT(E3589,FIND("/",E3589)-1)),(MID(E3589, SEARCH("/",E3589) + 1, SEARCH("/",E3589, SEARCH("/",E3589)+1) - SEARCH("/",E3589) - 1))-(LEFT(E3589,FIND("/",E3589)-1))), "NA"))</f>
        <v/>
      </c>
      <c r="K3589" s="79">
        <f>IF(A3589&lt;&gt;"", IF(ISBLANK(L3589), TODAY(), K3589), "")</f>
        <v/>
      </c>
      <c r="L3589" s="78" t="n"/>
      <c r="M3589" s="78">
        <f>IF(ISBLANK(L3589),"",IF(D3589="Stock",IF(C3589="Buy",L3589*G3589,IF(C3589="Sell",(L3589*G3589)-I3589, X)),IF(C3589="Buy",(L3589*G3589*100)+I3589,IF(C3589="Sell",(L3589*G3589*100)-I3589, X))))</f>
        <v/>
      </c>
      <c r="N3589" s="78">
        <f>IF(ISBLANK(L3589),"",IF(AND(C3589="Sell",D3589="Stock"),M3589,IF(ISBLANK(L3589),"",IF(C3589="Buy",M3589, IF(AND(C3589="Sell",J3589="NA"),(E3589*G3589*100*0.1)+I3589, IF(C3589="Sell",(J3589-L3589)*(100*G3589)+I3589))))))</f>
        <v/>
      </c>
      <c r="O3589" s="75" t="n"/>
      <c r="P3589" s="75" t="n"/>
      <c r="Q3589" s="75">
        <f>IF(ISBLANK(P3589),"",IF(D3589="Stock",P3589*G3589,IF(P3589=0,"0",G3589*P3589*100-(G3589*$AF$14))))</f>
        <v/>
      </c>
      <c r="R3589" s="79">
        <f>IF(P3589&lt;&gt;"", TODAY(), "")</f>
        <v/>
      </c>
      <c r="S3589" s="78">
        <f>IF(AND(K3589&lt;&gt;"", R3589&lt;&gt;""), R3589-K3589, "")</f>
        <v/>
      </c>
      <c r="T3589" s="78" t="n"/>
      <c r="U3589" s="92">
        <f>IF(ISBLANK(P3589),"",IF(C3589="Buy",Q3589-M3589+T3589, IF(C3589="Sell",M3589-Q3589-T3589, X)))</f>
        <v/>
      </c>
      <c r="V3589" s="81">
        <f>IF(ISBLANK(P3589),"",U3589/N3589)</f>
        <v/>
      </c>
      <c r="W3589" s="81">
        <f>IF(ISBLANK(P3589),"",IF(S3589=0,(365/0.5)*V3589,(365/S3589)*V3589))</f>
        <v/>
      </c>
      <c r="X3589" s="75" t="n"/>
      <c r="Y3589" s="77" t="n"/>
      <c r="Z3589" s="77" t="n"/>
      <c r="AA3589" s="75" t="n"/>
      <c r="AB3589" s="75" t="n"/>
      <c r="AC3589" s="6" t="n"/>
      <c r="AD3589" s="75" t="n"/>
      <c r="AE3589" s="75" t="n"/>
      <c r="AF3589" s="75" t="n"/>
    </row>
    <row r="3590" ht="15.75" customHeight="1" s="133">
      <c r="A3590" s="75" t="n"/>
      <c r="B3590" s="75" t="n"/>
      <c r="C3590" s="75" t="n"/>
      <c r="D3590" s="75" t="n"/>
      <c r="E3590" s="76" t="n"/>
      <c r="F3590" s="77" t="n"/>
      <c r="G3590" s="75" t="n"/>
      <c r="H3590" s="75">
        <f>IF(ISBLANK(E3590),"",IF(OR(D3590="Butterfly",D3590="Butterfly ",D3590="Iron Fly", D3590="Iron Fly "),LEN(E3590)-LEN(SUBSTITUTE(E3590,"/",""))+2,LEN(E3590)-LEN(SUBSTITUTE(E3590,"/",""))+1))</f>
        <v/>
      </c>
      <c r="I3590" s="78">
        <f>IF(ISBLANK(G3590),"",IF(D3590="Stock","0",Key!$A$3*H3590*G3590))</f>
        <v/>
      </c>
      <c r="J3590" s="78">
        <f>IF(ISBLANK(E3590),"",IF(ISNUMBER(SEARCH("/",E3590)), IF(LEN(E3590)-LEN(SUBSTITUTE(E3590,"/",""))=1,(RIGHT(E3590,LEN(E3590)-FIND("/",E3590)))-(LEFT(E3590,FIND("/",E3590)-1)),(MID(E3590, SEARCH("/",E3590) + 1, SEARCH("/",E3590, SEARCH("/",E3590)+1) - SEARCH("/",E3590) - 1))-(LEFT(E3590,FIND("/",E3590)-1))), "NA"))</f>
        <v/>
      </c>
      <c r="K3590" s="79">
        <f>IF(A3590&lt;&gt;"", IF(ISBLANK(L3590), TODAY(), K3590), "")</f>
        <v/>
      </c>
      <c r="L3590" s="78" t="n"/>
      <c r="M3590" s="78">
        <f>IF(ISBLANK(L3590),"",IF(D3590="Stock",IF(C3590="Buy",L3590*G3590,IF(C3590="Sell",(L3590*G3590)-I3590, X)),IF(C3590="Buy",(L3590*G3590*100)+I3590,IF(C3590="Sell",(L3590*G3590*100)-I3590, X))))</f>
        <v/>
      </c>
      <c r="N3590" s="78">
        <f>IF(ISBLANK(L3590),"",IF(AND(C3590="Sell",D3590="Stock"),M3590,IF(ISBLANK(L3590),"",IF(C3590="Buy",M3590, IF(AND(C3590="Sell",J3590="NA"),(E3590*G3590*100*0.1)+I3590, IF(C3590="Sell",(J3590-L3590)*(100*G3590)+I3590))))))</f>
        <v/>
      </c>
      <c r="O3590" s="75" t="n"/>
      <c r="P3590" s="75" t="n"/>
      <c r="Q3590" s="75">
        <f>IF(ISBLANK(P3590),"",IF(D3590="Stock",P3590*G3590,IF(P3590=0,"0",G3590*P3590*100-(G3590*$AF$14))))</f>
        <v/>
      </c>
      <c r="R3590" s="79">
        <f>IF(P3590&lt;&gt;"", TODAY(), "")</f>
        <v/>
      </c>
      <c r="S3590" s="78">
        <f>IF(AND(K3590&lt;&gt;"", R3590&lt;&gt;""), R3590-K3590, "")</f>
        <v/>
      </c>
      <c r="T3590" s="78" t="n"/>
      <c r="U3590" s="92">
        <f>IF(ISBLANK(P3590),"",IF(C3590="Buy",Q3590-M3590+T3590, IF(C3590="Sell",M3590-Q3590-T3590, X)))</f>
        <v/>
      </c>
      <c r="V3590" s="81">
        <f>IF(ISBLANK(P3590),"",U3590/N3590)</f>
        <v/>
      </c>
      <c r="W3590" s="81">
        <f>IF(ISBLANK(P3590),"",IF(S3590=0,(365/0.5)*V3590,(365/S3590)*V3590))</f>
        <v/>
      </c>
      <c r="X3590" s="75" t="n"/>
      <c r="Y3590" s="77" t="n"/>
      <c r="Z3590" s="77" t="n"/>
      <c r="AA3590" s="75" t="n"/>
      <c r="AB3590" s="75" t="n"/>
      <c r="AC3590" s="6" t="n"/>
      <c r="AD3590" s="75" t="n"/>
      <c r="AE3590" s="75" t="n"/>
      <c r="AF3590" s="75" t="n"/>
    </row>
    <row r="3591" ht="15.75" customHeight="1" s="133">
      <c r="A3591" s="75" t="n"/>
      <c r="B3591" s="75" t="n"/>
      <c r="C3591" s="75" t="n"/>
      <c r="D3591" s="75" t="n"/>
      <c r="E3591" s="76" t="n"/>
      <c r="F3591" s="77" t="n"/>
      <c r="G3591" s="75" t="n"/>
      <c r="H3591" s="75">
        <f>IF(ISBLANK(E3591),"",IF(OR(D3591="Butterfly",D3591="Butterfly ",D3591="Iron Fly", D3591="Iron Fly "),LEN(E3591)-LEN(SUBSTITUTE(E3591,"/",""))+2,LEN(E3591)-LEN(SUBSTITUTE(E3591,"/",""))+1))</f>
        <v/>
      </c>
      <c r="I3591" s="78">
        <f>IF(ISBLANK(G3591),"",IF(D3591="Stock","0",Key!$A$3*H3591*G3591))</f>
        <v/>
      </c>
      <c r="J3591" s="78">
        <f>IF(ISBLANK(E3591),"",IF(ISNUMBER(SEARCH("/",E3591)), IF(LEN(E3591)-LEN(SUBSTITUTE(E3591,"/",""))=1,(RIGHT(E3591,LEN(E3591)-FIND("/",E3591)))-(LEFT(E3591,FIND("/",E3591)-1)),(MID(E3591, SEARCH("/",E3591) + 1, SEARCH("/",E3591, SEARCH("/",E3591)+1) - SEARCH("/",E3591) - 1))-(LEFT(E3591,FIND("/",E3591)-1))), "NA"))</f>
        <v/>
      </c>
      <c r="K3591" s="79">
        <f>IF(A3591&lt;&gt;"", IF(ISBLANK(L3591), TODAY(), K3591), "")</f>
        <v/>
      </c>
      <c r="L3591" s="78" t="n"/>
      <c r="M3591" s="78">
        <f>IF(ISBLANK(L3591),"",IF(D3591="Stock",IF(C3591="Buy",L3591*G3591,IF(C3591="Sell",(L3591*G3591)-I3591, X)),IF(C3591="Buy",(L3591*G3591*100)+I3591,IF(C3591="Sell",(L3591*G3591*100)-I3591, X))))</f>
        <v/>
      </c>
      <c r="N3591" s="78">
        <f>IF(ISBLANK(L3591),"",IF(AND(C3591="Sell",D3591="Stock"),M3591,IF(ISBLANK(L3591),"",IF(C3591="Buy",M3591, IF(AND(C3591="Sell",J3591="NA"),(E3591*G3591*100*0.1)+I3591, IF(C3591="Sell",(J3591-L3591)*(100*G3591)+I3591))))))</f>
        <v/>
      </c>
      <c r="O3591" s="75" t="n"/>
      <c r="P3591" s="75" t="n"/>
      <c r="Q3591" s="75">
        <f>IF(ISBLANK(P3591),"",IF(D3591="Stock",P3591*G3591,IF(P3591=0,"0",G3591*P3591*100-(G3591*$AF$14))))</f>
        <v/>
      </c>
      <c r="R3591" s="79">
        <f>IF(P3591&lt;&gt;"", TODAY(), "")</f>
        <v/>
      </c>
      <c r="S3591" s="78">
        <f>IF(AND(K3591&lt;&gt;"", R3591&lt;&gt;""), R3591-K3591, "")</f>
        <v/>
      </c>
      <c r="T3591" s="78" t="n"/>
      <c r="U3591" s="92">
        <f>IF(ISBLANK(P3591),"",IF(C3591="Buy",Q3591-M3591+T3591, IF(C3591="Sell",M3591-Q3591-T3591, X)))</f>
        <v/>
      </c>
      <c r="V3591" s="81">
        <f>IF(ISBLANK(P3591),"",U3591/N3591)</f>
        <v/>
      </c>
      <c r="W3591" s="81">
        <f>IF(ISBLANK(P3591),"",IF(S3591=0,(365/0.5)*V3591,(365/S3591)*V3591))</f>
        <v/>
      </c>
      <c r="X3591" s="75" t="n"/>
      <c r="Y3591" s="77" t="n"/>
      <c r="Z3591" s="77" t="n"/>
      <c r="AA3591" s="75" t="n"/>
      <c r="AB3591" s="75" t="n"/>
      <c r="AC3591" s="6" t="n"/>
      <c r="AD3591" s="75" t="n"/>
      <c r="AE3591" s="75" t="n"/>
      <c r="AF3591" s="75" t="n"/>
    </row>
    <row r="3592" ht="15.75" customHeight="1" s="133">
      <c r="A3592" s="75" t="n"/>
      <c r="B3592" s="75" t="n"/>
      <c r="C3592" s="75" t="n"/>
      <c r="D3592" s="75" t="n"/>
      <c r="E3592" s="76" t="n"/>
      <c r="F3592" s="77" t="n"/>
      <c r="G3592" s="75" t="n"/>
      <c r="H3592" s="75">
        <f>IF(ISBLANK(E3592),"",IF(OR(D3592="Butterfly",D3592="Butterfly ",D3592="Iron Fly", D3592="Iron Fly "),LEN(E3592)-LEN(SUBSTITUTE(E3592,"/",""))+2,LEN(E3592)-LEN(SUBSTITUTE(E3592,"/",""))+1))</f>
        <v/>
      </c>
      <c r="I3592" s="78">
        <f>IF(ISBLANK(G3592),"",IF(D3592="Stock","0",Key!$A$3*H3592*G3592))</f>
        <v/>
      </c>
      <c r="J3592" s="78">
        <f>IF(ISBLANK(E3592),"",IF(ISNUMBER(SEARCH("/",E3592)), IF(LEN(E3592)-LEN(SUBSTITUTE(E3592,"/",""))=1,(RIGHT(E3592,LEN(E3592)-FIND("/",E3592)))-(LEFT(E3592,FIND("/",E3592)-1)),(MID(E3592, SEARCH("/",E3592) + 1, SEARCH("/",E3592, SEARCH("/",E3592)+1) - SEARCH("/",E3592) - 1))-(LEFT(E3592,FIND("/",E3592)-1))), "NA"))</f>
        <v/>
      </c>
      <c r="K3592" s="79">
        <f>IF(A3592&lt;&gt;"", IF(ISBLANK(L3592), TODAY(), K3592), "")</f>
        <v/>
      </c>
      <c r="L3592" s="78" t="n"/>
      <c r="M3592" s="78">
        <f>IF(ISBLANK(L3592),"",IF(D3592="Stock",IF(C3592="Buy",L3592*G3592,IF(C3592="Sell",(L3592*G3592)-I3592, X)),IF(C3592="Buy",(L3592*G3592*100)+I3592,IF(C3592="Sell",(L3592*G3592*100)-I3592, X))))</f>
        <v/>
      </c>
      <c r="N3592" s="78">
        <f>IF(ISBLANK(L3592),"",IF(AND(C3592="Sell",D3592="Stock"),M3592,IF(ISBLANK(L3592),"",IF(C3592="Buy",M3592, IF(AND(C3592="Sell",J3592="NA"),(E3592*G3592*100*0.1)+I3592, IF(C3592="Sell",(J3592-L3592)*(100*G3592)+I3592))))))</f>
        <v/>
      </c>
      <c r="O3592" s="75" t="n"/>
      <c r="P3592" s="75" t="n"/>
      <c r="Q3592" s="75">
        <f>IF(ISBLANK(P3592),"",IF(D3592="Stock",P3592*G3592,IF(P3592=0,"0",G3592*P3592*100-(G3592*$AF$14))))</f>
        <v/>
      </c>
      <c r="R3592" s="79">
        <f>IF(P3592&lt;&gt;"", TODAY(), "")</f>
        <v/>
      </c>
      <c r="S3592" s="78">
        <f>IF(AND(K3592&lt;&gt;"", R3592&lt;&gt;""), R3592-K3592, "")</f>
        <v/>
      </c>
      <c r="T3592" s="78" t="n"/>
      <c r="U3592" s="92">
        <f>IF(ISBLANK(P3592),"",IF(C3592="Buy",Q3592-M3592+T3592, IF(C3592="Sell",M3592-Q3592-T3592, X)))</f>
        <v/>
      </c>
      <c r="V3592" s="81">
        <f>IF(ISBLANK(P3592),"",U3592/N3592)</f>
        <v/>
      </c>
      <c r="W3592" s="81">
        <f>IF(ISBLANK(P3592),"",IF(S3592=0,(365/0.5)*V3592,(365/S3592)*V3592))</f>
        <v/>
      </c>
      <c r="X3592" s="75" t="n"/>
      <c r="Y3592" s="77" t="n"/>
      <c r="Z3592" s="77" t="n"/>
      <c r="AA3592" s="75" t="n"/>
      <c r="AB3592" s="75" t="n"/>
      <c r="AC3592" s="6" t="n"/>
      <c r="AD3592" s="75" t="n"/>
      <c r="AE3592" s="75" t="n"/>
      <c r="AF3592" s="75" t="n"/>
    </row>
    <row r="3593" ht="15.75" customHeight="1" s="133">
      <c r="A3593" s="75" t="n"/>
      <c r="B3593" s="75" t="n"/>
      <c r="C3593" s="75" t="n"/>
      <c r="D3593" s="75" t="n"/>
      <c r="E3593" s="76" t="n"/>
      <c r="F3593" s="77" t="n"/>
      <c r="G3593" s="75" t="n"/>
      <c r="H3593" s="75">
        <f>IF(ISBLANK(E3593),"",IF(OR(D3593="Butterfly",D3593="Butterfly ",D3593="Iron Fly", D3593="Iron Fly "),LEN(E3593)-LEN(SUBSTITUTE(E3593,"/",""))+2,LEN(E3593)-LEN(SUBSTITUTE(E3593,"/",""))+1))</f>
        <v/>
      </c>
      <c r="I3593" s="78">
        <f>IF(ISBLANK(G3593),"",IF(D3593="Stock","0",Key!$A$3*H3593*G3593))</f>
        <v/>
      </c>
      <c r="J3593" s="78">
        <f>IF(ISBLANK(E3593),"",IF(ISNUMBER(SEARCH("/",E3593)), IF(LEN(E3593)-LEN(SUBSTITUTE(E3593,"/",""))=1,(RIGHT(E3593,LEN(E3593)-FIND("/",E3593)))-(LEFT(E3593,FIND("/",E3593)-1)),(MID(E3593, SEARCH("/",E3593) + 1, SEARCH("/",E3593, SEARCH("/",E3593)+1) - SEARCH("/",E3593) - 1))-(LEFT(E3593,FIND("/",E3593)-1))), "NA"))</f>
        <v/>
      </c>
      <c r="K3593" s="79">
        <f>IF(A3593&lt;&gt;"", IF(ISBLANK(L3593), TODAY(), K3593), "")</f>
        <v/>
      </c>
      <c r="L3593" s="78" t="n"/>
      <c r="M3593" s="78">
        <f>IF(ISBLANK(L3593),"",IF(D3593="Stock",IF(C3593="Buy",L3593*G3593,IF(C3593="Sell",(L3593*G3593)-I3593, X)),IF(C3593="Buy",(L3593*G3593*100)+I3593,IF(C3593="Sell",(L3593*G3593*100)-I3593, X))))</f>
        <v/>
      </c>
      <c r="N3593" s="78">
        <f>IF(ISBLANK(L3593),"",IF(AND(C3593="Sell",D3593="Stock"),M3593,IF(ISBLANK(L3593),"",IF(C3593="Buy",M3593, IF(AND(C3593="Sell",J3593="NA"),(E3593*G3593*100*0.1)+I3593, IF(C3593="Sell",(J3593-L3593)*(100*G3593)+I3593))))))</f>
        <v/>
      </c>
      <c r="O3593" s="75" t="n"/>
      <c r="P3593" s="75" t="n"/>
      <c r="Q3593" s="75">
        <f>IF(ISBLANK(P3593),"",IF(D3593="Stock",P3593*G3593,IF(P3593=0,"0",G3593*P3593*100-(G3593*$AF$14))))</f>
        <v/>
      </c>
      <c r="R3593" s="79">
        <f>IF(P3593&lt;&gt;"", TODAY(), "")</f>
        <v/>
      </c>
      <c r="S3593" s="78">
        <f>IF(AND(K3593&lt;&gt;"", R3593&lt;&gt;""), R3593-K3593, "")</f>
        <v/>
      </c>
      <c r="T3593" s="78" t="n"/>
      <c r="U3593" s="92">
        <f>IF(ISBLANK(P3593),"",IF(C3593="Buy",Q3593-M3593+T3593, IF(C3593="Sell",M3593-Q3593-T3593, X)))</f>
        <v/>
      </c>
      <c r="V3593" s="81">
        <f>IF(ISBLANK(P3593),"",U3593/N3593)</f>
        <v/>
      </c>
      <c r="W3593" s="81">
        <f>IF(ISBLANK(P3593),"",IF(S3593=0,(365/0.5)*V3593,(365/S3593)*V3593))</f>
        <v/>
      </c>
      <c r="X3593" s="75" t="n"/>
      <c r="Y3593" s="77" t="n"/>
      <c r="Z3593" s="77" t="n"/>
      <c r="AA3593" s="75" t="n"/>
      <c r="AB3593" s="75" t="n"/>
      <c r="AC3593" s="6" t="n"/>
      <c r="AD3593" s="75" t="n"/>
      <c r="AE3593" s="75" t="n"/>
      <c r="AF3593" s="75" t="n"/>
    </row>
    <row r="3594" ht="15.75" customHeight="1" s="133">
      <c r="A3594" s="75" t="n"/>
      <c r="B3594" s="75" t="n"/>
      <c r="C3594" s="75" t="n"/>
      <c r="D3594" s="75" t="n"/>
      <c r="E3594" s="76" t="n"/>
      <c r="F3594" s="77" t="n"/>
      <c r="G3594" s="75" t="n"/>
      <c r="H3594" s="75">
        <f>IF(ISBLANK(E3594),"",IF(OR(D3594="Butterfly",D3594="Butterfly ",D3594="Iron Fly", D3594="Iron Fly "),LEN(E3594)-LEN(SUBSTITUTE(E3594,"/",""))+2,LEN(E3594)-LEN(SUBSTITUTE(E3594,"/",""))+1))</f>
        <v/>
      </c>
      <c r="I3594" s="78">
        <f>IF(ISBLANK(G3594),"",IF(D3594="Stock","0",Key!$A$3*H3594*G3594))</f>
        <v/>
      </c>
      <c r="J3594" s="78">
        <f>IF(ISBLANK(E3594),"",IF(ISNUMBER(SEARCH("/",E3594)), IF(LEN(E3594)-LEN(SUBSTITUTE(E3594,"/",""))=1,(RIGHT(E3594,LEN(E3594)-FIND("/",E3594)))-(LEFT(E3594,FIND("/",E3594)-1)),(MID(E3594, SEARCH("/",E3594) + 1, SEARCH("/",E3594, SEARCH("/",E3594)+1) - SEARCH("/",E3594) - 1))-(LEFT(E3594,FIND("/",E3594)-1))), "NA"))</f>
        <v/>
      </c>
      <c r="K3594" s="79">
        <f>IF(A3594&lt;&gt;"", IF(ISBLANK(L3594), TODAY(), K3594), "")</f>
        <v/>
      </c>
      <c r="L3594" s="78" t="n"/>
      <c r="M3594" s="78">
        <f>IF(ISBLANK(L3594),"",IF(D3594="Stock",IF(C3594="Buy",L3594*G3594,IF(C3594="Sell",(L3594*G3594)-I3594, X)),IF(C3594="Buy",(L3594*G3594*100)+I3594,IF(C3594="Sell",(L3594*G3594*100)-I3594, X))))</f>
        <v/>
      </c>
      <c r="N3594" s="78">
        <f>IF(ISBLANK(L3594),"",IF(AND(C3594="Sell",D3594="Stock"),M3594,IF(ISBLANK(L3594),"",IF(C3594="Buy",M3594, IF(AND(C3594="Sell",J3594="NA"),(E3594*G3594*100*0.1)+I3594, IF(C3594="Sell",(J3594-L3594)*(100*G3594)+I3594))))))</f>
        <v/>
      </c>
      <c r="O3594" s="75" t="n"/>
      <c r="P3594" s="75" t="n"/>
      <c r="Q3594" s="75">
        <f>IF(ISBLANK(P3594),"",IF(D3594="Stock",P3594*G3594,IF(P3594=0,"0",G3594*P3594*100-(G3594*$AF$14))))</f>
        <v/>
      </c>
      <c r="R3594" s="79">
        <f>IF(P3594&lt;&gt;"", TODAY(), "")</f>
        <v/>
      </c>
      <c r="S3594" s="78">
        <f>IF(AND(K3594&lt;&gt;"", R3594&lt;&gt;""), R3594-K3594, "")</f>
        <v/>
      </c>
      <c r="T3594" s="78" t="n"/>
      <c r="U3594" s="92">
        <f>IF(ISBLANK(P3594),"",IF(C3594="Buy",Q3594-M3594+T3594, IF(C3594="Sell",M3594-Q3594-T3594, X)))</f>
        <v/>
      </c>
      <c r="V3594" s="81">
        <f>IF(ISBLANK(P3594),"",U3594/N3594)</f>
        <v/>
      </c>
      <c r="W3594" s="81">
        <f>IF(ISBLANK(P3594),"",IF(S3594=0,(365/0.5)*V3594,(365/S3594)*V3594))</f>
        <v/>
      </c>
      <c r="X3594" s="75" t="n"/>
      <c r="Y3594" s="77" t="n"/>
      <c r="Z3594" s="77" t="n"/>
      <c r="AA3594" s="75" t="n"/>
      <c r="AB3594" s="75" t="n"/>
      <c r="AC3594" s="6" t="n"/>
      <c r="AD3594" s="75" t="n"/>
      <c r="AE3594" s="75" t="n"/>
      <c r="AF3594" s="75" t="n"/>
    </row>
    <row r="3595" ht="15.75" customHeight="1" s="133">
      <c r="A3595" s="75" t="n"/>
      <c r="B3595" s="75" t="n"/>
      <c r="C3595" s="75" t="n"/>
      <c r="D3595" s="75" t="n"/>
      <c r="E3595" s="76" t="n"/>
      <c r="F3595" s="77" t="n"/>
      <c r="G3595" s="75" t="n"/>
      <c r="H3595" s="75">
        <f>IF(ISBLANK(E3595),"",IF(OR(D3595="Butterfly",D3595="Butterfly ",D3595="Iron Fly", D3595="Iron Fly "),LEN(E3595)-LEN(SUBSTITUTE(E3595,"/",""))+2,LEN(E3595)-LEN(SUBSTITUTE(E3595,"/",""))+1))</f>
        <v/>
      </c>
      <c r="I3595" s="78">
        <f>IF(ISBLANK(G3595),"",IF(D3595="Stock","0",Key!$A$3*H3595*G3595))</f>
        <v/>
      </c>
      <c r="J3595" s="78">
        <f>IF(ISBLANK(E3595),"",IF(ISNUMBER(SEARCH("/",E3595)), IF(LEN(E3595)-LEN(SUBSTITUTE(E3595,"/",""))=1,(RIGHT(E3595,LEN(E3595)-FIND("/",E3595)))-(LEFT(E3595,FIND("/",E3595)-1)),(MID(E3595, SEARCH("/",E3595) + 1, SEARCH("/",E3595, SEARCH("/",E3595)+1) - SEARCH("/",E3595) - 1))-(LEFT(E3595,FIND("/",E3595)-1))), "NA"))</f>
        <v/>
      </c>
      <c r="K3595" s="79">
        <f>IF(A3595&lt;&gt;"", IF(ISBLANK(L3595), TODAY(), K3595), "")</f>
        <v/>
      </c>
      <c r="L3595" s="78" t="n"/>
      <c r="M3595" s="78">
        <f>IF(ISBLANK(L3595),"",IF(D3595="Stock",IF(C3595="Buy",L3595*G3595,IF(C3595="Sell",(L3595*G3595)-I3595, X)),IF(C3595="Buy",(L3595*G3595*100)+I3595,IF(C3595="Sell",(L3595*G3595*100)-I3595, X))))</f>
        <v/>
      </c>
      <c r="N3595" s="78">
        <f>IF(ISBLANK(L3595),"",IF(AND(C3595="Sell",D3595="Stock"),M3595,IF(ISBLANK(L3595),"",IF(C3595="Buy",M3595, IF(AND(C3595="Sell",J3595="NA"),(E3595*G3595*100*0.1)+I3595, IF(C3595="Sell",(J3595-L3595)*(100*G3595)+I3595))))))</f>
        <v/>
      </c>
      <c r="O3595" s="75" t="n"/>
      <c r="P3595" s="75" t="n"/>
      <c r="Q3595" s="75">
        <f>IF(ISBLANK(P3595),"",IF(D3595="Stock",P3595*G3595,IF(P3595=0,"0",G3595*P3595*100-(G3595*$AF$14))))</f>
        <v/>
      </c>
      <c r="R3595" s="79">
        <f>IF(P3595&lt;&gt;"", TODAY(), "")</f>
        <v/>
      </c>
      <c r="S3595" s="78">
        <f>IF(AND(K3595&lt;&gt;"", R3595&lt;&gt;""), R3595-K3595, "")</f>
        <v/>
      </c>
      <c r="T3595" s="78" t="n"/>
      <c r="U3595" s="92">
        <f>IF(ISBLANK(P3595),"",IF(C3595="Buy",Q3595-M3595+T3595, IF(C3595="Sell",M3595-Q3595-T3595, X)))</f>
        <v/>
      </c>
      <c r="V3595" s="81">
        <f>IF(ISBLANK(P3595),"",U3595/N3595)</f>
        <v/>
      </c>
      <c r="W3595" s="81">
        <f>IF(ISBLANK(P3595),"",IF(S3595=0,(365/0.5)*V3595,(365/S3595)*V3595))</f>
        <v/>
      </c>
      <c r="X3595" s="75" t="n"/>
      <c r="Y3595" s="77" t="n"/>
      <c r="Z3595" s="77" t="n"/>
      <c r="AA3595" s="75" t="n"/>
      <c r="AB3595" s="75" t="n"/>
      <c r="AC3595" s="6" t="n"/>
      <c r="AD3595" s="75" t="n"/>
      <c r="AE3595" s="75" t="n"/>
      <c r="AF3595" s="75" t="n"/>
    </row>
    <row r="3596" ht="15.75" customHeight="1" s="133">
      <c r="A3596" s="75" t="n"/>
      <c r="B3596" s="75" t="n"/>
      <c r="C3596" s="75" t="n"/>
      <c r="D3596" s="75" t="n"/>
      <c r="E3596" s="76" t="n"/>
      <c r="F3596" s="77" t="n"/>
      <c r="G3596" s="75" t="n"/>
      <c r="H3596" s="75">
        <f>IF(ISBLANK(E3596),"",IF(OR(D3596="Butterfly",D3596="Butterfly ",D3596="Iron Fly", D3596="Iron Fly "),LEN(E3596)-LEN(SUBSTITUTE(E3596,"/",""))+2,LEN(E3596)-LEN(SUBSTITUTE(E3596,"/",""))+1))</f>
        <v/>
      </c>
      <c r="I3596" s="78">
        <f>IF(ISBLANK(G3596),"",IF(D3596="Stock","0",Key!$A$3*H3596*G3596))</f>
        <v/>
      </c>
      <c r="J3596" s="78">
        <f>IF(ISBLANK(E3596),"",IF(ISNUMBER(SEARCH("/",E3596)), IF(LEN(E3596)-LEN(SUBSTITUTE(E3596,"/",""))=1,(RIGHT(E3596,LEN(E3596)-FIND("/",E3596)))-(LEFT(E3596,FIND("/",E3596)-1)),(MID(E3596, SEARCH("/",E3596) + 1, SEARCH("/",E3596, SEARCH("/",E3596)+1) - SEARCH("/",E3596) - 1))-(LEFT(E3596,FIND("/",E3596)-1))), "NA"))</f>
        <v/>
      </c>
      <c r="K3596" s="79">
        <f>IF(A3596&lt;&gt;"", IF(ISBLANK(L3596), TODAY(), K3596), "")</f>
        <v/>
      </c>
      <c r="L3596" s="78" t="n"/>
      <c r="M3596" s="78">
        <f>IF(ISBLANK(L3596),"",IF(D3596="Stock",IF(C3596="Buy",L3596*G3596,IF(C3596="Sell",(L3596*G3596)-I3596, X)),IF(C3596="Buy",(L3596*G3596*100)+I3596,IF(C3596="Sell",(L3596*G3596*100)-I3596, X))))</f>
        <v/>
      </c>
      <c r="N3596" s="78">
        <f>IF(ISBLANK(L3596),"",IF(AND(C3596="Sell",D3596="Stock"),M3596,IF(ISBLANK(L3596),"",IF(C3596="Buy",M3596, IF(AND(C3596="Sell",J3596="NA"),(E3596*G3596*100*0.1)+I3596, IF(C3596="Sell",(J3596-L3596)*(100*G3596)+I3596))))))</f>
        <v/>
      </c>
      <c r="O3596" s="75" t="n"/>
      <c r="P3596" s="75" t="n"/>
      <c r="Q3596" s="75">
        <f>IF(ISBLANK(P3596),"",IF(D3596="Stock",P3596*G3596,IF(P3596=0,"0",G3596*P3596*100-(G3596*$AF$14))))</f>
        <v/>
      </c>
      <c r="R3596" s="79">
        <f>IF(P3596&lt;&gt;"", TODAY(), "")</f>
        <v/>
      </c>
      <c r="S3596" s="78">
        <f>IF(AND(K3596&lt;&gt;"", R3596&lt;&gt;""), R3596-K3596, "")</f>
        <v/>
      </c>
      <c r="T3596" s="78" t="n"/>
      <c r="U3596" s="92">
        <f>IF(ISBLANK(P3596),"",IF(C3596="Buy",Q3596-M3596+T3596, IF(C3596="Sell",M3596-Q3596-T3596, X)))</f>
        <v/>
      </c>
      <c r="V3596" s="81">
        <f>IF(ISBLANK(P3596),"",U3596/N3596)</f>
        <v/>
      </c>
      <c r="W3596" s="81">
        <f>IF(ISBLANK(P3596),"",IF(S3596=0,(365/0.5)*V3596,(365/S3596)*V3596))</f>
        <v/>
      </c>
      <c r="X3596" s="75" t="n"/>
      <c r="Y3596" s="77" t="n"/>
      <c r="Z3596" s="77" t="n"/>
      <c r="AA3596" s="75" t="n"/>
      <c r="AB3596" s="75" t="n"/>
      <c r="AC3596" s="6" t="n"/>
      <c r="AD3596" s="75" t="n"/>
      <c r="AE3596" s="75" t="n"/>
      <c r="AF3596" s="75" t="n"/>
    </row>
    <row r="3597" ht="15.75" customHeight="1" s="133">
      <c r="A3597" s="75" t="n"/>
      <c r="B3597" s="75" t="n"/>
      <c r="C3597" s="75" t="n"/>
      <c r="D3597" s="75" t="n"/>
      <c r="E3597" s="76" t="n"/>
      <c r="F3597" s="77" t="n"/>
      <c r="G3597" s="75" t="n"/>
      <c r="H3597" s="75">
        <f>IF(ISBLANK(E3597),"",IF(OR(D3597="Butterfly",D3597="Butterfly ",D3597="Iron Fly", D3597="Iron Fly "),LEN(E3597)-LEN(SUBSTITUTE(E3597,"/",""))+2,LEN(E3597)-LEN(SUBSTITUTE(E3597,"/",""))+1))</f>
        <v/>
      </c>
      <c r="I3597" s="78">
        <f>IF(ISBLANK(G3597),"",IF(D3597="Stock","0",Key!$A$3*H3597*G3597))</f>
        <v/>
      </c>
      <c r="J3597" s="78">
        <f>IF(ISBLANK(E3597),"",IF(ISNUMBER(SEARCH("/",E3597)), IF(LEN(E3597)-LEN(SUBSTITUTE(E3597,"/",""))=1,(RIGHT(E3597,LEN(E3597)-FIND("/",E3597)))-(LEFT(E3597,FIND("/",E3597)-1)),(MID(E3597, SEARCH("/",E3597) + 1, SEARCH("/",E3597, SEARCH("/",E3597)+1) - SEARCH("/",E3597) - 1))-(LEFT(E3597,FIND("/",E3597)-1))), "NA"))</f>
        <v/>
      </c>
      <c r="K3597" s="79">
        <f>IF(A3597&lt;&gt;"", IF(ISBLANK(L3597), TODAY(), K3597), "")</f>
        <v/>
      </c>
      <c r="L3597" s="78" t="n"/>
      <c r="M3597" s="78">
        <f>IF(ISBLANK(L3597),"",IF(D3597="Stock",IF(C3597="Buy",L3597*G3597,IF(C3597="Sell",(L3597*G3597)-I3597, X)),IF(C3597="Buy",(L3597*G3597*100)+I3597,IF(C3597="Sell",(L3597*G3597*100)-I3597, X))))</f>
        <v/>
      </c>
      <c r="N3597" s="78">
        <f>IF(ISBLANK(L3597),"",IF(AND(C3597="Sell",D3597="Stock"),M3597,IF(ISBLANK(L3597),"",IF(C3597="Buy",M3597, IF(AND(C3597="Sell",J3597="NA"),(E3597*G3597*100*0.1)+I3597, IF(C3597="Sell",(J3597-L3597)*(100*G3597)+I3597))))))</f>
        <v/>
      </c>
      <c r="O3597" s="75" t="n"/>
      <c r="P3597" s="75" t="n"/>
      <c r="Q3597" s="75">
        <f>IF(ISBLANK(P3597),"",IF(D3597="Stock",P3597*G3597,IF(P3597=0,"0",G3597*P3597*100-(G3597*$AF$14))))</f>
        <v/>
      </c>
      <c r="R3597" s="79">
        <f>IF(P3597&lt;&gt;"", TODAY(), "")</f>
        <v/>
      </c>
      <c r="S3597" s="78">
        <f>IF(AND(K3597&lt;&gt;"", R3597&lt;&gt;""), R3597-K3597, "")</f>
        <v/>
      </c>
      <c r="T3597" s="78" t="n"/>
      <c r="U3597" s="92">
        <f>IF(ISBLANK(P3597),"",IF(C3597="Buy",Q3597-M3597+T3597, IF(C3597="Sell",M3597-Q3597-T3597, X)))</f>
        <v/>
      </c>
      <c r="V3597" s="81">
        <f>IF(ISBLANK(P3597),"",U3597/N3597)</f>
        <v/>
      </c>
      <c r="W3597" s="81">
        <f>IF(ISBLANK(P3597),"",IF(S3597=0,(365/0.5)*V3597,(365/S3597)*V3597))</f>
        <v/>
      </c>
      <c r="X3597" s="75" t="n"/>
      <c r="Y3597" s="77" t="n"/>
      <c r="Z3597" s="77" t="n"/>
      <c r="AA3597" s="75" t="n"/>
      <c r="AB3597" s="75" t="n"/>
      <c r="AC3597" s="6" t="n"/>
      <c r="AD3597" s="75" t="n"/>
      <c r="AE3597" s="75" t="n"/>
      <c r="AF3597" s="75" t="n"/>
    </row>
    <row r="3598" ht="15.75" customHeight="1" s="133">
      <c r="A3598" s="75" t="n"/>
      <c r="B3598" s="75" t="n"/>
      <c r="C3598" s="75" t="n"/>
      <c r="D3598" s="75" t="n"/>
      <c r="E3598" s="76" t="n"/>
      <c r="F3598" s="77" t="n"/>
      <c r="G3598" s="75" t="n"/>
      <c r="H3598" s="75">
        <f>IF(ISBLANK(E3598),"",IF(OR(D3598="Butterfly",D3598="Butterfly ",D3598="Iron Fly", D3598="Iron Fly "),LEN(E3598)-LEN(SUBSTITUTE(E3598,"/",""))+2,LEN(E3598)-LEN(SUBSTITUTE(E3598,"/",""))+1))</f>
        <v/>
      </c>
      <c r="I3598" s="78">
        <f>IF(ISBLANK(G3598),"",IF(D3598="Stock","0",Key!$A$3*H3598*G3598))</f>
        <v/>
      </c>
      <c r="J3598" s="78">
        <f>IF(ISBLANK(E3598),"",IF(ISNUMBER(SEARCH("/",E3598)), IF(LEN(E3598)-LEN(SUBSTITUTE(E3598,"/",""))=1,(RIGHT(E3598,LEN(E3598)-FIND("/",E3598)))-(LEFT(E3598,FIND("/",E3598)-1)),(MID(E3598, SEARCH("/",E3598) + 1, SEARCH("/",E3598, SEARCH("/",E3598)+1) - SEARCH("/",E3598) - 1))-(LEFT(E3598,FIND("/",E3598)-1))), "NA"))</f>
        <v/>
      </c>
      <c r="K3598" s="79">
        <f>IF(A3598&lt;&gt;"", IF(ISBLANK(L3598), TODAY(), K3598), "")</f>
        <v/>
      </c>
      <c r="L3598" s="78" t="n"/>
      <c r="M3598" s="78">
        <f>IF(ISBLANK(L3598),"",IF(D3598="Stock",IF(C3598="Buy",L3598*G3598,IF(C3598="Sell",(L3598*G3598)-I3598, X)),IF(C3598="Buy",(L3598*G3598*100)+I3598,IF(C3598="Sell",(L3598*G3598*100)-I3598, X))))</f>
        <v/>
      </c>
      <c r="N3598" s="78">
        <f>IF(ISBLANK(L3598),"",IF(AND(C3598="Sell",D3598="Stock"),M3598,IF(ISBLANK(L3598),"",IF(C3598="Buy",M3598, IF(AND(C3598="Sell",J3598="NA"),(E3598*G3598*100*0.1)+I3598, IF(C3598="Sell",(J3598-L3598)*(100*G3598)+I3598))))))</f>
        <v/>
      </c>
      <c r="O3598" s="75" t="n"/>
      <c r="P3598" s="75" t="n"/>
      <c r="Q3598" s="75">
        <f>IF(ISBLANK(P3598),"",IF(D3598="Stock",P3598*G3598,IF(P3598=0,"0",G3598*P3598*100-(G3598*$AF$14))))</f>
        <v/>
      </c>
      <c r="R3598" s="79">
        <f>IF(P3598&lt;&gt;"", TODAY(), "")</f>
        <v/>
      </c>
      <c r="S3598" s="78">
        <f>IF(AND(K3598&lt;&gt;"", R3598&lt;&gt;""), R3598-K3598, "")</f>
        <v/>
      </c>
      <c r="T3598" s="78" t="n"/>
      <c r="U3598" s="92">
        <f>IF(ISBLANK(P3598),"",IF(C3598="Buy",Q3598-M3598+T3598, IF(C3598="Sell",M3598-Q3598-T3598, X)))</f>
        <v/>
      </c>
      <c r="V3598" s="81">
        <f>IF(ISBLANK(P3598),"",U3598/N3598)</f>
        <v/>
      </c>
      <c r="W3598" s="81">
        <f>IF(ISBLANK(P3598),"",IF(S3598=0,(365/0.5)*V3598,(365/S3598)*V3598))</f>
        <v/>
      </c>
      <c r="X3598" s="75" t="n"/>
      <c r="Y3598" s="77" t="n"/>
      <c r="Z3598" s="77" t="n"/>
      <c r="AA3598" s="75" t="n"/>
      <c r="AB3598" s="75" t="n"/>
      <c r="AC3598" s="6" t="n"/>
      <c r="AD3598" s="75" t="n"/>
      <c r="AE3598" s="75" t="n"/>
      <c r="AF3598" s="75" t="n"/>
    </row>
    <row r="3599" ht="15.75" customHeight="1" s="133">
      <c r="A3599" s="75" t="n"/>
      <c r="B3599" s="75" t="n"/>
      <c r="C3599" s="75" t="n"/>
      <c r="D3599" s="75" t="n"/>
      <c r="E3599" s="76" t="n"/>
      <c r="F3599" s="77" t="n"/>
      <c r="G3599" s="75" t="n"/>
      <c r="H3599" s="75">
        <f>IF(ISBLANK(E3599),"",IF(OR(D3599="Butterfly",D3599="Butterfly ",D3599="Iron Fly", D3599="Iron Fly "),LEN(E3599)-LEN(SUBSTITUTE(E3599,"/",""))+2,LEN(E3599)-LEN(SUBSTITUTE(E3599,"/",""))+1))</f>
        <v/>
      </c>
      <c r="I3599" s="78">
        <f>IF(ISBLANK(G3599),"",IF(D3599="Stock","0",Key!$A$3*H3599*G3599))</f>
        <v/>
      </c>
      <c r="J3599" s="78">
        <f>IF(ISBLANK(E3599),"",IF(ISNUMBER(SEARCH("/",E3599)), IF(LEN(E3599)-LEN(SUBSTITUTE(E3599,"/",""))=1,(RIGHT(E3599,LEN(E3599)-FIND("/",E3599)))-(LEFT(E3599,FIND("/",E3599)-1)),(MID(E3599, SEARCH("/",E3599) + 1, SEARCH("/",E3599, SEARCH("/",E3599)+1) - SEARCH("/",E3599) - 1))-(LEFT(E3599,FIND("/",E3599)-1))), "NA"))</f>
        <v/>
      </c>
      <c r="K3599" s="79">
        <f>IF(A3599&lt;&gt;"", IF(ISBLANK(L3599), TODAY(), K3599), "")</f>
        <v/>
      </c>
      <c r="L3599" s="78" t="n"/>
      <c r="M3599" s="78">
        <f>IF(ISBLANK(L3599),"",IF(D3599="Stock",IF(C3599="Buy",L3599*G3599,IF(C3599="Sell",(L3599*G3599)-I3599, X)),IF(C3599="Buy",(L3599*G3599*100)+I3599,IF(C3599="Sell",(L3599*G3599*100)-I3599, X))))</f>
        <v/>
      </c>
      <c r="N3599" s="78">
        <f>IF(ISBLANK(L3599),"",IF(AND(C3599="Sell",D3599="Stock"),M3599,IF(ISBLANK(L3599),"",IF(C3599="Buy",M3599, IF(AND(C3599="Sell",J3599="NA"),(E3599*G3599*100*0.1)+I3599, IF(C3599="Sell",(J3599-L3599)*(100*G3599)+I3599))))))</f>
        <v/>
      </c>
      <c r="O3599" s="75" t="n"/>
      <c r="P3599" s="75" t="n"/>
      <c r="Q3599" s="75">
        <f>IF(ISBLANK(P3599),"",IF(D3599="Stock",P3599*G3599,IF(P3599=0,"0",G3599*P3599*100-(G3599*$AF$14))))</f>
        <v/>
      </c>
      <c r="R3599" s="79">
        <f>IF(P3599&lt;&gt;"", TODAY(), "")</f>
        <v/>
      </c>
      <c r="S3599" s="78">
        <f>IF(AND(K3599&lt;&gt;"", R3599&lt;&gt;""), R3599-K3599, "")</f>
        <v/>
      </c>
      <c r="T3599" s="78" t="n"/>
      <c r="U3599" s="92">
        <f>IF(ISBLANK(P3599),"",IF(C3599="Buy",Q3599-M3599+T3599, IF(C3599="Sell",M3599-Q3599-T3599, X)))</f>
        <v/>
      </c>
      <c r="V3599" s="81">
        <f>IF(ISBLANK(P3599),"",U3599/N3599)</f>
        <v/>
      </c>
      <c r="W3599" s="81">
        <f>IF(ISBLANK(P3599),"",IF(S3599=0,(365/0.5)*V3599,(365/S3599)*V3599))</f>
        <v/>
      </c>
      <c r="X3599" s="75" t="n"/>
      <c r="Y3599" s="77" t="n"/>
      <c r="Z3599" s="77" t="n"/>
      <c r="AA3599" s="75" t="n"/>
      <c r="AB3599" s="75" t="n"/>
      <c r="AC3599" s="6" t="n"/>
      <c r="AD3599" s="75" t="n"/>
      <c r="AE3599" s="75" t="n"/>
      <c r="AF3599" s="75" t="n"/>
    </row>
    <row r="3600" ht="15.75" customHeight="1" s="133">
      <c r="A3600" s="75" t="n"/>
      <c r="B3600" s="75" t="n"/>
      <c r="C3600" s="75" t="n"/>
      <c r="D3600" s="75" t="n"/>
      <c r="E3600" s="76" t="n"/>
      <c r="F3600" s="77" t="n"/>
      <c r="G3600" s="75" t="n"/>
      <c r="H3600" s="75">
        <f>IF(ISBLANK(E3600),"",IF(OR(D3600="Butterfly",D3600="Butterfly ",D3600="Iron Fly", D3600="Iron Fly "),LEN(E3600)-LEN(SUBSTITUTE(E3600,"/",""))+2,LEN(E3600)-LEN(SUBSTITUTE(E3600,"/",""))+1))</f>
        <v/>
      </c>
      <c r="I3600" s="78">
        <f>IF(ISBLANK(G3600),"",IF(D3600="Stock","0",Key!$A$3*H3600*G3600))</f>
        <v/>
      </c>
      <c r="J3600" s="78">
        <f>IF(ISBLANK(E3600),"",IF(ISNUMBER(SEARCH("/",E3600)), IF(LEN(E3600)-LEN(SUBSTITUTE(E3600,"/",""))=1,(RIGHT(E3600,LEN(E3600)-FIND("/",E3600)))-(LEFT(E3600,FIND("/",E3600)-1)),(MID(E3600, SEARCH("/",E3600) + 1, SEARCH("/",E3600, SEARCH("/",E3600)+1) - SEARCH("/",E3600) - 1))-(LEFT(E3600,FIND("/",E3600)-1))), "NA"))</f>
        <v/>
      </c>
      <c r="K3600" s="79">
        <f>IF(A3600&lt;&gt;"", IF(ISBLANK(L3600), TODAY(), K3600), "")</f>
        <v/>
      </c>
      <c r="L3600" s="78" t="n"/>
      <c r="M3600" s="78">
        <f>IF(ISBLANK(L3600),"",IF(D3600="Stock",IF(C3600="Buy",L3600*G3600,IF(C3600="Sell",(L3600*G3600)-I3600, X)),IF(C3600="Buy",(L3600*G3600*100)+I3600,IF(C3600="Sell",(L3600*G3600*100)-I3600, X))))</f>
        <v/>
      </c>
      <c r="N3600" s="78">
        <f>IF(ISBLANK(L3600),"",IF(AND(C3600="Sell",D3600="Stock"),M3600,IF(ISBLANK(L3600),"",IF(C3600="Buy",M3600, IF(AND(C3600="Sell",J3600="NA"),(E3600*G3600*100*0.1)+I3600, IF(C3600="Sell",(J3600-L3600)*(100*G3600)+I3600))))))</f>
        <v/>
      </c>
      <c r="O3600" s="75" t="n"/>
      <c r="P3600" s="75" t="n"/>
      <c r="Q3600" s="75">
        <f>IF(ISBLANK(P3600),"",IF(D3600="Stock",P3600*G3600,IF(P3600=0,"0",G3600*P3600*100-(G3600*$AF$14))))</f>
        <v/>
      </c>
      <c r="R3600" s="79">
        <f>IF(P3600&lt;&gt;"", TODAY(), "")</f>
        <v/>
      </c>
      <c r="S3600" s="78">
        <f>IF(AND(K3600&lt;&gt;"", R3600&lt;&gt;""), R3600-K3600, "")</f>
        <v/>
      </c>
      <c r="T3600" s="78" t="n"/>
      <c r="U3600" s="92">
        <f>IF(ISBLANK(P3600),"",IF(C3600="Buy",Q3600-M3600+T3600, IF(C3600="Sell",M3600-Q3600-T3600, X)))</f>
        <v/>
      </c>
      <c r="V3600" s="81">
        <f>IF(ISBLANK(P3600),"",U3600/N3600)</f>
        <v/>
      </c>
      <c r="W3600" s="81">
        <f>IF(ISBLANK(P3600),"",IF(S3600=0,(365/0.5)*V3600,(365/S3600)*V3600))</f>
        <v/>
      </c>
      <c r="X3600" s="75" t="n"/>
      <c r="Y3600" s="77" t="n"/>
      <c r="Z3600" s="77" t="n"/>
      <c r="AA3600" s="75" t="n"/>
      <c r="AB3600" s="75" t="n"/>
      <c r="AC3600" s="6" t="n"/>
      <c r="AD3600" s="75" t="n"/>
      <c r="AE3600" s="75" t="n"/>
      <c r="AF3600" s="75" t="n"/>
    </row>
    <row r="3601" ht="15.75" customHeight="1" s="133">
      <c r="A3601" s="75" t="n"/>
      <c r="B3601" s="75" t="n"/>
      <c r="C3601" s="75" t="n"/>
      <c r="D3601" s="75" t="n"/>
      <c r="E3601" s="76" t="n"/>
      <c r="F3601" s="77" t="n"/>
      <c r="G3601" s="75" t="n"/>
      <c r="H3601" s="75">
        <f>IF(ISBLANK(E3601),"",IF(OR(D3601="Butterfly",D3601="Butterfly ",D3601="Iron Fly", D3601="Iron Fly "),LEN(E3601)-LEN(SUBSTITUTE(E3601,"/",""))+2,LEN(E3601)-LEN(SUBSTITUTE(E3601,"/",""))+1))</f>
        <v/>
      </c>
      <c r="I3601" s="78">
        <f>IF(ISBLANK(G3601),"",IF(D3601="Stock","0",Key!$A$3*H3601*G3601))</f>
        <v/>
      </c>
      <c r="J3601" s="78">
        <f>IF(ISBLANK(E3601),"",IF(ISNUMBER(SEARCH("/",E3601)), IF(LEN(E3601)-LEN(SUBSTITUTE(E3601,"/",""))=1,(RIGHT(E3601,LEN(E3601)-FIND("/",E3601)))-(LEFT(E3601,FIND("/",E3601)-1)),(MID(E3601, SEARCH("/",E3601) + 1, SEARCH("/",E3601, SEARCH("/",E3601)+1) - SEARCH("/",E3601) - 1))-(LEFT(E3601,FIND("/",E3601)-1))), "NA"))</f>
        <v/>
      </c>
      <c r="K3601" s="79">
        <f>IF(A3601&lt;&gt;"", IF(ISBLANK(L3601), TODAY(), K3601), "")</f>
        <v/>
      </c>
      <c r="L3601" s="78" t="n"/>
      <c r="M3601" s="78">
        <f>IF(ISBLANK(L3601),"",IF(D3601="Stock",IF(C3601="Buy",L3601*G3601,IF(C3601="Sell",(L3601*G3601)-I3601, X)),IF(C3601="Buy",(L3601*G3601*100)+I3601,IF(C3601="Sell",(L3601*G3601*100)-I3601, X))))</f>
        <v/>
      </c>
      <c r="N3601" s="78">
        <f>IF(ISBLANK(L3601),"",IF(AND(C3601="Sell",D3601="Stock"),M3601,IF(ISBLANK(L3601),"",IF(C3601="Buy",M3601, IF(AND(C3601="Sell",J3601="NA"),(E3601*G3601*100*0.1)+I3601, IF(C3601="Sell",(J3601-L3601)*(100*G3601)+I3601))))))</f>
        <v/>
      </c>
      <c r="O3601" s="75" t="n"/>
      <c r="P3601" s="75" t="n"/>
      <c r="Q3601" s="75">
        <f>IF(ISBLANK(P3601),"",IF(D3601="Stock",P3601*G3601,IF(P3601=0,"0",G3601*P3601*100-(G3601*$AF$14))))</f>
        <v/>
      </c>
      <c r="R3601" s="79">
        <f>IF(P3601&lt;&gt;"", TODAY(), "")</f>
        <v/>
      </c>
      <c r="S3601" s="78">
        <f>IF(AND(K3601&lt;&gt;"", R3601&lt;&gt;""), R3601-K3601, "")</f>
        <v/>
      </c>
      <c r="T3601" s="78" t="n"/>
      <c r="U3601" s="92">
        <f>IF(ISBLANK(P3601),"",IF(C3601="Buy",Q3601-M3601+T3601, IF(C3601="Sell",M3601-Q3601-T3601, X)))</f>
        <v/>
      </c>
      <c r="V3601" s="81">
        <f>IF(ISBLANK(P3601),"",U3601/N3601)</f>
        <v/>
      </c>
      <c r="W3601" s="81">
        <f>IF(ISBLANK(P3601),"",IF(S3601=0,(365/0.5)*V3601,(365/S3601)*V3601))</f>
        <v/>
      </c>
      <c r="X3601" s="75" t="n"/>
      <c r="Y3601" s="77" t="n"/>
      <c r="Z3601" s="77" t="n"/>
      <c r="AA3601" s="75" t="n"/>
      <c r="AB3601" s="75" t="n"/>
      <c r="AC3601" s="6" t="n"/>
      <c r="AD3601" s="75" t="n"/>
      <c r="AE3601" s="75" t="n"/>
      <c r="AF3601" s="75" t="n"/>
    </row>
    <row r="3602" ht="15.75" customHeight="1" s="133">
      <c r="A3602" s="75" t="n"/>
      <c r="B3602" s="75" t="n"/>
      <c r="C3602" s="75" t="n"/>
      <c r="D3602" s="75" t="n"/>
      <c r="E3602" s="76" t="n"/>
      <c r="F3602" s="77" t="n"/>
      <c r="G3602" s="75" t="n"/>
      <c r="H3602" s="75">
        <f>IF(ISBLANK(E3602),"",IF(OR(D3602="Butterfly",D3602="Butterfly ",D3602="Iron Fly", D3602="Iron Fly "),LEN(E3602)-LEN(SUBSTITUTE(E3602,"/",""))+2,LEN(E3602)-LEN(SUBSTITUTE(E3602,"/",""))+1))</f>
        <v/>
      </c>
      <c r="I3602" s="78">
        <f>IF(ISBLANK(G3602),"",IF(D3602="Stock","0",Key!$A$3*H3602*G3602))</f>
        <v/>
      </c>
      <c r="J3602" s="78">
        <f>IF(ISBLANK(E3602),"",IF(ISNUMBER(SEARCH("/",E3602)), IF(LEN(E3602)-LEN(SUBSTITUTE(E3602,"/",""))=1,(RIGHT(E3602,LEN(E3602)-FIND("/",E3602)))-(LEFT(E3602,FIND("/",E3602)-1)),(MID(E3602, SEARCH("/",E3602) + 1, SEARCH("/",E3602, SEARCH("/",E3602)+1) - SEARCH("/",E3602) - 1))-(LEFT(E3602,FIND("/",E3602)-1))), "NA"))</f>
        <v/>
      </c>
      <c r="K3602" s="79">
        <f>IF(A3602&lt;&gt;"", IF(ISBLANK(L3602), TODAY(), K3602), "")</f>
        <v/>
      </c>
      <c r="L3602" s="78" t="n"/>
      <c r="M3602" s="78">
        <f>IF(ISBLANK(L3602),"",IF(D3602="Stock",IF(C3602="Buy",L3602*G3602,IF(C3602="Sell",(L3602*G3602)-I3602, X)),IF(C3602="Buy",(L3602*G3602*100)+I3602,IF(C3602="Sell",(L3602*G3602*100)-I3602, X))))</f>
        <v/>
      </c>
      <c r="N3602" s="78">
        <f>IF(ISBLANK(L3602),"",IF(AND(C3602="Sell",D3602="Stock"),M3602,IF(ISBLANK(L3602),"",IF(C3602="Buy",M3602, IF(AND(C3602="Sell",J3602="NA"),(E3602*G3602*100*0.1)+I3602, IF(C3602="Sell",(J3602-L3602)*(100*G3602)+I3602))))))</f>
        <v/>
      </c>
      <c r="O3602" s="75" t="n"/>
      <c r="P3602" s="75" t="n"/>
      <c r="Q3602" s="75">
        <f>IF(ISBLANK(P3602),"",IF(D3602="Stock",P3602*G3602,IF(P3602=0,"0",G3602*P3602*100-(G3602*$AF$14))))</f>
        <v/>
      </c>
      <c r="R3602" s="79">
        <f>IF(P3602&lt;&gt;"", TODAY(), "")</f>
        <v/>
      </c>
      <c r="S3602" s="78">
        <f>IF(AND(K3602&lt;&gt;"", R3602&lt;&gt;""), R3602-K3602, "")</f>
        <v/>
      </c>
      <c r="T3602" s="78" t="n"/>
      <c r="U3602" s="92">
        <f>IF(ISBLANK(P3602),"",IF(C3602="Buy",Q3602-M3602+T3602, IF(C3602="Sell",M3602-Q3602-T3602, X)))</f>
        <v/>
      </c>
      <c r="V3602" s="81">
        <f>IF(ISBLANK(P3602),"",U3602/N3602)</f>
        <v/>
      </c>
      <c r="W3602" s="81">
        <f>IF(ISBLANK(P3602),"",IF(S3602=0,(365/0.5)*V3602,(365/S3602)*V3602))</f>
        <v/>
      </c>
      <c r="X3602" s="75" t="n"/>
      <c r="Y3602" s="77" t="n"/>
      <c r="Z3602" s="77" t="n"/>
      <c r="AA3602" s="75" t="n"/>
      <c r="AB3602" s="75" t="n"/>
      <c r="AC3602" s="6" t="n"/>
      <c r="AD3602" s="75" t="n"/>
      <c r="AE3602" s="75" t="n"/>
      <c r="AF3602" s="75" t="n"/>
    </row>
    <row r="3603" ht="15.75" customHeight="1" s="133">
      <c r="A3603" s="75" t="n"/>
      <c r="B3603" s="75" t="n"/>
      <c r="C3603" s="75" t="n"/>
      <c r="D3603" s="75" t="n"/>
      <c r="E3603" s="76" t="n"/>
      <c r="F3603" s="77" t="n"/>
      <c r="G3603" s="75" t="n"/>
      <c r="H3603" s="75">
        <f>IF(ISBLANK(E3603),"",IF(OR(D3603="Butterfly",D3603="Butterfly ",D3603="Iron Fly", D3603="Iron Fly "),LEN(E3603)-LEN(SUBSTITUTE(E3603,"/",""))+2,LEN(E3603)-LEN(SUBSTITUTE(E3603,"/",""))+1))</f>
        <v/>
      </c>
      <c r="I3603" s="78">
        <f>IF(ISBLANK(G3603),"",IF(D3603="Stock","0",Key!$A$3*H3603*G3603))</f>
        <v/>
      </c>
      <c r="J3603" s="78">
        <f>IF(ISBLANK(E3603),"",IF(ISNUMBER(SEARCH("/",E3603)), IF(LEN(E3603)-LEN(SUBSTITUTE(E3603,"/",""))=1,(RIGHT(E3603,LEN(E3603)-FIND("/",E3603)))-(LEFT(E3603,FIND("/",E3603)-1)),(MID(E3603, SEARCH("/",E3603) + 1, SEARCH("/",E3603, SEARCH("/",E3603)+1) - SEARCH("/",E3603) - 1))-(LEFT(E3603,FIND("/",E3603)-1))), "NA"))</f>
        <v/>
      </c>
      <c r="K3603" s="79">
        <f>IF(A3603&lt;&gt;"", IF(ISBLANK(L3603), TODAY(), K3603), "")</f>
        <v/>
      </c>
      <c r="L3603" s="78" t="n"/>
      <c r="M3603" s="78">
        <f>IF(ISBLANK(L3603),"",IF(D3603="Stock",IF(C3603="Buy",L3603*G3603,IF(C3603="Sell",(L3603*G3603)-I3603, X)),IF(C3603="Buy",(L3603*G3603*100)+I3603,IF(C3603="Sell",(L3603*G3603*100)-I3603, X))))</f>
        <v/>
      </c>
      <c r="N3603" s="78">
        <f>IF(ISBLANK(L3603),"",IF(AND(C3603="Sell",D3603="Stock"),M3603,IF(ISBLANK(L3603),"",IF(C3603="Buy",M3603, IF(AND(C3603="Sell",J3603="NA"),(E3603*G3603*100*0.1)+I3603, IF(C3603="Sell",(J3603-L3603)*(100*G3603)+I3603))))))</f>
        <v/>
      </c>
      <c r="O3603" s="75" t="n"/>
      <c r="P3603" s="75" t="n"/>
      <c r="Q3603" s="75">
        <f>IF(ISBLANK(P3603),"",IF(D3603="Stock",P3603*G3603,IF(P3603=0,"0",G3603*P3603*100-(G3603*$AF$14))))</f>
        <v/>
      </c>
      <c r="R3603" s="79">
        <f>IF(P3603&lt;&gt;"", TODAY(), "")</f>
        <v/>
      </c>
      <c r="S3603" s="78">
        <f>IF(AND(K3603&lt;&gt;"", R3603&lt;&gt;""), R3603-K3603, "")</f>
        <v/>
      </c>
      <c r="T3603" s="78" t="n"/>
      <c r="U3603" s="92">
        <f>IF(ISBLANK(P3603),"",IF(C3603="Buy",Q3603-M3603+T3603, IF(C3603="Sell",M3603-Q3603-T3603, X)))</f>
        <v/>
      </c>
      <c r="V3603" s="81">
        <f>IF(ISBLANK(P3603),"",U3603/N3603)</f>
        <v/>
      </c>
      <c r="W3603" s="81">
        <f>IF(ISBLANK(P3603),"",IF(S3603=0,(365/0.5)*V3603,(365/S3603)*V3603))</f>
        <v/>
      </c>
      <c r="X3603" s="75" t="n"/>
      <c r="Y3603" s="77" t="n"/>
      <c r="Z3603" s="77" t="n"/>
      <c r="AA3603" s="75" t="n"/>
      <c r="AB3603" s="75" t="n"/>
      <c r="AC3603" s="6" t="n"/>
      <c r="AD3603" s="75" t="n"/>
      <c r="AE3603" s="75" t="n"/>
      <c r="AF3603" s="75" t="n"/>
    </row>
    <row r="3604" ht="15.75" customHeight="1" s="133">
      <c r="A3604" s="75" t="n"/>
      <c r="B3604" s="75" t="n"/>
      <c r="C3604" s="75" t="n"/>
      <c r="D3604" s="75" t="n"/>
      <c r="E3604" s="76" t="n"/>
      <c r="F3604" s="77" t="n"/>
      <c r="G3604" s="75" t="n"/>
      <c r="H3604" s="75">
        <f>IF(ISBLANK(E3604),"",IF(OR(D3604="Butterfly",D3604="Butterfly ",D3604="Iron Fly", D3604="Iron Fly "),LEN(E3604)-LEN(SUBSTITUTE(E3604,"/",""))+2,LEN(E3604)-LEN(SUBSTITUTE(E3604,"/",""))+1))</f>
        <v/>
      </c>
      <c r="I3604" s="78">
        <f>IF(ISBLANK(G3604),"",IF(D3604="Stock","0",Key!$A$3*H3604*G3604))</f>
        <v/>
      </c>
      <c r="J3604" s="78">
        <f>IF(ISBLANK(E3604),"",IF(ISNUMBER(SEARCH("/",E3604)), IF(LEN(E3604)-LEN(SUBSTITUTE(E3604,"/",""))=1,(RIGHT(E3604,LEN(E3604)-FIND("/",E3604)))-(LEFT(E3604,FIND("/",E3604)-1)),(MID(E3604, SEARCH("/",E3604) + 1, SEARCH("/",E3604, SEARCH("/",E3604)+1) - SEARCH("/",E3604) - 1))-(LEFT(E3604,FIND("/",E3604)-1))), "NA"))</f>
        <v/>
      </c>
      <c r="K3604" s="79">
        <f>IF(A3604&lt;&gt;"", IF(ISBLANK(L3604), TODAY(), K3604), "")</f>
        <v/>
      </c>
      <c r="L3604" s="78" t="n"/>
      <c r="M3604" s="78">
        <f>IF(ISBLANK(L3604),"",IF(D3604="Stock",IF(C3604="Buy",L3604*G3604,IF(C3604="Sell",(L3604*G3604)-I3604, X)),IF(C3604="Buy",(L3604*G3604*100)+I3604,IF(C3604="Sell",(L3604*G3604*100)-I3604, X))))</f>
        <v/>
      </c>
      <c r="N3604" s="78">
        <f>IF(ISBLANK(L3604),"",IF(AND(C3604="Sell",D3604="Stock"),M3604,IF(ISBLANK(L3604),"",IF(C3604="Buy",M3604, IF(AND(C3604="Sell",J3604="NA"),(E3604*G3604*100*0.1)+I3604, IF(C3604="Sell",(J3604-L3604)*(100*G3604)+I3604))))))</f>
        <v/>
      </c>
      <c r="O3604" s="75" t="n"/>
      <c r="P3604" s="75" t="n"/>
      <c r="Q3604" s="75">
        <f>IF(ISBLANK(P3604),"",IF(D3604="Stock",P3604*G3604,IF(P3604=0,"0",G3604*P3604*100-(G3604*$AF$14))))</f>
        <v/>
      </c>
      <c r="R3604" s="79">
        <f>IF(P3604&lt;&gt;"", TODAY(), "")</f>
        <v/>
      </c>
      <c r="S3604" s="78">
        <f>IF(AND(K3604&lt;&gt;"", R3604&lt;&gt;""), R3604-K3604, "")</f>
        <v/>
      </c>
      <c r="T3604" s="78" t="n"/>
      <c r="U3604" s="92">
        <f>IF(ISBLANK(P3604),"",IF(C3604="Buy",Q3604-M3604+T3604, IF(C3604="Sell",M3604-Q3604-T3604, X)))</f>
        <v/>
      </c>
      <c r="V3604" s="81">
        <f>IF(ISBLANK(P3604),"",U3604/N3604)</f>
        <v/>
      </c>
      <c r="W3604" s="81">
        <f>IF(ISBLANK(P3604),"",IF(S3604=0,(365/0.5)*V3604,(365/S3604)*V3604))</f>
        <v/>
      </c>
      <c r="X3604" s="75" t="n"/>
      <c r="Y3604" s="77" t="n"/>
      <c r="Z3604" s="77" t="n"/>
      <c r="AA3604" s="75" t="n"/>
      <c r="AB3604" s="75" t="n"/>
      <c r="AC3604" s="6" t="n"/>
      <c r="AD3604" s="75" t="n"/>
      <c r="AE3604" s="75" t="n"/>
      <c r="AF3604" s="75" t="n"/>
    </row>
    <row r="3605" ht="15.75" customHeight="1" s="133">
      <c r="A3605" s="75" t="n"/>
      <c r="B3605" s="75" t="n"/>
      <c r="C3605" s="75" t="n"/>
      <c r="D3605" s="75" t="n"/>
      <c r="E3605" s="76" t="n"/>
      <c r="F3605" s="77" t="n"/>
      <c r="G3605" s="75" t="n"/>
      <c r="H3605" s="75">
        <f>IF(ISBLANK(E3605),"",IF(OR(D3605="Butterfly",D3605="Butterfly ",D3605="Iron Fly", D3605="Iron Fly "),LEN(E3605)-LEN(SUBSTITUTE(E3605,"/",""))+2,LEN(E3605)-LEN(SUBSTITUTE(E3605,"/",""))+1))</f>
        <v/>
      </c>
      <c r="I3605" s="78">
        <f>IF(ISBLANK(G3605),"",IF(D3605="Stock","0",Key!$A$3*H3605*G3605))</f>
        <v/>
      </c>
      <c r="J3605" s="78">
        <f>IF(ISBLANK(E3605),"",IF(ISNUMBER(SEARCH("/",E3605)), IF(LEN(E3605)-LEN(SUBSTITUTE(E3605,"/",""))=1,(RIGHT(E3605,LEN(E3605)-FIND("/",E3605)))-(LEFT(E3605,FIND("/",E3605)-1)),(MID(E3605, SEARCH("/",E3605) + 1, SEARCH("/",E3605, SEARCH("/",E3605)+1) - SEARCH("/",E3605) - 1))-(LEFT(E3605,FIND("/",E3605)-1))), "NA"))</f>
        <v/>
      </c>
      <c r="K3605" s="79">
        <f>IF(A3605&lt;&gt;"", IF(ISBLANK(L3605), TODAY(), K3605), "")</f>
        <v/>
      </c>
      <c r="L3605" s="78" t="n"/>
      <c r="M3605" s="78">
        <f>IF(ISBLANK(L3605),"",IF(D3605="Stock",IF(C3605="Buy",L3605*G3605,IF(C3605="Sell",(L3605*G3605)-I3605, X)),IF(C3605="Buy",(L3605*G3605*100)+I3605,IF(C3605="Sell",(L3605*G3605*100)-I3605, X))))</f>
        <v/>
      </c>
      <c r="N3605" s="78">
        <f>IF(ISBLANK(L3605),"",IF(AND(C3605="Sell",D3605="Stock"),M3605,IF(ISBLANK(L3605),"",IF(C3605="Buy",M3605, IF(AND(C3605="Sell",J3605="NA"),(E3605*G3605*100*0.1)+I3605, IF(C3605="Sell",(J3605-L3605)*(100*G3605)+I3605))))))</f>
        <v/>
      </c>
      <c r="O3605" s="75" t="n"/>
      <c r="P3605" s="75" t="n"/>
      <c r="Q3605" s="75">
        <f>IF(ISBLANK(P3605),"",IF(D3605="Stock",P3605*G3605,IF(P3605=0,"0",G3605*P3605*100-(G3605*$AF$14))))</f>
        <v/>
      </c>
      <c r="R3605" s="79">
        <f>IF(P3605&lt;&gt;"", TODAY(), "")</f>
        <v/>
      </c>
      <c r="S3605" s="78">
        <f>IF(AND(K3605&lt;&gt;"", R3605&lt;&gt;""), R3605-K3605, "")</f>
        <v/>
      </c>
      <c r="T3605" s="78" t="n"/>
      <c r="U3605" s="92">
        <f>IF(ISBLANK(P3605),"",IF(C3605="Buy",Q3605-M3605+T3605, IF(C3605="Sell",M3605-Q3605-T3605, X)))</f>
        <v/>
      </c>
      <c r="V3605" s="81">
        <f>IF(ISBLANK(P3605),"",U3605/N3605)</f>
        <v/>
      </c>
      <c r="W3605" s="81">
        <f>IF(ISBLANK(P3605),"",IF(S3605=0,(365/0.5)*V3605,(365/S3605)*V3605))</f>
        <v/>
      </c>
      <c r="X3605" s="75" t="n"/>
      <c r="Y3605" s="77" t="n"/>
      <c r="Z3605" s="77" t="n"/>
      <c r="AA3605" s="75" t="n"/>
      <c r="AB3605" s="75" t="n"/>
      <c r="AC3605" s="6" t="n"/>
      <c r="AD3605" s="75" t="n"/>
      <c r="AE3605" s="75" t="n"/>
      <c r="AF3605" s="75" t="n"/>
    </row>
    <row r="3606" ht="15.75" customHeight="1" s="133">
      <c r="A3606" s="75" t="n"/>
      <c r="B3606" s="75" t="n"/>
      <c r="C3606" s="75" t="n"/>
      <c r="D3606" s="75" t="n"/>
      <c r="E3606" s="76" t="n"/>
      <c r="F3606" s="77" t="n"/>
      <c r="G3606" s="75" t="n"/>
      <c r="H3606" s="75">
        <f>IF(ISBLANK(E3606),"",IF(OR(D3606="Butterfly",D3606="Butterfly ",D3606="Iron Fly", D3606="Iron Fly "),LEN(E3606)-LEN(SUBSTITUTE(E3606,"/",""))+2,LEN(E3606)-LEN(SUBSTITUTE(E3606,"/",""))+1))</f>
        <v/>
      </c>
      <c r="I3606" s="78">
        <f>IF(ISBLANK(G3606),"",IF(D3606="Stock","0",Key!$A$3*H3606*G3606))</f>
        <v/>
      </c>
      <c r="J3606" s="78">
        <f>IF(ISBLANK(E3606),"",IF(ISNUMBER(SEARCH("/",E3606)), IF(LEN(E3606)-LEN(SUBSTITUTE(E3606,"/",""))=1,(RIGHT(E3606,LEN(E3606)-FIND("/",E3606)))-(LEFT(E3606,FIND("/",E3606)-1)),(MID(E3606, SEARCH("/",E3606) + 1, SEARCH("/",E3606, SEARCH("/",E3606)+1) - SEARCH("/",E3606) - 1))-(LEFT(E3606,FIND("/",E3606)-1))), "NA"))</f>
        <v/>
      </c>
      <c r="K3606" s="79">
        <f>IF(A3606&lt;&gt;"", IF(ISBLANK(L3606), TODAY(), K3606), "")</f>
        <v/>
      </c>
      <c r="L3606" s="78" t="n"/>
      <c r="M3606" s="78">
        <f>IF(ISBLANK(L3606),"",IF(D3606="Stock",IF(C3606="Buy",L3606*G3606,IF(C3606="Sell",(L3606*G3606)-I3606, X)),IF(C3606="Buy",(L3606*G3606*100)+I3606,IF(C3606="Sell",(L3606*G3606*100)-I3606, X))))</f>
        <v/>
      </c>
      <c r="N3606" s="78">
        <f>IF(ISBLANK(L3606),"",IF(AND(C3606="Sell",D3606="Stock"),M3606,IF(ISBLANK(L3606),"",IF(C3606="Buy",M3606, IF(AND(C3606="Sell",J3606="NA"),(E3606*G3606*100*0.1)+I3606, IF(C3606="Sell",(J3606-L3606)*(100*G3606)+I3606))))))</f>
        <v/>
      </c>
      <c r="O3606" s="75" t="n"/>
      <c r="P3606" s="75" t="n"/>
      <c r="Q3606" s="75">
        <f>IF(ISBLANK(P3606),"",IF(D3606="Stock",P3606*G3606,IF(P3606=0,"0",G3606*P3606*100-(G3606*$AF$14))))</f>
        <v/>
      </c>
      <c r="R3606" s="79">
        <f>IF(P3606&lt;&gt;"", TODAY(), "")</f>
        <v/>
      </c>
      <c r="S3606" s="78">
        <f>IF(AND(K3606&lt;&gt;"", R3606&lt;&gt;""), R3606-K3606, "")</f>
        <v/>
      </c>
      <c r="T3606" s="78" t="n"/>
      <c r="U3606" s="92">
        <f>IF(ISBLANK(P3606),"",IF(C3606="Buy",Q3606-M3606+T3606, IF(C3606="Sell",M3606-Q3606-T3606, X)))</f>
        <v/>
      </c>
      <c r="V3606" s="81">
        <f>IF(ISBLANK(P3606),"",U3606/N3606)</f>
        <v/>
      </c>
      <c r="W3606" s="81">
        <f>IF(ISBLANK(P3606),"",IF(S3606=0,(365/0.5)*V3606,(365/S3606)*V3606))</f>
        <v/>
      </c>
      <c r="X3606" s="75" t="n"/>
      <c r="Y3606" s="77" t="n"/>
      <c r="Z3606" s="77" t="n"/>
      <c r="AA3606" s="75" t="n"/>
      <c r="AB3606" s="75" t="n"/>
      <c r="AC3606" s="6" t="n"/>
      <c r="AD3606" s="75" t="n"/>
      <c r="AE3606" s="75" t="n"/>
      <c r="AF3606" s="75" t="n"/>
    </row>
    <row r="3607" ht="15.75" customHeight="1" s="133">
      <c r="A3607" s="75" t="n"/>
      <c r="B3607" s="75" t="n"/>
      <c r="C3607" s="75" t="n"/>
      <c r="D3607" s="75" t="n"/>
      <c r="E3607" s="76" t="n"/>
      <c r="F3607" s="77" t="n"/>
      <c r="G3607" s="75" t="n"/>
      <c r="H3607" s="75">
        <f>IF(ISBLANK(E3607),"",IF(OR(D3607="Butterfly",D3607="Butterfly ",D3607="Iron Fly", D3607="Iron Fly "),LEN(E3607)-LEN(SUBSTITUTE(E3607,"/",""))+2,LEN(E3607)-LEN(SUBSTITUTE(E3607,"/",""))+1))</f>
        <v/>
      </c>
      <c r="I3607" s="78">
        <f>IF(ISBLANK(G3607),"",IF(D3607="Stock","0",Key!$A$3*H3607*G3607))</f>
        <v/>
      </c>
      <c r="J3607" s="78">
        <f>IF(ISBLANK(E3607),"",IF(ISNUMBER(SEARCH("/",E3607)), IF(LEN(E3607)-LEN(SUBSTITUTE(E3607,"/",""))=1,(RIGHT(E3607,LEN(E3607)-FIND("/",E3607)))-(LEFT(E3607,FIND("/",E3607)-1)),(MID(E3607, SEARCH("/",E3607) + 1, SEARCH("/",E3607, SEARCH("/",E3607)+1) - SEARCH("/",E3607) - 1))-(LEFT(E3607,FIND("/",E3607)-1))), "NA"))</f>
        <v/>
      </c>
      <c r="K3607" s="79">
        <f>IF(A3607&lt;&gt;"", IF(ISBLANK(L3607), TODAY(), K3607), "")</f>
        <v/>
      </c>
      <c r="L3607" s="78" t="n"/>
      <c r="M3607" s="78">
        <f>IF(ISBLANK(L3607),"",IF(D3607="Stock",IF(C3607="Buy",L3607*G3607,IF(C3607="Sell",(L3607*G3607)-I3607, X)),IF(C3607="Buy",(L3607*G3607*100)+I3607,IF(C3607="Sell",(L3607*G3607*100)-I3607, X))))</f>
        <v/>
      </c>
      <c r="N3607" s="78">
        <f>IF(ISBLANK(L3607),"",IF(AND(C3607="Sell",D3607="Stock"),M3607,IF(ISBLANK(L3607),"",IF(C3607="Buy",M3607, IF(AND(C3607="Sell",J3607="NA"),(E3607*G3607*100*0.1)+I3607, IF(C3607="Sell",(J3607-L3607)*(100*G3607)+I3607))))))</f>
        <v/>
      </c>
      <c r="O3607" s="75" t="n"/>
      <c r="P3607" s="75" t="n"/>
      <c r="Q3607" s="75">
        <f>IF(ISBLANK(P3607),"",IF(D3607="Stock",P3607*G3607,IF(P3607=0,"0",G3607*P3607*100-(G3607*$AF$14))))</f>
        <v/>
      </c>
      <c r="R3607" s="79">
        <f>IF(P3607&lt;&gt;"", TODAY(), "")</f>
        <v/>
      </c>
      <c r="S3607" s="78">
        <f>IF(AND(K3607&lt;&gt;"", R3607&lt;&gt;""), R3607-K3607, "")</f>
        <v/>
      </c>
      <c r="T3607" s="78" t="n"/>
      <c r="U3607" s="92">
        <f>IF(ISBLANK(P3607),"",IF(C3607="Buy",Q3607-M3607+T3607, IF(C3607="Sell",M3607-Q3607-T3607, X)))</f>
        <v/>
      </c>
      <c r="V3607" s="81">
        <f>IF(ISBLANK(P3607),"",U3607/N3607)</f>
        <v/>
      </c>
      <c r="W3607" s="81">
        <f>IF(ISBLANK(P3607),"",IF(S3607=0,(365/0.5)*V3607,(365/S3607)*V3607))</f>
        <v/>
      </c>
      <c r="X3607" s="75" t="n"/>
      <c r="Y3607" s="77" t="n"/>
      <c r="Z3607" s="77" t="n"/>
      <c r="AA3607" s="75" t="n"/>
      <c r="AB3607" s="75" t="n"/>
      <c r="AC3607" s="6" t="n"/>
      <c r="AD3607" s="75" t="n"/>
      <c r="AE3607" s="75" t="n"/>
      <c r="AF3607" s="75" t="n"/>
    </row>
    <row r="3608" ht="15.75" customHeight="1" s="133">
      <c r="A3608" s="75" t="n"/>
      <c r="B3608" s="75" t="n"/>
      <c r="C3608" s="75" t="n"/>
      <c r="D3608" s="75" t="n"/>
      <c r="E3608" s="76" t="n"/>
      <c r="F3608" s="77" t="n"/>
      <c r="G3608" s="75" t="n"/>
      <c r="H3608" s="75">
        <f>IF(ISBLANK(E3608),"",IF(OR(D3608="Butterfly",D3608="Butterfly ",D3608="Iron Fly", D3608="Iron Fly "),LEN(E3608)-LEN(SUBSTITUTE(E3608,"/",""))+2,LEN(E3608)-LEN(SUBSTITUTE(E3608,"/",""))+1))</f>
        <v/>
      </c>
      <c r="I3608" s="78">
        <f>IF(ISBLANK(G3608),"",IF(D3608="Stock","0",Key!$A$3*H3608*G3608))</f>
        <v/>
      </c>
      <c r="J3608" s="78">
        <f>IF(ISBLANK(E3608),"",IF(ISNUMBER(SEARCH("/",E3608)), IF(LEN(E3608)-LEN(SUBSTITUTE(E3608,"/",""))=1,(RIGHT(E3608,LEN(E3608)-FIND("/",E3608)))-(LEFT(E3608,FIND("/",E3608)-1)),(MID(E3608, SEARCH("/",E3608) + 1, SEARCH("/",E3608, SEARCH("/",E3608)+1) - SEARCH("/",E3608) - 1))-(LEFT(E3608,FIND("/",E3608)-1))), "NA"))</f>
        <v/>
      </c>
      <c r="K3608" s="79">
        <f>IF(A3608&lt;&gt;"", IF(ISBLANK(L3608), TODAY(), K3608), "")</f>
        <v/>
      </c>
      <c r="L3608" s="78" t="n"/>
      <c r="M3608" s="78">
        <f>IF(ISBLANK(L3608),"",IF(D3608="Stock",IF(C3608="Buy",L3608*G3608,IF(C3608="Sell",(L3608*G3608)-I3608, X)),IF(C3608="Buy",(L3608*G3608*100)+I3608,IF(C3608="Sell",(L3608*G3608*100)-I3608, X))))</f>
        <v/>
      </c>
      <c r="N3608" s="78">
        <f>IF(ISBLANK(L3608),"",IF(AND(C3608="Sell",D3608="Stock"),M3608,IF(ISBLANK(L3608),"",IF(C3608="Buy",M3608, IF(AND(C3608="Sell",J3608="NA"),(E3608*G3608*100*0.1)+I3608, IF(C3608="Sell",(J3608-L3608)*(100*G3608)+I3608))))))</f>
        <v/>
      </c>
      <c r="O3608" s="75" t="n"/>
      <c r="P3608" s="75" t="n"/>
      <c r="Q3608" s="75">
        <f>IF(ISBLANK(P3608),"",IF(D3608="Stock",P3608*G3608,IF(P3608=0,"0",G3608*P3608*100-(G3608*$AF$14))))</f>
        <v/>
      </c>
      <c r="R3608" s="79">
        <f>IF(P3608&lt;&gt;"", TODAY(), "")</f>
        <v/>
      </c>
      <c r="S3608" s="78">
        <f>IF(AND(K3608&lt;&gt;"", R3608&lt;&gt;""), R3608-K3608, "")</f>
        <v/>
      </c>
      <c r="T3608" s="78" t="n"/>
      <c r="U3608" s="92">
        <f>IF(ISBLANK(P3608),"",IF(C3608="Buy",Q3608-M3608+T3608, IF(C3608="Sell",M3608-Q3608-T3608, X)))</f>
        <v/>
      </c>
      <c r="V3608" s="81">
        <f>IF(ISBLANK(P3608),"",U3608/N3608)</f>
        <v/>
      </c>
      <c r="W3608" s="81">
        <f>IF(ISBLANK(P3608),"",IF(S3608=0,(365/0.5)*V3608,(365/S3608)*V3608))</f>
        <v/>
      </c>
      <c r="X3608" s="75" t="n"/>
      <c r="Y3608" s="77" t="n"/>
      <c r="Z3608" s="77" t="n"/>
      <c r="AA3608" s="75" t="n"/>
      <c r="AB3608" s="75" t="n"/>
      <c r="AC3608" s="6" t="n"/>
      <c r="AD3608" s="75" t="n"/>
      <c r="AE3608" s="75" t="n"/>
      <c r="AF3608" s="75" t="n"/>
    </row>
    <row r="3609" ht="15.75" customHeight="1" s="133">
      <c r="A3609" s="75" t="n"/>
      <c r="B3609" s="75" t="n"/>
      <c r="C3609" s="75" t="n"/>
      <c r="D3609" s="75" t="n"/>
      <c r="E3609" s="76" t="n"/>
      <c r="F3609" s="77" t="n"/>
      <c r="G3609" s="75" t="n"/>
      <c r="H3609" s="75">
        <f>IF(ISBLANK(E3609),"",IF(OR(D3609="Butterfly",D3609="Butterfly ",D3609="Iron Fly", D3609="Iron Fly "),LEN(E3609)-LEN(SUBSTITUTE(E3609,"/",""))+2,LEN(E3609)-LEN(SUBSTITUTE(E3609,"/",""))+1))</f>
        <v/>
      </c>
      <c r="I3609" s="78">
        <f>IF(ISBLANK(G3609),"",IF(D3609="Stock","0",Key!$A$3*H3609*G3609))</f>
        <v/>
      </c>
      <c r="J3609" s="78">
        <f>IF(ISBLANK(E3609),"",IF(ISNUMBER(SEARCH("/",E3609)), IF(LEN(E3609)-LEN(SUBSTITUTE(E3609,"/",""))=1,(RIGHT(E3609,LEN(E3609)-FIND("/",E3609)))-(LEFT(E3609,FIND("/",E3609)-1)),(MID(E3609, SEARCH("/",E3609) + 1, SEARCH("/",E3609, SEARCH("/",E3609)+1) - SEARCH("/",E3609) - 1))-(LEFT(E3609,FIND("/",E3609)-1))), "NA"))</f>
        <v/>
      </c>
      <c r="K3609" s="79">
        <f>IF(A3609&lt;&gt;"", IF(ISBLANK(L3609), TODAY(), K3609), "")</f>
        <v/>
      </c>
      <c r="L3609" s="78" t="n"/>
      <c r="M3609" s="78">
        <f>IF(ISBLANK(L3609),"",IF(D3609="Stock",IF(C3609="Buy",L3609*G3609,IF(C3609="Sell",(L3609*G3609)-I3609, X)),IF(C3609="Buy",(L3609*G3609*100)+I3609,IF(C3609="Sell",(L3609*G3609*100)-I3609, X))))</f>
        <v/>
      </c>
      <c r="N3609" s="78">
        <f>IF(ISBLANK(L3609),"",IF(AND(C3609="Sell",D3609="Stock"),M3609,IF(ISBLANK(L3609),"",IF(C3609="Buy",M3609, IF(AND(C3609="Sell",J3609="NA"),(E3609*G3609*100*0.1)+I3609, IF(C3609="Sell",(J3609-L3609)*(100*G3609)+I3609))))))</f>
        <v/>
      </c>
      <c r="O3609" s="75" t="n"/>
      <c r="P3609" s="75" t="n"/>
      <c r="Q3609" s="75">
        <f>IF(ISBLANK(P3609),"",IF(D3609="Stock",P3609*G3609,IF(P3609=0,"0",G3609*P3609*100-(G3609*$AF$14))))</f>
        <v/>
      </c>
      <c r="R3609" s="79">
        <f>IF(P3609&lt;&gt;"", TODAY(), "")</f>
        <v/>
      </c>
      <c r="S3609" s="78">
        <f>IF(AND(K3609&lt;&gt;"", R3609&lt;&gt;""), R3609-K3609, "")</f>
        <v/>
      </c>
      <c r="T3609" s="78" t="n"/>
      <c r="U3609" s="92">
        <f>IF(ISBLANK(P3609),"",IF(C3609="Buy",Q3609-M3609+T3609, IF(C3609="Sell",M3609-Q3609-T3609, X)))</f>
        <v/>
      </c>
      <c r="V3609" s="81">
        <f>IF(ISBLANK(P3609),"",U3609/N3609)</f>
        <v/>
      </c>
      <c r="W3609" s="81">
        <f>IF(ISBLANK(P3609),"",IF(S3609=0,(365/0.5)*V3609,(365/S3609)*V3609))</f>
        <v/>
      </c>
      <c r="X3609" s="75" t="n"/>
      <c r="Y3609" s="77" t="n"/>
      <c r="Z3609" s="77" t="n"/>
      <c r="AA3609" s="75" t="n"/>
      <c r="AB3609" s="75" t="n"/>
      <c r="AC3609" s="6" t="n"/>
      <c r="AD3609" s="75" t="n"/>
      <c r="AE3609" s="75" t="n"/>
      <c r="AF3609" s="75" t="n"/>
    </row>
    <row r="3610" ht="15.75" customHeight="1" s="133">
      <c r="A3610" s="75" t="n"/>
      <c r="B3610" s="75" t="n"/>
      <c r="C3610" s="75" t="n"/>
      <c r="D3610" s="75" t="n"/>
      <c r="E3610" s="76" t="n"/>
      <c r="F3610" s="77" t="n"/>
      <c r="G3610" s="75" t="n"/>
      <c r="H3610" s="75">
        <f>IF(ISBLANK(E3610),"",IF(OR(D3610="Butterfly",D3610="Butterfly ",D3610="Iron Fly", D3610="Iron Fly "),LEN(E3610)-LEN(SUBSTITUTE(E3610,"/",""))+2,LEN(E3610)-LEN(SUBSTITUTE(E3610,"/",""))+1))</f>
        <v/>
      </c>
      <c r="I3610" s="78">
        <f>IF(ISBLANK(G3610),"",IF(D3610="Stock","0",Key!$A$3*H3610*G3610))</f>
        <v/>
      </c>
      <c r="J3610" s="78">
        <f>IF(ISBLANK(E3610),"",IF(ISNUMBER(SEARCH("/",E3610)), IF(LEN(E3610)-LEN(SUBSTITUTE(E3610,"/",""))=1,(RIGHT(E3610,LEN(E3610)-FIND("/",E3610)))-(LEFT(E3610,FIND("/",E3610)-1)),(MID(E3610, SEARCH("/",E3610) + 1, SEARCH("/",E3610, SEARCH("/",E3610)+1) - SEARCH("/",E3610) - 1))-(LEFT(E3610,FIND("/",E3610)-1))), "NA"))</f>
        <v/>
      </c>
      <c r="K3610" s="79">
        <f>IF(A3610&lt;&gt;"", IF(ISBLANK(L3610), TODAY(), K3610), "")</f>
        <v/>
      </c>
      <c r="L3610" s="78" t="n"/>
      <c r="M3610" s="78">
        <f>IF(ISBLANK(L3610),"",IF(D3610="Stock",IF(C3610="Buy",L3610*G3610,IF(C3610="Sell",(L3610*G3610)-I3610, X)),IF(C3610="Buy",(L3610*G3610*100)+I3610,IF(C3610="Sell",(L3610*G3610*100)-I3610, X))))</f>
        <v/>
      </c>
      <c r="N3610" s="78">
        <f>IF(ISBLANK(L3610),"",IF(AND(C3610="Sell",D3610="Stock"),M3610,IF(ISBLANK(L3610),"",IF(C3610="Buy",M3610, IF(AND(C3610="Sell",J3610="NA"),(E3610*G3610*100*0.1)+I3610, IF(C3610="Sell",(J3610-L3610)*(100*G3610)+I3610))))))</f>
        <v/>
      </c>
      <c r="O3610" s="75" t="n"/>
      <c r="P3610" s="75" t="n"/>
      <c r="Q3610" s="75">
        <f>IF(ISBLANK(P3610),"",IF(D3610="Stock",P3610*G3610,IF(P3610=0,"0",G3610*P3610*100-(G3610*$AF$14))))</f>
        <v/>
      </c>
      <c r="R3610" s="79">
        <f>IF(P3610&lt;&gt;"", TODAY(), "")</f>
        <v/>
      </c>
      <c r="S3610" s="78">
        <f>IF(AND(K3610&lt;&gt;"", R3610&lt;&gt;""), R3610-K3610, "")</f>
        <v/>
      </c>
      <c r="T3610" s="78" t="n"/>
      <c r="U3610" s="92">
        <f>IF(ISBLANK(P3610),"",IF(C3610="Buy",Q3610-M3610+T3610, IF(C3610="Sell",M3610-Q3610-T3610, X)))</f>
        <v/>
      </c>
      <c r="V3610" s="81">
        <f>IF(ISBLANK(P3610),"",U3610/N3610)</f>
        <v/>
      </c>
      <c r="W3610" s="81">
        <f>IF(ISBLANK(P3610),"",IF(S3610=0,(365/0.5)*V3610,(365/S3610)*V3610))</f>
        <v/>
      </c>
      <c r="X3610" s="75" t="n"/>
      <c r="Y3610" s="77" t="n"/>
      <c r="Z3610" s="77" t="n"/>
      <c r="AA3610" s="75" t="n"/>
      <c r="AB3610" s="75" t="n"/>
      <c r="AC3610" s="6" t="n"/>
      <c r="AD3610" s="75" t="n"/>
      <c r="AE3610" s="75" t="n"/>
      <c r="AF3610" s="75" t="n"/>
    </row>
    <row r="3611" ht="15.75" customHeight="1" s="133">
      <c r="A3611" s="75" t="n"/>
      <c r="B3611" s="75" t="n"/>
      <c r="C3611" s="75" t="n"/>
      <c r="D3611" s="75" t="n"/>
      <c r="E3611" s="76" t="n"/>
      <c r="F3611" s="77" t="n"/>
      <c r="G3611" s="75" t="n"/>
      <c r="H3611" s="75">
        <f>IF(ISBLANK(E3611),"",IF(OR(D3611="Butterfly",D3611="Butterfly ",D3611="Iron Fly", D3611="Iron Fly "),LEN(E3611)-LEN(SUBSTITUTE(E3611,"/",""))+2,LEN(E3611)-LEN(SUBSTITUTE(E3611,"/",""))+1))</f>
        <v/>
      </c>
      <c r="I3611" s="78">
        <f>IF(ISBLANK(G3611),"",IF(D3611="Stock","0",Key!$A$3*H3611*G3611))</f>
        <v/>
      </c>
      <c r="J3611" s="78">
        <f>IF(ISBLANK(E3611),"",IF(ISNUMBER(SEARCH("/",E3611)), IF(LEN(E3611)-LEN(SUBSTITUTE(E3611,"/",""))=1,(RIGHT(E3611,LEN(E3611)-FIND("/",E3611)))-(LEFT(E3611,FIND("/",E3611)-1)),(MID(E3611, SEARCH("/",E3611) + 1, SEARCH("/",E3611, SEARCH("/",E3611)+1) - SEARCH("/",E3611) - 1))-(LEFT(E3611,FIND("/",E3611)-1))), "NA"))</f>
        <v/>
      </c>
      <c r="K3611" s="79">
        <f>IF(A3611&lt;&gt;"", IF(ISBLANK(L3611), TODAY(), K3611), "")</f>
        <v/>
      </c>
      <c r="L3611" s="78" t="n"/>
      <c r="M3611" s="78">
        <f>IF(ISBLANK(L3611),"",IF(D3611="Stock",IF(C3611="Buy",L3611*G3611,IF(C3611="Sell",(L3611*G3611)-I3611, X)),IF(C3611="Buy",(L3611*G3611*100)+I3611,IF(C3611="Sell",(L3611*G3611*100)-I3611, X))))</f>
        <v/>
      </c>
      <c r="N3611" s="78">
        <f>IF(ISBLANK(L3611),"",IF(AND(C3611="Sell",D3611="Stock"),M3611,IF(ISBLANK(L3611),"",IF(C3611="Buy",M3611, IF(AND(C3611="Sell",J3611="NA"),(E3611*G3611*100*0.1)+I3611, IF(C3611="Sell",(J3611-L3611)*(100*G3611)+I3611))))))</f>
        <v/>
      </c>
      <c r="O3611" s="75" t="n"/>
      <c r="P3611" s="75" t="n"/>
      <c r="Q3611" s="75">
        <f>IF(ISBLANK(P3611),"",IF(D3611="Stock",P3611*G3611,IF(P3611=0,"0",G3611*P3611*100-(G3611*$AF$14))))</f>
        <v/>
      </c>
      <c r="R3611" s="79">
        <f>IF(P3611&lt;&gt;"", TODAY(), "")</f>
        <v/>
      </c>
      <c r="S3611" s="78">
        <f>IF(AND(K3611&lt;&gt;"", R3611&lt;&gt;""), R3611-K3611, "")</f>
        <v/>
      </c>
      <c r="T3611" s="78" t="n"/>
      <c r="U3611" s="92">
        <f>IF(ISBLANK(P3611),"",IF(C3611="Buy",Q3611-M3611+T3611, IF(C3611="Sell",M3611-Q3611-T3611, X)))</f>
        <v/>
      </c>
      <c r="V3611" s="81">
        <f>IF(ISBLANK(P3611),"",U3611/N3611)</f>
        <v/>
      </c>
      <c r="W3611" s="81">
        <f>IF(ISBLANK(P3611),"",IF(S3611=0,(365/0.5)*V3611,(365/S3611)*V3611))</f>
        <v/>
      </c>
      <c r="X3611" s="75" t="n"/>
      <c r="Y3611" s="77" t="n"/>
      <c r="Z3611" s="77" t="n"/>
      <c r="AA3611" s="75" t="n"/>
      <c r="AB3611" s="75" t="n"/>
      <c r="AC3611" s="6" t="n"/>
      <c r="AD3611" s="75" t="n"/>
      <c r="AE3611" s="75" t="n"/>
      <c r="AF3611" s="75" t="n"/>
    </row>
    <row r="3612" ht="15.75" customHeight="1" s="133">
      <c r="A3612" s="75" t="n"/>
      <c r="B3612" s="75" t="n"/>
      <c r="C3612" s="75" t="n"/>
      <c r="D3612" s="75" t="n"/>
      <c r="E3612" s="76" t="n"/>
      <c r="F3612" s="77" t="n"/>
      <c r="G3612" s="75" t="n"/>
      <c r="H3612" s="75">
        <f>IF(ISBLANK(E3612),"",IF(OR(D3612="Butterfly",D3612="Butterfly ",D3612="Iron Fly", D3612="Iron Fly "),LEN(E3612)-LEN(SUBSTITUTE(E3612,"/",""))+2,LEN(E3612)-LEN(SUBSTITUTE(E3612,"/",""))+1))</f>
        <v/>
      </c>
      <c r="I3612" s="78">
        <f>IF(ISBLANK(G3612),"",IF(D3612="Stock","0",Key!$A$3*H3612*G3612))</f>
        <v/>
      </c>
      <c r="J3612" s="78">
        <f>IF(ISBLANK(E3612),"",IF(ISNUMBER(SEARCH("/",E3612)), IF(LEN(E3612)-LEN(SUBSTITUTE(E3612,"/",""))=1,(RIGHT(E3612,LEN(E3612)-FIND("/",E3612)))-(LEFT(E3612,FIND("/",E3612)-1)),(MID(E3612, SEARCH("/",E3612) + 1, SEARCH("/",E3612, SEARCH("/",E3612)+1) - SEARCH("/",E3612) - 1))-(LEFT(E3612,FIND("/",E3612)-1))), "NA"))</f>
        <v/>
      </c>
      <c r="K3612" s="79">
        <f>IF(A3612&lt;&gt;"", IF(ISBLANK(L3612), TODAY(), K3612), "")</f>
        <v/>
      </c>
      <c r="L3612" s="78" t="n"/>
      <c r="M3612" s="78">
        <f>IF(ISBLANK(L3612),"",IF(D3612="Stock",IF(C3612="Buy",L3612*G3612,IF(C3612="Sell",(L3612*G3612)-I3612, X)),IF(C3612="Buy",(L3612*G3612*100)+I3612,IF(C3612="Sell",(L3612*G3612*100)-I3612, X))))</f>
        <v/>
      </c>
      <c r="N3612" s="78">
        <f>IF(ISBLANK(L3612),"",IF(AND(C3612="Sell",D3612="Stock"),M3612,IF(ISBLANK(L3612),"",IF(C3612="Buy",M3612, IF(AND(C3612="Sell",J3612="NA"),(E3612*G3612*100*0.1)+I3612, IF(C3612="Sell",(J3612-L3612)*(100*G3612)+I3612))))))</f>
        <v/>
      </c>
      <c r="O3612" s="75" t="n"/>
      <c r="P3612" s="75" t="n"/>
      <c r="Q3612" s="75">
        <f>IF(ISBLANK(P3612),"",IF(D3612="Stock",P3612*G3612,IF(P3612=0,"0",G3612*P3612*100-(G3612*$AF$14))))</f>
        <v/>
      </c>
      <c r="R3612" s="79">
        <f>IF(P3612&lt;&gt;"", TODAY(), "")</f>
        <v/>
      </c>
      <c r="S3612" s="78">
        <f>IF(AND(K3612&lt;&gt;"", R3612&lt;&gt;""), R3612-K3612, "")</f>
        <v/>
      </c>
      <c r="T3612" s="78" t="n"/>
      <c r="U3612" s="92">
        <f>IF(ISBLANK(P3612),"",IF(C3612="Buy",Q3612-M3612+T3612, IF(C3612="Sell",M3612-Q3612-T3612, X)))</f>
        <v/>
      </c>
      <c r="V3612" s="81">
        <f>IF(ISBLANK(P3612),"",U3612/N3612)</f>
        <v/>
      </c>
      <c r="W3612" s="81">
        <f>IF(ISBLANK(P3612),"",IF(S3612=0,(365/0.5)*V3612,(365/S3612)*V3612))</f>
        <v/>
      </c>
      <c r="X3612" s="75" t="n"/>
      <c r="Y3612" s="77" t="n"/>
      <c r="Z3612" s="77" t="n"/>
      <c r="AA3612" s="75" t="n"/>
      <c r="AB3612" s="75" t="n"/>
      <c r="AC3612" s="6" t="n"/>
      <c r="AD3612" s="75" t="n"/>
      <c r="AE3612" s="75" t="n"/>
      <c r="AF3612" s="75" t="n"/>
    </row>
    <row r="3613" ht="15.75" customHeight="1" s="133">
      <c r="A3613" s="75" t="n"/>
      <c r="B3613" s="75" t="n"/>
      <c r="C3613" s="75" t="n"/>
      <c r="D3613" s="75" t="n"/>
      <c r="E3613" s="76" t="n"/>
      <c r="F3613" s="77" t="n"/>
      <c r="G3613" s="75" t="n"/>
      <c r="H3613" s="75">
        <f>IF(ISBLANK(E3613),"",IF(OR(D3613="Butterfly",D3613="Butterfly ",D3613="Iron Fly", D3613="Iron Fly "),LEN(E3613)-LEN(SUBSTITUTE(E3613,"/",""))+2,LEN(E3613)-LEN(SUBSTITUTE(E3613,"/",""))+1))</f>
        <v/>
      </c>
      <c r="I3613" s="78">
        <f>IF(ISBLANK(G3613),"",IF(D3613="Stock","0",Key!$A$3*H3613*G3613))</f>
        <v/>
      </c>
      <c r="J3613" s="78">
        <f>IF(ISBLANK(E3613),"",IF(ISNUMBER(SEARCH("/",E3613)), IF(LEN(E3613)-LEN(SUBSTITUTE(E3613,"/",""))=1,(RIGHT(E3613,LEN(E3613)-FIND("/",E3613)))-(LEFT(E3613,FIND("/",E3613)-1)),(MID(E3613, SEARCH("/",E3613) + 1, SEARCH("/",E3613, SEARCH("/",E3613)+1) - SEARCH("/",E3613) - 1))-(LEFT(E3613,FIND("/",E3613)-1))), "NA"))</f>
        <v/>
      </c>
      <c r="K3613" s="79">
        <f>IF(A3613&lt;&gt;"", IF(ISBLANK(L3613), TODAY(), K3613), "")</f>
        <v/>
      </c>
      <c r="L3613" s="78" t="n"/>
      <c r="M3613" s="78">
        <f>IF(ISBLANK(L3613),"",IF(D3613="Stock",IF(C3613="Buy",L3613*G3613,IF(C3613="Sell",(L3613*G3613)-I3613, X)),IF(C3613="Buy",(L3613*G3613*100)+I3613,IF(C3613="Sell",(L3613*G3613*100)-I3613, X))))</f>
        <v/>
      </c>
      <c r="N3613" s="78">
        <f>IF(ISBLANK(L3613),"",IF(AND(C3613="Sell",D3613="Stock"),M3613,IF(ISBLANK(L3613),"",IF(C3613="Buy",M3613, IF(AND(C3613="Sell",J3613="NA"),(E3613*G3613*100*0.1)+I3613, IF(C3613="Sell",(J3613-L3613)*(100*G3613)+I3613))))))</f>
        <v/>
      </c>
      <c r="O3613" s="75" t="n"/>
      <c r="P3613" s="75" t="n"/>
      <c r="Q3613" s="75">
        <f>IF(ISBLANK(P3613),"",IF(D3613="Stock",P3613*G3613,IF(P3613=0,"0",G3613*P3613*100-(G3613*$AF$14))))</f>
        <v/>
      </c>
      <c r="R3613" s="79">
        <f>IF(P3613&lt;&gt;"", TODAY(), "")</f>
        <v/>
      </c>
      <c r="S3613" s="78">
        <f>IF(AND(K3613&lt;&gt;"", R3613&lt;&gt;""), R3613-K3613, "")</f>
        <v/>
      </c>
      <c r="T3613" s="78" t="n"/>
      <c r="U3613" s="92">
        <f>IF(ISBLANK(P3613),"",IF(C3613="Buy",Q3613-M3613+T3613, IF(C3613="Sell",M3613-Q3613-T3613, X)))</f>
        <v/>
      </c>
      <c r="V3613" s="81">
        <f>IF(ISBLANK(P3613),"",U3613/N3613)</f>
        <v/>
      </c>
      <c r="W3613" s="81">
        <f>IF(ISBLANK(P3613),"",IF(S3613=0,(365/0.5)*V3613,(365/S3613)*V3613))</f>
        <v/>
      </c>
      <c r="X3613" s="75" t="n"/>
      <c r="Y3613" s="77" t="n"/>
      <c r="Z3613" s="77" t="n"/>
      <c r="AA3613" s="75" t="n"/>
      <c r="AB3613" s="75" t="n"/>
      <c r="AC3613" s="6" t="n"/>
      <c r="AD3613" s="75" t="n"/>
      <c r="AE3613" s="75" t="n"/>
      <c r="AF3613" s="75" t="n"/>
    </row>
    <row r="3614" ht="15.75" customHeight="1" s="133">
      <c r="A3614" s="75" t="n"/>
      <c r="B3614" s="75" t="n"/>
      <c r="C3614" s="75" t="n"/>
      <c r="D3614" s="75" t="n"/>
      <c r="E3614" s="76" t="n"/>
      <c r="F3614" s="77" t="n"/>
      <c r="G3614" s="75" t="n"/>
      <c r="H3614" s="75">
        <f>IF(ISBLANK(E3614),"",IF(OR(D3614="Butterfly",D3614="Butterfly ",D3614="Iron Fly", D3614="Iron Fly "),LEN(E3614)-LEN(SUBSTITUTE(E3614,"/",""))+2,LEN(E3614)-LEN(SUBSTITUTE(E3614,"/",""))+1))</f>
        <v/>
      </c>
      <c r="I3614" s="78">
        <f>IF(ISBLANK(G3614),"",IF(D3614="Stock","0",Key!$A$3*H3614*G3614))</f>
        <v/>
      </c>
      <c r="J3614" s="78">
        <f>IF(ISBLANK(E3614),"",IF(ISNUMBER(SEARCH("/",E3614)), IF(LEN(E3614)-LEN(SUBSTITUTE(E3614,"/",""))=1,(RIGHT(E3614,LEN(E3614)-FIND("/",E3614)))-(LEFT(E3614,FIND("/",E3614)-1)),(MID(E3614, SEARCH("/",E3614) + 1, SEARCH("/",E3614, SEARCH("/",E3614)+1) - SEARCH("/",E3614) - 1))-(LEFT(E3614,FIND("/",E3614)-1))), "NA"))</f>
        <v/>
      </c>
      <c r="K3614" s="79">
        <f>IF(A3614&lt;&gt;"", IF(ISBLANK(L3614), TODAY(), K3614), "")</f>
        <v/>
      </c>
      <c r="L3614" s="78" t="n"/>
      <c r="M3614" s="78">
        <f>IF(ISBLANK(L3614),"",IF(D3614="Stock",IF(C3614="Buy",L3614*G3614,IF(C3614="Sell",(L3614*G3614)-I3614, X)),IF(C3614="Buy",(L3614*G3614*100)+I3614,IF(C3614="Sell",(L3614*G3614*100)-I3614, X))))</f>
        <v/>
      </c>
      <c r="N3614" s="78">
        <f>IF(ISBLANK(L3614),"",IF(AND(C3614="Sell",D3614="Stock"),M3614,IF(ISBLANK(L3614),"",IF(C3614="Buy",M3614, IF(AND(C3614="Sell",J3614="NA"),(E3614*G3614*100*0.1)+I3614, IF(C3614="Sell",(J3614-L3614)*(100*G3614)+I3614))))))</f>
        <v/>
      </c>
      <c r="O3614" s="75" t="n"/>
      <c r="P3614" s="75" t="n"/>
      <c r="Q3614" s="75">
        <f>IF(ISBLANK(P3614),"",IF(D3614="Stock",P3614*G3614,IF(P3614=0,"0",G3614*P3614*100-(G3614*$AF$14))))</f>
        <v/>
      </c>
      <c r="R3614" s="79">
        <f>IF(P3614&lt;&gt;"", TODAY(), "")</f>
        <v/>
      </c>
      <c r="S3614" s="78">
        <f>IF(AND(K3614&lt;&gt;"", R3614&lt;&gt;""), R3614-K3614, "")</f>
        <v/>
      </c>
      <c r="T3614" s="78" t="n"/>
      <c r="U3614" s="92">
        <f>IF(ISBLANK(P3614),"",IF(C3614="Buy",Q3614-M3614+T3614, IF(C3614="Sell",M3614-Q3614-T3614, X)))</f>
        <v/>
      </c>
      <c r="V3614" s="81">
        <f>IF(ISBLANK(P3614),"",U3614/N3614)</f>
        <v/>
      </c>
      <c r="W3614" s="81">
        <f>IF(ISBLANK(P3614),"",IF(S3614=0,(365/0.5)*V3614,(365/S3614)*V3614))</f>
        <v/>
      </c>
      <c r="X3614" s="75" t="n"/>
      <c r="Y3614" s="77" t="n"/>
      <c r="Z3614" s="77" t="n"/>
      <c r="AA3614" s="75" t="n"/>
      <c r="AB3614" s="75" t="n"/>
      <c r="AC3614" s="6" t="n"/>
      <c r="AD3614" s="75" t="n"/>
      <c r="AE3614" s="75" t="n"/>
      <c r="AF3614" s="75" t="n"/>
    </row>
    <row r="3615" ht="15.75" customHeight="1" s="133">
      <c r="A3615" s="75" t="n"/>
      <c r="B3615" s="75" t="n"/>
      <c r="C3615" s="75" t="n"/>
      <c r="D3615" s="75" t="n"/>
      <c r="E3615" s="76" t="n"/>
      <c r="F3615" s="77" t="n"/>
      <c r="G3615" s="75" t="n"/>
      <c r="H3615" s="75">
        <f>IF(ISBLANK(E3615),"",IF(OR(D3615="Butterfly",D3615="Butterfly ",D3615="Iron Fly", D3615="Iron Fly "),LEN(E3615)-LEN(SUBSTITUTE(E3615,"/",""))+2,LEN(E3615)-LEN(SUBSTITUTE(E3615,"/",""))+1))</f>
        <v/>
      </c>
      <c r="I3615" s="78">
        <f>IF(ISBLANK(G3615),"",IF(D3615="Stock","0",Key!$A$3*H3615*G3615))</f>
        <v/>
      </c>
      <c r="J3615" s="78">
        <f>IF(ISBLANK(E3615),"",IF(ISNUMBER(SEARCH("/",E3615)), IF(LEN(E3615)-LEN(SUBSTITUTE(E3615,"/",""))=1,(RIGHT(E3615,LEN(E3615)-FIND("/",E3615)))-(LEFT(E3615,FIND("/",E3615)-1)),(MID(E3615, SEARCH("/",E3615) + 1, SEARCH("/",E3615, SEARCH("/",E3615)+1) - SEARCH("/",E3615) - 1))-(LEFT(E3615,FIND("/",E3615)-1))), "NA"))</f>
        <v/>
      </c>
      <c r="K3615" s="79">
        <f>IF(A3615&lt;&gt;"", IF(ISBLANK(L3615), TODAY(), K3615), "")</f>
        <v/>
      </c>
      <c r="L3615" s="78" t="n"/>
      <c r="M3615" s="78">
        <f>IF(ISBLANK(L3615),"",IF(D3615="Stock",IF(C3615="Buy",L3615*G3615,IF(C3615="Sell",(L3615*G3615)-I3615, X)),IF(C3615="Buy",(L3615*G3615*100)+I3615,IF(C3615="Sell",(L3615*G3615*100)-I3615, X))))</f>
        <v/>
      </c>
      <c r="N3615" s="78">
        <f>IF(ISBLANK(L3615),"",IF(AND(C3615="Sell",D3615="Stock"),M3615,IF(ISBLANK(L3615),"",IF(C3615="Buy",M3615, IF(AND(C3615="Sell",J3615="NA"),(E3615*G3615*100*0.1)+I3615, IF(C3615="Sell",(J3615-L3615)*(100*G3615)+I3615))))))</f>
        <v/>
      </c>
      <c r="O3615" s="75" t="n"/>
      <c r="P3615" s="75" t="n"/>
      <c r="Q3615" s="75">
        <f>IF(ISBLANK(P3615),"",IF(D3615="Stock",P3615*G3615,IF(P3615=0,"0",G3615*P3615*100-(G3615*$AF$14))))</f>
        <v/>
      </c>
      <c r="R3615" s="79">
        <f>IF(P3615&lt;&gt;"", TODAY(), "")</f>
        <v/>
      </c>
      <c r="S3615" s="78">
        <f>IF(AND(K3615&lt;&gt;"", R3615&lt;&gt;""), R3615-K3615, "")</f>
        <v/>
      </c>
      <c r="T3615" s="78" t="n"/>
      <c r="U3615" s="92">
        <f>IF(ISBLANK(P3615),"",IF(C3615="Buy",Q3615-M3615+T3615, IF(C3615="Sell",M3615-Q3615-T3615, X)))</f>
        <v/>
      </c>
      <c r="V3615" s="81">
        <f>IF(ISBLANK(P3615),"",U3615/N3615)</f>
        <v/>
      </c>
      <c r="W3615" s="81">
        <f>IF(ISBLANK(P3615),"",IF(S3615=0,(365/0.5)*V3615,(365/S3615)*V3615))</f>
        <v/>
      </c>
      <c r="X3615" s="75" t="n"/>
      <c r="Y3615" s="77" t="n"/>
      <c r="Z3615" s="77" t="n"/>
      <c r="AA3615" s="75" t="n"/>
      <c r="AB3615" s="75" t="n"/>
      <c r="AC3615" s="6" t="n"/>
      <c r="AD3615" s="75" t="n"/>
      <c r="AE3615" s="75" t="n"/>
      <c r="AF3615" s="75" t="n"/>
    </row>
    <row r="3616" ht="15.75" customHeight="1" s="133">
      <c r="A3616" s="75" t="n"/>
      <c r="B3616" s="75" t="n"/>
      <c r="C3616" s="75" t="n"/>
      <c r="D3616" s="75" t="n"/>
      <c r="E3616" s="76" t="n"/>
      <c r="F3616" s="77" t="n"/>
      <c r="G3616" s="75" t="n"/>
      <c r="H3616" s="75">
        <f>IF(ISBLANK(E3616),"",IF(OR(D3616="Butterfly",D3616="Butterfly ",D3616="Iron Fly", D3616="Iron Fly "),LEN(E3616)-LEN(SUBSTITUTE(E3616,"/",""))+2,LEN(E3616)-LEN(SUBSTITUTE(E3616,"/",""))+1))</f>
        <v/>
      </c>
      <c r="I3616" s="78">
        <f>IF(ISBLANK(G3616),"",IF(D3616="Stock","0",Key!$A$3*H3616*G3616))</f>
        <v/>
      </c>
      <c r="J3616" s="78">
        <f>IF(ISBLANK(E3616),"",IF(ISNUMBER(SEARCH("/",E3616)), IF(LEN(E3616)-LEN(SUBSTITUTE(E3616,"/",""))=1,(RIGHT(E3616,LEN(E3616)-FIND("/",E3616)))-(LEFT(E3616,FIND("/",E3616)-1)),(MID(E3616, SEARCH("/",E3616) + 1, SEARCH("/",E3616, SEARCH("/",E3616)+1) - SEARCH("/",E3616) - 1))-(LEFT(E3616,FIND("/",E3616)-1))), "NA"))</f>
        <v/>
      </c>
      <c r="K3616" s="79">
        <f>IF(A3616&lt;&gt;"", IF(ISBLANK(L3616), TODAY(), K3616), "")</f>
        <v/>
      </c>
      <c r="L3616" s="78" t="n"/>
      <c r="M3616" s="78">
        <f>IF(ISBLANK(L3616),"",IF(D3616="Stock",IF(C3616="Buy",L3616*G3616,IF(C3616="Sell",(L3616*G3616)-I3616, X)),IF(C3616="Buy",(L3616*G3616*100)+I3616,IF(C3616="Sell",(L3616*G3616*100)-I3616, X))))</f>
        <v/>
      </c>
      <c r="N3616" s="78">
        <f>IF(ISBLANK(L3616),"",IF(AND(C3616="Sell",D3616="Stock"),M3616,IF(ISBLANK(L3616),"",IF(C3616="Buy",M3616, IF(AND(C3616="Sell",J3616="NA"),(E3616*G3616*100*0.1)+I3616, IF(C3616="Sell",(J3616-L3616)*(100*G3616)+I3616))))))</f>
        <v/>
      </c>
      <c r="O3616" s="75" t="n"/>
      <c r="P3616" s="75" t="n"/>
      <c r="Q3616" s="75">
        <f>IF(ISBLANK(P3616),"",IF(D3616="Stock",P3616*G3616,IF(P3616=0,"0",G3616*P3616*100-(G3616*$AF$14))))</f>
        <v/>
      </c>
      <c r="R3616" s="79">
        <f>IF(P3616&lt;&gt;"", TODAY(), "")</f>
        <v/>
      </c>
      <c r="S3616" s="78">
        <f>IF(AND(K3616&lt;&gt;"", R3616&lt;&gt;""), R3616-K3616, "")</f>
        <v/>
      </c>
      <c r="T3616" s="78" t="n"/>
      <c r="U3616" s="92">
        <f>IF(ISBLANK(P3616),"",IF(C3616="Buy",Q3616-M3616+T3616, IF(C3616="Sell",M3616-Q3616-T3616, X)))</f>
        <v/>
      </c>
      <c r="V3616" s="81">
        <f>IF(ISBLANK(P3616),"",U3616/N3616)</f>
        <v/>
      </c>
      <c r="W3616" s="81">
        <f>IF(ISBLANK(P3616),"",IF(S3616=0,(365/0.5)*V3616,(365/S3616)*V3616))</f>
        <v/>
      </c>
      <c r="X3616" s="75" t="n"/>
      <c r="Y3616" s="77" t="n"/>
      <c r="Z3616" s="77" t="n"/>
      <c r="AA3616" s="75" t="n"/>
      <c r="AB3616" s="75" t="n"/>
      <c r="AC3616" s="6" t="n"/>
      <c r="AD3616" s="75" t="n"/>
      <c r="AE3616" s="75" t="n"/>
      <c r="AF3616" s="75" t="n"/>
    </row>
    <row r="3617" ht="15.75" customHeight="1" s="133">
      <c r="A3617" s="75" t="n"/>
      <c r="B3617" s="75" t="n"/>
      <c r="C3617" s="75" t="n"/>
      <c r="D3617" s="75" t="n"/>
      <c r="E3617" s="76" t="n"/>
      <c r="F3617" s="77" t="n"/>
      <c r="G3617" s="75" t="n"/>
      <c r="H3617" s="75">
        <f>IF(ISBLANK(E3617),"",IF(OR(D3617="Butterfly",D3617="Butterfly ",D3617="Iron Fly", D3617="Iron Fly "),LEN(E3617)-LEN(SUBSTITUTE(E3617,"/",""))+2,LEN(E3617)-LEN(SUBSTITUTE(E3617,"/",""))+1))</f>
        <v/>
      </c>
      <c r="I3617" s="78">
        <f>IF(ISBLANK(G3617),"",IF(D3617="Stock","0",Key!$A$3*H3617*G3617))</f>
        <v/>
      </c>
      <c r="J3617" s="78">
        <f>IF(ISBLANK(E3617),"",IF(ISNUMBER(SEARCH("/",E3617)), IF(LEN(E3617)-LEN(SUBSTITUTE(E3617,"/",""))=1,(RIGHT(E3617,LEN(E3617)-FIND("/",E3617)))-(LEFT(E3617,FIND("/",E3617)-1)),(MID(E3617, SEARCH("/",E3617) + 1, SEARCH("/",E3617, SEARCH("/",E3617)+1) - SEARCH("/",E3617) - 1))-(LEFT(E3617,FIND("/",E3617)-1))), "NA"))</f>
        <v/>
      </c>
      <c r="K3617" s="79">
        <f>IF(A3617&lt;&gt;"", IF(ISBLANK(L3617), TODAY(), K3617), "")</f>
        <v/>
      </c>
      <c r="L3617" s="78" t="n"/>
      <c r="M3617" s="78">
        <f>IF(ISBLANK(L3617),"",IF(D3617="Stock",IF(C3617="Buy",L3617*G3617,IF(C3617="Sell",(L3617*G3617)-I3617, X)),IF(C3617="Buy",(L3617*G3617*100)+I3617,IF(C3617="Sell",(L3617*G3617*100)-I3617, X))))</f>
        <v/>
      </c>
      <c r="N3617" s="78">
        <f>IF(ISBLANK(L3617),"",IF(AND(C3617="Sell",D3617="Stock"),M3617,IF(ISBLANK(L3617),"",IF(C3617="Buy",M3617, IF(AND(C3617="Sell",J3617="NA"),(E3617*G3617*100*0.1)+I3617, IF(C3617="Sell",(J3617-L3617)*(100*G3617)+I3617))))))</f>
        <v/>
      </c>
      <c r="O3617" s="75" t="n"/>
      <c r="P3617" s="75" t="n"/>
      <c r="Q3617" s="75">
        <f>IF(ISBLANK(P3617),"",IF(D3617="Stock",P3617*G3617,IF(P3617=0,"0",G3617*P3617*100-(G3617*$AF$14))))</f>
        <v/>
      </c>
      <c r="R3617" s="79">
        <f>IF(P3617&lt;&gt;"", TODAY(), "")</f>
        <v/>
      </c>
      <c r="S3617" s="78">
        <f>IF(AND(K3617&lt;&gt;"", R3617&lt;&gt;""), R3617-K3617, "")</f>
        <v/>
      </c>
      <c r="T3617" s="78" t="n"/>
      <c r="U3617" s="92">
        <f>IF(ISBLANK(P3617),"",IF(C3617="Buy",Q3617-M3617+T3617, IF(C3617="Sell",M3617-Q3617-T3617, X)))</f>
        <v/>
      </c>
      <c r="V3617" s="81">
        <f>IF(ISBLANK(P3617),"",U3617/N3617)</f>
        <v/>
      </c>
      <c r="W3617" s="81">
        <f>IF(ISBLANK(P3617),"",IF(S3617=0,(365/0.5)*V3617,(365/S3617)*V3617))</f>
        <v/>
      </c>
      <c r="X3617" s="75" t="n"/>
      <c r="Y3617" s="77" t="n"/>
      <c r="Z3617" s="77" t="n"/>
      <c r="AA3617" s="75" t="n"/>
      <c r="AB3617" s="75" t="n"/>
      <c r="AC3617" s="6" t="n"/>
      <c r="AD3617" s="75" t="n"/>
      <c r="AE3617" s="75" t="n"/>
      <c r="AF3617" s="75" t="n"/>
    </row>
    <row r="3618" ht="15.75" customHeight="1" s="133">
      <c r="A3618" s="75" t="n"/>
      <c r="B3618" s="75" t="n"/>
      <c r="C3618" s="75" t="n"/>
      <c r="D3618" s="75" t="n"/>
      <c r="E3618" s="76" t="n"/>
      <c r="F3618" s="77" t="n"/>
      <c r="G3618" s="75" t="n"/>
      <c r="H3618" s="75">
        <f>IF(ISBLANK(E3618),"",IF(OR(D3618="Butterfly",D3618="Butterfly ",D3618="Iron Fly", D3618="Iron Fly "),LEN(E3618)-LEN(SUBSTITUTE(E3618,"/",""))+2,LEN(E3618)-LEN(SUBSTITUTE(E3618,"/",""))+1))</f>
        <v/>
      </c>
      <c r="I3618" s="78">
        <f>IF(ISBLANK(G3618),"",IF(D3618="Stock","0",Key!$A$3*H3618*G3618))</f>
        <v/>
      </c>
      <c r="J3618" s="78">
        <f>IF(ISBLANK(E3618),"",IF(ISNUMBER(SEARCH("/",E3618)), IF(LEN(E3618)-LEN(SUBSTITUTE(E3618,"/",""))=1,(RIGHT(E3618,LEN(E3618)-FIND("/",E3618)))-(LEFT(E3618,FIND("/",E3618)-1)),(MID(E3618, SEARCH("/",E3618) + 1, SEARCH("/",E3618, SEARCH("/",E3618)+1) - SEARCH("/",E3618) - 1))-(LEFT(E3618,FIND("/",E3618)-1))), "NA"))</f>
        <v/>
      </c>
      <c r="K3618" s="79">
        <f>IF(A3618&lt;&gt;"", IF(ISBLANK(L3618), TODAY(), K3618), "")</f>
        <v/>
      </c>
      <c r="L3618" s="78" t="n"/>
      <c r="M3618" s="78">
        <f>IF(ISBLANK(L3618),"",IF(D3618="Stock",IF(C3618="Buy",L3618*G3618,IF(C3618="Sell",(L3618*G3618)-I3618, X)),IF(C3618="Buy",(L3618*G3618*100)+I3618,IF(C3618="Sell",(L3618*G3618*100)-I3618, X))))</f>
        <v/>
      </c>
      <c r="N3618" s="78">
        <f>IF(ISBLANK(L3618),"",IF(AND(C3618="Sell",D3618="Stock"),M3618,IF(ISBLANK(L3618),"",IF(C3618="Buy",M3618, IF(AND(C3618="Sell",J3618="NA"),(E3618*G3618*100*0.1)+I3618, IF(C3618="Sell",(J3618-L3618)*(100*G3618)+I3618))))))</f>
        <v/>
      </c>
      <c r="O3618" s="75" t="n"/>
      <c r="P3618" s="75" t="n"/>
      <c r="Q3618" s="75">
        <f>IF(ISBLANK(P3618),"",IF(D3618="Stock",P3618*G3618,IF(P3618=0,"0",G3618*P3618*100-(G3618*$AF$14))))</f>
        <v/>
      </c>
      <c r="R3618" s="79">
        <f>IF(P3618&lt;&gt;"", TODAY(), "")</f>
        <v/>
      </c>
      <c r="S3618" s="78">
        <f>IF(AND(K3618&lt;&gt;"", R3618&lt;&gt;""), R3618-K3618, "")</f>
        <v/>
      </c>
      <c r="T3618" s="78" t="n"/>
      <c r="U3618" s="92">
        <f>IF(ISBLANK(P3618),"",IF(C3618="Buy",Q3618-M3618+T3618, IF(C3618="Sell",M3618-Q3618-T3618, X)))</f>
        <v/>
      </c>
      <c r="V3618" s="81">
        <f>IF(ISBLANK(P3618),"",U3618/N3618)</f>
        <v/>
      </c>
      <c r="W3618" s="81">
        <f>IF(ISBLANK(P3618),"",IF(S3618=0,(365/0.5)*V3618,(365/S3618)*V3618))</f>
        <v/>
      </c>
      <c r="X3618" s="75" t="n"/>
      <c r="Y3618" s="77" t="n"/>
      <c r="Z3618" s="77" t="n"/>
      <c r="AA3618" s="75" t="n"/>
      <c r="AB3618" s="75" t="n"/>
      <c r="AC3618" s="6" t="n"/>
      <c r="AD3618" s="75" t="n"/>
      <c r="AE3618" s="75" t="n"/>
      <c r="AF3618" s="75" t="n"/>
    </row>
    <row r="3619" ht="15.75" customHeight="1" s="133">
      <c r="A3619" s="75" t="n"/>
      <c r="B3619" s="75" t="n"/>
      <c r="C3619" s="75" t="n"/>
      <c r="D3619" s="75" t="n"/>
      <c r="E3619" s="76" t="n"/>
      <c r="F3619" s="77" t="n"/>
      <c r="G3619" s="75" t="n"/>
      <c r="H3619" s="75">
        <f>IF(ISBLANK(E3619),"",IF(OR(D3619="Butterfly",D3619="Butterfly ",D3619="Iron Fly", D3619="Iron Fly "),LEN(E3619)-LEN(SUBSTITUTE(E3619,"/",""))+2,LEN(E3619)-LEN(SUBSTITUTE(E3619,"/",""))+1))</f>
        <v/>
      </c>
      <c r="I3619" s="78">
        <f>IF(ISBLANK(G3619),"",IF(D3619="Stock","0",Key!$A$3*H3619*G3619))</f>
        <v/>
      </c>
      <c r="J3619" s="78">
        <f>IF(ISBLANK(E3619),"",IF(ISNUMBER(SEARCH("/",E3619)), IF(LEN(E3619)-LEN(SUBSTITUTE(E3619,"/",""))=1,(RIGHT(E3619,LEN(E3619)-FIND("/",E3619)))-(LEFT(E3619,FIND("/",E3619)-1)),(MID(E3619, SEARCH("/",E3619) + 1, SEARCH("/",E3619, SEARCH("/",E3619)+1) - SEARCH("/",E3619) - 1))-(LEFT(E3619,FIND("/",E3619)-1))), "NA"))</f>
        <v/>
      </c>
      <c r="K3619" s="79">
        <f>IF(A3619&lt;&gt;"", IF(ISBLANK(L3619), TODAY(), K3619), "")</f>
        <v/>
      </c>
      <c r="L3619" s="78" t="n"/>
      <c r="M3619" s="78">
        <f>IF(ISBLANK(L3619),"",IF(D3619="Stock",IF(C3619="Buy",L3619*G3619,IF(C3619="Sell",(L3619*G3619)-I3619, X)),IF(C3619="Buy",(L3619*G3619*100)+I3619,IF(C3619="Sell",(L3619*G3619*100)-I3619, X))))</f>
        <v/>
      </c>
      <c r="N3619" s="78">
        <f>IF(ISBLANK(L3619),"",IF(AND(C3619="Sell",D3619="Stock"),M3619,IF(ISBLANK(L3619),"",IF(C3619="Buy",M3619, IF(AND(C3619="Sell",J3619="NA"),(E3619*G3619*100*0.1)+I3619, IF(C3619="Sell",(J3619-L3619)*(100*G3619)+I3619))))))</f>
        <v/>
      </c>
      <c r="O3619" s="75" t="n"/>
      <c r="P3619" s="75" t="n"/>
      <c r="Q3619" s="75">
        <f>IF(ISBLANK(P3619),"",IF(D3619="Stock",P3619*G3619,IF(P3619=0,"0",G3619*P3619*100-(G3619*$AF$14))))</f>
        <v/>
      </c>
      <c r="R3619" s="79">
        <f>IF(P3619&lt;&gt;"", TODAY(), "")</f>
        <v/>
      </c>
      <c r="S3619" s="78">
        <f>IF(AND(K3619&lt;&gt;"", R3619&lt;&gt;""), R3619-K3619, "")</f>
        <v/>
      </c>
      <c r="T3619" s="78" t="n"/>
      <c r="U3619" s="92">
        <f>IF(ISBLANK(P3619),"",IF(C3619="Buy",Q3619-M3619+T3619, IF(C3619="Sell",M3619-Q3619-T3619, X)))</f>
        <v/>
      </c>
      <c r="V3619" s="81">
        <f>IF(ISBLANK(P3619),"",U3619/N3619)</f>
        <v/>
      </c>
      <c r="W3619" s="81">
        <f>IF(ISBLANK(P3619),"",IF(S3619=0,(365/0.5)*V3619,(365/S3619)*V3619))</f>
        <v/>
      </c>
      <c r="X3619" s="75" t="n"/>
      <c r="Y3619" s="77" t="n"/>
      <c r="Z3619" s="77" t="n"/>
      <c r="AA3619" s="75" t="n"/>
      <c r="AB3619" s="75" t="n"/>
      <c r="AC3619" s="6" t="n"/>
      <c r="AD3619" s="75" t="n"/>
      <c r="AE3619" s="75" t="n"/>
      <c r="AF3619" s="75" t="n"/>
    </row>
    <row r="3620" ht="15.75" customHeight="1" s="133">
      <c r="A3620" s="75" t="n"/>
      <c r="B3620" s="75" t="n"/>
      <c r="C3620" s="75" t="n"/>
      <c r="D3620" s="75" t="n"/>
      <c r="E3620" s="76" t="n"/>
      <c r="F3620" s="77" t="n"/>
      <c r="G3620" s="75" t="n"/>
      <c r="H3620" s="75">
        <f>IF(ISBLANK(E3620),"",IF(OR(D3620="Butterfly",D3620="Butterfly ",D3620="Iron Fly", D3620="Iron Fly "),LEN(E3620)-LEN(SUBSTITUTE(E3620,"/",""))+2,LEN(E3620)-LEN(SUBSTITUTE(E3620,"/",""))+1))</f>
        <v/>
      </c>
      <c r="I3620" s="78">
        <f>IF(ISBLANK(G3620),"",IF(D3620="Stock","0",Key!$A$3*H3620*G3620))</f>
        <v/>
      </c>
      <c r="J3620" s="78">
        <f>IF(ISBLANK(E3620),"",IF(ISNUMBER(SEARCH("/",E3620)), IF(LEN(E3620)-LEN(SUBSTITUTE(E3620,"/",""))=1,(RIGHT(E3620,LEN(E3620)-FIND("/",E3620)))-(LEFT(E3620,FIND("/",E3620)-1)),(MID(E3620, SEARCH("/",E3620) + 1, SEARCH("/",E3620, SEARCH("/",E3620)+1) - SEARCH("/",E3620) - 1))-(LEFT(E3620,FIND("/",E3620)-1))), "NA"))</f>
        <v/>
      </c>
      <c r="K3620" s="79">
        <f>IF(A3620&lt;&gt;"", IF(ISBLANK(L3620), TODAY(), K3620), "")</f>
        <v/>
      </c>
      <c r="L3620" s="78" t="n"/>
      <c r="M3620" s="78">
        <f>IF(ISBLANK(L3620),"",IF(D3620="Stock",IF(C3620="Buy",L3620*G3620,IF(C3620="Sell",(L3620*G3620)-I3620, X)),IF(C3620="Buy",(L3620*G3620*100)+I3620,IF(C3620="Sell",(L3620*G3620*100)-I3620, X))))</f>
        <v/>
      </c>
      <c r="N3620" s="78">
        <f>IF(ISBLANK(L3620),"",IF(AND(C3620="Sell",D3620="Stock"),M3620,IF(ISBLANK(L3620),"",IF(C3620="Buy",M3620, IF(AND(C3620="Sell",J3620="NA"),(E3620*G3620*100*0.1)+I3620, IF(C3620="Sell",(J3620-L3620)*(100*G3620)+I3620))))))</f>
        <v/>
      </c>
      <c r="O3620" s="75" t="n"/>
      <c r="P3620" s="75" t="n"/>
      <c r="Q3620" s="75">
        <f>IF(ISBLANK(P3620),"",IF(D3620="Stock",P3620*G3620,IF(P3620=0,"0",G3620*P3620*100-(G3620*$AF$14))))</f>
        <v/>
      </c>
      <c r="R3620" s="79">
        <f>IF(P3620&lt;&gt;"", TODAY(), "")</f>
        <v/>
      </c>
      <c r="S3620" s="78">
        <f>IF(AND(K3620&lt;&gt;"", R3620&lt;&gt;""), R3620-K3620, "")</f>
        <v/>
      </c>
      <c r="T3620" s="78" t="n"/>
      <c r="U3620" s="92">
        <f>IF(ISBLANK(P3620),"",IF(C3620="Buy",Q3620-M3620+T3620, IF(C3620="Sell",M3620-Q3620-T3620, X)))</f>
        <v/>
      </c>
      <c r="V3620" s="81">
        <f>IF(ISBLANK(P3620),"",U3620/N3620)</f>
        <v/>
      </c>
      <c r="W3620" s="81">
        <f>IF(ISBLANK(P3620),"",IF(S3620=0,(365/0.5)*V3620,(365/S3620)*V3620))</f>
        <v/>
      </c>
      <c r="X3620" s="75" t="n"/>
      <c r="Y3620" s="77" t="n"/>
      <c r="Z3620" s="77" t="n"/>
      <c r="AA3620" s="75" t="n"/>
      <c r="AB3620" s="75" t="n"/>
      <c r="AC3620" s="6" t="n"/>
      <c r="AD3620" s="75" t="n"/>
      <c r="AE3620" s="75" t="n"/>
      <c r="AF3620" s="75" t="n"/>
    </row>
    <row r="3621" ht="15.75" customHeight="1" s="133">
      <c r="A3621" s="75" t="n"/>
      <c r="B3621" s="75" t="n"/>
      <c r="C3621" s="75" t="n"/>
      <c r="D3621" s="75" t="n"/>
      <c r="E3621" s="76" t="n"/>
      <c r="F3621" s="77" t="n"/>
      <c r="G3621" s="75" t="n"/>
      <c r="H3621" s="75">
        <f>IF(ISBLANK(E3621),"",IF(OR(D3621="Butterfly",D3621="Butterfly ",D3621="Iron Fly", D3621="Iron Fly "),LEN(E3621)-LEN(SUBSTITUTE(E3621,"/",""))+2,LEN(E3621)-LEN(SUBSTITUTE(E3621,"/",""))+1))</f>
        <v/>
      </c>
      <c r="I3621" s="78">
        <f>IF(ISBLANK(G3621),"",IF(D3621="Stock","0",Key!$A$3*H3621*G3621))</f>
        <v/>
      </c>
      <c r="J3621" s="78">
        <f>IF(ISBLANK(E3621),"",IF(ISNUMBER(SEARCH("/",E3621)), IF(LEN(E3621)-LEN(SUBSTITUTE(E3621,"/",""))=1,(RIGHT(E3621,LEN(E3621)-FIND("/",E3621)))-(LEFT(E3621,FIND("/",E3621)-1)),(MID(E3621, SEARCH("/",E3621) + 1, SEARCH("/",E3621, SEARCH("/",E3621)+1) - SEARCH("/",E3621) - 1))-(LEFT(E3621,FIND("/",E3621)-1))), "NA"))</f>
        <v/>
      </c>
      <c r="K3621" s="79">
        <f>IF(A3621&lt;&gt;"", IF(ISBLANK(L3621), TODAY(), K3621), "")</f>
        <v/>
      </c>
      <c r="L3621" s="78" t="n"/>
      <c r="M3621" s="78">
        <f>IF(ISBLANK(L3621),"",IF(D3621="Stock",IF(C3621="Buy",L3621*G3621,IF(C3621="Sell",(L3621*G3621)-I3621, X)),IF(C3621="Buy",(L3621*G3621*100)+I3621,IF(C3621="Sell",(L3621*G3621*100)-I3621, X))))</f>
        <v/>
      </c>
      <c r="N3621" s="78">
        <f>IF(ISBLANK(L3621),"",IF(AND(C3621="Sell",D3621="Stock"),M3621,IF(ISBLANK(L3621),"",IF(C3621="Buy",M3621, IF(AND(C3621="Sell",J3621="NA"),(E3621*G3621*100*0.1)+I3621, IF(C3621="Sell",(J3621-L3621)*(100*G3621)+I3621))))))</f>
        <v/>
      </c>
      <c r="O3621" s="75" t="n"/>
      <c r="P3621" s="75" t="n"/>
      <c r="Q3621" s="75">
        <f>IF(ISBLANK(P3621),"",IF(D3621="Stock",P3621*G3621,IF(P3621=0,"0",G3621*P3621*100-(G3621*$AF$14))))</f>
        <v/>
      </c>
      <c r="R3621" s="79">
        <f>IF(P3621&lt;&gt;"", TODAY(), "")</f>
        <v/>
      </c>
      <c r="S3621" s="78">
        <f>IF(AND(K3621&lt;&gt;"", R3621&lt;&gt;""), R3621-K3621, "")</f>
        <v/>
      </c>
      <c r="T3621" s="78" t="n"/>
      <c r="U3621" s="92">
        <f>IF(ISBLANK(P3621),"",IF(C3621="Buy",Q3621-M3621+T3621, IF(C3621="Sell",M3621-Q3621-T3621, X)))</f>
        <v/>
      </c>
      <c r="V3621" s="81">
        <f>IF(ISBLANK(P3621),"",U3621/N3621)</f>
        <v/>
      </c>
      <c r="W3621" s="81">
        <f>IF(ISBLANK(P3621),"",IF(S3621=0,(365/0.5)*V3621,(365/S3621)*V3621))</f>
        <v/>
      </c>
      <c r="X3621" s="75" t="n"/>
      <c r="Y3621" s="77" t="n"/>
      <c r="Z3621" s="77" t="n"/>
      <c r="AA3621" s="75" t="n"/>
      <c r="AB3621" s="75" t="n"/>
      <c r="AC3621" s="6" t="n"/>
      <c r="AD3621" s="75" t="n"/>
      <c r="AE3621" s="75" t="n"/>
      <c r="AF3621" s="75" t="n"/>
    </row>
    <row r="3622" ht="15.75" customHeight="1" s="133">
      <c r="A3622" s="75" t="n"/>
      <c r="B3622" s="75" t="n"/>
      <c r="C3622" s="75" t="n"/>
      <c r="D3622" s="75" t="n"/>
      <c r="E3622" s="76" t="n"/>
      <c r="F3622" s="77" t="n"/>
      <c r="G3622" s="75" t="n"/>
      <c r="H3622" s="75">
        <f>IF(ISBLANK(E3622),"",IF(OR(D3622="Butterfly",D3622="Butterfly ",D3622="Iron Fly", D3622="Iron Fly "),LEN(E3622)-LEN(SUBSTITUTE(E3622,"/",""))+2,LEN(E3622)-LEN(SUBSTITUTE(E3622,"/",""))+1))</f>
        <v/>
      </c>
      <c r="I3622" s="78">
        <f>IF(ISBLANK(G3622),"",IF(D3622="Stock","0",Key!$A$3*H3622*G3622))</f>
        <v/>
      </c>
      <c r="J3622" s="78">
        <f>IF(ISBLANK(E3622),"",IF(ISNUMBER(SEARCH("/",E3622)), IF(LEN(E3622)-LEN(SUBSTITUTE(E3622,"/",""))=1,(RIGHT(E3622,LEN(E3622)-FIND("/",E3622)))-(LEFT(E3622,FIND("/",E3622)-1)),(MID(E3622, SEARCH("/",E3622) + 1, SEARCH("/",E3622, SEARCH("/",E3622)+1) - SEARCH("/",E3622) - 1))-(LEFT(E3622,FIND("/",E3622)-1))), "NA"))</f>
        <v/>
      </c>
      <c r="K3622" s="79">
        <f>IF(A3622&lt;&gt;"", IF(ISBLANK(L3622), TODAY(), K3622), "")</f>
        <v/>
      </c>
      <c r="L3622" s="78" t="n"/>
      <c r="M3622" s="78">
        <f>IF(ISBLANK(L3622),"",IF(D3622="Stock",IF(C3622="Buy",L3622*G3622,IF(C3622="Sell",(L3622*G3622)-I3622, X)),IF(C3622="Buy",(L3622*G3622*100)+I3622,IF(C3622="Sell",(L3622*G3622*100)-I3622, X))))</f>
        <v/>
      </c>
      <c r="N3622" s="78">
        <f>IF(ISBLANK(L3622),"",IF(AND(C3622="Sell",D3622="Stock"),M3622,IF(ISBLANK(L3622),"",IF(C3622="Buy",M3622, IF(AND(C3622="Sell",J3622="NA"),(E3622*G3622*100*0.1)+I3622, IF(C3622="Sell",(J3622-L3622)*(100*G3622)+I3622))))))</f>
        <v/>
      </c>
      <c r="O3622" s="75" t="n"/>
      <c r="P3622" s="75" t="n"/>
      <c r="Q3622" s="75">
        <f>IF(ISBLANK(P3622),"",IF(D3622="Stock",P3622*G3622,IF(P3622=0,"0",G3622*P3622*100-(G3622*$AF$14))))</f>
        <v/>
      </c>
      <c r="R3622" s="79">
        <f>IF(P3622&lt;&gt;"", TODAY(), "")</f>
        <v/>
      </c>
      <c r="S3622" s="78">
        <f>IF(AND(K3622&lt;&gt;"", R3622&lt;&gt;""), R3622-K3622, "")</f>
        <v/>
      </c>
      <c r="T3622" s="78" t="n"/>
      <c r="U3622" s="92">
        <f>IF(ISBLANK(P3622),"",IF(C3622="Buy",Q3622-M3622+T3622, IF(C3622="Sell",M3622-Q3622-T3622, X)))</f>
        <v/>
      </c>
      <c r="V3622" s="81">
        <f>IF(ISBLANK(P3622),"",U3622/N3622)</f>
        <v/>
      </c>
      <c r="W3622" s="81">
        <f>IF(ISBLANK(P3622),"",IF(S3622=0,(365/0.5)*V3622,(365/S3622)*V3622))</f>
        <v/>
      </c>
      <c r="X3622" s="75" t="n"/>
      <c r="Y3622" s="77" t="n"/>
      <c r="Z3622" s="77" t="n"/>
      <c r="AA3622" s="75" t="n"/>
      <c r="AB3622" s="75" t="n"/>
      <c r="AC3622" s="6" t="n"/>
      <c r="AD3622" s="75" t="n"/>
      <c r="AE3622" s="75" t="n"/>
      <c r="AF3622" s="75" t="n"/>
    </row>
    <row r="3623" ht="15.75" customHeight="1" s="133">
      <c r="A3623" s="75" t="n"/>
      <c r="B3623" s="75" t="n"/>
      <c r="C3623" s="75" t="n"/>
      <c r="D3623" s="75" t="n"/>
      <c r="E3623" s="76" t="n"/>
      <c r="F3623" s="77" t="n"/>
      <c r="G3623" s="75" t="n"/>
      <c r="H3623" s="75">
        <f>IF(ISBLANK(E3623),"",IF(OR(D3623="Butterfly",D3623="Butterfly ",D3623="Iron Fly", D3623="Iron Fly "),LEN(E3623)-LEN(SUBSTITUTE(E3623,"/",""))+2,LEN(E3623)-LEN(SUBSTITUTE(E3623,"/",""))+1))</f>
        <v/>
      </c>
      <c r="I3623" s="78">
        <f>IF(ISBLANK(G3623),"",IF(D3623="Stock","0",Key!$A$3*H3623*G3623))</f>
        <v/>
      </c>
      <c r="J3623" s="78">
        <f>IF(ISBLANK(E3623),"",IF(ISNUMBER(SEARCH("/",E3623)), IF(LEN(E3623)-LEN(SUBSTITUTE(E3623,"/",""))=1,(RIGHT(E3623,LEN(E3623)-FIND("/",E3623)))-(LEFT(E3623,FIND("/",E3623)-1)),(MID(E3623, SEARCH("/",E3623) + 1, SEARCH("/",E3623, SEARCH("/",E3623)+1) - SEARCH("/",E3623) - 1))-(LEFT(E3623,FIND("/",E3623)-1))), "NA"))</f>
        <v/>
      </c>
      <c r="K3623" s="79">
        <f>IF(A3623&lt;&gt;"", IF(ISBLANK(L3623), TODAY(), K3623), "")</f>
        <v/>
      </c>
      <c r="L3623" s="78" t="n"/>
      <c r="M3623" s="78">
        <f>IF(ISBLANK(L3623),"",IF(D3623="Stock",IF(C3623="Buy",L3623*G3623,IF(C3623="Sell",(L3623*G3623)-I3623, X)),IF(C3623="Buy",(L3623*G3623*100)+I3623,IF(C3623="Sell",(L3623*G3623*100)-I3623, X))))</f>
        <v/>
      </c>
      <c r="N3623" s="78">
        <f>IF(ISBLANK(L3623),"",IF(AND(C3623="Sell",D3623="Stock"),M3623,IF(ISBLANK(L3623),"",IF(C3623="Buy",M3623, IF(AND(C3623="Sell",J3623="NA"),(E3623*G3623*100*0.1)+I3623, IF(C3623="Sell",(J3623-L3623)*(100*G3623)+I3623))))))</f>
        <v/>
      </c>
      <c r="O3623" s="75" t="n"/>
      <c r="P3623" s="75" t="n"/>
      <c r="Q3623" s="75">
        <f>IF(ISBLANK(P3623),"",IF(D3623="Stock",P3623*G3623,IF(P3623=0,"0",G3623*P3623*100-(G3623*$AF$14))))</f>
        <v/>
      </c>
      <c r="R3623" s="79">
        <f>IF(P3623&lt;&gt;"", TODAY(), "")</f>
        <v/>
      </c>
      <c r="S3623" s="78">
        <f>IF(AND(K3623&lt;&gt;"", R3623&lt;&gt;""), R3623-K3623, "")</f>
        <v/>
      </c>
      <c r="T3623" s="78" t="n"/>
      <c r="U3623" s="92">
        <f>IF(ISBLANK(P3623),"",IF(C3623="Buy",Q3623-M3623+T3623, IF(C3623="Sell",M3623-Q3623-T3623, X)))</f>
        <v/>
      </c>
      <c r="V3623" s="81">
        <f>IF(ISBLANK(P3623),"",U3623/N3623)</f>
        <v/>
      </c>
      <c r="W3623" s="81">
        <f>IF(ISBLANK(P3623),"",IF(S3623=0,(365/0.5)*V3623,(365/S3623)*V3623))</f>
        <v/>
      </c>
      <c r="X3623" s="75" t="n"/>
      <c r="Y3623" s="77" t="n"/>
      <c r="Z3623" s="77" t="n"/>
      <c r="AA3623" s="75" t="n"/>
      <c r="AB3623" s="75" t="n"/>
      <c r="AC3623" s="6" t="n"/>
      <c r="AD3623" s="75" t="n"/>
      <c r="AE3623" s="75" t="n"/>
      <c r="AF3623" s="75" t="n"/>
    </row>
    <row r="3624" ht="15.75" customHeight="1" s="133">
      <c r="A3624" s="75" t="n"/>
      <c r="B3624" s="75" t="n"/>
      <c r="C3624" s="75" t="n"/>
      <c r="D3624" s="75" t="n"/>
      <c r="E3624" s="76" t="n"/>
      <c r="F3624" s="77" t="n"/>
      <c r="G3624" s="75" t="n"/>
      <c r="H3624" s="75">
        <f>IF(ISBLANK(E3624),"",IF(OR(D3624="Butterfly",D3624="Butterfly ",D3624="Iron Fly", D3624="Iron Fly "),LEN(E3624)-LEN(SUBSTITUTE(E3624,"/",""))+2,LEN(E3624)-LEN(SUBSTITUTE(E3624,"/",""))+1))</f>
        <v/>
      </c>
      <c r="I3624" s="78">
        <f>IF(ISBLANK(G3624),"",IF(D3624="Stock","0",Key!$A$3*H3624*G3624))</f>
        <v/>
      </c>
      <c r="J3624" s="78">
        <f>IF(ISBLANK(E3624),"",IF(ISNUMBER(SEARCH("/",E3624)), IF(LEN(E3624)-LEN(SUBSTITUTE(E3624,"/",""))=1,(RIGHT(E3624,LEN(E3624)-FIND("/",E3624)))-(LEFT(E3624,FIND("/",E3624)-1)),(MID(E3624, SEARCH("/",E3624) + 1, SEARCH("/",E3624, SEARCH("/",E3624)+1) - SEARCH("/",E3624) - 1))-(LEFT(E3624,FIND("/",E3624)-1))), "NA"))</f>
        <v/>
      </c>
      <c r="K3624" s="79">
        <f>IF(A3624&lt;&gt;"", IF(ISBLANK(L3624), TODAY(), K3624), "")</f>
        <v/>
      </c>
      <c r="L3624" s="78" t="n"/>
      <c r="M3624" s="78">
        <f>IF(ISBLANK(L3624),"",IF(D3624="Stock",IF(C3624="Buy",L3624*G3624,IF(C3624="Sell",(L3624*G3624)-I3624, X)),IF(C3624="Buy",(L3624*G3624*100)+I3624,IF(C3624="Sell",(L3624*G3624*100)-I3624, X))))</f>
        <v/>
      </c>
      <c r="N3624" s="78">
        <f>IF(ISBLANK(L3624),"",IF(AND(C3624="Sell",D3624="Stock"),M3624,IF(ISBLANK(L3624),"",IF(C3624="Buy",M3624, IF(AND(C3624="Sell",J3624="NA"),(E3624*G3624*100*0.1)+I3624, IF(C3624="Sell",(J3624-L3624)*(100*G3624)+I3624))))))</f>
        <v/>
      </c>
      <c r="O3624" s="75" t="n"/>
      <c r="P3624" s="75" t="n"/>
      <c r="Q3624" s="75">
        <f>IF(ISBLANK(P3624),"",IF(D3624="Stock",P3624*G3624,IF(P3624=0,"0",G3624*P3624*100-(G3624*$AF$14))))</f>
        <v/>
      </c>
      <c r="R3624" s="79">
        <f>IF(P3624&lt;&gt;"", TODAY(), "")</f>
        <v/>
      </c>
      <c r="S3624" s="78">
        <f>IF(AND(K3624&lt;&gt;"", R3624&lt;&gt;""), R3624-K3624, "")</f>
        <v/>
      </c>
      <c r="T3624" s="78" t="n"/>
      <c r="U3624" s="92">
        <f>IF(ISBLANK(P3624),"",IF(C3624="Buy",Q3624-M3624+T3624, IF(C3624="Sell",M3624-Q3624-T3624, X)))</f>
        <v/>
      </c>
      <c r="V3624" s="81">
        <f>IF(ISBLANK(P3624),"",U3624/N3624)</f>
        <v/>
      </c>
      <c r="W3624" s="81">
        <f>IF(ISBLANK(P3624),"",IF(S3624=0,(365/0.5)*V3624,(365/S3624)*V3624))</f>
        <v/>
      </c>
      <c r="X3624" s="75" t="n"/>
      <c r="Y3624" s="77" t="n"/>
      <c r="Z3624" s="77" t="n"/>
      <c r="AA3624" s="75" t="n"/>
      <c r="AB3624" s="75" t="n"/>
      <c r="AC3624" s="6" t="n"/>
      <c r="AD3624" s="75" t="n"/>
      <c r="AE3624" s="75" t="n"/>
      <c r="AF3624" s="75" t="n"/>
    </row>
    <row r="3625" ht="15.75" customHeight="1" s="133">
      <c r="A3625" s="75" t="n"/>
      <c r="B3625" s="75" t="n"/>
      <c r="C3625" s="75" t="n"/>
      <c r="D3625" s="75" t="n"/>
      <c r="E3625" s="76" t="n"/>
      <c r="F3625" s="77" t="n"/>
      <c r="G3625" s="75" t="n"/>
      <c r="H3625" s="75">
        <f>IF(ISBLANK(E3625),"",IF(OR(D3625="Butterfly",D3625="Butterfly ",D3625="Iron Fly", D3625="Iron Fly "),LEN(E3625)-LEN(SUBSTITUTE(E3625,"/",""))+2,LEN(E3625)-LEN(SUBSTITUTE(E3625,"/",""))+1))</f>
        <v/>
      </c>
      <c r="I3625" s="78">
        <f>IF(ISBLANK(G3625),"",IF(D3625="Stock","0",Key!$A$3*H3625*G3625))</f>
        <v/>
      </c>
      <c r="J3625" s="78">
        <f>IF(ISBLANK(E3625),"",IF(ISNUMBER(SEARCH("/",E3625)), IF(LEN(E3625)-LEN(SUBSTITUTE(E3625,"/",""))=1,(RIGHT(E3625,LEN(E3625)-FIND("/",E3625)))-(LEFT(E3625,FIND("/",E3625)-1)),(MID(E3625, SEARCH("/",E3625) + 1, SEARCH("/",E3625, SEARCH("/",E3625)+1) - SEARCH("/",E3625) - 1))-(LEFT(E3625,FIND("/",E3625)-1))), "NA"))</f>
        <v/>
      </c>
      <c r="K3625" s="79">
        <f>IF(A3625&lt;&gt;"", IF(ISBLANK(L3625), TODAY(), K3625), "")</f>
        <v/>
      </c>
      <c r="L3625" s="78" t="n"/>
      <c r="M3625" s="78">
        <f>IF(ISBLANK(L3625),"",IF(D3625="Stock",IF(C3625="Buy",L3625*G3625,IF(C3625="Sell",(L3625*G3625)-I3625, X)),IF(C3625="Buy",(L3625*G3625*100)+I3625,IF(C3625="Sell",(L3625*G3625*100)-I3625, X))))</f>
        <v/>
      </c>
      <c r="N3625" s="78">
        <f>IF(ISBLANK(L3625),"",IF(AND(C3625="Sell",D3625="Stock"),M3625,IF(ISBLANK(L3625),"",IF(C3625="Buy",M3625, IF(AND(C3625="Sell",J3625="NA"),(E3625*G3625*100*0.1)+I3625, IF(C3625="Sell",(J3625-L3625)*(100*G3625)+I3625))))))</f>
        <v/>
      </c>
      <c r="O3625" s="75" t="n"/>
      <c r="P3625" s="75" t="n"/>
      <c r="Q3625" s="75">
        <f>IF(ISBLANK(P3625),"",IF(D3625="Stock",P3625*G3625,IF(P3625=0,"0",G3625*P3625*100-(G3625*$AF$14))))</f>
        <v/>
      </c>
      <c r="R3625" s="79">
        <f>IF(P3625&lt;&gt;"", TODAY(), "")</f>
        <v/>
      </c>
      <c r="S3625" s="78">
        <f>IF(AND(K3625&lt;&gt;"", R3625&lt;&gt;""), R3625-K3625, "")</f>
        <v/>
      </c>
      <c r="T3625" s="78" t="n"/>
      <c r="U3625" s="92">
        <f>IF(ISBLANK(P3625),"",IF(C3625="Buy",Q3625-M3625+T3625, IF(C3625="Sell",M3625-Q3625-T3625, X)))</f>
        <v/>
      </c>
      <c r="V3625" s="81">
        <f>IF(ISBLANK(P3625),"",U3625/N3625)</f>
        <v/>
      </c>
      <c r="W3625" s="81">
        <f>IF(ISBLANK(P3625),"",IF(S3625=0,(365/0.5)*V3625,(365/S3625)*V3625))</f>
        <v/>
      </c>
      <c r="X3625" s="75" t="n"/>
      <c r="Y3625" s="77" t="n"/>
      <c r="Z3625" s="77" t="n"/>
      <c r="AA3625" s="75" t="n"/>
      <c r="AB3625" s="75" t="n"/>
      <c r="AC3625" s="6" t="n"/>
      <c r="AD3625" s="75" t="n"/>
      <c r="AE3625" s="75" t="n"/>
      <c r="AF3625" s="75" t="n"/>
    </row>
    <row r="3626" ht="15.75" customHeight="1" s="133">
      <c r="A3626" s="75" t="n"/>
      <c r="B3626" s="75" t="n"/>
      <c r="C3626" s="75" t="n"/>
      <c r="D3626" s="75" t="n"/>
      <c r="E3626" s="76" t="n"/>
      <c r="F3626" s="77" t="n"/>
      <c r="G3626" s="75" t="n"/>
      <c r="H3626" s="75">
        <f>IF(ISBLANK(E3626),"",IF(OR(D3626="Butterfly",D3626="Butterfly ",D3626="Iron Fly", D3626="Iron Fly "),LEN(E3626)-LEN(SUBSTITUTE(E3626,"/",""))+2,LEN(E3626)-LEN(SUBSTITUTE(E3626,"/",""))+1))</f>
        <v/>
      </c>
      <c r="I3626" s="78">
        <f>IF(ISBLANK(G3626),"",IF(D3626="Stock","0",Key!$A$3*H3626*G3626))</f>
        <v/>
      </c>
      <c r="J3626" s="78">
        <f>IF(ISBLANK(E3626),"",IF(ISNUMBER(SEARCH("/",E3626)), IF(LEN(E3626)-LEN(SUBSTITUTE(E3626,"/",""))=1,(RIGHT(E3626,LEN(E3626)-FIND("/",E3626)))-(LEFT(E3626,FIND("/",E3626)-1)),(MID(E3626, SEARCH("/",E3626) + 1, SEARCH("/",E3626, SEARCH("/",E3626)+1) - SEARCH("/",E3626) - 1))-(LEFT(E3626,FIND("/",E3626)-1))), "NA"))</f>
        <v/>
      </c>
      <c r="K3626" s="79">
        <f>IF(A3626&lt;&gt;"", IF(ISBLANK(L3626), TODAY(), K3626), "")</f>
        <v/>
      </c>
      <c r="L3626" s="78" t="n"/>
      <c r="M3626" s="78">
        <f>IF(ISBLANK(L3626),"",IF(D3626="Stock",IF(C3626="Buy",L3626*G3626,IF(C3626="Sell",(L3626*G3626)-I3626, X)),IF(C3626="Buy",(L3626*G3626*100)+I3626,IF(C3626="Sell",(L3626*G3626*100)-I3626, X))))</f>
        <v/>
      </c>
      <c r="N3626" s="78">
        <f>IF(ISBLANK(L3626),"",IF(AND(C3626="Sell",D3626="Stock"),M3626,IF(ISBLANK(L3626),"",IF(C3626="Buy",M3626, IF(AND(C3626="Sell",J3626="NA"),(E3626*G3626*100*0.1)+I3626, IF(C3626="Sell",(J3626-L3626)*(100*G3626)+I3626))))))</f>
        <v/>
      </c>
      <c r="O3626" s="75" t="n"/>
      <c r="P3626" s="75" t="n"/>
      <c r="Q3626" s="75">
        <f>IF(ISBLANK(P3626),"",IF(D3626="Stock",P3626*G3626,IF(P3626=0,"0",G3626*P3626*100-(G3626*$AF$14))))</f>
        <v/>
      </c>
      <c r="R3626" s="79">
        <f>IF(P3626&lt;&gt;"", TODAY(), "")</f>
        <v/>
      </c>
      <c r="S3626" s="78">
        <f>IF(AND(K3626&lt;&gt;"", R3626&lt;&gt;""), R3626-K3626, "")</f>
        <v/>
      </c>
      <c r="T3626" s="78" t="n"/>
      <c r="U3626" s="92">
        <f>IF(ISBLANK(P3626),"",IF(C3626="Buy",Q3626-M3626+T3626, IF(C3626="Sell",M3626-Q3626-T3626, X)))</f>
        <v/>
      </c>
      <c r="V3626" s="81">
        <f>IF(ISBLANK(P3626),"",U3626/N3626)</f>
        <v/>
      </c>
      <c r="W3626" s="81">
        <f>IF(ISBLANK(P3626),"",IF(S3626=0,(365/0.5)*V3626,(365/S3626)*V3626))</f>
        <v/>
      </c>
      <c r="X3626" s="75" t="n"/>
      <c r="Y3626" s="77" t="n"/>
      <c r="Z3626" s="77" t="n"/>
      <c r="AA3626" s="75" t="n"/>
      <c r="AB3626" s="75" t="n"/>
      <c r="AC3626" s="6" t="n"/>
      <c r="AD3626" s="75" t="n"/>
      <c r="AE3626" s="75" t="n"/>
      <c r="AF3626" s="75" t="n"/>
    </row>
    <row r="3627" ht="15.75" customHeight="1" s="133">
      <c r="A3627" s="75" t="n"/>
      <c r="B3627" s="75" t="n"/>
      <c r="C3627" s="75" t="n"/>
      <c r="D3627" s="75" t="n"/>
      <c r="E3627" s="76" t="n"/>
      <c r="F3627" s="77" t="n"/>
      <c r="G3627" s="75" t="n"/>
      <c r="H3627" s="75">
        <f>IF(ISBLANK(E3627),"",IF(OR(D3627="Butterfly",D3627="Butterfly ",D3627="Iron Fly", D3627="Iron Fly "),LEN(E3627)-LEN(SUBSTITUTE(E3627,"/",""))+2,LEN(E3627)-LEN(SUBSTITUTE(E3627,"/",""))+1))</f>
        <v/>
      </c>
      <c r="I3627" s="78">
        <f>IF(ISBLANK(G3627),"",IF(D3627="Stock","0",Key!$A$3*H3627*G3627))</f>
        <v/>
      </c>
      <c r="J3627" s="78">
        <f>IF(ISBLANK(E3627),"",IF(ISNUMBER(SEARCH("/",E3627)), IF(LEN(E3627)-LEN(SUBSTITUTE(E3627,"/",""))=1,(RIGHT(E3627,LEN(E3627)-FIND("/",E3627)))-(LEFT(E3627,FIND("/",E3627)-1)),(MID(E3627, SEARCH("/",E3627) + 1, SEARCH("/",E3627, SEARCH("/",E3627)+1) - SEARCH("/",E3627) - 1))-(LEFT(E3627,FIND("/",E3627)-1))), "NA"))</f>
        <v/>
      </c>
      <c r="K3627" s="79">
        <f>IF(A3627&lt;&gt;"", IF(ISBLANK(L3627), TODAY(), K3627), "")</f>
        <v/>
      </c>
      <c r="L3627" s="78" t="n"/>
      <c r="M3627" s="78">
        <f>IF(ISBLANK(L3627),"",IF(D3627="Stock",IF(C3627="Buy",L3627*G3627,IF(C3627="Sell",(L3627*G3627)-I3627, X)),IF(C3627="Buy",(L3627*G3627*100)+I3627,IF(C3627="Sell",(L3627*G3627*100)-I3627, X))))</f>
        <v/>
      </c>
      <c r="N3627" s="78">
        <f>IF(ISBLANK(L3627),"",IF(AND(C3627="Sell",D3627="Stock"),M3627,IF(ISBLANK(L3627),"",IF(C3627="Buy",M3627, IF(AND(C3627="Sell",J3627="NA"),(E3627*G3627*100*0.1)+I3627, IF(C3627="Sell",(J3627-L3627)*(100*G3627)+I3627))))))</f>
        <v/>
      </c>
      <c r="O3627" s="75" t="n"/>
      <c r="P3627" s="75" t="n"/>
      <c r="Q3627" s="75">
        <f>IF(ISBLANK(P3627),"",IF(D3627="Stock",P3627*G3627,IF(P3627=0,"0",G3627*P3627*100-(G3627*$AF$14))))</f>
        <v/>
      </c>
      <c r="R3627" s="79">
        <f>IF(P3627&lt;&gt;"", TODAY(), "")</f>
        <v/>
      </c>
      <c r="S3627" s="78">
        <f>IF(AND(K3627&lt;&gt;"", R3627&lt;&gt;""), R3627-K3627, "")</f>
        <v/>
      </c>
      <c r="T3627" s="78" t="n"/>
      <c r="U3627" s="92">
        <f>IF(ISBLANK(P3627),"",IF(C3627="Buy",Q3627-M3627+T3627, IF(C3627="Sell",M3627-Q3627-T3627, X)))</f>
        <v/>
      </c>
      <c r="V3627" s="81">
        <f>IF(ISBLANK(P3627),"",U3627/N3627)</f>
        <v/>
      </c>
      <c r="W3627" s="81">
        <f>IF(ISBLANK(P3627),"",IF(S3627=0,(365/0.5)*V3627,(365/S3627)*V3627))</f>
        <v/>
      </c>
      <c r="X3627" s="75" t="n"/>
      <c r="Y3627" s="77" t="n"/>
      <c r="Z3627" s="77" t="n"/>
      <c r="AA3627" s="75" t="n"/>
      <c r="AB3627" s="75" t="n"/>
      <c r="AC3627" s="6" t="n"/>
      <c r="AD3627" s="75" t="n"/>
      <c r="AE3627" s="75" t="n"/>
      <c r="AF3627" s="75" t="n"/>
    </row>
    <row r="3628" ht="15.75" customHeight="1" s="133">
      <c r="A3628" s="75" t="n"/>
      <c r="B3628" s="75" t="n"/>
      <c r="C3628" s="75" t="n"/>
      <c r="D3628" s="75" t="n"/>
      <c r="E3628" s="76" t="n"/>
      <c r="F3628" s="77" t="n"/>
      <c r="G3628" s="75" t="n"/>
      <c r="H3628" s="75">
        <f>IF(ISBLANK(E3628),"",IF(OR(D3628="Butterfly",D3628="Butterfly ",D3628="Iron Fly", D3628="Iron Fly "),LEN(E3628)-LEN(SUBSTITUTE(E3628,"/",""))+2,LEN(E3628)-LEN(SUBSTITUTE(E3628,"/",""))+1))</f>
        <v/>
      </c>
      <c r="I3628" s="78">
        <f>IF(ISBLANK(G3628),"",IF(D3628="Stock","0",Key!$A$3*H3628*G3628))</f>
        <v/>
      </c>
      <c r="J3628" s="78">
        <f>IF(ISBLANK(E3628),"",IF(ISNUMBER(SEARCH("/",E3628)), IF(LEN(E3628)-LEN(SUBSTITUTE(E3628,"/",""))=1,(RIGHT(E3628,LEN(E3628)-FIND("/",E3628)))-(LEFT(E3628,FIND("/",E3628)-1)),(MID(E3628, SEARCH("/",E3628) + 1, SEARCH("/",E3628, SEARCH("/",E3628)+1) - SEARCH("/",E3628) - 1))-(LEFT(E3628,FIND("/",E3628)-1))), "NA"))</f>
        <v/>
      </c>
      <c r="K3628" s="79">
        <f>IF(A3628&lt;&gt;"", IF(ISBLANK(L3628), TODAY(), K3628), "")</f>
        <v/>
      </c>
      <c r="L3628" s="78" t="n"/>
      <c r="M3628" s="78">
        <f>IF(ISBLANK(L3628),"",IF(D3628="Stock",IF(C3628="Buy",L3628*G3628,IF(C3628="Sell",(L3628*G3628)-I3628, X)),IF(C3628="Buy",(L3628*G3628*100)+I3628,IF(C3628="Sell",(L3628*G3628*100)-I3628, X))))</f>
        <v/>
      </c>
      <c r="N3628" s="78">
        <f>IF(ISBLANK(L3628),"",IF(AND(C3628="Sell",D3628="Stock"),M3628,IF(ISBLANK(L3628),"",IF(C3628="Buy",M3628, IF(AND(C3628="Sell",J3628="NA"),(E3628*G3628*100*0.1)+I3628, IF(C3628="Sell",(J3628-L3628)*(100*G3628)+I3628))))))</f>
        <v/>
      </c>
      <c r="O3628" s="75" t="n"/>
      <c r="P3628" s="75" t="n"/>
      <c r="Q3628" s="75">
        <f>IF(ISBLANK(P3628),"",IF(D3628="Stock",P3628*G3628,IF(P3628=0,"0",G3628*P3628*100-(G3628*$AF$14))))</f>
        <v/>
      </c>
      <c r="R3628" s="79">
        <f>IF(P3628&lt;&gt;"", TODAY(), "")</f>
        <v/>
      </c>
      <c r="S3628" s="78">
        <f>IF(AND(K3628&lt;&gt;"", R3628&lt;&gt;""), R3628-K3628, "")</f>
        <v/>
      </c>
      <c r="T3628" s="78" t="n"/>
      <c r="U3628" s="92">
        <f>IF(ISBLANK(P3628),"",IF(C3628="Buy",Q3628-M3628+T3628, IF(C3628="Sell",M3628-Q3628-T3628, X)))</f>
        <v/>
      </c>
      <c r="V3628" s="81">
        <f>IF(ISBLANK(P3628),"",U3628/N3628)</f>
        <v/>
      </c>
      <c r="W3628" s="81">
        <f>IF(ISBLANK(P3628),"",IF(S3628=0,(365/0.5)*V3628,(365/S3628)*V3628))</f>
        <v/>
      </c>
      <c r="X3628" s="75" t="n"/>
      <c r="Y3628" s="77" t="n"/>
      <c r="Z3628" s="77" t="n"/>
      <c r="AA3628" s="75" t="n"/>
      <c r="AB3628" s="75" t="n"/>
      <c r="AC3628" s="6" t="n"/>
      <c r="AD3628" s="75" t="n"/>
      <c r="AE3628" s="75" t="n"/>
      <c r="AF3628" s="75" t="n"/>
    </row>
    <row r="3629" ht="15.75" customHeight="1" s="133">
      <c r="A3629" s="75" t="n"/>
      <c r="B3629" s="75" t="n"/>
      <c r="C3629" s="75" t="n"/>
      <c r="D3629" s="75" t="n"/>
      <c r="E3629" s="76" t="n"/>
      <c r="F3629" s="77" t="n"/>
      <c r="G3629" s="75" t="n"/>
      <c r="H3629" s="75">
        <f>IF(ISBLANK(E3629),"",IF(OR(D3629="Butterfly",D3629="Butterfly ",D3629="Iron Fly", D3629="Iron Fly "),LEN(E3629)-LEN(SUBSTITUTE(E3629,"/",""))+2,LEN(E3629)-LEN(SUBSTITUTE(E3629,"/",""))+1))</f>
        <v/>
      </c>
      <c r="I3629" s="78">
        <f>IF(ISBLANK(G3629),"",IF(D3629="Stock","0",Key!$A$3*H3629*G3629))</f>
        <v/>
      </c>
      <c r="J3629" s="78">
        <f>IF(ISBLANK(E3629),"",IF(ISNUMBER(SEARCH("/",E3629)), IF(LEN(E3629)-LEN(SUBSTITUTE(E3629,"/",""))=1,(RIGHT(E3629,LEN(E3629)-FIND("/",E3629)))-(LEFT(E3629,FIND("/",E3629)-1)),(MID(E3629, SEARCH("/",E3629) + 1, SEARCH("/",E3629, SEARCH("/",E3629)+1) - SEARCH("/",E3629) - 1))-(LEFT(E3629,FIND("/",E3629)-1))), "NA"))</f>
        <v/>
      </c>
      <c r="K3629" s="79">
        <f>IF(A3629&lt;&gt;"", IF(ISBLANK(L3629), TODAY(), K3629), "")</f>
        <v/>
      </c>
      <c r="L3629" s="78" t="n"/>
      <c r="M3629" s="78">
        <f>IF(ISBLANK(L3629),"",IF(D3629="Stock",IF(C3629="Buy",L3629*G3629,IF(C3629="Sell",(L3629*G3629)-I3629, X)),IF(C3629="Buy",(L3629*G3629*100)+I3629,IF(C3629="Sell",(L3629*G3629*100)-I3629, X))))</f>
        <v/>
      </c>
      <c r="N3629" s="78">
        <f>IF(ISBLANK(L3629),"",IF(AND(C3629="Sell",D3629="Stock"),M3629,IF(ISBLANK(L3629),"",IF(C3629="Buy",M3629, IF(AND(C3629="Sell",J3629="NA"),(E3629*G3629*100*0.1)+I3629, IF(C3629="Sell",(J3629-L3629)*(100*G3629)+I3629))))))</f>
        <v/>
      </c>
      <c r="O3629" s="75" t="n"/>
      <c r="P3629" s="75" t="n"/>
      <c r="Q3629" s="75">
        <f>IF(ISBLANK(P3629),"",IF(D3629="Stock",P3629*G3629,IF(P3629=0,"0",G3629*P3629*100-(G3629*$AF$14))))</f>
        <v/>
      </c>
      <c r="R3629" s="79">
        <f>IF(P3629&lt;&gt;"", TODAY(), "")</f>
        <v/>
      </c>
      <c r="S3629" s="78">
        <f>IF(AND(K3629&lt;&gt;"", R3629&lt;&gt;""), R3629-K3629, "")</f>
        <v/>
      </c>
      <c r="T3629" s="78" t="n"/>
      <c r="U3629" s="92">
        <f>IF(ISBLANK(P3629),"",IF(C3629="Buy",Q3629-M3629+T3629, IF(C3629="Sell",M3629-Q3629-T3629, X)))</f>
        <v/>
      </c>
      <c r="V3629" s="81">
        <f>IF(ISBLANK(P3629),"",U3629/N3629)</f>
        <v/>
      </c>
      <c r="W3629" s="81">
        <f>IF(ISBLANK(P3629),"",IF(S3629=0,(365/0.5)*V3629,(365/S3629)*V3629))</f>
        <v/>
      </c>
      <c r="X3629" s="75" t="n"/>
      <c r="Y3629" s="77" t="n"/>
      <c r="Z3629" s="77" t="n"/>
      <c r="AA3629" s="75" t="n"/>
      <c r="AB3629" s="75" t="n"/>
      <c r="AC3629" s="6" t="n"/>
      <c r="AD3629" s="75" t="n"/>
      <c r="AE3629" s="75" t="n"/>
      <c r="AF3629" s="75" t="n"/>
    </row>
    <row r="3630" ht="15.75" customHeight="1" s="133">
      <c r="A3630" s="75" t="n"/>
      <c r="B3630" s="75" t="n"/>
      <c r="C3630" s="75" t="n"/>
      <c r="D3630" s="75" t="n"/>
      <c r="E3630" s="76" t="n"/>
      <c r="F3630" s="77" t="n"/>
      <c r="G3630" s="75" t="n"/>
      <c r="H3630" s="75">
        <f>IF(ISBLANK(E3630),"",IF(OR(D3630="Butterfly",D3630="Butterfly ",D3630="Iron Fly", D3630="Iron Fly "),LEN(E3630)-LEN(SUBSTITUTE(E3630,"/",""))+2,LEN(E3630)-LEN(SUBSTITUTE(E3630,"/",""))+1))</f>
        <v/>
      </c>
      <c r="I3630" s="78">
        <f>IF(ISBLANK(G3630),"",IF(D3630="Stock","0",Key!$A$3*H3630*G3630))</f>
        <v/>
      </c>
      <c r="J3630" s="78">
        <f>IF(ISBLANK(E3630),"",IF(ISNUMBER(SEARCH("/",E3630)), IF(LEN(E3630)-LEN(SUBSTITUTE(E3630,"/",""))=1,(RIGHT(E3630,LEN(E3630)-FIND("/",E3630)))-(LEFT(E3630,FIND("/",E3630)-1)),(MID(E3630, SEARCH("/",E3630) + 1, SEARCH("/",E3630, SEARCH("/",E3630)+1) - SEARCH("/",E3630) - 1))-(LEFT(E3630,FIND("/",E3630)-1))), "NA"))</f>
        <v/>
      </c>
      <c r="K3630" s="79">
        <f>IF(A3630&lt;&gt;"", IF(ISBLANK(L3630), TODAY(), K3630), "")</f>
        <v/>
      </c>
      <c r="L3630" s="78" t="n"/>
      <c r="M3630" s="78">
        <f>IF(ISBLANK(L3630),"",IF(D3630="Stock",IF(C3630="Buy",L3630*G3630,IF(C3630="Sell",(L3630*G3630)-I3630, X)),IF(C3630="Buy",(L3630*G3630*100)+I3630,IF(C3630="Sell",(L3630*G3630*100)-I3630, X))))</f>
        <v/>
      </c>
      <c r="N3630" s="78">
        <f>IF(ISBLANK(L3630),"",IF(AND(C3630="Sell",D3630="Stock"),M3630,IF(ISBLANK(L3630),"",IF(C3630="Buy",M3630, IF(AND(C3630="Sell",J3630="NA"),(E3630*G3630*100*0.1)+I3630, IF(C3630="Sell",(J3630-L3630)*(100*G3630)+I3630))))))</f>
        <v/>
      </c>
      <c r="O3630" s="75" t="n"/>
      <c r="P3630" s="75" t="n"/>
      <c r="Q3630" s="75">
        <f>IF(ISBLANK(P3630),"",IF(D3630="Stock",P3630*G3630,IF(P3630=0,"0",G3630*P3630*100-(G3630*$AF$14))))</f>
        <v/>
      </c>
      <c r="R3630" s="79">
        <f>IF(P3630&lt;&gt;"", TODAY(), "")</f>
        <v/>
      </c>
      <c r="S3630" s="78">
        <f>IF(AND(K3630&lt;&gt;"", R3630&lt;&gt;""), R3630-K3630, "")</f>
        <v/>
      </c>
      <c r="T3630" s="78" t="n"/>
      <c r="U3630" s="92">
        <f>IF(ISBLANK(P3630),"",IF(C3630="Buy",Q3630-M3630+T3630, IF(C3630="Sell",M3630-Q3630-T3630, X)))</f>
        <v/>
      </c>
      <c r="V3630" s="81">
        <f>IF(ISBLANK(P3630),"",U3630/N3630)</f>
        <v/>
      </c>
      <c r="W3630" s="81">
        <f>IF(ISBLANK(P3630),"",IF(S3630=0,(365/0.5)*V3630,(365/S3630)*V3630))</f>
        <v/>
      </c>
      <c r="X3630" s="75" t="n"/>
      <c r="Y3630" s="77" t="n"/>
      <c r="Z3630" s="77" t="n"/>
      <c r="AA3630" s="75" t="n"/>
      <c r="AB3630" s="75" t="n"/>
      <c r="AC3630" s="6" t="n"/>
      <c r="AD3630" s="75" t="n"/>
      <c r="AE3630" s="75" t="n"/>
      <c r="AF3630" s="75" t="n"/>
    </row>
    <row r="3631" ht="15.75" customHeight="1" s="133">
      <c r="A3631" s="75" t="n"/>
      <c r="B3631" s="75" t="n"/>
      <c r="C3631" s="75" t="n"/>
      <c r="D3631" s="75" t="n"/>
      <c r="E3631" s="76" t="n"/>
      <c r="F3631" s="77" t="n"/>
      <c r="G3631" s="75" t="n"/>
      <c r="H3631" s="75">
        <f>IF(ISBLANK(E3631),"",IF(OR(D3631="Butterfly",D3631="Butterfly ",D3631="Iron Fly", D3631="Iron Fly "),LEN(E3631)-LEN(SUBSTITUTE(E3631,"/",""))+2,LEN(E3631)-LEN(SUBSTITUTE(E3631,"/",""))+1))</f>
        <v/>
      </c>
      <c r="I3631" s="78">
        <f>IF(ISBLANK(G3631),"",IF(D3631="Stock","0",Key!$A$3*H3631*G3631))</f>
        <v/>
      </c>
      <c r="J3631" s="78">
        <f>IF(ISBLANK(E3631),"",IF(ISNUMBER(SEARCH("/",E3631)), IF(LEN(E3631)-LEN(SUBSTITUTE(E3631,"/",""))=1,(RIGHT(E3631,LEN(E3631)-FIND("/",E3631)))-(LEFT(E3631,FIND("/",E3631)-1)),(MID(E3631, SEARCH("/",E3631) + 1, SEARCH("/",E3631, SEARCH("/",E3631)+1) - SEARCH("/",E3631) - 1))-(LEFT(E3631,FIND("/",E3631)-1))), "NA"))</f>
        <v/>
      </c>
      <c r="K3631" s="79">
        <f>IF(A3631&lt;&gt;"", IF(ISBLANK(L3631), TODAY(), K3631), "")</f>
        <v/>
      </c>
      <c r="L3631" s="78" t="n"/>
      <c r="M3631" s="78">
        <f>IF(ISBLANK(L3631),"",IF(D3631="Stock",IF(C3631="Buy",L3631*G3631,IF(C3631="Sell",(L3631*G3631)-I3631, X)),IF(C3631="Buy",(L3631*G3631*100)+I3631,IF(C3631="Sell",(L3631*G3631*100)-I3631, X))))</f>
        <v/>
      </c>
      <c r="N3631" s="78">
        <f>IF(ISBLANK(L3631),"",IF(AND(C3631="Sell",D3631="Stock"),M3631,IF(ISBLANK(L3631),"",IF(C3631="Buy",M3631, IF(AND(C3631="Sell",J3631="NA"),(E3631*G3631*100*0.1)+I3631, IF(C3631="Sell",(J3631-L3631)*(100*G3631)+I3631))))))</f>
        <v/>
      </c>
      <c r="O3631" s="75" t="n"/>
      <c r="P3631" s="75" t="n"/>
      <c r="Q3631" s="75">
        <f>IF(ISBLANK(P3631),"",IF(D3631="Stock",P3631*G3631,IF(P3631=0,"0",G3631*P3631*100-(G3631*$AF$14))))</f>
        <v/>
      </c>
      <c r="R3631" s="79">
        <f>IF(P3631&lt;&gt;"", TODAY(), "")</f>
        <v/>
      </c>
      <c r="S3631" s="78">
        <f>IF(AND(K3631&lt;&gt;"", R3631&lt;&gt;""), R3631-K3631, "")</f>
        <v/>
      </c>
      <c r="T3631" s="78" t="n"/>
      <c r="U3631" s="92">
        <f>IF(ISBLANK(P3631),"",IF(C3631="Buy",Q3631-M3631+T3631, IF(C3631="Sell",M3631-Q3631-T3631, X)))</f>
        <v/>
      </c>
      <c r="V3631" s="81">
        <f>IF(ISBLANK(P3631),"",U3631/N3631)</f>
        <v/>
      </c>
      <c r="W3631" s="81">
        <f>IF(ISBLANK(P3631),"",IF(S3631=0,(365/0.5)*V3631,(365/S3631)*V3631))</f>
        <v/>
      </c>
      <c r="X3631" s="75" t="n"/>
      <c r="Y3631" s="77" t="n"/>
      <c r="Z3631" s="77" t="n"/>
      <c r="AA3631" s="75" t="n"/>
      <c r="AB3631" s="75" t="n"/>
      <c r="AC3631" s="6" t="n"/>
      <c r="AD3631" s="75" t="n"/>
      <c r="AE3631" s="75" t="n"/>
      <c r="AF3631" s="75" t="n"/>
    </row>
    <row r="3632" ht="15.75" customHeight="1" s="133">
      <c r="A3632" s="75" t="n"/>
      <c r="B3632" s="75" t="n"/>
      <c r="C3632" s="75" t="n"/>
      <c r="D3632" s="75" t="n"/>
      <c r="E3632" s="76" t="n"/>
      <c r="F3632" s="77" t="n"/>
      <c r="G3632" s="75" t="n"/>
      <c r="H3632" s="75">
        <f>IF(ISBLANK(E3632),"",IF(OR(D3632="Butterfly",D3632="Butterfly ",D3632="Iron Fly", D3632="Iron Fly "),LEN(E3632)-LEN(SUBSTITUTE(E3632,"/",""))+2,LEN(E3632)-LEN(SUBSTITUTE(E3632,"/",""))+1))</f>
        <v/>
      </c>
      <c r="I3632" s="78">
        <f>IF(ISBLANK(G3632),"",IF(D3632="Stock","0",Key!$A$3*H3632*G3632))</f>
        <v/>
      </c>
      <c r="J3632" s="78">
        <f>IF(ISBLANK(E3632),"",IF(ISNUMBER(SEARCH("/",E3632)), IF(LEN(E3632)-LEN(SUBSTITUTE(E3632,"/",""))=1,(RIGHT(E3632,LEN(E3632)-FIND("/",E3632)))-(LEFT(E3632,FIND("/",E3632)-1)),(MID(E3632, SEARCH("/",E3632) + 1, SEARCH("/",E3632, SEARCH("/",E3632)+1) - SEARCH("/",E3632) - 1))-(LEFT(E3632,FIND("/",E3632)-1))), "NA"))</f>
        <v/>
      </c>
      <c r="K3632" s="79">
        <f>IF(A3632&lt;&gt;"", IF(ISBLANK(L3632), TODAY(), K3632), "")</f>
        <v/>
      </c>
      <c r="L3632" s="78" t="n"/>
      <c r="M3632" s="78">
        <f>IF(ISBLANK(L3632),"",IF(D3632="Stock",IF(C3632="Buy",L3632*G3632,IF(C3632="Sell",(L3632*G3632)-I3632, X)),IF(C3632="Buy",(L3632*G3632*100)+I3632,IF(C3632="Sell",(L3632*G3632*100)-I3632, X))))</f>
        <v/>
      </c>
      <c r="N3632" s="78">
        <f>IF(ISBLANK(L3632),"",IF(AND(C3632="Sell",D3632="Stock"),M3632,IF(ISBLANK(L3632),"",IF(C3632="Buy",M3632, IF(AND(C3632="Sell",J3632="NA"),(E3632*G3632*100*0.1)+I3632, IF(C3632="Sell",(J3632-L3632)*(100*G3632)+I3632))))))</f>
        <v/>
      </c>
      <c r="O3632" s="75" t="n"/>
      <c r="P3632" s="75" t="n"/>
      <c r="Q3632" s="75">
        <f>IF(ISBLANK(P3632),"",IF(D3632="Stock",P3632*G3632,IF(P3632=0,"0",G3632*P3632*100-(G3632*$AF$14))))</f>
        <v/>
      </c>
      <c r="R3632" s="79">
        <f>IF(P3632&lt;&gt;"", TODAY(), "")</f>
        <v/>
      </c>
      <c r="S3632" s="78">
        <f>IF(AND(K3632&lt;&gt;"", R3632&lt;&gt;""), R3632-K3632, "")</f>
        <v/>
      </c>
      <c r="T3632" s="78" t="n"/>
      <c r="U3632" s="92">
        <f>IF(ISBLANK(P3632),"",IF(C3632="Buy",Q3632-M3632+T3632, IF(C3632="Sell",M3632-Q3632-T3632, X)))</f>
        <v/>
      </c>
      <c r="V3632" s="81">
        <f>IF(ISBLANK(P3632),"",U3632/N3632)</f>
        <v/>
      </c>
      <c r="W3632" s="81">
        <f>IF(ISBLANK(P3632),"",IF(S3632=0,(365/0.5)*V3632,(365/S3632)*V3632))</f>
        <v/>
      </c>
      <c r="X3632" s="75" t="n"/>
      <c r="Y3632" s="77" t="n"/>
      <c r="Z3632" s="77" t="n"/>
      <c r="AA3632" s="75" t="n"/>
      <c r="AB3632" s="75" t="n"/>
      <c r="AC3632" s="6" t="n"/>
      <c r="AD3632" s="75" t="n"/>
      <c r="AE3632" s="75" t="n"/>
      <c r="AF3632" s="75" t="n"/>
    </row>
    <row r="3633" ht="15.75" customHeight="1" s="133">
      <c r="A3633" s="75" t="n"/>
      <c r="B3633" s="75" t="n"/>
      <c r="C3633" s="75" t="n"/>
      <c r="D3633" s="75" t="n"/>
      <c r="E3633" s="76" t="n"/>
      <c r="F3633" s="77" t="n"/>
      <c r="G3633" s="75" t="n"/>
      <c r="H3633" s="75">
        <f>IF(ISBLANK(E3633),"",IF(OR(D3633="Butterfly",D3633="Butterfly ",D3633="Iron Fly", D3633="Iron Fly "),LEN(E3633)-LEN(SUBSTITUTE(E3633,"/",""))+2,LEN(E3633)-LEN(SUBSTITUTE(E3633,"/",""))+1))</f>
        <v/>
      </c>
      <c r="I3633" s="78">
        <f>IF(ISBLANK(G3633),"",IF(D3633="Stock","0",Key!$A$3*H3633*G3633))</f>
        <v/>
      </c>
      <c r="J3633" s="78">
        <f>IF(ISBLANK(E3633),"",IF(ISNUMBER(SEARCH("/",E3633)), IF(LEN(E3633)-LEN(SUBSTITUTE(E3633,"/",""))=1,(RIGHT(E3633,LEN(E3633)-FIND("/",E3633)))-(LEFT(E3633,FIND("/",E3633)-1)),(MID(E3633, SEARCH("/",E3633) + 1, SEARCH("/",E3633, SEARCH("/",E3633)+1) - SEARCH("/",E3633) - 1))-(LEFT(E3633,FIND("/",E3633)-1))), "NA"))</f>
        <v/>
      </c>
      <c r="K3633" s="79">
        <f>IF(A3633&lt;&gt;"", IF(ISBLANK(L3633), TODAY(), K3633), "")</f>
        <v/>
      </c>
      <c r="L3633" s="78" t="n"/>
      <c r="M3633" s="78">
        <f>IF(ISBLANK(L3633),"",IF(D3633="Stock",IF(C3633="Buy",L3633*G3633,IF(C3633="Sell",(L3633*G3633)-I3633, X)),IF(C3633="Buy",(L3633*G3633*100)+I3633,IF(C3633="Sell",(L3633*G3633*100)-I3633, X))))</f>
        <v/>
      </c>
      <c r="N3633" s="78">
        <f>IF(ISBLANK(L3633),"",IF(AND(C3633="Sell",D3633="Stock"),M3633,IF(ISBLANK(L3633),"",IF(C3633="Buy",M3633, IF(AND(C3633="Sell",J3633="NA"),(E3633*G3633*100*0.1)+I3633, IF(C3633="Sell",(J3633-L3633)*(100*G3633)+I3633))))))</f>
        <v/>
      </c>
      <c r="O3633" s="75" t="n"/>
      <c r="P3633" s="75" t="n"/>
      <c r="Q3633" s="75">
        <f>IF(ISBLANK(P3633),"",IF(D3633="Stock",P3633*G3633,IF(P3633=0,"0",G3633*P3633*100-(G3633*$AF$14))))</f>
        <v/>
      </c>
      <c r="R3633" s="79">
        <f>IF(P3633&lt;&gt;"", TODAY(), "")</f>
        <v/>
      </c>
      <c r="S3633" s="78">
        <f>IF(AND(K3633&lt;&gt;"", R3633&lt;&gt;""), R3633-K3633, "")</f>
        <v/>
      </c>
      <c r="T3633" s="78" t="n"/>
      <c r="U3633" s="92">
        <f>IF(ISBLANK(P3633),"",IF(C3633="Buy",Q3633-M3633+T3633, IF(C3633="Sell",M3633-Q3633-T3633, X)))</f>
        <v/>
      </c>
      <c r="V3633" s="81">
        <f>IF(ISBLANK(P3633),"",U3633/N3633)</f>
        <v/>
      </c>
      <c r="W3633" s="81">
        <f>IF(ISBLANK(P3633),"",IF(S3633=0,(365/0.5)*V3633,(365/S3633)*V3633))</f>
        <v/>
      </c>
      <c r="X3633" s="75" t="n"/>
      <c r="Y3633" s="77" t="n"/>
      <c r="Z3633" s="77" t="n"/>
      <c r="AA3633" s="75" t="n"/>
      <c r="AB3633" s="75" t="n"/>
      <c r="AC3633" s="6" t="n"/>
      <c r="AD3633" s="75" t="n"/>
      <c r="AE3633" s="75" t="n"/>
      <c r="AF3633" s="75" t="n"/>
    </row>
    <row r="3634" ht="15.75" customHeight="1" s="133">
      <c r="A3634" s="75" t="n"/>
      <c r="B3634" s="75" t="n"/>
      <c r="C3634" s="75" t="n"/>
      <c r="D3634" s="75" t="n"/>
      <c r="E3634" s="76" t="n"/>
      <c r="F3634" s="77" t="n"/>
      <c r="G3634" s="75" t="n"/>
      <c r="H3634" s="75">
        <f>IF(ISBLANK(E3634),"",IF(OR(D3634="Butterfly",D3634="Butterfly ",D3634="Iron Fly", D3634="Iron Fly "),LEN(E3634)-LEN(SUBSTITUTE(E3634,"/",""))+2,LEN(E3634)-LEN(SUBSTITUTE(E3634,"/",""))+1))</f>
        <v/>
      </c>
      <c r="I3634" s="78">
        <f>IF(ISBLANK(G3634),"",IF(D3634="Stock","0",Key!$A$3*H3634*G3634))</f>
        <v/>
      </c>
      <c r="J3634" s="78">
        <f>IF(ISBLANK(E3634),"",IF(ISNUMBER(SEARCH("/",E3634)), IF(LEN(E3634)-LEN(SUBSTITUTE(E3634,"/",""))=1,(RIGHT(E3634,LEN(E3634)-FIND("/",E3634)))-(LEFT(E3634,FIND("/",E3634)-1)),(MID(E3634, SEARCH("/",E3634) + 1, SEARCH("/",E3634, SEARCH("/",E3634)+1) - SEARCH("/",E3634) - 1))-(LEFT(E3634,FIND("/",E3634)-1))), "NA"))</f>
        <v/>
      </c>
      <c r="K3634" s="79">
        <f>IF(A3634&lt;&gt;"", IF(ISBLANK(L3634), TODAY(), K3634), "")</f>
        <v/>
      </c>
      <c r="L3634" s="78" t="n"/>
      <c r="M3634" s="78">
        <f>IF(ISBLANK(L3634),"",IF(D3634="Stock",IF(C3634="Buy",L3634*G3634,IF(C3634="Sell",(L3634*G3634)-I3634, X)),IF(C3634="Buy",(L3634*G3634*100)+I3634,IF(C3634="Sell",(L3634*G3634*100)-I3634, X))))</f>
        <v/>
      </c>
      <c r="N3634" s="78">
        <f>IF(ISBLANK(L3634),"",IF(AND(C3634="Sell",D3634="Stock"),M3634,IF(ISBLANK(L3634),"",IF(C3634="Buy",M3634, IF(AND(C3634="Sell",J3634="NA"),(E3634*G3634*100*0.1)+I3634, IF(C3634="Sell",(J3634-L3634)*(100*G3634)+I3634))))))</f>
        <v/>
      </c>
      <c r="O3634" s="75" t="n"/>
      <c r="P3634" s="75" t="n"/>
      <c r="Q3634" s="75">
        <f>IF(ISBLANK(P3634),"",IF(D3634="Stock",P3634*G3634,IF(P3634=0,"0",G3634*P3634*100-(G3634*$AF$14))))</f>
        <v/>
      </c>
      <c r="R3634" s="79">
        <f>IF(P3634&lt;&gt;"", TODAY(), "")</f>
        <v/>
      </c>
      <c r="S3634" s="78">
        <f>IF(AND(K3634&lt;&gt;"", R3634&lt;&gt;""), R3634-K3634, "")</f>
        <v/>
      </c>
      <c r="T3634" s="78" t="n"/>
      <c r="U3634" s="92">
        <f>IF(ISBLANK(P3634),"",IF(C3634="Buy",Q3634-M3634+T3634, IF(C3634="Sell",M3634-Q3634-T3634, X)))</f>
        <v/>
      </c>
      <c r="V3634" s="81">
        <f>IF(ISBLANK(P3634),"",U3634/N3634)</f>
        <v/>
      </c>
      <c r="W3634" s="81">
        <f>IF(ISBLANK(P3634),"",IF(S3634=0,(365/0.5)*V3634,(365/S3634)*V3634))</f>
        <v/>
      </c>
      <c r="X3634" s="75" t="n"/>
      <c r="Y3634" s="77" t="n"/>
      <c r="Z3634" s="77" t="n"/>
      <c r="AA3634" s="75" t="n"/>
      <c r="AB3634" s="75" t="n"/>
      <c r="AC3634" s="6" t="n"/>
      <c r="AD3634" s="75" t="n"/>
      <c r="AE3634" s="75" t="n"/>
      <c r="AF3634" s="75" t="n"/>
    </row>
    <row r="3635" ht="15.75" customHeight="1" s="133">
      <c r="A3635" s="75" t="n"/>
      <c r="B3635" s="75" t="n"/>
      <c r="C3635" s="75" t="n"/>
      <c r="D3635" s="75" t="n"/>
      <c r="E3635" s="76" t="n"/>
      <c r="F3635" s="77" t="n"/>
      <c r="G3635" s="75" t="n"/>
      <c r="H3635" s="75">
        <f>IF(ISBLANK(E3635),"",IF(OR(D3635="Butterfly",D3635="Butterfly ",D3635="Iron Fly", D3635="Iron Fly "),LEN(E3635)-LEN(SUBSTITUTE(E3635,"/",""))+2,LEN(E3635)-LEN(SUBSTITUTE(E3635,"/",""))+1))</f>
        <v/>
      </c>
      <c r="I3635" s="78">
        <f>IF(ISBLANK(G3635),"",IF(D3635="Stock","0",Key!$A$3*H3635*G3635))</f>
        <v/>
      </c>
      <c r="J3635" s="78">
        <f>IF(ISBLANK(E3635),"",IF(ISNUMBER(SEARCH("/",E3635)), IF(LEN(E3635)-LEN(SUBSTITUTE(E3635,"/",""))=1,(RIGHT(E3635,LEN(E3635)-FIND("/",E3635)))-(LEFT(E3635,FIND("/",E3635)-1)),(MID(E3635, SEARCH("/",E3635) + 1, SEARCH("/",E3635, SEARCH("/",E3635)+1) - SEARCH("/",E3635) - 1))-(LEFT(E3635,FIND("/",E3635)-1))), "NA"))</f>
        <v/>
      </c>
      <c r="K3635" s="79">
        <f>IF(A3635&lt;&gt;"", IF(ISBLANK(L3635), TODAY(), K3635), "")</f>
        <v/>
      </c>
      <c r="L3635" s="78" t="n"/>
      <c r="M3635" s="78">
        <f>IF(ISBLANK(L3635),"",IF(D3635="Stock",IF(C3635="Buy",L3635*G3635,IF(C3635="Sell",(L3635*G3635)-I3635, X)),IF(C3635="Buy",(L3635*G3635*100)+I3635,IF(C3635="Sell",(L3635*G3635*100)-I3635, X))))</f>
        <v/>
      </c>
      <c r="N3635" s="78">
        <f>IF(ISBLANK(L3635),"",IF(AND(C3635="Sell",D3635="Stock"),M3635,IF(ISBLANK(L3635),"",IF(C3635="Buy",M3635, IF(AND(C3635="Sell",J3635="NA"),(E3635*G3635*100*0.1)+I3635, IF(C3635="Sell",(J3635-L3635)*(100*G3635)+I3635))))))</f>
        <v/>
      </c>
      <c r="O3635" s="75" t="n"/>
      <c r="P3635" s="75" t="n"/>
      <c r="Q3635" s="75">
        <f>IF(ISBLANK(P3635),"",IF(D3635="Stock",P3635*G3635,IF(P3635=0,"0",G3635*P3635*100-(G3635*$AF$14))))</f>
        <v/>
      </c>
      <c r="R3635" s="79">
        <f>IF(P3635&lt;&gt;"", TODAY(), "")</f>
        <v/>
      </c>
      <c r="S3635" s="78">
        <f>IF(AND(K3635&lt;&gt;"", R3635&lt;&gt;""), R3635-K3635, "")</f>
        <v/>
      </c>
      <c r="T3635" s="78" t="n"/>
      <c r="U3635" s="92">
        <f>IF(ISBLANK(P3635),"",IF(C3635="Buy",Q3635-M3635+T3635, IF(C3635="Sell",M3635-Q3635-T3635, X)))</f>
        <v/>
      </c>
      <c r="V3635" s="81">
        <f>IF(ISBLANK(P3635),"",U3635/N3635)</f>
        <v/>
      </c>
      <c r="W3635" s="81">
        <f>IF(ISBLANK(P3635),"",IF(S3635=0,(365/0.5)*V3635,(365/S3635)*V3635))</f>
        <v/>
      </c>
      <c r="X3635" s="75" t="n"/>
      <c r="Y3635" s="77" t="n"/>
      <c r="Z3635" s="77" t="n"/>
      <c r="AA3635" s="75" t="n"/>
      <c r="AB3635" s="75" t="n"/>
      <c r="AC3635" s="6" t="n"/>
      <c r="AD3635" s="75" t="n"/>
      <c r="AE3635" s="75" t="n"/>
      <c r="AF3635" s="75" t="n"/>
    </row>
    <row r="3636" ht="15.75" customHeight="1" s="133">
      <c r="A3636" s="75" t="n"/>
      <c r="B3636" s="75" t="n"/>
      <c r="C3636" s="75" t="n"/>
      <c r="D3636" s="75" t="n"/>
      <c r="E3636" s="76" t="n"/>
      <c r="F3636" s="77" t="n"/>
      <c r="G3636" s="75" t="n"/>
      <c r="H3636" s="75">
        <f>IF(ISBLANK(E3636),"",IF(OR(D3636="Butterfly",D3636="Butterfly ",D3636="Iron Fly", D3636="Iron Fly "),LEN(E3636)-LEN(SUBSTITUTE(E3636,"/",""))+2,LEN(E3636)-LEN(SUBSTITUTE(E3636,"/",""))+1))</f>
        <v/>
      </c>
      <c r="I3636" s="78">
        <f>IF(ISBLANK(G3636),"",IF(D3636="Stock","0",Key!$A$3*H3636*G3636))</f>
        <v/>
      </c>
      <c r="J3636" s="78">
        <f>IF(ISBLANK(E3636),"",IF(ISNUMBER(SEARCH("/",E3636)), IF(LEN(E3636)-LEN(SUBSTITUTE(E3636,"/",""))=1,(RIGHT(E3636,LEN(E3636)-FIND("/",E3636)))-(LEFT(E3636,FIND("/",E3636)-1)),(MID(E3636, SEARCH("/",E3636) + 1, SEARCH("/",E3636, SEARCH("/",E3636)+1) - SEARCH("/",E3636) - 1))-(LEFT(E3636,FIND("/",E3636)-1))), "NA"))</f>
        <v/>
      </c>
      <c r="K3636" s="79">
        <f>IF(A3636&lt;&gt;"", IF(ISBLANK(L3636), TODAY(), K3636), "")</f>
        <v/>
      </c>
      <c r="L3636" s="78" t="n"/>
      <c r="M3636" s="78">
        <f>IF(ISBLANK(L3636),"",IF(D3636="Stock",IF(C3636="Buy",L3636*G3636,IF(C3636="Sell",(L3636*G3636)-I3636, X)),IF(C3636="Buy",(L3636*G3636*100)+I3636,IF(C3636="Sell",(L3636*G3636*100)-I3636, X))))</f>
        <v/>
      </c>
      <c r="N3636" s="78">
        <f>IF(ISBLANK(L3636),"",IF(AND(C3636="Sell",D3636="Stock"),M3636,IF(ISBLANK(L3636),"",IF(C3636="Buy",M3636, IF(AND(C3636="Sell",J3636="NA"),(E3636*G3636*100*0.1)+I3636, IF(C3636="Sell",(J3636-L3636)*(100*G3636)+I3636))))))</f>
        <v/>
      </c>
      <c r="O3636" s="75" t="n"/>
      <c r="P3636" s="75" t="n"/>
      <c r="Q3636" s="75">
        <f>IF(ISBLANK(P3636),"",IF(D3636="Stock",P3636*G3636,IF(P3636=0,"0",G3636*P3636*100-(G3636*$AF$14))))</f>
        <v/>
      </c>
      <c r="R3636" s="79">
        <f>IF(P3636&lt;&gt;"", TODAY(), "")</f>
        <v/>
      </c>
      <c r="S3636" s="78">
        <f>IF(AND(K3636&lt;&gt;"", R3636&lt;&gt;""), R3636-K3636, "")</f>
        <v/>
      </c>
      <c r="T3636" s="78" t="n"/>
      <c r="U3636" s="92">
        <f>IF(ISBLANK(P3636),"",IF(C3636="Buy",Q3636-M3636+T3636, IF(C3636="Sell",M3636-Q3636-T3636, X)))</f>
        <v/>
      </c>
      <c r="V3636" s="81">
        <f>IF(ISBLANK(P3636),"",U3636/N3636)</f>
        <v/>
      </c>
      <c r="W3636" s="81">
        <f>IF(ISBLANK(P3636),"",IF(S3636=0,(365/0.5)*V3636,(365/S3636)*V3636))</f>
        <v/>
      </c>
      <c r="X3636" s="75" t="n"/>
      <c r="Y3636" s="77" t="n"/>
      <c r="Z3636" s="77" t="n"/>
      <c r="AA3636" s="75" t="n"/>
      <c r="AB3636" s="75" t="n"/>
      <c r="AC3636" s="6" t="n"/>
      <c r="AD3636" s="75" t="n"/>
      <c r="AE3636" s="75" t="n"/>
      <c r="AF3636" s="75" t="n"/>
    </row>
    <row r="3637" ht="15.75" customHeight="1" s="133">
      <c r="A3637" s="75" t="n"/>
      <c r="B3637" s="75" t="n"/>
      <c r="C3637" s="75" t="n"/>
      <c r="D3637" s="75" t="n"/>
      <c r="E3637" s="76" t="n"/>
      <c r="F3637" s="77" t="n"/>
      <c r="G3637" s="75" t="n"/>
      <c r="H3637" s="75">
        <f>IF(ISBLANK(E3637),"",IF(OR(D3637="Butterfly",D3637="Butterfly ",D3637="Iron Fly", D3637="Iron Fly "),LEN(E3637)-LEN(SUBSTITUTE(E3637,"/",""))+2,LEN(E3637)-LEN(SUBSTITUTE(E3637,"/",""))+1))</f>
        <v/>
      </c>
      <c r="I3637" s="78">
        <f>IF(ISBLANK(G3637),"",IF(D3637="Stock","0",Key!$A$3*H3637*G3637))</f>
        <v/>
      </c>
      <c r="J3637" s="78">
        <f>IF(ISBLANK(E3637),"",IF(ISNUMBER(SEARCH("/",E3637)), IF(LEN(E3637)-LEN(SUBSTITUTE(E3637,"/",""))=1,(RIGHT(E3637,LEN(E3637)-FIND("/",E3637)))-(LEFT(E3637,FIND("/",E3637)-1)),(MID(E3637, SEARCH("/",E3637) + 1, SEARCH("/",E3637, SEARCH("/",E3637)+1) - SEARCH("/",E3637) - 1))-(LEFT(E3637,FIND("/",E3637)-1))), "NA"))</f>
        <v/>
      </c>
      <c r="K3637" s="79">
        <f>IF(A3637&lt;&gt;"", IF(ISBLANK(L3637), TODAY(), K3637), "")</f>
        <v/>
      </c>
      <c r="L3637" s="78" t="n"/>
      <c r="M3637" s="78">
        <f>IF(ISBLANK(L3637),"",IF(D3637="Stock",IF(C3637="Buy",L3637*G3637,IF(C3637="Sell",(L3637*G3637)-I3637, X)),IF(C3637="Buy",(L3637*G3637*100)+I3637,IF(C3637="Sell",(L3637*G3637*100)-I3637, X))))</f>
        <v/>
      </c>
      <c r="N3637" s="78">
        <f>IF(ISBLANK(L3637),"",IF(AND(C3637="Sell",D3637="Stock"),M3637,IF(ISBLANK(L3637),"",IF(C3637="Buy",M3637, IF(AND(C3637="Sell",J3637="NA"),(E3637*G3637*100*0.1)+I3637, IF(C3637="Sell",(J3637-L3637)*(100*G3637)+I3637))))))</f>
        <v/>
      </c>
      <c r="O3637" s="75" t="n"/>
      <c r="P3637" s="75" t="n"/>
      <c r="Q3637" s="75">
        <f>IF(ISBLANK(P3637),"",IF(D3637="Stock",P3637*G3637,IF(P3637=0,"0",G3637*P3637*100-(G3637*$AF$14))))</f>
        <v/>
      </c>
      <c r="R3637" s="79">
        <f>IF(P3637&lt;&gt;"", TODAY(), "")</f>
        <v/>
      </c>
      <c r="S3637" s="78">
        <f>IF(AND(K3637&lt;&gt;"", R3637&lt;&gt;""), R3637-K3637, "")</f>
        <v/>
      </c>
      <c r="T3637" s="78" t="n"/>
      <c r="U3637" s="92">
        <f>IF(ISBLANK(P3637),"",IF(C3637="Buy",Q3637-M3637+T3637, IF(C3637="Sell",M3637-Q3637-T3637, X)))</f>
        <v/>
      </c>
      <c r="V3637" s="81">
        <f>IF(ISBLANK(P3637),"",U3637/N3637)</f>
        <v/>
      </c>
      <c r="W3637" s="81">
        <f>IF(ISBLANK(P3637),"",IF(S3637=0,(365/0.5)*V3637,(365/S3637)*V3637))</f>
        <v/>
      </c>
      <c r="X3637" s="75" t="n"/>
      <c r="Y3637" s="77" t="n"/>
      <c r="Z3637" s="77" t="n"/>
      <c r="AA3637" s="75" t="n"/>
      <c r="AB3637" s="75" t="n"/>
      <c r="AC3637" s="6" t="n"/>
      <c r="AD3637" s="75" t="n"/>
      <c r="AE3637" s="75" t="n"/>
      <c r="AF3637" s="75" t="n"/>
    </row>
    <row r="3638" ht="15.75" customHeight="1" s="133">
      <c r="A3638" s="75" t="n"/>
      <c r="B3638" s="75" t="n"/>
      <c r="C3638" s="75" t="n"/>
      <c r="D3638" s="75" t="n"/>
      <c r="E3638" s="76" t="n"/>
      <c r="F3638" s="77" t="n"/>
      <c r="G3638" s="75" t="n"/>
      <c r="H3638" s="75">
        <f>IF(ISBLANK(E3638),"",IF(OR(D3638="Butterfly",D3638="Butterfly ",D3638="Iron Fly", D3638="Iron Fly "),LEN(E3638)-LEN(SUBSTITUTE(E3638,"/",""))+2,LEN(E3638)-LEN(SUBSTITUTE(E3638,"/",""))+1))</f>
        <v/>
      </c>
      <c r="I3638" s="78">
        <f>IF(ISBLANK(G3638),"",IF(D3638="Stock","0",Key!$A$3*H3638*G3638))</f>
        <v/>
      </c>
      <c r="J3638" s="78">
        <f>IF(ISBLANK(E3638),"",IF(ISNUMBER(SEARCH("/",E3638)), IF(LEN(E3638)-LEN(SUBSTITUTE(E3638,"/",""))=1,(RIGHT(E3638,LEN(E3638)-FIND("/",E3638)))-(LEFT(E3638,FIND("/",E3638)-1)),(MID(E3638, SEARCH("/",E3638) + 1, SEARCH("/",E3638, SEARCH("/",E3638)+1) - SEARCH("/",E3638) - 1))-(LEFT(E3638,FIND("/",E3638)-1))), "NA"))</f>
        <v/>
      </c>
      <c r="K3638" s="79">
        <f>IF(A3638&lt;&gt;"", IF(ISBLANK(L3638), TODAY(), K3638), "")</f>
        <v/>
      </c>
      <c r="L3638" s="78" t="n"/>
      <c r="M3638" s="78">
        <f>IF(ISBLANK(L3638),"",IF(D3638="Stock",IF(C3638="Buy",L3638*G3638,IF(C3638="Sell",(L3638*G3638)-I3638, X)),IF(C3638="Buy",(L3638*G3638*100)+I3638,IF(C3638="Sell",(L3638*G3638*100)-I3638, X))))</f>
        <v/>
      </c>
      <c r="N3638" s="78">
        <f>IF(ISBLANK(L3638),"",IF(AND(C3638="Sell",D3638="Stock"),M3638,IF(ISBLANK(L3638),"",IF(C3638="Buy",M3638, IF(AND(C3638="Sell",J3638="NA"),(E3638*G3638*100*0.1)+I3638, IF(C3638="Sell",(J3638-L3638)*(100*G3638)+I3638))))))</f>
        <v/>
      </c>
      <c r="O3638" s="75" t="n"/>
      <c r="P3638" s="75" t="n"/>
      <c r="Q3638" s="75">
        <f>IF(ISBLANK(P3638),"",IF(D3638="Stock",P3638*G3638,IF(P3638=0,"0",G3638*P3638*100-(G3638*$AF$14))))</f>
        <v/>
      </c>
      <c r="R3638" s="79">
        <f>IF(P3638&lt;&gt;"", TODAY(), "")</f>
        <v/>
      </c>
      <c r="S3638" s="78">
        <f>IF(AND(K3638&lt;&gt;"", R3638&lt;&gt;""), R3638-K3638, "")</f>
        <v/>
      </c>
      <c r="T3638" s="78" t="n"/>
      <c r="U3638" s="92">
        <f>IF(ISBLANK(P3638),"",IF(C3638="Buy",Q3638-M3638+T3638, IF(C3638="Sell",M3638-Q3638-T3638, X)))</f>
        <v/>
      </c>
      <c r="V3638" s="81">
        <f>IF(ISBLANK(P3638),"",U3638/N3638)</f>
        <v/>
      </c>
      <c r="W3638" s="81">
        <f>IF(ISBLANK(P3638),"",IF(S3638=0,(365/0.5)*V3638,(365/S3638)*V3638))</f>
        <v/>
      </c>
      <c r="X3638" s="75" t="n"/>
      <c r="Y3638" s="77" t="n"/>
      <c r="Z3638" s="77" t="n"/>
      <c r="AA3638" s="75" t="n"/>
      <c r="AB3638" s="75" t="n"/>
      <c r="AC3638" s="6" t="n"/>
      <c r="AD3638" s="75" t="n"/>
      <c r="AE3638" s="75" t="n"/>
      <c r="AF3638" s="75" t="n"/>
    </row>
    <row r="3639" ht="15.75" customHeight="1" s="133">
      <c r="A3639" s="75" t="n"/>
      <c r="B3639" s="75" t="n"/>
      <c r="C3639" s="75" t="n"/>
      <c r="D3639" s="75" t="n"/>
      <c r="E3639" s="76" t="n"/>
      <c r="F3639" s="77" t="n"/>
      <c r="G3639" s="75" t="n"/>
      <c r="H3639" s="75">
        <f>IF(ISBLANK(E3639),"",IF(OR(D3639="Butterfly",D3639="Butterfly ",D3639="Iron Fly", D3639="Iron Fly "),LEN(E3639)-LEN(SUBSTITUTE(E3639,"/",""))+2,LEN(E3639)-LEN(SUBSTITUTE(E3639,"/",""))+1))</f>
        <v/>
      </c>
      <c r="I3639" s="78">
        <f>IF(ISBLANK(G3639),"",IF(D3639="Stock","0",Key!$A$3*H3639*G3639))</f>
        <v/>
      </c>
      <c r="J3639" s="78">
        <f>IF(ISBLANK(E3639),"",IF(ISNUMBER(SEARCH("/",E3639)), IF(LEN(E3639)-LEN(SUBSTITUTE(E3639,"/",""))=1,(RIGHT(E3639,LEN(E3639)-FIND("/",E3639)))-(LEFT(E3639,FIND("/",E3639)-1)),(MID(E3639, SEARCH("/",E3639) + 1, SEARCH("/",E3639, SEARCH("/",E3639)+1) - SEARCH("/",E3639) - 1))-(LEFT(E3639,FIND("/",E3639)-1))), "NA"))</f>
        <v/>
      </c>
      <c r="K3639" s="79">
        <f>IF(A3639&lt;&gt;"", IF(ISBLANK(L3639), TODAY(), K3639), "")</f>
        <v/>
      </c>
      <c r="L3639" s="78" t="n"/>
      <c r="M3639" s="78">
        <f>IF(ISBLANK(L3639),"",IF(D3639="Stock",IF(C3639="Buy",L3639*G3639,IF(C3639="Sell",(L3639*G3639)-I3639, X)),IF(C3639="Buy",(L3639*G3639*100)+I3639,IF(C3639="Sell",(L3639*G3639*100)-I3639, X))))</f>
        <v/>
      </c>
      <c r="N3639" s="78">
        <f>IF(ISBLANK(L3639),"",IF(AND(C3639="Sell",D3639="Stock"),M3639,IF(ISBLANK(L3639),"",IF(C3639="Buy",M3639, IF(AND(C3639="Sell",J3639="NA"),(E3639*G3639*100*0.1)+I3639, IF(C3639="Sell",(J3639-L3639)*(100*G3639)+I3639))))))</f>
        <v/>
      </c>
      <c r="O3639" s="75" t="n"/>
      <c r="P3639" s="75" t="n"/>
      <c r="Q3639" s="75">
        <f>IF(ISBLANK(P3639),"",IF(D3639="Stock",P3639*G3639,IF(P3639=0,"0",G3639*P3639*100-(G3639*$AF$14))))</f>
        <v/>
      </c>
      <c r="R3639" s="79">
        <f>IF(P3639&lt;&gt;"", TODAY(), "")</f>
        <v/>
      </c>
      <c r="S3639" s="78">
        <f>IF(AND(K3639&lt;&gt;"", R3639&lt;&gt;""), R3639-K3639, "")</f>
        <v/>
      </c>
      <c r="T3639" s="78" t="n"/>
      <c r="U3639" s="92">
        <f>IF(ISBLANK(P3639),"",IF(C3639="Buy",Q3639-M3639+T3639, IF(C3639="Sell",M3639-Q3639-T3639, X)))</f>
        <v/>
      </c>
      <c r="V3639" s="81">
        <f>IF(ISBLANK(P3639),"",U3639/N3639)</f>
        <v/>
      </c>
      <c r="W3639" s="81">
        <f>IF(ISBLANK(P3639),"",IF(S3639=0,(365/0.5)*V3639,(365/S3639)*V3639))</f>
        <v/>
      </c>
      <c r="X3639" s="75" t="n"/>
      <c r="Y3639" s="77" t="n"/>
      <c r="Z3639" s="77" t="n"/>
      <c r="AA3639" s="75" t="n"/>
      <c r="AB3639" s="75" t="n"/>
      <c r="AC3639" s="6" t="n"/>
      <c r="AD3639" s="75" t="n"/>
      <c r="AE3639" s="75" t="n"/>
      <c r="AF3639" s="75" t="n"/>
    </row>
    <row r="3640" ht="15.75" customHeight="1" s="133">
      <c r="A3640" s="75" t="n"/>
      <c r="B3640" s="75" t="n"/>
      <c r="C3640" s="75" t="n"/>
      <c r="D3640" s="75" t="n"/>
      <c r="E3640" s="76" t="n"/>
      <c r="F3640" s="77" t="n"/>
      <c r="G3640" s="75" t="n"/>
      <c r="H3640" s="75">
        <f>IF(ISBLANK(E3640),"",IF(OR(D3640="Butterfly",D3640="Butterfly ",D3640="Iron Fly", D3640="Iron Fly "),LEN(E3640)-LEN(SUBSTITUTE(E3640,"/",""))+2,LEN(E3640)-LEN(SUBSTITUTE(E3640,"/",""))+1))</f>
        <v/>
      </c>
      <c r="I3640" s="78">
        <f>IF(ISBLANK(G3640),"",IF(D3640="Stock","0",Key!$A$3*H3640*G3640))</f>
        <v/>
      </c>
      <c r="J3640" s="78">
        <f>IF(ISBLANK(E3640),"",IF(ISNUMBER(SEARCH("/",E3640)), IF(LEN(E3640)-LEN(SUBSTITUTE(E3640,"/",""))=1,(RIGHT(E3640,LEN(E3640)-FIND("/",E3640)))-(LEFT(E3640,FIND("/",E3640)-1)),(MID(E3640, SEARCH("/",E3640) + 1, SEARCH("/",E3640, SEARCH("/",E3640)+1) - SEARCH("/",E3640) - 1))-(LEFT(E3640,FIND("/",E3640)-1))), "NA"))</f>
        <v/>
      </c>
      <c r="K3640" s="79">
        <f>IF(A3640&lt;&gt;"", IF(ISBLANK(L3640), TODAY(), K3640), "")</f>
        <v/>
      </c>
      <c r="L3640" s="78" t="n"/>
      <c r="M3640" s="78">
        <f>IF(ISBLANK(L3640),"",IF(D3640="Stock",IF(C3640="Buy",L3640*G3640,IF(C3640="Sell",(L3640*G3640)-I3640, X)),IF(C3640="Buy",(L3640*G3640*100)+I3640,IF(C3640="Sell",(L3640*G3640*100)-I3640, X))))</f>
        <v/>
      </c>
      <c r="N3640" s="78">
        <f>IF(ISBLANK(L3640),"",IF(AND(C3640="Sell",D3640="Stock"),M3640,IF(ISBLANK(L3640),"",IF(C3640="Buy",M3640, IF(AND(C3640="Sell",J3640="NA"),(E3640*G3640*100*0.1)+I3640, IF(C3640="Sell",(J3640-L3640)*(100*G3640)+I3640))))))</f>
        <v/>
      </c>
      <c r="O3640" s="75" t="n"/>
      <c r="P3640" s="75" t="n"/>
      <c r="Q3640" s="75">
        <f>IF(ISBLANK(P3640),"",IF(D3640="Stock",P3640*G3640,IF(P3640=0,"0",G3640*P3640*100-(G3640*$AF$14))))</f>
        <v/>
      </c>
      <c r="R3640" s="79">
        <f>IF(P3640&lt;&gt;"", TODAY(), "")</f>
        <v/>
      </c>
      <c r="S3640" s="78">
        <f>IF(AND(K3640&lt;&gt;"", R3640&lt;&gt;""), R3640-K3640, "")</f>
        <v/>
      </c>
      <c r="T3640" s="78" t="n"/>
      <c r="U3640" s="92">
        <f>IF(ISBLANK(P3640),"",IF(C3640="Buy",Q3640-M3640+T3640, IF(C3640="Sell",M3640-Q3640-T3640, X)))</f>
        <v/>
      </c>
      <c r="V3640" s="81">
        <f>IF(ISBLANK(P3640),"",U3640/N3640)</f>
        <v/>
      </c>
      <c r="W3640" s="81">
        <f>IF(ISBLANK(P3640),"",IF(S3640=0,(365/0.5)*V3640,(365/S3640)*V3640))</f>
        <v/>
      </c>
      <c r="X3640" s="75" t="n"/>
      <c r="Y3640" s="77" t="n"/>
      <c r="Z3640" s="77" t="n"/>
      <c r="AA3640" s="75" t="n"/>
      <c r="AB3640" s="75" t="n"/>
      <c r="AC3640" s="6" t="n"/>
      <c r="AD3640" s="75" t="n"/>
      <c r="AE3640" s="75" t="n"/>
      <c r="AF3640" s="75" t="n"/>
    </row>
    <row r="3641" ht="15.75" customHeight="1" s="133">
      <c r="A3641" s="75" t="n"/>
      <c r="B3641" s="75" t="n"/>
      <c r="C3641" s="75" t="n"/>
      <c r="D3641" s="75" t="n"/>
      <c r="E3641" s="76" t="n"/>
      <c r="F3641" s="77" t="n"/>
      <c r="G3641" s="75" t="n"/>
      <c r="H3641" s="75">
        <f>IF(ISBLANK(E3641),"",IF(OR(D3641="Butterfly",D3641="Butterfly ",D3641="Iron Fly", D3641="Iron Fly "),LEN(E3641)-LEN(SUBSTITUTE(E3641,"/",""))+2,LEN(E3641)-LEN(SUBSTITUTE(E3641,"/",""))+1))</f>
        <v/>
      </c>
      <c r="I3641" s="78">
        <f>IF(ISBLANK(G3641),"",IF(D3641="Stock","0",Key!$A$3*H3641*G3641))</f>
        <v/>
      </c>
      <c r="J3641" s="78">
        <f>IF(ISBLANK(E3641),"",IF(ISNUMBER(SEARCH("/",E3641)), IF(LEN(E3641)-LEN(SUBSTITUTE(E3641,"/",""))=1,(RIGHT(E3641,LEN(E3641)-FIND("/",E3641)))-(LEFT(E3641,FIND("/",E3641)-1)),(MID(E3641, SEARCH("/",E3641) + 1, SEARCH("/",E3641, SEARCH("/",E3641)+1) - SEARCH("/",E3641) - 1))-(LEFT(E3641,FIND("/",E3641)-1))), "NA"))</f>
        <v/>
      </c>
      <c r="K3641" s="79">
        <f>IF(A3641&lt;&gt;"", IF(ISBLANK(L3641), TODAY(), K3641), "")</f>
        <v/>
      </c>
      <c r="L3641" s="78" t="n"/>
      <c r="M3641" s="78">
        <f>IF(ISBLANK(L3641),"",IF(D3641="Stock",IF(C3641="Buy",L3641*G3641,IF(C3641="Sell",(L3641*G3641)-I3641, X)),IF(C3641="Buy",(L3641*G3641*100)+I3641,IF(C3641="Sell",(L3641*G3641*100)-I3641, X))))</f>
        <v/>
      </c>
      <c r="N3641" s="78">
        <f>IF(ISBLANK(L3641),"",IF(AND(C3641="Sell",D3641="Stock"),M3641,IF(ISBLANK(L3641),"",IF(C3641="Buy",M3641, IF(AND(C3641="Sell",J3641="NA"),(E3641*G3641*100*0.1)+I3641, IF(C3641="Sell",(J3641-L3641)*(100*G3641)+I3641))))))</f>
        <v/>
      </c>
      <c r="O3641" s="75" t="n"/>
      <c r="P3641" s="75" t="n"/>
      <c r="Q3641" s="75">
        <f>IF(ISBLANK(P3641),"",IF(D3641="Stock",P3641*G3641,IF(P3641=0,"0",G3641*P3641*100-(G3641*$AF$14))))</f>
        <v/>
      </c>
      <c r="R3641" s="79">
        <f>IF(P3641&lt;&gt;"", TODAY(), "")</f>
        <v/>
      </c>
      <c r="S3641" s="78">
        <f>IF(AND(K3641&lt;&gt;"", R3641&lt;&gt;""), R3641-K3641, "")</f>
        <v/>
      </c>
      <c r="T3641" s="78" t="n"/>
      <c r="U3641" s="92">
        <f>IF(ISBLANK(P3641),"",IF(C3641="Buy",Q3641-M3641+T3641, IF(C3641="Sell",M3641-Q3641-T3641, X)))</f>
        <v/>
      </c>
      <c r="V3641" s="81">
        <f>IF(ISBLANK(P3641),"",U3641/N3641)</f>
        <v/>
      </c>
      <c r="W3641" s="81">
        <f>IF(ISBLANK(P3641),"",IF(S3641=0,(365/0.5)*V3641,(365/S3641)*V3641))</f>
        <v/>
      </c>
      <c r="X3641" s="75" t="n"/>
      <c r="Y3641" s="77" t="n"/>
      <c r="Z3641" s="77" t="n"/>
      <c r="AA3641" s="75" t="n"/>
      <c r="AB3641" s="75" t="n"/>
      <c r="AC3641" s="6" t="n"/>
      <c r="AD3641" s="75" t="n"/>
      <c r="AE3641" s="75" t="n"/>
      <c r="AF3641" s="75" t="n"/>
    </row>
    <row r="3642" ht="15.75" customHeight="1" s="133">
      <c r="A3642" s="75" t="n"/>
      <c r="B3642" s="75" t="n"/>
      <c r="C3642" s="75" t="n"/>
      <c r="D3642" s="75" t="n"/>
      <c r="E3642" s="76" t="n"/>
      <c r="F3642" s="77" t="n"/>
      <c r="G3642" s="75" t="n"/>
      <c r="H3642" s="75">
        <f>IF(ISBLANK(E3642),"",IF(OR(D3642="Butterfly",D3642="Butterfly ",D3642="Iron Fly", D3642="Iron Fly "),LEN(E3642)-LEN(SUBSTITUTE(E3642,"/",""))+2,LEN(E3642)-LEN(SUBSTITUTE(E3642,"/",""))+1))</f>
        <v/>
      </c>
      <c r="I3642" s="78">
        <f>IF(ISBLANK(G3642),"",IF(D3642="Stock","0",Key!$A$3*H3642*G3642))</f>
        <v/>
      </c>
      <c r="J3642" s="78">
        <f>IF(ISBLANK(E3642),"",IF(ISNUMBER(SEARCH("/",E3642)), IF(LEN(E3642)-LEN(SUBSTITUTE(E3642,"/",""))=1,(RIGHT(E3642,LEN(E3642)-FIND("/",E3642)))-(LEFT(E3642,FIND("/",E3642)-1)),(MID(E3642, SEARCH("/",E3642) + 1, SEARCH("/",E3642, SEARCH("/",E3642)+1) - SEARCH("/",E3642) - 1))-(LEFT(E3642,FIND("/",E3642)-1))), "NA"))</f>
        <v/>
      </c>
      <c r="K3642" s="79">
        <f>IF(A3642&lt;&gt;"", IF(ISBLANK(L3642), TODAY(), K3642), "")</f>
        <v/>
      </c>
      <c r="L3642" s="78" t="n"/>
      <c r="M3642" s="78">
        <f>IF(ISBLANK(L3642),"",IF(D3642="Stock",IF(C3642="Buy",L3642*G3642,IF(C3642="Sell",(L3642*G3642)-I3642, X)),IF(C3642="Buy",(L3642*G3642*100)+I3642,IF(C3642="Sell",(L3642*G3642*100)-I3642, X))))</f>
        <v/>
      </c>
      <c r="N3642" s="78">
        <f>IF(ISBLANK(L3642),"",IF(AND(C3642="Sell",D3642="Stock"),M3642,IF(ISBLANK(L3642),"",IF(C3642="Buy",M3642, IF(AND(C3642="Sell",J3642="NA"),(E3642*G3642*100*0.1)+I3642, IF(C3642="Sell",(J3642-L3642)*(100*G3642)+I3642))))))</f>
        <v/>
      </c>
      <c r="O3642" s="75" t="n"/>
      <c r="P3642" s="75" t="n"/>
      <c r="Q3642" s="75">
        <f>IF(ISBLANK(P3642),"",IF(D3642="Stock",P3642*G3642,IF(P3642=0,"0",G3642*P3642*100-(G3642*$AF$14))))</f>
        <v/>
      </c>
      <c r="R3642" s="79">
        <f>IF(P3642&lt;&gt;"", TODAY(), "")</f>
        <v/>
      </c>
      <c r="S3642" s="78">
        <f>IF(AND(K3642&lt;&gt;"", R3642&lt;&gt;""), R3642-K3642, "")</f>
        <v/>
      </c>
      <c r="T3642" s="78" t="n"/>
      <c r="U3642" s="92">
        <f>IF(ISBLANK(P3642),"",IF(C3642="Buy",Q3642-M3642+T3642, IF(C3642="Sell",M3642-Q3642-T3642, X)))</f>
        <v/>
      </c>
      <c r="V3642" s="81">
        <f>IF(ISBLANK(P3642),"",U3642/N3642)</f>
        <v/>
      </c>
      <c r="W3642" s="81">
        <f>IF(ISBLANK(P3642),"",IF(S3642=0,(365/0.5)*V3642,(365/S3642)*V3642))</f>
        <v/>
      </c>
      <c r="X3642" s="75" t="n"/>
      <c r="Y3642" s="77" t="n"/>
      <c r="Z3642" s="77" t="n"/>
      <c r="AA3642" s="75" t="n"/>
      <c r="AB3642" s="75" t="n"/>
      <c r="AC3642" s="6" t="n"/>
      <c r="AD3642" s="75" t="n"/>
      <c r="AE3642" s="75" t="n"/>
      <c r="AF3642" s="75" t="n"/>
    </row>
    <row r="3643" ht="15.75" customHeight="1" s="133">
      <c r="A3643" s="75" t="n"/>
      <c r="B3643" s="75" t="n"/>
      <c r="C3643" s="75" t="n"/>
      <c r="D3643" s="75" t="n"/>
      <c r="E3643" s="76" t="n"/>
      <c r="F3643" s="77" t="n"/>
      <c r="G3643" s="75" t="n"/>
      <c r="H3643" s="75">
        <f>IF(ISBLANK(E3643),"",IF(OR(D3643="Butterfly",D3643="Butterfly ",D3643="Iron Fly", D3643="Iron Fly "),LEN(E3643)-LEN(SUBSTITUTE(E3643,"/",""))+2,LEN(E3643)-LEN(SUBSTITUTE(E3643,"/",""))+1))</f>
        <v/>
      </c>
      <c r="I3643" s="78">
        <f>IF(ISBLANK(G3643),"",IF(D3643="Stock","0",Key!$A$3*H3643*G3643))</f>
        <v/>
      </c>
      <c r="J3643" s="78">
        <f>IF(ISBLANK(E3643),"",IF(ISNUMBER(SEARCH("/",E3643)), IF(LEN(E3643)-LEN(SUBSTITUTE(E3643,"/",""))=1,(RIGHT(E3643,LEN(E3643)-FIND("/",E3643)))-(LEFT(E3643,FIND("/",E3643)-1)),(MID(E3643, SEARCH("/",E3643) + 1, SEARCH("/",E3643, SEARCH("/",E3643)+1) - SEARCH("/",E3643) - 1))-(LEFT(E3643,FIND("/",E3643)-1))), "NA"))</f>
        <v/>
      </c>
      <c r="K3643" s="79">
        <f>IF(A3643&lt;&gt;"", IF(ISBLANK(L3643), TODAY(), K3643), "")</f>
        <v/>
      </c>
      <c r="L3643" s="78" t="n"/>
      <c r="M3643" s="78">
        <f>IF(ISBLANK(L3643),"",IF(D3643="Stock",IF(C3643="Buy",L3643*G3643,IF(C3643="Sell",(L3643*G3643)-I3643, X)),IF(C3643="Buy",(L3643*G3643*100)+I3643,IF(C3643="Sell",(L3643*G3643*100)-I3643, X))))</f>
        <v/>
      </c>
      <c r="N3643" s="78">
        <f>IF(ISBLANK(L3643),"",IF(AND(C3643="Sell",D3643="Stock"),M3643,IF(ISBLANK(L3643),"",IF(C3643="Buy",M3643, IF(AND(C3643="Sell",J3643="NA"),(E3643*G3643*100*0.1)+I3643, IF(C3643="Sell",(J3643-L3643)*(100*G3643)+I3643))))))</f>
        <v/>
      </c>
      <c r="O3643" s="75" t="n"/>
      <c r="P3643" s="75" t="n"/>
      <c r="Q3643" s="75">
        <f>IF(ISBLANK(P3643),"",IF(D3643="Stock",P3643*G3643,IF(P3643=0,"0",G3643*P3643*100-(G3643*$AF$14))))</f>
        <v/>
      </c>
      <c r="R3643" s="79">
        <f>IF(P3643&lt;&gt;"", TODAY(), "")</f>
        <v/>
      </c>
      <c r="S3643" s="78">
        <f>IF(AND(K3643&lt;&gt;"", R3643&lt;&gt;""), R3643-K3643, "")</f>
        <v/>
      </c>
      <c r="T3643" s="78" t="n"/>
      <c r="U3643" s="92">
        <f>IF(ISBLANK(P3643),"",IF(C3643="Buy",Q3643-M3643+T3643, IF(C3643="Sell",M3643-Q3643-T3643, X)))</f>
        <v/>
      </c>
      <c r="V3643" s="81">
        <f>IF(ISBLANK(P3643),"",U3643/N3643)</f>
        <v/>
      </c>
      <c r="W3643" s="81">
        <f>IF(ISBLANK(P3643),"",IF(S3643=0,(365/0.5)*V3643,(365/S3643)*V3643))</f>
        <v/>
      </c>
      <c r="X3643" s="75" t="n"/>
      <c r="Y3643" s="77" t="n"/>
      <c r="Z3643" s="77" t="n"/>
      <c r="AA3643" s="75" t="n"/>
      <c r="AB3643" s="75" t="n"/>
      <c r="AC3643" s="6" t="n"/>
      <c r="AD3643" s="75" t="n"/>
      <c r="AE3643" s="75" t="n"/>
      <c r="AF3643" s="75" t="n"/>
    </row>
    <row r="3644" ht="15.75" customHeight="1" s="133">
      <c r="A3644" s="75" t="n"/>
      <c r="B3644" s="75" t="n"/>
      <c r="C3644" s="75" t="n"/>
      <c r="D3644" s="75" t="n"/>
      <c r="E3644" s="76" t="n"/>
      <c r="F3644" s="77" t="n"/>
      <c r="G3644" s="75" t="n"/>
      <c r="H3644" s="75">
        <f>IF(ISBLANK(E3644),"",IF(OR(D3644="Butterfly",D3644="Butterfly ",D3644="Iron Fly", D3644="Iron Fly "),LEN(E3644)-LEN(SUBSTITUTE(E3644,"/",""))+2,LEN(E3644)-LEN(SUBSTITUTE(E3644,"/",""))+1))</f>
        <v/>
      </c>
      <c r="I3644" s="78">
        <f>IF(ISBLANK(G3644),"",IF(D3644="Stock","0",Key!$A$3*H3644*G3644))</f>
        <v/>
      </c>
      <c r="J3644" s="78">
        <f>IF(ISBLANK(E3644),"",IF(ISNUMBER(SEARCH("/",E3644)), IF(LEN(E3644)-LEN(SUBSTITUTE(E3644,"/",""))=1,(RIGHT(E3644,LEN(E3644)-FIND("/",E3644)))-(LEFT(E3644,FIND("/",E3644)-1)),(MID(E3644, SEARCH("/",E3644) + 1, SEARCH("/",E3644, SEARCH("/",E3644)+1) - SEARCH("/",E3644) - 1))-(LEFT(E3644,FIND("/",E3644)-1))), "NA"))</f>
        <v/>
      </c>
      <c r="K3644" s="79">
        <f>IF(A3644&lt;&gt;"", IF(ISBLANK(L3644), TODAY(), K3644), "")</f>
        <v/>
      </c>
      <c r="L3644" s="78" t="n"/>
      <c r="M3644" s="78">
        <f>IF(ISBLANK(L3644),"",IF(D3644="Stock",IF(C3644="Buy",L3644*G3644,IF(C3644="Sell",(L3644*G3644)-I3644, X)),IF(C3644="Buy",(L3644*G3644*100)+I3644,IF(C3644="Sell",(L3644*G3644*100)-I3644, X))))</f>
        <v/>
      </c>
      <c r="N3644" s="78">
        <f>IF(ISBLANK(L3644),"",IF(AND(C3644="Sell",D3644="Stock"),M3644,IF(ISBLANK(L3644),"",IF(C3644="Buy",M3644, IF(AND(C3644="Sell",J3644="NA"),(E3644*G3644*100*0.1)+I3644, IF(C3644="Sell",(J3644-L3644)*(100*G3644)+I3644))))))</f>
        <v/>
      </c>
      <c r="O3644" s="75" t="n"/>
      <c r="P3644" s="75" t="n"/>
      <c r="Q3644" s="75">
        <f>IF(ISBLANK(P3644),"",IF(D3644="Stock",P3644*G3644,IF(P3644=0,"0",G3644*P3644*100-(G3644*$AF$14))))</f>
        <v/>
      </c>
      <c r="R3644" s="79">
        <f>IF(P3644&lt;&gt;"", TODAY(), "")</f>
        <v/>
      </c>
      <c r="S3644" s="78">
        <f>IF(AND(K3644&lt;&gt;"", R3644&lt;&gt;""), R3644-K3644, "")</f>
        <v/>
      </c>
      <c r="T3644" s="78" t="n"/>
      <c r="U3644" s="92">
        <f>IF(ISBLANK(P3644),"",IF(C3644="Buy",Q3644-M3644+T3644, IF(C3644="Sell",M3644-Q3644-T3644, X)))</f>
        <v/>
      </c>
      <c r="V3644" s="81">
        <f>IF(ISBLANK(P3644),"",U3644/N3644)</f>
        <v/>
      </c>
      <c r="W3644" s="81">
        <f>IF(ISBLANK(P3644),"",IF(S3644=0,(365/0.5)*V3644,(365/S3644)*V3644))</f>
        <v/>
      </c>
      <c r="X3644" s="75" t="n"/>
      <c r="Y3644" s="77" t="n"/>
      <c r="Z3644" s="77" t="n"/>
      <c r="AA3644" s="75" t="n"/>
      <c r="AB3644" s="75" t="n"/>
      <c r="AC3644" s="6" t="n"/>
      <c r="AD3644" s="75" t="n"/>
      <c r="AE3644" s="75" t="n"/>
      <c r="AF3644" s="75" t="n"/>
    </row>
    <row r="3645" ht="15.75" customHeight="1" s="133">
      <c r="A3645" s="75" t="n"/>
      <c r="B3645" s="75" t="n"/>
      <c r="C3645" s="75" t="n"/>
      <c r="D3645" s="75" t="n"/>
      <c r="E3645" s="76" t="n"/>
      <c r="F3645" s="77" t="n"/>
      <c r="G3645" s="75" t="n"/>
      <c r="H3645" s="75">
        <f>IF(ISBLANK(E3645),"",IF(OR(D3645="Butterfly",D3645="Butterfly ",D3645="Iron Fly", D3645="Iron Fly "),LEN(E3645)-LEN(SUBSTITUTE(E3645,"/",""))+2,LEN(E3645)-LEN(SUBSTITUTE(E3645,"/",""))+1))</f>
        <v/>
      </c>
      <c r="I3645" s="78">
        <f>IF(ISBLANK(G3645),"",IF(D3645="Stock","0",Key!$A$3*H3645*G3645))</f>
        <v/>
      </c>
      <c r="J3645" s="78">
        <f>IF(ISBLANK(E3645),"",IF(ISNUMBER(SEARCH("/",E3645)), IF(LEN(E3645)-LEN(SUBSTITUTE(E3645,"/",""))=1,(RIGHT(E3645,LEN(E3645)-FIND("/",E3645)))-(LEFT(E3645,FIND("/",E3645)-1)),(MID(E3645, SEARCH("/",E3645) + 1, SEARCH("/",E3645, SEARCH("/",E3645)+1) - SEARCH("/",E3645) - 1))-(LEFT(E3645,FIND("/",E3645)-1))), "NA"))</f>
        <v/>
      </c>
      <c r="K3645" s="79">
        <f>IF(A3645&lt;&gt;"", IF(ISBLANK(L3645), TODAY(), K3645), "")</f>
        <v/>
      </c>
      <c r="L3645" s="78" t="n"/>
      <c r="M3645" s="78">
        <f>IF(ISBLANK(L3645),"",IF(D3645="Stock",IF(C3645="Buy",L3645*G3645,IF(C3645="Sell",(L3645*G3645)-I3645, X)),IF(C3645="Buy",(L3645*G3645*100)+I3645,IF(C3645="Sell",(L3645*G3645*100)-I3645, X))))</f>
        <v/>
      </c>
      <c r="N3645" s="78">
        <f>IF(ISBLANK(L3645),"",IF(AND(C3645="Sell",D3645="Stock"),M3645,IF(ISBLANK(L3645),"",IF(C3645="Buy",M3645, IF(AND(C3645="Sell",J3645="NA"),(E3645*G3645*100*0.1)+I3645, IF(C3645="Sell",(J3645-L3645)*(100*G3645)+I3645))))))</f>
        <v/>
      </c>
      <c r="O3645" s="75" t="n"/>
      <c r="P3645" s="75" t="n"/>
      <c r="Q3645" s="75">
        <f>IF(ISBLANK(P3645),"",IF(D3645="Stock",P3645*G3645,IF(P3645=0,"0",G3645*P3645*100-(G3645*$AF$14))))</f>
        <v/>
      </c>
      <c r="R3645" s="79">
        <f>IF(P3645&lt;&gt;"", TODAY(), "")</f>
        <v/>
      </c>
      <c r="S3645" s="78">
        <f>IF(AND(K3645&lt;&gt;"", R3645&lt;&gt;""), R3645-K3645, "")</f>
        <v/>
      </c>
      <c r="T3645" s="78" t="n"/>
      <c r="U3645" s="92">
        <f>IF(ISBLANK(P3645),"",IF(C3645="Buy",Q3645-M3645+T3645, IF(C3645="Sell",M3645-Q3645-T3645, X)))</f>
        <v/>
      </c>
      <c r="V3645" s="81">
        <f>IF(ISBLANK(P3645),"",U3645/N3645)</f>
        <v/>
      </c>
      <c r="W3645" s="81">
        <f>IF(ISBLANK(P3645),"",IF(S3645=0,(365/0.5)*V3645,(365/S3645)*V3645))</f>
        <v/>
      </c>
      <c r="X3645" s="75" t="n"/>
      <c r="Y3645" s="77" t="n"/>
      <c r="Z3645" s="77" t="n"/>
      <c r="AA3645" s="75" t="n"/>
      <c r="AB3645" s="75" t="n"/>
      <c r="AC3645" s="6" t="n"/>
      <c r="AD3645" s="75" t="n"/>
      <c r="AE3645" s="75" t="n"/>
      <c r="AF3645" s="75" t="n"/>
    </row>
    <row r="3646" ht="15.75" customHeight="1" s="133">
      <c r="A3646" s="75" t="n"/>
      <c r="B3646" s="75" t="n"/>
      <c r="C3646" s="75" t="n"/>
      <c r="D3646" s="75" t="n"/>
      <c r="E3646" s="76" t="n"/>
      <c r="F3646" s="77" t="n"/>
      <c r="G3646" s="75" t="n"/>
      <c r="H3646" s="75">
        <f>IF(ISBLANK(E3646),"",IF(OR(D3646="Butterfly",D3646="Butterfly ",D3646="Iron Fly", D3646="Iron Fly "),LEN(E3646)-LEN(SUBSTITUTE(E3646,"/",""))+2,LEN(E3646)-LEN(SUBSTITUTE(E3646,"/",""))+1))</f>
        <v/>
      </c>
      <c r="I3646" s="78">
        <f>IF(ISBLANK(G3646),"",IF(D3646="Stock","0",Key!$A$3*H3646*G3646))</f>
        <v/>
      </c>
      <c r="J3646" s="78">
        <f>IF(ISBLANK(E3646),"",IF(ISNUMBER(SEARCH("/",E3646)), IF(LEN(E3646)-LEN(SUBSTITUTE(E3646,"/",""))=1,(RIGHT(E3646,LEN(E3646)-FIND("/",E3646)))-(LEFT(E3646,FIND("/",E3646)-1)),(MID(E3646, SEARCH("/",E3646) + 1, SEARCH("/",E3646, SEARCH("/",E3646)+1) - SEARCH("/",E3646) - 1))-(LEFT(E3646,FIND("/",E3646)-1))), "NA"))</f>
        <v/>
      </c>
      <c r="K3646" s="79">
        <f>IF(A3646&lt;&gt;"", IF(ISBLANK(L3646), TODAY(), K3646), "")</f>
        <v/>
      </c>
      <c r="L3646" s="78" t="n"/>
      <c r="M3646" s="78">
        <f>IF(ISBLANK(L3646),"",IF(D3646="Stock",IF(C3646="Buy",L3646*G3646,IF(C3646="Sell",(L3646*G3646)-I3646, X)),IF(C3646="Buy",(L3646*G3646*100)+I3646,IF(C3646="Sell",(L3646*G3646*100)-I3646, X))))</f>
        <v/>
      </c>
      <c r="N3646" s="78">
        <f>IF(ISBLANK(L3646),"",IF(AND(C3646="Sell",D3646="Stock"),M3646,IF(ISBLANK(L3646),"",IF(C3646="Buy",M3646, IF(AND(C3646="Sell",J3646="NA"),(E3646*G3646*100*0.1)+I3646, IF(C3646="Sell",(J3646-L3646)*(100*G3646)+I3646))))))</f>
        <v/>
      </c>
      <c r="O3646" s="75" t="n"/>
      <c r="P3646" s="75" t="n"/>
      <c r="Q3646" s="75">
        <f>IF(ISBLANK(P3646),"",IF(D3646="Stock",P3646*G3646,IF(P3646=0,"0",G3646*P3646*100-(G3646*$AF$14))))</f>
        <v/>
      </c>
      <c r="R3646" s="79">
        <f>IF(P3646&lt;&gt;"", TODAY(), "")</f>
        <v/>
      </c>
      <c r="S3646" s="78">
        <f>IF(AND(K3646&lt;&gt;"", R3646&lt;&gt;""), R3646-K3646, "")</f>
        <v/>
      </c>
      <c r="T3646" s="78" t="n"/>
      <c r="U3646" s="92">
        <f>IF(ISBLANK(P3646),"",IF(C3646="Buy",Q3646-M3646+T3646, IF(C3646="Sell",M3646-Q3646-T3646, X)))</f>
        <v/>
      </c>
      <c r="V3646" s="81">
        <f>IF(ISBLANK(P3646),"",U3646/N3646)</f>
        <v/>
      </c>
      <c r="W3646" s="81">
        <f>IF(ISBLANK(P3646),"",IF(S3646=0,(365/0.5)*V3646,(365/S3646)*V3646))</f>
        <v/>
      </c>
      <c r="X3646" s="75" t="n"/>
      <c r="Y3646" s="77" t="n"/>
      <c r="Z3646" s="77" t="n"/>
      <c r="AA3646" s="75" t="n"/>
      <c r="AB3646" s="75" t="n"/>
      <c r="AC3646" s="6" t="n"/>
      <c r="AD3646" s="75" t="n"/>
      <c r="AE3646" s="75" t="n"/>
      <c r="AF3646" s="75" t="n"/>
    </row>
    <row r="3647" ht="15.75" customHeight="1" s="133">
      <c r="A3647" s="75" t="n"/>
      <c r="B3647" s="75" t="n"/>
      <c r="C3647" s="75" t="n"/>
      <c r="D3647" s="75" t="n"/>
      <c r="E3647" s="76" t="n"/>
      <c r="F3647" s="77" t="n"/>
      <c r="G3647" s="75" t="n"/>
      <c r="H3647" s="75">
        <f>IF(ISBLANK(E3647),"",IF(OR(D3647="Butterfly",D3647="Butterfly ",D3647="Iron Fly", D3647="Iron Fly "),LEN(E3647)-LEN(SUBSTITUTE(E3647,"/",""))+2,LEN(E3647)-LEN(SUBSTITUTE(E3647,"/",""))+1))</f>
        <v/>
      </c>
      <c r="I3647" s="78">
        <f>IF(ISBLANK(G3647),"",IF(D3647="Stock","0",Key!$A$3*H3647*G3647))</f>
        <v/>
      </c>
      <c r="J3647" s="78">
        <f>IF(ISBLANK(E3647),"",IF(ISNUMBER(SEARCH("/",E3647)), IF(LEN(E3647)-LEN(SUBSTITUTE(E3647,"/",""))=1,(RIGHT(E3647,LEN(E3647)-FIND("/",E3647)))-(LEFT(E3647,FIND("/",E3647)-1)),(MID(E3647, SEARCH("/",E3647) + 1, SEARCH("/",E3647, SEARCH("/",E3647)+1) - SEARCH("/",E3647) - 1))-(LEFT(E3647,FIND("/",E3647)-1))), "NA"))</f>
        <v/>
      </c>
      <c r="K3647" s="79">
        <f>IF(A3647&lt;&gt;"", IF(ISBLANK(L3647), TODAY(), K3647), "")</f>
        <v/>
      </c>
      <c r="L3647" s="78" t="n"/>
      <c r="M3647" s="78">
        <f>IF(ISBLANK(L3647),"",IF(D3647="Stock",IF(C3647="Buy",L3647*G3647,IF(C3647="Sell",(L3647*G3647)-I3647, X)),IF(C3647="Buy",(L3647*G3647*100)+I3647,IF(C3647="Sell",(L3647*G3647*100)-I3647, X))))</f>
        <v/>
      </c>
      <c r="N3647" s="78">
        <f>IF(ISBLANK(L3647),"",IF(AND(C3647="Sell",D3647="Stock"),M3647,IF(ISBLANK(L3647),"",IF(C3647="Buy",M3647, IF(AND(C3647="Sell",J3647="NA"),(E3647*G3647*100*0.1)+I3647, IF(C3647="Sell",(J3647-L3647)*(100*G3647)+I3647))))))</f>
        <v/>
      </c>
      <c r="O3647" s="75" t="n"/>
      <c r="P3647" s="75" t="n"/>
      <c r="Q3647" s="75">
        <f>IF(ISBLANK(P3647),"",IF(D3647="Stock",P3647*G3647,IF(P3647=0,"0",G3647*P3647*100-(G3647*$AF$14))))</f>
        <v/>
      </c>
      <c r="R3647" s="79">
        <f>IF(P3647&lt;&gt;"", TODAY(), "")</f>
        <v/>
      </c>
      <c r="S3647" s="78">
        <f>IF(AND(K3647&lt;&gt;"", R3647&lt;&gt;""), R3647-K3647, "")</f>
        <v/>
      </c>
      <c r="T3647" s="78" t="n"/>
      <c r="U3647" s="92">
        <f>IF(ISBLANK(P3647),"",IF(C3647="Buy",Q3647-M3647+T3647, IF(C3647="Sell",M3647-Q3647-T3647, X)))</f>
        <v/>
      </c>
      <c r="V3647" s="81">
        <f>IF(ISBLANK(P3647),"",U3647/N3647)</f>
        <v/>
      </c>
      <c r="W3647" s="81">
        <f>IF(ISBLANK(P3647),"",IF(S3647=0,(365/0.5)*V3647,(365/S3647)*V3647))</f>
        <v/>
      </c>
      <c r="X3647" s="75" t="n"/>
      <c r="Y3647" s="77" t="n"/>
      <c r="Z3647" s="77" t="n"/>
      <c r="AA3647" s="75" t="n"/>
      <c r="AB3647" s="75" t="n"/>
      <c r="AC3647" s="6" t="n"/>
      <c r="AD3647" s="75" t="n"/>
      <c r="AE3647" s="75" t="n"/>
      <c r="AF3647" s="75" t="n"/>
    </row>
    <row r="3648" ht="15.75" customHeight="1" s="133">
      <c r="A3648" s="75" t="n"/>
      <c r="B3648" s="75" t="n"/>
      <c r="C3648" s="75" t="n"/>
      <c r="D3648" s="75" t="n"/>
      <c r="E3648" s="76" t="n"/>
      <c r="F3648" s="77" t="n"/>
      <c r="G3648" s="75" t="n"/>
      <c r="H3648" s="75">
        <f>IF(ISBLANK(E3648),"",IF(OR(D3648="Butterfly",D3648="Butterfly ",D3648="Iron Fly", D3648="Iron Fly "),LEN(E3648)-LEN(SUBSTITUTE(E3648,"/",""))+2,LEN(E3648)-LEN(SUBSTITUTE(E3648,"/",""))+1))</f>
        <v/>
      </c>
      <c r="I3648" s="78">
        <f>IF(ISBLANK(G3648),"",IF(D3648="Stock","0",Key!$A$3*H3648*G3648))</f>
        <v/>
      </c>
      <c r="J3648" s="78">
        <f>IF(ISBLANK(E3648),"",IF(ISNUMBER(SEARCH("/",E3648)), IF(LEN(E3648)-LEN(SUBSTITUTE(E3648,"/",""))=1,(RIGHT(E3648,LEN(E3648)-FIND("/",E3648)))-(LEFT(E3648,FIND("/",E3648)-1)),(MID(E3648, SEARCH("/",E3648) + 1, SEARCH("/",E3648, SEARCH("/",E3648)+1) - SEARCH("/",E3648) - 1))-(LEFT(E3648,FIND("/",E3648)-1))), "NA"))</f>
        <v/>
      </c>
      <c r="K3648" s="79">
        <f>IF(A3648&lt;&gt;"", IF(ISBLANK(L3648), TODAY(), K3648), "")</f>
        <v/>
      </c>
      <c r="L3648" s="78" t="n"/>
      <c r="M3648" s="78">
        <f>IF(ISBLANK(L3648),"",IF(D3648="Stock",IF(C3648="Buy",L3648*G3648,IF(C3648="Sell",(L3648*G3648)-I3648, X)),IF(C3648="Buy",(L3648*G3648*100)+I3648,IF(C3648="Sell",(L3648*G3648*100)-I3648, X))))</f>
        <v/>
      </c>
      <c r="N3648" s="78">
        <f>IF(ISBLANK(L3648),"",IF(AND(C3648="Sell",D3648="Stock"),M3648,IF(ISBLANK(L3648),"",IF(C3648="Buy",M3648, IF(AND(C3648="Sell",J3648="NA"),(E3648*G3648*100*0.1)+I3648, IF(C3648="Sell",(J3648-L3648)*(100*G3648)+I3648))))))</f>
        <v/>
      </c>
      <c r="O3648" s="75" t="n"/>
      <c r="P3648" s="75" t="n"/>
      <c r="Q3648" s="75">
        <f>IF(ISBLANK(P3648),"",IF(D3648="Stock",P3648*G3648,IF(P3648=0,"0",G3648*P3648*100-(G3648*$AF$14))))</f>
        <v/>
      </c>
      <c r="R3648" s="79">
        <f>IF(P3648&lt;&gt;"", TODAY(), "")</f>
        <v/>
      </c>
      <c r="S3648" s="78">
        <f>IF(AND(K3648&lt;&gt;"", R3648&lt;&gt;""), R3648-K3648, "")</f>
        <v/>
      </c>
      <c r="T3648" s="78" t="n"/>
      <c r="U3648" s="92">
        <f>IF(ISBLANK(P3648),"",IF(C3648="Buy",Q3648-M3648+T3648, IF(C3648="Sell",M3648-Q3648-T3648, X)))</f>
        <v/>
      </c>
      <c r="V3648" s="81">
        <f>IF(ISBLANK(P3648),"",U3648/N3648)</f>
        <v/>
      </c>
      <c r="W3648" s="81">
        <f>IF(ISBLANK(P3648),"",IF(S3648=0,(365/0.5)*V3648,(365/S3648)*V3648))</f>
        <v/>
      </c>
      <c r="X3648" s="75" t="n"/>
      <c r="Y3648" s="77" t="n"/>
      <c r="Z3648" s="77" t="n"/>
      <c r="AA3648" s="75" t="n"/>
      <c r="AB3648" s="75" t="n"/>
      <c r="AC3648" s="6" t="n"/>
      <c r="AD3648" s="75" t="n"/>
      <c r="AE3648" s="75" t="n"/>
      <c r="AF3648" s="75" t="n"/>
    </row>
    <row r="3649" ht="15.75" customHeight="1" s="133">
      <c r="A3649" s="75" t="n"/>
      <c r="B3649" s="75" t="n"/>
      <c r="C3649" s="75" t="n"/>
      <c r="D3649" s="75" t="n"/>
      <c r="E3649" s="76" t="n"/>
      <c r="F3649" s="77" t="n"/>
      <c r="G3649" s="75" t="n"/>
      <c r="H3649" s="75">
        <f>IF(ISBLANK(E3649),"",IF(OR(D3649="Butterfly",D3649="Butterfly ",D3649="Iron Fly", D3649="Iron Fly "),LEN(E3649)-LEN(SUBSTITUTE(E3649,"/",""))+2,LEN(E3649)-LEN(SUBSTITUTE(E3649,"/",""))+1))</f>
        <v/>
      </c>
      <c r="I3649" s="78">
        <f>IF(ISBLANK(G3649),"",IF(D3649="Stock","0",Key!$A$3*H3649*G3649))</f>
        <v/>
      </c>
      <c r="J3649" s="78">
        <f>IF(ISBLANK(E3649),"",IF(ISNUMBER(SEARCH("/",E3649)), IF(LEN(E3649)-LEN(SUBSTITUTE(E3649,"/",""))=1,(RIGHT(E3649,LEN(E3649)-FIND("/",E3649)))-(LEFT(E3649,FIND("/",E3649)-1)),(MID(E3649, SEARCH("/",E3649) + 1, SEARCH("/",E3649, SEARCH("/",E3649)+1) - SEARCH("/",E3649) - 1))-(LEFT(E3649,FIND("/",E3649)-1))), "NA"))</f>
        <v/>
      </c>
      <c r="K3649" s="79">
        <f>IF(A3649&lt;&gt;"", IF(ISBLANK(L3649), TODAY(), K3649), "")</f>
        <v/>
      </c>
      <c r="L3649" s="78" t="n"/>
      <c r="M3649" s="78">
        <f>IF(ISBLANK(L3649),"",IF(D3649="Stock",IF(C3649="Buy",L3649*G3649,IF(C3649="Sell",(L3649*G3649)-I3649, X)),IF(C3649="Buy",(L3649*G3649*100)+I3649,IF(C3649="Sell",(L3649*G3649*100)-I3649, X))))</f>
        <v/>
      </c>
      <c r="N3649" s="78">
        <f>IF(ISBLANK(L3649),"",IF(AND(C3649="Sell",D3649="Stock"),M3649,IF(ISBLANK(L3649),"",IF(C3649="Buy",M3649, IF(AND(C3649="Sell",J3649="NA"),(E3649*G3649*100*0.1)+I3649, IF(C3649="Sell",(J3649-L3649)*(100*G3649)+I3649))))))</f>
        <v/>
      </c>
      <c r="O3649" s="75" t="n"/>
      <c r="P3649" s="75" t="n"/>
      <c r="Q3649" s="75">
        <f>IF(ISBLANK(P3649),"",IF(D3649="Stock",P3649*G3649,IF(P3649=0,"0",G3649*P3649*100-(G3649*$AF$14))))</f>
        <v/>
      </c>
      <c r="R3649" s="79">
        <f>IF(P3649&lt;&gt;"", TODAY(), "")</f>
        <v/>
      </c>
      <c r="S3649" s="78">
        <f>IF(AND(K3649&lt;&gt;"", R3649&lt;&gt;""), R3649-K3649, "")</f>
        <v/>
      </c>
      <c r="T3649" s="78" t="n"/>
      <c r="U3649" s="92">
        <f>IF(ISBLANK(P3649),"",IF(C3649="Buy",Q3649-M3649+T3649, IF(C3649="Sell",M3649-Q3649-T3649, X)))</f>
        <v/>
      </c>
      <c r="V3649" s="81">
        <f>IF(ISBLANK(P3649),"",U3649/N3649)</f>
        <v/>
      </c>
      <c r="W3649" s="81">
        <f>IF(ISBLANK(P3649),"",IF(S3649=0,(365/0.5)*V3649,(365/S3649)*V3649))</f>
        <v/>
      </c>
      <c r="X3649" s="75" t="n"/>
      <c r="Y3649" s="77" t="n"/>
      <c r="Z3649" s="77" t="n"/>
      <c r="AA3649" s="75" t="n"/>
      <c r="AB3649" s="75" t="n"/>
      <c r="AC3649" s="6" t="n"/>
      <c r="AD3649" s="75" t="n"/>
      <c r="AE3649" s="75" t="n"/>
      <c r="AF3649" s="75" t="n"/>
    </row>
    <row r="3650" ht="15.75" customHeight="1" s="133">
      <c r="A3650" s="75" t="n"/>
      <c r="B3650" s="75" t="n"/>
      <c r="C3650" s="75" t="n"/>
      <c r="D3650" s="75" t="n"/>
      <c r="E3650" s="76" t="n"/>
      <c r="F3650" s="77" t="n"/>
      <c r="G3650" s="75" t="n"/>
      <c r="H3650" s="75">
        <f>IF(ISBLANK(E3650),"",IF(OR(D3650="Butterfly",D3650="Butterfly ",D3650="Iron Fly", D3650="Iron Fly "),LEN(E3650)-LEN(SUBSTITUTE(E3650,"/",""))+2,LEN(E3650)-LEN(SUBSTITUTE(E3650,"/",""))+1))</f>
        <v/>
      </c>
      <c r="I3650" s="78">
        <f>IF(ISBLANK(G3650),"",IF(D3650="Stock","0",Key!$A$3*H3650*G3650))</f>
        <v/>
      </c>
      <c r="J3650" s="78">
        <f>IF(ISBLANK(E3650),"",IF(ISNUMBER(SEARCH("/",E3650)), IF(LEN(E3650)-LEN(SUBSTITUTE(E3650,"/",""))=1,(RIGHT(E3650,LEN(E3650)-FIND("/",E3650)))-(LEFT(E3650,FIND("/",E3650)-1)),(MID(E3650, SEARCH("/",E3650) + 1, SEARCH("/",E3650, SEARCH("/",E3650)+1) - SEARCH("/",E3650) - 1))-(LEFT(E3650,FIND("/",E3650)-1))), "NA"))</f>
        <v/>
      </c>
      <c r="K3650" s="79">
        <f>IF(A3650&lt;&gt;"", IF(ISBLANK(L3650), TODAY(), K3650), "")</f>
        <v/>
      </c>
      <c r="L3650" s="78" t="n"/>
      <c r="M3650" s="78">
        <f>IF(ISBLANK(L3650),"",IF(D3650="Stock",IF(C3650="Buy",L3650*G3650,IF(C3650="Sell",(L3650*G3650)-I3650, X)),IF(C3650="Buy",(L3650*G3650*100)+I3650,IF(C3650="Sell",(L3650*G3650*100)-I3650, X))))</f>
        <v/>
      </c>
      <c r="N3650" s="78">
        <f>IF(ISBLANK(L3650),"",IF(AND(C3650="Sell",D3650="Stock"),M3650,IF(ISBLANK(L3650),"",IF(C3650="Buy",M3650, IF(AND(C3650="Sell",J3650="NA"),(E3650*G3650*100*0.1)+I3650, IF(C3650="Sell",(J3650-L3650)*(100*G3650)+I3650))))))</f>
        <v/>
      </c>
      <c r="O3650" s="75" t="n"/>
      <c r="P3650" s="75" t="n"/>
      <c r="Q3650" s="75">
        <f>IF(ISBLANK(P3650),"",IF(D3650="Stock",P3650*G3650,IF(P3650=0,"0",G3650*P3650*100-(G3650*$AF$14))))</f>
        <v/>
      </c>
      <c r="R3650" s="79">
        <f>IF(P3650&lt;&gt;"", TODAY(), "")</f>
        <v/>
      </c>
      <c r="S3650" s="78">
        <f>IF(AND(K3650&lt;&gt;"", R3650&lt;&gt;""), R3650-K3650, "")</f>
        <v/>
      </c>
      <c r="T3650" s="78" t="n"/>
      <c r="U3650" s="92">
        <f>IF(ISBLANK(P3650),"",IF(C3650="Buy",Q3650-M3650+T3650, IF(C3650="Sell",M3650-Q3650-T3650, X)))</f>
        <v/>
      </c>
      <c r="V3650" s="81">
        <f>IF(ISBLANK(P3650),"",U3650/N3650)</f>
        <v/>
      </c>
      <c r="W3650" s="81">
        <f>IF(ISBLANK(P3650),"",IF(S3650=0,(365/0.5)*V3650,(365/S3650)*V3650))</f>
        <v/>
      </c>
      <c r="X3650" s="75" t="n"/>
      <c r="Y3650" s="77" t="n"/>
      <c r="Z3650" s="77" t="n"/>
      <c r="AA3650" s="75" t="n"/>
      <c r="AB3650" s="75" t="n"/>
      <c r="AC3650" s="6" t="n"/>
      <c r="AD3650" s="75" t="n"/>
      <c r="AE3650" s="75" t="n"/>
      <c r="AF3650" s="75" t="n"/>
    </row>
    <row r="3651" ht="15.75" customHeight="1" s="133">
      <c r="A3651" s="75" t="n"/>
      <c r="B3651" s="75" t="n"/>
      <c r="C3651" s="75" t="n"/>
      <c r="D3651" s="75" t="n"/>
      <c r="E3651" s="76" t="n"/>
      <c r="F3651" s="77" t="n"/>
      <c r="G3651" s="75" t="n"/>
      <c r="H3651" s="75">
        <f>IF(ISBLANK(E3651),"",IF(OR(D3651="Butterfly",D3651="Butterfly ",D3651="Iron Fly", D3651="Iron Fly "),LEN(E3651)-LEN(SUBSTITUTE(E3651,"/",""))+2,LEN(E3651)-LEN(SUBSTITUTE(E3651,"/",""))+1))</f>
        <v/>
      </c>
      <c r="I3651" s="78">
        <f>IF(ISBLANK(G3651),"",IF(D3651="Stock","0",Key!$A$3*H3651*G3651))</f>
        <v/>
      </c>
      <c r="J3651" s="78">
        <f>IF(ISBLANK(E3651),"",IF(ISNUMBER(SEARCH("/",E3651)), IF(LEN(E3651)-LEN(SUBSTITUTE(E3651,"/",""))=1,(RIGHT(E3651,LEN(E3651)-FIND("/",E3651)))-(LEFT(E3651,FIND("/",E3651)-1)),(MID(E3651, SEARCH("/",E3651) + 1, SEARCH("/",E3651, SEARCH("/",E3651)+1) - SEARCH("/",E3651) - 1))-(LEFT(E3651,FIND("/",E3651)-1))), "NA"))</f>
        <v/>
      </c>
      <c r="K3651" s="79">
        <f>IF(A3651&lt;&gt;"", IF(ISBLANK(L3651), TODAY(), K3651), "")</f>
        <v/>
      </c>
      <c r="L3651" s="78" t="n"/>
      <c r="M3651" s="78">
        <f>IF(ISBLANK(L3651),"",IF(D3651="Stock",IF(C3651="Buy",L3651*G3651,IF(C3651="Sell",(L3651*G3651)-I3651, X)),IF(C3651="Buy",(L3651*G3651*100)+I3651,IF(C3651="Sell",(L3651*G3651*100)-I3651, X))))</f>
        <v/>
      </c>
      <c r="N3651" s="78">
        <f>IF(ISBLANK(L3651),"",IF(AND(C3651="Sell",D3651="Stock"),M3651,IF(ISBLANK(L3651),"",IF(C3651="Buy",M3651, IF(AND(C3651="Sell",J3651="NA"),(E3651*G3651*100*0.1)+I3651, IF(C3651="Sell",(J3651-L3651)*(100*G3651)+I3651))))))</f>
        <v/>
      </c>
      <c r="O3651" s="75" t="n"/>
      <c r="P3651" s="75" t="n"/>
      <c r="Q3651" s="75">
        <f>IF(ISBLANK(P3651),"",IF(D3651="Stock",P3651*G3651,IF(P3651=0,"0",G3651*P3651*100-(G3651*$AF$14))))</f>
        <v/>
      </c>
      <c r="R3651" s="79">
        <f>IF(P3651&lt;&gt;"", TODAY(), "")</f>
        <v/>
      </c>
      <c r="S3651" s="78">
        <f>IF(AND(K3651&lt;&gt;"", R3651&lt;&gt;""), R3651-K3651, "")</f>
        <v/>
      </c>
      <c r="T3651" s="78" t="n"/>
      <c r="U3651" s="92">
        <f>IF(ISBLANK(P3651),"",IF(C3651="Buy",Q3651-M3651+T3651, IF(C3651="Sell",M3651-Q3651-T3651, X)))</f>
        <v/>
      </c>
      <c r="V3651" s="81">
        <f>IF(ISBLANK(P3651),"",U3651/N3651)</f>
        <v/>
      </c>
      <c r="W3651" s="81">
        <f>IF(ISBLANK(P3651),"",IF(S3651=0,(365/0.5)*V3651,(365/S3651)*V3651))</f>
        <v/>
      </c>
      <c r="X3651" s="75" t="n"/>
      <c r="Y3651" s="77" t="n"/>
      <c r="Z3651" s="77" t="n"/>
      <c r="AA3651" s="75" t="n"/>
      <c r="AB3651" s="75" t="n"/>
      <c r="AC3651" s="6" t="n"/>
      <c r="AD3651" s="75" t="n"/>
      <c r="AE3651" s="75" t="n"/>
      <c r="AF3651" s="75" t="n"/>
    </row>
    <row r="3652" ht="15.75" customHeight="1" s="133">
      <c r="A3652" s="75" t="n"/>
      <c r="B3652" s="75" t="n"/>
      <c r="C3652" s="75" t="n"/>
      <c r="D3652" s="75" t="n"/>
      <c r="E3652" s="76" t="n"/>
      <c r="F3652" s="77" t="n"/>
      <c r="G3652" s="75" t="n"/>
      <c r="H3652" s="75">
        <f>IF(ISBLANK(E3652),"",IF(OR(D3652="Butterfly",D3652="Butterfly ",D3652="Iron Fly", D3652="Iron Fly "),LEN(E3652)-LEN(SUBSTITUTE(E3652,"/",""))+2,LEN(E3652)-LEN(SUBSTITUTE(E3652,"/",""))+1))</f>
        <v/>
      </c>
      <c r="I3652" s="78">
        <f>IF(ISBLANK(G3652),"",IF(D3652="Stock","0",Key!$A$3*H3652*G3652))</f>
        <v/>
      </c>
      <c r="J3652" s="78">
        <f>IF(ISBLANK(E3652),"",IF(ISNUMBER(SEARCH("/",E3652)), IF(LEN(E3652)-LEN(SUBSTITUTE(E3652,"/",""))=1,(RIGHT(E3652,LEN(E3652)-FIND("/",E3652)))-(LEFT(E3652,FIND("/",E3652)-1)),(MID(E3652, SEARCH("/",E3652) + 1, SEARCH("/",E3652, SEARCH("/",E3652)+1) - SEARCH("/",E3652) - 1))-(LEFT(E3652,FIND("/",E3652)-1))), "NA"))</f>
        <v/>
      </c>
      <c r="K3652" s="79">
        <f>IF(A3652&lt;&gt;"", IF(ISBLANK(L3652), TODAY(), K3652), "")</f>
        <v/>
      </c>
      <c r="L3652" s="78" t="n"/>
      <c r="M3652" s="78">
        <f>IF(ISBLANK(L3652),"",IF(D3652="Stock",IF(C3652="Buy",L3652*G3652,IF(C3652="Sell",(L3652*G3652)-I3652, X)),IF(C3652="Buy",(L3652*G3652*100)+I3652,IF(C3652="Sell",(L3652*G3652*100)-I3652, X))))</f>
        <v/>
      </c>
      <c r="N3652" s="78">
        <f>IF(ISBLANK(L3652),"",IF(AND(C3652="Sell",D3652="Stock"),M3652,IF(ISBLANK(L3652),"",IF(C3652="Buy",M3652, IF(AND(C3652="Sell",J3652="NA"),(E3652*G3652*100*0.1)+I3652, IF(C3652="Sell",(J3652-L3652)*(100*G3652)+I3652))))))</f>
        <v/>
      </c>
      <c r="O3652" s="75" t="n"/>
      <c r="P3652" s="75" t="n"/>
      <c r="Q3652" s="75">
        <f>IF(ISBLANK(P3652),"",IF(D3652="Stock",P3652*G3652,IF(P3652=0,"0",G3652*P3652*100-(G3652*$AF$14))))</f>
        <v/>
      </c>
      <c r="R3652" s="79">
        <f>IF(P3652&lt;&gt;"", TODAY(), "")</f>
        <v/>
      </c>
      <c r="S3652" s="78">
        <f>IF(AND(K3652&lt;&gt;"", R3652&lt;&gt;""), R3652-K3652, "")</f>
        <v/>
      </c>
      <c r="T3652" s="78" t="n"/>
      <c r="U3652" s="92">
        <f>IF(ISBLANK(P3652),"",IF(C3652="Buy",Q3652-M3652+T3652, IF(C3652="Sell",M3652-Q3652-T3652, X)))</f>
        <v/>
      </c>
      <c r="V3652" s="81">
        <f>IF(ISBLANK(P3652),"",U3652/N3652)</f>
        <v/>
      </c>
      <c r="W3652" s="81">
        <f>IF(ISBLANK(P3652),"",IF(S3652=0,(365/0.5)*V3652,(365/S3652)*V3652))</f>
        <v/>
      </c>
      <c r="X3652" s="75" t="n"/>
      <c r="Y3652" s="77" t="n"/>
      <c r="Z3652" s="77" t="n"/>
      <c r="AA3652" s="75" t="n"/>
      <c r="AB3652" s="75" t="n"/>
      <c r="AC3652" s="6" t="n"/>
      <c r="AD3652" s="75" t="n"/>
      <c r="AE3652" s="75" t="n"/>
      <c r="AF3652" s="75" t="n"/>
    </row>
    <row r="3653" ht="15.75" customHeight="1" s="133">
      <c r="A3653" s="75" t="n"/>
      <c r="B3653" s="75" t="n"/>
      <c r="C3653" s="75" t="n"/>
      <c r="D3653" s="75" t="n"/>
      <c r="E3653" s="76" t="n"/>
      <c r="F3653" s="77" t="n"/>
      <c r="G3653" s="75" t="n"/>
      <c r="H3653" s="75">
        <f>IF(ISBLANK(E3653),"",IF(OR(D3653="Butterfly",D3653="Butterfly ",D3653="Iron Fly", D3653="Iron Fly "),LEN(E3653)-LEN(SUBSTITUTE(E3653,"/",""))+2,LEN(E3653)-LEN(SUBSTITUTE(E3653,"/",""))+1))</f>
        <v/>
      </c>
      <c r="I3653" s="78">
        <f>IF(ISBLANK(G3653),"",IF(D3653="Stock","0",Key!$A$3*H3653*G3653))</f>
        <v/>
      </c>
      <c r="J3653" s="78">
        <f>IF(ISBLANK(E3653),"",IF(ISNUMBER(SEARCH("/",E3653)), IF(LEN(E3653)-LEN(SUBSTITUTE(E3653,"/",""))=1,(RIGHT(E3653,LEN(E3653)-FIND("/",E3653)))-(LEFT(E3653,FIND("/",E3653)-1)),(MID(E3653, SEARCH("/",E3653) + 1, SEARCH("/",E3653, SEARCH("/",E3653)+1) - SEARCH("/",E3653) - 1))-(LEFT(E3653,FIND("/",E3653)-1))), "NA"))</f>
        <v/>
      </c>
      <c r="K3653" s="79">
        <f>IF(A3653&lt;&gt;"", IF(ISBLANK(L3653), TODAY(), K3653), "")</f>
        <v/>
      </c>
      <c r="L3653" s="78" t="n"/>
      <c r="M3653" s="78">
        <f>IF(ISBLANK(L3653),"",IF(D3653="Stock",IF(C3653="Buy",L3653*G3653,IF(C3653="Sell",(L3653*G3653)-I3653, X)),IF(C3653="Buy",(L3653*G3653*100)+I3653,IF(C3653="Sell",(L3653*G3653*100)-I3653, X))))</f>
        <v/>
      </c>
      <c r="N3653" s="78">
        <f>IF(ISBLANK(L3653),"",IF(AND(C3653="Sell",D3653="Stock"),M3653,IF(ISBLANK(L3653),"",IF(C3653="Buy",M3653, IF(AND(C3653="Sell",J3653="NA"),(E3653*G3653*100*0.1)+I3653, IF(C3653="Sell",(J3653-L3653)*(100*G3653)+I3653))))))</f>
        <v/>
      </c>
      <c r="O3653" s="75" t="n"/>
      <c r="P3653" s="75" t="n"/>
      <c r="Q3653" s="75">
        <f>IF(ISBLANK(P3653),"",IF(D3653="Stock",P3653*G3653,IF(P3653=0,"0",G3653*P3653*100-(G3653*$AF$14))))</f>
        <v/>
      </c>
      <c r="R3653" s="79">
        <f>IF(P3653&lt;&gt;"", TODAY(), "")</f>
        <v/>
      </c>
      <c r="S3653" s="78">
        <f>IF(AND(K3653&lt;&gt;"", R3653&lt;&gt;""), R3653-K3653, "")</f>
        <v/>
      </c>
      <c r="T3653" s="78" t="n"/>
      <c r="U3653" s="92">
        <f>IF(ISBLANK(P3653),"",IF(C3653="Buy",Q3653-M3653+T3653, IF(C3653="Sell",M3653-Q3653-T3653, X)))</f>
        <v/>
      </c>
      <c r="V3653" s="81">
        <f>IF(ISBLANK(P3653),"",U3653/N3653)</f>
        <v/>
      </c>
      <c r="W3653" s="81">
        <f>IF(ISBLANK(P3653),"",IF(S3653=0,(365/0.5)*V3653,(365/S3653)*V3653))</f>
        <v/>
      </c>
      <c r="X3653" s="75" t="n"/>
      <c r="Y3653" s="77" t="n"/>
      <c r="Z3653" s="77" t="n"/>
      <c r="AA3653" s="75" t="n"/>
      <c r="AB3653" s="75" t="n"/>
      <c r="AC3653" s="6" t="n"/>
      <c r="AD3653" s="75" t="n"/>
      <c r="AE3653" s="75" t="n"/>
      <c r="AF3653" s="75" t="n"/>
    </row>
    <row r="3654" ht="15.75" customHeight="1" s="133">
      <c r="A3654" s="75" t="n"/>
      <c r="B3654" s="75" t="n"/>
      <c r="C3654" s="75" t="n"/>
      <c r="D3654" s="75" t="n"/>
      <c r="E3654" s="76" t="n"/>
      <c r="F3654" s="77" t="n"/>
      <c r="G3654" s="75" t="n"/>
      <c r="H3654" s="75">
        <f>IF(ISBLANK(E3654),"",IF(OR(D3654="Butterfly",D3654="Butterfly ",D3654="Iron Fly", D3654="Iron Fly "),LEN(E3654)-LEN(SUBSTITUTE(E3654,"/",""))+2,LEN(E3654)-LEN(SUBSTITUTE(E3654,"/",""))+1))</f>
        <v/>
      </c>
      <c r="I3654" s="78">
        <f>IF(ISBLANK(G3654),"",IF(D3654="Stock","0",Key!$A$3*H3654*G3654))</f>
        <v/>
      </c>
      <c r="J3654" s="78">
        <f>IF(ISBLANK(E3654),"",IF(ISNUMBER(SEARCH("/",E3654)), IF(LEN(E3654)-LEN(SUBSTITUTE(E3654,"/",""))=1,(RIGHT(E3654,LEN(E3654)-FIND("/",E3654)))-(LEFT(E3654,FIND("/",E3654)-1)),(MID(E3654, SEARCH("/",E3654) + 1, SEARCH("/",E3654, SEARCH("/",E3654)+1) - SEARCH("/",E3654) - 1))-(LEFT(E3654,FIND("/",E3654)-1))), "NA"))</f>
        <v/>
      </c>
      <c r="K3654" s="79">
        <f>IF(A3654&lt;&gt;"", IF(ISBLANK(L3654), TODAY(), K3654), "")</f>
        <v/>
      </c>
      <c r="L3654" s="78" t="n"/>
      <c r="M3654" s="78">
        <f>IF(ISBLANK(L3654),"",IF(D3654="Stock",IF(C3654="Buy",L3654*G3654,IF(C3654="Sell",(L3654*G3654)-I3654, X)),IF(C3654="Buy",(L3654*G3654*100)+I3654,IF(C3654="Sell",(L3654*G3654*100)-I3654, X))))</f>
        <v/>
      </c>
      <c r="N3654" s="78">
        <f>IF(ISBLANK(L3654),"",IF(AND(C3654="Sell",D3654="Stock"),M3654,IF(ISBLANK(L3654),"",IF(C3654="Buy",M3654, IF(AND(C3654="Sell",J3654="NA"),(E3654*G3654*100*0.1)+I3654, IF(C3654="Sell",(J3654-L3654)*(100*G3654)+I3654))))))</f>
        <v/>
      </c>
      <c r="O3654" s="75" t="n"/>
      <c r="P3654" s="75" t="n"/>
      <c r="Q3654" s="75">
        <f>IF(ISBLANK(P3654),"",IF(D3654="Stock",P3654*G3654,IF(P3654=0,"0",G3654*P3654*100-(G3654*$AF$14))))</f>
        <v/>
      </c>
      <c r="R3654" s="79">
        <f>IF(P3654&lt;&gt;"", TODAY(), "")</f>
        <v/>
      </c>
      <c r="S3654" s="78">
        <f>IF(AND(K3654&lt;&gt;"", R3654&lt;&gt;""), R3654-K3654, "")</f>
        <v/>
      </c>
      <c r="T3654" s="78" t="n"/>
      <c r="U3654" s="92">
        <f>IF(ISBLANK(P3654),"",IF(C3654="Buy",Q3654-M3654+T3654, IF(C3654="Sell",M3654-Q3654-T3654, X)))</f>
        <v/>
      </c>
      <c r="V3654" s="81">
        <f>IF(ISBLANK(P3654),"",U3654/N3654)</f>
        <v/>
      </c>
      <c r="W3654" s="81">
        <f>IF(ISBLANK(P3654),"",IF(S3654=0,(365/0.5)*V3654,(365/S3654)*V3654))</f>
        <v/>
      </c>
      <c r="X3654" s="75" t="n"/>
      <c r="Y3654" s="77" t="n"/>
      <c r="Z3654" s="77" t="n"/>
      <c r="AA3654" s="75" t="n"/>
      <c r="AB3654" s="75" t="n"/>
      <c r="AC3654" s="6" t="n"/>
      <c r="AD3654" s="75" t="n"/>
      <c r="AE3654" s="75" t="n"/>
      <c r="AF3654" s="75" t="n"/>
    </row>
    <row r="3655" ht="15.75" customHeight="1" s="133">
      <c r="A3655" s="75" t="n"/>
      <c r="B3655" s="75" t="n"/>
      <c r="C3655" s="75" t="n"/>
      <c r="D3655" s="75" t="n"/>
      <c r="E3655" s="76" t="n"/>
      <c r="F3655" s="77" t="n"/>
      <c r="G3655" s="75" t="n"/>
      <c r="H3655" s="75">
        <f>IF(ISBLANK(E3655),"",IF(OR(D3655="Butterfly",D3655="Butterfly ",D3655="Iron Fly", D3655="Iron Fly "),LEN(E3655)-LEN(SUBSTITUTE(E3655,"/",""))+2,LEN(E3655)-LEN(SUBSTITUTE(E3655,"/",""))+1))</f>
        <v/>
      </c>
      <c r="I3655" s="78">
        <f>IF(ISBLANK(G3655),"",IF(D3655="Stock","0",Key!$A$3*H3655*G3655))</f>
        <v/>
      </c>
      <c r="J3655" s="78">
        <f>IF(ISBLANK(E3655),"",IF(ISNUMBER(SEARCH("/",E3655)), IF(LEN(E3655)-LEN(SUBSTITUTE(E3655,"/",""))=1,(RIGHT(E3655,LEN(E3655)-FIND("/",E3655)))-(LEFT(E3655,FIND("/",E3655)-1)),(MID(E3655, SEARCH("/",E3655) + 1, SEARCH("/",E3655, SEARCH("/",E3655)+1) - SEARCH("/",E3655) - 1))-(LEFT(E3655,FIND("/",E3655)-1))), "NA"))</f>
        <v/>
      </c>
      <c r="K3655" s="79">
        <f>IF(A3655&lt;&gt;"", IF(ISBLANK(L3655), TODAY(), K3655), "")</f>
        <v/>
      </c>
      <c r="L3655" s="78" t="n"/>
      <c r="M3655" s="78">
        <f>IF(ISBLANK(L3655),"",IF(D3655="Stock",IF(C3655="Buy",L3655*G3655,IF(C3655="Sell",(L3655*G3655)-I3655, X)),IF(C3655="Buy",(L3655*G3655*100)+I3655,IF(C3655="Sell",(L3655*G3655*100)-I3655, X))))</f>
        <v/>
      </c>
      <c r="N3655" s="78">
        <f>IF(ISBLANK(L3655),"",IF(AND(C3655="Sell",D3655="Stock"),M3655,IF(ISBLANK(L3655),"",IF(C3655="Buy",M3655, IF(AND(C3655="Sell",J3655="NA"),(E3655*G3655*100*0.1)+I3655, IF(C3655="Sell",(J3655-L3655)*(100*G3655)+I3655))))))</f>
        <v/>
      </c>
      <c r="O3655" s="75" t="n"/>
      <c r="P3655" s="75" t="n"/>
      <c r="Q3655" s="75">
        <f>IF(ISBLANK(P3655),"",IF(D3655="Stock",P3655*G3655,IF(P3655=0,"0",G3655*P3655*100-(G3655*$AF$14))))</f>
        <v/>
      </c>
      <c r="R3655" s="79">
        <f>IF(P3655&lt;&gt;"", TODAY(), "")</f>
        <v/>
      </c>
      <c r="S3655" s="78">
        <f>IF(AND(K3655&lt;&gt;"", R3655&lt;&gt;""), R3655-K3655, "")</f>
        <v/>
      </c>
      <c r="T3655" s="78" t="n"/>
      <c r="U3655" s="92">
        <f>IF(ISBLANK(P3655),"",IF(C3655="Buy",Q3655-M3655+T3655, IF(C3655="Sell",M3655-Q3655-T3655, X)))</f>
        <v/>
      </c>
      <c r="V3655" s="81">
        <f>IF(ISBLANK(P3655),"",U3655/N3655)</f>
        <v/>
      </c>
      <c r="W3655" s="81">
        <f>IF(ISBLANK(P3655),"",IF(S3655=0,(365/0.5)*V3655,(365/S3655)*V3655))</f>
        <v/>
      </c>
      <c r="X3655" s="75" t="n"/>
      <c r="Y3655" s="77" t="n"/>
      <c r="Z3655" s="77" t="n"/>
      <c r="AA3655" s="75" t="n"/>
      <c r="AB3655" s="75" t="n"/>
      <c r="AC3655" s="6" t="n"/>
      <c r="AD3655" s="75" t="n"/>
      <c r="AE3655" s="75" t="n"/>
      <c r="AF3655" s="75" t="n"/>
    </row>
    <row r="3656" ht="15.75" customHeight="1" s="133">
      <c r="A3656" s="75" t="n"/>
      <c r="B3656" s="75" t="n"/>
      <c r="C3656" s="75" t="n"/>
      <c r="D3656" s="75" t="n"/>
      <c r="E3656" s="76" t="n"/>
      <c r="F3656" s="77" t="n"/>
      <c r="G3656" s="75" t="n"/>
      <c r="H3656" s="75">
        <f>IF(ISBLANK(E3656),"",IF(OR(D3656="Butterfly",D3656="Butterfly ",D3656="Iron Fly", D3656="Iron Fly "),LEN(E3656)-LEN(SUBSTITUTE(E3656,"/",""))+2,LEN(E3656)-LEN(SUBSTITUTE(E3656,"/",""))+1))</f>
        <v/>
      </c>
      <c r="I3656" s="78">
        <f>IF(ISBLANK(G3656),"",IF(D3656="Stock","0",Key!$A$3*H3656*G3656))</f>
        <v/>
      </c>
      <c r="J3656" s="78">
        <f>IF(ISBLANK(E3656),"",IF(ISNUMBER(SEARCH("/",E3656)), IF(LEN(E3656)-LEN(SUBSTITUTE(E3656,"/",""))=1,(RIGHT(E3656,LEN(E3656)-FIND("/",E3656)))-(LEFT(E3656,FIND("/",E3656)-1)),(MID(E3656, SEARCH("/",E3656) + 1, SEARCH("/",E3656, SEARCH("/",E3656)+1) - SEARCH("/",E3656) - 1))-(LEFT(E3656,FIND("/",E3656)-1))), "NA"))</f>
        <v/>
      </c>
      <c r="K3656" s="79">
        <f>IF(A3656&lt;&gt;"", IF(ISBLANK(L3656), TODAY(), K3656), "")</f>
        <v/>
      </c>
      <c r="L3656" s="78" t="n"/>
      <c r="M3656" s="78">
        <f>IF(ISBLANK(L3656),"",IF(D3656="Stock",IF(C3656="Buy",L3656*G3656,IF(C3656="Sell",(L3656*G3656)-I3656, X)),IF(C3656="Buy",(L3656*G3656*100)+I3656,IF(C3656="Sell",(L3656*G3656*100)-I3656, X))))</f>
        <v/>
      </c>
      <c r="N3656" s="78">
        <f>IF(ISBLANK(L3656),"",IF(AND(C3656="Sell",D3656="Stock"),M3656,IF(ISBLANK(L3656),"",IF(C3656="Buy",M3656, IF(AND(C3656="Sell",J3656="NA"),(E3656*G3656*100*0.1)+I3656, IF(C3656="Sell",(J3656-L3656)*(100*G3656)+I3656))))))</f>
        <v/>
      </c>
      <c r="O3656" s="75" t="n"/>
      <c r="P3656" s="75" t="n"/>
      <c r="Q3656" s="75">
        <f>IF(ISBLANK(P3656),"",IF(D3656="Stock",P3656*G3656,IF(P3656=0,"0",G3656*P3656*100-(G3656*$AF$14))))</f>
        <v/>
      </c>
      <c r="R3656" s="79">
        <f>IF(P3656&lt;&gt;"", TODAY(), "")</f>
        <v/>
      </c>
      <c r="S3656" s="78">
        <f>IF(AND(K3656&lt;&gt;"", R3656&lt;&gt;""), R3656-K3656, "")</f>
        <v/>
      </c>
      <c r="T3656" s="78" t="n"/>
      <c r="U3656" s="92">
        <f>IF(ISBLANK(P3656),"",IF(C3656="Buy",Q3656-M3656+T3656, IF(C3656="Sell",M3656-Q3656-T3656, X)))</f>
        <v/>
      </c>
      <c r="V3656" s="81">
        <f>IF(ISBLANK(P3656),"",U3656/N3656)</f>
        <v/>
      </c>
      <c r="W3656" s="81">
        <f>IF(ISBLANK(P3656),"",IF(S3656=0,(365/0.5)*V3656,(365/S3656)*V3656))</f>
        <v/>
      </c>
      <c r="X3656" s="75" t="n"/>
      <c r="Y3656" s="77" t="n"/>
      <c r="Z3656" s="77" t="n"/>
      <c r="AA3656" s="75" t="n"/>
      <c r="AB3656" s="75" t="n"/>
      <c r="AC3656" s="6" t="n"/>
      <c r="AD3656" s="75" t="n"/>
      <c r="AE3656" s="75" t="n"/>
      <c r="AF3656" s="75" t="n"/>
    </row>
    <row r="3657" ht="15.75" customHeight="1" s="133">
      <c r="A3657" s="75" t="n"/>
      <c r="B3657" s="75" t="n"/>
      <c r="C3657" s="75" t="n"/>
      <c r="D3657" s="75" t="n"/>
      <c r="E3657" s="76" t="n"/>
      <c r="F3657" s="77" t="n"/>
      <c r="G3657" s="75" t="n"/>
      <c r="H3657" s="75">
        <f>IF(ISBLANK(E3657),"",IF(OR(D3657="Butterfly",D3657="Butterfly ",D3657="Iron Fly", D3657="Iron Fly "),LEN(E3657)-LEN(SUBSTITUTE(E3657,"/",""))+2,LEN(E3657)-LEN(SUBSTITUTE(E3657,"/",""))+1))</f>
        <v/>
      </c>
      <c r="I3657" s="78">
        <f>IF(ISBLANK(G3657),"",IF(D3657="Stock","0",Key!$A$3*H3657*G3657))</f>
        <v/>
      </c>
      <c r="J3657" s="78">
        <f>IF(ISBLANK(E3657),"",IF(ISNUMBER(SEARCH("/",E3657)), IF(LEN(E3657)-LEN(SUBSTITUTE(E3657,"/",""))=1,(RIGHT(E3657,LEN(E3657)-FIND("/",E3657)))-(LEFT(E3657,FIND("/",E3657)-1)),(MID(E3657, SEARCH("/",E3657) + 1, SEARCH("/",E3657, SEARCH("/",E3657)+1) - SEARCH("/",E3657) - 1))-(LEFT(E3657,FIND("/",E3657)-1))), "NA"))</f>
        <v/>
      </c>
      <c r="K3657" s="79">
        <f>IF(A3657&lt;&gt;"", IF(ISBLANK(L3657), TODAY(), K3657), "")</f>
        <v/>
      </c>
      <c r="L3657" s="78" t="n"/>
      <c r="M3657" s="78">
        <f>IF(ISBLANK(L3657),"",IF(D3657="Stock",IF(C3657="Buy",L3657*G3657,IF(C3657="Sell",(L3657*G3657)-I3657, X)),IF(C3657="Buy",(L3657*G3657*100)+I3657,IF(C3657="Sell",(L3657*G3657*100)-I3657, X))))</f>
        <v/>
      </c>
      <c r="N3657" s="78">
        <f>IF(ISBLANK(L3657),"",IF(AND(C3657="Sell",D3657="Stock"),M3657,IF(ISBLANK(L3657),"",IF(C3657="Buy",M3657, IF(AND(C3657="Sell",J3657="NA"),(E3657*G3657*100*0.1)+I3657, IF(C3657="Sell",(J3657-L3657)*(100*G3657)+I3657))))))</f>
        <v/>
      </c>
      <c r="O3657" s="75" t="n"/>
      <c r="P3657" s="75" t="n"/>
      <c r="Q3657" s="75">
        <f>IF(ISBLANK(P3657),"",IF(D3657="Stock",P3657*G3657,IF(P3657=0,"0",G3657*P3657*100-(G3657*$AF$14))))</f>
        <v/>
      </c>
      <c r="R3657" s="79">
        <f>IF(P3657&lt;&gt;"", TODAY(), "")</f>
        <v/>
      </c>
      <c r="S3657" s="78">
        <f>IF(AND(K3657&lt;&gt;"", R3657&lt;&gt;""), R3657-K3657, "")</f>
        <v/>
      </c>
      <c r="T3657" s="78" t="n"/>
      <c r="U3657" s="92">
        <f>IF(ISBLANK(P3657),"",IF(C3657="Buy",Q3657-M3657+T3657, IF(C3657="Sell",M3657-Q3657-T3657, X)))</f>
        <v/>
      </c>
      <c r="V3657" s="81">
        <f>IF(ISBLANK(P3657),"",U3657/N3657)</f>
        <v/>
      </c>
      <c r="W3657" s="81">
        <f>IF(ISBLANK(P3657),"",IF(S3657=0,(365/0.5)*V3657,(365/S3657)*V3657))</f>
        <v/>
      </c>
      <c r="X3657" s="75" t="n"/>
      <c r="Y3657" s="77" t="n"/>
      <c r="Z3657" s="77" t="n"/>
      <c r="AA3657" s="75" t="n"/>
      <c r="AB3657" s="75" t="n"/>
      <c r="AC3657" s="6" t="n"/>
      <c r="AD3657" s="75" t="n"/>
      <c r="AE3657" s="75" t="n"/>
      <c r="AF3657" s="75" t="n"/>
    </row>
    <row r="3658" ht="15.75" customHeight="1" s="133">
      <c r="A3658" s="75" t="n"/>
      <c r="B3658" s="75" t="n"/>
      <c r="C3658" s="75" t="n"/>
      <c r="D3658" s="75" t="n"/>
      <c r="E3658" s="76" t="n"/>
      <c r="F3658" s="77" t="n"/>
      <c r="G3658" s="75" t="n"/>
      <c r="H3658" s="75">
        <f>IF(ISBLANK(E3658),"",IF(OR(D3658="Butterfly",D3658="Butterfly ",D3658="Iron Fly", D3658="Iron Fly "),LEN(E3658)-LEN(SUBSTITUTE(E3658,"/",""))+2,LEN(E3658)-LEN(SUBSTITUTE(E3658,"/",""))+1))</f>
        <v/>
      </c>
      <c r="I3658" s="78">
        <f>IF(ISBLANK(G3658),"",IF(D3658="Stock","0",Key!$A$3*H3658*G3658))</f>
        <v/>
      </c>
      <c r="J3658" s="78">
        <f>IF(ISBLANK(E3658),"",IF(ISNUMBER(SEARCH("/",E3658)), IF(LEN(E3658)-LEN(SUBSTITUTE(E3658,"/",""))=1,(RIGHT(E3658,LEN(E3658)-FIND("/",E3658)))-(LEFT(E3658,FIND("/",E3658)-1)),(MID(E3658, SEARCH("/",E3658) + 1, SEARCH("/",E3658, SEARCH("/",E3658)+1) - SEARCH("/",E3658) - 1))-(LEFT(E3658,FIND("/",E3658)-1))), "NA"))</f>
        <v/>
      </c>
      <c r="K3658" s="79">
        <f>IF(A3658&lt;&gt;"", IF(ISBLANK(L3658), TODAY(), K3658), "")</f>
        <v/>
      </c>
      <c r="L3658" s="78" t="n"/>
      <c r="M3658" s="78">
        <f>IF(ISBLANK(L3658),"",IF(D3658="Stock",IF(C3658="Buy",L3658*G3658,IF(C3658="Sell",(L3658*G3658)-I3658, X)),IF(C3658="Buy",(L3658*G3658*100)+I3658,IF(C3658="Sell",(L3658*G3658*100)-I3658, X))))</f>
        <v/>
      </c>
      <c r="N3658" s="78">
        <f>IF(ISBLANK(L3658),"",IF(AND(C3658="Sell",D3658="Stock"),M3658,IF(ISBLANK(L3658),"",IF(C3658="Buy",M3658, IF(AND(C3658="Sell",J3658="NA"),(E3658*G3658*100*0.1)+I3658, IF(C3658="Sell",(J3658-L3658)*(100*G3658)+I3658))))))</f>
        <v/>
      </c>
      <c r="O3658" s="75" t="n"/>
      <c r="P3658" s="75" t="n"/>
      <c r="Q3658" s="75">
        <f>IF(ISBLANK(P3658),"",IF(D3658="Stock",P3658*G3658,IF(P3658=0,"0",G3658*P3658*100-(G3658*$AF$14))))</f>
        <v/>
      </c>
      <c r="R3658" s="79">
        <f>IF(P3658&lt;&gt;"", TODAY(), "")</f>
        <v/>
      </c>
      <c r="S3658" s="78">
        <f>IF(AND(K3658&lt;&gt;"", R3658&lt;&gt;""), R3658-K3658, "")</f>
        <v/>
      </c>
      <c r="T3658" s="78" t="n"/>
      <c r="U3658" s="92">
        <f>IF(ISBLANK(P3658),"",IF(C3658="Buy",Q3658-M3658+T3658, IF(C3658="Sell",M3658-Q3658-T3658, X)))</f>
        <v/>
      </c>
      <c r="V3658" s="81">
        <f>IF(ISBLANK(P3658),"",U3658/N3658)</f>
        <v/>
      </c>
      <c r="W3658" s="81">
        <f>IF(ISBLANK(P3658),"",IF(S3658=0,(365/0.5)*V3658,(365/S3658)*V3658))</f>
        <v/>
      </c>
      <c r="X3658" s="75" t="n"/>
      <c r="Y3658" s="77" t="n"/>
      <c r="Z3658" s="77" t="n"/>
      <c r="AA3658" s="75" t="n"/>
      <c r="AB3658" s="75" t="n"/>
      <c r="AC3658" s="6" t="n"/>
      <c r="AD3658" s="75" t="n"/>
      <c r="AE3658" s="75" t="n"/>
      <c r="AF3658" s="75" t="n"/>
    </row>
    <row r="3659" ht="15.75" customHeight="1" s="133">
      <c r="A3659" s="75" t="n"/>
      <c r="B3659" s="75" t="n"/>
      <c r="C3659" s="75" t="n"/>
      <c r="D3659" s="75" t="n"/>
      <c r="E3659" s="76" t="n"/>
      <c r="F3659" s="77" t="n"/>
      <c r="G3659" s="75" t="n"/>
      <c r="H3659" s="75">
        <f>IF(ISBLANK(E3659),"",IF(OR(D3659="Butterfly",D3659="Butterfly ",D3659="Iron Fly", D3659="Iron Fly "),LEN(E3659)-LEN(SUBSTITUTE(E3659,"/",""))+2,LEN(E3659)-LEN(SUBSTITUTE(E3659,"/",""))+1))</f>
        <v/>
      </c>
      <c r="I3659" s="78">
        <f>IF(ISBLANK(G3659),"",IF(D3659="Stock","0",Key!$A$3*H3659*G3659))</f>
        <v/>
      </c>
      <c r="J3659" s="78">
        <f>IF(ISBLANK(E3659),"",IF(ISNUMBER(SEARCH("/",E3659)), IF(LEN(E3659)-LEN(SUBSTITUTE(E3659,"/",""))=1,(RIGHT(E3659,LEN(E3659)-FIND("/",E3659)))-(LEFT(E3659,FIND("/",E3659)-1)),(MID(E3659, SEARCH("/",E3659) + 1, SEARCH("/",E3659, SEARCH("/",E3659)+1) - SEARCH("/",E3659) - 1))-(LEFT(E3659,FIND("/",E3659)-1))), "NA"))</f>
        <v/>
      </c>
      <c r="K3659" s="79">
        <f>IF(A3659&lt;&gt;"", IF(ISBLANK(L3659), TODAY(), K3659), "")</f>
        <v/>
      </c>
      <c r="L3659" s="78" t="n"/>
      <c r="M3659" s="78">
        <f>IF(ISBLANK(L3659),"",IF(D3659="Stock",IF(C3659="Buy",L3659*G3659,IF(C3659="Sell",(L3659*G3659)-I3659, X)),IF(C3659="Buy",(L3659*G3659*100)+I3659,IF(C3659="Sell",(L3659*G3659*100)-I3659, X))))</f>
        <v/>
      </c>
      <c r="N3659" s="78">
        <f>IF(ISBLANK(L3659),"",IF(AND(C3659="Sell",D3659="Stock"),M3659,IF(ISBLANK(L3659),"",IF(C3659="Buy",M3659, IF(AND(C3659="Sell",J3659="NA"),(E3659*G3659*100*0.1)+I3659, IF(C3659="Sell",(J3659-L3659)*(100*G3659)+I3659))))))</f>
        <v/>
      </c>
      <c r="O3659" s="75" t="n"/>
      <c r="P3659" s="75" t="n"/>
      <c r="Q3659" s="75">
        <f>IF(ISBLANK(P3659),"",IF(D3659="Stock",P3659*G3659,IF(P3659=0,"0",G3659*P3659*100-(G3659*$AF$14))))</f>
        <v/>
      </c>
      <c r="R3659" s="79">
        <f>IF(P3659&lt;&gt;"", TODAY(), "")</f>
        <v/>
      </c>
      <c r="S3659" s="78">
        <f>IF(AND(K3659&lt;&gt;"", R3659&lt;&gt;""), R3659-K3659, "")</f>
        <v/>
      </c>
      <c r="T3659" s="78" t="n"/>
      <c r="U3659" s="92">
        <f>IF(ISBLANK(P3659),"",IF(C3659="Buy",Q3659-M3659+T3659, IF(C3659="Sell",M3659-Q3659-T3659, X)))</f>
        <v/>
      </c>
      <c r="V3659" s="81">
        <f>IF(ISBLANK(P3659),"",U3659/N3659)</f>
        <v/>
      </c>
      <c r="W3659" s="81">
        <f>IF(ISBLANK(P3659),"",IF(S3659=0,(365/0.5)*V3659,(365/S3659)*V3659))</f>
        <v/>
      </c>
      <c r="X3659" s="75" t="n"/>
      <c r="Y3659" s="77" t="n"/>
      <c r="Z3659" s="77" t="n"/>
      <c r="AA3659" s="75" t="n"/>
      <c r="AB3659" s="75" t="n"/>
      <c r="AC3659" s="6" t="n"/>
      <c r="AD3659" s="75" t="n"/>
      <c r="AE3659" s="75" t="n"/>
      <c r="AF3659" s="75" t="n"/>
    </row>
    <row r="3660" ht="15.75" customHeight="1" s="133">
      <c r="A3660" s="75" t="n"/>
      <c r="B3660" s="75" t="n"/>
      <c r="C3660" s="75" t="n"/>
      <c r="D3660" s="75" t="n"/>
      <c r="E3660" s="76" t="n"/>
      <c r="F3660" s="77" t="n"/>
      <c r="G3660" s="75" t="n"/>
      <c r="H3660" s="75">
        <f>IF(ISBLANK(E3660),"",IF(OR(D3660="Butterfly",D3660="Butterfly ",D3660="Iron Fly", D3660="Iron Fly "),LEN(E3660)-LEN(SUBSTITUTE(E3660,"/",""))+2,LEN(E3660)-LEN(SUBSTITUTE(E3660,"/",""))+1))</f>
        <v/>
      </c>
      <c r="I3660" s="78">
        <f>IF(ISBLANK(G3660),"",IF(D3660="Stock","0",Key!$A$3*H3660*G3660))</f>
        <v/>
      </c>
      <c r="J3660" s="78">
        <f>IF(ISBLANK(E3660),"",IF(ISNUMBER(SEARCH("/",E3660)), IF(LEN(E3660)-LEN(SUBSTITUTE(E3660,"/",""))=1,(RIGHT(E3660,LEN(E3660)-FIND("/",E3660)))-(LEFT(E3660,FIND("/",E3660)-1)),(MID(E3660, SEARCH("/",E3660) + 1, SEARCH("/",E3660, SEARCH("/",E3660)+1) - SEARCH("/",E3660) - 1))-(LEFT(E3660,FIND("/",E3660)-1))), "NA"))</f>
        <v/>
      </c>
      <c r="K3660" s="79">
        <f>IF(A3660&lt;&gt;"", IF(ISBLANK(L3660), TODAY(), K3660), "")</f>
        <v/>
      </c>
      <c r="L3660" s="78" t="n"/>
      <c r="M3660" s="78">
        <f>IF(ISBLANK(L3660),"",IF(D3660="Stock",IF(C3660="Buy",L3660*G3660,IF(C3660="Sell",(L3660*G3660)-I3660, X)),IF(C3660="Buy",(L3660*G3660*100)+I3660,IF(C3660="Sell",(L3660*G3660*100)-I3660, X))))</f>
        <v/>
      </c>
      <c r="N3660" s="78">
        <f>IF(ISBLANK(L3660),"",IF(AND(C3660="Sell",D3660="Stock"),M3660,IF(ISBLANK(L3660),"",IF(C3660="Buy",M3660, IF(AND(C3660="Sell",J3660="NA"),(E3660*G3660*100*0.1)+I3660, IF(C3660="Sell",(J3660-L3660)*(100*G3660)+I3660))))))</f>
        <v/>
      </c>
      <c r="O3660" s="75" t="n"/>
      <c r="P3660" s="75" t="n"/>
      <c r="Q3660" s="75">
        <f>IF(ISBLANK(P3660),"",IF(D3660="Stock",P3660*G3660,IF(P3660=0,"0",G3660*P3660*100-(G3660*$AF$14))))</f>
        <v/>
      </c>
      <c r="R3660" s="79">
        <f>IF(P3660&lt;&gt;"", TODAY(), "")</f>
        <v/>
      </c>
      <c r="S3660" s="78">
        <f>IF(AND(K3660&lt;&gt;"", R3660&lt;&gt;""), R3660-K3660, "")</f>
        <v/>
      </c>
      <c r="T3660" s="78" t="n"/>
      <c r="U3660" s="92">
        <f>IF(ISBLANK(P3660),"",IF(C3660="Buy",Q3660-M3660+T3660, IF(C3660="Sell",M3660-Q3660-T3660, X)))</f>
        <v/>
      </c>
      <c r="V3660" s="81">
        <f>IF(ISBLANK(P3660),"",U3660/N3660)</f>
        <v/>
      </c>
      <c r="W3660" s="81">
        <f>IF(ISBLANK(P3660),"",IF(S3660=0,(365/0.5)*V3660,(365/S3660)*V3660))</f>
        <v/>
      </c>
      <c r="X3660" s="75" t="n"/>
      <c r="Y3660" s="77" t="n"/>
      <c r="Z3660" s="77" t="n"/>
      <c r="AA3660" s="75" t="n"/>
      <c r="AB3660" s="75" t="n"/>
      <c r="AC3660" s="6" t="n"/>
      <c r="AD3660" s="75" t="n"/>
      <c r="AE3660" s="75" t="n"/>
      <c r="AF3660" s="75" t="n"/>
    </row>
    <row r="3661" ht="15.75" customHeight="1" s="133">
      <c r="A3661" s="75" t="n"/>
      <c r="B3661" s="75" t="n"/>
      <c r="C3661" s="75" t="n"/>
      <c r="D3661" s="75" t="n"/>
      <c r="E3661" s="76" t="n"/>
      <c r="F3661" s="77" t="n"/>
      <c r="G3661" s="75" t="n"/>
      <c r="H3661" s="75">
        <f>IF(ISBLANK(E3661),"",IF(OR(D3661="Butterfly",D3661="Butterfly ",D3661="Iron Fly", D3661="Iron Fly "),LEN(E3661)-LEN(SUBSTITUTE(E3661,"/",""))+2,LEN(E3661)-LEN(SUBSTITUTE(E3661,"/",""))+1))</f>
        <v/>
      </c>
      <c r="I3661" s="78">
        <f>IF(ISBLANK(G3661),"",IF(D3661="Stock","0",Key!$A$3*H3661*G3661))</f>
        <v/>
      </c>
      <c r="J3661" s="78">
        <f>IF(ISBLANK(E3661),"",IF(ISNUMBER(SEARCH("/",E3661)), IF(LEN(E3661)-LEN(SUBSTITUTE(E3661,"/",""))=1,(RIGHT(E3661,LEN(E3661)-FIND("/",E3661)))-(LEFT(E3661,FIND("/",E3661)-1)),(MID(E3661, SEARCH("/",E3661) + 1, SEARCH("/",E3661, SEARCH("/",E3661)+1) - SEARCH("/",E3661) - 1))-(LEFT(E3661,FIND("/",E3661)-1))), "NA"))</f>
        <v/>
      </c>
      <c r="K3661" s="79">
        <f>IF(A3661&lt;&gt;"", IF(ISBLANK(L3661), TODAY(), K3661), "")</f>
        <v/>
      </c>
      <c r="L3661" s="78" t="n"/>
      <c r="M3661" s="78">
        <f>IF(ISBLANK(L3661),"",IF(D3661="Stock",IF(C3661="Buy",L3661*G3661,IF(C3661="Sell",(L3661*G3661)-I3661, X)),IF(C3661="Buy",(L3661*G3661*100)+I3661,IF(C3661="Sell",(L3661*G3661*100)-I3661, X))))</f>
        <v/>
      </c>
      <c r="N3661" s="78">
        <f>IF(ISBLANK(L3661),"",IF(AND(C3661="Sell",D3661="Stock"),M3661,IF(ISBLANK(L3661),"",IF(C3661="Buy",M3661, IF(AND(C3661="Sell",J3661="NA"),(E3661*G3661*100*0.1)+I3661, IF(C3661="Sell",(J3661-L3661)*(100*G3661)+I3661))))))</f>
        <v/>
      </c>
      <c r="O3661" s="75" t="n"/>
      <c r="P3661" s="75" t="n"/>
      <c r="Q3661" s="75">
        <f>IF(ISBLANK(P3661),"",IF(D3661="Stock",P3661*G3661,IF(P3661=0,"0",G3661*P3661*100-(G3661*$AF$14))))</f>
        <v/>
      </c>
      <c r="R3661" s="79">
        <f>IF(P3661&lt;&gt;"", TODAY(), "")</f>
        <v/>
      </c>
      <c r="S3661" s="78">
        <f>IF(AND(K3661&lt;&gt;"", R3661&lt;&gt;""), R3661-K3661, "")</f>
        <v/>
      </c>
      <c r="T3661" s="78" t="n"/>
      <c r="U3661" s="92">
        <f>IF(ISBLANK(P3661),"",IF(C3661="Buy",Q3661-M3661+T3661, IF(C3661="Sell",M3661-Q3661-T3661, X)))</f>
        <v/>
      </c>
      <c r="V3661" s="81">
        <f>IF(ISBLANK(P3661),"",U3661/N3661)</f>
        <v/>
      </c>
      <c r="W3661" s="81">
        <f>IF(ISBLANK(P3661),"",IF(S3661=0,(365/0.5)*V3661,(365/S3661)*V3661))</f>
        <v/>
      </c>
      <c r="X3661" s="75" t="n"/>
      <c r="Y3661" s="77" t="n"/>
      <c r="Z3661" s="77" t="n"/>
      <c r="AA3661" s="75" t="n"/>
      <c r="AB3661" s="75" t="n"/>
      <c r="AC3661" s="6" t="n"/>
      <c r="AD3661" s="75" t="n"/>
      <c r="AE3661" s="75" t="n"/>
      <c r="AF3661" s="75" t="n"/>
    </row>
    <row r="3662" ht="15.75" customHeight="1" s="133">
      <c r="A3662" s="75" t="n"/>
      <c r="B3662" s="75" t="n"/>
      <c r="C3662" s="75" t="n"/>
      <c r="D3662" s="75" t="n"/>
      <c r="E3662" s="76" t="n"/>
      <c r="F3662" s="77" t="n"/>
      <c r="G3662" s="75" t="n"/>
      <c r="H3662" s="75">
        <f>IF(ISBLANK(E3662),"",IF(OR(D3662="Butterfly",D3662="Butterfly ",D3662="Iron Fly", D3662="Iron Fly "),LEN(E3662)-LEN(SUBSTITUTE(E3662,"/",""))+2,LEN(E3662)-LEN(SUBSTITUTE(E3662,"/",""))+1))</f>
        <v/>
      </c>
      <c r="I3662" s="78">
        <f>IF(ISBLANK(G3662),"",IF(D3662="Stock","0",Key!$A$3*H3662*G3662))</f>
        <v/>
      </c>
      <c r="J3662" s="78">
        <f>IF(ISBLANK(E3662),"",IF(ISNUMBER(SEARCH("/",E3662)), IF(LEN(E3662)-LEN(SUBSTITUTE(E3662,"/",""))=1,(RIGHT(E3662,LEN(E3662)-FIND("/",E3662)))-(LEFT(E3662,FIND("/",E3662)-1)),(MID(E3662, SEARCH("/",E3662) + 1, SEARCH("/",E3662, SEARCH("/",E3662)+1) - SEARCH("/",E3662) - 1))-(LEFT(E3662,FIND("/",E3662)-1))), "NA"))</f>
        <v/>
      </c>
      <c r="K3662" s="79">
        <f>IF(A3662&lt;&gt;"", IF(ISBLANK(L3662), TODAY(), K3662), "")</f>
        <v/>
      </c>
      <c r="L3662" s="78" t="n"/>
      <c r="M3662" s="78">
        <f>IF(ISBLANK(L3662),"",IF(D3662="Stock",IF(C3662="Buy",L3662*G3662,IF(C3662="Sell",(L3662*G3662)-I3662, X)),IF(C3662="Buy",(L3662*G3662*100)+I3662,IF(C3662="Sell",(L3662*G3662*100)-I3662, X))))</f>
        <v/>
      </c>
      <c r="N3662" s="78">
        <f>IF(ISBLANK(L3662),"",IF(AND(C3662="Sell",D3662="Stock"),M3662,IF(ISBLANK(L3662),"",IF(C3662="Buy",M3662, IF(AND(C3662="Sell",J3662="NA"),(E3662*G3662*100*0.1)+I3662, IF(C3662="Sell",(J3662-L3662)*(100*G3662)+I3662))))))</f>
        <v/>
      </c>
      <c r="O3662" s="75" t="n"/>
      <c r="P3662" s="75" t="n"/>
      <c r="Q3662" s="75">
        <f>IF(ISBLANK(P3662),"",IF(D3662="Stock",P3662*G3662,IF(P3662=0,"0",G3662*P3662*100-(G3662*$AF$14))))</f>
        <v/>
      </c>
      <c r="R3662" s="79">
        <f>IF(P3662&lt;&gt;"", TODAY(), "")</f>
        <v/>
      </c>
      <c r="S3662" s="78">
        <f>IF(AND(K3662&lt;&gt;"", R3662&lt;&gt;""), R3662-K3662, "")</f>
        <v/>
      </c>
      <c r="T3662" s="78" t="n"/>
      <c r="U3662" s="92">
        <f>IF(ISBLANK(P3662),"",IF(C3662="Buy",Q3662-M3662+T3662, IF(C3662="Sell",M3662-Q3662-T3662, X)))</f>
        <v/>
      </c>
      <c r="V3662" s="81">
        <f>IF(ISBLANK(P3662),"",U3662/N3662)</f>
        <v/>
      </c>
      <c r="W3662" s="81">
        <f>IF(ISBLANK(P3662),"",IF(S3662=0,(365/0.5)*V3662,(365/S3662)*V3662))</f>
        <v/>
      </c>
      <c r="X3662" s="75" t="n"/>
      <c r="Y3662" s="77" t="n"/>
      <c r="Z3662" s="77" t="n"/>
      <c r="AA3662" s="75" t="n"/>
      <c r="AB3662" s="75" t="n"/>
      <c r="AC3662" s="6" t="n"/>
      <c r="AD3662" s="75" t="n"/>
      <c r="AE3662" s="75" t="n"/>
      <c r="AF3662" s="75" t="n"/>
    </row>
    <row r="3663" ht="15.75" customHeight="1" s="133">
      <c r="A3663" s="75" t="n"/>
      <c r="B3663" s="75" t="n"/>
      <c r="C3663" s="75" t="n"/>
      <c r="D3663" s="75" t="n"/>
      <c r="E3663" s="76" t="n"/>
      <c r="F3663" s="77" t="n"/>
      <c r="G3663" s="75" t="n"/>
      <c r="H3663" s="75">
        <f>IF(ISBLANK(E3663),"",IF(OR(D3663="Butterfly",D3663="Butterfly ",D3663="Iron Fly", D3663="Iron Fly "),LEN(E3663)-LEN(SUBSTITUTE(E3663,"/",""))+2,LEN(E3663)-LEN(SUBSTITUTE(E3663,"/",""))+1))</f>
        <v/>
      </c>
      <c r="I3663" s="78">
        <f>IF(ISBLANK(G3663),"",IF(D3663="Stock","0",Key!$A$3*H3663*G3663))</f>
        <v/>
      </c>
      <c r="J3663" s="78">
        <f>IF(ISBLANK(E3663),"",IF(ISNUMBER(SEARCH("/",E3663)), IF(LEN(E3663)-LEN(SUBSTITUTE(E3663,"/",""))=1,(RIGHT(E3663,LEN(E3663)-FIND("/",E3663)))-(LEFT(E3663,FIND("/",E3663)-1)),(MID(E3663, SEARCH("/",E3663) + 1, SEARCH("/",E3663, SEARCH("/",E3663)+1) - SEARCH("/",E3663) - 1))-(LEFT(E3663,FIND("/",E3663)-1))), "NA"))</f>
        <v/>
      </c>
      <c r="K3663" s="79">
        <f>IF(A3663&lt;&gt;"", IF(ISBLANK(L3663), TODAY(), K3663), "")</f>
        <v/>
      </c>
      <c r="L3663" s="78" t="n"/>
      <c r="M3663" s="78">
        <f>IF(ISBLANK(L3663),"",IF(D3663="Stock",IF(C3663="Buy",L3663*G3663,IF(C3663="Sell",(L3663*G3663)-I3663, X)),IF(C3663="Buy",(L3663*G3663*100)+I3663,IF(C3663="Sell",(L3663*G3663*100)-I3663, X))))</f>
        <v/>
      </c>
      <c r="N3663" s="78">
        <f>IF(ISBLANK(L3663),"",IF(AND(C3663="Sell",D3663="Stock"),M3663,IF(ISBLANK(L3663),"",IF(C3663="Buy",M3663, IF(AND(C3663="Sell",J3663="NA"),(E3663*G3663*100*0.1)+I3663, IF(C3663="Sell",(J3663-L3663)*(100*G3663)+I3663))))))</f>
        <v/>
      </c>
      <c r="O3663" s="75" t="n"/>
      <c r="P3663" s="75" t="n"/>
      <c r="Q3663" s="75">
        <f>IF(ISBLANK(P3663),"",IF(D3663="Stock",P3663*G3663,IF(P3663=0,"0",G3663*P3663*100-(G3663*$AF$14))))</f>
        <v/>
      </c>
      <c r="R3663" s="79">
        <f>IF(P3663&lt;&gt;"", TODAY(), "")</f>
        <v/>
      </c>
      <c r="S3663" s="78">
        <f>IF(AND(K3663&lt;&gt;"", R3663&lt;&gt;""), R3663-K3663, "")</f>
        <v/>
      </c>
      <c r="T3663" s="78" t="n"/>
      <c r="U3663" s="92">
        <f>IF(ISBLANK(P3663),"",IF(C3663="Buy",Q3663-M3663+T3663, IF(C3663="Sell",M3663-Q3663-T3663, X)))</f>
        <v/>
      </c>
      <c r="V3663" s="81">
        <f>IF(ISBLANK(P3663),"",U3663/N3663)</f>
        <v/>
      </c>
      <c r="W3663" s="81">
        <f>IF(ISBLANK(P3663),"",IF(S3663=0,(365/0.5)*V3663,(365/S3663)*V3663))</f>
        <v/>
      </c>
      <c r="X3663" s="75" t="n"/>
      <c r="Y3663" s="77" t="n"/>
      <c r="Z3663" s="77" t="n"/>
      <c r="AA3663" s="75" t="n"/>
      <c r="AB3663" s="75" t="n"/>
      <c r="AC3663" s="6" t="n"/>
      <c r="AD3663" s="75" t="n"/>
      <c r="AE3663" s="75" t="n"/>
      <c r="AF3663" s="75" t="n"/>
    </row>
    <row r="3664" ht="15.75" customHeight="1" s="133">
      <c r="A3664" s="75" t="n"/>
      <c r="B3664" s="75" t="n"/>
      <c r="C3664" s="75" t="n"/>
      <c r="D3664" s="75" t="n"/>
      <c r="E3664" s="76" t="n"/>
      <c r="F3664" s="77" t="n"/>
      <c r="G3664" s="75" t="n"/>
      <c r="H3664" s="75">
        <f>IF(ISBLANK(E3664),"",IF(OR(D3664="Butterfly",D3664="Butterfly ",D3664="Iron Fly", D3664="Iron Fly "),LEN(E3664)-LEN(SUBSTITUTE(E3664,"/",""))+2,LEN(E3664)-LEN(SUBSTITUTE(E3664,"/",""))+1))</f>
        <v/>
      </c>
      <c r="I3664" s="78">
        <f>IF(ISBLANK(G3664),"",IF(D3664="Stock","0",Key!$A$3*H3664*G3664))</f>
        <v/>
      </c>
      <c r="J3664" s="78">
        <f>IF(ISBLANK(E3664),"",IF(ISNUMBER(SEARCH("/",E3664)), IF(LEN(E3664)-LEN(SUBSTITUTE(E3664,"/",""))=1,(RIGHT(E3664,LEN(E3664)-FIND("/",E3664)))-(LEFT(E3664,FIND("/",E3664)-1)),(MID(E3664, SEARCH("/",E3664) + 1, SEARCH("/",E3664, SEARCH("/",E3664)+1) - SEARCH("/",E3664) - 1))-(LEFT(E3664,FIND("/",E3664)-1))), "NA"))</f>
        <v/>
      </c>
      <c r="K3664" s="79">
        <f>IF(A3664&lt;&gt;"", IF(ISBLANK(L3664), TODAY(), K3664), "")</f>
        <v/>
      </c>
      <c r="L3664" s="78" t="n"/>
      <c r="M3664" s="78">
        <f>IF(ISBLANK(L3664),"",IF(D3664="Stock",IF(C3664="Buy",L3664*G3664,IF(C3664="Sell",(L3664*G3664)-I3664, X)),IF(C3664="Buy",(L3664*G3664*100)+I3664,IF(C3664="Sell",(L3664*G3664*100)-I3664, X))))</f>
        <v/>
      </c>
      <c r="N3664" s="78">
        <f>IF(ISBLANK(L3664),"",IF(AND(C3664="Sell",D3664="Stock"),M3664,IF(ISBLANK(L3664),"",IF(C3664="Buy",M3664, IF(AND(C3664="Sell",J3664="NA"),(E3664*G3664*100*0.1)+I3664, IF(C3664="Sell",(J3664-L3664)*(100*G3664)+I3664))))))</f>
        <v/>
      </c>
      <c r="O3664" s="75" t="n"/>
      <c r="P3664" s="75" t="n"/>
      <c r="Q3664" s="75">
        <f>IF(ISBLANK(P3664),"",IF(D3664="Stock",P3664*G3664,IF(P3664=0,"0",G3664*P3664*100-(G3664*$AF$14))))</f>
        <v/>
      </c>
      <c r="R3664" s="79">
        <f>IF(P3664&lt;&gt;"", TODAY(), "")</f>
        <v/>
      </c>
      <c r="S3664" s="78">
        <f>IF(AND(K3664&lt;&gt;"", R3664&lt;&gt;""), R3664-K3664, "")</f>
        <v/>
      </c>
      <c r="T3664" s="78" t="n"/>
      <c r="U3664" s="92">
        <f>IF(ISBLANK(P3664),"",IF(C3664="Buy",Q3664-M3664+T3664, IF(C3664="Sell",M3664-Q3664-T3664, X)))</f>
        <v/>
      </c>
      <c r="V3664" s="81">
        <f>IF(ISBLANK(P3664),"",U3664/N3664)</f>
        <v/>
      </c>
      <c r="W3664" s="81">
        <f>IF(ISBLANK(P3664),"",IF(S3664=0,(365/0.5)*V3664,(365/S3664)*V3664))</f>
        <v/>
      </c>
      <c r="X3664" s="75" t="n"/>
      <c r="Y3664" s="77" t="n"/>
      <c r="Z3664" s="77" t="n"/>
      <c r="AA3664" s="75" t="n"/>
      <c r="AB3664" s="75" t="n"/>
      <c r="AC3664" s="6" t="n"/>
      <c r="AD3664" s="75" t="n"/>
      <c r="AE3664" s="75" t="n"/>
      <c r="AF3664" s="75" t="n"/>
    </row>
    <row r="3665" ht="15.75" customHeight="1" s="133">
      <c r="A3665" s="75" t="n"/>
      <c r="B3665" s="75" t="n"/>
      <c r="C3665" s="75" t="n"/>
      <c r="D3665" s="75" t="n"/>
      <c r="E3665" s="76" t="n"/>
      <c r="F3665" s="77" t="n"/>
      <c r="G3665" s="75" t="n"/>
      <c r="H3665" s="75">
        <f>IF(ISBLANK(E3665),"",IF(OR(D3665="Butterfly",D3665="Butterfly ",D3665="Iron Fly", D3665="Iron Fly "),LEN(E3665)-LEN(SUBSTITUTE(E3665,"/",""))+2,LEN(E3665)-LEN(SUBSTITUTE(E3665,"/",""))+1))</f>
        <v/>
      </c>
      <c r="I3665" s="78">
        <f>IF(ISBLANK(G3665),"",IF(D3665="Stock","0",Key!$A$3*H3665*G3665))</f>
        <v/>
      </c>
      <c r="J3665" s="78">
        <f>IF(ISBLANK(E3665),"",IF(ISNUMBER(SEARCH("/",E3665)), IF(LEN(E3665)-LEN(SUBSTITUTE(E3665,"/",""))=1,(RIGHT(E3665,LEN(E3665)-FIND("/",E3665)))-(LEFT(E3665,FIND("/",E3665)-1)),(MID(E3665, SEARCH("/",E3665) + 1, SEARCH("/",E3665, SEARCH("/",E3665)+1) - SEARCH("/",E3665) - 1))-(LEFT(E3665,FIND("/",E3665)-1))), "NA"))</f>
        <v/>
      </c>
      <c r="K3665" s="79">
        <f>IF(A3665&lt;&gt;"", IF(ISBLANK(L3665), TODAY(), K3665), "")</f>
        <v/>
      </c>
      <c r="L3665" s="78" t="n"/>
      <c r="M3665" s="78">
        <f>IF(ISBLANK(L3665),"",IF(D3665="Stock",IF(C3665="Buy",L3665*G3665,IF(C3665="Sell",(L3665*G3665)-I3665, X)),IF(C3665="Buy",(L3665*G3665*100)+I3665,IF(C3665="Sell",(L3665*G3665*100)-I3665, X))))</f>
        <v/>
      </c>
      <c r="N3665" s="78">
        <f>IF(ISBLANK(L3665),"",IF(AND(C3665="Sell",D3665="Stock"),M3665,IF(ISBLANK(L3665),"",IF(C3665="Buy",M3665, IF(AND(C3665="Sell",J3665="NA"),(E3665*G3665*100*0.1)+I3665, IF(C3665="Sell",(J3665-L3665)*(100*G3665)+I3665))))))</f>
        <v/>
      </c>
      <c r="O3665" s="75" t="n"/>
      <c r="P3665" s="75" t="n"/>
      <c r="Q3665" s="75">
        <f>IF(ISBLANK(P3665),"",IF(D3665="Stock",P3665*G3665,IF(P3665=0,"0",G3665*P3665*100-(G3665*$AF$14))))</f>
        <v/>
      </c>
      <c r="R3665" s="79">
        <f>IF(P3665&lt;&gt;"", TODAY(), "")</f>
        <v/>
      </c>
      <c r="S3665" s="78">
        <f>IF(AND(K3665&lt;&gt;"", R3665&lt;&gt;""), R3665-K3665, "")</f>
        <v/>
      </c>
      <c r="T3665" s="78" t="n"/>
      <c r="U3665" s="92">
        <f>IF(ISBLANK(P3665),"",IF(C3665="Buy",Q3665-M3665+T3665, IF(C3665="Sell",M3665-Q3665-T3665, X)))</f>
        <v/>
      </c>
      <c r="V3665" s="81">
        <f>IF(ISBLANK(P3665),"",U3665/N3665)</f>
        <v/>
      </c>
      <c r="W3665" s="81">
        <f>IF(ISBLANK(P3665),"",IF(S3665=0,(365/0.5)*V3665,(365/S3665)*V3665))</f>
        <v/>
      </c>
      <c r="X3665" s="75" t="n"/>
      <c r="Y3665" s="77" t="n"/>
      <c r="Z3665" s="77" t="n"/>
      <c r="AA3665" s="75" t="n"/>
      <c r="AB3665" s="75" t="n"/>
      <c r="AC3665" s="6" t="n"/>
      <c r="AD3665" s="75" t="n"/>
      <c r="AE3665" s="75" t="n"/>
      <c r="AF3665" s="75" t="n"/>
    </row>
    <row r="3666" ht="15.75" customHeight="1" s="133">
      <c r="A3666" s="75" t="n"/>
      <c r="B3666" s="75" t="n"/>
      <c r="C3666" s="75" t="n"/>
      <c r="D3666" s="75" t="n"/>
      <c r="E3666" s="76" t="n"/>
      <c r="F3666" s="77" t="n"/>
      <c r="G3666" s="75" t="n"/>
      <c r="H3666" s="75">
        <f>IF(ISBLANK(E3666),"",IF(OR(D3666="Butterfly",D3666="Butterfly ",D3666="Iron Fly", D3666="Iron Fly "),LEN(E3666)-LEN(SUBSTITUTE(E3666,"/",""))+2,LEN(E3666)-LEN(SUBSTITUTE(E3666,"/",""))+1))</f>
        <v/>
      </c>
      <c r="I3666" s="78">
        <f>IF(ISBLANK(G3666),"",IF(D3666="Stock","0",Key!$A$3*H3666*G3666))</f>
        <v/>
      </c>
      <c r="J3666" s="78">
        <f>IF(ISBLANK(E3666),"",IF(ISNUMBER(SEARCH("/",E3666)), IF(LEN(E3666)-LEN(SUBSTITUTE(E3666,"/",""))=1,(RIGHT(E3666,LEN(E3666)-FIND("/",E3666)))-(LEFT(E3666,FIND("/",E3666)-1)),(MID(E3666, SEARCH("/",E3666) + 1, SEARCH("/",E3666, SEARCH("/",E3666)+1) - SEARCH("/",E3666) - 1))-(LEFT(E3666,FIND("/",E3666)-1))), "NA"))</f>
        <v/>
      </c>
      <c r="K3666" s="79">
        <f>IF(A3666&lt;&gt;"", IF(ISBLANK(L3666), TODAY(), K3666), "")</f>
        <v/>
      </c>
      <c r="L3666" s="78" t="n"/>
      <c r="M3666" s="78">
        <f>IF(ISBLANK(L3666),"",IF(D3666="Stock",IF(C3666="Buy",L3666*G3666,IF(C3666="Sell",(L3666*G3666)-I3666, X)),IF(C3666="Buy",(L3666*G3666*100)+I3666,IF(C3666="Sell",(L3666*G3666*100)-I3666, X))))</f>
        <v/>
      </c>
      <c r="N3666" s="78">
        <f>IF(ISBLANK(L3666),"",IF(AND(C3666="Sell",D3666="Stock"),M3666,IF(ISBLANK(L3666),"",IF(C3666="Buy",M3666, IF(AND(C3666="Sell",J3666="NA"),(E3666*G3666*100*0.1)+I3666, IF(C3666="Sell",(J3666-L3666)*(100*G3666)+I3666))))))</f>
        <v/>
      </c>
      <c r="O3666" s="75" t="n"/>
      <c r="P3666" s="75" t="n"/>
      <c r="Q3666" s="75">
        <f>IF(ISBLANK(P3666),"",IF(D3666="Stock",P3666*G3666,IF(P3666=0,"0",G3666*P3666*100-(G3666*$AF$14))))</f>
        <v/>
      </c>
      <c r="R3666" s="79">
        <f>IF(P3666&lt;&gt;"", TODAY(), "")</f>
        <v/>
      </c>
      <c r="S3666" s="78">
        <f>IF(AND(K3666&lt;&gt;"", R3666&lt;&gt;""), R3666-K3666, "")</f>
        <v/>
      </c>
      <c r="T3666" s="78" t="n"/>
      <c r="U3666" s="92">
        <f>IF(ISBLANK(P3666),"",IF(C3666="Buy",Q3666-M3666+T3666, IF(C3666="Sell",M3666-Q3666-T3666, X)))</f>
        <v/>
      </c>
      <c r="V3666" s="81">
        <f>IF(ISBLANK(P3666),"",U3666/N3666)</f>
        <v/>
      </c>
      <c r="W3666" s="81">
        <f>IF(ISBLANK(P3666),"",IF(S3666=0,(365/0.5)*V3666,(365/S3666)*V3666))</f>
        <v/>
      </c>
      <c r="X3666" s="75" t="n"/>
      <c r="Y3666" s="77" t="n"/>
      <c r="Z3666" s="77" t="n"/>
      <c r="AA3666" s="75" t="n"/>
      <c r="AB3666" s="75" t="n"/>
      <c r="AC3666" s="6" t="n"/>
      <c r="AD3666" s="75" t="n"/>
      <c r="AE3666" s="75" t="n"/>
      <c r="AF3666" s="75" t="n"/>
    </row>
    <row r="3667" ht="15.75" customHeight="1" s="133">
      <c r="A3667" s="75" t="n"/>
      <c r="B3667" s="75" t="n"/>
      <c r="C3667" s="75" t="n"/>
      <c r="D3667" s="75" t="n"/>
      <c r="E3667" s="76" t="n"/>
      <c r="F3667" s="77" t="n"/>
      <c r="G3667" s="75" t="n"/>
      <c r="H3667" s="75">
        <f>IF(ISBLANK(E3667),"",IF(OR(D3667="Butterfly",D3667="Butterfly ",D3667="Iron Fly", D3667="Iron Fly "),LEN(E3667)-LEN(SUBSTITUTE(E3667,"/",""))+2,LEN(E3667)-LEN(SUBSTITUTE(E3667,"/",""))+1))</f>
        <v/>
      </c>
      <c r="I3667" s="78">
        <f>IF(ISBLANK(G3667),"",IF(D3667="Stock","0",Key!$A$3*H3667*G3667))</f>
        <v/>
      </c>
      <c r="J3667" s="78">
        <f>IF(ISBLANK(E3667),"",IF(ISNUMBER(SEARCH("/",E3667)), IF(LEN(E3667)-LEN(SUBSTITUTE(E3667,"/",""))=1,(RIGHT(E3667,LEN(E3667)-FIND("/",E3667)))-(LEFT(E3667,FIND("/",E3667)-1)),(MID(E3667, SEARCH("/",E3667) + 1, SEARCH("/",E3667, SEARCH("/",E3667)+1) - SEARCH("/",E3667) - 1))-(LEFT(E3667,FIND("/",E3667)-1))), "NA"))</f>
        <v/>
      </c>
      <c r="K3667" s="79">
        <f>IF(A3667&lt;&gt;"", IF(ISBLANK(L3667), TODAY(), K3667), "")</f>
        <v/>
      </c>
      <c r="L3667" s="78" t="n"/>
      <c r="M3667" s="78">
        <f>IF(ISBLANK(L3667),"",IF(D3667="Stock",IF(C3667="Buy",L3667*G3667,IF(C3667="Sell",(L3667*G3667)-I3667, X)),IF(C3667="Buy",(L3667*G3667*100)+I3667,IF(C3667="Sell",(L3667*G3667*100)-I3667, X))))</f>
        <v/>
      </c>
      <c r="N3667" s="78">
        <f>IF(ISBLANK(L3667),"",IF(AND(C3667="Sell",D3667="Stock"),M3667,IF(ISBLANK(L3667),"",IF(C3667="Buy",M3667, IF(AND(C3667="Sell",J3667="NA"),(E3667*G3667*100*0.1)+I3667, IF(C3667="Sell",(J3667-L3667)*(100*G3667)+I3667))))))</f>
        <v/>
      </c>
      <c r="O3667" s="75" t="n"/>
      <c r="P3667" s="75" t="n"/>
      <c r="Q3667" s="75">
        <f>IF(ISBLANK(P3667),"",IF(D3667="Stock",P3667*G3667,IF(P3667=0,"0",G3667*P3667*100-(G3667*$AF$14))))</f>
        <v/>
      </c>
      <c r="R3667" s="79">
        <f>IF(P3667&lt;&gt;"", TODAY(), "")</f>
        <v/>
      </c>
      <c r="S3667" s="78">
        <f>IF(AND(K3667&lt;&gt;"", R3667&lt;&gt;""), R3667-K3667, "")</f>
        <v/>
      </c>
      <c r="T3667" s="78" t="n"/>
      <c r="U3667" s="92">
        <f>IF(ISBLANK(P3667),"",IF(C3667="Buy",Q3667-M3667+T3667, IF(C3667="Sell",M3667-Q3667-T3667, X)))</f>
        <v/>
      </c>
      <c r="V3667" s="81">
        <f>IF(ISBLANK(P3667),"",U3667/N3667)</f>
        <v/>
      </c>
      <c r="W3667" s="81">
        <f>IF(ISBLANK(P3667),"",IF(S3667=0,(365/0.5)*V3667,(365/S3667)*V3667))</f>
        <v/>
      </c>
      <c r="X3667" s="75" t="n"/>
      <c r="Y3667" s="77" t="n"/>
      <c r="Z3667" s="77" t="n"/>
      <c r="AA3667" s="75" t="n"/>
      <c r="AB3667" s="75" t="n"/>
      <c r="AC3667" s="6" t="n"/>
      <c r="AD3667" s="75" t="n"/>
      <c r="AE3667" s="75" t="n"/>
      <c r="AF3667" s="75" t="n"/>
    </row>
    <row r="3668" ht="15.75" customHeight="1" s="133">
      <c r="A3668" s="75" t="n"/>
      <c r="B3668" s="75" t="n"/>
      <c r="C3668" s="75" t="n"/>
      <c r="D3668" s="75" t="n"/>
      <c r="E3668" s="76" t="n"/>
      <c r="F3668" s="77" t="n"/>
      <c r="G3668" s="75" t="n"/>
      <c r="H3668" s="75">
        <f>IF(ISBLANK(E3668),"",IF(OR(D3668="Butterfly",D3668="Butterfly ",D3668="Iron Fly", D3668="Iron Fly "),LEN(E3668)-LEN(SUBSTITUTE(E3668,"/",""))+2,LEN(E3668)-LEN(SUBSTITUTE(E3668,"/",""))+1))</f>
        <v/>
      </c>
      <c r="I3668" s="78">
        <f>IF(ISBLANK(G3668),"",IF(D3668="Stock","0",Key!$A$3*H3668*G3668))</f>
        <v/>
      </c>
      <c r="J3668" s="78">
        <f>IF(ISBLANK(E3668),"",IF(ISNUMBER(SEARCH("/",E3668)), IF(LEN(E3668)-LEN(SUBSTITUTE(E3668,"/",""))=1,(RIGHT(E3668,LEN(E3668)-FIND("/",E3668)))-(LEFT(E3668,FIND("/",E3668)-1)),(MID(E3668, SEARCH("/",E3668) + 1, SEARCH("/",E3668, SEARCH("/",E3668)+1) - SEARCH("/",E3668) - 1))-(LEFT(E3668,FIND("/",E3668)-1))), "NA"))</f>
        <v/>
      </c>
      <c r="K3668" s="79">
        <f>IF(A3668&lt;&gt;"", IF(ISBLANK(L3668), TODAY(), K3668), "")</f>
        <v/>
      </c>
      <c r="L3668" s="78" t="n"/>
      <c r="M3668" s="78">
        <f>IF(ISBLANK(L3668),"",IF(D3668="Stock",IF(C3668="Buy",L3668*G3668,IF(C3668="Sell",(L3668*G3668)-I3668, X)),IF(C3668="Buy",(L3668*G3668*100)+I3668,IF(C3668="Sell",(L3668*G3668*100)-I3668, X))))</f>
        <v/>
      </c>
      <c r="N3668" s="78">
        <f>IF(ISBLANK(L3668),"",IF(AND(C3668="Sell",D3668="Stock"),M3668,IF(ISBLANK(L3668),"",IF(C3668="Buy",M3668, IF(AND(C3668="Sell",J3668="NA"),(E3668*G3668*100*0.1)+I3668, IF(C3668="Sell",(J3668-L3668)*(100*G3668)+I3668))))))</f>
        <v/>
      </c>
      <c r="O3668" s="75" t="n"/>
      <c r="P3668" s="75" t="n"/>
      <c r="Q3668" s="75">
        <f>IF(ISBLANK(P3668),"",IF(D3668="Stock",P3668*G3668,IF(P3668=0,"0",G3668*P3668*100-(G3668*$AF$14))))</f>
        <v/>
      </c>
      <c r="R3668" s="79">
        <f>IF(P3668&lt;&gt;"", TODAY(), "")</f>
        <v/>
      </c>
      <c r="S3668" s="78">
        <f>IF(AND(K3668&lt;&gt;"", R3668&lt;&gt;""), R3668-K3668, "")</f>
        <v/>
      </c>
      <c r="T3668" s="78" t="n"/>
      <c r="U3668" s="92">
        <f>IF(ISBLANK(P3668),"",IF(C3668="Buy",Q3668-M3668+T3668, IF(C3668="Sell",M3668-Q3668-T3668, X)))</f>
        <v/>
      </c>
      <c r="V3668" s="81">
        <f>IF(ISBLANK(P3668),"",U3668/N3668)</f>
        <v/>
      </c>
      <c r="W3668" s="81">
        <f>IF(ISBLANK(P3668),"",IF(S3668=0,(365/0.5)*V3668,(365/S3668)*V3668))</f>
        <v/>
      </c>
      <c r="X3668" s="75" t="n"/>
      <c r="Y3668" s="77" t="n"/>
      <c r="Z3668" s="77" t="n"/>
      <c r="AA3668" s="75" t="n"/>
      <c r="AB3668" s="75" t="n"/>
      <c r="AC3668" s="6" t="n"/>
      <c r="AD3668" s="75" t="n"/>
      <c r="AE3668" s="75" t="n"/>
      <c r="AF3668" s="75" t="n"/>
    </row>
    <row r="3669" ht="15.75" customHeight="1" s="133">
      <c r="A3669" s="75" t="n"/>
      <c r="B3669" s="75" t="n"/>
      <c r="C3669" s="75" t="n"/>
      <c r="D3669" s="75" t="n"/>
      <c r="E3669" s="76" t="n"/>
      <c r="F3669" s="77" t="n"/>
      <c r="G3669" s="75" t="n"/>
      <c r="H3669" s="75">
        <f>IF(ISBLANK(E3669),"",IF(OR(D3669="Butterfly",D3669="Butterfly ",D3669="Iron Fly", D3669="Iron Fly "),LEN(E3669)-LEN(SUBSTITUTE(E3669,"/",""))+2,LEN(E3669)-LEN(SUBSTITUTE(E3669,"/",""))+1))</f>
        <v/>
      </c>
      <c r="I3669" s="78">
        <f>IF(ISBLANK(G3669),"",IF(D3669="Stock","0",Key!$A$3*H3669*G3669))</f>
        <v/>
      </c>
      <c r="J3669" s="78">
        <f>IF(ISBLANK(E3669),"",IF(ISNUMBER(SEARCH("/",E3669)), IF(LEN(E3669)-LEN(SUBSTITUTE(E3669,"/",""))=1,(RIGHT(E3669,LEN(E3669)-FIND("/",E3669)))-(LEFT(E3669,FIND("/",E3669)-1)),(MID(E3669, SEARCH("/",E3669) + 1, SEARCH("/",E3669, SEARCH("/",E3669)+1) - SEARCH("/",E3669) - 1))-(LEFT(E3669,FIND("/",E3669)-1))), "NA"))</f>
        <v/>
      </c>
      <c r="K3669" s="79">
        <f>IF(A3669&lt;&gt;"", IF(ISBLANK(L3669), TODAY(), K3669), "")</f>
        <v/>
      </c>
      <c r="L3669" s="78" t="n"/>
      <c r="M3669" s="78">
        <f>IF(ISBLANK(L3669),"",IF(D3669="Stock",IF(C3669="Buy",L3669*G3669,IF(C3669="Sell",(L3669*G3669)-I3669, X)),IF(C3669="Buy",(L3669*G3669*100)+I3669,IF(C3669="Sell",(L3669*G3669*100)-I3669, X))))</f>
        <v/>
      </c>
      <c r="N3669" s="78">
        <f>IF(ISBLANK(L3669),"",IF(AND(C3669="Sell",D3669="Stock"),M3669,IF(ISBLANK(L3669),"",IF(C3669="Buy",M3669, IF(AND(C3669="Sell",J3669="NA"),(E3669*G3669*100*0.1)+I3669, IF(C3669="Sell",(J3669-L3669)*(100*G3669)+I3669))))))</f>
        <v/>
      </c>
      <c r="O3669" s="75" t="n"/>
      <c r="P3669" s="75" t="n"/>
      <c r="Q3669" s="75">
        <f>IF(ISBLANK(P3669),"",IF(D3669="Stock",P3669*G3669,IF(P3669=0,"0",G3669*P3669*100-(G3669*$AF$14))))</f>
        <v/>
      </c>
      <c r="R3669" s="79">
        <f>IF(P3669&lt;&gt;"", TODAY(), "")</f>
        <v/>
      </c>
      <c r="S3669" s="78">
        <f>IF(AND(K3669&lt;&gt;"", R3669&lt;&gt;""), R3669-K3669, "")</f>
        <v/>
      </c>
      <c r="T3669" s="78" t="n"/>
      <c r="U3669" s="92">
        <f>IF(ISBLANK(P3669),"",IF(C3669="Buy",Q3669-M3669+T3669, IF(C3669="Sell",M3669-Q3669-T3669, X)))</f>
        <v/>
      </c>
      <c r="V3669" s="81">
        <f>IF(ISBLANK(P3669),"",U3669/N3669)</f>
        <v/>
      </c>
      <c r="W3669" s="81">
        <f>IF(ISBLANK(P3669),"",IF(S3669=0,(365/0.5)*V3669,(365/S3669)*V3669))</f>
        <v/>
      </c>
      <c r="X3669" s="75" t="n"/>
      <c r="Y3669" s="77" t="n"/>
      <c r="Z3669" s="77" t="n"/>
      <c r="AA3669" s="75" t="n"/>
      <c r="AB3669" s="75" t="n"/>
      <c r="AC3669" s="6" t="n"/>
      <c r="AD3669" s="75" t="n"/>
      <c r="AE3669" s="75" t="n"/>
      <c r="AF3669" s="75" t="n"/>
    </row>
    <row r="3670" ht="15.75" customHeight="1" s="133">
      <c r="A3670" s="75" t="n"/>
      <c r="B3670" s="75" t="n"/>
      <c r="C3670" s="75" t="n"/>
      <c r="D3670" s="75" t="n"/>
      <c r="E3670" s="76" t="n"/>
      <c r="F3670" s="77" t="n"/>
      <c r="G3670" s="75" t="n"/>
      <c r="H3670" s="75">
        <f>IF(ISBLANK(E3670),"",IF(OR(D3670="Butterfly",D3670="Butterfly ",D3670="Iron Fly", D3670="Iron Fly "),LEN(E3670)-LEN(SUBSTITUTE(E3670,"/",""))+2,LEN(E3670)-LEN(SUBSTITUTE(E3670,"/",""))+1))</f>
        <v/>
      </c>
      <c r="I3670" s="78">
        <f>IF(ISBLANK(G3670),"",IF(D3670="Stock","0",Key!$A$3*H3670*G3670))</f>
        <v/>
      </c>
      <c r="J3670" s="78">
        <f>IF(ISBLANK(E3670),"",IF(ISNUMBER(SEARCH("/",E3670)), IF(LEN(E3670)-LEN(SUBSTITUTE(E3670,"/",""))=1,(RIGHT(E3670,LEN(E3670)-FIND("/",E3670)))-(LEFT(E3670,FIND("/",E3670)-1)),(MID(E3670, SEARCH("/",E3670) + 1, SEARCH("/",E3670, SEARCH("/",E3670)+1) - SEARCH("/",E3670) - 1))-(LEFT(E3670,FIND("/",E3670)-1))), "NA"))</f>
        <v/>
      </c>
      <c r="K3670" s="79">
        <f>IF(A3670&lt;&gt;"", IF(ISBLANK(L3670), TODAY(), K3670), "")</f>
        <v/>
      </c>
      <c r="L3670" s="78" t="n"/>
      <c r="M3670" s="78">
        <f>IF(ISBLANK(L3670),"",IF(D3670="Stock",IF(C3670="Buy",L3670*G3670,IF(C3670="Sell",(L3670*G3670)-I3670, X)),IF(C3670="Buy",(L3670*G3670*100)+I3670,IF(C3670="Sell",(L3670*G3670*100)-I3670, X))))</f>
        <v/>
      </c>
      <c r="N3670" s="78">
        <f>IF(ISBLANK(L3670),"",IF(AND(C3670="Sell",D3670="Stock"),M3670,IF(ISBLANK(L3670),"",IF(C3670="Buy",M3670, IF(AND(C3670="Sell",J3670="NA"),(E3670*G3670*100*0.1)+I3670, IF(C3670="Sell",(J3670-L3670)*(100*G3670)+I3670))))))</f>
        <v/>
      </c>
      <c r="O3670" s="75" t="n"/>
      <c r="P3670" s="75" t="n"/>
      <c r="Q3670" s="75">
        <f>IF(ISBLANK(P3670),"",IF(D3670="Stock",P3670*G3670,IF(P3670=0,"0",G3670*P3670*100-(G3670*$AF$14))))</f>
        <v/>
      </c>
      <c r="R3670" s="79">
        <f>IF(P3670&lt;&gt;"", TODAY(), "")</f>
        <v/>
      </c>
      <c r="S3670" s="78">
        <f>IF(AND(K3670&lt;&gt;"", R3670&lt;&gt;""), R3670-K3670, "")</f>
        <v/>
      </c>
      <c r="T3670" s="78" t="n"/>
      <c r="U3670" s="92">
        <f>IF(ISBLANK(P3670),"",IF(C3670="Buy",Q3670-M3670+T3670, IF(C3670="Sell",M3670-Q3670-T3670, X)))</f>
        <v/>
      </c>
      <c r="V3670" s="81">
        <f>IF(ISBLANK(P3670),"",U3670/N3670)</f>
        <v/>
      </c>
      <c r="W3670" s="81">
        <f>IF(ISBLANK(P3670),"",IF(S3670=0,(365/0.5)*V3670,(365/S3670)*V3670))</f>
        <v/>
      </c>
      <c r="X3670" s="75" t="n"/>
      <c r="Y3670" s="77" t="n"/>
      <c r="Z3670" s="77" t="n"/>
      <c r="AA3670" s="75" t="n"/>
      <c r="AB3670" s="75" t="n"/>
      <c r="AC3670" s="6" t="n"/>
      <c r="AD3670" s="75" t="n"/>
      <c r="AE3670" s="75" t="n"/>
      <c r="AF3670" s="75" t="n"/>
    </row>
    <row r="3671" ht="15.75" customHeight="1" s="133">
      <c r="A3671" s="75" t="n"/>
      <c r="B3671" s="75" t="n"/>
      <c r="C3671" s="75" t="n"/>
      <c r="D3671" s="75" t="n"/>
      <c r="E3671" s="76" t="n"/>
      <c r="F3671" s="77" t="n"/>
      <c r="G3671" s="75" t="n"/>
      <c r="H3671" s="75">
        <f>IF(ISBLANK(E3671),"",IF(OR(D3671="Butterfly",D3671="Butterfly ",D3671="Iron Fly", D3671="Iron Fly "),LEN(E3671)-LEN(SUBSTITUTE(E3671,"/",""))+2,LEN(E3671)-LEN(SUBSTITUTE(E3671,"/",""))+1))</f>
        <v/>
      </c>
      <c r="I3671" s="78">
        <f>IF(ISBLANK(G3671),"",IF(D3671="Stock","0",Key!$A$3*H3671*G3671))</f>
        <v/>
      </c>
      <c r="J3671" s="78">
        <f>IF(ISBLANK(E3671),"",IF(ISNUMBER(SEARCH("/",E3671)), IF(LEN(E3671)-LEN(SUBSTITUTE(E3671,"/",""))=1,(RIGHT(E3671,LEN(E3671)-FIND("/",E3671)))-(LEFT(E3671,FIND("/",E3671)-1)),(MID(E3671, SEARCH("/",E3671) + 1, SEARCH("/",E3671, SEARCH("/",E3671)+1) - SEARCH("/",E3671) - 1))-(LEFT(E3671,FIND("/",E3671)-1))), "NA"))</f>
        <v/>
      </c>
      <c r="K3671" s="79">
        <f>IF(A3671&lt;&gt;"", IF(ISBLANK(L3671), TODAY(), K3671), "")</f>
        <v/>
      </c>
      <c r="L3671" s="78" t="n"/>
      <c r="M3671" s="78">
        <f>IF(ISBLANK(L3671),"",IF(D3671="Stock",IF(C3671="Buy",L3671*G3671,IF(C3671="Sell",(L3671*G3671)-I3671, X)),IF(C3671="Buy",(L3671*G3671*100)+I3671,IF(C3671="Sell",(L3671*G3671*100)-I3671, X))))</f>
        <v/>
      </c>
      <c r="N3671" s="78">
        <f>IF(ISBLANK(L3671),"",IF(AND(C3671="Sell",D3671="Stock"),M3671,IF(ISBLANK(L3671),"",IF(C3671="Buy",M3671, IF(AND(C3671="Sell",J3671="NA"),(E3671*G3671*100*0.1)+I3671, IF(C3671="Sell",(J3671-L3671)*(100*G3671)+I3671))))))</f>
        <v/>
      </c>
      <c r="O3671" s="75" t="n"/>
      <c r="P3671" s="75" t="n"/>
      <c r="Q3671" s="75">
        <f>IF(ISBLANK(P3671),"",IF(D3671="Stock",P3671*G3671,IF(P3671=0,"0",G3671*P3671*100-(G3671*$AF$14))))</f>
        <v/>
      </c>
      <c r="R3671" s="79">
        <f>IF(P3671&lt;&gt;"", TODAY(), "")</f>
        <v/>
      </c>
      <c r="S3671" s="78">
        <f>IF(AND(K3671&lt;&gt;"", R3671&lt;&gt;""), R3671-K3671, "")</f>
        <v/>
      </c>
      <c r="T3671" s="78" t="n"/>
      <c r="U3671" s="92">
        <f>IF(ISBLANK(P3671),"",IF(C3671="Buy",Q3671-M3671+T3671, IF(C3671="Sell",M3671-Q3671-T3671, X)))</f>
        <v/>
      </c>
      <c r="V3671" s="81">
        <f>IF(ISBLANK(P3671),"",U3671/N3671)</f>
        <v/>
      </c>
      <c r="W3671" s="81">
        <f>IF(ISBLANK(P3671),"",IF(S3671=0,(365/0.5)*V3671,(365/S3671)*V3671))</f>
        <v/>
      </c>
      <c r="X3671" s="75" t="n"/>
      <c r="Y3671" s="77" t="n"/>
      <c r="Z3671" s="77" t="n"/>
      <c r="AA3671" s="75" t="n"/>
      <c r="AB3671" s="75" t="n"/>
      <c r="AC3671" s="6" t="n"/>
      <c r="AD3671" s="75" t="n"/>
      <c r="AE3671" s="75" t="n"/>
      <c r="AF3671" s="75" t="n"/>
    </row>
    <row r="3672" ht="15.75" customHeight="1" s="133">
      <c r="A3672" s="75" t="n"/>
      <c r="B3672" s="75" t="n"/>
      <c r="C3672" s="75" t="n"/>
      <c r="D3672" s="75" t="n"/>
      <c r="E3672" s="76" t="n"/>
      <c r="F3672" s="77" t="n"/>
      <c r="G3672" s="75" t="n"/>
      <c r="H3672" s="75">
        <f>IF(ISBLANK(E3672),"",IF(OR(D3672="Butterfly",D3672="Butterfly ",D3672="Iron Fly", D3672="Iron Fly "),LEN(E3672)-LEN(SUBSTITUTE(E3672,"/",""))+2,LEN(E3672)-LEN(SUBSTITUTE(E3672,"/",""))+1))</f>
        <v/>
      </c>
      <c r="I3672" s="78">
        <f>IF(ISBLANK(G3672),"",IF(D3672="Stock","0",Key!$A$3*H3672*G3672))</f>
        <v/>
      </c>
      <c r="J3672" s="78">
        <f>IF(ISBLANK(E3672),"",IF(ISNUMBER(SEARCH("/",E3672)), IF(LEN(E3672)-LEN(SUBSTITUTE(E3672,"/",""))=1,(RIGHT(E3672,LEN(E3672)-FIND("/",E3672)))-(LEFT(E3672,FIND("/",E3672)-1)),(MID(E3672, SEARCH("/",E3672) + 1, SEARCH("/",E3672, SEARCH("/",E3672)+1) - SEARCH("/",E3672) - 1))-(LEFT(E3672,FIND("/",E3672)-1))), "NA"))</f>
        <v/>
      </c>
      <c r="K3672" s="79">
        <f>IF(A3672&lt;&gt;"", IF(ISBLANK(L3672), TODAY(), K3672), "")</f>
        <v/>
      </c>
      <c r="L3672" s="78" t="n"/>
      <c r="M3672" s="78">
        <f>IF(ISBLANK(L3672),"",IF(D3672="Stock",IF(C3672="Buy",L3672*G3672,IF(C3672="Sell",(L3672*G3672)-I3672, X)),IF(C3672="Buy",(L3672*G3672*100)+I3672,IF(C3672="Sell",(L3672*G3672*100)-I3672, X))))</f>
        <v/>
      </c>
      <c r="N3672" s="78">
        <f>IF(ISBLANK(L3672),"",IF(AND(C3672="Sell",D3672="Stock"),M3672,IF(ISBLANK(L3672),"",IF(C3672="Buy",M3672, IF(AND(C3672="Sell",J3672="NA"),(E3672*G3672*100*0.1)+I3672, IF(C3672="Sell",(J3672-L3672)*(100*G3672)+I3672))))))</f>
        <v/>
      </c>
      <c r="O3672" s="75" t="n"/>
      <c r="P3672" s="75" t="n"/>
      <c r="Q3672" s="75">
        <f>IF(ISBLANK(P3672),"",IF(D3672="Stock",P3672*G3672,IF(P3672=0,"0",G3672*P3672*100-(G3672*$AF$14))))</f>
        <v/>
      </c>
      <c r="R3672" s="79">
        <f>IF(P3672&lt;&gt;"", TODAY(), "")</f>
        <v/>
      </c>
      <c r="S3672" s="78">
        <f>IF(AND(K3672&lt;&gt;"", R3672&lt;&gt;""), R3672-K3672, "")</f>
        <v/>
      </c>
      <c r="T3672" s="78" t="n"/>
      <c r="U3672" s="92">
        <f>IF(ISBLANK(P3672),"",IF(C3672="Buy",Q3672-M3672+T3672, IF(C3672="Sell",M3672-Q3672-T3672, X)))</f>
        <v/>
      </c>
      <c r="V3672" s="81">
        <f>IF(ISBLANK(P3672),"",U3672/N3672)</f>
        <v/>
      </c>
      <c r="W3672" s="81">
        <f>IF(ISBLANK(P3672),"",IF(S3672=0,(365/0.5)*V3672,(365/S3672)*V3672))</f>
        <v/>
      </c>
      <c r="X3672" s="75" t="n"/>
      <c r="Y3672" s="77" t="n"/>
      <c r="Z3672" s="77" t="n"/>
      <c r="AA3672" s="75" t="n"/>
      <c r="AB3672" s="75" t="n"/>
      <c r="AC3672" s="6" t="n"/>
      <c r="AD3672" s="75" t="n"/>
      <c r="AE3672" s="75" t="n"/>
      <c r="AF3672" s="75" t="n"/>
    </row>
    <row r="3673" ht="15.75" customHeight="1" s="133">
      <c r="A3673" s="75" t="n"/>
      <c r="B3673" s="75" t="n"/>
      <c r="C3673" s="75" t="n"/>
      <c r="D3673" s="75" t="n"/>
      <c r="E3673" s="76" t="n"/>
      <c r="F3673" s="77" t="n"/>
      <c r="G3673" s="75" t="n"/>
      <c r="H3673" s="75">
        <f>IF(ISBLANK(E3673),"",IF(OR(D3673="Butterfly",D3673="Butterfly ",D3673="Iron Fly", D3673="Iron Fly "),LEN(E3673)-LEN(SUBSTITUTE(E3673,"/",""))+2,LEN(E3673)-LEN(SUBSTITUTE(E3673,"/",""))+1))</f>
        <v/>
      </c>
      <c r="I3673" s="78">
        <f>IF(ISBLANK(G3673),"",IF(D3673="Stock","0",Key!$A$3*H3673*G3673))</f>
        <v/>
      </c>
      <c r="J3673" s="78">
        <f>IF(ISBLANK(E3673),"",IF(ISNUMBER(SEARCH("/",E3673)), IF(LEN(E3673)-LEN(SUBSTITUTE(E3673,"/",""))=1,(RIGHT(E3673,LEN(E3673)-FIND("/",E3673)))-(LEFT(E3673,FIND("/",E3673)-1)),(MID(E3673, SEARCH("/",E3673) + 1, SEARCH("/",E3673, SEARCH("/",E3673)+1) - SEARCH("/",E3673) - 1))-(LEFT(E3673,FIND("/",E3673)-1))), "NA"))</f>
        <v/>
      </c>
      <c r="K3673" s="79">
        <f>IF(A3673&lt;&gt;"", IF(ISBLANK(L3673), TODAY(), K3673), "")</f>
        <v/>
      </c>
      <c r="L3673" s="78" t="n"/>
      <c r="M3673" s="78">
        <f>IF(ISBLANK(L3673),"",IF(D3673="Stock",IF(C3673="Buy",L3673*G3673,IF(C3673="Sell",(L3673*G3673)-I3673, X)),IF(C3673="Buy",(L3673*G3673*100)+I3673,IF(C3673="Sell",(L3673*G3673*100)-I3673, X))))</f>
        <v/>
      </c>
      <c r="N3673" s="78">
        <f>IF(ISBLANK(L3673),"",IF(AND(C3673="Sell",D3673="Stock"),M3673,IF(ISBLANK(L3673),"",IF(C3673="Buy",M3673, IF(AND(C3673="Sell",J3673="NA"),(E3673*G3673*100*0.1)+I3673, IF(C3673="Sell",(J3673-L3673)*(100*G3673)+I3673))))))</f>
        <v/>
      </c>
      <c r="O3673" s="75" t="n"/>
      <c r="P3673" s="75" t="n"/>
      <c r="Q3673" s="75">
        <f>IF(ISBLANK(P3673),"",IF(D3673="Stock",P3673*G3673,IF(P3673=0,"0",G3673*P3673*100-(G3673*$AF$14))))</f>
        <v/>
      </c>
      <c r="R3673" s="79">
        <f>IF(P3673&lt;&gt;"", TODAY(), "")</f>
        <v/>
      </c>
      <c r="S3673" s="78">
        <f>IF(AND(K3673&lt;&gt;"", R3673&lt;&gt;""), R3673-K3673, "")</f>
        <v/>
      </c>
      <c r="T3673" s="78" t="n"/>
      <c r="U3673" s="92">
        <f>IF(ISBLANK(P3673),"",IF(C3673="Buy",Q3673-M3673+T3673, IF(C3673="Sell",M3673-Q3673-T3673, X)))</f>
        <v/>
      </c>
      <c r="V3673" s="81">
        <f>IF(ISBLANK(P3673),"",U3673/N3673)</f>
        <v/>
      </c>
      <c r="W3673" s="81">
        <f>IF(ISBLANK(P3673),"",IF(S3673=0,(365/0.5)*V3673,(365/S3673)*V3673))</f>
        <v/>
      </c>
      <c r="X3673" s="75" t="n"/>
      <c r="Y3673" s="77" t="n"/>
      <c r="Z3673" s="77" t="n"/>
      <c r="AA3673" s="75" t="n"/>
      <c r="AB3673" s="75" t="n"/>
      <c r="AC3673" s="6" t="n"/>
      <c r="AD3673" s="75" t="n"/>
      <c r="AE3673" s="75" t="n"/>
      <c r="AF3673" s="75" t="n"/>
    </row>
    <row r="3674" ht="15.75" customHeight="1" s="133">
      <c r="A3674" s="75" t="n"/>
      <c r="B3674" s="75" t="n"/>
      <c r="C3674" s="75" t="n"/>
      <c r="D3674" s="75" t="n"/>
      <c r="E3674" s="76" t="n"/>
      <c r="F3674" s="77" t="n"/>
      <c r="G3674" s="75" t="n"/>
      <c r="H3674" s="75">
        <f>IF(ISBLANK(E3674),"",IF(OR(D3674="Butterfly",D3674="Butterfly ",D3674="Iron Fly", D3674="Iron Fly "),LEN(E3674)-LEN(SUBSTITUTE(E3674,"/",""))+2,LEN(E3674)-LEN(SUBSTITUTE(E3674,"/",""))+1))</f>
        <v/>
      </c>
      <c r="I3674" s="78">
        <f>IF(ISBLANK(G3674),"",IF(D3674="Stock","0",Key!$A$3*H3674*G3674))</f>
        <v/>
      </c>
      <c r="J3674" s="78">
        <f>IF(ISBLANK(E3674),"",IF(ISNUMBER(SEARCH("/",E3674)), IF(LEN(E3674)-LEN(SUBSTITUTE(E3674,"/",""))=1,(RIGHT(E3674,LEN(E3674)-FIND("/",E3674)))-(LEFT(E3674,FIND("/",E3674)-1)),(MID(E3674, SEARCH("/",E3674) + 1, SEARCH("/",E3674, SEARCH("/",E3674)+1) - SEARCH("/",E3674) - 1))-(LEFT(E3674,FIND("/",E3674)-1))), "NA"))</f>
        <v/>
      </c>
      <c r="K3674" s="79">
        <f>IF(A3674&lt;&gt;"", IF(ISBLANK(L3674), TODAY(), K3674), "")</f>
        <v/>
      </c>
      <c r="L3674" s="78" t="n"/>
      <c r="M3674" s="78">
        <f>IF(ISBLANK(L3674),"",IF(D3674="Stock",IF(C3674="Buy",L3674*G3674,IF(C3674="Sell",(L3674*G3674)-I3674, X)),IF(C3674="Buy",(L3674*G3674*100)+I3674,IF(C3674="Sell",(L3674*G3674*100)-I3674, X))))</f>
        <v/>
      </c>
      <c r="N3674" s="78">
        <f>IF(ISBLANK(L3674),"",IF(AND(C3674="Sell",D3674="Stock"),M3674,IF(ISBLANK(L3674),"",IF(C3674="Buy",M3674, IF(AND(C3674="Sell",J3674="NA"),(E3674*G3674*100*0.1)+I3674, IF(C3674="Sell",(J3674-L3674)*(100*G3674)+I3674))))))</f>
        <v/>
      </c>
      <c r="O3674" s="75" t="n"/>
      <c r="P3674" s="75" t="n"/>
      <c r="Q3674" s="75">
        <f>IF(ISBLANK(P3674),"",IF(D3674="Stock",P3674*G3674,IF(P3674=0,"0",G3674*P3674*100-(G3674*$AF$14))))</f>
        <v/>
      </c>
      <c r="R3674" s="79">
        <f>IF(P3674&lt;&gt;"", TODAY(), "")</f>
        <v/>
      </c>
      <c r="S3674" s="78">
        <f>IF(AND(K3674&lt;&gt;"", R3674&lt;&gt;""), R3674-K3674, "")</f>
        <v/>
      </c>
      <c r="T3674" s="78" t="n"/>
      <c r="U3674" s="92">
        <f>IF(ISBLANK(P3674),"",IF(C3674="Buy",Q3674-M3674+T3674, IF(C3674="Sell",M3674-Q3674-T3674, X)))</f>
        <v/>
      </c>
      <c r="V3674" s="81">
        <f>IF(ISBLANK(P3674),"",U3674/N3674)</f>
        <v/>
      </c>
      <c r="W3674" s="81">
        <f>IF(ISBLANK(P3674),"",IF(S3674=0,(365/0.5)*V3674,(365/S3674)*V3674))</f>
        <v/>
      </c>
      <c r="X3674" s="75" t="n"/>
      <c r="Y3674" s="77" t="n"/>
      <c r="Z3674" s="77" t="n"/>
      <c r="AA3674" s="75" t="n"/>
      <c r="AB3674" s="75" t="n"/>
      <c r="AC3674" s="6" t="n"/>
      <c r="AD3674" s="75" t="n"/>
      <c r="AE3674" s="75" t="n"/>
      <c r="AF3674" s="75" t="n"/>
    </row>
    <row r="3675" ht="15.75" customHeight="1" s="133">
      <c r="A3675" s="75" t="n"/>
      <c r="B3675" s="75" t="n"/>
      <c r="C3675" s="75" t="n"/>
      <c r="D3675" s="75" t="n"/>
      <c r="E3675" s="76" t="n"/>
      <c r="F3675" s="77" t="n"/>
      <c r="G3675" s="75" t="n"/>
      <c r="H3675" s="75">
        <f>IF(ISBLANK(E3675),"",IF(OR(D3675="Butterfly",D3675="Butterfly ",D3675="Iron Fly", D3675="Iron Fly "),LEN(E3675)-LEN(SUBSTITUTE(E3675,"/",""))+2,LEN(E3675)-LEN(SUBSTITUTE(E3675,"/",""))+1))</f>
        <v/>
      </c>
      <c r="I3675" s="78">
        <f>IF(ISBLANK(G3675),"",IF(D3675="Stock","0",Key!$A$3*H3675*G3675))</f>
        <v/>
      </c>
      <c r="J3675" s="78">
        <f>IF(ISBLANK(E3675),"",IF(ISNUMBER(SEARCH("/",E3675)), IF(LEN(E3675)-LEN(SUBSTITUTE(E3675,"/",""))=1,(RIGHT(E3675,LEN(E3675)-FIND("/",E3675)))-(LEFT(E3675,FIND("/",E3675)-1)),(MID(E3675, SEARCH("/",E3675) + 1, SEARCH("/",E3675, SEARCH("/",E3675)+1) - SEARCH("/",E3675) - 1))-(LEFT(E3675,FIND("/",E3675)-1))), "NA"))</f>
        <v/>
      </c>
      <c r="K3675" s="79">
        <f>IF(A3675&lt;&gt;"", IF(ISBLANK(L3675), TODAY(), K3675), "")</f>
        <v/>
      </c>
      <c r="L3675" s="78" t="n"/>
      <c r="M3675" s="78">
        <f>IF(ISBLANK(L3675),"",IF(D3675="Stock",IF(C3675="Buy",L3675*G3675,IF(C3675="Sell",(L3675*G3675)-I3675, X)),IF(C3675="Buy",(L3675*G3675*100)+I3675,IF(C3675="Sell",(L3675*G3675*100)-I3675, X))))</f>
        <v/>
      </c>
      <c r="N3675" s="78">
        <f>IF(ISBLANK(L3675),"",IF(AND(C3675="Sell",D3675="Stock"),M3675,IF(ISBLANK(L3675),"",IF(C3675="Buy",M3675, IF(AND(C3675="Sell",J3675="NA"),(E3675*G3675*100*0.1)+I3675, IF(C3675="Sell",(J3675-L3675)*(100*G3675)+I3675))))))</f>
        <v/>
      </c>
      <c r="O3675" s="75" t="n"/>
      <c r="P3675" s="75" t="n"/>
      <c r="Q3675" s="75">
        <f>IF(ISBLANK(P3675),"",IF(D3675="Stock",P3675*G3675,IF(P3675=0,"0",G3675*P3675*100-(G3675*$AF$14))))</f>
        <v/>
      </c>
      <c r="R3675" s="79">
        <f>IF(P3675&lt;&gt;"", TODAY(), "")</f>
        <v/>
      </c>
      <c r="S3675" s="78">
        <f>IF(AND(K3675&lt;&gt;"", R3675&lt;&gt;""), R3675-K3675, "")</f>
        <v/>
      </c>
      <c r="T3675" s="78" t="n"/>
      <c r="U3675" s="92">
        <f>IF(ISBLANK(P3675),"",IF(C3675="Buy",Q3675-M3675+T3675, IF(C3675="Sell",M3675-Q3675-T3675, X)))</f>
        <v/>
      </c>
      <c r="V3675" s="81">
        <f>IF(ISBLANK(P3675),"",U3675/N3675)</f>
        <v/>
      </c>
      <c r="W3675" s="81">
        <f>IF(ISBLANK(P3675),"",IF(S3675=0,(365/0.5)*V3675,(365/S3675)*V3675))</f>
        <v/>
      </c>
      <c r="X3675" s="75" t="n"/>
      <c r="Y3675" s="77" t="n"/>
      <c r="Z3675" s="77" t="n"/>
      <c r="AA3675" s="75" t="n"/>
      <c r="AB3675" s="75" t="n"/>
      <c r="AC3675" s="6" t="n"/>
      <c r="AD3675" s="75" t="n"/>
      <c r="AE3675" s="75" t="n"/>
      <c r="AF3675" s="75" t="n"/>
    </row>
    <row r="3676" ht="15.75" customHeight="1" s="133">
      <c r="A3676" s="75" t="n"/>
      <c r="B3676" s="75" t="n"/>
      <c r="C3676" s="75" t="n"/>
      <c r="D3676" s="75" t="n"/>
      <c r="E3676" s="76" t="n"/>
      <c r="F3676" s="77" t="n"/>
      <c r="G3676" s="75" t="n"/>
      <c r="H3676" s="75">
        <f>IF(ISBLANK(E3676),"",IF(OR(D3676="Butterfly",D3676="Butterfly ",D3676="Iron Fly", D3676="Iron Fly "),LEN(E3676)-LEN(SUBSTITUTE(E3676,"/",""))+2,LEN(E3676)-LEN(SUBSTITUTE(E3676,"/",""))+1))</f>
        <v/>
      </c>
      <c r="I3676" s="78">
        <f>IF(ISBLANK(G3676),"",IF(D3676="Stock","0",Key!$A$3*H3676*G3676))</f>
        <v/>
      </c>
      <c r="J3676" s="78">
        <f>IF(ISBLANK(E3676),"",IF(ISNUMBER(SEARCH("/",E3676)), IF(LEN(E3676)-LEN(SUBSTITUTE(E3676,"/",""))=1,(RIGHT(E3676,LEN(E3676)-FIND("/",E3676)))-(LEFT(E3676,FIND("/",E3676)-1)),(MID(E3676, SEARCH("/",E3676) + 1, SEARCH("/",E3676, SEARCH("/",E3676)+1) - SEARCH("/",E3676) - 1))-(LEFT(E3676,FIND("/",E3676)-1))), "NA"))</f>
        <v/>
      </c>
      <c r="K3676" s="79">
        <f>IF(A3676&lt;&gt;"", IF(ISBLANK(L3676), TODAY(), K3676), "")</f>
        <v/>
      </c>
      <c r="L3676" s="78" t="n"/>
      <c r="M3676" s="78">
        <f>IF(ISBLANK(L3676),"",IF(D3676="Stock",IF(C3676="Buy",L3676*G3676,IF(C3676="Sell",(L3676*G3676)-I3676, X)),IF(C3676="Buy",(L3676*G3676*100)+I3676,IF(C3676="Sell",(L3676*G3676*100)-I3676, X))))</f>
        <v/>
      </c>
      <c r="N3676" s="78">
        <f>IF(ISBLANK(L3676),"",IF(AND(C3676="Sell",D3676="Stock"),M3676,IF(ISBLANK(L3676),"",IF(C3676="Buy",M3676, IF(AND(C3676="Sell",J3676="NA"),(E3676*G3676*100*0.1)+I3676, IF(C3676="Sell",(J3676-L3676)*(100*G3676)+I3676))))))</f>
        <v/>
      </c>
      <c r="O3676" s="75" t="n"/>
      <c r="P3676" s="75" t="n"/>
      <c r="Q3676" s="75">
        <f>IF(ISBLANK(P3676),"",IF(D3676="Stock",P3676*G3676,IF(P3676=0,"0",G3676*P3676*100-(G3676*$AF$14))))</f>
        <v/>
      </c>
      <c r="R3676" s="79">
        <f>IF(P3676&lt;&gt;"", TODAY(), "")</f>
        <v/>
      </c>
      <c r="S3676" s="78">
        <f>IF(AND(K3676&lt;&gt;"", R3676&lt;&gt;""), R3676-K3676, "")</f>
        <v/>
      </c>
      <c r="T3676" s="78" t="n"/>
      <c r="U3676" s="92">
        <f>IF(ISBLANK(P3676),"",IF(C3676="Buy",Q3676-M3676+T3676, IF(C3676="Sell",M3676-Q3676-T3676, X)))</f>
        <v/>
      </c>
      <c r="V3676" s="81">
        <f>IF(ISBLANK(P3676),"",U3676/N3676)</f>
        <v/>
      </c>
      <c r="W3676" s="81">
        <f>IF(ISBLANK(P3676),"",IF(S3676=0,(365/0.5)*V3676,(365/S3676)*V3676))</f>
        <v/>
      </c>
      <c r="X3676" s="75" t="n"/>
      <c r="Y3676" s="77" t="n"/>
      <c r="Z3676" s="77" t="n"/>
      <c r="AA3676" s="75" t="n"/>
      <c r="AB3676" s="75" t="n"/>
      <c r="AC3676" s="6" t="n"/>
      <c r="AD3676" s="75" t="n"/>
      <c r="AE3676" s="75" t="n"/>
      <c r="AF3676" s="75" t="n"/>
    </row>
    <row r="3677" ht="15.75" customHeight="1" s="133">
      <c r="A3677" s="75" t="n"/>
      <c r="B3677" s="75" t="n"/>
      <c r="C3677" s="75" t="n"/>
      <c r="D3677" s="75" t="n"/>
      <c r="E3677" s="76" t="n"/>
      <c r="F3677" s="77" t="n"/>
      <c r="G3677" s="75" t="n"/>
      <c r="H3677" s="75">
        <f>IF(ISBLANK(E3677),"",IF(OR(D3677="Butterfly",D3677="Butterfly ",D3677="Iron Fly", D3677="Iron Fly "),LEN(E3677)-LEN(SUBSTITUTE(E3677,"/",""))+2,LEN(E3677)-LEN(SUBSTITUTE(E3677,"/",""))+1))</f>
        <v/>
      </c>
      <c r="I3677" s="78">
        <f>IF(ISBLANK(G3677),"",IF(D3677="Stock","0",Key!$A$3*H3677*G3677))</f>
        <v/>
      </c>
      <c r="J3677" s="78">
        <f>IF(ISBLANK(E3677),"",IF(ISNUMBER(SEARCH("/",E3677)), IF(LEN(E3677)-LEN(SUBSTITUTE(E3677,"/",""))=1,(RIGHT(E3677,LEN(E3677)-FIND("/",E3677)))-(LEFT(E3677,FIND("/",E3677)-1)),(MID(E3677, SEARCH("/",E3677) + 1, SEARCH("/",E3677, SEARCH("/",E3677)+1) - SEARCH("/",E3677) - 1))-(LEFT(E3677,FIND("/",E3677)-1))), "NA"))</f>
        <v/>
      </c>
      <c r="K3677" s="79">
        <f>IF(A3677&lt;&gt;"", IF(ISBLANK(L3677), TODAY(), K3677), "")</f>
        <v/>
      </c>
      <c r="L3677" s="78" t="n"/>
      <c r="M3677" s="78">
        <f>IF(ISBLANK(L3677),"",IF(D3677="Stock",IF(C3677="Buy",L3677*G3677,IF(C3677="Sell",(L3677*G3677)-I3677, X)),IF(C3677="Buy",(L3677*G3677*100)+I3677,IF(C3677="Sell",(L3677*G3677*100)-I3677, X))))</f>
        <v/>
      </c>
      <c r="N3677" s="78">
        <f>IF(ISBLANK(L3677),"",IF(AND(C3677="Sell",D3677="Stock"),M3677,IF(ISBLANK(L3677),"",IF(C3677="Buy",M3677, IF(AND(C3677="Sell",J3677="NA"),(E3677*G3677*100*0.1)+I3677, IF(C3677="Sell",(J3677-L3677)*(100*G3677)+I3677))))))</f>
        <v/>
      </c>
      <c r="O3677" s="75" t="n"/>
      <c r="P3677" s="75" t="n"/>
      <c r="Q3677" s="75">
        <f>IF(ISBLANK(P3677),"",IF(D3677="Stock",P3677*G3677,IF(P3677=0,"0",G3677*P3677*100-(G3677*$AF$14))))</f>
        <v/>
      </c>
      <c r="R3677" s="79">
        <f>IF(P3677&lt;&gt;"", TODAY(), "")</f>
        <v/>
      </c>
      <c r="S3677" s="78">
        <f>IF(AND(K3677&lt;&gt;"", R3677&lt;&gt;""), R3677-K3677, "")</f>
        <v/>
      </c>
      <c r="T3677" s="78" t="n"/>
      <c r="U3677" s="92">
        <f>IF(ISBLANK(P3677),"",IF(C3677="Buy",Q3677-M3677+T3677, IF(C3677="Sell",M3677-Q3677-T3677, X)))</f>
        <v/>
      </c>
      <c r="V3677" s="81">
        <f>IF(ISBLANK(P3677),"",U3677/N3677)</f>
        <v/>
      </c>
      <c r="W3677" s="81">
        <f>IF(ISBLANK(P3677),"",IF(S3677=0,(365/0.5)*V3677,(365/S3677)*V3677))</f>
        <v/>
      </c>
      <c r="X3677" s="75" t="n"/>
      <c r="Y3677" s="77" t="n"/>
      <c r="Z3677" s="77" t="n"/>
      <c r="AA3677" s="75" t="n"/>
      <c r="AB3677" s="75" t="n"/>
      <c r="AC3677" s="6" t="n"/>
      <c r="AD3677" s="75" t="n"/>
      <c r="AE3677" s="75" t="n"/>
      <c r="AF3677" s="75" t="n"/>
    </row>
    <row r="3678" ht="15.75" customHeight="1" s="133">
      <c r="A3678" s="75" t="n"/>
      <c r="B3678" s="75" t="n"/>
      <c r="C3678" s="75" t="n"/>
      <c r="D3678" s="75" t="n"/>
      <c r="E3678" s="76" t="n"/>
      <c r="F3678" s="77" t="n"/>
      <c r="G3678" s="75" t="n"/>
      <c r="H3678" s="75">
        <f>IF(ISBLANK(E3678),"",IF(OR(D3678="Butterfly",D3678="Butterfly ",D3678="Iron Fly", D3678="Iron Fly "),LEN(E3678)-LEN(SUBSTITUTE(E3678,"/",""))+2,LEN(E3678)-LEN(SUBSTITUTE(E3678,"/",""))+1))</f>
        <v/>
      </c>
      <c r="I3678" s="78">
        <f>IF(ISBLANK(G3678),"",IF(D3678="Stock","0",Key!$A$3*H3678*G3678))</f>
        <v/>
      </c>
      <c r="J3678" s="78">
        <f>IF(ISBLANK(E3678),"",IF(ISNUMBER(SEARCH("/",E3678)), IF(LEN(E3678)-LEN(SUBSTITUTE(E3678,"/",""))=1,(RIGHT(E3678,LEN(E3678)-FIND("/",E3678)))-(LEFT(E3678,FIND("/",E3678)-1)),(MID(E3678, SEARCH("/",E3678) + 1, SEARCH("/",E3678, SEARCH("/",E3678)+1) - SEARCH("/",E3678) - 1))-(LEFT(E3678,FIND("/",E3678)-1))), "NA"))</f>
        <v/>
      </c>
      <c r="K3678" s="79">
        <f>IF(A3678&lt;&gt;"", IF(ISBLANK(L3678), TODAY(), K3678), "")</f>
        <v/>
      </c>
      <c r="L3678" s="78" t="n"/>
      <c r="M3678" s="78">
        <f>IF(ISBLANK(L3678),"",IF(D3678="Stock",IF(C3678="Buy",L3678*G3678,IF(C3678="Sell",(L3678*G3678)-I3678, X)),IF(C3678="Buy",(L3678*G3678*100)+I3678,IF(C3678="Sell",(L3678*G3678*100)-I3678, X))))</f>
        <v/>
      </c>
      <c r="N3678" s="78">
        <f>IF(ISBLANK(L3678),"",IF(AND(C3678="Sell",D3678="Stock"),M3678,IF(ISBLANK(L3678),"",IF(C3678="Buy",M3678, IF(AND(C3678="Sell",J3678="NA"),(E3678*G3678*100*0.1)+I3678, IF(C3678="Sell",(J3678-L3678)*(100*G3678)+I3678))))))</f>
        <v/>
      </c>
      <c r="O3678" s="75" t="n"/>
      <c r="P3678" s="75" t="n"/>
      <c r="Q3678" s="75">
        <f>IF(ISBLANK(P3678),"",IF(D3678="Stock",P3678*G3678,IF(P3678=0,"0",G3678*P3678*100-(G3678*$AF$14))))</f>
        <v/>
      </c>
      <c r="R3678" s="79">
        <f>IF(P3678&lt;&gt;"", TODAY(), "")</f>
        <v/>
      </c>
      <c r="S3678" s="78">
        <f>IF(AND(K3678&lt;&gt;"", R3678&lt;&gt;""), R3678-K3678, "")</f>
        <v/>
      </c>
      <c r="T3678" s="78" t="n"/>
      <c r="U3678" s="92">
        <f>IF(ISBLANK(P3678),"",IF(C3678="Buy",Q3678-M3678+T3678, IF(C3678="Sell",M3678-Q3678-T3678, X)))</f>
        <v/>
      </c>
      <c r="V3678" s="81">
        <f>IF(ISBLANK(P3678),"",U3678/N3678)</f>
        <v/>
      </c>
      <c r="W3678" s="81">
        <f>IF(ISBLANK(P3678),"",IF(S3678=0,(365/0.5)*V3678,(365/S3678)*V3678))</f>
        <v/>
      </c>
      <c r="X3678" s="75" t="n"/>
      <c r="Y3678" s="77" t="n"/>
      <c r="Z3678" s="77" t="n"/>
      <c r="AA3678" s="75" t="n"/>
      <c r="AB3678" s="75" t="n"/>
      <c r="AC3678" s="6" t="n"/>
      <c r="AD3678" s="75" t="n"/>
      <c r="AE3678" s="75" t="n"/>
      <c r="AF3678" s="75" t="n"/>
    </row>
    <row r="3679" ht="15.75" customHeight="1" s="133">
      <c r="A3679" s="75" t="n"/>
      <c r="B3679" s="75" t="n"/>
      <c r="C3679" s="75" t="n"/>
      <c r="D3679" s="75" t="n"/>
      <c r="E3679" s="76" t="n"/>
      <c r="F3679" s="77" t="n"/>
      <c r="G3679" s="75" t="n"/>
      <c r="H3679" s="75">
        <f>IF(ISBLANK(E3679),"",IF(OR(D3679="Butterfly",D3679="Butterfly ",D3679="Iron Fly", D3679="Iron Fly "),LEN(E3679)-LEN(SUBSTITUTE(E3679,"/",""))+2,LEN(E3679)-LEN(SUBSTITUTE(E3679,"/",""))+1))</f>
        <v/>
      </c>
      <c r="I3679" s="78">
        <f>IF(ISBLANK(G3679),"",IF(D3679="Stock","0",Key!$A$3*H3679*G3679))</f>
        <v/>
      </c>
      <c r="J3679" s="78">
        <f>IF(ISBLANK(E3679),"",IF(ISNUMBER(SEARCH("/",E3679)), IF(LEN(E3679)-LEN(SUBSTITUTE(E3679,"/",""))=1,(RIGHT(E3679,LEN(E3679)-FIND("/",E3679)))-(LEFT(E3679,FIND("/",E3679)-1)),(MID(E3679, SEARCH("/",E3679) + 1, SEARCH("/",E3679, SEARCH("/",E3679)+1) - SEARCH("/",E3679) - 1))-(LEFT(E3679,FIND("/",E3679)-1))), "NA"))</f>
        <v/>
      </c>
      <c r="K3679" s="79">
        <f>IF(A3679&lt;&gt;"", IF(ISBLANK(L3679), TODAY(), K3679), "")</f>
        <v/>
      </c>
      <c r="L3679" s="78" t="n"/>
      <c r="M3679" s="78">
        <f>IF(ISBLANK(L3679),"",IF(D3679="Stock",IF(C3679="Buy",L3679*G3679,IF(C3679="Sell",(L3679*G3679)-I3679, X)),IF(C3679="Buy",(L3679*G3679*100)+I3679,IF(C3679="Sell",(L3679*G3679*100)-I3679, X))))</f>
        <v/>
      </c>
      <c r="N3679" s="78">
        <f>IF(ISBLANK(L3679),"",IF(AND(C3679="Sell",D3679="Stock"),M3679,IF(ISBLANK(L3679),"",IF(C3679="Buy",M3679, IF(AND(C3679="Sell",J3679="NA"),(E3679*G3679*100*0.1)+I3679, IF(C3679="Sell",(J3679-L3679)*(100*G3679)+I3679))))))</f>
        <v/>
      </c>
      <c r="O3679" s="75" t="n"/>
      <c r="P3679" s="75" t="n"/>
      <c r="Q3679" s="75">
        <f>IF(ISBLANK(P3679),"",IF(D3679="Stock",P3679*G3679,IF(P3679=0,"0",G3679*P3679*100-(G3679*$AF$14))))</f>
        <v/>
      </c>
      <c r="R3679" s="79">
        <f>IF(P3679&lt;&gt;"", TODAY(), "")</f>
        <v/>
      </c>
      <c r="S3679" s="78">
        <f>IF(AND(K3679&lt;&gt;"", R3679&lt;&gt;""), R3679-K3679, "")</f>
        <v/>
      </c>
      <c r="T3679" s="78" t="n"/>
      <c r="U3679" s="92">
        <f>IF(ISBLANK(P3679),"",IF(C3679="Buy",Q3679-M3679+T3679, IF(C3679="Sell",M3679-Q3679-T3679, X)))</f>
        <v/>
      </c>
      <c r="V3679" s="81">
        <f>IF(ISBLANK(P3679),"",U3679/N3679)</f>
        <v/>
      </c>
      <c r="W3679" s="81">
        <f>IF(ISBLANK(P3679),"",IF(S3679=0,(365/0.5)*V3679,(365/S3679)*V3679))</f>
        <v/>
      </c>
      <c r="X3679" s="75" t="n"/>
      <c r="Y3679" s="77" t="n"/>
      <c r="Z3679" s="77" t="n"/>
      <c r="AA3679" s="75" t="n"/>
      <c r="AB3679" s="75" t="n"/>
      <c r="AC3679" s="6" t="n"/>
      <c r="AD3679" s="75" t="n"/>
      <c r="AE3679" s="75" t="n"/>
      <c r="AF3679" s="75" t="n"/>
    </row>
    <row r="3680" ht="15.75" customHeight="1" s="133">
      <c r="A3680" s="75" t="n"/>
      <c r="B3680" s="75" t="n"/>
      <c r="C3680" s="75" t="n"/>
      <c r="D3680" s="75" t="n"/>
      <c r="E3680" s="76" t="n"/>
      <c r="F3680" s="77" t="n"/>
      <c r="G3680" s="75" t="n"/>
      <c r="H3680" s="75">
        <f>IF(ISBLANK(E3680),"",IF(OR(D3680="Butterfly",D3680="Butterfly ",D3680="Iron Fly", D3680="Iron Fly "),LEN(E3680)-LEN(SUBSTITUTE(E3680,"/",""))+2,LEN(E3680)-LEN(SUBSTITUTE(E3680,"/",""))+1))</f>
        <v/>
      </c>
      <c r="I3680" s="78">
        <f>IF(ISBLANK(G3680),"",IF(D3680="Stock","0",Key!$A$3*H3680*G3680))</f>
        <v/>
      </c>
      <c r="J3680" s="78">
        <f>IF(ISBLANK(E3680),"",IF(ISNUMBER(SEARCH("/",E3680)), IF(LEN(E3680)-LEN(SUBSTITUTE(E3680,"/",""))=1,(RIGHT(E3680,LEN(E3680)-FIND("/",E3680)))-(LEFT(E3680,FIND("/",E3680)-1)),(MID(E3680, SEARCH("/",E3680) + 1, SEARCH("/",E3680, SEARCH("/",E3680)+1) - SEARCH("/",E3680) - 1))-(LEFT(E3680,FIND("/",E3680)-1))), "NA"))</f>
        <v/>
      </c>
      <c r="K3680" s="79">
        <f>IF(A3680&lt;&gt;"", IF(ISBLANK(L3680), TODAY(), K3680), "")</f>
        <v/>
      </c>
      <c r="L3680" s="78" t="n"/>
      <c r="M3680" s="78">
        <f>IF(ISBLANK(L3680),"",IF(D3680="Stock",IF(C3680="Buy",L3680*G3680,IF(C3680="Sell",(L3680*G3680)-I3680, X)),IF(C3680="Buy",(L3680*G3680*100)+I3680,IF(C3680="Sell",(L3680*G3680*100)-I3680, X))))</f>
        <v/>
      </c>
      <c r="N3680" s="78">
        <f>IF(ISBLANK(L3680),"",IF(AND(C3680="Sell",D3680="Stock"),M3680,IF(ISBLANK(L3680),"",IF(C3680="Buy",M3680, IF(AND(C3680="Sell",J3680="NA"),(E3680*G3680*100*0.1)+I3680, IF(C3680="Sell",(J3680-L3680)*(100*G3680)+I3680))))))</f>
        <v/>
      </c>
      <c r="O3680" s="75" t="n"/>
      <c r="P3680" s="75" t="n"/>
      <c r="Q3680" s="75">
        <f>IF(ISBLANK(P3680),"",IF(D3680="Stock",P3680*G3680,IF(P3680=0,"0",G3680*P3680*100-(G3680*$AF$14))))</f>
        <v/>
      </c>
      <c r="R3680" s="79">
        <f>IF(P3680&lt;&gt;"", TODAY(), "")</f>
        <v/>
      </c>
      <c r="S3680" s="78">
        <f>IF(AND(K3680&lt;&gt;"", R3680&lt;&gt;""), R3680-K3680, "")</f>
        <v/>
      </c>
      <c r="T3680" s="78" t="n"/>
      <c r="U3680" s="92">
        <f>IF(ISBLANK(P3680),"",IF(C3680="Buy",Q3680-M3680+T3680, IF(C3680="Sell",M3680-Q3680-T3680, X)))</f>
        <v/>
      </c>
      <c r="V3680" s="81">
        <f>IF(ISBLANK(P3680),"",U3680/N3680)</f>
        <v/>
      </c>
      <c r="W3680" s="81">
        <f>IF(ISBLANK(P3680),"",IF(S3680=0,(365/0.5)*V3680,(365/S3680)*V3680))</f>
        <v/>
      </c>
      <c r="X3680" s="75" t="n"/>
      <c r="Y3680" s="77" t="n"/>
      <c r="Z3680" s="77" t="n"/>
      <c r="AA3680" s="75" t="n"/>
      <c r="AB3680" s="75" t="n"/>
      <c r="AC3680" s="6" t="n"/>
      <c r="AD3680" s="75" t="n"/>
      <c r="AE3680" s="75" t="n"/>
      <c r="AF3680" s="75" t="n"/>
    </row>
    <row r="3681" ht="15.75" customHeight="1" s="133">
      <c r="A3681" s="75" t="n"/>
      <c r="B3681" s="75" t="n"/>
      <c r="C3681" s="75" t="n"/>
      <c r="D3681" s="75" t="n"/>
      <c r="E3681" s="76" t="n"/>
      <c r="F3681" s="77" t="n"/>
      <c r="G3681" s="75" t="n"/>
      <c r="H3681" s="75">
        <f>IF(ISBLANK(E3681),"",IF(OR(D3681="Butterfly",D3681="Butterfly ",D3681="Iron Fly", D3681="Iron Fly "),LEN(E3681)-LEN(SUBSTITUTE(E3681,"/",""))+2,LEN(E3681)-LEN(SUBSTITUTE(E3681,"/",""))+1))</f>
        <v/>
      </c>
      <c r="I3681" s="78">
        <f>IF(ISBLANK(G3681),"",IF(D3681="Stock","0",Key!$A$3*H3681*G3681))</f>
        <v/>
      </c>
      <c r="J3681" s="78">
        <f>IF(ISBLANK(E3681),"",IF(ISNUMBER(SEARCH("/",E3681)), IF(LEN(E3681)-LEN(SUBSTITUTE(E3681,"/",""))=1,(RIGHT(E3681,LEN(E3681)-FIND("/",E3681)))-(LEFT(E3681,FIND("/",E3681)-1)),(MID(E3681, SEARCH("/",E3681) + 1, SEARCH("/",E3681, SEARCH("/",E3681)+1) - SEARCH("/",E3681) - 1))-(LEFT(E3681,FIND("/",E3681)-1))), "NA"))</f>
        <v/>
      </c>
      <c r="K3681" s="79">
        <f>IF(A3681&lt;&gt;"", IF(ISBLANK(L3681), TODAY(), K3681), "")</f>
        <v/>
      </c>
      <c r="L3681" s="78" t="n"/>
      <c r="M3681" s="78">
        <f>IF(ISBLANK(L3681),"",IF(D3681="Stock",IF(C3681="Buy",L3681*G3681,IF(C3681="Sell",(L3681*G3681)-I3681, X)),IF(C3681="Buy",(L3681*G3681*100)+I3681,IF(C3681="Sell",(L3681*G3681*100)-I3681, X))))</f>
        <v/>
      </c>
      <c r="N3681" s="78">
        <f>IF(ISBLANK(L3681),"",IF(AND(C3681="Sell",D3681="Stock"),M3681,IF(ISBLANK(L3681),"",IF(C3681="Buy",M3681, IF(AND(C3681="Sell",J3681="NA"),(E3681*G3681*100*0.1)+I3681, IF(C3681="Sell",(J3681-L3681)*(100*G3681)+I3681))))))</f>
        <v/>
      </c>
      <c r="O3681" s="75" t="n"/>
      <c r="P3681" s="75" t="n"/>
      <c r="Q3681" s="75">
        <f>IF(ISBLANK(P3681),"",IF(D3681="Stock",P3681*G3681,IF(P3681=0,"0",G3681*P3681*100-(G3681*$AF$14))))</f>
        <v/>
      </c>
      <c r="R3681" s="79">
        <f>IF(P3681&lt;&gt;"", TODAY(), "")</f>
        <v/>
      </c>
      <c r="S3681" s="78">
        <f>IF(AND(K3681&lt;&gt;"", R3681&lt;&gt;""), R3681-K3681, "")</f>
        <v/>
      </c>
      <c r="T3681" s="78" t="n"/>
      <c r="U3681" s="92">
        <f>IF(ISBLANK(P3681),"",IF(C3681="Buy",Q3681-M3681+T3681, IF(C3681="Sell",M3681-Q3681-T3681, X)))</f>
        <v/>
      </c>
      <c r="V3681" s="81">
        <f>IF(ISBLANK(P3681),"",U3681/N3681)</f>
        <v/>
      </c>
      <c r="W3681" s="81">
        <f>IF(ISBLANK(P3681),"",IF(S3681=0,(365/0.5)*V3681,(365/S3681)*V3681))</f>
        <v/>
      </c>
      <c r="X3681" s="75" t="n"/>
      <c r="Y3681" s="77" t="n"/>
      <c r="Z3681" s="77" t="n"/>
      <c r="AA3681" s="75" t="n"/>
      <c r="AB3681" s="75" t="n"/>
      <c r="AC3681" s="6" t="n"/>
      <c r="AD3681" s="75" t="n"/>
      <c r="AE3681" s="75" t="n"/>
      <c r="AF3681" s="75" t="n"/>
    </row>
    <row r="3682" ht="15.75" customHeight="1" s="133">
      <c r="A3682" s="75" t="n"/>
      <c r="B3682" s="75" t="n"/>
      <c r="C3682" s="75" t="n"/>
      <c r="D3682" s="75" t="n"/>
      <c r="E3682" s="76" t="n"/>
      <c r="F3682" s="77" t="n"/>
      <c r="G3682" s="75" t="n"/>
      <c r="H3682" s="75">
        <f>IF(ISBLANK(E3682),"",IF(OR(D3682="Butterfly",D3682="Butterfly ",D3682="Iron Fly", D3682="Iron Fly "),LEN(E3682)-LEN(SUBSTITUTE(E3682,"/",""))+2,LEN(E3682)-LEN(SUBSTITUTE(E3682,"/",""))+1))</f>
        <v/>
      </c>
      <c r="I3682" s="78">
        <f>IF(ISBLANK(G3682),"",IF(D3682="Stock","0",Key!$A$3*H3682*G3682))</f>
        <v/>
      </c>
      <c r="J3682" s="78">
        <f>IF(ISBLANK(E3682),"",IF(ISNUMBER(SEARCH("/",E3682)), IF(LEN(E3682)-LEN(SUBSTITUTE(E3682,"/",""))=1,(RIGHT(E3682,LEN(E3682)-FIND("/",E3682)))-(LEFT(E3682,FIND("/",E3682)-1)),(MID(E3682, SEARCH("/",E3682) + 1, SEARCH("/",E3682, SEARCH("/",E3682)+1) - SEARCH("/",E3682) - 1))-(LEFT(E3682,FIND("/",E3682)-1))), "NA"))</f>
        <v/>
      </c>
      <c r="K3682" s="79">
        <f>IF(A3682&lt;&gt;"", IF(ISBLANK(L3682), TODAY(), K3682), "")</f>
        <v/>
      </c>
      <c r="L3682" s="78" t="n"/>
      <c r="M3682" s="78">
        <f>IF(ISBLANK(L3682),"",IF(D3682="Stock",IF(C3682="Buy",L3682*G3682,IF(C3682="Sell",(L3682*G3682)-I3682, X)),IF(C3682="Buy",(L3682*G3682*100)+I3682,IF(C3682="Sell",(L3682*G3682*100)-I3682, X))))</f>
        <v/>
      </c>
      <c r="N3682" s="78">
        <f>IF(ISBLANK(L3682),"",IF(AND(C3682="Sell",D3682="Stock"),M3682,IF(ISBLANK(L3682),"",IF(C3682="Buy",M3682, IF(AND(C3682="Sell",J3682="NA"),(E3682*G3682*100*0.1)+I3682, IF(C3682="Sell",(J3682-L3682)*(100*G3682)+I3682))))))</f>
        <v/>
      </c>
      <c r="O3682" s="75" t="n"/>
      <c r="P3682" s="75" t="n"/>
      <c r="Q3682" s="75">
        <f>IF(ISBLANK(P3682),"",IF(D3682="Stock",P3682*G3682,IF(P3682=0,"0",G3682*P3682*100-(G3682*$AF$14))))</f>
        <v/>
      </c>
      <c r="R3682" s="79">
        <f>IF(P3682&lt;&gt;"", TODAY(), "")</f>
        <v/>
      </c>
      <c r="S3682" s="78">
        <f>IF(AND(K3682&lt;&gt;"", R3682&lt;&gt;""), R3682-K3682, "")</f>
        <v/>
      </c>
      <c r="T3682" s="78" t="n"/>
      <c r="U3682" s="92">
        <f>IF(ISBLANK(P3682),"",IF(C3682="Buy",Q3682-M3682+T3682, IF(C3682="Sell",M3682-Q3682-T3682, X)))</f>
        <v/>
      </c>
      <c r="V3682" s="81">
        <f>IF(ISBLANK(P3682),"",U3682/N3682)</f>
        <v/>
      </c>
      <c r="W3682" s="81">
        <f>IF(ISBLANK(P3682),"",IF(S3682=0,(365/0.5)*V3682,(365/S3682)*V3682))</f>
        <v/>
      </c>
      <c r="X3682" s="75" t="n"/>
      <c r="Y3682" s="77" t="n"/>
      <c r="Z3682" s="77" t="n"/>
      <c r="AA3682" s="75" t="n"/>
      <c r="AB3682" s="75" t="n"/>
      <c r="AC3682" s="6" t="n"/>
      <c r="AD3682" s="75" t="n"/>
      <c r="AE3682" s="75" t="n"/>
      <c r="AF3682" s="75" t="n"/>
    </row>
    <row r="3683" ht="15.75" customHeight="1" s="133">
      <c r="A3683" s="75" t="n"/>
      <c r="B3683" s="75" t="n"/>
      <c r="C3683" s="75" t="n"/>
      <c r="D3683" s="75" t="n"/>
      <c r="E3683" s="76" t="n"/>
      <c r="F3683" s="77" t="n"/>
      <c r="G3683" s="75" t="n"/>
      <c r="H3683" s="75">
        <f>IF(ISBLANK(E3683),"",IF(OR(D3683="Butterfly",D3683="Butterfly ",D3683="Iron Fly", D3683="Iron Fly "),LEN(E3683)-LEN(SUBSTITUTE(E3683,"/",""))+2,LEN(E3683)-LEN(SUBSTITUTE(E3683,"/",""))+1))</f>
        <v/>
      </c>
      <c r="I3683" s="78">
        <f>IF(ISBLANK(G3683),"",IF(D3683="Stock","0",Key!$A$3*H3683*G3683))</f>
        <v/>
      </c>
      <c r="J3683" s="78">
        <f>IF(ISBLANK(E3683),"",IF(ISNUMBER(SEARCH("/",E3683)), IF(LEN(E3683)-LEN(SUBSTITUTE(E3683,"/",""))=1,(RIGHT(E3683,LEN(E3683)-FIND("/",E3683)))-(LEFT(E3683,FIND("/",E3683)-1)),(MID(E3683, SEARCH("/",E3683) + 1, SEARCH("/",E3683, SEARCH("/",E3683)+1) - SEARCH("/",E3683) - 1))-(LEFT(E3683,FIND("/",E3683)-1))), "NA"))</f>
        <v/>
      </c>
      <c r="K3683" s="79">
        <f>IF(A3683&lt;&gt;"", IF(ISBLANK(L3683), TODAY(), K3683), "")</f>
        <v/>
      </c>
      <c r="L3683" s="78" t="n"/>
      <c r="M3683" s="78">
        <f>IF(ISBLANK(L3683),"",IF(D3683="Stock",IF(C3683="Buy",L3683*G3683,IF(C3683="Sell",(L3683*G3683)-I3683, X)),IF(C3683="Buy",(L3683*G3683*100)+I3683,IF(C3683="Sell",(L3683*G3683*100)-I3683, X))))</f>
        <v/>
      </c>
      <c r="N3683" s="78">
        <f>IF(ISBLANK(L3683),"",IF(AND(C3683="Sell",D3683="Stock"),M3683,IF(ISBLANK(L3683),"",IF(C3683="Buy",M3683, IF(AND(C3683="Sell",J3683="NA"),(E3683*G3683*100*0.1)+I3683, IF(C3683="Sell",(J3683-L3683)*(100*G3683)+I3683))))))</f>
        <v/>
      </c>
      <c r="O3683" s="75" t="n"/>
      <c r="P3683" s="75" t="n"/>
      <c r="Q3683" s="75">
        <f>IF(ISBLANK(P3683),"",IF(D3683="Stock",P3683*G3683,IF(P3683=0,"0",G3683*P3683*100-(G3683*$AF$14))))</f>
        <v/>
      </c>
      <c r="R3683" s="79">
        <f>IF(P3683&lt;&gt;"", TODAY(), "")</f>
        <v/>
      </c>
      <c r="S3683" s="78">
        <f>IF(AND(K3683&lt;&gt;"", R3683&lt;&gt;""), R3683-K3683, "")</f>
        <v/>
      </c>
      <c r="T3683" s="78" t="n"/>
      <c r="U3683" s="92">
        <f>IF(ISBLANK(P3683),"",IF(C3683="Buy",Q3683-M3683+T3683, IF(C3683="Sell",M3683-Q3683-T3683, X)))</f>
        <v/>
      </c>
      <c r="V3683" s="81">
        <f>IF(ISBLANK(P3683),"",U3683/N3683)</f>
        <v/>
      </c>
      <c r="W3683" s="81">
        <f>IF(ISBLANK(P3683),"",IF(S3683=0,(365/0.5)*V3683,(365/S3683)*V3683))</f>
        <v/>
      </c>
      <c r="X3683" s="75" t="n"/>
      <c r="Y3683" s="77" t="n"/>
      <c r="Z3683" s="77" t="n"/>
      <c r="AA3683" s="75" t="n"/>
      <c r="AB3683" s="75" t="n"/>
      <c r="AC3683" s="6" t="n"/>
      <c r="AD3683" s="75" t="n"/>
      <c r="AE3683" s="75" t="n"/>
      <c r="AF3683" s="75" t="n"/>
    </row>
    <row r="3684" ht="15.75" customHeight="1" s="133">
      <c r="A3684" s="75" t="n"/>
      <c r="B3684" s="75" t="n"/>
      <c r="C3684" s="75" t="n"/>
      <c r="D3684" s="75" t="n"/>
      <c r="E3684" s="76" t="n"/>
      <c r="F3684" s="77" t="n"/>
      <c r="G3684" s="75" t="n"/>
      <c r="H3684" s="75">
        <f>IF(ISBLANK(E3684),"",IF(OR(D3684="Butterfly",D3684="Butterfly ",D3684="Iron Fly", D3684="Iron Fly "),LEN(E3684)-LEN(SUBSTITUTE(E3684,"/",""))+2,LEN(E3684)-LEN(SUBSTITUTE(E3684,"/",""))+1))</f>
        <v/>
      </c>
      <c r="I3684" s="78">
        <f>IF(ISBLANK(G3684),"",IF(D3684="Stock","0",Key!$A$3*H3684*G3684))</f>
        <v/>
      </c>
      <c r="J3684" s="78">
        <f>IF(ISBLANK(E3684),"",IF(ISNUMBER(SEARCH("/",E3684)), IF(LEN(E3684)-LEN(SUBSTITUTE(E3684,"/",""))=1,(RIGHT(E3684,LEN(E3684)-FIND("/",E3684)))-(LEFT(E3684,FIND("/",E3684)-1)),(MID(E3684, SEARCH("/",E3684) + 1, SEARCH("/",E3684, SEARCH("/",E3684)+1) - SEARCH("/",E3684) - 1))-(LEFT(E3684,FIND("/",E3684)-1))), "NA"))</f>
        <v/>
      </c>
      <c r="K3684" s="79">
        <f>IF(A3684&lt;&gt;"", IF(ISBLANK(L3684), TODAY(), K3684), "")</f>
        <v/>
      </c>
      <c r="L3684" s="78" t="n"/>
      <c r="M3684" s="78">
        <f>IF(ISBLANK(L3684),"",IF(D3684="Stock",IF(C3684="Buy",L3684*G3684,IF(C3684="Sell",(L3684*G3684)-I3684, X)),IF(C3684="Buy",(L3684*G3684*100)+I3684,IF(C3684="Sell",(L3684*G3684*100)-I3684, X))))</f>
        <v/>
      </c>
      <c r="N3684" s="78">
        <f>IF(ISBLANK(L3684),"",IF(AND(C3684="Sell",D3684="Stock"),M3684,IF(ISBLANK(L3684),"",IF(C3684="Buy",M3684, IF(AND(C3684="Sell",J3684="NA"),(E3684*G3684*100*0.1)+I3684, IF(C3684="Sell",(J3684-L3684)*(100*G3684)+I3684))))))</f>
        <v/>
      </c>
      <c r="O3684" s="75" t="n"/>
      <c r="P3684" s="75" t="n"/>
      <c r="Q3684" s="75">
        <f>IF(ISBLANK(P3684),"",IF(D3684="Stock",P3684*G3684,IF(P3684=0,"0",G3684*P3684*100-(G3684*$AF$14))))</f>
        <v/>
      </c>
      <c r="R3684" s="79">
        <f>IF(P3684&lt;&gt;"", TODAY(), "")</f>
        <v/>
      </c>
      <c r="S3684" s="78">
        <f>IF(AND(K3684&lt;&gt;"", R3684&lt;&gt;""), R3684-K3684, "")</f>
        <v/>
      </c>
      <c r="T3684" s="78" t="n"/>
      <c r="U3684" s="92">
        <f>IF(ISBLANK(P3684),"",IF(C3684="Buy",Q3684-M3684+T3684, IF(C3684="Sell",M3684-Q3684-T3684, X)))</f>
        <v/>
      </c>
      <c r="V3684" s="81">
        <f>IF(ISBLANK(P3684),"",U3684/N3684)</f>
        <v/>
      </c>
      <c r="W3684" s="81">
        <f>IF(ISBLANK(P3684),"",IF(S3684=0,(365/0.5)*V3684,(365/S3684)*V3684))</f>
        <v/>
      </c>
      <c r="X3684" s="75" t="n"/>
      <c r="Y3684" s="77" t="n"/>
      <c r="Z3684" s="77" t="n"/>
      <c r="AA3684" s="75" t="n"/>
      <c r="AB3684" s="75" t="n"/>
      <c r="AC3684" s="6" t="n"/>
      <c r="AD3684" s="75" t="n"/>
      <c r="AE3684" s="75" t="n"/>
      <c r="AF3684" s="75" t="n"/>
    </row>
    <row r="3685" ht="15.75" customHeight="1" s="133">
      <c r="A3685" s="75" t="n"/>
      <c r="B3685" s="75" t="n"/>
      <c r="C3685" s="75" t="n"/>
      <c r="D3685" s="75" t="n"/>
      <c r="E3685" s="76" t="n"/>
      <c r="F3685" s="77" t="n"/>
      <c r="G3685" s="75" t="n"/>
      <c r="H3685" s="75">
        <f>IF(ISBLANK(E3685),"",IF(OR(D3685="Butterfly",D3685="Butterfly ",D3685="Iron Fly", D3685="Iron Fly "),LEN(E3685)-LEN(SUBSTITUTE(E3685,"/",""))+2,LEN(E3685)-LEN(SUBSTITUTE(E3685,"/",""))+1))</f>
        <v/>
      </c>
      <c r="I3685" s="78">
        <f>IF(ISBLANK(G3685),"",IF(D3685="Stock","0",Key!$A$3*H3685*G3685))</f>
        <v/>
      </c>
      <c r="J3685" s="78">
        <f>IF(ISBLANK(E3685),"",IF(ISNUMBER(SEARCH("/",E3685)), IF(LEN(E3685)-LEN(SUBSTITUTE(E3685,"/",""))=1,(RIGHT(E3685,LEN(E3685)-FIND("/",E3685)))-(LEFT(E3685,FIND("/",E3685)-1)),(MID(E3685, SEARCH("/",E3685) + 1, SEARCH("/",E3685, SEARCH("/",E3685)+1) - SEARCH("/",E3685) - 1))-(LEFT(E3685,FIND("/",E3685)-1))), "NA"))</f>
        <v/>
      </c>
      <c r="K3685" s="79">
        <f>IF(A3685&lt;&gt;"", IF(ISBLANK(L3685), TODAY(), K3685), "")</f>
        <v/>
      </c>
      <c r="L3685" s="78" t="n"/>
      <c r="M3685" s="78">
        <f>IF(ISBLANK(L3685),"",IF(D3685="Stock",IF(C3685="Buy",L3685*G3685,IF(C3685="Sell",(L3685*G3685)-I3685, X)),IF(C3685="Buy",(L3685*G3685*100)+I3685,IF(C3685="Sell",(L3685*G3685*100)-I3685, X))))</f>
        <v/>
      </c>
      <c r="N3685" s="78">
        <f>IF(ISBLANK(L3685),"",IF(AND(C3685="Sell",D3685="Stock"),M3685,IF(ISBLANK(L3685),"",IF(C3685="Buy",M3685, IF(AND(C3685="Sell",J3685="NA"),(E3685*G3685*100*0.1)+I3685, IF(C3685="Sell",(J3685-L3685)*(100*G3685)+I3685))))))</f>
        <v/>
      </c>
      <c r="O3685" s="75" t="n"/>
      <c r="P3685" s="75" t="n"/>
      <c r="Q3685" s="75">
        <f>IF(ISBLANK(P3685),"",IF(D3685="Stock",P3685*G3685,IF(P3685=0,"0",G3685*P3685*100-(G3685*$AF$14))))</f>
        <v/>
      </c>
      <c r="R3685" s="79">
        <f>IF(P3685&lt;&gt;"", TODAY(), "")</f>
        <v/>
      </c>
      <c r="S3685" s="78">
        <f>IF(AND(K3685&lt;&gt;"", R3685&lt;&gt;""), R3685-K3685, "")</f>
        <v/>
      </c>
      <c r="T3685" s="78" t="n"/>
      <c r="U3685" s="92">
        <f>IF(ISBLANK(P3685),"",IF(C3685="Buy",Q3685-M3685+T3685, IF(C3685="Sell",M3685-Q3685-T3685, X)))</f>
        <v/>
      </c>
      <c r="V3685" s="81">
        <f>IF(ISBLANK(P3685),"",U3685/N3685)</f>
        <v/>
      </c>
      <c r="W3685" s="81">
        <f>IF(ISBLANK(P3685),"",IF(S3685=0,(365/0.5)*V3685,(365/S3685)*V3685))</f>
        <v/>
      </c>
      <c r="X3685" s="75" t="n"/>
      <c r="Y3685" s="77" t="n"/>
      <c r="Z3685" s="77" t="n"/>
      <c r="AA3685" s="75" t="n"/>
      <c r="AB3685" s="75" t="n"/>
      <c r="AC3685" s="6" t="n"/>
      <c r="AD3685" s="75" t="n"/>
      <c r="AE3685" s="75" t="n"/>
      <c r="AF3685" s="75" t="n"/>
    </row>
    <row r="3686" ht="15.75" customHeight="1" s="133">
      <c r="A3686" s="75" t="n"/>
      <c r="B3686" s="75" t="n"/>
      <c r="C3686" s="75" t="n"/>
      <c r="D3686" s="75" t="n"/>
      <c r="E3686" s="76" t="n"/>
      <c r="F3686" s="77" t="n"/>
      <c r="G3686" s="75" t="n"/>
      <c r="H3686" s="75">
        <f>IF(ISBLANK(E3686),"",IF(OR(D3686="Butterfly",D3686="Butterfly ",D3686="Iron Fly", D3686="Iron Fly "),LEN(E3686)-LEN(SUBSTITUTE(E3686,"/",""))+2,LEN(E3686)-LEN(SUBSTITUTE(E3686,"/",""))+1))</f>
        <v/>
      </c>
      <c r="I3686" s="78">
        <f>IF(ISBLANK(G3686),"",IF(D3686="Stock","0",Key!$A$3*H3686*G3686))</f>
        <v/>
      </c>
      <c r="J3686" s="78">
        <f>IF(ISBLANK(E3686),"",IF(ISNUMBER(SEARCH("/",E3686)), IF(LEN(E3686)-LEN(SUBSTITUTE(E3686,"/",""))=1,(RIGHT(E3686,LEN(E3686)-FIND("/",E3686)))-(LEFT(E3686,FIND("/",E3686)-1)),(MID(E3686, SEARCH("/",E3686) + 1, SEARCH("/",E3686, SEARCH("/",E3686)+1) - SEARCH("/",E3686) - 1))-(LEFT(E3686,FIND("/",E3686)-1))), "NA"))</f>
        <v/>
      </c>
      <c r="K3686" s="79">
        <f>IF(A3686&lt;&gt;"", IF(ISBLANK(L3686), TODAY(), K3686), "")</f>
        <v/>
      </c>
      <c r="L3686" s="78" t="n"/>
      <c r="M3686" s="78">
        <f>IF(ISBLANK(L3686),"",IF(D3686="Stock",IF(C3686="Buy",L3686*G3686,IF(C3686="Sell",(L3686*G3686)-I3686, X)),IF(C3686="Buy",(L3686*G3686*100)+I3686,IF(C3686="Sell",(L3686*G3686*100)-I3686, X))))</f>
        <v/>
      </c>
      <c r="N3686" s="78">
        <f>IF(ISBLANK(L3686),"",IF(AND(C3686="Sell",D3686="Stock"),M3686,IF(ISBLANK(L3686),"",IF(C3686="Buy",M3686, IF(AND(C3686="Sell",J3686="NA"),(E3686*G3686*100*0.1)+I3686, IF(C3686="Sell",(J3686-L3686)*(100*G3686)+I3686))))))</f>
        <v/>
      </c>
      <c r="O3686" s="75" t="n"/>
      <c r="P3686" s="75" t="n"/>
      <c r="Q3686" s="75">
        <f>IF(ISBLANK(P3686),"",IF(D3686="Stock",P3686*G3686,IF(P3686=0,"0",G3686*P3686*100-(G3686*$AF$14))))</f>
        <v/>
      </c>
      <c r="R3686" s="79">
        <f>IF(P3686&lt;&gt;"", TODAY(), "")</f>
        <v/>
      </c>
      <c r="S3686" s="78">
        <f>IF(AND(K3686&lt;&gt;"", R3686&lt;&gt;""), R3686-K3686, "")</f>
        <v/>
      </c>
      <c r="T3686" s="78" t="n"/>
      <c r="U3686" s="92">
        <f>IF(ISBLANK(P3686),"",IF(C3686="Buy",Q3686-M3686+T3686, IF(C3686="Sell",M3686-Q3686-T3686, X)))</f>
        <v/>
      </c>
      <c r="V3686" s="81">
        <f>IF(ISBLANK(P3686),"",U3686/N3686)</f>
        <v/>
      </c>
      <c r="W3686" s="81">
        <f>IF(ISBLANK(P3686),"",IF(S3686=0,(365/0.5)*V3686,(365/S3686)*V3686))</f>
        <v/>
      </c>
      <c r="X3686" s="75" t="n"/>
      <c r="Y3686" s="77" t="n"/>
      <c r="Z3686" s="77" t="n"/>
      <c r="AA3686" s="75" t="n"/>
      <c r="AB3686" s="75" t="n"/>
      <c r="AC3686" s="6" t="n"/>
      <c r="AD3686" s="75" t="n"/>
      <c r="AE3686" s="75" t="n"/>
      <c r="AF3686" s="75" t="n"/>
    </row>
    <row r="3687" ht="15.75" customHeight="1" s="133">
      <c r="A3687" s="75" t="n"/>
      <c r="B3687" s="75" t="n"/>
      <c r="C3687" s="75" t="n"/>
      <c r="D3687" s="75" t="n"/>
      <c r="E3687" s="76" t="n"/>
      <c r="F3687" s="77" t="n"/>
      <c r="G3687" s="75" t="n"/>
      <c r="H3687" s="75">
        <f>IF(ISBLANK(E3687),"",IF(OR(D3687="Butterfly",D3687="Butterfly ",D3687="Iron Fly", D3687="Iron Fly "),LEN(E3687)-LEN(SUBSTITUTE(E3687,"/",""))+2,LEN(E3687)-LEN(SUBSTITUTE(E3687,"/",""))+1))</f>
        <v/>
      </c>
      <c r="I3687" s="78">
        <f>IF(ISBLANK(G3687),"",IF(D3687="Stock","0",Key!$A$3*H3687*G3687))</f>
        <v/>
      </c>
      <c r="J3687" s="78">
        <f>IF(ISBLANK(E3687),"",IF(ISNUMBER(SEARCH("/",E3687)), IF(LEN(E3687)-LEN(SUBSTITUTE(E3687,"/",""))=1,(RIGHT(E3687,LEN(E3687)-FIND("/",E3687)))-(LEFT(E3687,FIND("/",E3687)-1)),(MID(E3687, SEARCH("/",E3687) + 1, SEARCH("/",E3687, SEARCH("/",E3687)+1) - SEARCH("/",E3687) - 1))-(LEFT(E3687,FIND("/",E3687)-1))), "NA"))</f>
        <v/>
      </c>
      <c r="K3687" s="79">
        <f>IF(A3687&lt;&gt;"", IF(ISBLANK(L3687), TODAY(), K3687), "")</f>
        <v/>
      </c>
      <c r="L3687" s="78" t="n"/>
      <c r="M3687" s="78">
        <f>IF(ISBLANK(L3687),"",IF(D3687="Stock",IF(C3687="Buy",L3687*G3687,IF(C3687="Sell",(L3687*G3687)-I3687, X)),IF(C3687="Buy",(L3687*G3687*100)+I3687,IF(C3687="Sell",(L3687*G3687*100)-I3687, X))))</f>
        <v/>
      </c>
      <c r="N3687" s="78">
        <f>IF(ISBLANK(L3687),"",IF(AND(C3687="Sell",D3687="Stock"),M3687,IF(ISBLANK(L3687),"",IF(C3687="Buy",M3687, IF(AND(C3687="Sell",J3687="NA"),(E3687*G3687*100*0.1)+I3687, IF(C3687="Sell",(J3687-L3687)*(100*G3687)+I3687))))))</f>
        <v/>
      </c>
      <c r="O3687" s="75" t="n"/>
      <c r="P3687" s="75" t="n"/>
      <c r="Q3687" s="75">
        <f>IF(ISBLANK(P3687),"",IF(D3687="Stock",P3687*G3687,IF(P3687=0,"0",G3687*P3687*100-(G3687*$AF$14))))</f>
        <v/>
      </c>
      <c r="R3687" s="79">
        <f>IF(P3687&lt;&gt;"", TODAY(), "")</f>
        <v/>
      </c>
      <c r="S3687" s="78">
        <f>IF(AND(K3687&lt;&gt;"", R3687&lt;&gt;""), R3687-K3687, "")</f>
        <v/>
      </c>
      <c r="T3687" s="78" t="n"/>
      <c r="U3687" s="92">
        <f>IF(ISBLANK(P3687),"",IF(C3687="Buy",Q3687-M3687+T3687, IF(C3687="Sell",M3687-Q3687-T3687, X)))</f>
        <v/>
      </c>
      <c r="V3687" s="81">
        <f>IF(ISBLANK(P3687),"",U3687/N3687)</f>
        <v/>
      </c>
      <c r="W3687" s="81">
        <f>IF(ISBLANK(P3687),"",IF(S3687=0,(365/0.5)*V3687,(365/S3687)*V3687))</f>
        <v/>
      </c>
      <c r="X3687" s="75" t="n"/>
      <c r="Y3687" s="77" t="n"/>
      <c r="Z3687" s="77" t="n"/>
      <c r="AA3687" s="75" t="n"/>
      <c r="AB3687" s="75" t="n"/>
      <c r="AC3687" s="6" t="n"/>
      <c r="AD3687" s="75" t="n"/>
      <c r="AE3687" s="75" t="n"/>
      <c r="AF3687" s="75" t="n"/>
    </row>
    <row r="3688" ht="15.75" customHeight="1" s="133">
      <c r="A3688" s="75" t="n"/>
      <c r="B3688" s="75" t="n"/>
      <c r="C3688" s="75" t="n"/>
      <c r="D3688" s="75" t="n"/>
      <c r="E3688" s="76" t="n"/>
      <c r="F3688" s="77" t="n"/>
      <c r="G3688" s="75" t="n"/>
      <c r="H3688" s="75">
        <f>IF(ISBLANK(E3688),"",IF(OR(D3688="Butterfly",D3688="Butterfly ",D3688="Iron Fly", D3688="Iron Fly "),LEN(E3688)-LEN(SUBSTITUTE(E3688,"/",""))+2,LEN(E3688)-LEN(SUBSTITUTE(E3688,"/",""))+1))</f>
        <v/>
      </c>
      <c r="I3688" s="78">
        <f>IF(ISBLANK(G3688),"",IF(D3688="Stock","0",Key!$A$3*H3688*G3688))</f>
        <v/>
      </c>
      <c r="J3688" s="78">
        <f>IF(ISBLANK(E3688),"",IF(ISNUMBER(SEARCH("/",E3688)), IF(LEN(E3688)-LEN(SUBSTITUTE(E3688,"/",""))=1,(RIGHT(E3688,LEN(E3688)-FIND("/",E3688)))-(LEFT(E3688,FIND("/",E3688)-1)),(MID(E3688, SEARCH("/",E3688) + 1, SEARCH("/",E3688, SEARCH("/",E3688)+1) - SEARCH("/",E3688) - 1))-(LEFT(E3688,FIND("/",E3688)-1))), "NA"))</f>
        <v/>
      </c>
      <c r="K3688" s="79">
        <f>IF(A3688&lt;&gt;"", IF(ISBLANK(L3688), TODAY(), K3688), "")</f>
        <v/>
      </c>
      <c r="L3688" s="78" t="n"/>
      <c r="M3688" s="78">
        <f>IF(ISBLANK(L3688),"",IF(D3688="Stock",IF(C3688="Buy",L3688*G3688,IF(C3688="Sell",(L3688*G3688)-I3688, X)),IF(C3688="Buy",(L3688*G3688*100)+I3688,IF(C3688="Sell",(L3688*G3688*100)-I3688, X))))</f>
        <v/>
      </c>
      <c r="N3688" s="78">
        <f>IF(ISBLANK(L3688),"",IF(AND(C3688="Sell",D3688="Stock"),M3688,IF(ISBLANK(L3688),"",IF(C3688="Buy",M3688, IF(AND(C3688="Sell",J3688="NA"),(E3688*G3688*100*0.1)+I3688, IF(C3688="Sell",(J3688-L3688)*(100*G3688)+I3688))))))</f>
        <v/>
      </c>
      <c r="O3688" s="75" t="n"/>
      <c r="P3688" s="75" t="n"/>
      <c r="Q3688" s="75">
        <f>IF(ISBLANK(P3688),"",IF(D3688="Stock",P3688*G3688,IF(P3688=0,"0",G3688*P3688*100-(G3688*$AF$14))))</f>
        <v/>
      </c>
      <c r="R3688" s="79">
        <f>IF(P3688&lt;&gt;"", TODAY(), "")</f>
        <v/>
      </c>
      <c r="S3688" s="78">
        <f>IF(AND(K3688&lt;&gt;"", R3688&lt;&gt;""), R3688-K3688, "")</f>
        <v/>
      </c>
      <c r="T3688" s="78" t="n"/>
      <c r="U3688" s="92">
        <f>IF(ISBLANK(P3688),"",IF(C3688="Buy",Q3688-M3688+T3688, IF(C3688="Sell",M3688-Q3688-T3688, X)))</f>
        <v/>
      </c>
      <c r="V3688" s="81">
        <f>IF(ISBLANK(P3688),"",U3688/N3688)</f>
        <v/>
      </c>
      <c r="W3688" s="81">
        <f>IF(ISBLANK(P3688),"",IF(S3688=0,(365/0.5)*V3688,(365/S3688)*V3688))</f>
        <v/>
      </c>
      <c r="X3688" s="75" t="n"/>
      <c r="Y3688" s="77" t="n"/>
      <c r="Z3688" s="77" t="n"/>
      <c r="AA3688" s="75" t="n"/>
      <c r="AB3688" s="75" t="n"/>
      <c r="AC3688" s="6" t="n"/>
      <c r="AD3688" s="75" t="n"/>
      <c r="AE3688" s="75" t="n"/>
      <c r="AF3688" s="75" t="n"/>
    </row>
    <row r="3689" ht="15.75" customHeight="1" s="133">
      <c r="A3689" s="75" t="n"/>
      <c r="B3689" s="75" t="n"/>
      <c r="C3689" s="75" t="n"/>
      <c r="D3689" s="75" t="n"/>
      <c r="E3689" s="76" t="n"/>
      <c r="F3689" s="77" t="n"/>
      <c r="G3689" s="75" t="n"/>
      <c r="H3689" s="75">
        <f>IF(ISBLANK(E3689),"",IF(OR(D3689="Butterfly",D3689="Butterfly ",D3689="Iron Fly", D3689="Iron Fly "),LEN(E3689)-LEN(SUBSTITUTE(E3689,"/",""))+2,LEN(E3689)-LEN(SUBSTITUTE(E3689,"/",""))+1))</f>
        <v/>
      </c>
      <c r="I3689" s="78">
        <f>IF(ISBLANK(G3689),"",IF(D3689="Stock","0",Key!$A$3*H3689*G3689))</f>
        <v/>
      </c>
      <c r="J3689" s="78">
        <f>IF(ISBLANK(E3689),"",IF(ISNUMBER(SEARCH("/",E3689)), IF(LEN(E3689)-LEN(SUBSTITUTE(E3689,"/",""))=1,(RIGHT(E3689,LEN(E3689)-FIND("/",E3689)))-(LEFT(E3689,FIND("/",E3689)-1)),(MID(E3689, SEARCH("/",E3689) + 1, SEARCH("/",E3689, SEARCH("/",E3689)+1) - SEARCH("/",E3689) - 1))-(LEFT(E3689,FIND("/",E3689)-1))), "NA"))</f>
        <v/>
      </c>
      <c r="K3689" s="79">
        <f>IF(A3689&lt;&gt;"", IF(ISBLANK(L3689), TODAY(), K3689), "")</f>
        <v/>
      </c>
      <c r="L3689" s="78" t="n"/>
      <c r="M3689" s="78">
        <f>IF(ISBLANK(L3689),"",IF(D3689="Stock",IF(C3689="Buy",L3689*G3689,IF(C3689="Sell",(L3689*G3689)-I3689, X)),IF(C3689="Buy",(L3689*G3689*100)+I3689,IF(C3689="Sell",(L3689*G3689*100)-I3689, X))))</f>
        <v/>
      </c>
      <c r="N3689" s="78">
        <f>IF(ISBLANK(L3689),"",IF(AND(C3689="Sell",D3689="Stock"),M3689,IF(ISBLANK(L3689),"",IF(C3689="Buy",M3689, IF(AND(C3689="Sell",J3689="NA"),(E3689*G3689*100*0.1)+I3689, IF(C3689="Sell",(J3689-L3689)*(100*G3689)+I3689))))))</f>
        <v/>
      </c>
      <c r="O3689" s="75" t="n"/>
      <c r="P3689" s="75" t="n"/>
      <c r="Q3689" s="75">
        <f>IF(ISBLANK(P3689),"",IF(D3689="Stock",P3689*G3689,IF(P3689=0,"0",G3689*P3689*100-(G3689*$AF$14))))</f>
        <v/>
      </c>
      <c r="R3689" s="79">
        <f>IF(P3689&lt;&gt;"", TODAY(), "")</f>
        <v/>
      </c>
      <c r="S3689" s="78">
        <f>IF(AND(K3689&lt;&gt;"", R3689&lt;&gt;""), R3689-K3689, "")</f>
        <v/>
      </c>
      <c r="T3689" s="78" t="n"/>
      <c r="U3689" s="92">
        <f>IF(ISBLANK(P3689),"",IF(C3689="Buy",Q3689-M3689+T3689, IF(C3689="Sell",M3689-Q3689-T3689, X)))</f>
        <v/>
      </c>
      <c r="V3689" s="81">
        <f>IF(ISBLANK(P3689),"",U3689/N3689)</f>
        <v/>
      </c>
      <c r="W3689" s="81">
        <f>IF(ISBLANK(P3689),"",IF(S3689=0,(365/0.5)*V3689,(365/S3689)*V3689))</f>
        <v/>
      </c>
      <c r="X3689" s="75" t="n"/>
      <c r="Y3689" s="77" t="n"/>
      <c r="Z3689" s="77" t="n"/>
      <c r="AA3689" s="75" t="n"/>
      <c r="AB3689" s="75" t="n"/>
      <c r="AC3689" s="6" t="n"/>
      <c r="AD3689" s="75" t="n"/>
      <c r="AE3689" s="75" t="n"/>
      <c r="AF3689" s="75" t="n"/>
    </row>
    <row r="3690" ht="15.75" customHeight="1" s="133">
      <c r="A3690" s="75" t="n"/>
      <c r="B3690" s="75" t="n"/>
      <c r="C3690" s="75" t="n"/>
      <c r="D3690" s="75" t="n"/>
      <c r="E3690" s="76" t="n"/>
      <c r="F3690" s="77" t="n"/>
      <c r="G3690" s="75" t="n"/>
      <c r="H3690" s="75">
        <f>IF(ISBLANK(E3690),"",IF(OR(D3690="Butterfly",D3690="Butterfly ",D3690="Iron Fly", D3690="Iron Fly "),LEN(E3690)-LEN(SUBSTITUTE(E3690,"/",""))+2,LEN(E3690)-LEN(SUBSTITUTE(E3690,"/",""))+1))</f>
        <v/>
      </c>
      <c r="I3690" s="78">
        <f>IF(ISBLANK(G3690),"",IF(D3690="Stock","0",Key!$A$3*H3690*G3690))</f>
        <v/>
      </c>
      <c r="J3690" s="78">
        <f>IF(ISBLANK(E3690),"",IF(ISNUMBER(SEARCH("/",E3690)), IF(LEN(E3690)-LEN(SUBSTITUTE(E3690,"/",""))=1,(RIGHT(E3690,LEN(E3690)-FIND("/",E3690)))-(LEFT(E3690,FIND("/",E3690)-1)),(MID(E3690, SEARCH("/",E3690) + 1, SEARCH("/",E3690, SEARCH("/",E3690)+1) - SEARCH("/",E3690) - 1))-(LEFT(E3690,FIND("/",E3690)-1))), "NA"))</f>
        <v/>
      </c>
      <c r="K3690" s="79">
        <f>IF(A3690&lt;&gt;"", IF(ISBLANK(L3690), TODAY(), K3690), "")</f>
        <v/>
      </c>
      <c r="L3690" s="78" t="n"/>
      <c r="M3690" s="78">
        <f>IF(ISBLANK(L3690),"",IF(D3690="Stock",IF(C3690="Buy",L3690*G3690,IF(C3690="Sell",(L3690*G3690)-I3690, X)),IF(C3690="Buy",(L3690*G3690*100)+I3690,IF(C3690="Sell",(L3690*G3690*100)-I3690, X))))</f>
        <v/>
      </c>
      <c r="N3690" s="78">
        <f>IF(ISBLANK(L3690),"",IF(AND(C3690="Sell",D3690="Stock"),M3690,IF(ISBLANK(L3690),"",IF(C3690="Buy",M3690, IF(AND(C3690="Sell",J3690="NA"),(E3690*G3690*100*0.1)+I3690, IF(C3690="Sell",(J3690-L3690)*(100*G3690)+I3690))))))</f>
        <v/>
      </c>
      <c r="O3690" s="75" t="n"/>
      <c r="P3690" s="75" t="n"/>
      <c r="Q3690" s="75">
        <f>IF(ISBLANK(P3690),"",IF(D3690="Stock",P3690*G3690,IF(P3690=0,"0",G3690*P3690*100-(G3690*$AF$14))))</f>
        <v/>
      </c>
      <c r="R3690" s="79">
        <f>IF(P3690&lt;&gt;"", TODAY(), "")</f>
        <v/>
      </c>
      <c r="S3690" s="78">
        <f>IF(AND(K3690&lt;&gt;"", R3690&lt;&gt;""), R3690-K3690, "")</f>
        <v/>
      </c>
      <c r="T3690" s="78" t="n"/>
      <c r="U3690" s="92">
        <f>IF(ISBLANK(P3690),"",IF(C3690="Buy",Q3690-M3690+T3690, IF(C3690="Sell",M3690-Q3690-T3690, X)))</f>
        <v/>
      </c>
      <c r="V3690" s="81">
        <f>IF(ISBLANK(P3690),"",U3690/N3690)</f>
        <v/>
      </c>
      <c r="W3690" s="81">
        <f>IF(ISBLANK(P3690),"",IF(S3690=0,(365/0.5)*V3690,(365/S3690)*V3690))</f>
        <v/>
      </c>
      <c r="X3690" s="75" t="n"/>
      <c r="Y3690" s="77" t="n"/>
      <c r="Z3690" s="77" t="n"/>
      <c r="AA3690" s="75" t="n"/>
      <c r="AB3690" s="75" t="n"/>
      <c r="AC3690" s="6" t="n"/>
      <c r="AD3690" s="75" t="n"/>
      <c r="AE3690" s="75" t="n"/>
      <c r="AF3690" s="75" t="n"/>
    </row>
    <row r="3691" ht="15.75" customHeight="1" s="133">
      <c r="A3691" s="75" t="n"/>
      <c r="B3691" s="75" t="n"/>
      <c r="C3691" s="75" t="n"/>
      <c r="D3691" s="75" t="n"/>
      <c r="E3691" s="76" t="n"/>
      <c r="F3691" s="77" t="n"/>
      <c r="G3691" s="75" t="n"/>
      <c r="H3691" s="75">
        <f>IF(ISBLANK(E3691),"",IF(OR(D3691="Butterfly",D3691="Butterfly ",D3691="Iron Fly", D3691="Iron Fly "),LEN(E3691)-LEN(SUBSTITUTE(E3691,"/",""))+2,LEN(E3691)-LEN(SUBSTITUTE(E3691,"/",""))+1))</f>
        <v/>
      </c>
      <c r="I3691" s="78">
        <f>IF(ISBLANK(G3691),"",IF(D3691="Stock","0",Key!$A$3*H3691*G3691))</f>
        <v/>
      </c>
      <c r="J3691" s="78">
        <f>IF(ISBLANK(E3691),"",IF(ISNUMBER(SEARCH("/",E3691)), IF(LEN(E3691)-LEN(SUBSTITUTE(E3691,"/",""))=1,(RIGHT(E3691,LEN(E3691)-FIND("/",E3691)))-(LEFT(E3691,FIND("/",E3691)-1)),(MID(E3691, SEARCH("/",E3691) + 1, SEARCH("/",E3691, SEARCH("/",E3691)+1) - SEARCH("/",E3691) - 1))-(LEFT(E3691,FIND("/",E3691)-1))), "NA"))</f>
        <v/>
      </c>
      <c r="K3691" s="79">
        <f>IF(A3691&lt;&gt;"", IF(ISBLANK(L3691), TODAY(), K3691), "")</f>
        <v/>
      </c>
      <c r="L3691" s="78" t="n"/>
      <c r="M3691" s="78">
        <f>IF(ISBLANK(L3691),"",IF(D3691="Stock",IF(C3691="Buy",L3691*G3691,IF(C3691="Sell",(L3691*G3691)-I3691, X)),IF(C3691="Buy",(L3691*G3691*100)+I3691,IF(C3691="Sell",(L3691*G3691*100)-I3691, X))))</f>
        <v/>
      </c>
      <c r="N3691" s="78">
        <f>IF(ISBLANK(L3691),"",IF(AND(C3691="Sell",D3691="Stock"),M3691,IF(ISBLANK(L3691),"",IF(C3691="Buy",M3691, IF(AND(C3691="Sell",J3691="NA"),(E3691*G3691*100*0.1)+I3691, IF(C3691="Sell",(J3691-L3691)*(100*G3691)+I3691))))))</f>
        <v/>
      </c>
      <c r="O3691" s="75" t="n"/>
      <c r="P3691" s="75" t="n"/>
      <c r="Q3691" s="75">
        <f>IF(ISBLANK(P3691),"",IF(D3691="Stock",P3691*G3691,IF(P3691=0,"0",G3691*P3691*100-(G3691*$AF$14))))</f>
        <v/>
      </c>
      <c r="R3691" s="79">
        <f>IF(P3691&lt;&gt;"", TODAY(), "")</f>
        <v/>
      </c>
      <c r="S3691" s="78">
        <f>IF(AND(K3691&lt;&gt;"", R3691&lt;&gt;""), R3691-K3691, "")</f>
        <v/>
      </c>
      <c r="T3691" s="78" t="n"/>
      <c r="U3691" s="92">
        <f>IF(ISBLANK(P3691),"",IF(C3691="Buy",Q3691-M3691+T3691, IF(C3691="Sell",M3691-Q3691-T3691, X)))</f>
        <v/>
      </c>
      <c r="V3691" s="81">
        <f>IF(ISBLANK(P3691),"",U3691/N3691)</f>
        <v/>
      </c>
      <c r="W3691" s="81">
        <f>IF(ISBLANK(P3691),"",IF(S3691=0,(365/0.5)*V3691,(365/S3691)*V3691))</f>
        <v/>
      </c>
      <c r="X3691" s="75" t="n"/>
      <c r="Y3691" s="77" t="n"/>
      <c r="Z3691" s="77" t="n"/>
      <c r="AA3691" s="75" t="n"/>
      <c r="AB3691" s="75" t="n"/>
      <c r="AC3691" s="6" t="n"/>
      <c r="AD3691" s="75" t="n"/>
      <c r="AE3691" s="75" t="n"/>
      <c r="AF3691" s="75" t="n"/>
    </row>
    <row r="3692" ht="15.75" customHeight="1" s="133">
      <c r="A3692" s="75" t="n"/>
      <c r="B3692" s="75" t="n"/>
      <c r="C3692" s="75" t="n"/>
      <c r="D3692" s="75" t="n"/>
      <c r="E3692" s="76" t="n"/>
      <c r="F3692" s="77" t="n"/>
      <c r="G3692" s="75" t="n"/>
      <c r="H3692" s="75">
        <f>IF(ISBLANK(E3692),"",IF(OR(D3692="Butterfly",D3692="Butterfly ",D3692="Iron Fly", D3692="Iron Fly "),LEN(E3692)-LEN(SUBSTITUTE(E3692,"/",""))+2,LEN(E3692)-LEN(SUBSTITUTE(E3692,"/",""))+1))</f>
        <v/>
      </c>
      <c r="I3692" s="78">
        <f>IF(ISBLANK(G3692),"",IF(D3692="Stock","0",Key!$A$3*H3692*G3692))</f>
        <v/>
      </c>
      <c r="J3692" s="78">
        <f>IF(ISBLANK(E3692),"",IF(ISNUMBER(SEARCH("/",E3692)), IF(LEN(E3692)-LEN(SUBSTITUTE(E3692,"/",""))=1,(RIGHT(E3692,LEN(E3692)-FIND("/",E3692)))-(LEFT(E3692,FIND("/",E3692)-1)),(MID(E3692, SEARCH("/",E3692) + 1, SEARCH("/",E3692, SEARCH("/",E3692)+1) - SEARCH("/",E3692) - 1))-(LEFT(E3692,FIND("/",E3692)-1))), "NA"))</f>
        <v/>
      </c>
      <c r="K3692" s="79">
        <f>IF(A3692&lt;&gt;"", IF(ISBLANK(L3692), TODAY(), K3692), "")</f>
        <v/>
      </c>
      <c r="L3692" s="78" t="n"/>
      <c r="M3692" s="78">
        <f>IF(ISBLANK(L3692),"",IF(D3692="Stock",IF(C3692="Buy",L3692*G3692,IF(C3692="Sell",(L3692*G3692)-I3692, X)),IF(C3692="Buy",(L3692*G3692*100)+I3692,IF(C3692="Sell",(L3692*G3692*100)-I3692, X))))</f>
        <v/>
      </c>
      <c r="N3692" s="78">
        <f>IF(ISBLANK(L3692),"",IF(AND(C3692="Sell",D3692="Stock"),M3692,IF(ISBLANK(L3692),"",IF(C3692="Buy",M3692, IF(AND(C3692="Sell",J3692="NA"),(E3692*G3692*100*0.1)+I3692, IF(C3692="Sell",(J3692-L3692)*(100*G3692)+I3692))))))</f>
        <v/>
      </c>
      <c r="O3692" s="75" t="n"/>
      <c r="P3692" s="75" t="n"/>
      <c r="Q3692" s="75">
        <f>IF(ISBLANK(P3692),"",IF(D3692="Stock",P3692*G3692,IF(P3692=0,"0",G3692*P3692*100-(G3692*$AF$14))))</f>
        <v/>
      </c>
      <c r="R3692" s="79">
        <f>IF(P3692&lt;&gt;"", TODAY(), "")</f>
        <v/>
      </c>
      <c r="S3692" s="78">
        <f>IF(AND(K3692&lt;&gt;"", R3692&lt;&gt;""), R3692-K3692, "")</f>
        <v/>
      </c>
      <c r="T3692" s="78" t="n"/>
      <c r="U3692" s="92">
        <f>IF(ISBLANK(P3692),"",IF(C3692="Buy",Q3692-M3692+T3692, IF(C3692="Sell",M3692-Q3692-T3692, X)))</f>
        <v/>
      </c>
      <c r="V3692" s="81">
        <f>IF(ISBLANK(P3692),"",U3692/N3692)</f>
        <v/>
      </c>
      <c r="W3692" s="81">
        <f>IF(ISBLANK(P3692),"",IF(S3692=0,(365/0.5)*V3692,(365/S3692)*V3692))</f>
        <v/>
      </c>
      <c r="X3692" s="75" t="n"/>
      <c r="Y3692" s="77" t="n"/>
      <c r="Z3692" s="77" t="n"/>
      <c r="AA3692" s="75" t="n"/>
      <c r="AB3692" s="75" t="n"/>
      <c r="AC3692" s="6" t="n"/>
      <c r="AD3692" s="75" t="n"/>
      <c r="AE3692" s="75" t="n"/>
      <c r="AF3692" s="75" t="n"/>
    </row>
    <row r="3693" ht="15.75" customHeight="1" s="133">
      <c r="A3693" s="75" t="n"/>
      <c r="B3693" s="75" t="n"/>
      <c r="C3693" s="75" t="n"/>
      <c r="D3693" s="75" t="n"/>
      <c r="E3693" s="76" t="n"/>
      <c r="F3693" s="77" t="n"/>
      <c r="G3693" s="75" t="n"/>
      <c r="H3693" s="75">
        <f>IF(ISBLANK(E3693),"",IF(OR(D3693="Butterfly",D3693="Butterfly ",D3693="Iron Fly", D3693="Iron Fly "),LEN(E3693)-LEN(SUBSTITUTE(E3693,"/",""))+2,LEN(E3693)-LEN(SUBSTITUTE(E3693,"/",""))+1))</f>
        <v/>
      </c>
      <c r="I3693" s="78">
        <f>IF(ISBLANK(G3693),"",IF(D3693="Stock","0",Key!$A$3*H3693*G3693))</f>
        <v/>
      </c>
      <c r="J3693" s="78">
        <f>IF(ISBLANK(E3693),"",IF(ISNUMBER(SEARCH("/",E3693)), IF(LEN(E3693)-LEN(SUBSTITUTE(E3693,"/",""))=1,(RIGHT(E3693,LEN(E3693)-FIND("/",E3693)))-(LEFT(E3693,FIND("/",E3693)-1)),(MID(E3693, SEARCH("/",E3693) + 1, SEARCH("/",E3693, SEARCH("/",E3693)+1) - SEARCH("/",E3693) - 1))-(LEFT(E3693,FIND("/",E3693)-1))), "NA"))</f>
        <v/>
      </c>
      <c r="K3693" s="79">
        <f>IF(A3693&lt;&gt;"", IF(ISBLANK(L3693), TODAY(), K3693), "")</f>
        <v/>
      </c>
      <c r="L3693" s="78" t="n"/>
      <c r="M3693" s="78">
        <f>IF(ISBLANK(L3693),"",IF(D3693="Stock",IF(C3693="Buy",L3693*G3693,IF(C3693="Sell",(L3693*G3693)-I3693, X)),IF(C3693="Buy",(L3693*G3693*100)+I3693,IF(C3693="Sell",(L3693*G3693*100)-I3693, X))))</f>
        <v/>
      </c>
      <c r="N3693" s="78">
        <f>IF(ISBLANK(L3693),"",IF(AND(C3693="Sell",D3693="Stock"),M3693,IF(ISBLANK(L3693),"",IF(C3693="Buy",M3693, IF(AND(C3693="Sell",J3693="NA"),(E3693*G3693*100*0.1)+I3693, IF(C3693="Sell",(J3693-L3693)*(100*G3693)+I3693))))))</f>
        <v/>
      </c>
      <c r="O3693" s="75" t="n"/>
      <c r="P3693" s="75" t="n"/>
      <c r="Q3693" s="75">
        <f>IF(ISBLANK(P3693),"",IF(D3693="Stock",P3693*G3693,IF(P3693=0,"0",G3693*P3693*100-(G3693*$AF$14))))</f>
        <v/>
      </c>
      <c r="R3693" s="79">
        <f>IF(P3693&lt;&gt;"", TODAY(), "")</f>
        <v/>
      </c>
      <c r="S3693" s="78">
        <f>IF(AND(K3693&lt;&gt;"", R3693&lt;&gt;""), R3693-K3693, "")</f>
        <v/>
      </c>
      <c r="T3693" s="78" t="n"/>
      <c r="U3693" s="92">
        <f>IF(ISBLANK(P3693),"",IF(C3693="Buy",Q3693-M3693+T3693, IF(C3693="Sell",M3693-Q3693-T3693, X)))</f>
        <v/>
      </c>
      <c r="V3693" s="81">
        <f>IF(ISBLANK(P3693),"",U3693/N3693)</f>
        <v/>
      </c>
      <c r="W3693" s="81">
        <f>IF(ISBLANK(P3693),"",IF(S3693=0,(365/0.5)*V3693,(365/S3693)*V3693))</f>
        <v/>
      </c>
      <c r="X3693" s="75" t="n"/>
      <c r="Y3693" s="77" t="n"/>
      <c r="Z3693" s="77" t="n"/>
      <c r="AA3693" s="75" t="n"/>
      <c r="AB3693" s="75" t="n"/>
      <c r="AC3693" s="6" t="n"/>
      <c r="AD3693" s="75" t="n"/>
      <c r="AE3693" s="75" t="n"/>
      <c r="AF3693" s="75" t="n"/>
    </row>
    <row r="3694" ht="15.75" customHeight="1" s="133">
      <c r="A3694" s="75" t="n"/>
      <c r="B3694" s="75" t="n"/>
      <c r="C3694" s="75" t="n"/>
      <c r="D3694" s="75" t="n"/>
      <c r="E3694" s="76" t="n"/>
      <c r="F3694" s="77" t="n"/>
      <c r="G3694" s="75" t="n"/>
      <c r="H3694" s="75">
        <f>IF(ISBLANK(E3694),"",IF(OR(D3694="Butterfly",D3694="Butterfly ",D3694="Iron Fly", D3694="Iron Fly "),LEN(E3694)-LEN(SUBSTITUTE(E3694,"/",""))+2,LEN(E3694)-LEN(SUBSTITUTE(E3694,"/",""))+1))</f>
        <v/>
      </c>
      <c r="I3694" s="78">
        <f>IF(ISBLANK(G3694),"",IF(D3694="Stock","0",Key!$A$3*H3694*G3694))</f>
        <v/>
      </c>
      <c r="J3694" s="78">
        <f>IF(ISBLANK(E3694),"",IF(ISNUMBER(SEARCH("/",E3694)), IF(LEN(E3694)-LEN(SUBSTITUTE(E3694,"/",""))=1,(RIGHT(E3694,LEN(E3694)-FIND("/",E3694)))-(LEFT(E3694,FIND("/",E3694)-1)),(MID(E3694, SEARCH("/",E3694) + 1, SEARCH("/",E3694, SEARCH("/",E3694)+1) - SEARCH("/",E3694) - 1))-(LEFT(E3694,FIND("/",E3694)-1))), "NA"))</f>
        <v/>
      </c>
      <c r="K3694" s="79">
        <f>IF(A3694&lt;&gt;"", IF(ISBLANK(L3694), TODAY(), K3694), "")</f>
        <v/>
      </c>
      <c r="L3694" s="78" t="n"/>
      <c r="M3694" s="78">
        <f>IF(ISBLANK(L3694),"",IF(D3694="Stock",IF(C3694="Buy",L3694*G3694,IF(C3694="Sell",(L3694*G3694)-I3694, X)),IF(C3694="Buy",(L3694*G3694*100)+I3694,IF(C3694="Sell",(L3694*G3694*100)-I3694, X))))</f>
        <v/>
      </c>
      <c r="N3694" s="78">
        <f>IF(ISBLANK(L3694),"",IF(AND(C3694="Sell",D3694="Stock"),M3694,IF(ISBLANK(L3694),"",IF(C3694="Buy",M3694, IF(AND(C3694="Sell",J3694="NA"),(E3694*G3694*100*0.1)+I3694, IF(C3694="Sell",(J3694-L3694)*(100*G3694)+I3694))))))</f>
        <v/>
      </c>
      <c r="O3694" s="75" t="n"/>
      <c r="P3694" s="75" t="n"/>
      <c r="Q3694" s="75">
        <f>IF(ISBLANK(P3694),"",IF(D3694="Stock",P3694*G3694,IF(P3694=0,"0",G3694*P3694*100-(G3694*$AF$14))))</f>
        <v/>
      </c>
      <c r="R3694" s="79">
        <f>IF(P3694&lt;&gt;"", TODAY(), "")</f>
        <v/>
      </c>
      <c r="S3694" s="78">
        <f>IF(AND(K3694&lt;&gt;"", R3694&lt;&gt;""), R3694-K3694, "")</f>
        <v/>
      </c>
      <c r="T3694" s="78" t="n"/>
      <c r="U3694" s="92">
        <f>IF(ISBLANK(P3694),"",IF(C3694="Buy",Q3694-M3694+T3694, IF(C3694="Sell",M3694-Q3694-T3694, X)))</f>
        <v/>
      </c>
      <c r="V3694" s="81">
        <f>IF(ISBLANK(P3694),"",U3694/N3694)</f>
        <v/>
      </c>
      <c r="W3694" s="81">
        <f>IF(ISBLANK(P3694),"",IF(S3694=0,(365/0.5)*V3694,(365/S3694)*V3694))</f>
        <v/>
      </c>
      <c r="X3694" s="75" t="n"/>
      <c r="Y3694" s="77" t="n"/>
      <c r="Z3694" s="77" t="n"/>
      <c r="AA3694" s="75" t="n"/>
      <c r="AB3694" s="75" t="n"/>
      <c r="AC3694" s="6" t="n"/>
      <c r="AD3694" s="75" t="n"/>
      <c r="AE3694" s="75" t="n"/>
      <c r="AF3694" s="75" t="n"/>
    </row>
    <row r="3695" ht="15.75" customHeight="1" s="133">
      <c r="A3695" s="75" t="n"/>
      <c r="B3695" s="75" t="n"/>
      <c r="C3695" s="75" t="n"/>
      <c r="D3695" s="75" t="n"/>
      <c r="E3695" s="76" t="n"/>
      <c r="F3695" s="77" t="n"/>
      <c r="G3695" s="75" t="n"/>
      <c r="H3695" s="75">
        <f>IF(ISBLANK(E3695),"",IF(OR(D3695="Butterfly",D3695="Butterfly ",D3695="Iron Fly", D3695="Iron Fly "),LEN(E3695)-LEN(SUBSTITUTE(E3695,"/",""))+2,LEN(E3695)-LEN(SUBSTITUTE(E3695,"/",""))+1))</f>
        <v/>
      </c>
      <c r="I3695" s="78">
        <f>IF(ISBLANK(G3695),"",IF(D3695="Stock","0",Key!$A$3*H3695*G3695))</f>
        <v/>
      </c>
      <c r="J3695" s="78">
        <f>IF(ISBLANK(E3695),"",IF(ISNUMBER(SEARCH("/",E3695)), IF(LEN(E3695)-LEN(SUBSTITUTE(E3695,"/",""))=1,(RIGHT(E3695,LEN(E3695)-FIND("/",E3695)))-(LEFT(E3695,FIND("/",E3695)-1)),(MID(E3695, SEARCH("/",E3695) + 1, SEARCH("/",E3695, SEARCH("/",E3695)+1) - SEARCH("/",E3695) - 1))-(LEFT(E3695,FIND("/",E3695)-1))), "NA"))</f>
        <v/>
      </c>
      <c r="K3695" s="79">
        <f>IF(A3695&lt;&gt;"", IF(ISBLANK(L3695), TODAY(), K3695), "")</f>
        <v/>
      </c>
      <c r="L3695" s="78" t="n"/>
      <c r="M3695" s="78">
        <f>IF(ISBLANK(L3695),"",IF(D3695="Stock",IF(C3695="Buy",L3695*G3695,IF(C3695="Sell",(L3695*G3695)-I3695, X)),IF(C3695="Buy",(L3695*G3695*100)+I3695,IF(C3695="Sell",(L3695*G3695*100)-I3695, X))))</f>
        <v/>
      </c>
      <c r="N3695" s="78">
        <f>IF(ISBLANK(L3695),"",IF(AND(C3695="Sell",D3695="Stock"),M3695,IF(ISBLANK(L3695),"",IF(C3695="Buy",M3695, IF(AND(C3695="Sell",J3695="NA"),(E3695*G3695*100*0.1)+I3695, IF(C3695="Sell",(J3695-L3695)*(100*G3695)+I3695))))))</f>
        <v/>
      </c>
      <c r="O3695" s="75" t="n"/>
      <c r="P3695" s="75" t="n"/>
      <c r="Q3695" s="75">
        <f>IF(ISBLANK(P3695),"",IF(D3695="Stock",P3695*G3695,IF(P3695=0,"0",G3695*P3695*100-(G3695*$AF$14))))</f>
        <v/>
      </c>
      <c r="R3695" s="79">
        <f>IF(P3695&lt;&gt;"", TODAY(), "")</f>
        <v/>
      </c>
      <c r="S3695" s="78">
        <f>IF(AND(K3695&lt;&gt;"", R3695&lt;&gt;""), R3695-K3695, "")</f>
        <v/>
      </c>
      <c r="T3695" s="78" t="n"/>
      <c r="U3695" s="92">
        <f>IF(ISBLANK(P3695),"",IF(C3695="Buy",Q3695-M3695+T3695, IF(C3695="Sell",M3695-Q3695-T3695, X)))</f>
        <v/>
      </c>
      <c r="V3695" s="81">
        <f>IF(ISBLANK(P3695),"",U3695/N3695)</f>
        <v/>
      </c>
      <c r="W3695" s="81">
        <f>IF(ISBLANK(P3695),"",IF(S3695=0,(365/0.5)*V3695,(365/S3695)*V3695))</f>
        <v/>
      </c>
      <c r="X3695" s="75" t="n"/>
      <c r="Y3695" s="77" t="n"/>
      <c r="Z3695" s="77" t="n"/>
      <c r="AA3695" s="75" t="n"/>
      <c r="AB3695" s="75" t="n"/>
      <c r="AC3695" s="6" t="n"/>
      <c r="AD3695" s="75" t="n"/>
      <c r="AE3695" s="75" t="n"/>
      <c r="AF3695" s="75" t="n"/>
    </row>
    <row r="3696" ht="15.75" customHeight="1" s="133">
      <c r="A3696" s="75" t="n"/>
      <c r="B3696" s="75" t="n"/>
      <c r="C3696" s="75" t="n"/>
      <c r="D3696" s="75" t="n"/>
      <c r="E3696" s="76" t="n"/>
      <c r="F3696" s="77" t="n"/>
      <c r="G3696" s="75" t="n"/>
      <c r="H3696" s="75">
        <f>IF(ISBLANK(E3696),"",IF(OR(D3696="Butterfly",D3696="Butterfly ",D3696="Iron Fly", D3696="Iron Fly "),LEN(E3696)-LEN(SUBSTITUTE(E3696,"/",""))+2,LEN(E3696)-LEN(SUBSTITUTE(E3696,"/",""))+1))</f>
        <v/>
      </c>
      <c r="I3696" s="78">
        <f>IF(ISBLANK(G3696),"",IF(D3696="Stock","0",Key!$A$3*H3696*G3696))</f>
        <v/>
      </c>
      <c r="J3696" s="78">
        <f>IF(ISBLANK(E3696),"",IF(ISNUMBER(SEARCH("/",E3696)), IF(LEN(E3696)-LEN(SUBSTITUTE(E3696,"/",""))=1,(RIGHT(E3696,LEN(E3696)-FIND("/",E3696)))-(LEFT(E3696,FIND("/",E3696)-1)),(MID(E3696, SEARCH("/",E3696) + 1, SEARCH("/",E3696, SEARCH("/",E3696)+1) - SEARCH("/",E3696) - 1))-(LEFT(E3696,FIND("/",E3696)-1))), "NA"))</f>
        <v/>
      </c>
      <c r="K3696" s="79">
        <f>IF(A3696&lt;&gt;"", IF(ISBLANK(L3696), TODAY(), K3696), "")</f>
        <v/>
      </c>
      <c r="L3696" s="78" t="n"/>
      <c r="M3696" s="78">
        <f>IF(ISBLANK(L3696),"",IF(D3696="Stock",IF(C3696="Buy",L3696*G3696,IF(C3696="Sell",(L3696*G3696)-I3696, X)),IF(C3696="Buy",(L3696*G3696*100)+I3696,IF(C3696="Sell",(L3696*G3696*100)-I3696, X))))</f>
        <v/>
      </c>
      <c r="N3696" s="78">
        <f>IF(ISBLANK(L3696),"",IF(AND(C3696="Sell",D3696="Stock"),M3696,IF(ISBLANK(L3696),"",IF(C3696="Buy",M3696, IF(AND(C3696="Sell",J3696="NA"),(E3696*G3696*100*0.1)+I3696, IF(C3696="Sell",(J3696-L3696)*(100*G3696)+I3696))))))</f>
        <v/>
      </c>
      <c r="O3696" s="75" t="n"/>
      <c r="P3696" s="75" t="n"/>
      <c r="Q3696" s="75">
        <f>IF(ISBLANK(P3696),"",IF(D3696="Stock",P3696*G3696,IF(P3696=0,"0",G3696*P3696*100-(G3696*$AF$14))))</f>
        <v/>
      </c>
      <c r="R3696" s="79">
        <f>IF(P3696&lt;&gt;"", TODAY(), "")</f>
        <v/>
      </c>
      <c r="S3696" s="78">
        <f>IF(AND(K3696&lt;&gt;"", R3696&lt;&gt;""), R3696-K3696, "")</f>
        <v/>
      </c>
      <c r="T3696" s="78" t="n"/>
      <c r="U3696" s="92">
        <f>IF(ISBLANK(P3696),"",IF(C3696="Buy",Q3696-M3696+T3696, IF(C3696="Sell",M3696-Q3696-T3696, X)))</f>
        <v/>
      </c>
      <c r="V3696" s="81">
        <f>IF(ISBLANK(P3696),"",U3696/N3696)</f>
        <v/>
      </c>
      <c r="W3696" s="81">
        <f>IF(ISBLANK(P3696),"",IF(S3696=0,(365/0.5)*V3696,(365/S3696)*V3696))</f>
        <v/>
      </c>
      <c r="X3696" s="75" t="n"/>
      <c r="Y3696" s="77" t="n"/>
      <c r="Z3696" s="77" t="n"/>
      <c r="AA3696" s="75" t="n"/>
      <c r="AB3696" s="75" t="n"/>
      <c r="AC3696" s="6" t="n"/>
      <c r="AD3696" s="75" t="n"/>
      <c r="AE3696" s="75" t="n"/>
      <c r="AF3696" s="75" t="n"/>
    </row>
    <row r="3697" ht="15.75" customHeight="1" s="133">
      <c r="A3697" s="75" t="n"/>
      <c r="B3697" s="75" t="n"/>
      <c r="C3697" s="75" t="n"/>
      <c r="D3697" s="75" t="n"/>
      <c r="E3697" s="76" t="n"/>
      <c r="F3697" s="77" t="n"/>
      <c r="G3697" s="75" t="n"/>
      <c r="H3697" s="75">
        <f>IF(ISBLANK(E3697),"",IF(OR(D3697="Butterfly",D3697="Butterfly ",D3697="Iron Fly", D3697="Iron Fly "),LEN(E3697)-LEN(SUBSTITUTE(E3697,"/",""))+2,LEN(E3697)-LEN(SUBSTITUTE(E3697,"/",""))+1))</f>
        <v/>
      </c>
      <c r="I3697" s="78">
        <f>IF(ISBLANK(G3697),"",IF(D3697="Stock","0",Key!$A$3*H3697*G3697))</f>
        <v/>
      </c>
      <c r="J3697" s="78">
        <f>IF(ISBLANK(E3697),"",IF(ISNUMBER(SEARCH("/",E3697)), IF(LEN(E3697)-LEN(SUBSTITUTE(E3697,"/",""))=1,(RIGHT(E3697,LEN(E3697)-FIND("/",E3697)))-(LEFT(E3697,FIND("/",E3697)-1)),(MID(E3697, SEARCH("/",E3697) + 1, SEARCH("/",E3697, SEARCH("/",E3697)+1) - SEARCH("/",E3697) - 1))-(LEFT(E3697,FIND("/",E3697)-1))), "NA"))</f>
        <v/>
      </c>
      <c r="K3697" s="79">
        <f>IF(A3697&lt;&gt;"", IF(ISBLANK(L3697), TODAY(), K3697), "")</f>
        <v/>
      </c>
      <c r="L3697" s="78" t="n"/>
      <c r="M3697" s="78">
        <f>IF(ISBLANK(L3697),"",IF(D3697="Stock",IF(C3697="Buy",L3697*G3697,IF(C3697="Sell",(L3697*G3697)-I3697, X)),IF(C3697="Buy",(L3697*G3697*100)+I3697,IF(C3697="Sell",(L3697*G3697*100)-I3697, X))))</f>
        <v/>
      </c>
      <c r="N3697" s="78">
        <f>IF(ISBLANK(L3697),"",IF(AND(C3697="Sell",D3697="Stock"),M3697,IF(ISBLANK(L3697),"",IF(C3697="Buy",M3697, IF(AND(C3697="Sell",J3697="NA"),(E3697*G3697*100*0.1)+I3697, IF(C3697="Sell",(J3697-L3697)*(100*G3697)+I3697))))))</f>
        <v/>
      </c>
      <c r="O3697" s="75" t="n"/>
      <c r="P3697" s="75" t="n"/>
      <c r="Q3697" s="75">
        <f>IF(ISBLANK(P3697),"",IF(D3697="Stock",P3697*G3697,IF(P3697=0,"0",G3697*P3697*100-(G3697*$AF$14))))</f>
        <v/>
      </c>
      <c r="R3697" s="79">
        <f>IF(P3697&lt;&gt;"", TODAY(), "")</f>
        <v/>
      </c>
      <c r="S3697" s="78">
        <f>IF(AND(K3697&lt;&gt;"", R3697&lt;&gt;""), R3697-K3697, "")</f>
        <v/>
      </c>
      <c r="T3697" s="78" t="n"/>
      <c r="U3697" s="92">
        <f>IF(ISBLANK(P3697),"",IF(C3697="Buy",Q3697-M3697+T3697, IF(C3697="Sell",M3697-Q3697-T3697, X)))</f>
        <v/>
      </c>
      <c r="V3697" s="81">
        <f>IF(ISBLANK(P3697),"",U3697/N3697)</f>
        <v/>
      </c>
      <c r="W3697" s="81">
        <f>IF(ISBLANK(P3697),"",IF(S3697=0,(365/0.5)*V3697,(365/S3697)*V3697))</f>
        <v/>
      </c>
      <c r="X3697" s="75" t="n"/>
      <c r="Y3697" s="77" t="n"/>
      <c r="Z3697" s="77" t="n"/>
      <c r="AA3697" s="75" t="n"/>
      <c r="AB3697" s="75" t="n"/>
      <c r="AC3697" s="6" t="n"/>
      <c r="AD3697" s="75" t="n"/>
      <c r="AE3697" s="75" t="n"/>
      <c r="AF3697" s="75" t="n"/>
    </row>
    <row r="3698" ht="15.75" customHeight="1" s="133">
      <c r="A3698" s="75" t="n"/>
      <c r="B3698" s="75" t="n"/>
      <c r="C3698" s="75" t="n"/>
      <c r="D3698" s="75" t="n"/>
      <c r="E3698" s="76" t="n"/>
      <c r="F3698" s="77" t="n"/>
      <c r="G3698" s="75" t="n"/>
      <c r="H3698" s="75">
        <f>IF(ISBLANK(E3698),"",IF(OR(D3698="Butterfly",D3698="Butterfly ",D3698="Iron Fly", D3698="Iron Fly "),LEN(E3698)-LEN(SUBSTITUTE(E3698,"/",""))+2,LEN(E3698)-LEN(SUBSTITUTE(E3698,"/",""))+1))</f>
        <v/>
      </c>
      <c r="I3698" s="78">
        <f>IF(ISBLANK(G3698),"",IF(D3698="Stock","0",Key!$A$3*H3698*G3698))</f>
        <v/>
      </c>
      <c r="J3698" s="78">
        <f>IF(ISBLANK(E3698),"",IF(ISNUMBER(SEARCH("/",E3698)), IF(LEN(E3698)-LEN(SUBSTITUTE(E3698,"/",""))=1,(RIGHT(E3698,LEN(E3698)-FIND("/",E3698)))-(LEFT(E3698,FIND("/",E3698)-1)),(MID(E3698, SEARCH("/",E3698) + 1, SEARCH("/",E3698, SEARCH("/",E3698)+1) - SEARCH("/",E3698) - 1))-(LEFT(E3698,FIND("/",E3698)-1))), "NA"))</f>
        <v/>
      </c>
      <c r="K3698" s="79">
        <f>IF(A3698&lt;&gt;"", IF(ISBLANK(L3698), TODAY(), K3698), "")</f>
        <v/>
      </c>
      <c r="L3698" s="78" t="n"/>
      <c r="M3698" s="78">
        <f>IF(ISBLANK(L3698),"",IF(D3698="Stock",IF(C3698="Buy",L3698*G3698,IF(C3698="Sell",(L3698*G3698)-I3698, X)),IF(C3698="Buy",(L3698*G3698*100)+I3698,IF(C3698="Sell",(L3698*G3698*100)-I3698, X))))</f>
        <v/>
      </c>
      <c r="N3698" s="78">
        <f>IF(ISBLANK(L3698),"",IF(AND(C3698="Sell",D3698="Stock"),M3698,IF(ISBLANK(L3698),"",IF(C3698="Buy",M3698, IF(AND(C3698="Sell",J3698="NA"),(E3698*G3698*100*0.1)+I3698, IF(C3698="Sell",(J3698-L3698)*(100*G3698)+I3698))))))</f>
        <v/>
      </c>
      <c r="O3698" s="75" t="n"/>
      <c r="P3698" s="75" t="n"/>
      <c r="Q3698" s="75">
        <f>IF(ISBLANK(P3698),"",IF(D3698="Stock",P3698*G3698,IF(P3698=0,"0",G3698*P3698*100-(G3698*$AF$14))))</f>
        <v/>
      </c>
      <c r="R3698" s="79">
        <f>IF(P3698&lt;&gt;"", TODAY(), "")</f>
        <v/>
      </c>
      <c r="S3698" s="78">
        <f>IF(AND(K3698&lt;&gt;"", R3698&lt;&gt;""), R3698-K3698, "")</f>
        <v/>
      </c>
      <c r="T3698" s="78" t="n"/>
      <c r="U3698" s="92">
        <f>IF(ISBLANK(P3698),"",IF(C3698="Buy",Q3698-M3698+T3698, IF(C3698="Sell",M3698-Q3698-T3698, X)))</f>
        <v/>
      </c>
      <c r="V3698" s="81">
        <f>IF(ISBLANK(P3698),"",U3698/N3698)</f>
        <v/>
      </c>
      <c r="W3698" s="81">
        <f>IF(ISBLANK(P3698),"",IF(S3698=0,(365/0.5)*V3698,(365/S3698)*V3698))</f>
        <v/>
      </c>
      <c r="X3698" s="75" t="n"/>
      <c r="Y3698" s="77" t="n"/>
      <c r="Z3698" s="77" t="n"/>
      <c r="AA3698" s="75" t="n"/>
      <c r="AB3698" s="75" t="n"/>
      <c r="AC3698" s="6" t="n"/>
      <c r="AD3698" s="75" t="n"/>
      <c r="AE3698" s="75" t="n"/>
      <c r="AF3698" s="75" t="n"/>
    </row>
    <row r="3699" ht="15.75" customHeight="1" s="133">
      <c r="A3699" s="75" t="n"/>
      <c r="B3699" s="75" t="n"/>
      <c r="C3699" s="75" t="n"/>
      <c r="D3699" s="75" t="n"/>
      <c r="E3699" s="76" t="n"/>
      <c r="F3699" s="77" t="n"/>
      <c r="G3699" s="75" t="n"/>
      <c r="H3699" s="75">
        <f>IF(ISBLANK(E3699),"",IF(OR(D3699="Butterfly",D3699="Butterfly ",D3699="Iron Fly", D3699="Iron Fly "),LEN(E3699)-LEN(SUBSTITUTE(E3699,"/",""))+2,LEN(E3699)-LEN(SUBSTITUTE(E3699,"/",""))+1))</f>
        <v/>
      </c>
      <c r="I3699" s="78">
        <f>IF(ISBLANK(G3699),"",IF(D3699="Stock","0",Key!$A$3*H3699*G3699))</f>
        <v/>
      </c>
      <c r="J3699" s="78">
        <f>IF(ISBLANK(E3699),"",IF(ISNUMBER(SEARCH("/",E3699)), IF(LEN(E3699)-LEN(SUBSTITUTE(E3699,"/",""))=1,(RIGHT(E3699,LEN(E3699)-FIND("/",E3699)))-(LEFT(E3699,FIND("/",E3699)-1)),(MID(E3699, SEARCH("/",E3699) + 1, SEARCH("/",E3699, SEARCH("/",E3699)+1) - SEARCH("/",E3699) - 1))-(LEFT(E3699,FIND("/",E3699)-1))), "NA"))</f>
        <v/>
      </c>
      <c r="K3699" s="79">
        <f>IF(A3699&lt;&gt;"", IF(ISBLANK(L3699), TODAY(), K3699), "")</f>
        <v/>
      </c>
      <c r="L3699" s="78" t="n"/>
      <c r="M3699" s="78">
        <f>IF(ISBLANK(L3699),"",IF(D3699="Stock",IF(C3699="Buy",L3699*G3699,IF(C3699="Sell",(L3699*G3699)-I3699, X)),IF(C3699="Buy",(L3699*G3699*100)+I3699,IF(C3699="Sell",(L3699*G3699*100)-I3699, X))))</f>
        <v/>
      </c>
      <c r="N3699" s="78">
        <f>IF(ISBLANK(L3699),"",IF(AND(C3699="Sell",D3699="Stock"),M3699,IF(ISBLANK(L3699),"",IF(C3699="Buy",M3699, IF(AND(C3699="Sell",J3699="NA"),(E3699*G3699*100*0.1)+I3699, IF(C3699="Sell",(J3699-L3699)*(100*G3699)+I3699))))))</f>
        <v/>
      </c>
      <c r="O3699" s="75" t="n"/>
      <c r="P3699" s="75" t="n"/>
      <c r="Q3699" s="75">
        <f>IF(ISBLANK(P3699),"",IF(D3699="Stock",P3699*G3699,IF(P3699=0,"0",G3699*P3699*100-(G3699*$AF$14))))</f>
        <v/>
      </c>
      <c r="R3699" s="79">
        <f>IF(P3699&lt;&gt;"", TODAY(), "")</f>
        <v/>
      </c>
      <c r="S3699" s="78">
        <f>IF(AND(K3699&lt;&gt;"", R3699&lt;&gt;""), R3699-K3699, "")</f>
        <v/>
      </c>
      <c r="T3699" s="78" t="n"/>
      <c r="U3699" s="92">
        <f>IF(ISBLANK(P3699),"",IF(C3699="Buy",Q3699-M3699+T3699, IF(C3699="Sell",M3699-Q3699-T3699, X)))</f>
        <v/>
      </c>
      <c r="V3699" s="81">
        <f>IF(ISBLANK(P3699),"",U3699/N3699)</f>
        <v/>
      </c>
      <c r="W3699" s="81">
        <f>IF(ISBLANK(P3699),"",IF(S3699=0,(365/0.5)*V3699,(365/S3699)*V3699))</f>
        <v/>
      </c>
      <c r="X3699" s="75" t="n"/>
      <c r="Y3699" s="77" t="n"/>
      <c r="Z3699" s="77" t="n"/>
      <c r="AA3699" s="75" t="n"/>
      <c r="AB3699" s="75" t="n"/>
      <c r="AC3699" s="6" t="n"/>
      <c r="AD3699" s="75" t="n"/>
      <c r="AE3699" s="75" t="n"/>
      <c r="AF3699" s="75" t="n"/>
    </row>
    <row r="3700" ht="15.75" customHeight="1" s="133">
      <c r="A3700" s="75" t="n"/>
      <c r="B3700" s="75" t="n"/>
      <c r="C3700" s="75" t="n"/>
      <c r="D3700" s="75" t="n"/>
      <c r="E3700" s="76" t="n"/>
      <c r="F3700" s="77" t="n"/>
      <c r="G3700" s="75" t="n"/>
      <c r="H3700" s="75">
        <f>IF(ISBLANK(E3700),"",IF(OR(D3700="Butterfly",D3700="Butterfly ",D3700="Iron Fly", D3700="Iron Fly "),LEN(E3700)-LEN(SUBSTITUTE(E3700,"/",""))+2,LEN(E3700)-LEN(SUBSTITUTE(E3700,"/",""))+1))</f>
        <v/>
      </c>
      <c r="I3700" s="78">
        <f>IF(ISBLANK(G3700),"",IF(D3700="Stock","0",Key!$A$3*H3700*G3700))</f>
        <v/>
      </c>
      <c r="J3700" s="78">
        <f>IF(ISBLANK(E3700),"",IF(ISNUMBER(SEARCH("/",E3700)), IF(LEN(E3700)-LEN(SUBSTITUTE(E3700,"/",""))=1,(RIGHT(E3700,LEN(E3700)-FIND("/",E3700)))-(LEFT(E3700,FIND("/",E3700)-1)),(MID(E3700, SEARCH("/",E3700) + 1, SEARCH("/",E3700, SEARCH("/",E3700)+1) - SEARCH("/",E3700) - 1))-(LEFT(E3700,FIND("/",E3700)-1))), "NA"))</f>
        <v/>
      </c>
      <c r="K3700" s="79">
        <f>IF(A3700&lt;&gt;"", IF(ISBLANK(L3700), TODAY(), K3700), "")</f>
        <v/>
      </c>
      <c r="L3700" s="78" t="n"/>
      <c r="M3700" s="78">
        <f>IF(ISBLANK(L3700),"",IF(D3700="Stock",IF(C3700="Buy",L3700*G3700,IF(C3700="Sell",(L3700*G3700)-I3700, X)),IF(C3700="Buy",(L3700*G3700*100)+I3700,IF(C3700="Sell",(L3700*G3700*100)-I3700, X))))</f>
        <v/>
      </c>
      <c r="N3700" s="78">
        <f>IF(ISBLANK(L3700),"",IF(AND(C3700="Sell",D3700="Stock"),M3700,IF(ISBLANK(L3700),"",IF(C3700="Buy",M3700, IF(AND(C3700="Sell",J3700="NA"),(E3700*G3700*100*0.1)+I3700, IF(C3700="Sell",(J3700-L3700)*(100*G3700)+I3700))))))</f>
        <v/>
      </c>
      <c r="O3700" s="75" t="n"/>
      <c r="P3700" s="75" t="n"/>
      <c r="Q3700" s="75">
        <f>IF(ISBLANK(P3700),"",IF(D3700="Stock",P3700*G3700,IF(P3700=0,"0",G3700*P3700*100-(G3700*$AF$14))))</f>
        <v/>
      </c>
      <c r="R3700" s="79">
        <f>IF(P3700&lt;&gt;"", TODAY(), "")</f>
        <v/>
      </c>
      <c r="S3700" s="78">
        <f>IF(AND(K3700&lt;&gt;"", R3700&lt;&gt;""), R3700-K3700, "")</f>
        <v/>
      </c>
      <c r="T3700" s="78" t="n"/>
      <c r="U3700" s="92">
        <f>IF(ISBLANK(P3700),"",IF(C3700="Buy",Q3700-M3700+T3700, IF(C3700="Sell",M3700-Q3700-T3700, X)))</f>
        <v/>
      </c>
      <c r="V3700" s="81">
        <f>IF(ISBLANK(P3700),"",U3700/N3700)</f>
        <v/>
      </c>
      <c r="W3700" s="81">
        <f>IF(ISBLANK(P3700),"",IF(S3700=0,(365/0.5)*V3700,(365/S3700)*V3700))</f>
        <v/>
      </c>
      <c r="X3700" s="75" t="n"/>
      <c r="Y3700" s="77" t="n"/>
      <c r="Z3700" s="77" t="n"/>
      <c r="AA3700" s="75" t="n"/>
      <c r="AB3700" s="75" t="n"/>
      <c r="AC3700" s="6" t="n"/>
      <c r="AD3700" s="75" t="n"/>
      <c r="AE3700" s="75" t="n"/>
      <c r="AF3700" s="75" t="n"/>
    </row>
    <row r="3701" ht="15.75" customHeight="1" s="133">
      <c r="A3701" s="75" t="n"/>
      <c r="B3701" s="75" t="n"/>
      <c r="C3701" s="75" t="n"/>
      <c r="D3701" s="75" t="n"/>
      <c r="E3701" s="76" t="n"/>
      <c r="F3701" s="77" t="n"/>
      <c r="G3701" s="75" t="n"/>
      <c r="H3701" s="75">
        <f>IF(ISBLANK(E3701),"",IF(OR(D3701="Butterfly",D3701="Butterfly ",D3701="Iron Fly", D3701="Iron Fly "),LEN(E3701)-LEN(SUBSTITUTE(E3701,"/",""))+2,LEN(E3701)-LEN(SUBSTITUTE(E3701,"/",""))+1))</f>
        <v/>
      </c>
      <c r="I3701" s="78">
        <f>IF(ISBLANK(G3701),"",IF(D3701="Stock","0",Key!$A$3*H3701*G3701))</f>
        <v/>
      </c>
      <c r="J3701" s="78">
        <f>IF(ISBLANK(E3701),"",IF(ISNUMBER(SEARCH("/",E3701)), IF(LEN(E3701)-LEN(SUBSTITUTE(E3701,"/",""))=1,(RIGHT(E3701,LEN(E3701)-FIND("/",E3701)))-(LEFT(E3701,FIND("/",E3701)-1)),(MID(E3701, SEARCH("/",E3701) + 1, SEARCH("/",E3701, SEARCH("/",E3701)+1) - SEARCH("/",E3701) - 1))-(LEFT(E3701,FIND("/",E3701)-1))), "NA"))</f>
        <v/>
      </c>
      <c r="K3701" s="79">
        <f>IF(A3701&lt;&gt;"", IF(ISBLANK(L3701), TODAY(), K3701), "")</f>
        <v/>
      </c>
      <c r="L3701" s="78" t="n"/>
      <c r="M3701" s="78">
        <f>IF(ISBLANK(L3701),"",IF(D3701="Stock",IF(C3701="Buy",L3701*G3701,IF(C3701="Sell",(L3701*G3701)-I3701, X)),IF(C3701="Buy",(L3701*G3701*100)+I3701,IF(C3701="Sell",(L3701*G3701*100)-I3701, X))))</f>
        <v/>
      </c>
      <c r="N3701" s="78">
        <f>IF(ISBLANK(L3701),"",IF(AND(C3701="Sell",D3701="Stock"),M3701,IF(ISBLANK(L3701),"",IF(C3701="Buy",M3701, IF(AND(C3701="Sell",J3701="NA"),(E3701*G3701*100*0.1)+I3701, IF(C3701="Sell",(J3701-L3701)*(100*G3701)+I3701))))))</f>
        <v/>
      </c>
      <c r="O3701" s="75" t="n"/>
      <c r="P3701" s="75" t="n"/>
      <c r="Q3701" s="75">
        <f>IF(ISBLANK(P3701),"",IF(D3701="Stock",P3701*G3701,IF(P3701=0,"0",G3701*P3701*100-(G3701*$AF$14))))</f>
        <v/>
      </c>
      <c r="R3701" s="79">
        <f>IF(P3701&lt;&gt;"", TODAY(), "")</f>
        <v/>
      </c>
      <c r="S3701" s="78">
        <f>IF(AND(K3701&lt;&gt;"", R3701&lt;&gt;""), R3701-K3701, "")</f>
        <v/>
      </c>
      <c r="T3701" s="78" t="n"/>
      <c r="U3701" s="92">
        <f>IF(ISBLANK(P3701),"",IF(C3701="Buy",Q3701-M3701+T3701, IF(C3701="Sell",M3701-Q3701-T3701, X)))</f>
        <v/>
      </c>
      <c r="V3701" s="81">
        <f>IF(ISBLANK(P3701),"",U3701/N3701)</f>
        <v/>
      </c>
      <c r="W3701" s="81">
        <f>IF(ISBLANK(P3701),"",IF(S3701=0,(365/0.5)*V3701,(365/S3701)*V3701))</f>
        <v/>
      </c>
      <c r="X3701" s="75" t="n"/>
      <c r="Y3701" s="77" t="n"/>
      <c r="Z3701" s="77" t="n"/>
      <c r="AA3701" s="75" t="n"/>
      <c r="AB3701" s="75" t="n"/>
      <c r="AC3701" s="6" t="n"/>
      <c r="AD3701" s="75" t="n"/>
      <c r="AE3701" s="75" t="n"/>
      <c r="AF3701" s="75" t="n"/>
    </row>
    <row r="3702" ht="15.75" customHeight="1" s="133">
      <c r="A3702" s="75" t="n"/>
      <c r="B3702" s="75" t="n"/>
      <c r="C3702" s="75" t="n"/>
      <c r="D3702" s="75" t="n"/>
      <c r="E3702" s="76" t="n"/>
      <c r="F3702" s="77" t="n"/>
      <c r="G3702" s="75" t="n"/>
      <c r="H3702" s="75">
        <f>IF(ISBLANK(E3702),"",IF(OR(D3702="Butterfly",D3702="Butterfly ",D3702="Iron Fly", D3702="Iron Fly "),LEN(E3702)-LEN(SUBSTITUTE(E3702,"/",""))+2,LEN(E3702)-LEN(SUBSTITUTE(E3702,"/",""))+1))</f>
        <v/>
      </c>
      <c r="I3702" s="78">
        <f>IF(ISBLANK(G3702),"",IF(D3702="Stock","0",Key!$A$3*H3702*G3702))</f>
        <v/>
      </c>
      <c r="J3702" s="78">
        <f>IF(ISBLANK(E3702),"",IF(ISNUMBER(SEARCH("/",E3702)), IF(LEN(E3702)-LEN(SUBSTITUTE(E3702,"/",""))=1,(RIGHT(E3702,LEN(E3702)-FIND("/",E3702)))-(LEFT(E3702,FIND("/",E3702)-1)),(MID(E3702, SEARCH("/",E3702) + 1, SEARCH("/",E3702, SEARCH("/",E3702)+1) - SEARCH("/",E3702) - 1))-(LEFT(E3702,FIND("/",E3702)-1))), "NA"))</f>
        <v/>
      </c>
      <c r="K3702" s="79">
        <f>IF(A3702&lt;&gt;"", IF(ISBLANK(L3702), TODAY(), K3702), "")</f>
        <v/>
      </c>
      <c r="L3702" s="78" t="n"/>
      <c r="M3702" s="78">
        <f>IF(ISBLANK(L3702),"",IF(D3702="Stock",IF(C3702="Buy",L3702*G3702,IF(C3702="Sell",(L3702*G3702)-I3702, X)),IF(C3702="Buy",(L3702*G3702*100)+I3702,IF(C3702="Sell",(L3702*G3702*100)-I3702, X))))</f>
        <v/>
      </c>
      <c r="N3702" s="78">
        <f>IF(ISBLANK(L3702),"",IF(AND(C3702="Sell",D3702="Stock"),M3702,IF(ISBLANK(L3702),"",IF(C3702="Buy",M3702, IF(AND(C3702="Sell",J3702="NA"),(E3702*G3702*100*0.1)+I3702, IF(C3702="Sell",(J3702-L3702)*(100*G3702)+I3702))))))</f>
        <v/>
      </c>
      <c r="O3702" s="75" t="n"/>
      <c r="P3702" s="75" t="n"/>
      <c r="Q3702" s="75">
        <f>IF(ISBLANK(P3702),"",IF(D3702="Stock",P3702*G3702,IF(P3702=0,"0",G3702*P3702*100-(G3702*$AF$14))))</f>
        <v/>
      </c>
      <c r="R3702" s="79">
        <f>IF(P3702&lt;&gt;"", TODAY(), "")</f>
        <v/>
      </c>
      <c r="S3702" s="78">
        <f>IF(AND(K3702&lt;&gt;"", R3702&lt;&gt;""), R3702-K3702, "")</f>
        <v/>
      </c>
      <c r="T3702" s="78" t="n"/>
      <c r="U3702" s="92">
        <f>IF(ISBLANK(P3702),"",IF(C3702="Buy",Q3702-M3702+T3702, IF(C3702="Sell",M3702-Q3702-T3702, X)))</f>
        <v/>
      </c>
      <c r="V3702" s="81">
        <f>IF(ISBLANK(P3702),"",U3702/N3702)</f>
        <v/>
      </c>
      <c r="W3702" s="81">
        <f>IF(ISBLANK(P3702),"",IF(S3702=0,(365/0.5)*V3702,(365/S3702)*V3702))</f>
        <v/>
      </c>
      <c r="X3702" s="75" t="n"/>
      <c r="Y3702" s="77" t="n"/>
      <c r="Z3702" s="77" t="n"/>
      <c r="AA3702" s="75" t="n"/>
      <c r="AB3702" s="75" t="n"/>
      <c r="AC3702" s="6" t="n"/>
      <c r="AD3702" s="75" t="n"/>
      <c r="AE3702" s="75" t="n"/>
      <c r="AF3702" s="75" t="n"/>
    </row>
    <row r="3703" ht="15.75" customHeight="1" s="133">
      <c r="A3703" s="75" t="n"/>
      <c r="B3703" s="75" t="n"/>
      <c r="C3703" s="75" t="n"/>
      <c r="D3703" s="75" t="n"/>
      <c r="E3703" s="76" t="n"/>
      <c r="F3703" s="77" t="n"/>
      <c r="G3703" s="75" t="n"/>
      <c r="H3703" s="75">
        <f>IF(ISBLANK(E3703),"",IF(OR(D3703="Butterfly",D3703="Butterfly ",D3703="Iron Fly", D3703="Iron Fly "),LEN(E3703)-LEN(SUBSTITUTE(E3703,"/",""))+2,LEN(E3703)-LEN(SUBSTITUTE(E3703,"/",""))+1))</f>
        <v/>
      </c>
      <c r="I3703" s="78">
        <f>IF(ISBLANK(G3703),"",IF(D3703="Stock","0",Key!$A$3*H3703*G3703))</f>
        <v/>
      </c>
      <c r="J3703" s="78">
        <f>IF(ISBLANK(E3703),"",IF(ISNUMBER(SEARCH("/",E3703)), IF(LEN(E3703)-LEN(SUBSTITUTE(E3703,"/",""))=1,(RIGHT(E3703,LEN(E3703)-FIND("/",E3703)))-(LEFT(E3703,FIND("/",E3703)-1)),(MID(E3703, SEARCH("/",E3703) + 1, SEARCH("/",E3703, SEARCH("/",E3703)+1) - SEARCH("/",E3703) - 1))-(LEFT(E3703,FIND("/",E3703)-1))), "NA"))</f>
        <v/>
      </c>
      <c r="K3703" s="79">
        <f>IF(A3703&lt;&gt;"", IF(ISBLANK(L3703), TODAY(), K3703), "")</f>
        <v/>
      </c>
      <c r="L3703" s="78" t="n"/>
      <c r="M3703" s="78">
        <f>IF(ISBLANK(L3703),"",IF(D3703="Stock",IF(C3703="Buy",L3703*G3703,IF(C3703="Sell",(L3703*G3703)-I3703, X)),IF(C3703="Buy",(L3703*G3703*100)+I3703,IF(C3703="Sell",(L3703*G3703*100)-I3703, X))))</f>
        <v/>
      </c>
      <c r="N3703" s="78">
        <f>IF(ISBLANK(L3703),"",IF(AND(C3703="Sell",D3703="Stock"),M3703,IF(ISBLANK(L3703),"",IF(C3703="Buy",M3703, IF(AND(C3703="Sell",J3703="NA"),(E3703*G3703*100*0.1)+I3703, IF(C3703="Sell",(J3703-L3703)*(100*G3703)+I3703))))))</f>
        <v/>
      </c>
      <c r="O3703" s="75" t="n"/>
      <c r="P3703" s="75" t="n"/>
      <c r="Q3703" s="75">
        <f>IF(ISBLANK(P3703),"",IF(D3703="Stock",P3703*G3703,IF(P3703=0,"0",G3703*P3703*100-(G3703*$AF$14))))</f>
        <v/>
      </c>
      <c r="R3703" s="79">
        <f>IF(P3703&lt;&gt;"", TODAY(), "")</f>
        <v/>
      </c>
      <c r="S3703" s="78">
        <f>IF(AND(K3703&lt;&gt;"", R3703&lt;&gt;""), R3703-K3703, "")</f>
        <v/>
      </c>
      <c r="T3703" s="78" t="n"/>
      <c r="U3703" s="92">
        <f>IF(ISBLANK(P3703),"",IF(C3703="Buy",Q3703-M3703+T3703, IF(C3703="Sell",M3703-Q3703-T3703, X)))</f>
        <v/>
      </c>
      <c r="V3703" s="81">
        <f>IF(ISBLANK(P3703),"",U3703/N3703)</f>
        <v/>
      </c>
      <c r="W3703" s="81">
        <f>IF(ISBLANK(P3703),"",IF(S3703=0,(365/0.5)*V3703,(365/S3703)*V3703))</f>
        <v/>
      </c>
      <c r="X3703" s="75" t="n"/>
      <c r="Y3703" s="77" t="n"/>
      <c r="Z3703" s="77" t="n"/>
      <c r="AA3703" s="75" t="n"/>
      <c r="AB3703" s="75" t="n"/>
      <c r="AC3703" s="6" t="n"/>
      <c r="AD3703" s="75" t="n"/>
      <c r="AE3703" s="75" t="n"/>
      <c r="AF3703" s="75" t="n"/>
    </row>
    <row r="3704" ht="15.75" customHeight="1" s="133">
      <c r="A3704" s="75" t="n"/>
      <c r="B3704" s="75" t="n"/>
      <c r="C3704" s="75" t="n"/>
      <c r="D3704" s="75" t="n"/>
      <c r="E3704" s="76" t="n"/>
      <c r="F3704" s="77" t="n"/>
      <c r="G3704" s="75" t="n"/>
      <c r="H3704" s="75">
        <f>IF(ISBLANK(E3704),"",IF(OR(D3704="Butterfly",D3704="Butterfly ",D3704="Iron Fly", D3704="Iron Fly "),LEN(E3704)-LEN(SUBSTITUTE(E3704,"/",""))+2,LEN(E3704)-LEN(SUBSTITUTE(E3704,"/",""))+1))</f>
        <v/>
      </c>
      <c r="I3704" s="78">
        <f>IF(ISBLANK(G3704),"",IF(D3704="Stock","0",Key!$A$3*H3704*G3704))</f>
        <v/>
      </c>
      <c r="J3704" s="78">
        <f>IF(ISBLANK(E3704),"",IF(ISNUMBER(SEARCH("/",E3704)), IF(LEN(E3704)-LEN(SUBSTITUTE(E3704,"/",""))=1,(RIGHT(E3704,LEN(E3704)-FIND("/",E3704)))-(LEFT(E3704,FIND("/",E3704)-1)),(MID(E3704, SEARCH("/",E3704) + 1, SEARCH("/",E3704, SEARCH("/",E3704)+1) - SEARCH("/",E3704) - 1))-(LEFT(E3704,FIND("/",E3704)-1))), "NA"))</f>
        <v/>
      </c>
      <c r="K3704" s="79">
        <f>IF(A3704&lt;&gt;"", IF(ISBLANK(L3704), TODAY(), K3704), "")</f>
        <v/>
      </c>
      <c r="L3704" s="78" t="n"/>
      <c r="M3704" s="78">
        <f>IF(ISBLANK(L3704),"",IF(D3704="Stock",IF(C3704="Buy",L3704*G3704,IF(C3704="Sell",(L3704*G3704)-I3704, X)),IF(C3704="Buy",(L3704*G3704*100)+I3704,IF(C3704="Sell",(L3704*G3704*100)-I3704, X))))</f>
        <v/>
      </c>
      <c r="N3704" s="78">
        <f>IF(ISBLANK(L3704),"",IF(AND(C3704="Sell",D3704="Stock"),M3704,IF(ISBLANK(L3704),"",IF(C3704="Buy",M3704, IF(AND(C3704="Sell",J3704="NA"),(E3704*G3704*100*0.1)+I3704, IF(C3704="Sell",(J3704-L3704)*(100*G3704)+I3704))))))</f>
        <v/>
      </c>
      <c r="O3704" s="75" t="n"/>
      <c r="P3704" s="75" t="n"/>
      <c r="Q3704" s="75">
        <f>IF(ISBLANK(P3704),"",IF(D3704="Stock",P3704*G3704,IF(P3704=0,"0",G3704*P3704*100-(G3704*$AF$14))))</f>
        <v/>
      </c>
      <c r="R3704" s="79">
        <f>IF(P3704&lt;&gt;"", TODAY(), "")</f>
        <v/>
      </c>
      <c r="S3704" s="78">
        <f>IF(AND(K3704&lt;&gt;"", R3704&lt;&gt;""), R3704-K3704, "")</f>
        <v/>
      </c>
      <c r="T3704" s="78" t="n"/>
      <c r="U3704" s="92">
        <f>IF(ISBLANK(P3704),"",IF(C3704="Buy",Q3704-M3704+T3704, IF(C3704="Sell",M3704-Q3704-T3704, X)))</f>
        <v/>
      </c>
      <c r="V3704" s="81">
        <f>IF(ISBLANK(P3704),"",U3704/N3704)</f>
        <v/>
      </c>
      <c r="W3704" s="81">
        <f>IF(ISBLANK(P3704),"",IF(S3704=0,(365/0.5)*V3704,(365/S3704)*V3704))</f>
        <v/>
      </c>
      <c r="X3704" s="75" t="n"/>
      <c r="Y3704" s="77" t="n"/>
      <c r="Z3704" s="77" t="n"/>
      <c r="AA3704" s="75" t="n"/>
      <c r="AB3704" s="75" t="n"/>
      <c r="AC3704" s="6" t="n"/>
      <c r="AD3704" s="75" t="n"/>
      <c r="AE3704" s="75" t="n"/>
      <c r="AF3704" s="75" t="n"/>
    </row>
    <row r="3705" ht="15.75" customHeight="1" s="133">
      <c r="A3705" s="75" t="n"/>
      <c r="B3705" s="75" t="n"/>
      <c r="C3705" s="75" t="n"/>
      <c r="D3705" s="75" t="n"/>
      <c r="E3705" s="76" t="n"/>
      <c r="F3705" s="77" t="n"/>
      <c r="G3705" s="75" t="n"/>
      <c r="H3705" s="75">
        <f>IF(ISBLANK(E3705),"",IF(OR(D3705="Butterfly",D3705="Butterfly ",D3705="Iron Fly", D3705="Iron Fly "),LEN(E3705)-LEN(SUBSTITUTE(E3705,"/",""))+2,LEN(E3705)-LEN(SUBSTITUTE(E3705,"/",""))+1))</f>
        <v/>
      </c>
      <c r="I3705" s="78">
        <f>IF(ISBLANK(G3705),"",IF(D3705="Stock","0",Key!$A$3*H3705*G3705))</f>
        <v/>
      </c>
      <c r="J3705" s="78">
        <f>IF(ISBLANK(E3705),"",IF(ISNUMBER(SEARCH("/",E3705)), IF(LEN(E3705)-LEN(SUBSTITUTE(E3705,"/",""))=1,(RIGHT(E3705,LEN(E3705)-FIND("/",E3705)))-(LEFT(E3705,FIND("/",E3705)-1)),(MID(E3705, SEARCH("/",E3705) + 1, SEARCH("/",E3705, SEARCH("/",E3705)+1) - SEARCH("/",E3705) - 1))-(LEFT(E3705,FIND("/",E3705)-1))), "NA"))</f>
        <v/>
      </c>
      <c r="K3705" s="79">
        <f>IF(A3705&lt;&gt;"", IF(ISBLANK(L3705), TODAY(), K3705), "")</f>
        <v/>
      </c>
      <c r="L3705" s="78" t="n"/>
      <c r="M3705" s="78">
        <f>IF(ISBLANK(L3705),"",IF(D3705="Stock",IF(C3705="Buy",L3705*G3705,IF(C3705="Sell",(L3705*G3705)-I3705, X)),IF(C3705="Buy",(L3705*G3705*100)+I3705,IF(C3705="Sell",(L3705*G3705*100)-I3705, X))))</f>
        <v/>
      </c>
      <c r="N3705" s="78">
        <f>IF(ISBLANK(L3705),"",IF(AND(C3705="Sell",D3705="Stock"),M3705,IF(ISBLANK(L3705),"",IF(C3705="Buy",M3705, IF(AND(C3705="Sell",J3705="NA"),(E3705*G3705*100*0.1)+I3705, IF(C3705="Sell",(J3705-L3705)*(100*G3705)+I3705))))))</f>
        <v/>
      </c>
      <c r="O3705" s="75" t="n"/>
      <c r="P3705" s="75" t="n"/>
      <c r="Q3705" s="75">
        <f>IF(ISBLANK(P3705),"",IF(D3705="Stock",P3705*G3705,IF(P3705=0,"0",G3705*P3705*100-(G3705*$AF$14))))</f>
        <v/>
      </c>
      <c r="R3705" s="79">
        <f>IF(P3705&lt;&gt;"", TODAY(), "")</f>
        <v/>
      </c>
      <c r="S3705" s="78">
        <f>IF(AND(K3705&lt;&gt;"", R3705&lt;&gt;""), R3705-K3705, "")</f>
        <v/>
      </c>
      <c r="T3705" s="78" t="n"/>
      <c r="U3705" s="92">
        <f>IF(ISBLANK(P3705),"",IF(C3705="Buy",Q3705-M3705+T3705, IF(C3705="Sell",M3705-Q3705-T3705, X)))</f>
        <v/>
      </c>
      <c r="V3705" s="81">
        <f>IF(ISBLANK(P3705),"",U3705/N3705)</f>
        <v/>
      </c>
      <c r="W3705" s="81">
        <f>IF(ISBLANK(P3705),"",IF(S3705=0,(365/0.5)*V3705,(365/S3705)*V3705))</f>
        <v/>
      </c>
      <c r="X3705" s="75" t="n"/>
      <c r="Y3705" s="77" t="n"/>
      <c r="Z3705" s="77" t="n"/>
      <c r="AA3705" s="75" t="n"/>
      <c r="AB3705" s="75" t="n"/>
      <c r="AC3705" s="6" t="n"/>
      <c r="AD3705" s="75" t="n"/>
      <c r="AE3705" s="75" t="n"/>
      <c r="AF3705" s="75" t="n"/>
    </row>
    <row r="3706" ht="15.75" customHeight="1" s="133">
      <c r="A3706" s="75" t="n"/>
      <c r="B3706" s="75" t="n"/>
      <c r="C3706" s="75" t="n"/>
      <c r="D3706" s="75" t="n"/>
      <c r="E3706" s="76" t="n"/>
      <c r="F3706" s="77" t="n"/>
      <c r="G3706" s="75" t="n"/>
      <c r="H3706" s="75">
        <f>IF(ISBLANK(E3706),"",IF(OR(D3706="Butterfly",D3706="Butterfly ",D3706="Iron Fly", D3706="Iron Fly "),LEN(E3706)-LEN(SUBSTITUTE(E3706,"/",""))+2,LEN(E3706)-LEN(SUBSTITUTE(E3706,"/",""))+1))</f>
        <v/>
      </c>
      <c r="I3706" s="78">
        <f>IF(ISBLANK(G3706),"",IF(D3706="Stock","0",Key!$A$3*H3706*G3706))</f>
        <v/>
      </c>
      <c r="J3706" s="78">
        <f>IF(ISBLANK(E3706),"",IF(ISNUMBER(SEARCH("/",E3706)), IF(LEN(E3706)-LEN(SUBSTITUTE(E3706,"/",""))=1,(RIGHT(E3706,LEN(E3706)-FIND("/",E3706)))-(LEFT(E3706,FIND("/",E3706)-1)),(MID(E3706, SEARCH("/",E3706) + 1, SEARCH("/",E3706, SEARCH("/",E3706)+1) - SEARCH("/",E3706) - 1))-(LEFT(E3706,FIND("/",E3706)-1))), "NA"))</f>
        <v/>
      </c>
      <c r="K3706" s="79">
        <f>IF(A3706&lt;&gt;"", IF(ISBLANK(L3706), TODAY(), K3706), "")</f>
        <v/>
      </c>
      <c r="L3706" s="78" t="n"/>
      <c r="M3706" s="78">
        <f>IF(ISBLANK(L3706),"",IF(D3706="Stock",IF(C3706="Buy",L3706*G3706,IF(C3706="Sell",(L3706*G3706)-I3706, X)),IF(C3706="Buy",(L3706*G3706*100)+I3706,IF(C3706="Sell",(L3706*G3706*100)-I3706, X))))</f>
        <v/>
      </c>
      <c r="N3706" s="78">
        <f>IF(ISBLANK(L3706),"",IF(AND(C3706="Sell",D3706="Stock"),M3706,IF(ISBLANK(L3706),"",IF(C3706="Buy",M3706, IF(AND(C3706="Sell",J3706="NA"),(E3706*G3706*100*0.1)+I3706, IF(C3706="Sell",(J3706-L3706)*(100*G3706)+I3706))))))</f>
        <v/>
      </c>
      <c r="O3706" s="75" t="n"/>
      <c r="P3706" s="75" t="n"/>
      <c r="Q3706" s="75">
        <f>IF(ISBLANK(P3706),"",IF(D3706="Stock",P3706*G3706,IF(P3706=0,"0",G3706*P3706*100-(G3706*$AF$14))))</f>
        <v/>
      </c>
      <c r="R3706" s="79">
        <f>IF(P3706&lt;&gt;"", TODAY(), "")</f>
        <v/>
      </c>
      <c r="S3706" s="78">
        <f>IF(AND(K3706&lt;&gt;"", R3706&lt;&gt;""), R3706-K3706, "")</f>
        <v/>
      </c>
      <c r="T3706" s="78" t="n"/>
      <c r="U3706" s="92">
        <f>IF(ISBLANK(P3706),"",IF(C3706="Buy",Q3706-M3706+T3706, IF(C3706="Sell",M3706-Q3706-T3706, X)))</f>
        <v/>
      </c>
      <c r="V3706" s="81">
        <f>IF(ISBLANK(P3706),"",U3706/N3706)</f>
        <v/>
      </c>
      <c r="W3706" s="81">
        <f>IF(ISBLANK(P3706),"",IF(S3706=0,(365/0.5)*V3706,(365/S3706)*V3706))</f>
        <v/>
      </c>
      <c r="X3706" s="75" t="n"/>
      <c r="Y3706" s="77" t="n"/>
      <c r="Z3706" s="77" t="n"/>
      <c r="AA3706" s="75" t="n"/>
      <c r="AB3706" s="75" t="n"/>
      <c r="AC3706" s="6" t="n"/>
      <c r="AD3706" s="75" t="n"/>
      <c r="AE3706" s="75" t="n"/>
      <c r="AF3706" s="75" t="n"/>
    </row>
    <row r="3707" ht="15.75" customHeight="1" s="133">
      <c r="A3707" s="75" t="n"/>
      <c r="B3707" s="75" t="n"/>
      <c r="C3707" s="75" t="n"/>
      <c r="D3707" s="75" t="n"/>
      <c r="E3707" s="76" t="n"/>
      <c r="F3707" s="77" t="n"/>
      <c r="G3707" s="75" t="n"/>
      <c r="H3707" s="75">
        <f>IF(ISBLANK(E3707),"",IF(OR(D3707="Butterfly",D3707="Butterfly ",D3707="Iron Fly", D3707="Iron Fly "),LEN(E3707)-LEN(SUBSTITUTE(E3707,"/",""))+2,LEN(E3707)-LEN(SUBSTITUTE(E3707,"/",""))+1))</f>
        <v/>
      </c>
      <c r="I3707" s="78">
        <f>IF(ISBLANK(G3707),"",IF(D3707="Stock","0",Key!$A$3*H3707*G3707))</f>
        <v/>
      </c>
      <c r="J3707" s="78">
        <f>IF(ISBLANK(E3707),"",IF(ISNUMBER(SEARCH("/",E3707)), IF(LEN(E3707)-LEN(SUBSTITUTE(E3707,"/",""))=1,(RIGHT(E3707,LEN(E3707)-FIND("/",E3707)))-(LEFT(E3707,FIND("/",E3707)-1)),(MID(E3707, SEARCH("/",E3707) + 1, SEARCH("/",E3707, SEARCH("/",E3707)+1) - SEARCH("/",E3707) - 1))-(LEFT(E3707,FIND("/",E3707)-1))), "NA"))</f>
        <v/>
      </c>
      <c r="K3707" s="79">
        <f>IF(A3707&lt;&gt;"", IF(ISBLANK(L3707), TODAY(), K3707), "")</f>
        <v/>
      </c>
      <c r="L3707" s="78" t="n"/>
      <c r="M3707" s="78">
        <f>IF(ISBLANK(L3707),"",IF(D3707="Stock",IF(C3707="Buy",L3707*G3707,IF(C3707="Sell",(L3707*G3707)-I3707, X)),IF(C3707="Buy",(L3707*G3707*100)+I3707,IF(C3707="Sell",(L3707*G3707*100)-I3707, X))))</f>
        <v/>
      </c>
      <c r="N3707" s="78">
        <f>IF(ISBLANK(L3707),"",IF(AND(C3707="Sell",D3707="Stock"),M3707,IF(ISBLANK(L3707),"",IF(C3707="Buy",M3707, IF(AND(C3707="Sell",J3707="NA"),(E3707*G3707*100*0.1)+I3707, IF(C3707="Sell",(J3707-L3707)*(100*G3707)+I3707))))))</f>
        <v/>
      </c>
      <c r="O3707" s="75" t="n"/>
      <c r="P3707" s="75" t="n"/>
      <c r="Q3707" s="75">
        <f>IF(ISBLANK(P3707),"",IF(D3707="Stock",P3707*G3707,IF(P3707=0,"0",G3707*P3707*100-(G3707*$AF$14))))</f>
        <v/>
      </c>
      <c r="R3707" s="79">
        <f>IF(P3707&lt;&gt;"", TODAY(), "")</f>
        <v/>
      </c>
      <c r="S3707" s="78">
        <f>IF(AND(K3707&lt;&gt;"", R3707&lt;&gt;""), R3707-K3707, "")</f>
        <v/>
      </c>
      <c r="T3707" s="78" t="n"/>
      <c r="U3707" s="92">
        <f>IF(ISBLANK(P3707),"",IF(C3707="Buy",Q3707-M3707+T3707, IF(C3707="Sell",M3707-Q3707-T3707, X)))</f>
        <v/>
      </c>
      <c r="V3707" s="81">
        <f>IF(ISBLANK(P3707),"",U3707/N3707)</f>
        <v/>
      </c>
      <c r="W3707" s="81">
        <f>IF(ISBLANK(P3707),"",IF(S3707=0,(365/0.5)*V3707,(365/S3707)*V3707))</f>
        <v/>
      </c>
      <c r="X3707" s="75" t="n"/>
      <c r="Y3707" s="77" t="n"/>
      <c r="Z3707" s="77" t="n"/>
      <c r="AA3707" s="75" t="n"/>
      <c r="AB3707" s="75" t="n"/>
      <c r="AC3707" s="6" t="n"/>
      <c r="AD3707" s="75" t="n"/>
      <c r="AE3707" s="75" t="n"/>
      <c r="AF3707" s="75" t="n"/>
    </row>
    <row r="3708" ht="15.75" customHeight="1" s="133">
      <c r="A3708" s="75" t="n"/>
      <c r="B3708" s="75" t="n"/>
      <c r="C3708" s="75" t="n"/>
      <c r="D3708" s="75" t="n"/>
      <c r="E3708" s="76" t="n"/>
      <c r="F3708" s="77" t="n"/>
      <c r="G3708" s="75" t="n"/>
      <c r="H3708" s="75">
        <f>IF(ISBLANK(E3708),"",IF(OR(D3708="Butterfly",D3708="Butterfly ",D3708="Iron Fly", D3708="Iron Fly "),LEN(E3708)-LEN(SUBSTITUTE(E3708,"/",""))+2,LEN(E3708)-LEN(SUBSTITUTE(E3708,"/",""))+1))</f>
        <v/>
      </c>
      <c r="I3708" s="78">
        <f>IF(ISBLANK(G3708),"",IF(D3708="Stock","0",Key!$A$3*H3708*G3708))</f>
        <v/>
      </c>
      <c r="J3708" s="78">
        <f>IF(ISBLANK(E3708),"",IF(ISNUMBER(SEARCH("/",E3708)), IF(LEN(E3708)-LEN(SUBSTITUTE(E3708,"/",""))=1,(RIGHT(E3708,LEN(E3708)-FIND("/",E3708)))-(LEFT(E3708,FIND("/",E3708)-1)),(MID(E3708, SEARCH("/",E3708) + 1, SEARCH("/",E3708, SEARCH("/",E3708)+1) - SEARCH("/",E3708) - 1))-(LEFT(E3708,FIND("/",E3708)-1))), "NA"))</f>
        <v/>
      </c>
      <c r="K3708" s="79">
        <f>IF(A3708&lt;&gt;"", IF(ISBLANK(L3708), TODAY(), K3708), "")</f>
        <v/>
      </c>
      <c r="L3708" s="78" t="n"/>
      <c r="M3708" s="78">
        <f>IF(ISBLANK(L3708),"",IF(D3708="Stock",IF(C3708="Buy",L3708*G3708,IF(C3708="Sell",(L3708*G3708)-I3708, X)),IF(C3708="Buy",(L3708*G3708*100)+I3708,IF(C3708="Sell",(L3708*G3708*100)-I3708, X))))</f>
        <v/>
      </c>
      <c r="N3708" s="78">
        <f>IF(ISBLANK(L3708),"",IF(AND(C3708="Sell",D3708="Stock"),M3708,IF(ISBLANK(L3708),"",IF(C3708="Buy",M3708, IF(AND(C3708="Sell",J3708="NA"),(E3708*G3708*100*0.1)+I3708, IF(C3708="Sell",(J3708-L3708)*(100*G3708)+I3708))))))</f>
        <v/>
      </c>
      <c r="O3708" s="75" t="n"/>
      <c r="P3708" s="75" t="n"/>
      <c r="Q3708" s="75">
        <f>IF(ISBLANK(P3708),"",IF(D3708="Stock",P3708*G3708,IF(P3708=0,"0",G3708*P3708*100-(G3708*$AF$14))))</f>
        <v/>
      </c>
      <c r="R3708" s="79">
        <f>IF(P3708&lt;&gt;"", TODAY(), "")</f>
        <v/>
      </c>
      <c r="S3708" s="78">
        <f>IF(AND(K3708&lt;&gt;"", R3708&lt;&gt;""), R3708-K3708, "")</f>
        <v/>
      </c>
      <c r="T3708" s="78" t="n"/>
      <c r="U3708" s="92">
        <f>IF(ISBLANK(P3708),"",IF(C3708="Buy",Q3708-M3708+T3708, IF(C3708="Sell",M3708-Q3708-T3708, X)))</f>
        <v/>
      </c>
      <c r="V3708" s="81">
        <f>IF(ISBLANK(P3708),"",U3708/N3708)</f>
        <v/>
      </c>
      <c r="W3708" s="81">
        <f>IF(ISBLANK(P3708),"",IF(S3708=0,(365/0.5)*V3708,(365/S3708)*V3708))</f>
        <v/>
      </c>
      <c r="X3708" s="75" t="n"/>
      <c r="Y3708" s="77" t="n"/>
      <c r="Z3708" s="77" t="n"/>
      <c r="AA3708" s="75" t="n"/>
      <c r="AB3708" s="75" t="n"/>
      <c r="AC3708" s="6" t="n"/>
      <c r="AD3708" s="75" t="n"/>
      <c r="AE3708" s="75" t="n"/>
      <c r="AF3708" s="75" t="n"/>
    </row>
    <row r="3709" ht="15.75" customHeight="1" s="133">
      <c r="A3709" s="75" t="n"/>
      <c r="B3709" s="75" t="n"/>
      <c r="C3709" s="75" t="n"/>
      <c r="D3709" s="75" t="n"/>
      <c r="E3709" s="76" t="n"/>
      <c r="F3709" s="77" t="n"/>
      <c r="G3709" s="75" t="n"/>
      <c r="H3709" s="75">
        <f>IF(ISBLANK(E3709),"",IF(OR(D3709="Butterfly",D3709="Butterfly ",D3709="Iron Fly", D3709="Iron Fly "),LEN(E3709)-LEN(SUBSTITUTE(E3709,"/",""))+2,LEN(E3709)-LEN(SUBSTITUTE(E3709,"/",""))+1))</f>
        <v/>
      </c>
      <c r="I3709" s="78">
        <f>IF(ISBLANK(G3709),"",IF(D3709="Stock","0",Key!$A$3*H3709*G3709))</f>
        <v/>
      </c>
      <c r="J3709" s="78">
        <f>IF(ISBLANK(E3709),"",IF(ISNUMBER(SEARCH("/",E3709)), IF(LEN(E3709)-LEN(SUBSTITUTE(E3709,"/",""))=1,(RIGHT(E3709,LEN(E3709)-FIND("/",E3709)))-(LEFT(E3709,FIND("/",E3709)-1)),(MID(E3709, SEARCH("/",E3709) + 1, SEARCH("/",E3709, SEARCH("/",E3709)+1) - SEARCH("/",E3709) - 1))-(LEFT(E3709,FIND("/",E3709)-1))), "NA"))</f>
        <v/>
      </c>
      <c r="K3709" s="79">
        <f>IF(A3709&lt;&gt;"", IF(ISBLANK(L3709), TODAY(), K3709), "")</f>
        <v/>
      </c>
      <c r="L3709" s="78" t="n"/>
      <c r="M3709" s="78">
        <f>IF(ISBLANK(L3709),"",IF(D3709="Stock",IF(C3709="Buy",L3709*G3709,IF(C3709="Sell",(L3709*G3709)-I3709, X)),IF(C3709="Buy",(L3709*G3709*100)+I3709,IF(C3709="Sell",(L3709*G3709*100)-I3709, X))))</f>
        <v/>
      </c>
      <c r="N3709" s="78">
        <f>IF(ISBLANK(L3709),"",IF(AND(C3709="Sell",D3709="Stock"),M3709,IF(ISBLANK(L3709),"",IF(C3709="Buy",M3709, IF(AND(C3709="Sell",J3709="NA"),(E3709*G3709*100*0.1)+I3709, IF(C3709="Sell",(J3709-L3709)*(100*G3709)+I3709))))))</f>
        <v/>
      </c>
      <c r="O3709" s="75" t="n"/>
      <c r="P3709" s="75" t="n"/>
      <c r="Q3709" s="75">
        <f>IF(ISBLANK(P3709),"",IF(D3709="Stock",P3709*G3709,IF(P3709=0,"0",G3709*P3709*100-(G3709*$AF$14))))</f>
        <v/>
      </c>
      <c r="R3709" s="79">
        <f>IF(P3709&lt;&gt;"", TODAY(), "")</f>
        <v/>
      </c>
      <c r="S3709" s="78">
        <f>IF(AND(K3709&lt;&gt;"", R3709&lt;&gt;""), R3709-K3709, "")</f>
        <v/>
      </c>
      <c r="T3709" s="78" t="n"/>
      <c r="U3709" s="92">
        <f>IF(ISBLANK(P3709),"",IF(C3709="Buy",Q3709-M3709+T3709, IF(C3709="Sell",M3709-Q3709-T3709, X)))</f>
        <v/>
      </c>
      <c r="V3709" s="81">
        <f>IF(ISBLANK(P3709),"",U3709/N3709)</f>
        <v/>
      </c>
      <c r="W3709" s="81">
        <f>IF(ISBLANK(P3709),"",IF(S3709=0,(365/0.5)*V3709,(365/S3709)*V3709))</f>
        <v/>
      </c>
      <c r="X3709" s="75" t="n"/>
      <c r="Y3709" s="77" t="n"/>
      <c r="Z3709" s="77" t="n"/>
      <c r="AA3709" s="75" t="n"/>
      <c r="AB3709" s="75" t="n"/>
      <c r="AC3709" s="6" t="n"/>
      <c r="AD3709" s="75" t="n"/>
      <c r="AE3709" s="75" t="n"/>
      <c r="AF3709" s="75" t="n"/>
    </row>
    <row r="3710" ht="15.75" customHeight="1" s="133">
      <c r="A3710" s="75" t="n"/>
      <c r="B3710" s="75" t="n"/>
      <c r="C3710" s="75" t="n"/>
      <c r="D3710" s="75" t="n"/>
      <c r="E3710" s="76" t="n"/>
      <c r="F3710" s="77" t="n"/>
      <c r="G3710" s="75" t="n"/>
      <c r="H3710" s="75">
        <f>IF(ISBLANK(E3710),"",IF(OR(D3710="Butterfly",D3710="Butterfly ",D3710="Iron Fly", D3710="Iron Fly "),LEN(E3710)-LEN(SUBSTITUTE(E3710,"/",""))+2,LEN(E3710)-LEN(SUBSTITUTE(E3710,"/",""))+1))</f>
        <v/>
      </c>
      <c r="I3710" s="78">
        <f>IF(ISBLANK(G3710),"",IF(D3710="Stock","0",Key!$A$3*H3710*G3710))</f>
        <v/>
      </c>
      <c r="J3710" s="78">
        <f>IF(ISBLANK(E3710),"",IF(ISNUMBER(SEARCH("/",E3710)), IF(LEN(E3710)-LEN(SUBSTITUTE(E3710,"/",""))=1,(RIGHT(E3710,LEN(E3710)-FIND("/",E3710)))-(LEFT(E3710,FIND("/",E3710)-1)),(MID(E3710, SEARCH("/",E3710) + 1, SEARCH("/",E3710, SEARCH("/",E3710)+1) - SEARCH("/",E3710) - 1))-(LEFT(E3710,FIND("/",E3710)-1))), "NA"))</f>
        <v/>
      </c>
      <c r="K3710" s="79">
        <f>IF(A3710&lt;&gt;"", IF(ISBLANK(L3710), TODAY(), K3710), "")</f>
        <v/>
      </c>
      <c r="L3710" s="78" t="n"/>
      <c r="M3710" s="78">
        <f>IF(ISBLANK(L3710),"",IF(D3710="Stock",IF(C3710="Buy",L3710*G3710,IF(C3710="Sell",(L3710*G3710)-I3710, X)),IF(C3710="Buy",(L3710*G3710*100)+I3710,IF(C3710="Sell",(L3710*G3710*100)-I3710, X))))</f>
        <v/>
      </c>
      <c r="N3710" s="78">
        <f>IF(ISBLANK(L3710),"",IF(AND(C3710="Sell",D3710="Stock"),M3710,IF(ISBLANK(L3710),"",IF(C3710="Buy",M3710, IF(AND(C3710="Sell",J3710="NA"),(E3710*G3710*100*0.1)+I3710, IF(C3710="Sell",(J3710-L3710)*(100*G3710)+I3710))))))</f>
        <v/>
      </c>
      <c r="O3710" s="75" t="n"/>
      <c r="P3710" s="75" t="n"/>
      <c r="Q3710" s="75">
        <f>IF(ISBLANK(P3710),"",IF(D3710="Stock",P3710*G3710,IF(P3710=0,"0",G3710*P3710*100-(G3710*$AF$14))))</f>
        <v/>
      </c>
      <c r="R3710" s="79">
        <f>IF(P3710&lt;&gt;"", TODAY(), "")</f>
        <v/>
      </c>
      <c r="S3710" s="78">
        <f>IF(AND(K3710&lt;&gt;"", R3710&lt;&gt;""), R3710-K3710, "")</f>
        <v/>
      </c>
      <c r="T3710" s="78" t="n"/>
      <c r="U3710" s="92">
        <f>IF(ISBLANK(P3710),"",IF(C3710="Buy",Q3710-M3710+T3710, IF(C3710="Sell",M3710-Q3710-T3710, X)))</f>
        <v/>
      </c>
      <c r="V3710" s="81">
        <f>IF(ISBLANK(P3710),"",U3710/N3710)</f>
        <v/>
      </c>
      <c r="W3710" s="81">
        <f>IF(ISBLANK(P3710),"",IF(S3710=0,(365/0.5)*V3710,(365/S3710)*V3710))</f>
        <v/>
      </c>
      <c r="X3710" s="75" t="n"/>
      <c r="Y3710" s="77" t="n"/>
      <c r="Z3710" s="77" t="n"/>
      <c r="AA3710" s="75" t="n"/>
      <c r="AB3710" s="75" t="n"/>
      <c r="AC3710" s="6" t="n"/>
      <c r="AD3710" s="75" t="n"/>
      <c r="AE3710" s="75" t="n"/>
      <c r="AF3710" s="75" t="n"/>
    </row>
    <row r="3711" ht="15.75" customHeight="1" s="133">
      <c r="A3711" s="75" t="n"/>
      <c r="B3711" s="75" t="n"/>
      <c r="C3711" s="75" t="n"/>
      <c r="D3711" s="75" t="n"/>
      <c r="E3711" s="76" t="n"/>
      <c r="F3711" s="77" t="n"/>
      <c r="G3711" s="75" t="n"/>
      <c r="H3711" s="75">
        <f>IF(ISBLANK(E3711),"",IF(OR(D3711="Butterfly",D3711="Butterfly ",D3711="Iron Fly", D3711="Iron Fly "),LEN(E3711)-LEN(SUBSTITUTE(E3711,"/",""))+2,LEN(E3711)-LEN(SUBSTITUTE(E3711,"/",""))+1))</f>
        <v/>
      </c>
      <c r="I3711" s="78">
        <f>IF(ISBLANK(G3711),"",IF(D3711="Stock","0",Key!$A$3*H3711*G3711))</f>
        <v/>
      </c>
      <c r="J3711" s="78">
        <f>IF(ISBLANK(E3711),"",IF(ISNUMBER(SEARCH("/",E3711)), IF(LEN(E3711)-LEN(SUBSTITUTE(E3711,"/",""))=1,(RIGHT(E3711,LEN(E3711)-FIND("/",E3711)))-(LEFT(E3711,FIND("/",E3711)-1)),(MID(E3711, SEARCH("/",E3711) + 1, SEARCH("/",E3711, SEARCH("/",E3711)+1) - SEARCH("/",E3711) - 1))-(LEFT(E3711,FIND("/",E3711)-1))), "NA"))</f>
        <v/>
      </c>
      <c r="K3711" s="79">
        <f>IF(A3711&lt;&gt;"", IF(ISBLANK(L3711), TODAY(), K3711), "")</f>
        <v/>
      </c>
      <c r="L3711" s="78" t="n"/>
      <c r="M3711" s="78">
        <f>IF(ISBLANK(L3711),"",IF(D3711="Stock",IF(C3711="Buy",L3711*G3711,IF(C3711="Sell",(L3711*G3711)-I3711, X)),IF(C3711="Buy",(L3711*G3711*100)+I3711,IF(C3711="Sell",(L3711*G3711*100)-I3711, X))))</f>
        <v/>
      </c>
      <c r="N3711" s="78">
        <f>IF(ISBLANK(L3711),"",IF(AND(C3711="Sell",D3711="Stock"),M3711,IF(ISBLANK(L3711),"",IF(C3711="Buy",M3711, IF(AND(C3711="Sell",J3711="NA"),(E3711*G3711*100*0.1)+I3711, IF(C3711="Sell",(J3711-L3711)*(100*G3711)+I3711))))))</f>
        <v/>
      </c>
      <c r="O3711" s="75" t="n"/>
      <c r="P3711" s="75" t="n"/>
      <c r="Q3711" s="75">
        <f>IF(ISBLANK(P3711),"",IF(D3711="Stock",P3711*G3711,IF(P3711=0,"0",G3711*P3711*100-(G3711*$AF$14))))</f>
        <v/>
      </c>
      <c r="R3711" s="79">
        <f>IF(P3711&lt;&gt;"", TODAY(), "")</f>
        <v/>
      </c>
      <c r="S3711" s="78">
        <f>IF(AND(K3711&lt;&gt;"", R3711&lt;&gt;""), R3711-K3711, "")</f>
        <v/>
      </c>
      <c r="T3711" s="78" t="n"/>
      <c r="U3711" s="92">
        <f>IF(ISBLANK(P3711),"",IF(C3711="Buy",Q3711-M3711+T3711, IF(C3711="Sell",M3711-Q3711-T3711, X)))</f>
        <v/>
      </c>
      <c r="V3711" s="81">
        <f>IF(ISBLANK(P3711),"",U3711/N3711)</f>
        <v/>
      </c>
      <c r="W3711" s="81">
        <f>IF(ISBLANK(P3711),"",IF(S3711=0,(365/0.5)*V3711,(365/S3711)*V3711))</f>
        <v/>
      </c>
      <c r="X3711" s="75" t="n"/>
      <c r="Y3711" s="77" t="n"/>
      <c r="Z3711" s="77" t="n"/>
      <c r="AA3711" s="75" t="n"/>
      <c r="AB3711" s="75" t="n"/>
      <c r="AC3711" s="6" t="n"/>
      <c r="AD3711" s="75" t="n"/>
      <c r="AE3711" s="75" t="n"/>
      <c r="AF3711" s="75" t="n"/>
    </row>
    <row r="3712" ht="15.75" customHeight="1" s="133">
      <c r="A3712" s="75" t="n"/>
      <c r="B3712" s="75" t="n"/>
      <c r="C3712" s="75" t="n"/>
      <c r="D3712" s="75" t="n"/>
      <c r="E3712" s="76" t="n"/>
      <c r="F3712" s="77" t="n"/>
      <c r="G3712" s="75" t="n"/>
      <c r="H3712" s="75">
        <f>IF(ISBLANK(E3712),"",IF(OR(D3712="Butterfly",D3712="Butterfly ",D3712="Iron Fly", D3712="Iron Fly "),LEN(E3712)-LEN(SUBSTITUTE(E3712,"/",""))+2,LEN(E3712)-LEN(SUBSTITUTE(E3712,"/",""))+1))</f>
        <v/>
      </c>
      <c r="I3712" s="78">
        <f>IF(ISBLANK(G3712),"",IF(D3712="Stock","0",Key!$A$3*H3712*G3712))</f>
        <v/>
      </c>
      <c r="J3712" s="78">
        <f>IF(ISBLANK(E3712),"",IF(ISNUMBER(SEARCH("/",E3712)), IF(LEN(E3712)-LEN(SUBSTITUTE(E3712,"/",""))=1,(RIGHT(E3712,LEN(E3712)-FIND("/",E3712)))-(LEFT(E3712,FIND("/",E3712)-1)),(MID(E3712, SEARCH("/",E3712) + 1, SEARCH("/",E3712, SEARCH("/",E3712)+1) - SEARCH("/",E3712) - 1))-(LEFT(E3712,FIND("/",E3712)-1))), "NA"))</f>
        <v/>
      </c>
      <c r="K3712" s="79">
        <f>IF(A3712&lt;&gt;"", IF(ISBLANK(L3712), TODAY(), K3712), "")</f>
        <v/>
      </c>
      <c r="L3712" s="78" t="n"/>
      <c r="M3712" s="78">
        <f>IF(ISBLANK(L3712),"",IF(D3712="Stock",IF(C3712="Buy",L3712*G3712,IF(C3712="Sell",(L3712*G3712)-I3712, X)),IF(C3712="Buy",(L3712*G3712*100)+I3712,IF(C3712="Sell",(L3712*G3712*100)-I3712, X))))</f>
        <v/>
      </c>
      <c r="N3712" s="78">
        <f>IF(ISBLANK(L3712),"",IF(AND(C3712="Sell",D3712="Stock"),M3712,IF(ISBLANK(L3712),"",IF(C3712="Buy",M3712, IF(AND(C3712="Sell",J3712="NA"),(E3712*G3712*100*0.1)+I3712, IF(C3712="Sell",(J3712-L3712)*(100*G3712)+I3712))))))</f>
        <v/>
      </c>
      <c r="O3712" s="75" t="n"/>
      <c r="P3712" s="75" t="n"/>
      <c r="Q3712" s="75">
        <f>IF(ISBLANK(P3712),"",IF(D3712="Stock",P3712*G3712,IF(P3712=0,"0",G3712*P3712*100-(G3712*$AF$14))))</f>
        <v/>
      </c>
      <c r="R3712" s="79">
        <f>IF(P3712&lt;&gt;"", TODAY(), "")</f>
        <v/>
      </c>
      <c r="S3712" s="78">
        <f>IF(AND(K3712&lt;&gt;"", R3712&lt;&gt;""), R3712-K3712, "")</f>
        <v/>
      </c>
      <c r="T3712" s="78" t="n"/>
      <c r="U3712" s="92">
        <f>IF(ISBLANK(P3712),"",IF(C3712="Buy",Q3712-M3712+T3712, IF(C3712="Sell",M3712-Q3712-T3712, X)))</f>
        <v/>
      </c>
      <c r="V3712" s="81">
        <f>IF(ISBLANK(P3712),"",U3712/N3712)</f>
        <v/>
      </c>
      <c r="W3712" s="81">
        <f>IF(ISBLANK(P3712),"",IF(S3712=0,(365/0.5)*V3712,(365/S3712)*V3712))</f>
        <v/>
      </c>
      <c r="X3712" s="75" t="n"/>
      <c r="Y3712" s="77" t="n"/>
      <c r="Z3712" s="77" t="n"/>
      <c r="AA3712" s="75" t="n"/>
      <c r="AB3712" s="75" t="n"/>
      <c r="AC3712" s="6" t="n"/>
      <c r="AD3712" s="75" t="n"/>
      <c r="AE3712" s="75" t="n"/>
      <c r="AF3712" s="75" t="n"/>
    </row>
    <row r="3713" ht="15.75" customHeight="1" s="133">
      <c r="A3713" s="75" t="n"/>
      <c r="B3713" s="75" t="n"/>
      <c r="C3713" s="75" t="n"/>
      <c r="D3713" s="75" t="n"/>
      <c r="E3713" s="76" t="n"/>
      <c r="F3713" s="77" t="n"/>
      <c r="G3713" s="75" t="n"/>
      <c r="H3713" s="75">
        <f>IF(ISBLANK(E3713),"",IF(OR(D3713="Butterfly",D3713="Butterfly ",D3713="Iron Fly", D3713="Iron Fly "),LEN(E3713)-LEN(SUBSTITUTE(E3713,"/",""))+2,LEN(E3713)-LEN(SUBSTITUTE(E3713,"/",""))+1))</f>
        <v/>
      </c>
      <c r="I3713" s="78">
        <f>IF(ISBLANK(G3713),"",IF(D3713="Stock","0",Key!$A$3*H3713*G3713))</f>
        <v/>
      </c>
      <c r="J3713" s="78">
        <f>IF(ISBLANK(E3713),"",IF(ISNUMBER(SEARCH("/",E3713)), IF(LEN(E3713)-LEN(SUBSTITUTE(E3713,"/",""))=1,(RIGHT(E3713,LEN(E3713)-FIND("/",E3713)))-(LEFT(E3713,FIND("/",E3713)-1)),(MID(E3713, SEARCH("/",E3713) + 1, SEARCH("/",E3713, SEARCH("/",E3713)+1) - SEARCH("/",E3713) - 1))-(LEFT(E3713,FIND("/",E3713)-1))), "NA"))</f>
        <v/>
      </c>
      <c r="K3713" s="79">
        <f>IF(A3713&lt;&gt;"", IF(ISBLANK(L3713), TODAY(), K3713), "")</f>
        <v/>
      </c>
      <c r="L3713" s="78" t="n"/>
      <c r="M3713" s="78">
        <f>IF(ISBLANK(L3713),"",IF(D3713="Stock",IF(C3713="Buy",L3713*G3713,IF(C3713="Sell",(L3713*G3713)-I3713, X)),IF(C3713="Buy",(L3713*G3713*100)+I3713,IF(C3713="Sell",(L3713*G3713*100)-I3713, X))))</f>
        <v/>
      </c>
      <c r="N3713" s="78">
        <f>IF(ISBLANK(L3713),"",IF(AND(C3713="Sell",D3713="Stock"),M3713,IF(ISBLANK(L3713),"",IF(C3713="Buy",M3713, IF(AND(C3713="Sell",J3713="NA"),(E3713*G3713*100*0.1)+I3713, IF(C3713="Sell",(J3713-L3713)*(100*G3713)+I3713))))))</f>
        <v/>
      </c>
      <c r="O3713" s="75" t="n"/>
      <c r="P3713" s="75" t="n"/>
      <c r="Q3713" s="75">
        <f>IF(ISBLANK(P3713),"",IF(D3713="Stock",P3713*G3713,IF(P3713=0,"0",G3713*P3713*100-(G3713*$AF$14))))</f>
        <v/>
      </c>
      <c r="R3713" s="79">
        <f>IF(P3713&lt;&gt;"", TODAY(), "")</f>
        <v/>
      </c>
      <c r="S3713" s="78">
        <f>IF(AND(K3713&lt;&gt;"", R3713&lt;&gt;""), R3713-K3713, "")</f>
        <v/>
      </c>
      <c r="T3713" s="78" t="n"/>
      <c r="U3713" s="92">
        <f>IF(ISBLANK(P3713),"",IF(C3713="Buy",Q3713-M3713+T3713, IF(C3713="Sell",M3713-Q3713-T3713, X)))</f>
        <v/>
      </c>
      <c r="V3713" s="81">
        <f>IF(ISBLANK(P3713),"",U3713/N3713)</f>
        <v/>
      </c>
      <c r="W3713" s="81">
        <f>IF(ISBLANK(P3713),"",IF(S3713=0,(365/0.5)*V3713,(365/S3713)*V3713))</f>
        <v/>
      </c>
      <c r="X3713" s="75" t="n"/>
      <c r="Y3713" s="77" t="n"/>
      <c r="Z3713" s="77" t="n"/>
      <c r="AA3713" s="75" t="n"/>
      <c r="AB3713" s="75" t="n"/>
      <c r="AC3713" s="6" t="n"/>
      <c r="AD3713" s="75" t="n"/>
      <c r="AE3713" s="75" t="n"/>
      <c r="AF3713" s="75" t="n"/>
    </row>
    <row r="3714" ht="15.75" customHeight="1" s="133">
      <c r="A3714" s="75" t="n"/>
      <c r="B3714" s="75" t="n"/>
      <c r="C3714" s="75" t="n"/>
      <c r="D3714" s="75" t="n"/>
      <c r="E3714" s="76" t="n"/>
      <c r="F3714" s="77" t="n"/>
      <c r="G3714" s="75" t="n"/>
      <c r="H3714" s="75">
        <f>IF(ISBLANK(E3714),"",IF(OR(D3714="Butterfly",D3714="Butterfly ",D3714="Iron Fly", D3714="Iron Fly "),LEN(E3714)-LEN(SUBSTITUTE(E3714,"/",""))+2,LEN(E3714)-LEN(SUBSTITUTE(E3714,"/",""))+1))</f>
        <v/>
      </c>
      <c r="I3714" s="78">
        <f>IF(ISBLANK(G3714),"",IF(D3714="Stock","0",Key!$A$3*H3714*G3714))</f>
        <v/>
      </c>
      <c r="J3714" s="78">
        <f>IF(ISBLANK(E3714),"",IF(ISNUMBER(SEARCH("/",E3714)), IF(LEN(E3714)-LEN(SUBSTITUTE(E3714,"/",""))=1,(RIGHT(E3714,LEN(E3714)-FIND("/",E3714)))-(LEFT(E3714,FIND("/",E3714)-1)),(MID(E3714, SEARCH("/",E3714) + 1, SEARCH("/",E3714, SEARCH("/",E3714)+1) - SEARCH("/",E3714) - 1))-(LEFT(E3714,FIND("/",E3714)-1))), "NA"))</f>
        <v/>
      </c>
      <c r="K3714" s="79">
        <f>IF(A3714&lt;&gt;"", IF(ISBLANK(L3714), TODAY(), K3714), "")</f>
        <v/>
      </c>
      <c r="L3714" s="78" t="n"/>
      <c r="M3714" s="78">
        <f>IF(ISBLANK(L3714),"",IF(D3714="Stock",IF(C3714="Buy",L3714*G3714,IF(C3714="Sell",(L3714*G3714)-I3714, X)),IF(C3714="Buy",(L3714*G3714*100)+I3714,IF(C3714="Sell",(L3714*G3714*100)-I3714, X))))</f>
        <v/>
      </c>
      <c r="N3714" s="78">
        <f>IF(ISBLANK(L3714),"",IF(AND(C3714="Sell",D3714="Stock"),M3714,IF(ISBLANK(L3714),"",IF(C3714="Buy",M3714, IF(AND(C3714="Sell",J3714="NA"),(E3714*G3714*100*0.1)+I3714, IF(C3714="Sell",(J3714-L3714)*(100*G3714)+I3714))))))</f>
        <v/>
      </c>
      <c r="O3714" s="75" t="n"/>
      <c r="P3714" s="75" t="n"/>
      <c r="Q3714" s="75">
        <f>IF(ISBLANK(P3714),"",IF(D3714="Stock",P3714*G3714,IF(P3714=0,"0",G3714*P3714*100-(G3714*$AF$14))))</f>
        <v/>
      </c>
      <c r="R3714" s="79">
        <f>IF(P3714&lt;&gt;"", TODAY(), "")</f>
        <v/>
      </c>
      <c r="S3714" s="78">
        <f>IF(AND(K3714&lt;&gt;"", R3714&lt;&gt;""), R3714-K3714, "")</f>
        <v/>
      </c>
      <c r="T3714" s="78" t="n"/>
      <c r="U3714" s="92">
        <f>IF(ISBLANK(P3714),"",IF(C3714="Buy",Q3714-M3714+T3714, IF(C3714="Sell",M3714-Q3714-T3714, X)))</f>
        <v/>
      </c>
      <c r="V3714" s="81">
        <f>IF(ISBLANK(P3714),"",U3714/N3714)</f>
        <v/>
      </c>
      <c r="W3714" s="81">
        <f>IF(ISBLANK(P3714),"",IF(S3714=0,(365/0.5)*V3714,(365/S3714)*V3714))</f>
        <v/>
      </c>
      <c r="X3714" s="75" t="n"/>
      <c r="Y3714" s="77" t="n"/>
      <c r="Z3714" s="77" t="n"/>
      <c r="AA3714" s="75" t="n"/>
      <c r="AB3714" s="75" t="n"/>
      <c r="AC3714" s="6" t="n"/>
      <c r="AD3714" s="75" t="n"/>
      <c r="AE3714" s="75" t="n"/>
      <c r="AF3714" s="75" t="n"/>
    </row>
    <row r="3715" ht="15.75" customHeight="1" s="133">
      <c r="A3715" s="75" t="n"/>
      <c r="B3715" s="75" t="n"/>
      <c r="C3715" s="75" t="n"/>
      <c r="D3715" s="75" t="n"/>
      <c r="E3715" s="76" t="n"/>
      <c r="F3715" s="77" t="n"/>
      <c r="G3715" s="75" t="n"/>
      <c r="H3715" s="75">
        <f>IF(ISBLANK(E3715),"",IF(OR(D3715="Butterfly",D3715="Butterfly ",D3715="Iron Fly", D3715="Iron Fly "),LEN(E3715)-LEN(SUBSTITUTE(E3715,"/",""))+2,LEN(E3715)-LEN(SUBSTITUTE(E3715,"/",""))+1))</f>
        <v/>
      </c>
      <c r="I3715" s="78">
        <f>IF(ISBLANK(G3715),"",IF(D3715="Stock","0",Key!$A$3*H3715*G3715))</f>
        <v/>
      </c>
      <c r="J3715" s="78">
        <f>IF(ISBLANK(E3715),"",IF(ISNUMBER(SEARCH("/",E3715)), IF(LEN(E3715)-LEN(SUBSTITUTE(E3715,"/",""))=1,(RIGHT(E3715,LEN(E3715)-FIND("/",E3715)))-(LEFT(E3715,FIND("/",E3715)-1)),(MID(E3715, SEARCH("/",E3715) + 1, SEARCH("/",E3715, SEARCH("/",E3715)+1) - SEARCH("/",E3715) - 1))-(LEFT(E3715,FIND("/",E3715)-1))), "NA"))</f>
        <v/>
      </c>
      <c r="K3715" s="79">
        <f>IF(A3715&lt;&gt;"", IF(ISBLANK(L3715), TODAY(), K3715), "")</f>
        <v/>
      </c>
      <c r="L3715" s="78" t="n"/>
      <c r="M3715" s="78">
        <f>IF(ISBLANK(L3715),"",IF(D3715="Stock",IF(C3715="Buy",L3715*G3715,IF(C3715="Sell",(L3715*G3715)-I3715, X)),IF(C3715="Buy",(L3715*G3715*100)+I3715,IF(C3715="Sell",(L3715*G3715*100)-I3715, X))))</f>
        <v/>
      </c>
      <c r="N3715" s="78">
        <f>IF(ISBLANK(L3715),"",IF(AND(C3715="Sell",D3715="Stock"),M3715,IF(ISBLANK(L3715),"",IF(C3715="Buy",M3715, IF(AND(C3715="Sell",J3715="NA"),(E3715*G3715*100*0.1)+I3715, IF(C3715="Sell",(J3715-L3715)*(100*G3715)+I3715))))))</f>
        <v/>
      </c>
      <c r="O3715" s="75" t="n"/>
      <c r="P3715" s="75" t="n"/>
      <c r="Q3715" s="75">
        <f>IF(ISBLANK(P3715),"",IF(D3715="Stock",P3715*G3715,IF(P3715=0,"0",G3715*P3715*100-(G3715*$AF$14))))</f>
        <v/>
      </c>
      <c r="R3715" s="79">
        <f>IF(P3715&lt;&gt;"", TODAY(), "")</f>
        <v/>
      </c>
      <c r="S3715" s="78">
        <f>IF(AND(K3715&lt;&gt;"", R3715&lt;&gt;""), R3715-K3715, "")</f>
        <v/>
      </c>
      <c r="T3715" s="78" t="n"/>
      <c r="U3715" s="92">
        <f>IF(ISBLANK(P3715),"",IF(C3715="Buy",Q3715-M3715+T3715, IF(C3715="Sell",M3715-Q3715-T3715, X)))</f>
        <v/>
      </c>
      <c r="V3715" s="81">
        <f>IF(ISBLANK(P3715),"",U3715/N3715)</f>
        <v/>
      </c>
      <c r="W3715" s="81">
        <f>IF(ISBLANK(P3715),"",IF(S3715=0,(365/0.5)*V3715,(365/S3715)*V3715))</f>
        <v/>
      </c>
      <c r="X3715" s="75" t="n"/>
      <c r="Y3715" s="77" t="n"/>
      <c r="Z3715" s="77" t="n"/>
      <c r="AA3715" s="75" t="n"/>
      <c r="AB3715" s="75" t="n"/>
      <c r="AC3715" s="6" t="n"/>
      <c r="AD3715" s="75" t="n"/>
      <c r="AE3715" s="75" t="n"/>
      <c r="AF3715" s="75" t="n"/>
    </row>
    <row r="3716" ht="15.75" customHeight="1" s="133">
      <c r="A3716" s="75" t="n"/>
      <c r="B3716" s="75" t="n"/>
      <c r="C3716" s="75" t="n"/>
      <c r="D3716" s="75" t="n"/>
      <c r="E3716" s="76" t="n"/>
      <c r="F3716" s="77" t="n"/>
      <c r="G3716" s="75" t="n"/>
      <c r="H3716" s="75">
        <f>IF(ISBLANK(E3716),"",IF(OR(D3716="Butterfly",D3716="Butterfly ",D3716="Iron Fly", D3716="Iron Fly "),LEN(E3716)-LEN(SUBSTITUTE(E3716,"/",""))+2,LEN(E3716)-LEN(SUBSTITUTE(E3716,"/",""))+1))</f>
        <v/>
      </c>
      <c r="I3716" s="78">
        <f>IF(ISBLANK(G3716),"",IF(D3716="Stock","0",Key!$A$3*H3716*G3716))</f>
        <v/>
      </c>
      <c r="J3716" s="78">
        <f>IF(ISBLANK(E3716),"",IF(ISNUMBER(SEARCH("/",E3716)), IF(LEN(E3716)-LEN(SUBSTITUTE(E3716,"/",""))=1,(RIGHT(E3716,LEN(E3716)-FIND("/",E3716)))-(LEFT(E3716,FIND("/",E3716)-1)),(MID(E3716, SEARCH("/",E3716) + 1, SEARCH("/",E3716, SEARCH("/",E3716)+1) - SEARCH("/",E3716) - 1))-(LEFT(E3716,FIND("/",E3716)-1))), "NA"))</f>
        <v/>
      </c>
      <c r="K3716" s="79">
        <f>IF(A3716&lt;&gt;"", IF(ISBLANK(L3716), TODAY(), K3716), "")</f>
        <v/>
      </c>
      <c r="L3716" s="78" t="n"/>
      <c r="M3716" s="78">
        <f>IF(ISBLANK(L3716),"",IF(D3716="Stock",IF(C3716="Buy",L3716*G3716,IF(C3716="Sell",(L3716*G3716)-I3716, X)),IF(C3716="Buy",(L3716*G3716*100)+I3716,IF(C3716="Sell",(L3716*G3716*100)-I3716, X))))</f>
        <v/>
      </c>
      <c r="N3716" s="78">
        <f>IF(ISBLANK(L3716),"",IF(AND(C3716="Sell",D3716="Stock"),M3716,IF(ISBLANK(L3716),"",IF(C3716="Buy",M3716, IF(AND(C3716="Sell",J3716="NA"),(E3716*G3716*100*0.1)+I3716, IF(C3716="Sell",(J3716-L3716)*(100*G3716)+I3716))))))</f>
        <v/>
      </c>
      <c r="O3716" s="75" t="n"/>
      <c r="P3716" s="75" t="n"/>
      <c r="Q3716" s="75">
        <f>IF(ISBLANK(P3716),"",IF(D3716="Stock",P3716*G3716,IF(P3716=0,"0",G3716*P3716*100-(G3716*$AF$14))))</f>
        <v/>
      </c>
      <c r="R3716" s="79">
        <f>IF(P3716&lt;&gt;"", TODAY(), "")</f>
        <v/>
      </c>
      <c r="S3716" s="78">
        <f>IF(AND(K3716&lt;&gt;"", R3716&lt;&gt;""), R3716-K3716, "")</f>
        <v/>
      </c>
      <c r="T3716" s="78" t="n"/>
      <c r="U3716" s="92">
        <f>IF(ISBLANK(P3716),"",IF(C3716="Buy",Q3716-M3716+T3716, IF(C3716="Sell",M3716-Q3716-T3716, X)))</f>
        <v/>
      </c>
      <c r="V3716" s="81">
        <f>IF(ISBLANK(P3716),"",U3716/N3716)</f>
        <v/>
      </c>
      <c r="W3716" s="81">
        <f>IF(ISBLANK(P3716),"",IF(S3716=0,(365/0.5)*V3716,(365/S3716)*V3716))</f>
        <v/>
      </c>
      <c r="X3716" s="75" t="n"/>
      <c r="Y3716" s="77" t="n"/>
      <c r="Z3716" s="77" t="n"/>
      <c r="AA3716" s="75" t="n"/>
      <c r="AB3716" s="75" t="n"/>
      <c r="AC3716" s="6" t="n"/>
      <c r="AD3716" s="75" t="n"/>
      <c r="AE3716" s="75" t="n"/>
      <c r="AF3716" s="75" t="n"/>
    </row>
    <row r="3717" ht="15.75" customHeight="1" s="133">
      <c r="A3717" s="75" t="n"/>
      <c r="B3717" s="75" t="n"/>
      <c r="C3717" s="75" t="n"/>
      <c r="D3717" s="75" t="n"/>
      <c r="E3717" s="76" t="n"/>
      <c r="F3717" s="77" t="n"/>
      <c r="G3717" s="75" t="n"/>
      <c r="H3717" s="75">
        <f>IF(ISBLANK(E3717),"",IF(OR(D3717="Butterfly",D3717="Butterfly ",D3717="Iron Fly", D3717="Iron Fly "),LEN(E3717)-LEN(SUBSTITUTE(E3717,"/",""))+2,LEN(E3717)-LEN(SUBSTITUTE(E3717,"/",""))+1))</f>
        <v/>
      </c>
      <c r="I3717" s="78">
        <f>IF(ISBLANK(G3717),"",IF(D3717="Stock","0",Key!$A$3*H3717*G3717))</f>
        <v/>
      </c>
      <c r="J3717" s="78">
        <f>IF(ISBLANK(E3717),"",IF(ISNUMBER(SEARCH("/",E3717)), IF(LEN(E3717)-LEN(SUBSTITUTE(E3717,"/",""))=1,(RIGHT(E3717,LEN(E3717)-FIND("/",E3717)))-(LEFT(E3717,FIND("/",E3717)-1)),(MID(E3717, SEARCH("/",E3717) + 1, SEARCH("/",E3717, SEARCH("/",E3717)+1) - SEARCH("/",E3717) - 1))-(LEFT(E3717,FIND("/",E3717)-1))), "NA"))</f>
        <v/>
      </c>
      <c r="K3717" s="79">
        <f>IF(A3717&lt;&gt;"", IF(ISBLANK(L3717), TODAY(), K3717), "")</f>
        <v/>
      </c>
      <c r="L3717" s="78" t="n"/>
      <c r="M3717" s="78">
        <f>IF(ISBLANK(L3717),"",IF(D3717="Stock",IF(C3717="Buy",L3717*G3717,IF(C3717="Sell",(L3717*G3717)-I3717, X)),IF(C3717="Buy",(L3717*G3717*100)+I3717,IF(C3717="Sell",(L3717*G3717*100)-I3717, X))))</f>
        <v/>
      </c>
      <c r="N3717" s="78">
        <f>IF(ISBLANK(L3717),"",IF(AND(C3717="Sell",D3717="Stock"),M3717,IF(ISBLANK(L3717),"",IF(C3717="Buy",M3717, IF(AND(C3717="Sell",J3717="NA"),(E3717*G3717*100*0.1)+I3717, IF(C3717="Sell",(J3717-L3717)*(100*G3717)+I3717))))))</f>
        <v/>
      </c>
      <c r="O3717" s="75" t="n"/>
      <c r="P3717" s="75" t="n"/>
      <c r="Q3717" s="75">
        <f>IF(ISBLANK(P3717),"",IF(D3717="Stock",P3717*G3717,IF(P3717=0,"0",G3717*P3717*100-(G3717*$AF$14))))</f>
        <v/>
      </c>
      <c r="R3717" s="79">
        <f>IF(P3717&lt;&gt;"", TODAY(), "")</f>
        <v/>
      </c>
      <c r="S3717" s="78">
        <f>IF(AND(K3717&lt;&gt;"", R3717&lt;&gt;""), R3717-K3717, "")</f>
        <v/>
      </c>
      <c r="T3717" s="78" t="n"/>
      <c r="U3717" s="92">
        <f>IF(ISBLANK(P3717),"",IF(C3717="Buy",Q3717-M3717+T3717, IF(C3717="Sell",M3717-Q3717-T3717, X)))</f>
        <v/>
      </c>
      <c r="V3717" s="81">
        <f>IF(ISBLANK(P3717),"",U3717/N3717)</f>
        <v/>
      </c>
      <c r="W3717" s="81">
        <f>IF(ISBLANK(P3717),"",IF(S3717=0,(365/0.5)*V3717,(365/S3717)*V3717))</f>
        <v/>
      </c>
      <c r="X3717" s="75" t="n"/>
      <c r="Y3717" s="77" t="n"/>
      <c r="Z3717" s="77" t="n"/>
      <c r="AA3717" s="75" t="n"/>
      <c r="AB3717" s="75" t="n"/>
      <c r="AC3717" s="6" t="n"/>
      <c r="AD3717" s="75" t="n"/>
      <c r="AE3717" s="75" t="n"/>
      <c r="AF3717" s="75" t="n"/>
    </row>
    <row r="3718" ht="15.75" customHeight="1" s="133">
      <c r="A3718" s="75" t="n"/>
      <c r="B3718" s="75" t="n"/>
      <c r="C3718" s="75" t="n"/>
      <c r="D3718" s="75" t="n"/>
      <c r="E3718" s="76" t="n"/>
      <c r="F3718" s="77" t="n"/>
      <c r="G3718" s="75" t="n"/>
      <c r="H3718" s="75">
        <f>IF(ISBLANK(E3718),"",IF(OR(D3718="Butterfly",D3718="Butterfly ",D3718="Iron Fly", D3718="Iron Fly "),LEN(E3718)-LEN(SUBSTITUTE(E3718,"/",""))+2,LEN(E3718)-LEN(SUBSTITUTE(E3718,"/",""))+1))</f>
        <v/>
      </c>
      <c r="I3718" s="78">
        <f>IF(ISBLANK(G3718),"",IF(D3718="Stock","0",Key!$A$3*H3718*G3718))</f>
        <v/>
      </c>
      <c r="J3718" s="78">
        <f>IF(ISBLANK(E3718),"",IF(ISNUMBER(SEARCH("/",E3718)), IF(LEN(E3718)-LEN(SUBSTITUTE(E3718,"/",""))=1,(RIGHT(E3718,LEN(E3718)-FIND("/",E3718)))-(LEFT(E3718,FIND("/",E3718)-1)),(MID(E3718, SEARCH("/",E3718) + 1, SEARCH("/",E3718, SEARCH("/",E3718)+1) - SEARCH("/",E3718) - 1))-(LEFT(E3718,FIND("/",E3718)-1))), "NA"))</f>
        <v/>
      </c>
      <c r="K3718" s="79">
        <f>IF(A3718&lt;&gt;"", IF(ISBLANK(L3718), TODAY(), K3718), "")</f>
        <v/>
      </c>
      <c r="L3718" s="78" t="n"/>
      <c r="M3718" s="78">
        <f>IF(ISBLANK(L3718),"",IF(D3718="Stock",IF(C3718="Buy",L3718*G3718,IF(C3718="Sell",(L3718*G3718)-I3718, X)),IF(C3718="Buy",(L3718*G3718*100)+I3718,IF(C3718="Sell",(L3718*G3718*100)-I3718, X))))</f>
        <v/>
      </c>
      <c r="N3718" s="78">
        <f>IF(ISBLANK(L3718),"",IF(AND(C3718="Sell",D3718="Stock"),M3718,IF(ISBLANK(L3718),"",IF(C3718="Buy",M3718, IF(AND(C3718="Sell",J3718="NA"),(E3718*G3718*100*0.1)+I3718, IF(C3718="Sell",(J3718-L3718)*(100*G3718)+I3718))))))</f>
        <v/>
      </c>
      <c r="O3718" s="75" t="n"/>
      <c r="P3718" s="75" t="n"/>
      <c r="Q3718" s="75">
        <f>IF(ISBLANK(P3718),"",IF(D3718="Stock",P3718*G3718,IF(P3718=0,"0",G3718*P3718*100-(G3718*$AF$14))))</f>
        <v/>
      </c>
      <c r="R3718" s="79">
        <f>IF(P3718&lt;&gt;"", TODAY(), "")</f>
        <v/>
      </c>
      <c r="S3718" s="78">
        <f>IF(AND(K3718&lt;&gt;"", R3718&lt;&gt;""), R3718-K3718, "")</f>
        <v/>
      </c>
      <c r="T3718" s="78" t="n"/>
      <c r="U3718" s="92">
        <f>IF(ISBLANK(P3718),"",IF(C3718="Buy",Q3718-M3718+T3718, IF(C3718="Sell",M3718-Q3718-T3718, X)))</f>
        <v/>
      </c>
      <c r="V3718" s="81">
        <f>IF(ISBLANK(P3718),"",U3718/N3718)</f>
        <v/>
      </c>
      <c r="W3718" s="81">
        <f>IF(ISBLANK(P3718),"",IF(S3718=0,(365/0.5)*V3718,(365/S3718)*V3718))</f>
        <v/>
      </c>
      <c r="X3718" s="75" t="n"/>
      <c r="Y3718" s="77" t="n"/>
      <c r="Z3718" s="77" t="n"/>
      <c r="AA3718" s="75" t="n"/>
      <c r="AB3718" s="75" t="n"/>
      <c r="AC3718" s="6" t="n"/>
      <c r="AD3718" s="75" t="n"/>
      <c r="AE3718" s="75" t="n"/>
      <c r="AF3718" s="75" t="n"/>
    </row>
    <row r="3719" ht="15.75" customHeight="1" s="133">
      <c r="A3719" s="75" t="n"/>
      <c r="B3719" s="75" t="n"/>
      <c r="C3719" s="75" t="n"/>
      <c r="D3719" s="75" t="n"/>
      <c r="E3719" s="76" t="n"/>
      <c r="F3719" s="77" t="n"/>
      <c r="G3719" s="75" t="n"/>
      <c r="H3719" s="75">
        <f>IF(ISBLANK(E3719),"",IF(OR(D3719="Butterfly",D3719="Butterfly ",D3719="Iron Fly", D3719="Iron Fly "),LEN(E3719)-LEN(SUBSTITUTE(E3719,"/",""))+2,LEN(E3719)-LEN(SUBSTITUTE(E3719,"/",""))+1))</f>
        <v/>
      </c>
      <c r="I3719" s="78">
        <f>IF(ISBLANK(G3719),"",IF(D3719="Stock","0",Key!$A$3*H3719*G3719))</f>
        <v/>
      </c>
      <c r="J3719" s="78">
        <f>IF(ISBLANK(E3719),"",IF(ISNUMBER(SEARCH("/",E3719)), IF(LEN(E3719)-LEN(SUBSTITUTE(E3719,"/",""))=1,(RIGHT(E3719,LEN(E3719)-FIND("/",E3719)))-(LEFT(E3719,FIND("/",E3719)-1)),(MID(E3719, SEARCH("/",E3719) + 1, SEARCH("/",E3719, SEARCH("/",E3719)+1) - SEARCH("/",E3719) - 1))-(LEFT(E3719,FIND("/",E3719)-1))), "NA"))</f>
        <v/>
      </c>
      <c r="K3719" s="79">
        <f>IF(A3719&lt;&gt;"", IF(ISBLANK(L3719), TODAY(), K3719), "")</f>
        <v/>
      </c>
      <c r="L3719" s="78" t="n"/>
      <c r="M3719" s="78">
        <f>IF(ISBLANK(L3719),"",IF(D3719="Stock",IF(C3719="Buy",L3719*G3719,IF(C3719="Sell",(L3719*G3719)-I3719, X)),IF(C3719="Buy",(L3719*G3719*100)+I3719,IF(C3719="Sell",(L3719*G3719*100)-I3719, X))))</f>
        <v/>
      </c>
      <c r="N3719" s="78">
        <f>IF(ISBLANK(L3719),"",IF(AND(C3719="Sell",D3719="Stock"),M3719,IF(ISBLANK(L3719),"",IF(C3719="Buy",M3719, IF(AND(C3719="Sell",J3719="NA"),(E3719*G3719*100*0.1)+I3719, IF(C3719="Sell",(J3719-L3719)*(100*G3719)+I3719))))))</f>
        <v/>
      </c>
      <c r="O3719" s="75" t="n"/>
      <c r="P3719" s="75" t="n"/>
      <c r="Q3719" s="75">
        <f>IF(ISBLANK(P3719),"",IF(D3719="Stock",P3719*G3719,IF(P3719=0,"0",G3719*P3719*100-(G3719*$AF$14))))</f>
        <v/>
      </c>
      <c r="R3719" s="79">
        <f>IF(P3719&lt;&gt;"", TODAY(), "")</f>
        <v/>
      </c>
      <c r="S3719" s="78">
        <f>IF(AND(K3719&lt;&gt;"", R3719&lt;&gt;""), R3719-K3719, "")</f>
        <v/>
      </c>
      <c r="T3719" s="78" t="n"/>
      <c r="U3719" s="92">
        <f>IF(ISBLANK(P3719),"",IF(C3719="Buy",Q3719-M3719+T3719, IF(C3719="Sell",M3719-Q3719-T3719, X)))</f>
        <v/>
      </c>
      <c r="V3719" s="81">
        <f>IF(ISBLANK(P3719),"",U3719/N3719)</f>
        <v/>
      </c>
      <c r="W3719" s="81">
        <f>IF(ISBLANK(P3719),"",IF(S3719=0,(365/0.5)*V3719,(365/S3719)*V3719))</f>
        <v/>
      </c>
      <c r="X3719" s="75" t="n"/>
      <c r="Y3719" s="77" t="n"/>
      <c r="Z3719" s="77" t="n"/>
      <c r="AA3719" s="75" t="n"/>
      <c r="AB3719" s="75" t="n"/>
      <c r="AC3719" s="6" t="n"/>
      <c r="AD3719" s="75" t="n"/>
      <c r="AE3719" s="75" t="n"/>
      <c r="AF3719" s="75" t="n"/>
    </row>
    <row r="3720" ht="15.75" customHeight="1" s="133">
      <c r="A3720" s="75" t="n"/>
      <c r="B3720" s="75" t="n"/>
      <c r="C3720" s="75" t="n"/>
      <c r="D3720" s="75" t="n"/>
      <c r="E3720" s="76" t="n"/>
      <c r="F3720" s="77" t="n"/>
      <c r="G3720" s="75" t="n"/>
      <c r="H3720" s="75">
        <f>IF(ISBLANK(E3720),"",IF(OR(D3720="Butterfly",D3720="Butterfly ",D3720="Iron Fly", D3720="Iron Fly "),LEN(E3720)-LEN(SUBSTITUTE(E3720,"/",""))+2,LEN(E3720)-LEN(SUBSTITUTE(E3720,"/",""))+1))</f>
        <v/>
      </c>
      <c r="I3720" s="78">
        <f>IF(ISBLANK(G3720),"",IF(D3720="Stock","0",Key!$A$3*H3720*G3720))</f>
        <v/>
      </c>
      <c r="J3720" s="78">
        <f>IF(ISBLANK(E3720),"",IF(ISNUMBER(SEARCH("/",E3720)), IF(LEN(E3720)-LEN(SUBSTITUTE(E3720,"/",""))=1,(RIGHT(E3720,LEN(E3720)-FIND("/",E3720)))-(LEFT(E3720,FIND("/",E3720)-1)),(MID(E3720, SEARCH("/",E3720) + 1, SEARCH("/",E3720, SEARCH("/",E3720)+1) - SEARCH("/",E3720) - 1))-(LEFT(E3720,FIND("/",E3720)-1))), "NA"))</f>
        <v/>
      </c>
      <c r="K3720" s="79">
        <f>IF(A3720&lt;&gt;"", IF(ISBLANK(L3720), TODAY(), K3720), "")</f>
        <v/>
      </c>
      <c r="L3720" s="78" t="n"/>
      <c r="M3720" s="78">
        <f>IF(ISBLANK(L3720),"",IF(D3720="Stock",IF(C3720="Buy",L3720*G3720,IF(C3720="Sell",(L3720*G3720)-I3720, X)),IF(C3720="Buy",(L3720*G3720*100)+I3720,IF(C3720="Sell",(L3720*G3720*100)-I3720, X))))</f>
        <v/>
      </c>
      <c r="N3720" s="78">
        <f>IF(ISBLANK(L3720),"",IF(AND(C3720="Sell",D3720="Stock"),M3720,IF(ISBLANK(L3720),"",IF(C3720="Buy",M3720, IF(AND(C3720="Sell",J3720="NA"),(E3720*G3720*100*0.1)+I3720, IF(C3720="Sell",(J3720-L3720)*(100*G3720)+I3720))))))</f>
        <v/>
      </c>
      <c r="O3720" s="75" t="n"/>
      <c r="P3720" s="75" t="n"/>
      <c r="Q3720" s="75">
        <f>IF(ISBLANK(P3720),"",IF(D3720="Stock",P3720*G3720,IF(P3720=0,"0",G3720*P3720*100-(G3720*$AF$14))))</f>
        <v/>
      </c>
      <c r="R3720" s="79">
        <f>IF(P3720&lt;&gt;"", TODAY(), "")</f>
        <v/>
      </c>
      <c r="S3720" s="78">
        <f>IF(AND(K3720&lt;&gt;"", R3720&lt;&gt;""), R3720-K3720, "")</f>
        <v/>
      </c>
      <c r="T3720" s="78" t="n"/>
      <c r="U3720" s="92">
        <f>IF(ISBLANK(P3720),"",IF(C3720="Buy",Q3720-M3720+T3720, IF(C3720="Sell",M3720-Q3720-T3720, X)))</f>
        <v/>
      </c>
      <c r="V3720" s="81">
        <f>IF(ISBLANK(P3720),"",U3720/N3720)</f>
        <v/>
      </c>
      <c r="W3720" s="81">
        <f>IF(ISBLANK(P3720),"",IF(S3720=0,(365/0.5)*V3720,(365/S3720)*V3720))</f>
        <v/>
      </c>
      <c r="X3720" s="75" t="n"/>
      <c r="Y3720" s="77" t="n"/>
      <c r="Z3720" s="77" t="n"/>
      <c r="AA3720" s="75" t="n"/>
      <c r="AB3720" s="75" t="n"/>
      <c r="AC3720" s="6" t="n"/>
      <c r="AD3720" s="75" t="n"/>
      <c r="AE3720" s="75" t="n"/>
      <c r="AF3720" s="75" t="n"/>
    </row>
    <row r="3721" ht="15.75" customHeight="1" s="133">
      <c r="A3721" s="75" t="n"/>
      <c r="B3721" s="75" t="n"/>
      <c r="C3721" s="75" t="n"/>
      <c r="D3721" s="75" t="n"/>
      <c r="E3721" s="76" t="n"/>
      <c r="F3721" s="77" t="n"/>
      <c r="G3721" s="75" t="n"/>
      <c r="H3721" s="75">
        <f>IF(ISBLANK(E3721),"",IF(OR(D3721="Butterfly",D3721="Butterfly ",D3721="Iron Fly", D3721="Iron Fly "),LEN(E3721)-LEN(SUBSTITUTE(E3721,"/",""))+2,LEN(E3721)-LEN(SUBSTITUTE(E3721,"/",""))+1))</f>
        <v/>
      </c>
      <c r="I3721" s="78">
        <f>IF(ISBLANK(G3721),"",IF(D3721="Stock","0",Key!$A$3*H3721*G3721))</f>
        <v/>
      </c>
      <c r="J3721" s="78">
        <f>IF(ISBLANK(E3721),"",IF(ISNUMBER(SEARCH("/",E3721)), IF(LEN(E3721)-LEN(SUBSTITUTE(E3721,"/",""))=1,(RIGHT(E3721,LEN(E3721)-FIND("/",E3721)))-(LEFT(E3721,FIND("/",E3721)-1)),(MID(E3721, SEARCH("/",E3721) + 1, SEARCH("/",E3721, SEARCH("/",E3721)+1) - SEARCH("/",E3721) - 1))-(LEFT(E3721,FIND("/",E3721)-1))), "NA"))</f>
        <v/>
      </c>
      <c r="K3721" s="79">
        <f>IF(A3721&lt;&gt;"", IF(ISBLANK(L3721), TODAY(), K3721), "")</f>
        <v/>
      </c>
      <c r="L3721" s="78" t="n"/>
      <c r="M3721" s="78">
        <f>IF(ISBLANK(L3721),"",IF(D3721="Stock",IF(C3721="Buy",L3721*G3721,IF(C3721="Sell",(L3721*G3721)-I3721, X)),IF(C3721="Buy",(L3721*G3721*100)+I3721,IF(C3721="Sell",(L3721*G3721*100)-I3721, X))))</f>
        <v/>
      </c>
      <c r="N3721" s="78">
        <f>IF(ISBLANK(L3721),"",IF(AND(C3721="Sell",D3721="Stock"),M3721,IF(ISBLANK(L3721),"",IF(C3721="Buy",M3721, IF(AND(C3721="Sell",J3721="NA"),(E3721*G3721*100*0.1)+I3721, IF(C3721="Sell",(J3721-L3721)*(100*G3721)+I3721))))))</f>
        <v/>
      </c>
      <c r="O3721" s="75" t="n"/>
      <c r="P3721" s="75" t="n"/>
      <c r="Q3721" s="75">
        <f>IF(ISBLANK(P3721),"",IF(D3721="Stock",P3721*G3721,IF(P3721=0,"0",G3721*P3721*100-(G3721*$AF$14))))</f>
        <v/>
      </c>
      <c r="R3721" s="79">
        <f>IF(P3721&lt;&gt;"", TODAY(), "")</f>
        <v/>
      </c>
      <c r="S3721" s="78">
        <f>IF(AND(K3721&lt;&gt;"", R3721&lt;&gt;""), R3721-K3721, "")</f>
        <v/>
      </c>
      <c r="T3721" s="78" t="n"/>
      <c r="U3721" s="92">
        <f>IF(ISBLANK(P3721),"",IF(C3721="Buy",Q3721-M3721+T3721, IF(C3721="Sell",M3721-Q3721-T3721, X)))</f>
        <v/>
      </c>
      <c r="V3721" s="81">
        <f>IF(ISBLANK(P3721),"",U3721/N3721)</f>
        <v/>
      </c>
      <c r="W3721" s="81">
        <f>IF(ISBLANK(P3721),"",IF(S3721=0,(365/0.5)*V3721,(365/S3721)*V3721))</f>
        <v/>
      </c>
      <c r="X3721" s="75" t="n"/>
      <c r="Y3721" s="77" t="n"/>
      <c r="Z3721" s="77" t="n"/>
      <c r="AA3721" s="75" t="n"/>
      <c r="AB3721" s="75" t="n"/>
      <c r="AC3721" s="6" t="n"/>
      <c r="AD3721" s="75" t="n"/>
      <c r="AE3721" s="75" t="n"/>
      <c r="AF3721" s="75" t="n"/>
    </row>
    <row r="3722" ht="15.75" customHeight="1" s="133">
      <c r="A3722" s="75" t="n"/>
      <c r="B3722" s="75" t="n"/>
      <c r="C3722" s="75" t="n"/>
      <c r="D3722" s="75" t="n"/>
      <c r="E3722" s="76" t="n"/>
      <c r="F3722" s="77" t="n"/>
      <c r="G3722" s="75" t="n"/>
      <c r="H3722" s="75">
        <f>IF(ISBLANK(E3722),"",IF(OR(D3722="Butterfly",D3722="Butterfly ",D3722="Iron Fly", D3722="Iron Fly "),LEN(E3722)-LEN(SUBSTITUTE(E3722,"/",""))+2,LEN(E3722)-LEN(SUBSTITUTE(E3722,"/",""))+1))</f>
        <v/>
      </c>
      <c r="I3722" s="78">
        <f>IF(ISBLANK(G3722),"",IF(D3722="Stock","0",Key!$A$3*H3722*G3722))</f>
        <v/>
      </c>
      <c r="J3722" s="78">
        <f>IF(ISBLANK(E3722),"",IF(ISNUMBER(SEARCH("/",E3722)), IF(LEN(E3722)-LEN(SUBSTITUTE(E3722,"/",""))=1,(RIGHT(E3722,LEN(E3722)-FIND("/",E3722)))-(LEFT(E3722,FIND("/",E3722)-1)),(MID(E3722, SEARCH("/",E3722) + 1, SEARCH("/",E3722, SEARCH("/",E3722)+1) - SEARCH("/",E3722) - 1))-(LEFT(E3722,FIND("/",E3722)-1))), "NA"))</f>
        <v/>
      </c>
      <c r="K3722" s="79">
        <f>IF(A3722&lt;&gt;"", IF(ISBLANK(L3722), TODAY(), K3722), "")</f>
        <v/>
      </c>
      <c r="L3722" s="78" t="n"/>
      <c r="M3722" s="78">
        <f>IF(ISBLANK(L3722),"",IF(D3722="Stock",IF(C3722="Buy",L3722*G3722,IF(C3722="Sell",(L3722*G3722)-I3722, X)),IF(C3722="Buy",(L3722*G3722*100)+I3722,IF(C3722="Sell",(L3722*G3722*100)-I3722, X))))</f>
        <v/>
      </c>
      <c r="N3722" s="78">
        <f>IF(ISBLANK(L3722),"",IF(AND(C3722="Sell",D3722="Stock"),M3722,IF(ISBLANK(L3722),"",IF(C3722="Buy",M3722, IF(AND(C3722="Sell",J3722="NA"),(E3722*G3722*100*0.1)+I3722, IF(C3722="Sell",(J3722-L3722)*(100*G3722)+I3722))))))</f>
        <v/>
      </c>
      <c r="O3722" s="75" t="n"/>
      <c r="P3722" s="75" t="n"/>
      <c r="Q3722" s="75">
        <f>IF(ISBLANK(P3722),"",IF(D3722="Stock",P3722*G3722,IF(P3722=0,"0",G3722*P3722*100-(G3722*$AF$14))))</f>
        <v/>
      </c>
      <c r="R3722" s="79">
        <f>IF(P3722&lt;&gt;"", TODAY(), "")</f>
        <v/>
      </c>
      <c r="S3722" s="78">
        <f>IF(AND(K3722&lt;&gt;"", R3722&lt;&gt;""), R3722-K3722, "")</f>
        <v/>
      </c>
      <c r="T3722" s="78" t="n"/>
      <c r="U3722" s="92">
        <f>IF(ISBLANK(P3722),"",IF(C3722="Buy",Q3722-M3722+T3722, IF(C3722="Sell",M3722-Q3722-T3722, X)))</f>
        <v/>
      </c>
      <c r="V3722" s="81">
        <f>IF(ISBLANK(P3722),"",U3722/N3722)</f>
        <v/>
      </c>
      <c r="W3722" s="81">
        <f>IF(ISBLANK(P3722),"",IF(S3722=0,(365/0.5)*V3722,(365/S3722)*V3722))</f>
        <v/>
      </c>
      <c r="X3722" s="75" t="n"/>
      <c r="Y3722" s="77" t="n"/>
      <c r="Z3722" s="77" t="n"/>
      <c r="AA3722" s="75" t="n"/>
      <c r="AB3722" s="75" t="n"/>
      <c r="AC3722" s="6" t="n"/>
      <c r="AD3722" s="75" t="n"/>
      <c r="AE3722" s="75" t="n"/>
      <c r="AF3722" s="75" t="n"/>
    </row>
    <row r="3723" ht="15.75" customHeight="1" s="133">
      <c r="A3723" s="75" t="n"/>
      <c r="B3723" s="75" t="n"/>
      <c r="C3723" s="75" t="n"/>
      <c r="D3723" s="75" t="n"/>
      <c r="E3723" s="76" t="n"/>
      <c r="F3723" s="77" t="n"/>
      <c r="G3723" s="75" t="n"/>
      <c r="H3723" s="75">
        <f>IF(ISBLANK(E3723),"",IF(OR(D3723="Butterfly",D3723="Butterfly ",D3723="Iron Fly", D3723="Iron Fly "),LEN(E3723)-LEN(SUBSTITUTE(E3723,"/",""))+2,LEN(E3723)-LEN(SUBSTITUTE(E3723,"/",""))+1))</f>
        <v/>
      </c>
      <c r="I3723" s="78">
        <f>IF(ISBLANK(G3723),"",IF(D3723="Stock","0",Key!$A$3*H3723*G3723))</f>
        <v/>
      </c>
      <c r="J3723" s="78">
        <f>IF(ISBLANK(E3723),"",IF(ISNUMBER(SEARCH("/",E3723)), IF(LEN(E3723)-LEN(SUBSTITUTE(E3723,"/",""))=1,(RIGHT(E3723,LEN(E3723)-FIND("/",E3723)))-(LEFT(E3723,FIND("/",E3723)-1)),(MID(E3723, SEARCH("/",E3723) + 1, SEARCH("/",E3723, SEARCH("/",E3723)+1) - SEARCH("/",E3723) - 1))-(LEFT(E3723,FIND("/",E3723)-1))), "NA"))</f>
        <v/>
      </c>
      <c r="K3723" s="79">
        <f>IF(A3723&lt;&gt;"", IF(ISBLANK(L3723), TODAY(), K3723), "")</f>
        <v/>
      </c>
      <c r="L3723" s="78" t="n"/>
      <c r="M3723" s="78">
        <f>IF(ISBLANK(L3723),"",IF(D3723="Stock",IF(C3723="Buy",L3723*G3723,IF(C3723="Sell",(L3723*G3723)-I3723, X)),IF(C3723="Buy",(L3723*G3723*100)+I3723,IF(C3723="Sell",(L3723*G3723*100)-I3723, X))))</f>
        <v/>
      </c>
      <c r="N3723" s="78">
        <f>IF(ISBLANK(L3723),"",IF(AND(C3723="Sell",D3723="Stock"),M3723,IF(ISBLANK(L3723),"",IF(C3723="Buy",M3723, IF(AND(C3723="Sell",J3723="NA"),(E3723*G3723*100*0.1)+I3723, IF(C3723="Sell",(J3723-L3723)*(100*G3723)+I3723))))))</f>
        <v/>
      </c>
      <c r="O3723" s="75" t="n"/>
      <c r="P3723" s="75" t="n"/>
      <c r="Q3723" s="75">
        <f>IF(ISBLANK(P3723),"",IF(D3723="Stock",P3723*G3723,IF(P3723=0,"0",G3723*P3723*100-(G3723*$AF$14))))</f>
        <v/>
      </c>
      <c r="R3723" s="79">
        <f>IF(P3723&lt;&gt;"", TODAY(), "")</f>
        <v/>
      </c>
      <c r="S3723" s="78">
        <f>IF(AND(K3723&lt;&gt;"", R3723&lt;&gt;""), R3723-K3723, "")</f>
        <v/>
      </c>
      <c r="T3723" s="78" t="n"/>
      <c r="U3723" s="92">
        <f>IF(ISBLANK(P3723),"",IF(C3723="Buy",Q3723-M3723+T3723, IF(C3723="Sell",M3723-Q3723-T3723, X)))</f>
        <v/>
      </c>
      <c r="V3723" s="81">
        <f>IF(ISBLANK(P3723),"",U3723/N3723)</f>
        <v/>
      </c>
      <c r="W3723" s="81">
        <f>IF(ISBLANK(P3723),"",IF(S3723=0,(365/0.5)*V3723,(365/S3723)*V3723))</f>
        <v/>
      </c>
      <c r="X3723" s="75" t="n"/>
      <c r="Y3723" s="77" t="n"/>
      <c r="Z3723" s="77" t="n"/>
      <c r="AA3723" s="75" t="n"/>
      <c r="AB3723" s="75" t="n"/>
      <c r="AC3723" s="6" t="n"/>
      <c r="AD3723" s="75" t="n"/>
      <c r="AE3723" s="75" t="n"/>
      <c r="AF3723" s="75" t="n"/>
    </row>
    <row r="3724" ht="15.75" customHeight="1" s="133">
      <c r="A3724" s="75" t="n"/>
      <c r="B3724" s="75" t="n"/>
      <c r="C3724" s="75" t="n"/>
      <c r="D3724" s="75" t="n"/>
      <c r="E3724" s="76" t="n"/>
      <c r="F3724" s="77" t="n"/>
      <c r="G3724" s="75" t="n"/>
      <c r="H3724" s="75">
        <f>IF(ISBLANK(E3724),"",IF(OR(D3724="Butterfly",D3724="Butterfly ",D3724="Iron Fly", D3724="Iron Fly "),LEN(E3724)-LEN(SUBSTITUTE(E3724,"/",""))+2,LEN(E3724)-LEN(SUBSTITUTE(E3724,"/",""))+1))</f>
        <v/>
      </c>
      <c r="I3724" s="78">
        <f>IF(ISBLANK(G3724),"",IF(D3724="Stock","0",Key!$A$3*H3724*G3724))</f>
        <v/>
      </c>
      <c r="J3724" s="78">
        <f>IF(ISBLANK(E3724),"",IF(ISNUMBER(SEARCH("/",E3724)), IF(LEN(E3724)-LEN(SUBSTITUTE(E3724,"/",""))=1,(RIGHT(E3724,LEN(E3724)-FIND("/",E3724)))-(LEFT(E3724,FIND("/",E3724)-1)),(MID(E3724, SEARCH("/",E3724) + 1, SEARCH("/",E3724, SEARCH("/",E3724)+1) - SEARCH("/",E3724) - 1))-(LEFT(E3724,FIND("/",E3724)-1))), "NA"))</f>
        <v/>
      </c>
      <c r="K3724" s="79">
        <f>IF(A3724&lt;&gt;"", IF(ISBLANK(L3724), TODAY(), K3724), "")</f>
        <v/>
      </c>
      <c r="L3724" s="78" t="n"/>
      <c r="M3724" s="78">
        <f>IF(ISBLANK(L3724),"",IF(D3724="Stock",IF(C3724="Buy",L3724*G3724,IF(C3724="Sell",(L3724*G3724)-I3724, X)),IF(C3724="Buy",(L3724*G3724*100)+I3724,IF(C3724="Sell",(L3724*G3724*100)-I3724, X))))</f>
        <v/>
      </c>
      <c r="N3724" s="78">
        <f>IF(ISBLANK(L3724),"",IF(AND(C3724="Sell",D3724="Stock"),M3724,IF(ISBLANK(L3724),"",IF(C3724="Buy",M3724, IF(AND(C3724="Sell",J3724="NA"),(E3724*G3724*100*0.1)+I3724, IF(C3724="Sell",(J3724-L3724)*(100*G3724)+I3724))))))</f>
        <v/>
      </c>
      <c r="O3724" s="75" t="n"/>
      <c r="P3724" s="75" t="n"/>
      <c r="Q3724" s="75">
        <f>IF(ISBLANK(P3724),"",IF(D3724="Stock",P3724*G3724,IF(P3724=0,"0",G3724*P3724*100-(G3724*$AF$14))))</f>
        <v/>
      </c>
      <c r="R3724" s="79">
        <f>IF(P3724&lt;&gt;"", TODAY(), "")</f>
        <v/>
      </c>
      <c r="S3724" s="78">
        <f>IF(AND(K3724&lt;&gt;"", R3724&lt;&gt;""), R3724-K3724, "")</f>
        <v/>
      </c>
      <c r="T3724" s="78" t="n"/>
      <c r="U3724" s="92">
        <f>IF(ISBLANK(P3724),"",IF(C3724="Buy",Q3724-M3724+T3724, IF(C3724="Sell",M3724-Q3724-T3724, X)))</f>
        <v/>
      </c>
      <c r="V3724" s="81">
        <f>IF(ISBLANK(P3724),"",U3724/N3724)</f>
        <v/>
      </c>
      <c r="W3724" s="81">
        <f>IF(ISBLANK(P3724),"",IF(S3724=0,(365/0.5)*V3724,(365/S3724)*V3724))</f>
        <v/>
      </c>
      <c r="X3724" s="75" t="n"/>
      <c r="Y3724" s="77" t="n"/>
      <c r="Z3724" s="77" t="n"/>
      <c r="AA3724" s="75" t="n"/>
      <c r="AB3724" s="75" t="n"/>
      <c r="AC3724" s="6" t="n"/>
      <c r="AD3724" s="75" t="n"/>
      <c r="AE3724" s="75" t="n"/>
      <c r="AF3724" s="75" t="n"/>
    </row>
    <row r="3725" ht="15.75" customHeight="1" s="133">
      <c r="A3725" s="75" t="n"/>
      <c r="B3725" s="75" t="n"/>
      <c r="C3725" s="75" t="n"/>
      <c r="D3725" s="75" t="n"/>
      <c r="E3725" s="76" t="n"/>
      <c r="F3725" s="77" t="n"/>
      <c r="G3725" s="75" t="n"/>
      <c r="H3725" s="75">
        <f>IF(ISBLANK(E3725),"",IF(OR(D3725="Butterfly",D3725="Butterfly ",D3725="Iron Fly", D3725="Iron Fly "),LEN(E3725)-LEN(SUBSTITUTE(E3725,"/",""))+2,LEN(E3725)-LEN(SUBSTITUTE(E3725,"/",""))+1))</f>
        <v/>
      </c>
      <c r="I3725" s="78">
        <f>IF(ISBLANK(G3725),"",IF(D3725="Stock","0",Key!$A$3*H3725*G3725))</f>
        <v/>
      </c>
      <c r="J3725" s="78">
        <f>IF(ISBLANK(E3725),"",IF(ISNUMBER(SEARCH("/",E3725)), IF(LEN(E3725)-LEN(SUBSTITUTE(E3725,"/",""))=1,(RIGHT(E3725,LEN(E3725)-FIND("/",E3725)))-(LEFT(E3725,FIND("/",E3725)-1)),(MID(E3725, SEARCH("/",E3725) + 1, SEARCH("/",E3725, SEARCH("/",E3725)+1) - SEARCH("/",E3725) - 1))-(LEFT(E3725,FIND("/",E3725)-1))), "NA"))</f>
        <v/>
      </c>
      <c r="K3725" s="79">
        <f>IF(A3725&lt;&gt;"", IF(ISBLANK(L3725), TODAY(), K3725), "")</f>
        <v/>
      </c>
      <c r="L3725" s="78" t="n"/>
      <c r="M3725" s="78">
        <f>IF(ISBLANK(L3725),"",IF(D3725="Stock",IF(C3725="Buy",L3725*G3725,IF(C3725="Sell",(L3725*G3725)-I3725, X)),IF(C3725="Buy",(L3725*G3725*100)+I3725,IF(C3725="Sell",(L3725*G3725*100)-I3725, X))))</f>
        <v/>
      </c>
      <c r="N3725" s="78">
        <f>IF(ISBLANK(L3725),"",IF(AND(C3725="Sell",D3725="Stock"),M3725,IF(ISBLANK(L3725),"",IF(C3725="Buy",M3725, IF(AND(C3725="Sell",J3725="NA"),(E3725*G3725*100*0.1)+I3725, IF(C3725="Sell",(J3725-L3725)*(100*G3725)+I3725))))))</f>
        <v/>
      </c>
      <c r="O3725" s="75" t="n"/>
      <c r="P3725" s="75" t="n"/>
      <c r="Q3725" s="75">
        <f>IF(ISBLANK(P3725),"",IF(D3725="Stock",P3725*G3725,IF(P3725=0,"0",G3725*P3725*100-(G3725*$AF$14))))</f>
        <v/>
      </c>
      <c r="R3725" s="79">
        <f>IF(P3725&lt;&gt;"", TODAY(), "")</f>
        <v/>
      </c>
      <c r="S3725" s="78">
        <f>IF(AND(K3725&lt;&gt;"", R3725&lt;&gt;""), R3725-K3725, "")</f>
        <v/>
      </c>
      <c r="T3725" s="78" t="n"/>
      <c r="U3725" s="92">
        <f>IF(ISBLANK(P3725),"",IF(C3725="Buy",Q3725-M3725+T3725, IF(C3725="Sell",M3725-Q3725-T3725, X)))</f>
        <v/>
      </c>
      <c r="V3725" s="81">
        <f>IF(ISBLANK(P3725),"",U3725/N3725)</f>
        <v/>
      </c>
      <c r="W3725" s="81">
        <f>IF(ISBLANK(P3725),"",IF(S3725=0,(365/0.5)*V3725,(365/S3725)*V3725))</f>
        <v/>
      </c>
      <c r="X3725" s="75" t="n"/>
      <c r="Y3725" s="77" t="n"/>
      <c r="Z3725" s="77" t="n"/>
      <c r="AA3725" s="75" t="n"/>
      <c r="AB3725" s="75" t="n"/>
      <c r="AC3725" s="6" t="n"/>
      <c r="AD3725" s="75" t="n"/>
      <c r="AE3725" s="75" t="n"/>
      <c r="AF3725" s="75" t="n"/>
    </row>
    <row r="3726" ht="15.75" customHeight="1" s="133">
      <c r="A3726" s="75" t="n"/>
      <c r="B3726" s="75" t="n"/>
      <c r="C3726" s="75" t="n"/>
      <c r="D3726" s="75" t="n"/>
      <c r="E3726" s="76" t="n"/>
      <c r="F3726" s="77" t="n"/>
      <c r="G3726" s="75" t="n"/>
      <c r="H3726" s="75">
        <f>IF(ISBLANK(E3726),"",IF(OR(D3726="Butterfly",D3726="Butterfly ",D3726="Iron Fly", D3726="Iron Fly "),LEN(E3726)-LEN(SUBSTITUTE(E3726,"/",""))+2,LEN(E3726)-LEN(SUBSTITUTE(E3726,"/",""))+1))</f>
        <v/>
      </c>
      <c r="I3726" s="78">
        <f>IF(ISBLANK(G3726),"",IF(D3726="Stock","0",Key!$A$3*H3726*G3726))</f>
        <v/>
      </c>
      <c r="J3726" s="78">
        <f>IF(ISBLANK(E3726),"",IF(ISNUMBER(SEARCH("/",E3726)), IF(LEN(E3726)-LEN(SUBSTITUTE(E3726,"/",""))=1,(RIGHT(E3726,LEN(E3726)-FIND("/",E3726)))-(LEFT(E3726,FIND("/",E3726)-1)),(MID(E3726, SEARCH("/",E3726) + 1, SEARCH("/",E3726, SEARCH("/",E3726)+1) - SEARCH("/",E3726) - 1))-(LEFT(E3726,FIND("/",E3726)-1))), "NA"))</f>
        <v/>
      </c>
      <c r="K3726" s="79">
        <f>IF(A3726&lt;&gt;"", IF(ISBLANK(L3726), TODAY(), K3726), "")</f>
        <v/>
      </c>
      <c r="L3726" s="78" t="n"/>
      <c r="M3726" s="78">
        <f>IF(ISBLANK(L3726),"",IF(D3726="Stock",IF(C3726="Buy",L3726*G3726,IF(C3726="Sell",(L3726*G3726)-I3726, X)),IF(C3726="Buy",(L3726*G3726*100)+I3726,IF(C3726="Sell",(L3726*G3726*100)-I3726, X))))</f>
        <v/>
      </c>
      <c r="N3726" s="78">
        <f>IF(ISBLANK(L3726),"",IF(AND(C3726="Sell",D3726="Stock"),M3726,IF(ISBLANK(L3726),"",IF(C3726="Buy",M3726, IF(AND(C3726="Sell",J3726="NA"),(E3726*G3726*100*0.1)+I3726, IF(C3726="Sell",(J3726-L3726)*(100*G3726)+I3726))))))</f>
        <v/>
      </c>
      <c r="O3726" s="75" t="n"/>
      <c r="P3726" s="75" t="n"/>
      <c r="Q3726" s="75">
        <f>IF(ISBLANK(P3726),"",IF(D3726="Stock",P3726*G3726,IF(P3726=0,"0",G3726*P3726*100-(G3726*$AF$14))))</f>
        <v/>
      </c>
      <c r="R3726" s="79">
        <f>IF(P3726&lt;&gt;"", TODAY(), "")</f>
        <v/>
      </c>
      <c r="S3726" s="78">
        <f>IF(AND(K3726&lt;&gt;"", R3726&lt;&gt;""), R3726-K3726, "")</f>
        <v/>
      </c>
      <c r="T3726" s="78" t="n"/>
      <c r="U3726" s="92">
        <f>IF(ISBLANK(P3726),"",IF(C3726="Buy",Q3726-M3726+T3726, IF(C3726="Sell",M3726-Q3726-T3726, X)))</f>
        <v/>
      </c>
      <c r="V3726" s="81">
        <f>IF(ISBLANK(P3726),"",U3726/N3726)</f>
        <v/>
      </c>
      <c r="W3726" s="81">
        <f>IF(ISBLANK(P3726),"",IF(S3726=0,(365/0.5)*V3726,(365/S3726)*V3726))</f>
        <v/>
      </c>
      <c r="X3726" s="75" t="n"/>
      <c r="Y3726" s="77" t="n"/>
      <c r="Z3726" s="77" t="n"/>
      <c r="AA3726" s="75" t="n"/>
      <c r="AB3726" s="75" t="n"/>
      <c r="AC3726" s="6" t="n"/>
      <c r="AD3726" s="75" t="n"/>
      <c r="AE3726" s="75" t="n"/>
      <c r="AF3726" s="75" t="n"/>
    </row>
    <row r="3727" ht="15.75" customHeight="1" s="133">
      <c r="A3727" s="75" t="n"/>
      <c r="B3727" s="75" t="n"/>
      <c r="C3727" s="75" t="n"/>
      <c r="D3727" s="75" t="n"/>
      <c r="E3727" s="76" t="n"/>
      <c r="F3727" s="77" t="n"/>
      <c r="G3727" s="75" t="n"/>
      <c r="H3727" s="75">
        <f>IF(ISBLANK(E3727),"",IF(OR(D3727="Butterfly",D3727="Butterfly ",D3727="Iron Fly", D3727="Iron Fly "),LEN(E3727)-LEN(SUBSTITUTE(E3727,"/",""))+2,LEN(E3727)-LEN(SUBSTITUTE(E3727,"/",""))+1))</f>
        <v/>
      </c>
      <c r="I3727" s="78">
        <f>IF(ISBLANK(G3727),"",IF(D3727="Stock","0",Key!$A$3*H3727*G3727))</f>
        <v/>
      </c>
      <c r="J3727" s="78">
        <f>IF(ISBLANK(E3727),"",IF(ISNUMBER(SEARCH("/",E3727)), IF(LEN(E3727)-LEN(SUBSTITUTE(E3727,"/",""))=1,(RIGHT(E3727,LEN(E3727)-FIND("/",E3727)))-(LEFT(E3727,FIND("/",E3727)-1)),(MID(E3727, SEARCH("/",E3727) + 1, SEARCH("/",E3727, SEARCH("/",E3727)+1) - SEARCH("/",E3727) - 1))-(LEFT(E3727,FIND("/",E3727)-1))), "NA"))</f>
        <v/>
      </c>
      <c r="K3727" s="79">
        <f>IF(A3727&lt;&gt;"", IF(ISBLANK(L3727), TODAY(), K3727), "")</f>
        <v/>
      </c>
      <c r="L3727" s="78" t="n"/>
      <c r="M3727" s="78">
        <f>IF(ISBLANK(L3727),"",IF(D3727="Stock",IF(C3727="Buy",L3727*G3727,IF(C3727="Sell",(L3727*G3727)-I3727, X)),IF(C3727="Buy",(L3727*G3727*100)+I3727,IF(C3727="Sell",(L3727*G3727*100)-I3727, X))))</f>
        <v/>
      </c>
      <c r="N3727" s="78">
        <f>IF(ISBLANK(L3727),"",IF(AND(C3727="Sell",D3727="Stock"),M3727,IF(ISBLANK(L3727),"",IF(C3727="Buy",M3727, IF(AND(C3727="Sell",J3727="NA"),(E3727*G3727*100*0.1)+I3727, IF(C3727="Sell",(J3727-L3727)*(100*G3727)+I3727))))))</f>
        <v/>
      </c>
      <c r="O3727" s="75" t="n"/>
      <c r="P3727" s="75" t="n"/>
      <c r="Q3727" s="75">
        <f>IF(ISBLANK(P3727),"",IF(D3727="Stock",P3727*G3727,IF(P3727=0,"0",G3727*P3727*100-(G3727*$AF$14))))</f>
        <v/>
      </c>
      <c r="R3727" s="79">
        <f>IF(P3727&lt;&gt;"", TODAY(), "")</f>
        <v/>
      </c>
      <c r="S3727" s="78">
        <f>IF(AND(K3727&lt;&gt;"", R3727&lt;&gt;""), R3727-K3727, "")</f>
        <v/>
      </c>
      <c r="T3727" s="78" t="n"/>
      <c r="U3727" s="92">
        <f>IF(ISBLANK(P3727),"",IF(C3727="Buy",Q3727-M3727+T3727, IF(C3727="Sell",M3727-Q3727-T3727, X)))</f>
        <v/>
      </c>
      <c r="V3727" s="81">
        <f>IF(ISBLANK(P3727),"",U3727/N3727)</f>
        <v/>
      </c>
      <c r="W3727" s="81">
        <f>IF(ISBLANK(P3727),"",IF(S3727=0,(365/0.5)*V3727,(365/S3727)*V3727))</f>
        <v/>
      </c>
      <c r="X3727" s="75" t="n"/>
      <c r="Y3727" s="77" t="n"/>
      <c r="Z3727" s="77" t="n"/>
      <c r="AA3727" s="75" t="n"/>
      <c r="AB3727" s="75" t="n"/>
      <c r="AC3727" s="6" t="n"/>
      <c r="AD3727" s="75" t="n"/>
      <c r="AE3727" s="75" t="n"/>
      <c r="AF3727" s="75" t="n"/>
    </row>
    <row r="3728" ht="15.75" customHeight="1" s="133">
      <c r="A3728" s="75" t="n"/>
      <c r="B3728" s="75" t="n"/>
      <c r="C3728" s="75" t="n"/>
      <c r="D3728" s="75" t="n"/>
      <c r="E3728" s="76" t="n"/>
      <c r="F3728" s="77" t="n"/>
      <c r="G3728" s="75" t="n"/>
      <c r="H3728" s="75">
        <f>IF(ISBLANK(E3728),"",IF(OR(D3728="Butterfly",D3728="Butterfly ",D3728="Iron Fly", D3728="Iron Fly "),LEN(E3728)-LEN(SUBSTITUTE(E3728,"/",""))+2,LEN(E3728)-LEN(SUBSTITUTE(E3728,"/",""))+1))</f>
        <v/>
      </c>
      <c r="I3728" s="78">
        <f>IF(ISBLANK(G3728),"",IF(D3728="Stock","0",Key!$A$3*H3728*G3728))</f>
        <v/>
      </c>
      <c r="J3728" s="78">
        <f>IF(ISBLANK(E3728),"",IF(ISNUMBER(SEARCH("/",E3728)), IF(LEN(E3728)-LEN(SUBSTITUTE(E3728,"/",""))=1,(RIGHT(E3728,LEN(E3728)-FIND("/",E3728)))-(LEFT(E3728,FIND("/",E3728)-1)),(MID(E3728, SEARCH("/",E3728) + 1, SEARCH("/",E3728, SEARCH("/",E3728)+1) - SEARCH("/",E3728) - 1))-(LEFT(E3728,FIND("/",E3728)-1))), "NA"))</f>
        <v/>
      </c>
      <c r="K3728" s="79">
        <f>IF(A3728&lt;&gt;"", IF(ISBLANK(L3728), TODAY(), K3728), "")</f>
        <v/>
      </c>
      <c r="L3728" s="78" t="n"/>
      <c r="M3728" s="78">
        <f>IF(ISBLANK(L3728),"",IF(D3728="Stock",IF(C3728="Buy",L3728*G3728,IF(C3728="Sell",(L3728*G3728)-I3728, X)),IF(C3728="Buy",(L3728*G3728*100)+I3728,IF(C3728="Sell",(L3728*G3728*100)-I3728, X))))</f>
        <v/>
      </c>
      <c r="N3728" s="78">
        <f>IF(ISBLANK(L3728),"",IF(AND(C3728="Sell",D3728="Stock"),M3728,IF(ISBLANK(L3728),"",IF(C3728="Buy",M3728, IF(AND(C3728="Sell",J3728="NA"),(E3728*G3728*100*0.1)+I3728, IF(C3728="Sell",(J3728-L3728)*(100*G3728)+I3728))))))</f>
        <v/>
      </c>
      <c r="O3728" s="75" t="n"/>
      <c r="P3728" s="75" t="n"/>
      <c r="Q3728" s="75">
        <f>IF(ISBLANK(P3728),"",IF(D3728="Stock",P3728*G3728,IF(P3728=0,"0",G3728*P3728*100-(G3728*$AF$14))))</f>
        <v/>
      </c>
      <c r="R3728" s="79">
        <f>IF(P3728&lt;&gt;"", TODAY(), "")</f>
        <v/>
      </c>
      <c r="S3728" s="78">
        <f>IF(AND(K3728&lt;&gt;"", R3728&lt;&gt;""), R3728-K3728, "")</f>
        <v/>
      </c>
      <c r="T3728" s="78" t="n"/>
      <c r="U3728" s="92">
        <f>IF(ISBLANK(P3728),"",IF(C3728="Buy",Q3728-M3728+T3728, IF(C3728="Sell",M3728-Q3728-T3728, X)))</f>
        <v/>
      </c>
      <c r="V3728" s="81">
        <f>IF(ISBLANK(P3728),"",U3728/N3728)</f>
        <v/>
      </c>
      <c r="W3728" s="81">
        <f>IF(ISBLANK(P3728),"",IF(S3728=0,(365/0.5)*V3728,(365/S3728)*V3728))</f>
        <v/>
      </c>
      <c r="X3728" s="75" t="n"/>
      <c r="Y3728" s="77" t="n"/>
      <c r="Z3728" s="77" t="n"/>
      <c r="AA3728" s="75" t="n"/>
      <c r="AB3728" s="75" t="n"/>
      <c r="AC3728" s="6" t="n"/>
      <c r="AD3728" s="75" t="n"/>
      <c r="AE3728" s="75" t="n"/>
      <c r="AF3728" s="75" t="n"/>
    </row>
    <row r="3729" ht="15.75" customHeight="1" s="133">
      <c r="A3729" s="75" t="n"/>
      <c r="B3729" s="75" t="n"/>
      <c r="C3729" s="75" t="n"/>
      <c r="D3729" s="75" t="n"/>
      <c r="E3729" s="76" t="n"/>
      <c r="F3729" s="77" t="n"/>
      <c r="G3729" s="75" t="n"/>
      <c r="H3729" s="75">
        <f>IF(ISBLANK(E3729),"",IF(OR(D3729="Butterfly",D3729="Butterfly ",D3729="Iron Fly", D3729="Iron Fly "),LEN(E3729)-LEN(SUBSTITUTE(E3729,"/",""))+2,LEN(E3729)-LEN(SUBSTITUTE(E3729,"/",""))+1))</f>
        <v/>
      </c>
      <c r="I3729" s="78">
        <f>IF(ISBLANK(G3729),"",IF(D3729="Stock","0",Key!$A$3*H3729*G3729))</f>
        <v/>
      </c>
      <c r="J3729" s="78">
        <f>IF(ISBLANK(E3729),"",IF(ISNUMBER(SEARCH("/",E3729)), IF(LEN(E3729)-LEN(SUBSTITUTE(E3729,"/",""))=1,(RIGHT(E3729,LEN(E3729)-FIND("/",E3729)))-(LEFT(E3729,FIND("/",E3729)-1)),(MID(E3729, SEARCH("/",E3729) + 1, SEARCH("/",E3729, SEARCH("/",E3729)+1) - SEARCH("/",E3729) - 1))-(LEFT(E3729,FIND("/",E3729)-1))), "NA"))</f>
        <v/>
      </c>
      <c r="K3729" s="79">
        <f>IF(A3729&lt;&gt;"", IF(ISBLANK(L3729), TODAY(), K3729), "")</f>
        <v/>
      </c>
      <c r="L3729" s="78" t="n"/>
      <c r="M3729" s="78">
        <f>IF(ISBLANK(L3729),"",IF(D3729="Stock",IF(C3729="Buy",L3729*G3729,IF(C3729="Sell",(L3729*G3729)-I3729, X)),IF(C3729="Buy",(L3729*G3729*100)+I3729,IF(C3729="Sell",(L3729*G3729*100)-I3729, X))))</f>
        <v/>
      </c>
      <c r="N3729" s="78">
        <f>IF(ISBLANK(L3729),"",IF(AND(C3729="Sell",D3729="Stock"),M3729,IF(ISBLANK(L3729),"",IF(C3729="Buy",M3729, IF(AND(C3729="Sell",J3729="NA"),(E3729*G3729*100*0.1)+I3729, IF(C3729="Sell",(J3729-L3729)*(100*G3729)+I3729))))))</f>
        <v/>
      </c>
      <c r="O3729" s="75" t="n"/>
      <c r="P3729" s="75" t="n"/>
      <c r="Q3729" s="75">
        <f>IF(ISBLANK(P3729),"",IF(D3729="Stock",P3729*G3729,IF(P3729=0,"0",G3729*P3729*100-(G3729*$AF$14))))</f>
        <v/>
      </c>
      <c r="R3729" s="79">
        <f>IF(P3729&lt;&gt;"", TODAY(), "")</f>
        <v/>
      </c>
      <c r="S3729" s="78">
        <f>IF(AND(K3729&lt;&gt;"", R3729&lt;&gt;""), R3729-K3729, "")</f>
        <v/>
      </c>
      <c r="T3729" s="78" t="n"/>
      <c r="U3729" s="92">
        <f>IF(ISBLANK(P3729),"",IF(C3729="Buy",Q3729-M3729+T3729, IF(C3729="Sell",M3729-Q3729-T3729, X)))</f>
        <v/>
      </c>
      <c r="V3729" s="81">
        <f>IF(ISBLANK(P3729),"",U3729/N3729)</f>
        <v/>
      </c>
      <c r="W3729" s="81">
        <f>IF(ISBLANK(P3729),"",IF(S3729=0,(365/0.5)*V3729,(365/S3729)*V3729))</f>
        <v/>
      </c>
      <c r="X3729" s="75" t="n"/>
      <c r="Y3729" s="77" t="n"/>
      <c r="Z3729" s="77" t="n"/>
      <c r="AA3729" s="75" t="n"/>
      <c r="AB3729" s="75" t="n"/>
      <c r="AC3729" s="6" t="n"/>
      <c r="AD3729" s="75" t="n"/>
      <c r="AE3729" s="75" t="n"/>
      <c r="AF3729" s="75" t="n"/>
    </row>
    <row r="3730" ht="15.75" customHeight="1" s="133">
      <c r="A3730" s="75" t="n"/>
      <c r="B3730" s="75" t="n"/>
      <c r="C3730" s="75" t="n"/>
      <c r="D3730" s="75" t="n"/>
      <c r="E3730" s="76" t="n"/>
      <c r="F3730" s="77" t="n"/>
      <c r="G3730" s="75" t="n"/>
      <c r="H3730" s="75">
        <f>IF(ISBLANK(E3730),"",IF(OR(D3730="Butterfly",D3730="Butterfly ",D3730="Iron Fly", D3730="Iron Fly "),LEN(E3730)-LEN(SUBSTITUTE(E3730,"/",""))+2,LEN(E3730)-LEN(SUBSTITUTE(E3730,"/",""))+1))</f>
        <v/>
      </c>
      <c r="I3730" s="78">
        <f>IF(ISBLANK(G3730),"",IF(D3730="Stock","0",Key!$A$3*H3730*G3730))</f>
        <v/>
      </c>
      <c r="J3730" s="78">
        <f>IF(ISBLANK(E3730),"",IF(ISNUMBER(SEARCH("/",E3730)), IF(LEN(E3730)-LEN(SUBSTITUTE(E3730,"/",""))=1,(RIGHT(E3730,LEN(E3730)-FIND("/",E3730)))-(LEFT(E3730,FIND("/",E3730)-1)),(MID(E3730, SEARCH("/",E3730) + 1, SEARCH("/",E3730, SEARCH("/",E3730)+1) - SEARCH("/",E3730) - 1))-(LEFT(E3730,FIND("/",E3730)-1))), "NA"))</f>
        <v/>
      </c>
      <c r="K3730" s="79">
        <f>IF(A3730&lt;&gt;"", IF(ISBLANK(L3730), TODAY(), K3730), "")</f>
        <v/>
      </c>
      <c r="L3730" s="78" t="n"/>
      <c r="M3730" s="78">
        <f>IF(ISBLANK(L3730),"",IF(D3730="Stock",IF(C3730="Buy",L3730*G3730,IF(C3730="Sell",(L3730*G3730)-I3730, X)),IF(C3730="Buy",(L3730*G3730*100)+I3730,IF(C3730="Sell",(L3730*G3730*100)-I3730, X))))</f>
        <v/>
      </c>
      <c r="N3730" s="78">
        <f>IF(ISBLANK(L3730),"",IF(AND(C3730="Sell",D3730="Stock"),M3730,IF(ISBLANK(L3730),"",IF(C3730="Buy",M3730, IF(AND(C3730="Sell",J3730="NA"),(E3730*G3730*100*0.1)+I3730, IF(C3730="Sell",(J3730-L3730)*(100*G3730)+I3730))))))</f>
        <v/>
      </c>
      <c r="O3730" s="75" t="n"/>
      <c r="P3730" s="75" t="n"/>
      <c r="Q3730" s="75">
        <f>IF(ISBLANK(P3730),"",IF(D3730="Stock",P3730*G3730,IF(P3730=0,"0",G3730*P3730*100-(G3730*$AF$14))))</f>
        <v/>
      </c>
      <c r="R3730" s="79">
        <f>IF(P3730&lt;&gt;"", TODAY(), "")</f>
        <v/>
      </c>
      <c r="S3730" s="78">
        <f>IF(AND(K3730&lt;&gt;"", R3730&lt;&gt;""), R3730-K3730, "")</f>
        <v/>
      </c>
      <c r="T3730" s="78" t="n"/>
      <c r="U3730" s="92">
        <f>IF(ISBLANK(P3730),"",IF(C3730="Buy",Q3730-M3730+T3730, IF(C3730="Sell",M3730-Q3730-T3730, X)))</f>
        <v/>
      </c>
      <c r="V3730" s="81">
        <f>IF(ISBLANK(P3730),"",U3730/N3730)</f>
        <v/>
      </c>
      <c r="W3730" s="81">
        <f>IF(ISBLANK(P3730),"",IF(S3730=0,(365/0.5)*V3730,(365/S3730)*V3730))</f>
        <v/>
      </c>
      <c r="X3730" s="75" t="n"/>
      <c r="Y3730" s="77" t="n"/>
      <c r="Z3730" s="77" t="n"/>
      <c r="AA3730" s="75" t="n"/>
      <c r="AB3730" s="75" t="n"/>
      <c r="AC3730" s="6" t="n"/>
      <c r="AD3730" s="75" t="n"/>
      <c r="AE3730" s="75" t="n"/>
      <c r="AF3730" s="75" t="n"/>
    </row>
    <row r="3731" ht="15.75" customHeight="1" s="133">
      <c r="A3731" s="75" t="n"/>
      <c r="B3731" s="75" t="n"/>
      <c r="C3731" s="75" t="n"/>
      <c r="D3731" s="75" t="n"/>
      <c r="E3731" s="76" t="n"/>
      <c r="F3731" s="77" t="n"/>
      <c r="G3731" s="75" t="n"/>
      <c r="H3731" s="75">
        <f>IF(ISBLANK(E3731),"",IF(OR(D3731="Butterfly",D3731="Butterfly ",D3731="Iron Fly", D3731="Iron Fly "),LEN(E3731)-LEN(SUBSTITUTE(E3731,"/",""))+2,LEN(E3731)-LEN(SUBSTITUTE(E3731,"/",""))+1))</f>
        <v/>
      </c>
      <c r="I3731" s="78">
        <f>IF(ISBLANK(G3731),"",IF(D3731="Stock","0",Key!$A$3*H3731*G3731))</f>
        <v/>
      </c>
      <c r="J3731" s="78">
        <f>IF(ISBLANK(E3731),"",IF(ISNUMBER(SEARCH("/",E3731)), IF(LEN(E3731)-LEN(SUBSTITUTE(E3731,"/",""))=1,(RIGHT(E3731,LEN(E3731)-FIND("/",E3731)))-(LEFT(E3731,FIND("/",E3731)-1)),(MID(E3731, SEARCH("/",E3731) + 1, SEARCH("/",E3731, SEARCH("/",E3731)+1) - SEARCH("/",E3731) - 1))-(LEFT(E3731,FIND("/",E3731)-1))), "NA"))</f>
        <v/>
      </c>
      <c r="K3731" s="79">
        <f>IF(A3731&lt;&gt;"", IF(ISBLANK(L3731), TODAY(), K3731), "")</f>
        <v/>
      </c>
      <c r="L3731" s="78" t="n"/>
      <c r="M3731" s="78">
        <f>IF(ISBLANK(L3731),"",IF(D3731="Stock",IF(C3731="Buy",L3731*G3731,IF(C3731="Sell",(L3731*G3731)-I3731, X)),IF(C3731="Buy",(L3731*G3731*100)+I3731,IF(C3731="Sell",(L3731*G3731*100)-I3731, X))))</f>
        <v/>
      </c>
      <c r="N3731" s="78">
        <f>IF(ISBLANK(L3731),"",IF(AND(C3731="Sell",D3731="Stock"),M3731,IF(ISBLANK(L3731),"",IF(C3731="Buy",M3731, IF(AND(C3731="Sell",J3731="NA"),(E3731*G3731*100*0.1)+I3731, IF(C3731="Sell",(J3731-L3731)*(100*G3731)+I3731))))))</f>
        <v/>
      </c>
      <c r="O3731" s="75" t="n"/>
      <c r="P3731" s="75" t="n"/>
      <c r="Q3731" s="75">
        <f>IF(ISBLANK(P3731),"",IF(D3731="Stock",P3731*G3731,IF(P3731=0,"0",G3731*P3731*100-(G3731*$AF$14))))</f>
        <v/>
      </c>
      <c r="R3731" s="79">
        <f>IF(P3731&lt;&gt;"", TODAY(), "")</f>
        <v/>
      </c>
      <c r="S3731" s="78">
        <f>IF(AND(K3731&lt;&gt;"", R3731&lt;&gt;""), R3731-K3731, "")</f>
        <v/>
      </c>
      <c r="T3731" s="78" t="n"/>
      <c r="U3731" s="92">
        <f>IF(ISBLANK(P3731),"",IF(C3731="Buy",Q3731-M3731+T3731, IF(C3731="Sell",M3731-Q3731-T3731, X)))</f>
        <v/>
      </c>
      <c r="V3731" s="81">
        <f>IF(ISBLANK(P3731),"",U3731/N3731)</f>
        <v/>
      </c>
      <c r="W3731" s="81">
        <f>IF(ISBLANK(P3731),"",IF(S3731=0,(365/0.5)*V3731,(365/S3731)*V3731))</f>
        <v/>
      </c>
      <c r="X3731" s="75" t="n"/>
      <c r="Y3731" s="77" t="n"/>
      <c r="Z3731" s="77" t="n"/>
      <c r="AA3731" s="75" t="n"/>
      <c r="AB3731" s="75" t="n"/>
      <c r="AC3731" s="6" t="n"/>
      <c r="AD3731" s="75" t="n"/>
      <c r="AE3731" s="75" t="n"/>
      <c r="AF3731" s="75" t="n"/>
    </row>
    <row r="3732" ht="15.75" customHeight="1" s="133">
      <c r="A3732" s="75" t="n"/>
      <c r="B3732" s="75" t="n"/>
      <c r="C3732" s="75" t="n"/>
      <c r="D3732" s="75" t="n"/>
      <c r="E3732" s="76" t="n"/>
      <c r="F3732" s="77" t="n"/>
      <c r="G3732" s="75" t="n"/>
      <c r="H3732" s="75">
        <f>IF(ISBLANK(E3732),"",IF(OR(D3732="Butterfly",D3732="Butterfly ",D3732="Iron Fly", D3732="Iron Fly "),LEN(E3732)-LEN(SUBSTITUTE(E3732,"/",""))+2,LEN(E3732)-LEN(SUBSTITUTE(E3732,"/",""))+1))</f>
        <v/>
      </c>
      <c r="I3732" s="78">
        <f>IF(ISBLANK(G3732),"",IF(D3732="Stock","0",Key!$A$3*H3732*G3732))</f>
        <v/>
      </c>
      <c r="J3732" s="78">
        <f>IF(ISBLANK(E3732),"",IF(ISNUMBER(SEARCH("/",E3732)), IF(LEN(E3732)-LEN(SUBSTITUTE(E3732,"/",""))=1,(RIGHT(E3732,LEN(E3732)-FIND("/",E3732)))-(LEFT(E3732,FIND("/",E3732)-1)),(MID(E3732, SEARCH("/",E3732) + 1, SEARCH("/",E3732, SEARCH("/",E3732)+1) - SEARCH("/",E3732) - 1))-(LEFT(E3732,FIND("/",E3732)-1))), "NA"))</f>
        <v/>
      </c>
      <c r="K3732" s="79">
        <f>IF(A3732&lt;&gt;"", IF(ISBLANK(L3732), TODAY(), K3732), "")</f>
        <v/>
      </c>
      <c r="L3732" s="78" t="n"/>
      <c r="M3732" s="78">
        <f>IF(ISBLANK(L3732),"",IF(D3732="Stock",IF(C3732="Buy",L3732*G3732,IF(C3732="Sell",(L3732*G3732)-I3732, X)),IF(C3732="Buy",(L3732*G3732*100)+I3732,IF(C3732="Sell",(L3732*G3732*100)-I3732, X))))</f>
        <v/>
      </c>
      <c r="N3732" s="78">
        <f>IF(ISBLANK(L3732),"",IF(AND(C3732="Sell",D3732="Stock"),M3732,IF(ISBLANK(L3732),"",IF(C3732="Buy",M3732, IF(AND(C3732="Sell",J3732="NA"),(E3732*G3732*100*0.1)+I3732, IF(C3732="Sell",(J3732-L3732)*(100*G3732)+I3732))))))</f>
        <v/>
      </c>
      <c r="O3732" s="75" t="n"/>
      <c r="P3732" s="75" t="n"/>
      <c r="Q3732" s="75">
        <f>IF(ISBLANK(P3732),"",IF(D3732="Stock",P3732*G3732,IF(P3732=0,"0",G3732*P3732*100-(G3732*$AF$14))))</f>
        <v/>
      </c>
      <c r="R3732" s="79">
        <f>IF(P3732&lt;&gt;"", TODAY(), "")</f>
        <v/>
      </c>
      <c r="S3732" s="78">
        <f>IF(AND(K3732&lt;&gt;"", R3732&lt;&gt;""), R3732-K3732, "")</f>
        <v/>
      </c>
      <c r="T3732" s="78" t="n"/>
      <c r="U3732" s="92">
        <f>IF(ISBLANK(P3732),"",IF(C3732="Buy",Q3732-M3732+T3732, IF(C3732="Sell",M3732-Q3732-T3732, X)))</f>
        <v/>
      </c>
      <c r="V3732" s="81">
        <f>IF(ISBLANK(P3732),"",U3732/N3732)</f>
        <v/>
      </c>
      <c r="W3732" s="81">
        <f>IF(ISBLANK(P3732),"",IF(S3732=0,(365/0.5)*V3732,(365/S3732)*V3732))</f>
        <v/>
      </c>
      <c r="X3732" s="75" t="n"/>
      <c r="Y3732" s="77" t="n"/>
      <c r="Z3732" s="77" t="n"/>
      <c r="AA3732" s="75" t="n"/>
      <c r="AB3732" s="75" t="n"/>
      <c r="AC3732" s="6" t="n"/>
      <c r="AD3732" s="75" t="n"/>
      <c r="AE3732" s="75" t="n"/>
      <c r="AF3732" s="75" t="n"/>
    </row>
    <row r="3733" ht="15.75" customHeight="1" s="133">
      <c r="A3733" s="75" t="n"/>
      <c r="B3733" s="75" t="n"/>
      <c r="C3733" s="75" t="n"/>
      <c r="D3733" s="75" t="n"/>
      <c r="E3733" s="76" t="n"/>
      <c r="F3733" s="77" t="n"/>
      <c r="G3733" s="75" t="n"/>
      <c r="H3733" s="75">
        <f>IF(ISBLANK(E3733),"",IF(OR(D3733="Butterfly",D3733="Butterfly ",D3733="Iron Fly", D3733="Iron Fly "),LEN(E3733)-LEN(SUBSTITUTE(E3733,"/",""))+2,LEN(E3733)-LEN(SUBSTITUTE(E3733,"/",""))+1))</f>
        <v/>
      </c>
      <c r="I3733" s="78">
        <f>IF(ISBLANK(G3733),"",IF(D3733="Stock","0",Key!$A$3*H3733*G3733))</f>
        <v/>
      </c>
      <c r="J3733" s="78">
        <f>IF(ISBLANK(E3733),"",IF(ISNUMBER(SEARCH("/",E3733)), IF(LEN(E3733)-LEN(SUBSTITUTE(E3733,"/",""))=1,(RIGHT(E3733,LEN(E3733)-FIND("/",E3733)))-(LEFT(E3733,FIND("/",E3733)-1)),(MID(E3733, SEARCH("/",E3733) + 1, SEARCH("/",E3733, SEARCH("/",E3733)+1) - SEARCH("/",E3733) - 1))-(LEFT(E3733,FIND("/",E3733)-1))), "NA"))</f>
        <v/>
      </c>
      <c r="K3733" s="79">
        <f>IF(A3733&lt;&gt;"", IF(ISBLANK(L3733), TODAY(), K3733), "")</f>
        <v/>
      </c>
      <c r="L3733" s="78" t="n"/>
      <c r="M3733" s="78">
        <f>IF(ISBLANK(L3733),"",IF(D3733="Stock",IF(C3733="Buy",L3733*G3733,IF(C3733="Sell",(L3733*G3733)-I3733, X)),IF(C3733="Buy",(L3733*G3733*100)+I3733,IF(C3733="Sell",(L3733*G3733*100)-I3733, X))))</f>
        <v/>
      </c>
      <c r="N3733" s="78">
        <f>IF(ISBLANK(L3733),"",IF(AND(C3733="Sell",D3733="Stock"),M3733,IF(ISBLANK(L3733),"",IF(C3733="Buy",M3733, IF(AND(C3733="Sell",J3733="NA"),(E3733*G3733*100*0.1)+I3733, IF(C3733="Sell",(J3733-L3733)*(100*G3733)+I3733))))))</f>
        <v/>
      </c>
      <c r="O3733" s="75" t="n"/>
      <c r="P3733" s="75" t="n"/>
      <c r="Q3733" s="75">
        <f>IF(ISBLANK(P3733),"",IF(D3733="Stock",P3733*G3733,IF(P3733=0,"0",G3733*P3733*100-(G3733*$AF$14))))</f>
        <v/>
      </c>
      <c r="R3733" s="79">
        <f>IF(P3733&lt;&gt;"", TODAY(), "")</f>
        <v/>
      </c>
      <c r="S3733" s="78">
        <f>IF(AND(K3733&lt;&gt;"", R3733&lt;&gt;""), R3733-K3733, "")</f>
        <v/>
      </c>
      <c r="T3733" s="78" t="n"/>
      <c r="U3733" s="92">
        <f>IF(ISBLANK(P3733),"",IF(C3733="Buy",Q3733-M3733+T3733, IF(C3733="Sell",M3733-Q3733-T3733, X)))</f>
        <v/>
      </c>
      <c r="V3733" s="81">
        <f>IF(ISBLANK(P3733),"",U3733/N3733)</f>
        <v/>
      </c>
      <c r="W3733" s="81">
        <f>IF(ISBLANK(P3733),"",IF(S3733=0,(365/0.5)*V3733,(365/S3733)*V3733))</f>
        <v/>
      </c>
      <c r="X3733" s="75" t="n"/>
      <c r="Y3733" s="77" t="n"/>
      <c r="Z3733" s="77" t="n"/>
      <c r="AA3733" s="75" t="n"/>
      <c r="AB3733" s="75" t="n"/>
      <c r="AC3733" s="6" t="n"/>
      <c r="AD3733" s="75" t="n"/>
      <c r="AE3733" s="75" t="n"/>
      <c r="AF3733" s="75" t="n"/>
    </row>
    <row r="3734" ht="15.75" customHeight="1" s="133">
      <c r="A3734" s="75" t="n"/>
      <c r="B3734" s="75" t="n"/>
      <c r="C3734" s="75" t="n"/>
      <c r="D3734" s="75" t="n"/>
      <c r="E3734" s="76" t="n"/>
      <c r="F3734" s="77" t="n"/>
      <c r="G3734" s="75" t="n"/>
      <c r="H3734" s="75">
        <f>IF(ISBLANK(E3734),"",IF(OR(D3734="Butterfly",D3734="Butterfly ",D3734="Iron Fly", D3734="Iron Fly "),LEN(E3734)-LEN(SUBSTITUTE(E3734,"/",""))+2,LEN(E3734)-LEN(SUBSTITUTE(E3734,"/",""))+1))</f>
        <v/>
      </c>
      <c r="I3734" s="78">
        <f>IF(ISBLANK(G3734),"",IF(D3734="Stock","0",Key!$A$3*H3734*G3734))</f>
        <v/>
      </c>
      <c r="J3734" s="78">
        <f>IF(ISBLANK(E3734),"",IF(ISNUMBER(SEARCH("/",E3734)), IF(LEN(E3734)-LEN(SUBSTITUTE(E3734,"/",""))=1,(RIGHT(E3734,LEN(E3734)-FIND("/",E3734)))-(LEFT(E3734,FIND("/",E3734)-1)),(MID(E3734, SEARCH("/",E3734) + 1, SEARCH("/",E3734, SEARCH("/",E3734)+1) - SEARCH("/",E3734) - 1))-(LEFT(E3734,FIND("/",E3734)-1))), "NA"))</f>
        <v/>
      </c>
      <c r="K3734" s="79">
        <f>IF(A3734&lt;&gt;"", IF(ISBLANK(L3734), TODAY(), K3734), "")</f>
        <v/>
      </c>
      <c r="L3734" s="78" t="n"/>
      <c r="M3734" s="78">
        <f>IF(ISBLANK(L3734),"",IF(D3734="Stock",IF(C3734="Buy",L3734*G3734,IF(C3734="Sell",(L3734*G3734)-I3734, X)),IF(C3734="Buy",(L3734*G3734*100)+I3734,IF(C3734="Sell",(L3734*G3734*100)-I3734, X))))</f>
        <v/>
      </c>
      <c r="N3734" s="78">
        <f>IF(ISBLANK(L3734),"",IF(AND(C3734="Sell",D3734="Stock"),M3734,IF(ISBLANK(L3734),"",IF(C3734="Buy",M3734, IF(AND(C3734="Sell",J3734="NA"),(E3734*G3734*100*0.1)+I3734, IF(C3734="Sell",(J3734-L3734)*(100*G3734)+I3734))))))</f>
        <v/>
      </c>
      <c r="O3734" s="75" t="n"/>
      <c r="P3734" s="75" t="n"/>
      <c r="Q3734" s="75">
        <f>IF(ISBLANK(P3734),"",IF(D3734="Stock",P3734*G3734,IF(P3734=0,"0",G3734*P3734*100-(G3734*$AF$14))))</f>
        <v/>
      </c>
      <c r="R3734" s="79">
        <f>IF(P3734&lt;&gt;"", TODAY(), "")</f>
        <v/>
      </c>
      <c r="S3734" s="78">
        <f>IF(AND(K3734&lt;&gt;"", R3734&lt;&gt;""), R3734-K3734, "")</f>
        <v/>
      </c>
      <c r="T3734" s="78" t="n"/>
      <c r="U3734" s="92">
        <f>IF(ISBLANK(P3734),"",IF(C3734="Buy",Q3734-M3734+T3734, IF(C3734="Sell",M3734-Q3734-T3734, X)))</f>
        <v/>
      </c>
      <c r="V3734" s="81">
        <f>IF(ISBLANK(P3734),"",U3734/N3734)</f>
        <v/>
      </c>
      <c r="W3734" s="81">
        <f>IF(ISBLANK(P3734),"",IF(S3734=0,(365/0.5)*V3734,(365/S3734)*V3734))</f>
        <v/>
      </c>
      <c r="X3734" s="75" t="n"/>
      <c r="Y3734" s="77" t="n"/>
      <c r="Z3734" s="77" t="n"/>
      <c r="AA3734" s="75" t="n"/>
      <c r="AB3734" s="75" t="n"/>
      <c r="AC3734" s="6" t="n"/>
      <c r="AD3734" s="75" t="n"/>
      <c r="AE3734" s="75" t="n"/>
      <c r="AF3734" s="75" t="n"/>
    </row>
    <row r="3735" ht="15.75" customHeight="1" s="133">
      <c r="A3735" s="75" t="n"/>
      <c r="B3735" s="75" t="n"/>
      <c r="C3735" s="75" t="n"/>
      <c r="D3735" s="75" t="n"/>
      <c r="E3735" s="76" t="n"/>
      <c r="F3735" s="77" t="n"/>
      <c r="G3735" s="75" t="n"/>
      <c r="H3735" s="75">
        <f>IF(ISBLANK(E3735),"",IF(OR(D3735="Butterfly",D3735="Butterfly ",D3735="Iron Fly", D3735="Iron Fly "),LEN(E3735)-LEN(SUBSTITUTE(E3735,"/",""))+2,LEN(E3735)-LEN(SUBSTITUTE(E3735,"/",""))+1))</f>
        <v/>
      </c>
      <c r="I3735" s="78">
        <f>IF(ISBLANK(G3735),"",IF(D3735="Stock","0",Key!$A$3*H3735*G3735))</f>
        <v/>
      </c>
      <c r="J3735" s="78">
        <f>IF(ISBLANK(E3735),"",IF(ISNUMBER(SEARCH("/",E3735)), IF(LEN(E3735)-LEN(SUBSTITUTE(E3735,"/",""))=1,(RIGHT(E3735,LEN(E3735)-FIND("/",E3735)))-(LEFT(E3735,FIND("/",E3735)-1)),(MID(E3735, SEARCH("/",E3735) + 1, SEARCH("/",E3735, SEARCH("/",E3735)+1) - SEARCH("/",E3735) - 1))-(LEFT(E3735,FIND("/",E3735)-1))), "NA"))</f>
        <v/>
      </c>
      <c r="K3735" s="79">
        <f>IF(A3735&lt;&gt;"", IF(ISBLANK(L3735), TODAY(), K3735), "")</f>
        <v/>
      </c>
      <c r="L3735" s="78" t="n"/>
      <c r="M3735" s="78">
        <f>IF(ISBLANK(L3735),"",IF(D3735="Stock",IF(C3735="Buy",L3735*G3735,IF(C3735="Sell",(L3735*G3735)-I3735, X)),IF(C3735="Buy",(L3735*G3735*100)+I3735,IF(C3735="Sell",(L3735*G3735*100)-I3735, X))))</f>
        <v/>
      </c>
      <c r="N3735" s="78">
        <f>IF(ISBLANK(L3735),"",IF(AND(C3735="Sell",D3735="Stock"),M3735,IF(ISBLANK(L3735),"",IF(C3735="Buy",M3735, IF(AND(C3735="Sell",J3735="NA"),(E3735*G3735*100*0.1)+I3735, IF(C3735="Sell",(J3735-L3735)*(100*G3735)+I3735))))))</f>
        <v/>
      </c>
      <c r="O3735" s="75" t="n"/>
      <c r="P3735" s="75" t="n"/>
      <c r="Q3735" s="75">
        <f>IF(ISBLANK(P3735),"",IF(D3735="Stock",P3735*G3735,IF(P3735=0,"0",G3735*P3735*100-(G3735*$AF$14))))</f>
        <v/>
      </c>
      <c r="R3735" s="79">
        <f>IF(P3735&lt;&gt;"", TODAY(), "")</f>
        <v/>
      </c>
      <c r="S3735" s="78">
        <f>IF(AND(K3735&lt;&gt;"", R3735&lt;&gt;""), R3735-K3735, "")</f>
        <v/>
      </c>
      <c r="T3735" s="78" t="n"/>
      <c r="U3735" s="92">
        <f>IF(ISBLANK(P3735),"",IF(C3735="Buy",Q3735-M3735+T3735, IF(C3735="Sell",M3735-Q3735-T3735, X)))</f>
        <v/>
      </c>
      <c r="V3735" s="81">
        <f>IF(ISBLANK(P3735),"",U3735/N3735)</f>
        <v/>
      </c>
      <c r="W3735" s="81">
        <f>IF(ISBLANK(P3735),"",IF(S3735=0,(365/0.5)*V3735,(365/S3735)*V3735))</f>
        <v/>
      </c>
      <c r="X3735" s="75" t="n"/>
      <c r="Y3735" s="77" t="n"/>
      <c r="Z3735" s="77" t="n"/>
      <c r="AA3735" s="75" t="n"/>
      <c r="AB3735" s="75" t="n"/>
      <c r="AC3735" s="6" t="n"/>
      <c r="AD3735" s="75" t="n"/>
      <c r="AE3735" s="75" t="n"/>
      <c r="AF3735" s="75" t="n"/>
    </row>
    <row r="3736" ht="15.75" customHeight="1" s="133">
      <c r="A3736" s="75" t="n"/>
      <c r="B3736" s="75" t="n"/>
      <c r="C3736" s="75" t="n"/>
      <c r="D3736" s="75" t="n"/>
      <c r="E3736" s="76" t="n"/>
      <c r="F3736" s="77" t="n"/>
      <c r="G3736" s="75" t="n"/>
      <c r="H3736" s="75">
        <f>IF(ISBLANK(E3736),"",IF(OR(D3736="Butterfly",D3736="Butterfly ",D3736="Iron Fly", D3736="Iron Fly "),LEN(E3736)-LEN(SUBSTITUTE(E3736,"/",""))+2,LEN(E3736)-LEN(SUBSTITUTE(E3736,"/",""))+1))</f>
        <v/>
      </c>
      <c r="I3736" s="78">
        <f>IF(ISBLANK(G3736),"",IF(D3736="Stock","0",Key!$A$3*H3736*G3736))</f>
        <v/>
      </c>
      <c r="J3736" s="78">
        <f>IF(ISBLANK(E3736),"",IF(ISNUMBER(SEARCH("/",E3736)), IF(LEN(E3736)-LEN(SUBSTITUTE(E3736,"/",""))=1,(RIGHT(E3736,LEN(E3736)-FIND("/",E3736)))-(LEFT(E3736,FIND("/",E3736)-1)),(MID(E3736, SEARCH("/",E3736) + 1, SEARCH("/",E3736, SEARCH("/",E3736)+1) - SEARCH("/",E3736) - 1))-(LEFT(E3736,FIND("/",E3736)-1))), "NA"))</f>
        <v/>
      </c>
      <c r="K3736" s="79">
        <f>IF(A3736&lt;&gt;"", IF(ISBLANK(L3736), TODAY(), K3736), "")</f>
        <v/>
      </c>
      <c r="L3736" s="78" t="n"/>
      <c r="M3736" s="78">
        <f>IF(ISBLANK(L3736),"",IF(D3736="Stock",IF(C3736="Buy",L3736*G3736,IF(C3736="Sell",(L3736*G3736)-I3736, X)),IF(C3736="Buy",(L3736*G3736*100)+I3736,IF(C3736="Sell",(L3736*G3736*100)-I3736, X))))</f>
        <v/>
      </c>
      <c r="N3736" s="78">
        <f>IF(ISBLANK(L3736),"",IF(AND(C3736="Sell",D3736="Stock"),M3736,IF(ISBLANK(L3736),"",IF(C3736="Buy",M3736, IF(AND(C3736="Sell",J3736="NA"),(E3736*G3736*100*0.1)+I3736, IF(C3736="Sell",(J3736-L3736)*(100*G3736)+I3736))))))</f>
        <v/>
      </c>
      <c r="O3736" s="75" t="n"/>
      <c r="P3736" s="75" t="n"/>
      <c r="Q3736" s="75">
        <f>IF(ISBLANK(P3736),"",IF(D3736="Stock",P3736*G3736,IF(P3736=0,"0",G3736*P3736*100-(G3736*$AF$14))))</f>
        <v/>
      </c>
      <c r="R3736" s="79">
        <f>IF(P3736&lt;&gt;"", TODAY(), "")</f>
        <v/>
      </c>
      <c r="S3736" s="78">
        <f>IF(AND(K3736&lt;&gt;"", R3736&lt;&gt;""), R3736-K3736, "")</f>
        <v/>
      </c>
      <c r="T3736" s="78" t="n"/>
      <c r="U3736" s="92">
        <f>IF(ISBLANK(P3736),"",IF(C3736="Buy",Q3736-M3736+T3736, IF(C3736="Sell",M3736-Q3736-T3736, X)))</f>
        <v/>
      </c>
      <c r="V3736" s="81">
        <f>IF(ISBLANK(P3736),"",U3736/N3736)</f>
        <v/>
      </c>
      <c r="W3736" s="81">
        <f>IF(ISBLANK(P3736),"",IF(S3736=0,(365/0.5)*V3736,(365/S3736)*V3736))</f>
        <v/>
      </c>
      <c r="X3736" s="75" t="n"/>
      <c r="Y3736" s="77" t="n"/>
      <c r="Z3736" s="77" t="n"/>
      <c r="AA3736" s="75" t="n"/>
      <c r="AB3736" s="75" t="n"/>
      <c r="AC3736" s="6" t="n"/>
      <c r="AD3736" s="75" t="n"/>
      <c r="AE3736" s="75" t="n"/>
      <c r="AF3736" s="75" t="n"/>
    </row>
    <row r="3737" ht="15.75" customHeight="1" s="133">
      <c r="A3737" s="75" t="n"/>
      <c r="B3737" s="75" t="n"/>
      <c r="C3737" s="75" t="n"/>
      <c r="D3737" s="75" t="n"/>
      <c r="E3737" s="76" t="n"/>
      <c r="F3737" s="77" t="n"/>
      <c r="G3737" s="75" t="n"/>
      <c r="H3737" s="75">
        <f>IF(ISBLANK(E3737),"",IF(OR(D3737="Butterfly",D3737="Butterfly ",D3737="Iron Fly", D3737="Iron Fly "),LEN(E3737)-LEN(SUBSTITUTE(E3737,"/",""))+2,LEN(E3737)-LEN(SUBSTITUTE(E3737,"/",""))+1))</f>
        <v/>
      </c>
      <c r="I3737" s="78">
        <f>IF(ISBLANK(G3737),"",IF(D3737="Stock","0",Key!$A$3*H3737*G3737))</f>
        <v/>
      </c>
      <c r="J3737" s="78">
        <f>IF(ISBLANK(E3737),"",IF(ISNUMBER(SEARCH("/",E3737)), IF(LEN(E3737)-LEN(SUBSTITUTE(E3737,"/",""))=1,(RIGHT(E3737,LEN(E3737)-FIND("/",E3737)))-(LEFT(E3737,FIND("/",E3737)-1)),(MID(E3737, SEARCH("/",E3737) + 1, SEARCH("/",E3737, SEARCH("/",E3737)+1) - SEARCH("/",E3737) - 1))-(LEFT(E3737,FIND("/",E3737)-1))), "NA"))</f>
        <v/>
      </c>
      <c r="K3737" s="79">
        <f>IF(A3737&lt;&gt;"", IF(ISBLANK(L3737), TODAY(), K3737), "")</f>
        <v/>
      </c>
      <c r="L3737" s="78" t="n"/>
      <c r="M3737" s="78">
        <f>IF(ISBLANK(L3737),"",IF(D3737="Stock",IF(C3737="Buy",L3737*G3737,IF(C3737="Sell",(L3737*G3737)-I3737, X)),IF(C3737="Buy",(L3737*G3737*100)+I3737,IF(C3737="Sell",(L3737*G3737*100)-I3737, X))))</f>
        <v/>
      </c>
      <c r="N3737" s="78">
        <f>IF(ISBLANK(L3737),"",IF(AND(C3737="Sell",D3737="Stock"),M3737,IF(ISBLANK(L3737),"",IF(C3737="Buy",M3737, IF(AND(C3737="Sell",J3737="NA"),(E3737*G3737*100*0.1)+I3737, IF(C3737="Sell",(J3737-L3737)*(100*G3737)+I3737))))))</f>
        <v/>
      </c>
      <c r="O3737" s="75" t="n"/>
      <c r="P3737" s="75" t="n"/>
      <c r="Q3737" s="75">
        <f>IF(ISBLANK(P3737),"",IF(D3737="Stock",P3737*G3737,IF(P3737=0,"0",G3737*P3737*100-(G3737*$AF$14))))</f>
        <v/>
      </c>
      <c r="R3737" s="79">
        <f>IF(P3737&lt;&gt;"", TODAY(), "")</f>
        <v/>
      </c>
      <c r="S3737" s="78">
        <f>IF(AND(K3737&lt;&gt;"", R3737&lt;&gt;""), R3737-K3737, "")</f>
        <v/>
      </c>
      <c r="T3737" s="78" t="n"/>
      <c r="U3737" s="92">
        <f>IF(ISBLANK(P3737),"",IF(C3737="Buy",Q3737-M3737+T3737, IF(C3737="Sell",M3737-Q3737-T3737, X)))</f>
        <v/>
      </c>
      <c r="V3737" s="81">
        <f>IF(ISBLANK(P3737),"",U3737/N3737)</f>
        <v/>
      </c>
      <c r="W3737" s="81">
        <f>IF(ISBLANK(P3737),"",IF(S3737=0,(365/0.5)*V3737,(365/S3737)*V3737))</f>
        <v/>
      </c>
      <c r="X3737" s="75" t="n"/>
      <c r="Y3737" s="77" t="n"/>
      <c r="Z3737" s="77" t="n"/>
      <c r="AA3737" s="75" t="n"/>
      <c r="AB3737" s="75" t="n"/>
      <c r="AC3737" s="6" t="n"/>
      <c r="AD3737" s="75" t="n"/>
      <c r="AE3737" s="75" t="n"/>
      <c r="AF3737" s="75" t="n"/>
    </row>
    <row r="3738" ht="15.75" customHeight="1" s="133">
      <c r="A3738" s="75" t="n"/>
      <c r="B3738" s="75" t="n"/>
      <c r="C3738" s="75" t="n"/>
      <c r="D3738" s="75" t="n"/>
      <c r="E3738" s="76" t="n"/>
      <c r="F3738" s="77" t="n"/>
      <c r="G3738" s="75" t="n"/>
      <c r="H3738" s="75">
        <f>IF(ISBLANK(E3738),"",IF(OR(D3738="Butterfly",D3738="Butterfly ",D3738="Iron Fly", D3738="Iron Fly "),LEN(E3738)-LEN(SUBSTITUTE(E3738,"/",""))+2,LEN(E3738)-LEN(SUBSTITUTE(E3738,"/",""))+1))</f>
        <v/>
      </c>
      <c r="I3738" s="78">
        <f>IF(ISBLANK(G3738),"",IF(D3738="Stock","0",Key!$A$3*H3738*G3738))</f>
        <v/>
      </c>
      <c r="J3738" s="78">
        <f>IF(ISBLANK(E3738),"",IF(ISNUMBER(SEARCH("/",E3738)), IF(LEN(E3738)-LEN(SUBSTITUTE(E3738,"/",""))=1,(RIGHT(E3738,LEN(E3738)-FIND("/",E3738)))-(LEFT(E3738,FIND("/",E3738)-1)),(MID(E3738, SEARCH("/",E3738) + 1, SEARCH("/",E3738, SEARCH("/",E3738)+1) - SEARCH("/",E3738) - 1))-(LEFT(E3738,FIND("/",E3738)-1))), "NA"))</f>
        <v/>
      </c>
      <c r="K3738" s="79">
        <f>IF(A3738&lt;&gt;"", IF(ISBLANK(L3738), TODAY(), K3738), "")</f>
        <v/>
      </c>
      <c r="L3738" s="78" t="n"/>
      <c r="M3738" s="78">
        <f>IF(ISBLANK(L3738),"",IF(D3738="Stock",IF(C3738="Buy",L3738*G3738,IF(C3738="Sell",(L3738*G3738)-I3738, X)),IF(C3738="Buy",(L3738*G3738*100)+I3738,IF(C3738="Sell",(L3738*G3738*100)-I3738, X))))</f>
        <v/>
      </c>
      <c r="N3738" s="78">
        <f>IF(ISBLANK(L3738),"",IF(AND(C3738="Sell",D3738="Stock"),M3738,IF(ISBLANK(L3738),"",IF(C3738="Buy",M3738, IF(AND(C3738="Sell",J3738="NA"),(E3738*G3738*100*0.1)+I3738, IF(C3738="Sell",(J3738-L3738)*(100*G3738)+I3738))))))</f>
        <v/>
      </c>
      <c r="O3738" s="75" t="n"/>
      <c r="P3738" s="75" t="n"/>
      <c r="Q3738" s="75">
        <f>IF(ISBLANK(P3738),"",IF(D3738="Stock",P3738*G3738,IF(P3738=0,"0",G3738*P3738*100-(G3738*$AF$14))))</f>
        <v/>
      </c>
      <c r="R3738" s="79">
        <f>IF(P3738&lt;&gt;"", TODAY(), "")</f>
        <v/>
      </c>
      <c r="S3738" s="78">
        <f>IF(AND(K3738&lt;&gt;"", R3738&lt;&gt;""), R3738-K3738, "")</f>
        <v/>
      </c>
      <c r="T3738" s="78" t="n"/>
      <c r="U3738" s="92">
        <f>IF(ISBLANK(P3738),"",IF(C3738="Buy",Q3738-M3738+T3738, IF(C3738="Sell",M3738-Q3738-T3738, X)))</f>
        <v/>
      </c>
      <c r="V3738" s="81">
        <f>IF(ISBLANK(P3738),"",U3738/N3738)</f>
        <v/>
      </c>
      <c r="W3738" s="81">
        <f>IF(ISBLANK(P3738),"",IF(S3738=0,(365/0.5)*V3738,(365/S3738)*V3738))</f>
        <v/>
      </c>
      <c r="X3738" s="75" t="n"/>
      <c r="Y3738" s="77" t="n"/>
      <c r="Z3738" s="77" t="n"/>
      <c r="AA3738" s="75" t="n"/>
      <c r="AB3738" s="75" t="n"/>
      <c r="AC3738" s="6" t="n"/>
      <c r="AD3738" s="75" t="n"/>
      <c r="AE3738" s="75" t="n"/>
      <c r="AF3738" s="75" t="n"/>
    </row>
    <row r="3739" ht="15.75" customHeight="1" s="133">
      <c r="A3739" s="75" t="n"/>
      <c r="B3739" s="75" t="n"/>
      <c r="C3739" s="75" t="n"/>
      <c r="D3739" s="75" t="n"/>
      <c r="E3739" s="76" t="n"/>
      <c r="F3739" s="77" t="n"/>
      <c r="G3739" s="75" t="n"/>
      <c r="H3739" s="75">
        <f>IF(ISBLANK(E3739),"",IF(OR(D3739="Butterfly",D3739="Butterfly ",D3739="Iron Fly", D3739="Iron Fly "),LEN(E3739)-LEN(SUBSTITUTE(E3739,"/",""))+2,LEN(E3739)-LEN(SUBSTITUTE(E3739,"/",""))+1))</f>
        <v/>
      </c>
      <c r="I3739" s="78">
        <f>IF(ISBLANK(G3739),"",IF(D3739="Stock","0",Key!$A$3*H3739*G3739))</f>
        <v/>
      </c>
      <c r="J3739" s="78">
        <f>IF(ISBLANK(E3739),"",IF(ISNUMBER(SEARCH("/",E3739)), IF(LEN(E3739)-LEN(SUBSTITUTE(E3739,"/",""))=1,(RIGHT(E3739,LEN(E3739)-FIND("/",E3739)))-(LEFT(E3739,FIND("/",E3739)-1)),(MID(E3739, SEARCH("/",E3739) + 1, SEARCH("/",E3739, SEARCH("/",E3739)+1) - SEARCH("/",E3739) - 1))-(LEFT(E3739,FIND("/",E3739)-1))), "NA"))</f>
        <v/>
      </c>
      <c r="K3739" s="79">
        <f>IF(A3739&lt;&gt;"", IF(ISBLANK(L3739), TODAY(), K3739), "")</f>
        <v/>
      </c>
      <c r="L3739" s="78" t="n"/>
      <c r="M3739" s="78">
        <f>IF(ISBLANK(L3739),"",IF(D3739="Stock",IF(C3739="Buy",L3739*G3739,IF(C3739="Sell",(L3739*G3739)-I3739, X)),IF(C3739="Buy",(L3739*G3739*100)+I3739,IF(C3739="Sell",(L3739*G3739*100)-I3739, X))))</f>
        <v/>
      </c>
      <c r="N3739" s="78">
        <f>IF(ISBLANK(L3739),"",IF(AND(C3739="Sell",D3739="Stock"),M3739,IF(ISBLANK(L3739),"",IF(C3739="Buy",M3739, IF(AND(C3739="Sell",J3739="NA"),(E3739*G3739*100*0.1)+I3739, IF(C3739="Sell",(J3739-L3739)*(100*G3739)+I3739))))))</f>
        <v/>
      </c>
      <c r="O3739" s="75" t="n"/>
      <c r="P3739" s="75" t="n"/>
      <c r="Q3739" s="75">
        <f>IF(ISBLANK(P3739),"",IF(D3739="Stock",P3739*G3739,IF(P3739=0,"0",G3739*P3739*100-(G3739*$AF$14))))</f>
        <v/>
      </c>
      <c r="R3739" s="79">
        <f>IF(P3739&lt;&gt;"", TODAY(), "")</f>
        <v/>
      </c>
      <c r="S3739" s="78">
        <f>IF(AND(K3739&lt;&gt;"", R3739&lt;&gt;""), R3739-K3739, "")</f>
        <v/>
      </c>
      <c r="T3739" s="78" t="n"/>
      <c r="U3739" s="92">
        <f>IF(ISBLANK(P3739),"",IF(C3739="Buy",Q3739-M3739+T3739, IF(C3739="Sell",M3739-Q3739-T3739, X)))</f>
        <v/>
      </c>
      <c r="V3739" s="81">
        <f>IF(ISBLANK(P3739),"",U3739/N3739)</f>
        <v/>
      </c>
      <c r="W3739" s="81">
        <f>IF(ISBLANK(P3739),"",IF(S3739=0,(365/0.5)*V3739,(365/S3739)*V3739))</f>
        <v/>
      </c>
      <c r="X3739" s="75" t="n"/>
      <c r="Y3739" s="77" t="n"/>
      <c r="Z3739" s="77" t="n"/>
      <c r="AA3739" s="75" t="n"/>
      <c r="AB3739" s="75" t="n"/>
      <c r="AC3739" s="6" t="n"/>
      <c r="AD3739" s="75" t="n"/>
      <c r="AE3739" s="75" t="n"/>
      <c r="AF3739" s="75" t="n"/>
    </row>
    <row r="3740" ht="15.75" customHeight="1" s="133">
      <c r="A3740" s="75" t="n"/>
      <c r="B3740" s="75" t="n"/>
      <c r="C3740" s="75" t="n"/>
      <c r="D3740" s="75" t="n"/>
      <c r="E3740" s="76" t="n"/>
      <c r="F3740" s="77" t="n"/>
      <c r="G3740" s="75" t="n"/>
      <c r="H3740" s="75">
        <f>IF(ISBLANK(E3740),"",IF(OR(D3740="Butterfly",D3740="Butterfly ",D3740="Iron Fly", D3740="Iron Fly "),LEN(E3740)-LEN(SUBSTITUTE(E3740,"/",""))+2,LEN(E3740)-LEN(SUBSTITUTE(E3740,"/",""))+1))</f>
        <v/>
      </c>
      <c r="I3740" s="78">
        <f>IF(ISBLANK(G3740),"",IF(D3740="Stock","0",Key!$A$3*H3740*G3740))</f>
        <v/>
      </c>
      <c r="J3740" s="78">
        <f>IF(ISBLANK(E3740),"",IF(ISNUMBER(SEARCH("/",E3740)), IF(LEN(E3740)-LEN(SUBSTITUTE(E3740,"/",""))=1,(RIGHT(E3740,LEN(E3740)-FIND("/",E3740)))-(LEFT(E3740,FIND("/",E3740)-1)),(MID(E3740, SEARCH("/",E3740) + 1, SEARCH("/",E3740, SEARCH("/",E3740)+1) - SEARCH("/",E3740) - 1))-(LEFT(E3740,FIND("/",E3740)-1))), "NA"))</f>
        <v/>
      </c>
      <c r="K3740" s="79">
        <f>IF(A3740&lt;&gt;"", IF(ISBLANK(L3740), TODAY(), K3740), "")</f>
        <v/>
      </c>
      <c r="L3740" s="78" t="n"/>
      <c r="M3740" s="78">
        <f>IF(ISBLANK(L3740),"",IF(D3740="Stock",IF(C3740="Buy",L3740*G3740,IF(C3740="Sell",(L3740*G3740)-I3740, X)),IF(C3740="Buy",(L3740*G3740*100)+I3740,IF(C3740="Sell",(L3740*G3740*100)-I3740, X))))</f>
        <v/>
      </c>
      <c r="N3740" s="78">
        <f>IF(ISBLANK(L3740),"",IF(AND(C3740="Sell",D3740="Stock"),M3740,IF(ISBLANK(L3740),"",IF(C3740="Buy",M3740, IF(AND(C3740="Sell",J3740="NA"),(E3740*G3740*100*0.1)+I3740, IF(C3740="Sell",(J3740-L3740)*(100*G3740)+I3740))))))</f>
        <v/>
      </c>
      <c r="O3740" s="75" t="n"/>
      <c r="P3740" s="75" t="n"/>
      <c r="Q3740" s="75">
        <f>IF(ISBLANK(P3740),"",IF(D3740="Stock",P3740*G3740,IF(P3740=0,"0",G3740*P3740*100-(G3740*$AF$14))))</f>
        <v/>
      </c>
      <c r="R3740" s="79">
        <f>IF(P3740&lt;&gt;"", TODAY(), "")</f>
        <v/>
      </c>
      <c r="S3740" s="78">
        <f>IF(AND(K3740&lt;&gt;"", R3740&lt;&gt;""), R3740-K3740, "")</f>
        <v/>
      </c>
      <c r="T3740" s="78" t="n"/>
      <c r="U3740" s="92">
        <f>IF(ISBLANK(P3740),"",IF(C3740="Buy",Q3740-M3740+T3740, IF(C3740="Sell",M3740-Q3740-T3740, X)))</f>
        <v/>
      </c>
      <c r="V3740" s="81">
        <f>IF(ISBLANK(P3740),"",U3740/N3740)</f>
        <v/>
      </c>
      <c r="W3740" s="81">
        <f>IF(ISBLANK(P3740),"",IF(S3740=0,(365/0.5)*V3740,(365/S3740)*V3740))</f>
        <v/>
      </c>
      <c r="X3740" s="75" t="n"/>
      <c r="Y3740" s="77" t="n"/>
      <c r="Z3740" s="77" t="n"/>
      <c r="AA3740" s="75" t="n"/>
      <c r="AB3740" s="75" t="n"/>
      <c r="AC3740" s="6" t="n"/>
      <c r="AD3740" s="75" t="n"/>
      <c r="AE3740" s="75" t="n"/>
      <c r="AF3740" s="75" t="n"/>
    </row>
    <row r="3741" ht="15.75" customHeight="1" s="133">
      <c r="A3741" s="75" t="n"/>
      <c r="B3741" s="75" t="n"/>
      <c r="C3741" s="75" t="n"/>
      <c r="D3741" s="75" t="n"/>
      <c r="E3741" s="76" t="n"/>
      <c r="F3741" s="77" t="n"/>
      <c r="G3741" s="75" t="n"/>
      <c r="H3741" s="75">
        <f>IF(ISBLANK(E3741),"",IF(OR(D3741="Butterfly",D3741="Butterfly ",D3741="Iron Fly", D3741="Iron Fly "),LEN(E3741)-LEN(SUBSTITUTE(E3741,"/",""))+2,LEN(E3741)-LEN(SUBSTITUTE(E3741,"/",""))+1))</f>
        <v/>
      </c>
      <c r="I3741" s="78">
        <f>IF(ISBLANK(G3741),"",IF(D3741="Stock","0",Key!$A$3*H3741*G3741))</f>
        <v/>
      </c>
      <c r="J3741" s="78">
        <f>IF(ISBLANK(E3741),"",IF(ISNUMBER(SEARCH("/",E3741)), IF(LEN(E3741)-LEN(SUBSTITUTE(E3741,"/",""))=1,(RIGHT(E3741,LEN(E3741)-FIND("/",E3741)))-(LEFT(E3741,FIND("/",E3741)-1)),(MID(E3741, SEARCH("/",E3741) + 1, SEARCH("/",E3741, SEARCH("/",E3741)+1) - SEARCH("/",E3741) - 1))-(LEFT(E3741,FIND("/",E3741)-1))), "NA"))</f>
        <v/>
      </c>
      <c r="K3741" s="79">
        <f>IF(A3741&lt;&gt;"", IF(ISBLANK(L3741), TODAY(), K3741), "")</f>
        <v/>
      </c>
      <c r="L3741" s="78" t="n"/>
      <c r="M3741" s="78">
        <f>IF(ISBLANK(L3741),"",IF(D3741="Stock",IF(C3741="Buy",L3741*G3741,IF(C3741="Sell",(L3741*G3741)-I3741, X)),IF(C3741="Buy",(L3741*G3741*100)+I3741,IF(C3741="Sell",(L3741*G3741*100)-I3741, X))))</f>
        <v/>
      </c>
      <c r="N3741" s="78">
        <f>IF(ISBLANK(L3741),"",IF(AND(C3741="Sell",D3741="Stock"),M3741,IF(ISBLANK(L3741),"",IF(C3741="Buy",M3741, IF(AND(C3741="Sell",J3741="NA"),(E3741*G3741*100*0.1)+I3741, IF(C3741="Sell",(J3741-L3741)*(100*G3741)+I3741))))))</f>
        <v/>
      </c>
      <c r="O3741" s="75" t="n"/>
      <c r="P3741" s="75" t="n"/>
      <c r="Q3741" s="75">
        <f>IF(ISBLANK(P3741),"",IF(D3741="Stock",P3741*G3741,IF(P3741=0,"0",G3741*P3741*100-(G3741*$AF$14))))</f>
        <v/>
      </c>
      <c r="R3741" s="79">
        <f>IF(P3741&lt;&gt;"", TODAY(), "")</f>
        <v/>
      </c>
      <c r="S3741" s="78">
        <f>IF(AND(K3741&lt;&gt;"", R3741&lt;&gt;""), R3741-K3741, "")</f>
        <v/>
      </c>
      <c r="T3741" s="78" t="n"/>
      <c r="U3741" s="92">
        <f>IF(ISBLANK(P3741),"",IF(C3741="Buy",Q3741-M3741+T3741, IF(C3741="Sell",M3741-Q3741-T3741, X)))</f>
        <v/>
      </c>
      <c r="V3741" s="81">
        <f>IF(ISBLANK(P3741),"",U3741/N3741)</f>
        <v/>
      </c>
      <c r="W3741" s="81">
        <f>IF(ISBLANK(P3741),"",IF(S3741=0,(365/0.5)*V3741,(365/S3741)*V3741))</f>
        <v/>
      </c>
      <c r="X3741" s="75" t="n"/>
      <c r="Y3741" s="77" t="n"/>
      <c r="Z3741" s="77" t="n"/>
      <c r="AA3741" s="75" t="n"/>
      <c r="AB3741" s="75" t="n"/>
      <c r="AC3741" s="6" t="n"/>
      <c r="AD3741" s="75" t="n"/>
      <c r="AE3741" s="75" t="n"/>
      <c r="AF3741" s="75" t="n"/>
    </row>
    <row r="3742" ht="15.75" customHeight="1" s="133">
      <c r="A3742" s="75" t="n"/>
      <c r="B3742" s="75" t="n"/>
      <c r="C3742" s="75" t="n"/>
      <c r="D3742" s="75" t="n"/>
      <c r="E3742" s="76" t="n"/>
      <c r="F3742" s="77" t="n"/>
      <c r="G3742" s="75" t="n"/>
      <c r="H3742" s="75">
        <f>IF(ISBLANK(E3742),"",IF(OR(D3742="Butterfly",D3742="Butterfly ",D3742="Iron Fly", D3742="Iron Fly "),LEN(E3742)-LEN(SUBSTITUTE(E3742,"/",""))+2,LEN(E3742)-LEN(SUBSTITUTE(E3742,"/",""))+1))</f>
        <v/>
      </c>
      <c r="I3742" s="78">
        <f>IF(ISBLANK(G3742),"",IF(D3742="Stock","0",Key!$A$3*H3742*G3742))</f>
        <v/>
      </c>
      <c r="J3742" s="78">
        <f>IF(ISBLANK(E3742),"",IF(ISNUMBER(SEARCH("/",E3742)), IF(LEN(E3742)-LEN(SUBSTITUTE(E3742,"/",""))=1,(RIGHT(E3742,LEN(E3742)-FIND("/",E3742)))-(LEFT(E3742,FIND("/",E3742)-1)),(MID(E3742, SEARCH("/",E3742) + 1, SEARCH("/",E3742, SEARCH("/",E3742)+1) - SEARCH("/",E3742) - 1))-(LEFT(E3742,FIND("/",E3742)-1))), "NA"))</f>
        <v/>
      </c>
      <c r="K3742" s="79">
        <f>IF(A3742&lt;&gt;"", IF(ISBLANK(L3742), TODAY(), K3742), "")</f>
        <v/>
      </c>
      <c r="L3742" s="78" t="n"/>
      <c r="M3742" s="78">
        <f>IF(ISBLANK(L3742),"",IF(D3742="Stock",IF(C3742="Buy",L3742*G3742,IF(C3742="Sell",(L3742*G3742)-I3742, X)),IF(C3742="Buy",(L3742*G3742*100)+I3742,IF(C3742="Sell",(L3742*G3742*100)-I3742, X))))</f>
        <v/>
      </c>
      <c r="N3742" s="78">
        <f>IF(ISBLANK(L3742),"",IF(AND(C3742="Sell",D3742="Stock"),M3742,IF(ISBLANK(L3742),"",IF(C3742="Buy",M3742, IF(AND(C3742="Sell",J3742="NA"),(E3742*G3742*100*0.1)+I3742, IF(C3742="Sell",(J3742-L3742)*(100*G3742)+I3742))))))</f>
        <v/>
      </c>
      <c r="O3742" s="75" t="n"/>
      <c r="P3742" s="75" t="n"/>
      <c r="Q3742" s="75">
        <f>IF(ISBLANK(P3742),"",IF(D3742="Stock",P3742*G3742,IF(P3742=0,"0",G3742*P3742*100-(G3742*$AF$14))))</f>
        <v/>
      </c>
      <c r="R3742" s="79">
        <f>IF(P3742&lt;&gt;"", TODAY(), "")</f>
        <v/>
      </c>
      <c r="S3742" s="78">
        <f>IF(AND(K3742&lt;&gt;"", R3742&lt;&gt;""), R3742-K3742, "")</f>
        <v/>
      </c>
      <c r="T3742" s="78" t="n"/>
      <c r="U3742" s="92">
        <f>IF(ISBLANK(P3742),"",IF(C3742="Buy",Q3742-M3742+T3742, IF(C3742="Sell",M3742-Q3742-T3742, X)))</f>
        <v/>
      </c>
      <c r="V3742" s="81">
        <f>IF(ISBLANK(P3742),"",U3742/N3742)</f>
        <v/>
      </c>
      <c r="W3742" s="81">
        <f>IF(ISBLANK(P3742),"",IF(S3742=0,(365/0.5)*V3742,(365/S3742)*V3742))</f>
        <v/>
      </c>
      <c r="X3742" s="75" t="n"/>
      <c r="Y3742" s="77" t="n"/>
      <c r="Z3742" s="77" t="n"/>
      <c r="AA3742" s="75" t="n"/>
      <c r="AB3742" s="75" t="n"/>
      <c r="AC3742" s="6" t="n"/>
      <c r="AD3742" s="75" t="n"/>
      <c r="AE3742" s="75" t="n"/>
      <c r="AF3742" s="75" t="n"/>
    </row>
    <row r="3743" ht="15.75" customHeight="1" s="133">
      <c r="A3743" s="75" t="n"/>
      <c r="B3743" s="75" t="n"/>
      <c r="C3743" s="75" t="n"/>
      <c r="D3743" s="75" t="n"/>
      <c r="E3743" s="76" t="n"/>
      <c r="F3743" s="77" t="n"/>
      <c r="G3743" s="75" t="n"/>
      <c r="H3743" s="75">
        <f>IF(ISBLANK(E3743),"",IF(OR(D3743="Butterfly",D3743="Butterfly ",D3743="Iron Fly", D3743="Iron Fly "),LEN(E3743)-LEN(SUBSTITUTE(E3743,"/",""))+2,LEN(E3743)-LEN(SUBSTITUTE(E3743,"/",""))+1))</f>
        <v/>
      </c>
      <c r="I3743" s="78">
        <f>IF(ISBLANK(G3743),"",IF(D3743="Stock","0",Key!$A$3*H3743*G3743))</f>
        <v/>
      </c>
      <c r="J3743" s="78">
        <f>IF(ISBLANK(E3743),"",IF(ISNUMBER(SEARCH("/",E3743)), IF(LEN(E3743)-LEN(SUBSTITUTE(E3743,"/",""))=1,(RIGHT(E3743,LEN(E3743)-FIND("/",E3743)))-(LEFT(E3743,FIND("/",E3743)-1)),(MID(E3743, SEARCH("/",E3743) + 1, SEARCH("/",E3743, SEARCH("/",E3743)+1) - SEARCH("/",E3743) - 1))-(LEFT(E3743,FIND("/",E3743)-1))), "NA"))</f>
        <v/>
      </c>
      <c r="K3743" s="79">
        <f>IF(A3743&lt;&gt;"", IF(ISBLANK(L3743), TODAY(), K3743), "")</f>
        <v/>
      </c>
      <c r="L3743" s="78" t="n"/>
      <c r="M3743" s="78">
        <f>IF(ISBLANK(L3743),"",IF(D3743="Stock",IF(C3743="Buy",L3743*G3743,IF(C3743="Sell",(L3743*G3743)-I3743, X)),IF(C3743="Buy",(L3743*G3743*100)+I3743,IF(C3743="Sell",(L3743*G3743*100)-I3743, X))))</f>
        <v/>
      </c>
      <c r="N3743" s="78">
        <f>IF(ISBLANK(L3743),"",IF(AND(C3743="Sell",D3743="Stock"),M3743,IF(ISBLANK(L3743),"",IF(C3743="Buy",M3743, IF(AND(C3743="Sell",J3743="NA"),(E3743*G3743*100*0.1)+I3743, IF(C3743="Sell",(J3743-L3743)*(100*G3743)+I3743))))))</f>
        <v/>
      </c>
      <c r="O3743" s="75" t="n"/>
      <c r="P3743" s="75" t="n"/>
      <c r="Q3743" s="75">
        <f>IF(ISBLANK(P3743),"",IF(D3743="Stock",P3743*G3743,IF(P3743=0,"0",G3743*P3743*100-(G3743*$AF$14))))</f>
        <v/>
      </c>
      <c r="R3743" s="79">
        <f>IF(P3743&lt;&gt;"", TODAY(), "")</f>
        <v/>
      </c>
      <c r="S3743" s="78">
        <f>IF(AND(K3743&lt;&gt;"", R3743&lt;&gt;""), R3743-K3743, "")</f>
        <v/>
      </c>
      <c r="T3743" s="78" t="n"/>
      <c r="U3743" s="92">
        <f>IF(ISBLANK(P3743),"",IF(C3743="Buy",Q3743-M3743+T3743, IF(C3743="Sell",M3743-Q3743-T3743, X)))</f>
        <v/>
      </c>
      <c r="V3743" s="81">
        <f>IF(ISBLANK(P3743),"",U3743/N3743)</f>
        <v/>
      </c>
      <c r="W3743" s="81">
        <f>IF(ISBLANK(P3743),"",IF(S3743=0,(365/0.5)*V3743,(365/S3743)*V3743))</f>
        <v/>
      </c>
      <c r="X3743" s="75" t="n"/>
      <c r="Y3743" s="77" t="n"/>
      <c r="Z3743" s="77" t="n"/>
      <c r="AA3743" s="75" t="n"/>
      <c r="AB3743" s="75" t="n"/>
      <c r="AC3743" s="6" t="n"/>
      <c r="AD3743" s="75" t="n"/>
      <c r="AE3743" s="75" t="n"/>
      <c r="AF3743" s="75" t="n"/>
    </row>
    <row r="3744" ht="15.75" customHeight="1" s="133">
      <c r="A3744" s="75" t="n"/>
      <c r="B3744" s="75" t="n"/>
      <c r="C3744" s="75" t="n"/>
      <c r="D3744" s="75" t="n"/>
      <c r="E3744" s="76" t="n"/>
      <c r="F3744" s="77" t="n"/>
      <c r="G3744" s="75" t="n"/>
      <c r="H3744" s="75">
        <f>IF(ISBLANK(E3744),"",IF(OR(D3744="Butterfly",D3744="Butterfly ",D3744="Iron Fly", D3744="Iron Fly "),LEN(E3744)-LEN(SUBSTITUTE(E3744,"/",""))+2,LEN(E3744)-LEN(SUBSTITUTE(E3744,"/",""))+1))</f>
        <v/>
      </c>
      <c r="I3744" s="78">
        <f>IF(ISBLANK(G3744),"",IF(D3744="Stock","0",Key!$A$3*H3744*G3744))</f>
        <v/>
      </c>
      <c r="J3744" s="78">
        <f>IF(ISBLANK(E3744),"",IF(ISNUMBER(SEARCH("/",E3744)), IF(LEN(E3744)-LEN(SUBSTITUTE(E3744,"/",""))=1,(RIGHT(E3744,LEN(E3744)-FIND("/",E3744)))-(LEFT(E3744,FIND("/",E3744)-1)),(MID(E3744, SEARCH("/",E3744) + 1, SEARCH("/",E3744, SEARCH("/",E3744)+1) - SEARCH("/",E3744) - 1))-(LEFT(E3744,FIND("/",E3744)-1))), "NA"))</f>
        <v/>
      </c>
      <c r="K3744" s="79">
        <f>IF(A3744&lt;&gt;"", IF(ISBLANK(L3744), TODAY(), K3744), "")</f>
        <v/>
      </c>
      <c r="L3744" s="78" t="n"/>
      <c r="M3744" s="78">
        <f>IF(ISBLANK(L3744),"",IF(D3744="Stock",IF(C3744="Buy",L3744*G3744,IF(C3744="Sell",(L3744*G3744)-I3744, X)),IF(C3744="Buy",(L3744*G3744*100)+I3744,IF(C3744="Sell",(L3744*G3744*100)-I3744, X))))</f>
        <v/>
      </c>
      <c r="N3744" s="78">
        <f>IF(ISBLANK(L3744),"",IF(AND(C3744="Sell",D3744="Stock"),M3744,IF(ISBLANK(L3744),"",IF(C3744="Buy",M3744, IF(AND(C3744="Sell",J3744="NA"),(E3744*G3744*100*0.1)+I3744, IF(C3744="Sell",(J3744-L3744)*(100*G3744)+I3744))))))</f>
        <v/>
      </c>
      <c r="O3744" s="75" t="n"/>
      <c r="P3744" s="75" t="n"/>
      <c r="Q3744" s="75">
        <f>IF(ISBLANK(P3744),"",IF(D3744="Stock",P3744*G3744,IF(P3744=0,"0",G3744*P3744*100-(G3744*$AF$14))))</f>
        <v/>
      </c>
      <c r="R3744" s="79">
        <f>IF(P3744&lt;&gt;"", TODAY(), "")</f>
        <v/>
      </c>
      <c r="S3744" s="78">
        <f>IF(AND(K3744&lt;&gt;"", R3744&lt;&gt;""), R3744-K3744, "")</f>
        <v/>
      </c>
      <c r="T3744" s="78" t="n"/>
      <c r="U3744" s="92">
        <f>IF(ISBLANK(P3744),"",IF(C3744="Buy",Q3744-M3744+T3744, IF(C3744="Sell",M3744-Q3744-T3744, X)))</f>
        <v/>
      </c>
      <c r="V3744" s="81">
        <f>IF(ISBLANK(P3744),"",U3744/N3744)</f>
        <v/>
      </c>
      <c r="W3744" s="81">
        <f>IF(ISBLANK(P3744),"",IF(S3744=0,(365/0.5)*V3744,(365/S3744)*V3744))</f>
        <v/>
      </c>
      <c r="X3744" s="75" t="n"/>
      <c r="Y3744" s="77" t="n"/>
      <c r="Z3744" s="77" t="n"/>
      <c r="AA3744" s="75" t="n"/>
      <c r="AB3744" s="75" t="n"/>
      <c r="AC3744" s="6" t="n"/>
      <c r="AD3744" s="75" t="n"/>
      <c r="AE3744" s="75" t="n"/>
      <c r="AF3744" s="75" t="n"/>
    </row>
    <row r="3745" ht="15.75" customHeight="1" s="133">
      <c r="A3745" s="75" t="n"/>
      <c r="B3745" s="75" t="n"/>
      <c r="C3745" s="75" t="n"/>
      <c r="D3745" s="75" t="n"/>
      <c r="E3745" s="76" t="n"/>
      <c r="F3745" s="77" t="n"/>
      <c r="G3745" s="75" t="n"/>
      <c r="H3745" s="75">
        <f>IF(ISBLANK(E3745),"",IF(OR(D3745="Butterfly",D3745="Butterfly ",D3745="Iron Fly", D3745="Iron Fly "),LEN(E3745)-LEN(SUBSTITUTE(E3745,"/",""))+2,LEN(E3745)-LEN(SUBSTITUTE(E3745,"/",""))+1))</f>
        <v/>
      </c>
      <c r="I3745" s="78">
        <f>IF(ISBLANK(G3745),"",IF(D3745="Stock","0",Key!$A$3*H3745*G3745))</f>
        <v/>
      </c>
      <c r="J3745" s="78">
        <f>IF(ISBLANK(E3745),"",IF(ISNUMBER(SEARCH("/",E3745)), IF(LEN(E3745)-LEN(SUBSTITUTE(E3745,"/",""))=1,(RIGHT(E3745,LEN(E3745)-FIND("/",E3745)))-(LEFT(E3745,FIND("/",E3745)-1)),(MID(E3745, SEARCH("/",E3745) + 1, SEARCH("/",E3745, SEARCH("/",E3745)+1) - SEARCH("/",E3745) - 1))-(LEFT(E3745,FIND("/",E3745)-1))), "NA"))</f>
        <v/>
      </c>
      <c r="K3745" s="79">
        <f>IF(A3745&lt;&gt;"", IF(ISBLANK(L3745), TODAY(), K3745), "")</f>
        <v/>
      </c>
      <c r="L3745" s="78" t="n"/>
      <c r="M3745" s="78">
        <f>IF(ISBLANK(L3745),"",IF(D3745="Stock",IF(C3745="Buy",L3745*G3745,IF(C3745="Sell",(L3745*G3745)-I3745, X)),IF(C3745="Buy",(L3745*G3745*100)+I3745,IF(C3745="Sell",(L3745*G3745*100)-I3745, X))))</f>
        <v/>
      </c>
      <c r="N3745" s="78">
        <f>IF(ISBLANK(L3745),"",IF(AND(C3745="Sell",D3745="Stock"),M3745,IF(ISBLANK(L3745),"",IF(C3745="Buy",M3745, IF(AND(C3745="Sell",J3745="NA"),(E3745*G3745*100*0.1)+I3745, IF(C3745="Sell",(J3745-L3745)*(100*G3745)+I3745))))))</f>
        <v/>
      </c>
      <c r="O3745" s="75" t="n"/>
      <c r="P3745" s="75" t="n"/>
      <c r="Q3745" s="75">
        <f>IF(ISBLANK(P3745),"",IF(D3745="Stock",P3745*G3745,IF(P3745=0,"0",G3745*P3745*100-(G3745*$AF$14))))</f>
        <v/>
      </c>
      <c r="R3745" s="79">
        <f>IF(P3745&lt;&gt;"", TODAY(), "")</f>
        <v/>
      </c>
      <c r="S3745" s="78">
        <f>IF(AND(K3745&lt;&gt;"", R3745&lt;&gt;""), R3745-K3745, "")</f>
        <v/>
      </c>
      <c r="T3745" s="78" t="n"/>
      <c r="U3745" s="92">
        <f>IF(ISBLANK(P3745),"",IF(C3745="Buy",Q3745-M3745+T3745, IF(C3745="Sell",M3745-Q3745-T3745, X)))</f>
        <v/>
      </c>
      <c r="V3745" s="81">
        <f>IF(ISBLANK(P3745),"",U3745/N3745)</f>
        <v/>
      </c>
      <c r="W3745" s="81">
        <f>IF(ISBLANK(P3745),"",IF(S3745=0,(365/0.5)*V3745,(365/S3745)*V3745))</f>
        <v/>
      </c>
      <c r="X3745" s="75" t="n"/>
      <c r="Y3745" s="77" t="n"/>
      <c r="Z3745" s="77" t="n"/>
      <c r="AA3745" s="75" t="n"/>
      <c r="AB3745" s="75" t="n"/>
      <c r="AC3745" s="6" t="n"/>
      <c r="AD3745" s="75" t="n"/>
      <c r="AE3745" s="75" t="n"/>
      <c r="AF3745" s="75" t="n"/>
    </row>
    <row r="3746" ht="15.75" customHeight="1" s="133">
      <c r="A3746" s="75" t="n"/>
      <c r="B3746" s="75" t="n"/>
      <c r="C3746" s="75" t="n"/>
      <c r="D3746" s="75" t="n"/>
      <c r="E3746" s="76" t="n"/>
      <c r="F3746" s="77" t="n"/>
      <c r="G3746" s="75" t="n"/>
      <c r="H3746" s="75">
        <f>IF(ISBLANK(E3746),"",IF(OR(D3746="Butterfly",D3746="Butterfly ",D3746="Iron Fly", D3746="Iron Fly "),LEN(E3746)-LEN(SUBSTITUTE(E3746,"/",""))+2,LEN(E3746)-LEN(SUBSTITUTE(E3746,"/",""))+1))</f>
        <v/>
      </c>
      <c r="I3746" s="78">
        <f>IF(ISBLANK(G3746),"",IF(D3746="Stock","0",Key!$A$3*H3746*G3746))</f>
        <v/>
      </c>
      <c r="J3746" s="78">
        <f>IF(ISBLANK(E3746),"",IF(ISNUMBER(SEARCH("/",E3746)), IF(LEN(E3746)-LEN(SUBSTITUTE(E3746,"/",""))=1,(RIGHT(E3746,LEN(E3746)-FIND("/",E3746)))-(LEFT(E3746,FIND("/",E3746)-1)),(MID(E3746, SEARCH("/",E3746) + 1, SEARCH("/",E3746, SEARCH("/",E3746)+1) - SEARCH("/",E3746) - 1))-(LEFT(E3746,FIND("/",E3746)-1))), "NA"))</f>
        <v/>
      </c>
      <c r="K3746" s="79">
        <f>IF(A3746&lt;&gt;"", IF(ISBLANK(L3746), TODAY(), K3746), "")</f>
        <v/>
      </c>
      <c r="L3746" s="78" t="n"/>
      <c r="M3746" s="78">
        <f>IF(ISBLANK(L3746),"",IF(D3746="Stock",IF(C3746="Buy",L3746*G3746,IF(C3746="Sell",(L3746*G3746)-I3746, X)),IF(C3746="Buy",(L3746*G3746*100)+I3746,IF(C3746="Sell",(L3746*G3746*100)-I3746, X))))</f>
        <v/>
      </c>
      <c r="N3746" s="78">
        <f>IF(ISBLANK(L3746),"",IF(AND(C3746="Sell",D3746="Stock"),M3746,IF(ISBLANK(L3746),"",IF(C3746="Buy",M3746, IF(AND(C3746="Sell",J3746="NA"),(E3746*G3746*100*0.1)+I3746, IF(C3746="Sell",(J3746-L3746)*(100*G3746)+I3746))))))</f>
        <v/>
      </c>
      <c r="O3746" s="75" t="n"/>
      <c r="P3746" s="75" t="n"/>
      <c r="Q3746" s="75">
        <f>IF(ISBLANK(P3746),"",IF(D3746="Stock",P3746*G3746,IF(P3746=0,"0",G3746*P3746*100-(G3746*$AF$14))))</f>
        <v/>
      </c>
      <c r="R3746" s="79">
        <f>IF(P3746&lt;&gt;"", TODAY(), "")</f>
        <v/>
      </c>
      <c r="S3746" s="78">
        <f>IF(AND(K3746&lt;&gt;"", R3746&lt;&gt;""), R3746-K3746, "")</f>
        <v/>
      </c>
      <c r="T3746" s="78" t="n"/>
      <c r="U3746" s="92">
        <f>IF(ISBLANK(P3746),"",IF(C3746="Buy",Q3746-M3746+T3746, IF(C3746="Sell",M3746-Q3746-T3746, X)))</f>
        <v/>
      </c>
      <c r="V3746" s="81">
        <f>IF(ISBLANK(P3746),"",U3746/N3746)</f>
        <v/>
      </c>
      <c r="W3746" s="81">
        <f>IF(ISBLANK(P3746),"",IF(S3746=0,(365/0.5)*V3746,(365/S3746)*V3746))</f>
        <v/>
      </c>
      <c r="X3746" s="75" t="n"/>
      <c r="Y3746" s="77" t="n"/>
      <c r="Z3746" s="77" t="n"/>
      <c r="AA3746" s="75" t="n"/>
      <c r="AB3746" s="75" t="n"/>
      <c r="AC3746" s="6" t="n"/>
      <c r="AD3746" s="75" t="n"/>
      <c r="AE3746" s="75" t="n"/>
      <c r="AF3746" s="75" t="n"/>
    </row>
    <row r="3747" ht="15.75" customHeight="1" s="133">
      <c r="A3747" s="75" t="n"/>
      <c r="B3747" s="75" t="n"/>
      <c r="C3747" s="75" t="n"/>
      <c r="D3747" s="75" t="n"/>
      <c r="E3747" s="76" t="n"/>
      <c r="F3747" s="77" t="n"/>
      <c r="G3747" s="75" t="n"/>
      <c r="H3747" s="75">
        <f>IF(ISBLANK(E3747),"",IF(OR(D3747="Butterfly",D3747="Butterfly ",D3747="Iron Fly", D3747="Iron Fly "),LEN(E3747)-LEN(SUBSTITUTE(E3747,"/",""))+2,LEN(E3747)-LEN(SUBSTITUTE(E3747,"/",""))+1))</f>
        <v/>
      </c>
      <c r="I3747" s="78">
        <f>IF(ISBLANK(G3747),"",IF(D3747="Stock","0",Key!$A$3*H3747*G3747))</f>
        <v/>
      </c>
      <c r="J3747" s="78">
        <f>IF(ISBLANK(E3747),"",IF(ISNUMBER(SEARCH("/",E3747)), IF(LEN(E3747)-LEN(SUBSTITUTE(E3747,"/",""))=1,(RIGHT(E3747,LEN(E3747)-FIND("/",E3747)))-(LEFT(E3747,FIND("/",E3747)-1)),(MID(E3747, SEARCH("/",E3747) + 1, SEARCH("/",E3747, SEARCH("/",E3747)+1) - SEARCH("/",E3747) - 1))-(LEFT(E3747,FIND("/",E3747)-1))), "NA"))</f>
        <v/>
      </c>
      <c r="K3747" s="79">
        <f>IF(A3747&lt;&gt;"", IF(ISBLANK(L3747), TODAY(), K3747), "")</f>
        <v/>
      </c>
      <c r="L3747" s="78" t="n"/>
      <c r="M3747" s="78">
        <f>IF(ISBLANK(L3747),"",IF(D3747="Stock",IF(C3747="Buy",L3747*G3747,IF(C3747="Sell",(L3747*G3747)-I3747, X)),IF(C3747="Buy",(L3747*G3747*100)+I3747,IF(C3747="Sell",(L3747*G3747*100)-I3747, X))))</f>
        <v/>
      </c>
      <c r="N3747" s="78">
        <f>IF(ISBLANK(L3747),"",IF(AND(C3747="Sell",D3747="Stock"),M3747,IF(ISBLANK(L3747),"",IF(C3747="Buy",M3747, IF(AND(C3747="Sell",J3747="NA"),(E3747*G3747*100*0.1)+I3747, IF(C3747="Sell",(J3747-L3747)*(100*G3747)+I3747))))))</f>
        <v/>
      </c>
      <c r="O3747" s="75" t="n"/>
      <c r="P3747" s="75" t="n"/>
      <c r="Q3747" s="75">
        <f>IF(ISBLANK(P3747),"",IF(D3747="Stock",P3747*G3747,IF(P3747=0,"0",G3747*P3747*100-(G3747*$AF$14))))</f>
        <v/>
      </c>
      <c r="R3747" s="79">
        <f>IF(P3747&lt;&gt;"", TODAY(), "")</f>
        <v/>
      </c>
      <c r="S3747" s="78">
        <f>IF(AND(K3747&lt;&gt;"", R3747&lt;&gt;""), R3747-K3747, "")</f>
        <v/>
      </c>
      <c r="T3747" s="78" t="n"/>
      <c r="U3747" s="92">
        <f>IF(ISBLANK(P3747),"",IF(C3747="Buy",Q3747-M3747+T3747, IF(C3747="Sell",M3747-Q3747-T3747, X)))</f>
        <v/>
      </c>
      <c r="V3747" s="81">
        <f>IF(ISBLANK(P3747),"",U3747/N3747)</f>
        <v/>
      </c>
      <c r="W3747" s="81">
        <f>IF(ISBLANK(P3747),"",IF(S3747=0,(365/0.5)*V3747,(365/S3747)*V3747))</f>
        <v/>
      </c>
      <c r="X3747" s="75" t="n"/>
      <c r="Y3747" s="77" t="n"/>
      <c r="Z3747" s="77" t="n"/>
      <c r="AA3747" s="75" t="n"/>
      <c r="AB3747" s="75" t="n"/>
      <c r="AC3747" s="6" t="n"/>
      <c r="AD3747" s="75" t="n"/>
      <c r="AE3747" s="75" t="n"/>
      <c r="AF3747" s="75" t="n"/>
    </row>
    <row r="3748" ht="15.75" customHeight="1" s="133">
      <c r="A3748" s="75" t="n"/>
      <c r="B3748" s="75" t="n"/>
      <c r="C3748" s="75" t="n"/>
      <c r="D3748" s="75" t="n"/>
      <c r="E3748" s="76" t="n"/>
      <c r="F3748" s="77" t="n"/>
      <c r="G3748" s="75" t="n"/>
      <c r="H3748" s="75">
        <f>IF(ISBLANK(E3748),"",IF(OR(D3748="Butterfly",D3748="Butterfly ",D3748="Iron Fly", D3748="Iron Fly "),LEN(E3748)-LEN(SUBSTITUTE(E3748,"/",""))+2,LEN(E3748)-LEN(SUBSTITUTE(E3748,"/",""))+1))</f>
        <v/>
      </c>
      <c r="I3748" s="78">
        <f>IF(ISBLANK(G3748),"",IF(D3748="Stock","0",Key!$A$3*H3748*G3748))</f>
        <v/>
      </c>
      <c r="J3748" s="78">
        <f>IF(ISBLANK(E3748),"",IF(ISNUMBER(SEARCH("/",E3748)), IF(LEN(E3748)-LEN(SUBSTITUTE(E3748,"/",""))=1,(RIGHT(E3748,LEN(E3748)-FIND("/",E3748)))-(LEFT(E3748,FIND("/",E3748)-1)),(MID(E3748, SEARCH("/",E3748) + 1, SEARCH("/",E3748, SEARCH("/",E3748)+1) - SEARCH("/",E3748) - 1))-(LEFT(E3748,FIND("/",E3748)-1))), "NA"))</f>
        <v/>
      </c>
      <c r="K3748" s="79">
        <f>IF(A3748&lt;&gt;"", IF(ISBLANK(L3748), TODAY(), K3748), "")</f>
        <v/>
      </c>
      <c r="L3748" s="78" t="n"/>
      <c r="M3748" s="78">
        <f>IF(ISBLANK(L3748),"",IF(D3748="Stock",IF(C3748="Buy",L3748*G3748,IF(C3748="Sell",(L3748*G3748)-I3748, X)),IF(C3748="Buy",(L3748*G3748*100)+I3748,IF(C3748="Sell",(L3748*G3748*100)-I3748, X))))</f>
        <v/>
      </c>
      <c r="N3748" s="78">
        <f>IF(ISBLANK(L3748),"",IF(AND(C3748="Sell",D3748="Stock"),M3748,IF(ISBLANK(L3748),"",IF(C3748="Buy",M3748, IF(AND(C3748="Sell",J3748="NA"),(E3748*G3748*100*0.1)+I3748, IF(C3748="Sell",(J3748-L3748)*(100*G3748)+I3748))))))</f>
        <v/>
      </c>
      <c r="O3748" s="75" t="n"/>
      <c r="P3748" s="75" t="n"/>
      <c r="Q3748" s="75">
        <f>IF(ISBLANK(P3748),"",IF(D3748="Stock",P3748*G3748,IF(P3748=0,"0",G3748*P3748*100-(G3748*$AF$14))))</f>
        <v/>
      </c>
      <c r="R3748" s="79">
        <f>IF(P3748&lt;&gt;"", TODAY(), "")</f>
        <v/>
      </c>
      <c r="S3748" s="78">
        <f>IF(AND(K3748&lt;&gt;"", R3748&lt;&gt;""), R3748-K3748, "")</f>
        <v/>
      </c>
      <c r="T3748" s="78" t="n"/>
      <c r="U3748" s="92">
        <f>IF(ISBLANK(P3748),"",IF(C3748="Buy",Q3748-M3748+T3748, IF(C3748="Sell",M3748-Q3748-T3748, X)))</f>
        <v/>
      </c>
      <c r="V3748" s="81">
        <f>IF(ISBLANK(P3748),"",U3748/N3748)</f>
        <v/>
      </c>
      <c r="W3748" s="81">
        <f>IF(ISBLANK(P3748),"",IF(S3748=0,(365/0.5)*V3748,(365/S3748)*V3748))</f>
        <v/>
      </c>
      <c r="X3748" s="75" t="n"/>
      <c r="Y3748" s="77" t="n"/>
      <c r="Z3748" s="77" t="n"/>
      <c r="AA3748" s="75" t="n"/>
      <c r="AB3748" s="75" t="n"/>
      <c r="AC3748" s="6" t="n"/>
      <c r="AD3748" s="75" t="n"/>
      <c r="AE3748" s="75" t="n"/>
      <c r="AF3748" s="75" t="n"/>
    </row>
    <row r="3749" ht="15.75" customHeight="1" s="133">
      <c r="A3749" s="75" t="n"/>
      <c r="B3749" s="75" t="n"/>
      <c r="C3749" s="75" t="n"/>
      <c r="D3749" s="75" t="n"/>
      <c r="E3749" s="76" t="n"/>
      <c r="F3749" s="77" t="n"/>
      <c r="G3749" s="75" t="n"/>
      <c r="H3749" s="75">
        <f>IF(ISBLANK(E3749),"",IF(OR(D3749="Butterfly",D3749="Butterfly ",D3749="Iron Fly", D3749="Iron Fly "),LEN(E3749)-LEN(SUBSTITUTE(E3749,"/",""))+2,LEN(E3749)-LEN(SUBSTITUTE(E3749,"/",""))+1))</f>
        <v/>
      </c>
      <c r="I3749" s="78">
        <f>IF(ISBLANK(G3749),"",IF(D3749="Stock","0",Key!$A$3*H3749*G3749))</f>
        <v/>
      </c>
      <c r="J3749" s="78">
        <f>IF(ISBLANK(E3749),"",IF(ISNUMBER(SEARCH("/",E3749)), IF(LEN(E3749)-LEN(SUBSTITUTE(E3749,"/",""))=1,(RIGHT(E3749,LEN(E3749)-FIND("/",E3749)))-(LEFT(E3749,FIND("/",E3749)-1)),(MID(E3749, SEARCH("/",E3749) + 1, SEARCH("/",E3749, SEARCH("/",E3749)+1) - SEARCH("/",E3749) - 1))-(LEFT(E3749,FIND("/",E3749)-1))), "NA"))</f>
        <v/>
      </c>
      <c r="K3749" s="79">
        <f>IF(A3749&lt;&gt;"", IF(ISBLANK(L3749), TODAY(), K3749), "")</f>
        <v/>
      </c>
      <c r="L3749" s="78" t="n"/>
      <c r="M3749" s="78">
        <f>IF(ISBLANK(L3749),"",IF(D3749="Stock",IF(C3749="Buy",L3749*G3749,IF(C3749="Sell",(L3749*G3749)-I3749, X)),IF(C3749="Buy",(L3749*G3749*100)+I3749,IF(C3749="Sell",(L3749*G3749*100)-I3749, X))))</f>
        <v/>
      </c>
      <c r="N3749" s="78">
        <f>IF(ISBLANK(L3749),"",IF(AND(C3749="Sell",D3749="Stock"),M3749,IF(ISBLANK(L3749),"",IF(C3749="Buy",M3749, IF(AND(C3749="Sell",J3749="NA"),(E3749*G3749*100*0.1)+I3749, IF(C3749="Sell",(J3749-L3749)*(100*G3749)+I3749))))))</f>
        <v/>
      </c>
      <c r="O3749" s="75" t="n"/>
      <c r="P3749" s="75" t="n"/>
      <c r="Q3749" s="75">
        <f>IF(ISBLANK(P3749),"",IF(D3749="Stock",P3749*G3749,IF(P3749=0,"0",G3749*P3749*100-(G3749*$AF$14))))</f>
        <v/>
      </c>
      <c r="R3749" s="79">
        <f>IF(P3749&lt;&gt;"", TODAY(), "")</f>
        <v/>
      </c>
      <c r="S3749" s="78">
        <f>IF(AND(K3749&lt;&gt;"", R3749&lt;&gt;""), R3749-K3749, "")</f>
        <v/>
      </c>
      <c r="T3749" s="78" t="n"/>
      <c r="U3749" s="92">
        <f>IF(ISBLANK(P3749),"",IF(C3749="Buy",Q3749-M3749+T3749, IF(C3749="Sell",M3749-Q3749-T3749, X)))</f>
        <v/>
      </c>
      <c r="V3749" s="81">
        <f>IF(ISBLANK(P3749),"",U3749/N3749)</f>
        <v/>
      </c>
      <c r="W3749" s="81">
        <f>IF(ISBLANK(P3749),"",IF(S3749=0,(365/0.5)*V3749,(365/S3749)*V3749))</f>
        <v/>
      </c>
      <c r="X3749" s="75" t="n"/>
      <c r="Y3749" s="77" t="n"/>
      <c r="Z3749" s="77" t="n"/>
      <c r="AA3749" s="75" t="n"/>
      <c r="AB3749" s="75" t="n"/>
      <c r="AC3749" s="6" t="n"/>
      <c r="AD3749" s="75" t="n"/>
      <c r="AE3749" s="75" t="n"/>
      <c r="AF3749" s="75" t="n"/>
    </row>
    <row r="3750" ht="15.75" customHeight="1" s="133">
      <c r="A3750" s="75" t="n"/>
      <c r="B3750" s="75" t="n"/>
      <c r="C3750" s="75" t="n"/>
      <c r="D3750" s="75" t="n"/>
      <c r="E3750" s="76" t="n"/>
      <c r="F3750" s="77" t="n"/>
      <c r="G3750" s="75" t="n"/>
      <c r="H3750" s="75">
        <f>IF(ISBLANK(E3750),"",IF(OR(D3750="Butterfly",D3750="Butterfly ",D3750="Iron Fly", D3750="Iron Fly "),LEN(E3750)-LEN(SUBSTITUTE(E3750,"/",""))+2,LEN(E3750)-LEN(SUBSTITUTE(E3750,"/",""))+1))</f>
        <v/>
      </c>
      <c r="I3750" s="78">
        <f>IF(ISBLANK(G3750),"",IF(D3750="Stock","0",Key!$A$3*H3750*G3750))</f>
        <v/>
      </c>
      <c r="J3750" s="78">
        <f>IF(ISBLANK(E3750),"",IF(ISNUMBER(SEARCH("/",E3750)), IF(LEN(E3750)-LEN(SUBSTITUTE(E3750,"/",""))=1,(RIGHT(E3750,LEN(E3750)-FIND("/",E3750)))-(LEFT(E3750,FIND("/",E3750)-1)),(MID(E3750, SEARCH("/",E3750) + 1, SEARCH("/",E3750, SEARCH("/",E3750)+1) - SEARCH("/",E3750) - 1))-(LEFT(E3750,FIND("/",E3750)-1))), "NA"))</f>
        <v/>
      </c>
      <c r="K3750" s="79">
        <f>IF(A3750&lt;&gt;"", IF(ISBLANK(L3750), TODAY(), K3750), "")</f>
        <v/>
      </c>
      <c r="L3750" s="78" t="n"/>
      <c r="M3750" s="78">
        <f>IF(ISBLANK(L3750),"",IF(D3750="Stock",IF(C3750="Buy",L3750*G3750,IF(C3750="Sell",(L3750*G3750)-I3750, X)),IF(C3750="Buy",(L3750*G3750*100)+I3750,IF(C3750="Sell",(L3750*G3750*100)-I3750, X))))</f>
        <v/>
      </c>
      <c r="N3750" s="78">
        <f>IF(ISBLANK(L3750),"",IF(AND(C3750="Sell",D3750="Stock"),M3750,IF(ISBLANK(L3750),"",IF(C3750="Buy",M3750, IF(AND(C3750="Sell",J3750="NA"),(E3750*G3750*100*0.1)+I3750, IF(C3750="Sell",(J3750-L3750)*(100*G3750)+I3750))))))</f>
        <v/>
      </c>
      <c r="O3750" s="75" t="n"/>
      <c r="P3750" s="75" t="n"/>
      <c r="Q3750" s="75">
        <f>IF(ISBLANK(P3750),"",IF(D3750="Stock",P3750*G3750,IF(P3750=0,"0",G3750*P3750*100-(G3750*$AF$14))))</f>
        <v/>
      </c>
      <c r="R3750" s="79">
        <f>IF(P3750&lt;&gt;"", TODAY(), "")</f>
        <v/>
      </c>
      <c r="S3750" s="78">
        <f>IF(AND(K3750&lt;&gt;"", R3750&lt;&gt;""), R3750-K3750, "")</f>
        <v/>
      </c>
      <c r="T3750" s="78" t="n"/>
      <c r="U3750" s="92">
        <f>IF(ISBLANK(P3750),"",IF(C3750="Buy",Q3750-M3750+T3750, IF(C3750="Sell",M3750-Q3750-T3750, X)))</f>
        <v/>
      </c>
      <c r="V3750" s="81">
        <f>IF(ISBLANK(P3750),"",U3750/N3750)</f>
        <v/>
      </c>
      <c r="W3750" s="81">
        <f>IF(ISBLANK(P3750),"",IF(S3750=0,(365/0.5)*V3750,(365/S3750)*V3750))</f>
        <v/>
      </c>
      <c r="X3750" s="75" t="n"/>
      <c r="Y3750" s="77" t="n"/>
      <c r="Z3750" s="77" t="n"/>
      <c r="AA3750" s="75" t="n"/>
      <c r="AB3750" s="75" t="n"/>
      <c r="AC3750" s="6" t="n"/>
      <c r="AD3750" s="75" t="n"/>
      <c r="AE3750" s="75" t="n"/>
      <c r="AF3750" s="75" t="n"/>
    </row>
    <row r="3751" ht="15.75" customHeight="1" s="133">
      <c r="A3751" s="75" t="n"/>
      <c r="B3751" s="75" t="n"/>
      <c r="C3751" s="75" t="n"/>
      <c r="D3751" s="75" t="n"/>
      <c r="E3751" s="76" t="n"/>
      <c r="F3751" s="77" t="n"/>
      <c r="G3751" s="75" t="n"/>
      <c r="H3751" s="75">
        <f>IF(ISBLANK(E3751),"",IF(OR(D3751="Butterfly",D3751="Butterfly ",D3751="Iron Fly", D3751="Iron Fly "),LEN(E3751)-LEN(SUBSTITUTE(E3751,"/",""))+2,LEN(E3751)-LEN(SUBSTITUTE(E3751,"/",""))+1))</f>
        <v/>
      </c>
      <c r="I3751" s="78">
        <f>IF(ISBLANK(G3751),"",IF(D3751="Stock","0",Key!$A$3*H3751*G3751))</f>
        <v/>
      </c>
      <c r="J3751" s="78">
        <f>IF(ISBLANK(E3751),"",IF(ISNUMBER(SEARCH("/",E3751)), IF(LEN(E3751)-LEN(SUBSTITUTE(E3751,"/",""))=1,(RIGHT(E3751,LEN(E3751)-FIND("/",E3751)))-(LEFT(E3751,FIND("/",E3751)-1)),(MID(E3751, SEARCH("/",E3751) + 1, SEARCH("/",E3751, SEARCH("/",E3751)+1) - SEARCH("/",E3751) - 1))-(LEFT(E3751,FIND("/",E3751)-1))), "NA"))</f>
        <v/>
      </c>
      <c r="K3751" s="79">
        <f>IF(A3751&lt;&gt;"", IF(ISBLANK(L3751), TODAY(), K3751), "")</f>
        <v/>
      </c>
      <c r="L3751" s="78" t="n"/>
      <c r="M3751" s="78">
        <f>IF(ISBLANK(L3751),"",IF(D3751="Stock",IF(C3751="Buy",L3751*G3751,IF(C3751="Sell",(L3751*G3751)-I3751, X)),IF(C3751="Buy",(L3751*G3751*100)+I3751,IF(C3751="Sell",(L3751*G3751*100)-I3751, X))))</f>
        <v/>
      </c>
      <c r="N3751" s="78">
        <f>IF(ISBLANK(L3751),"",IF(AND(C3751="Sell",D3751="Stock"),M3751,IF(ISBLANK(L3751),"",IF(C3751="Buy",M3751, IF(AND(C3751="Sell",J3751="NA"),(E3751*G3751*100*0.1)+I3751, IF(C3751="Sell",(J3751-L3751)*(100*G3751)+I3751))))))</f>
        <v/>
      </c>
      <c r="O3751" s="75" t="n"/>
      <c r="P3751" s="75" t="n"/>
      <c r="Q3751" s="75">
        <f>IF(ISBLANK(P3751),"",IF(D3751="Stock",P3751*G3751,IF(P3751=0,"0",G3751*P3751*100-(G3751*$AF$14))))</f>
        <v/>
      </c>
      <c r="R3751" s="79">
        <f>IF(P3751&lt;&gt;"", TODAY(), "")</f>
        <v/>
      </c>
      <c r="S3751" s="78">
        <f>IF(AND(K3751&lt;&gt;"", R3751&lt;&gt;""), R3751-K3751, "")</f>
        <v/>
      </c>
      <c r="T3751" s="78" t="n"/>
      <c r="U3751" s="92">
        <f>IF(ISBLANK(P3751),"",IF(C3751="Buy",Q3751-M3751+T3751, IF(C3751="Sell",M3751-Q3751-T3751, X)))</f>
        <v/>
      </c>
      <c r="V3751" s="81">
        <f>IF(ISBLANK(P3751),"",U3751/N3751)</f>
        <v/>
      </c>
      <c r="W3751" s="81">
        <f>IF(ISBLANK(P3751),"",IF(S3751=0,(365/0.5)*V3751,(365/S3751)*V3751))</f>
        <v/>
      </c>
      <c r="X3751" s="75" t="n"/>
      <c r="Y3751" s="77" t="n"/>
      <c r="Z3751" s="77" t="n"/>
      <c r="AA3751" s="75" t="n"/>
      <c r="AB3751" s="75" t="n"/>
      <c r="AC3751" s="6" t="n"/>
      <c r="AD3751" s="75" t="n"/>
      <c r="AE3751" s="75" t="n"/>
      <c r="AF3751" s="75" t="n"/>
    </row>
    <row r="3752" ht="15.75" customHeight="1" s="133">
      <c r="A3752" s="75" t="n"/>
      <c r="B3752" s="75" t="n"/>
      <c r="C3752" s="75" t="n"/>
      <c r="D3752" s="75" t="n"/>
      <c r="E3752" s="76" t="n"/>
      <c r="F3752" s="77" t="n"/>
      <c r="G3752" s="75" t="n"/>
      <c r="H3752" s="75">
        <f>IF(ISBLANK(E3752),"",IF(OR(D3752="Butterfly",D3752="Butterfly ",D3752="Iron Fly", D3752="Iron Fly "),LEN(E3752)-LEN(SUBSTITUTE(E3752,"/",""))+2,LEN(E3752)-LEN(SUBSTITUTE(E3752,"/",""))+1))</f>
        <v/>
      </c>
      <c r="I3752" s="78">
        <f>IF(ISBLANK(G3752),"",IF(D3752="Stock","0",Key!$A$3*H3752*G3752))</f>
        <v/>
      </c>
      <c r="J3752" s="78">
        <f>IF(ISBLANK(E3752),"",IF(ISNUMBER(SEARCH("/",E3752)), IF(LEN(E3752)-LEN(SUBSTITUTE(E3752,"/",""))=1,(RIGHT(E3752,LEN(E3752)-FIND("/",E3752)))-(LEFT(E3752,FIND("/",E3752)-1)),(MID(E3752, SEARCH("/",E3752) + 1, SEARCH("/",E3752, SEARCH("/",E3752)+1) - SEARCH("/",E3752) - 1))-(LEFT(E3752,FIND("/",E3752)-1))), "NA"))</f>
        <v/>
      </c>
      <c r="K3752" s="79">
        <f>IF(A3752&lt;&gt;"", IF(ISBLANK(L3752), TODAY(), K3752), "")</f>
        <v/>
      </c>
      <c r="L3752" s="78" t="n"/>
      <c r="M3752" s="78">
        <f>IF(ISBLANK(L3752),"",IF(D3752="Stock",IF(C3752="Buy",L3752*G3752,IF(C3752="Sell",(L3752*G3752)-I3752, X)),IF(C3752="Buy",(L3752*G3752*100)+I3752,IF(C3752="Sell",(L3752*G3752*100)-I3752, X))))</f>
        <v/>
      </c>
      <c r="N3752" s="78">
        <f>IF(ISBLANK(L3752),"",IF(AND(C3752="Sell",D3752="Stock"),M3752,IF(ISBLANK(L3752),"",IF(C3752="Buy",M3752, IF(AND(C3752="Sell",J3752="NA"),(E3752*G3752*100*0.1)+I3752, IF(C3752="Sell",(J3752-L3752)*(100*G3752)+I3752))))))</f>
        <v/>
      </c>
      <c r="O3752" s="75" t="n"/>
      <c r="P3752" s="75" t="n"/>
      <c r="Q3752" s="75">
        <f>IF(ISBLANK(P3752),"",IF(D3752="Stock",P3752*G3752,IF(P3752=0,"0",G3752*P3752*100-(G3752*$AF$14))))</f>
        <v/>
      </c>
      <c r="R3752" s="79">
        <f>IF(P3752&lt;&gt;"", TODAY(), "")</f>
        <v/>
      </c>
      <c r="S3752" s="78">
        <f>IF(AND(K3752&lt;&gt;"", R3752&lt;&gt;""), R3752-K3752, "")</f>
        <v/>
      </c>
      <c r="T3752" s="78" t="n"/>
      <c r="U3752" s="92">
        <f>IF(ISBLANK(P3752),"",IF(C3752="Buy",Q3752-M3752+T3752, IF(C3752="Sell",M3752-Q3752-T3752, X)))</f>
        <v/>
      </c>
      <c r="V3752" s="81">
        <f>IF(ISBLANK(P3752),"",U3752/N3752)</f>
        <v/>
      </c>
      <c r="W3752" s="81">
        <f>IF(ISBLANK(P3752),"",IF(S3752=0,(365/0.5)*V3752,(365/S3752)*V3752))</f>
        <v/>
      </c>
      <c r="X3752" s="75" t="n"/>
      <c r="Y3752" s="77" t="n"/>
      <c r="Z3752" s="77" t="n"/>
      <c r="AA3752" s="75" t="n"/>
      <c r="AB3752" s="75" t="n"/>
      <c r="AC3752" s="6" t="n"/>
      <c r="AD3752" s="75" t="n"/>
      <c r="AE3752" s="75" t="n"/>
      <c r="AF3752" s="75" t="n"/>
    </row>
    <row r="3753" ht="15.75" customHeight="1" s="133">
      <c r="A3753" s="75" t="n"/>
      <c r="B3753" s="75" t="n"/>
      <c r="C3753" s="75" t="n"/>
      <c r="D3753" s="75" t="n"/>
      <c r="E3753" s="76" t="n"/>
      <c r="F3753" s="77" t="n"/>
      <c r="G3753" s="75" t="n"/>
      <c r="H3753" s="75">
        <f>IF(ISBLANK(E3753),"",IF(OR(D3753="Butterfly",D3753="Butterfly ",D3753="Iron Fly", D3753="Iron Fly "),LEN(E3753)-LEN(SUBSTITUTE(E3753,"/",""))+2,LEN(E3753)-LEN(SUBSTITUTE(E3753,"/",""))+1))</f>
        <v/>
      </c>
      <c r="I3753" s="78">
        <f>IF(ISBLANK(G3753),"",IF(D3753="Stock","0",Key!$A$3*H3753*G3753))</f>
        <v/>
      </c>
      <c r="J3753" s="78">
        <f>IF(ISBLANK(E3753),"",IF(ISNUMBER(SEARCH("/",E3753)), IF(LEN(E3753)-LEN(SUBSTITUTE(E3753,"/",""))=1,(RIGHT(E3753,LEN(E3753)-FIND("/",E3753)))-(LEFT(E3753,FIND("/",E3753)-1)),(MID(E3753, SEARCH("/",E3753) + 1, SEARCH("/",E3753, SEARCH("/",E3753)+1) - SEARCH("/",E3753) - 1))-(LEFT(E3753,FIND("/",E3753)-1))), "NA"))</f>
        <v/>
      </c>
      <c r="K3753" s="79">
        <f>IF(A3753&lt;&gt;"", IF(ISBLANK(L3753), TODAY(), K3753), "")</f>
        <v/>
      </c>
      <c r="L3753" s="78" t="n"/>
      <c r="M3753" s="78">
        <f>IF(ISBLANK(L3753),"",IF(D3753="Stock",IF(C3753="Buy",L3753*G3753,IF(C3753="Sell",(L3753*G3753)-I3753, X)),IF(C3753="Buy",(L3753*G3753*100)+I3753,IF(C3753="Sell",(L3753*G3753*100)-I3753, X))))</f>
        <v/>
      </c>
      <c r="N3753" s="78">
        <f>IF(ISBLANK(L3753),"",IF(AND(C3753="Sell",D3753="Stock"),M3753,IF(ISBLANK(L3753),"",IF(C3753="Buy",M3753, IF(AND(C3753="Sell",J3753="NA"),(E3753*G3753*100*0.1)+I3753, IF(C3753="Sell",(J3753-L3753)*(100*G3753)+I3753))))))</f>
        <v/>
      </c>
      <c r="O3753" s="75" t="n"/>
      <c r="P3753" s="75" t="n"/>
      <c r="Q3753" s="75">
        <f>IF(ISBLANK(P3753),"",IF(D3753="Stock",P3753*G3753,IF(P3753=0,"0",G3753*P3753*100-(G3753*$AF$14))))</f>
        <v/>
      </c>
      <c r="R3753" s="79">
        <f>IF(P3753&lt;&gt;"", TODAY(), "")</f>
        <v/>
      </c>
      <c r="S3753" s="78">
        <f>IF(AND(K3753&lt;&gt;"", R3753&lt;&gt;""), R3753-K3753, "")</f>
        <v/>
      </c>
      <c r="T3753" s="78" t="n"/>
      <c r="U3753" s="92">
        <f>IF(ISBLANK(P3753),"",IF(C3753="Buy",Q3753-M3753+T3753, IF(C3753="Sell",M3753-Q3753-T3753, X)))</f>
        <v/>
      </c>
      <c r="V3753" s="81">
        <f>IF(ISBLANK(P3753),"",U3753/N3753)</f>
        <v/>
      </c>
      <c r="W3753" s="81">
        <f>IF(ISBLANK(P3753),"",IF(S3753=0,(365/0.5)*V3753,(365/S3753)*V3753))</f>
        <v/>
      </c>
      <c r="X3753" s="75" t="n"/>
      <c r="Y3753" s="77" t="n"/>
      <c r="Z3753" s="77" t="n"/>
      <c r="AA3753" s="75" t="n"/>
      <c r="AB3753" s="75" t="n"/>
      <c r="AC3753" s="6" t="n"/>
      <c r="AD3753" s="75" t="n"/>
      <c r="AE3753" s="75" t="n"/>
      <c r="AF3753" s="75" t="n"/>
    </row>
    <row r="3754" ht="15.75" customHeight="1" s="133">
      <c r="A3754" s="75" t="n"/>
      <c r="B3754" s="75" t="n"/>
      <c r="C3754" s="75" t="n"/>
      <c r="D3754" s="75" t="n"/>
      <c r="E3754" s="76" t="n"/>
      <c r="F3754" s="77" t="n"/>
      <c r="G3754" s="75" t="n"/>
      <c r="H3754" s="75">
        <f>IF(ISBLANK(E3754),"",IF(OR(D3754="Butterfly",D3754="Butterfly ",D3754="Iron Fly", D3754="Iron Fly "),LEN(E3754)-LEN(SUBSTITUTE(E3754,"/",""))+2,LEN(E3754)-LEN(SUBSTITUTE(E3754,"/",""))+1))</f>
        <v/>
      </c>
      <c r="I3754" s="78">
        <f>IF(ISBLANK(G3754),"",IF(D3754="Stock","0",Key!$A$3*H3754*G3754))</f>
        <v/>
      </c>
      <c r="J3754" s="78">
        <f>IF(ISBLANK(E3754),"",IF(ISNUMBER(SEARCH("/",E3754)), IF(LEN(E3754)-LEN(SUBSTITUTE(E3754,"/",""))=1,(RIGHT(E3754,LEN(E3754)-FIND("/",E3754)))-(LEFT(E3754,FIND("/",E3754)-1)),(MID(E3754, SEARCH("/",E3754) + 1, SEARCH("/",E3754, SEARCH("/",E3754)+1) - SEARCH("/",E3754) - 1))-(LEFT(E3754,FIND("/",E3754)-1))), "NA"))</f>
        <v/>
      </c>
      <c r="K3754" s="79">
        <f>IF(A3754&lt;&gt;"", IF(ISBLANK(L3754), TODAY(), K3754), "")</f>
        <v/>
      </c>
      <c r="L3754" s="78" t="n"/>
      <c r="M3754" s="78">
        <f>IF(ISBLANK(L3754),"",IF(D3754="Stock",IF(C3754="Buy",L3754*G3754,IF(C3754="Sell",(L3754*G3754)-I3754, X)),IF(C3754="Buy",(L3754*G3754*100)+I3754,IF(C3754="Sell",(L3754*G3754*100)-I3754, X))))</f>
        <v/>
      </c>
      <c r="N3754" s="78">
        <f>IF(ISBLANK(L3754),"",IF(AND(C3754="Sell",D3754="Stock"),M3754,IF(ISBLANK(L3754),"",IF(C3754="Buy",M3754, IF(AND(C3754="Sell",J3754="NA"),(E3754*G3754*100*0.1)+I3754, IF(C3754="Sell",(J3754-L3754)*(100*G3754)+I3754))))))</f>
        <v/>
      </c>
      <c r="O3754" s="75" t="n"/>
      <c r="P3754" s="75" t="n"/>
      <c r="Q3754" s="75">
        <f>IF(ISBLANK(P3754),"",IF(D3754="Stock",P3754*G3754,IF(P3754=0,"0",G3754*P3754*100-(G3754*$AF$14))))</f>
        <v/>
      </c>
      <c r="R3754" s="79">
        <f>IF(P3754&lt;&gt;"", TODAY(), "")</f>
        <v/>
      </c>
      <c r="S3754" s="78">
        <f>IF(AND(K3754&lt;&gt;"", R3754&lt;&gt;""), R3754-K3754, "")</f>
        <v/>
      </c>
      <c r="T3754" s="78" t="n"/>
      <c r="U3754" s="92">
        <f>IF(ISBLANK(P3754),"",IF(C3754="Buy",Q3754-M3754+T3754, IF(C3754="Sell",M3754-Q3754-T3754, X)))</f>
        <v/>
      </c>
      <c r="V3754" s="81">
        <f>IF(ISBLANK(P3754),"",U3754/N3754)</f>
        <v/>
      </c>
      <c r="W3754" s="81">
        <f>IF(ISBLANK(P3754),"",IF(S3754=0,(365/0.5)*V3754,(365/S3754)*V3754))</f>
        <v/>
      </c>
      <c r="X3754" s="75" t="n"/>
      <c r="Y3754" s="77" t="n"/>
      <c r="Z3754" s="77" t="n"/>
      <c r="AA3754" s="75" t="n"/>
      <c r="AB3754" s="75" t="n"/>
      <c r="AC3754" s="6" t="n"/>
      <c r="AD3754" s="75" t="n"/>
      <c r="AE3754" s="75" t="n"/>
      <c r="AF3754" s="75" t="n"/>
    </row>
    <row r="3755" ht="15.75" customHeight="1" s="133">
      <c r="A3755" s="75" t="n"/>
      <c r="B3755" s="75" t="n"/>
      <c r="C3755" s="75" t="n"/>
      <c r="D3755" s="75" t="n"/>
      <c r="E3755" s="76" t="n"/>
      <c r="F3755" s="77" t="n"/>
      <c r="G3755" s="75" t="n"/>
      <c r="H3755" s="75">
        <f>IF(ISBLANK(E3755),"",IF(OR(D3755="Butterfly",D3755="Butterfly ",D3755="Iron Fly", D3755="Iron Fly "),LEN(E3755)-LEN(SUBSTITUTE(E3755,"/",""))+2,LEN(E3755)-LEN(SUBSTITUTE(E3755,"/",""))+1))</f>
        <v/>
      </c>
      <c r="I3755" s="78">
        <f>IF(ISBLANK(G3755),"",IF(D3755="Stock","0",Key!$A$3*H3755*G3755))</f>
        <v/>
      </c>
      <c r="J3755" s="78">
        <f>IF(ISBLANK(E3755),"",IF(ISNUMBER(SEARCH("/",E3755)), IF(LEN(E3755)-LEN(SUBSTITUTE(E3755,"/",""))=1,(RIGHT(E3755,LEN(E3755)-FIND("/",E3755)))-(LEFT(E3755,FIND("/",E3755)-1)),(MID(E3755, SEARCH("/",E3755) + 1, SEARCH("/",E3755, SEARCH("/",E3755)+1) - SEARCH("/",E3755) - 1))-(LEFT(E3755,FIND("/",E3755)-1))), "NA"))</f>
        <v/>
      </c>
      <c r="K3755" s="79">
        <f>IF(A3755&lt;&gt;"", IF(ISBLANK(L3755), TODAY(), K3755), "")</f>
        <v/>
      </c>
      <c r="L3755" s="78" t="n"/>
      <c r="M3755" s="78">
        <f>IF(ISBLANK(L3755),"",IF(D3755="Stock",IF(C3755="Buy",L3755*G3755,IF(C3755="Sell",(L3755*G3755)-I3755, X)),IF(C3755="Buy",(L3755*G3755*100)+I3755,IF(C3755="Sell",(L3755*G3755*100)-I3755, X))))</f>
        <v/>
      </c>
      <c r="N3755" s="78">
        <f>IF(ISBLANK(L3755),"",IF(AND(C3755="Sell",D3755="Stock"),M3755,IF(ISBLANK(L3755),"",IF(C3755="Buy",M3755, IF(AND(C3755="Sell",J3755="NA"),(E3755*G3755*100*0.1)+I3755, IF(C3755="Sell",(J3755-L3755)*(100*G3755)+I3755))))))</f>
        <v/>
      </c>
      <c r="O3755" s="75" t="n"/>
      <c r="P3755" s="75" t="n"/>
      <c r="Q3755" s="75">
        <f>IF(ISBLANK(P3755),"",IF(D3755="Stock",P3755*G3755,IF(P3755=0,"0",G3755*P3755*100-(G3755*$AF$14))))</f>
        <v/>
      </c>
      <c r="R3755" s="79">
        <f>IF(P3755&lt;&gt;"", TODAY(), "")</f>
        <v/>
      </c>
      <c r="S3755" s="78">
        <f>IF(AND(K3755&lt;&gt;"", R3755&lt;&gt;""), R3755-K3755, "")</f>
        <v/>
      </c>
      <c r="T3755" s="78" t="n"/>
      <c r="U3755" s="92">
        <f>IF(ISBLANK(P3755),"",IF(C3755="Buy",Q3755-M3755+T3755, IF(C3755="Sell",M3755-Q3755-T3755, X)))</f>
        <v/>
      </c>
      <c r="V3755" s="81">
        <f>IF(ISBLANK(P3755),"",U3755/N3755)</f>
        <v/>
      </c>
      <c r="W3755" s="81">
        <f>IF(ISBLANK(P3755),"",IF(S3755=0,(365/0.5)*V3755,(365/S3755)*V3755))</f>
        <v/>
      </c>
      <c r="X3755" s="75" t="n"/>
      <c r="Y3755" s="77" t="n"/>
      <c r="Z3755" s="77" t="n"/>
      <c r="AA3755" s="75" t="n"/>
      <c r="AB3755" s="75" t="n"/>
      <c r="AC3755" s="6" t="n"/>
      <c r="AD3755" s="75" t="n"/>
      <c r="AE3755" s="75" t="n"/>
      <c r="AF3755" s="75" t="n"/>
    </row>
    <row r="3756" ht="15.75" customHeight="1" s="133">
      <c r="A3756" s="75" t="n"/>
      <c r="B3756" s="75" t="n"/>
      <c r="C3756" s="75" t="n"/>
      <c r="D3756" s="75" t="n"/>
      <c r="E3756" s="76" t="n"/>
      <c r="F3756" s="77" t="n"/>
      <c r="G3756" s="75" t="n"/>
      <c r="H3756" s="75">
        <f>IF(ISBLANK(E3756),"",IF(OR(D3756="Butterfly",D3756="Butterfly ",D3756="Iron Fly", D3756="Iron Fly "),LEN(E3756)-LEN(SUBSTITUTE(E3756,"/",""))+2,LEN(E3756)-LEN(SUBSTITUTE(E3756,"/",""))+1))</f>
        <v/>
      </c>
      <c r="I3756" s="78">
        <f>IF(ISBLANK(G3756),"",IF(D3756="Stock","0",Key!$A$3*H3756*G3756))</f>
        <v/>
      </c>
      <c r="J3756" s="78">
        <f>IF(ISBLANK(E3756),"",IF(ISNUMBER(SEARCH("/",E3756)), IF(LEN(E3756)-LEN(SUBSTITUTE(E3756,"/",""))=1,(RIGHT(E3756,LEN(E3756)-FIND("/",E3756)))-(LEFT(E3756,FIND("/",E3756)-1)),(MID(E3756, SEARCH("/",E3756) + 1, SEARCH("/",E3756, SEARCH("/",E3756)+1) - SEARCH("/",E3756) - 1))-(LEFT(E3756,FIND("/",E3756)-1))), "NA"))</f>
        <v/>
      </c>
      <c r="K3756" s="79">
        <f>IF(A3756&lt;&gt;"", IF(ISBLANK(L3756), TODAY(), K3756), "")</f>
        <v/>
      </c>
      <c r="L3756" s="78" t="n"/>
      <c r="M3756" s="78">
        <f>IF(ISBLANK(L3756),"",IF(D3756="Stock",IF(C3756="Buy",L3756*G3756,IF(C3756="Sell",(L3756*G3756)-I3756, X)),IF(C3756="Buy",(L3756*G3756*100)+I3756,IF(C3756="Sell",(L3756*G3756*100)-I3756, X))))</f>
        <v/>
      </c>
      <c r="N3756" s="78">
        <f>IF(ISBLANK(L3756),"",IF(AND(C3756="Sell",D3756="Stock"),M3756,IF(ISBLANK(L3756),"",IF(C3756="Buy",M3756, IF(AND(C3756="Sell",J3756="NA"),(E3756*G3756*100*0.1)+I3756, IF(C3756="Sell",(J3756-L3756)*(100*G3756)+I3756))))))</f>
        <v/>
      </c>
      <c r="O3756" s="75" t="n"/>
      <c r="P3756" s="75" t="n"/>
      <c r="Q3756" s="75">
        <f>IF(ISBLANK(P3756),"",IF(D3756="Stock",P3756*G3756,IF(P3756=0,"0",G3756*P3756*100-(G3756*$AF$14))))</f>
        <v/>
      </c>
      <c r="R3756" s="79">
        <f>IF(P3756&lt;&gt;"", TODAY(), "")</f>
        <v/>
      </c>
      <c r="S3756" s="78">
        <f>IF(AND(K3756&lt;&gt;"", R3756&lt;&gt;""), R3756-K3756, "")</f>
        <v/>
      </c>
      <c r="T3756" s="78" t="n"/>
      <c r="U3756" s="92">
        <f>IF(ISBLANK(P3756),"",IF(C3756="Buy",Q3756-M3756+T3756, IF(C3756="Sell",M3756-Q3756-T3756, X)))</f>
        <v/>
      </c>
      <c r="V3756" s="81">
        <f>IF(ISBLANK(P3756),"",U3756/N3756)</f>
        <v/>
      </c>
      <c r="W3756" s="81">
        <f>IF(ISBLANK(P3756),"",IF(S3756=0,(365/0.5)*V3756,(365/S3756)*V3756))</f>
        <v/>
      </c>
      <c r="X3756" s="75" t="n"/>
      <c r="Y3756" s="77" t="n"/>
      <c r="Z3756" s="77" t="n"/>
      <c r="AA3756" s="75" t="n"/>
      <c r="AB3756" s="75" t="n"/>
      <c r="AC3756" s="6" t="n"/>
      <c r="AD3756" s="75" t="n"/>
      <c r="AE3756" s="75" t="n"/>
      <c r="AF3756" s="75" t="n"/>
    </row>
    <row r="3757" ht="15.75" customHeight="1" s="133">
      <c r="A3757" s="75" t="n"/>
      <c r="B3757" s="75" t="n"/>
      <c r="C3757" s="75" t="n"/>
      <c r="D3757" s="75" t="n"/>
      <c r="E3757" s="76" t="n"/>
      <c r="F3757" s="77" t="n"/>
      <c r="G3757" s="75" t="n"/>
      <c r="H3757" s="75">
        <f>IF(ISBLANK(E3757),"",IF(OR(D3757="Butterfly",D3757="Butterfly ",D3757="Iron Fly", D3757="Iron Fly "),LEN(E3757)-LEN(SUBSTITUTE(E3757,"/",""))+2,LEN(E3757)-LEN(SUBSTITUTE(E3757,"/",""))+1))</f>
        <v/>
      </c>
      <c r="I3757" s="78">
        <f>IF(ISBLANK(G3757),"",IF(D3757="Stock","0",Key!$A$3*H3757*G3757))</f>
        <v/>
      </c>
      <c r="J3757" s="78">
        <f>IF(ISBLANK(E3757),"",IF(ISNUMBER(SEARCH("/",E3757)), IF(LEN(E3757)-LEN(SUBSTITUTE(E3757,"/",""))=1,(RIGHT(E3757,LEN(E3757)-FIND("/",E3757)))-(LEFT(E3757,FIND("/",E3757)-1)),(MID(E3757, SEARCH("/",E3757) + 1, SEARCH("/",E3757, SEARCH("/",E3757)+1) - SEARCH("/",E3757) - 1))-(LEFT(E3757,FIND("/",E3757)-1))), "NA"))</f>
        <v/>
      </c>
      <c r="K3757" s="79">
        <f>IF(A3757&lt;&gt;"", IF(ISBLANK(L3757), TODAY(), K3757), "")</f>
        <v/>
      </c>
      <c r="L3757" s="78" t="n"/>
      <c r="M3757" s="78">
        <f>IF(ISBLANK(L3757),"",IF(D3757="Stock",IF(C3757="Buy",L3757*G3757,IF(C3757="Sell",(L3757*G3757)-I3757, X)),IF(C3757="Buy",(L3757*G3757*100)+I3757,IF(C3757="Sell",(L3757*G3757*100)-I3757, X))))</f>
        <v/>
      </c>
      <c r="N3757" s="78">
        <f>IF(ISBLANK(L3757),"",IF(AND(C3757="Sell",D3757="Stock"),M3757,IF(ISBLANK(L3757),"",IF(C3757="Buy",M3757, IF(AND(C3757="Sell",J3757="NA"),(E3757*G3757*100*0.1)+I3757, IF(C3757="Sell",(J3757-L3757)*(100*G3757)+I3757))))))</f>
        <v/>
      </c>
      <c r="O3757" s="75" t="n"/>
      <c r="P3757" s="75" t="n"/>
      <c r="Q3757" s="75">
        <f>IF(ISBLANK(P3757),"",IF(D3757="Stock",P3757*G3757,IF(P3757=0,"0",G3757*P3757*100-(G3757*$AF$14))))</f>
        <v/>
      </c>
      <c r="R3757" s="79">
        <f>IF(P3757&lt;&gt;"", TODAY(), "")</f>
        <v/>
      </c>
      <c r="S3757" s="78">
        <f>IF(AND(K3757&lt;&gt;"", R3757&lt;&gt;""), R3757-K3757, "")</f>
        <v/>
      </c>
      <c r="T3757" s="78" t="n"/>
      <c r="U3757" s="92">
        <f>IF(ISBLANK(P3757),"",IF(C3757="Buy",Q3757-M3757+T3757, IF(C3757="Sell",M3757-Q3757-T3757, X)))</f>
        <v/>
      </c>
      <c r="V3757" s="81">
        <f>IF(ISBLANK(P3757),"",U3757/N3757)</f>
        <v/>
      </c>
      <c r="W3757" s="81">
        <f>IF(ISBLANK(P3757),"",IF(S3757=0,(365/0.5)*V3757,(365/S3757)*V3757))</f>
        <v/>
      </c>
      <c r="X3757" s="75" t="n"/>
      <c r="Y3757" s="77" t="n"/>
      <c r="Z3757" s="77" t="n"/>
      <c r="AA3757" s="75" t="n"/>
      <c r="AB3757" s="75" t="n"/>
      <c r="AC3757" s="6" t="n"/>
      <c r="AD3757" s="75" t="n"/>
      <c r="AE3757" s="75" t="n"/>
      <c r="AF3757" s="75" t="n"/>
    </row>
    <row r="3758" ht="15.75" customHeight="1" s="133">
      <c r="A3758" s="75" t="n"/>
      <c r="B3758" s="75" t="n"/>
      <c r="C3758" s="75" t="n"/>
      <c r="D3758" s="75" t="n"/>
      <c r="E3758" s="76" t="n"/>
      <c r="F3758" s="77" t="n"/>
      <c r="G3758" s="75" t="n"/>
      <c r="H3758" s="75">
        <f>IF(ISBLANK(E3758),"",IF(OR(D3758="Butterfly",D3758="Butterfly ",D3758="Iron Fly", D3758="Iron Fly "),LEN(E3758)-LEN(SUBSTITUTE(E3758,"/",""))+2,LEN(E3758)-LEN(SUBSTITUTE(E3758,"/",""))+1))</f>
        <v/>
      </c>
      <c r="I3758" s="78">
        <f>IF(ISBLANK(G3758),"",IF(D3758="Stock","0",Key!$A$3*H3758*G3758))</f>
        <v/>
      </c>
      <c r="J3758" s="78">
        <f>IF(ISBLANK(E3758),"",IF(ISNUMBER(SEARCH("/",E3758)), IF(LEN(E3758)-LEN(SUBSTITUTE(E3758,"/",""))=1,(RIGHT(E3758,LEN(E3758)-FIND("/",E3758)))-(LEFT(E3758,FIND("/",E3758)-1)),(MID(E3758, SEARCH("/",E3758) + 1, SEARCH("/",E3758, SEARCH("/",E3758)+1) - SEARCH("/",E3758) - 1))-(LEFT(E3758,FIND("/",E3758)-1))), "NA"))</f>
        <v/>
      </c>
      <c r="K3758" s="79">
        <f>IF(A3758&lt;&gt;"", IF(ISBLANK(L3758), TODAY(), K3758), "")</f>
        <v/>
      </c>
      <c r="L3758" s="78" t="n"/>
      <c r="M3758" s="78">
        <f>IF(ISBLANK(L3758),"",IF(D3758="Stock",IF(C3758="Buy",L3758*G3758,IF(C3758="Sell",(L3758*G3758)-I3758, X)),IF(C3758="Buy",(L3758*G3758*100)+I3758,IF(C3758="Sell",(L3758*G3758*100)-I3758, X))))</f>
        <v/>
      </c>
      <c r="N3758" s="78">
        <f>IF(ISBLANK(L3758),"",IF(AND(C3758="Sell",D3758="Stock"),M3758,IF(ISBLANK(L3758),"",IF(C3758="Buy",M3758, IF(AND(C3758="Sell",J3758="NA"),(E3758*G3758*100*0.1)+I3758, IF(C3758="Sell",(J3758-L3758)*(100*G3758)+I3758))))))</f>
        <v/>
      </c>
      <c r="O3758" s="75" t="n"/>
      <c r="P3758" s="75" t="n"/>
      <c r="Q3758" s="75">
        <f>IF(ISBLANK(P3758),"",IF(D3758="Stock",P3758*G3758,IF(P3758=0,"0",G3758*P3758*100-(G3758*$AF$14))))</f>
        <v/>
      </c>
      <c r="R3758" s="79">
        <f>IF(P3758&lt;&gt;"", TODAY(), "")</f>
        <v/>
      </c>
      <c r="S3758" s="78">
        <f>IF(AND(K3758&lt;&gt;"", R3758&lt;&gt;""), R3758-K3758, "")</f>
        <v/>
      </c>
      <c r="T3758" s="78" t="n"/>
      <c r="U3758" s="92">
        <f>IF(ISBLANK(P3758),"",IF(C3758="Buy",Q3758-M3758+T3758, IF(C3758="Sell",M3758-Q3758-T3758, X)))</f>
        <v/>
      </c>
      <c r="V3758" s="81">
        <f>IF(ISBLANK(P3758),"",U3758/N3758)</f>
        <v/>
      </c>
      <c r="W3758" s="81">
        <f>IF(ISBLANK(P3758),"",IF(S3758=0,(365/0.5)*V3758,(365/S3758)*V3758))</f>
        <v/>
      </c>
      <c r="X3758" s="75" t="n"/>
      <c r="Y3758" s="77" t="n"/>
      <c r="Z3758" s="77" t="n"/>
      <c r="AA3758" s="75" t="n"/>
      <c r="AB3758" s="75" t="n"/>
      <c r="AC3758" s="6" t="n"/>
      <c r="AD3758" s="75" t="n"/>
      <c r="AE3758" s="75" t="n"/>
      <c r="AF3758" s="75" t="n"/>
    </row>
    <row r="3759" ht="15.75" customHeight="1" s="133">
      <c r="A3759" s="75" t="n"/>
      <c r="B3759" s="75" t="n"/>
      <c r="C3759" s="75" t="n"/>
      <c r="D3759" s="75" t="n"/>
      <c r="E3759" s="76" t="n"/>
      <c r="F3759" s="77" t="n"/>
      <c r="G3759" s="75" t="n"/>
      <c r="H3759" s="75">
        <f>IF(ISBLANK(E3759),"",IF(OR(D3759="Butterfly",D3759="Butterfly ",D3759="Iron Fly", D3759="Iron Fly "),LEN(E3759)-LEN(SUBSTITUTE(E3759,"/",""))+2,LEN(E3759)-LEN(SUBSTITUTE(E3759,"/",""))+1))</f>
        <v/>
      </c>
      <c r="I3759" s="78">
        <f>IF(ISBLANK(G3759),"",IF(D3759="Stock","0",Key!$A$3*H3759*G3759))</f>
        <v/>
      </c>
      <c r="J3759" s="78">
        <f>IF(ISBLANK(E3759),"",IF(ISNUMBER(SEARCH("/",E3759)), IF(LEN(E3759)-LEN(SUBSTITUTE(E3759,"/",""))=1,(RIGHT(E3759,LEN(E3759)-FIND("/",E3759)))-(LEFT(E3759,FIND("/",E3759)-1)),(MID(E3759, SEARCH("/",E3759) + 1, SEARCH("/",E3759, SEARCH("/",E3759)+1) - SEARCH("/",E3759) - 1))-(LEFT(E3759,FIND("/",E3759)-1))), "NA"))</f>
        <v/>
      </c>
      <c r="K3759" s="79">
        <f>IF(A3759&lt;&gt;"", IF(ISBLANK(L3759), TODAY(), K3759), "")</f>
        <v/>
      </c>
      <c r="L3759" s="78" t="n"/>
      <c r="M3759" s="78">
        <f>IF(ISBLANK(L3759),"",IF(D3759="Stock",IF(C3759="Buy",L3759*G3759,IF(C3759="Sell",(L3759*G3759)-I3759, X)),IF(C3759="Buy",(L3759*G3759*100)+I3759,IF(C3759="Sell",(L3759*G3759*100)-I3759, X))))</f>
        <v/>
      </c>
      <c r="N3759" s="78">
        <f>IF(ISBLANK(L3759),"",IF(AND(C3759="Sell",D3759="Stock"),M3759,IF(ISBLANK(L3759),"",IF(C3759="Buy",M3759, IF(AND(C3759="Sell",J3759="NA"),(E3759*G3759*100*0.1)+I3759, IF(C3759="Sell",(J3759-L3759)*(100*G3759)+I3759))))))</f>
        <v/>
      </c>
      <c r="O3759" s="75" t="n"/>
      <c r="P3759" s="75" t="n"/>
      <c r="Q3759" s="75">
        <f>IF(ISBLANK(P3759),"",IF(D3759="Stock",P3759*G3759,IF(P3759=0,"0",G3759*P3759*100-(G3759*$AF$14))))</f>
        <v/>
      </c>
      <c r="R3759" s="79">
        <f>IF(P3759&lt;&gt;"", TODAY(), "")</f>
        <v/>
      </c>
      <c r="S3759" s="78">
        <f>IF(AND(K3759&lt;&gt;"", R3759&lt;&gt;""), R3759-K3759, "")</f>
        <v/>
      </c>
      <c r="T3759" s="78" t="n"/>
      <c r="U3759" s="92">
        <f>IF(ISBLANK(P3759),"",IF(C3759="Buy",Q3759-M3759+T3759, IF(C3759="Sell",M3759-Q3759-T3759, X)))</f>
        <v/>
      </c>
      <c r="V3759" s="81">
        <f>IF(ISBLANK(P3759),"",U3759/N3759)</f>
        <v/>
      </c>
      <c r="W3759" s="81">
        <f>IF(ISBLANK(P3759),"",IF(S3759=0,(365/0.5)*V3759,(365/S3759)*V3759))</f>
        <v/>
      </c>
      <c r="X3759" s="75" t="n"/>
      <c r="Y3759" s="77" t="n"/>
      <c r="Z3759" s="77" t="n"/>
      <c r="AA3759" s="75" t="n"/>
      <c r="AB3759" s="75" t="n"/>
      <c r="AC3759" s="6" t="n"/>
      <c r="AD3759" s="75" t="n"/>
      <c r="AE3759" s="75" t="n"/>
      <c r="AF3759" s="75" t="n"/>
    </row>
    <row r="3760" ht="15.75" customHeight="1" s="133">
      <c r="A3760" s="75" t="n"/>
      <c r="B3760" s="75" t="n"/>
      <c r="C3760" s="75" t="n"/>
      <c r="D3760" s="75" t="n"/>
      <c r="E3760" s="76" t="n"/>
      <c r="F3760" s="77" t="n"/>
      <c r="G3760" s="75" t="n"/>
      <c r="H3760" s="75">
        <f>IF(ISBLANK(E3760),"",IF(OR(D3760="Butterfly",D3760="Butterfly ",D3760="Iron Fly", D3760="Iron Fly "),LEN(E3760)-LEN(SUBSTITUTE(E3760,"/",""))+2,LEN(E3760)-LEN(SUBSTITUTE(E3760,"/",""))+1))</f>
        <v/>
      </c>
      <c r="I3760" s="78">
        <f>IF(ISBLANK(G3760),"",IF(D3760="Stock","0",Key!$A$3*H3760*G3760))</f>
        <v/>
      </c>
      <c r="J3760" s="78">
        <f>IF(ISBLANK(E3760),"",IF(ISNUMBER(SEARCH("/",E3760)), IF(LEN(E3760)-LEN(SUBSTITUTE(E3760,"/",""))=1,(RIGHT(E3760,LEN(E3760)-FIND("/",E3760)))-(LEFT(E3760,FIND("/",E3760)-1)),(MID(E3760, SEARCH("/",E3760) + 1, SEARCH("/",E3760, SEARCH("/",E3760)+1) - SEARCH("/",E3760) - 1))-(LEFT(E3760,FIND("/",E3760)-1))), "NA"))</f>
        <v/>
      </c>
      <c r="K3760" s="79">
        <f>IF(A3760&lt;&gt;"", IF(ISBLANK(L3760), TODAY(), K3760), "")</f>
        <v/>
      </c>
      <c r="L3760" s="78" t="n"/>
      <c r="M3760" s="78">
        <f>IF(ISBLANK(L3760),"",IF(D3760="Stock",IF(C3760="Buy",L3760*G3760,IF(C3760="Sell",(L3760*G3760)-I3760, X)),IF(C3760="Buy",(L3760*G3760*100)+I3760,IF(C3760="Sell",(L3760*G3760*100)-I3760, X))))</f>
        <v/>
      </c>
      <c r="N3760" s="78">
        <f>IF(ISBLANK(L3760),"",IF(AND(C3760="Sell",D3760="Stock"),M3760,IF(ISBLANK(L3760),"",IF(C3760="Buy",M3760, IF(AND(C3760="Sell",J3760="NA"),(E3760*G3760*100*0.1)+I3760, IF(C3760="Sell",(J3760-L3760)*(100*G3760)+I3760))))))</f>
        <v/>
      </c>
      <c r="O3760" s="75" t="n"/>
      <c r="P3760" s="75" t="n"/>
      <c r="Q3760" s="75">
        <f>IF(ISBLANK(P3760),"",IF(D3760="Stock",P3760*G3760,IF(P3760=0,"0",G3760*P3760*100-(G3760*$AF$14))))</f>
        <v/>
      </c>
      <c r="R3760" s="79">
        <f>IF(P3760&lt;&gt;"", TODAY(), "")</f>
        <v/>
      </c>
      <c r="S3760" s="78">
        <f>IF(AND(K3760&lt;&gt;"", R3760&lt;&gt;""), R3760-K3760, "")</f>
        <v/>
      </c>
      <c r="T3760" s="78" t="n"/>
      <c r="U3760" s="92">
        <f>IF(ISBLANK(P3760),"",IF(C3760="Buy",Q3760-M3760+T3760, IF(C3760="Sell",M3760-Q3760-T3760, X)))</f>
        <v/>
      </c>
      <c r="V3760" s="81">
        <f>IF(ISBLANK(P3760),"",U3760/N3760)</f>
        <v/>
      </c>
      <c r="W3760" s="81">
        <f>IF(ISBLANK(P3760),"",IF(S3760=0,(365/0.5)*V3760,(365/S3760)*V3760))</f>
        <v/>
      </c>
      <c r="X3760" s="75" t="n"/>
      <c r="Y3760" s="77" t="n"/>
      <c r="Z3760" s="77" t="n"/>
      <c r="AA3760" s="75" t="n"/>
      <c r="AB3760" s="75" t="n"/>
      <c r="AC3760" s="6" t="n"/>
      <c r="AD3760" s="75" t="n"/>
      <c r="AE3760" s="75" t="n"/>
      <c r="AF3760" s="75" t="n"/>
    </row>
    <row r="3761" ht="15.75" customHeight="1" s="133">
      <c r="A3761" s="75" t="n"/>
      <c r="B3761" s="75" t="n"/>
      <c r="C3761" s="75" t="n"/>
      <c r="D3761" s="75" t="n"/>
      <c r="E3761" s="76" t="n"/>
      <c r="F3761" s="77" t="n"/>
      <c r="G3761" s="75" t="n"/>
      <c r="H3761" s="75">
        <f>IF(ISBLANK(E3761),"",IF(OR(D3761="Butterfly",D3761="Butterfly ",D3761="Iron Fly", D3761="Iron Fly "),LEN(E3761)-LEN(SUBSTITUTE(E3761,"/",""))+2,LEN(E3761)-LEN(SUBSTITUTE(E3761,"/",""))+1))</f>
        <v/>
      </c>
      <c r="I3761" s="78">
        <f>IF(ISBLANK(G3761),"",IF(D3761="Stock","0",Key!$A$3*H3761*G3761))</f>
        <v/>
      </c>
      <c r="J3761" s="78">
        <f>IF(ISBLANK(E3761),"",IF(ISNUMBER(SEARCH("/",E3761)), IF(LEN(E3761)-LEN(SUBSTITUTE(E3761,"/",""))=1,(RIGHT(E3761,LEN(E3761)-FIND("/",E3761)))-(LEFT(E3761,FIND("/",E3761)-1)),(MID(E3761, SEARCH("/",E3761) + 1, SEARCH("/",E3761, SEARCH("/",E3761)+1) - SEARCH("/",E3761) - 1))-(LEFT(E3761,FIND("/",E3761)-1))), "NA"))</f>
        <v/>
      </c>
      <c r="K3761" s="79">
        <f>IF(A3761&lt;&gt;"", IF(ISBLANK(L3761), TODAY(), K3761), "")</f>
        <v/>
      </c>
      <c r="L3761" s="78" t="n"/>
      <c r="M3761" s="78">
        <f>IF(ISBLANK(L3761),"",IF(D3761="Stock",IF(C3761="Buy",L3761*G3761,IF(C3761="Sell",(L3761*G3761)-I3761, X)),IF(C3761="Buy",(L3761*G3761*100)+I3761,IF(C3761="Sell",(L3761*G3761*100)-I3761, X))))</f>
        <v/>
      </c>
      <c r="N3761" s="78">
        <f>IF(ISBLANK(L3761),"",IF(AND(C3761="Sell",D3761="Stock"),M3761,IF(ISBLANK(L3761),"",IF(C3761="Buy",M3761, IF(AND(C3761="Sell",J3761="NA"),(E3761*G3761*100*0.1)+I3761, IF(C3761="Sell",(J3761-L3761)*(100*G3761)+I3761))))))</f>
        <v/>
      </c>
      <c r="O3761" s="75" t="n"/>
      <c r="P3761" s="75" t="n"/>
      <c r="Q3761" s="75">
        <f>IF(ISBLANK(P3761),"",IF(D3761="Stock",P3761*G3761,IF(P3761=0,"0",G3761*P3761*100-(G3761*$AF$14))))</f>
        <v/>
      </c>
      <c r="R3761" s="79">
        <f>IF(P3761&lt;&gt;"", TODAY(), "")</f>
        <v/>
      </c>
      <c r="S3761" s="78">
        <f>IF(AND(K3761&lt;&gt;"", R3761&lt;&gt;""), R3761-K3761, "")</f>
        <v/>
      </c>
      <c r="T3761" s="78" t="n"/>
      <c r="U3761" s="92">
        <f>IF(ISBLANK(P3761),"",IF(C3761="Buy",Q3761-M3761+T3761, IF(C3761="Sell",M3761-Q3761-T3761, X)))</f>
        <v/>
      </c>
      <c r="V3761" s="81">
        <f>IF(ISBLANK(P3761),"",U3761/N3761)</f>
        <v/>
      </c>
      <c r="W3761" s="81">
        <f>IF(ISBLANK(P3761),"",IF(S3761=0,(365/0.5)*V3761,(365/S3761)*V3761))</f>
        <v/>
      </c>
      <c r="X3761" s="75" t="n"/>
      <c r="Y3761" s="77" t="n"/>
      <c r="Z3761" s="77" t="n"/>
      <c r="AA3761" s="75" t="n"/>
      <c r="AB3761" s="75" t="n"/>
      <c r="AC3761" s="6" t="n"/>
      <c r="AD3761" s="75" t="n"/>
      <c r="AE3761" s="75" t="n"/>
      <c r="AF3761" s="75" t="n"/>
    </row>
    <row r="3762" ht="15.75" customHeight="1" s="133">
      <c r="A3762" s="75" t="n"/>
      <c r="B3762" s="75" t="n"/>
      <c r="C3762" s="75" t="n"/>
      <c r="D3762" s="75" t="n"/>
      <c r="E3762" s="76" t="n"/>
      <c r="F3762" s="77" t="n"/>
      <c r="G3762" s="75" t="n"/>
      <c r="H3762" s="75">
        <f>IF(ISBLANK(E3762),"",IF(OR(D3762="Butterfly",D3762="Butterfly ",D3762="Iron Fly", D3762="Iron Fly "),LEN(E3762)-LEN(SUBSTITUTE(E3762,"/",""))+2,LEN(E3762)-LEN(SUBSTITUTE(E3762,"/",""))+1))</f>
        <v/>
      </c>
      <c r="I3762" s="78">
        <f>IF(ISBLANK(G3762),"",IF(D3762="Stock","0",Key!$A$3*H3762*G3762))</f>
        <v/>
      </c>
      <c r="J3762" s="78">
        <f>IF(ISBLANK(E3762),"",IF(ISNUMBER(SEARCH("/",E3762)), IF(LEN(E3762)-LEN(SUBSTITUTE(E3762,"/",""))=1,(RIGHT(E3762,LEN(E3762)-FIND("/",E3762)))-(LEFT(E3762,FIND("/",E3762)-1)),(MID(E3762, SEARCH("/",E3762) + 1, SEARCH("/",E3762, SEARCH("/",E3762)+1) - SEARCH("/",E3762) - 1))-(LEFT(E3762,FIND("/",E3762)-1))), "NA"))</f>
        <v/>
      </c>
      <c r="K3762" s="79">
        <f>IF(A3762&lt;&gt;"", IF(ISBLANK(L3762), TODAY(), K3762), "")</f>
        <v/>
      </c>
      <c r="L3762" s="78" t="n"/>
      <c r="M3762" s="78">
        <f>IF(ISBLANK(L3762),"",IF(D3762="Stock",IF(C3762="Buy",L3762*G3762,IF(C3762="Sell",(L3762*G3762)-I3762, X)),IF(C3762="Buy",(L3762*G3762*100)+I3762,IF(C3762="Sell",(L3762*G3762*100)-I3762, X))))</f>
        <v/>
      </c>
      <c r="N3762" s="78">
        <f>IF(ISBLANK(L3762),"",IF(AND(C3762="Sell",D3762="Stock"),M3762,IF(ISBLANK(L3762),"",IF(C3762="Buy",M3762, IF(AND(C3762="Sell",J3762="NA"),(E3762*G3762*100*0.1)+I3762, IF(C3762="Sell",(J3762-L3762)*(100*G3762)+I3762))))))</f>
        <v/>
      </c>
      <c r="O3762" s="75" t="n"/>
      <c r="P3762" s="75" t="n"/>
      <c r="Q3762" s="75">
        <f>IF(ISBLANK(P3762),"",IF(D3762="Stock",P3762*G3762,IF(P3762=0,"0",G3762*P3762*100-(G3762*$AF$14))))</f>
        <v/>
      </c>
      <c r="R3762" s="79">
        <f>IF(P3762&lt;&gt;"", TODAY(), "")</f>
        <v/>
      </c>
      <c r="S3762" s="78">
        <f>IF(AND(K3762&lt;&gt;"", R3762&lt;&gt;""), R3762-K3762, "")</f>
        <v/>
      </c>
      <c r="T3762" s="78" t="n"/>
      <c r="U3762" s="92">
        <f>IF(ISBLANK(P3762),"",IF(C3762="Buy",Q3762-M3762+T3762, IF(C3762="Sell",M3762-Q3762-T3762, X)))</f>
        <v/>
      </c>
      <c r="V3762" s="81">
        <f>IF(ISBLANK(P3762),"",U3762/N3762)</f>
        <v/>
      </c>
      <c r="W3762" s="81">
        <f>IF(ISBLANK(P3762),"",IF(S3762=0,(365/0.5)*V3762,(365/S3762)*V3762))</f>
        <v/>
      </c>
      <c r="X3762" s="75" t="n"/>
      <c r="Y3762" s="77" t="n"/>
      <c r="Z3762" s="77" t="n"/>
      <c r="AA3762" s="75" t="n"/>
      <c r="AB3762" s="75" t="n"/>
      <c r="AC3762" s="6" t="n"/>
      <c r="AD3762" s="75" t="n"/>
      <c r="AE3762" s="75" t="n"/>
      <c r="AF3762" s="75" t="n"/>
    </row>
    <row r="3763" ht="15.75" customHeight="1" s="133">
      <c r="A3763" s="75" t="n"/>
      <c r="B3763" s="75" t="n"/>
      <c r="C3763" s="75" t="n"/>
      <c r="D3763" s="75" t="n"/>
      <c r="E3763" s="76" t="n"/>
      <c r="F3763" s="77" t="n"/>
      <c r="G3763" s="75" t="n"/>
      <c r="H3763" s="75">
        <f>IF(ISBLANK(E3763),"",IF(OR(D3763="Butterfly",D3763="Butterfly ",D3763="Iron Fly", D3763="Iron Fly "),LEN(E3763)-LEN(SUBSTITUTE(E3763,"/",""))+2,LEN(E3763)-LEN(SUBSTITUTE(E3763,"/",""))+1))</f>
        <v/>
      </c>
      <c r="I3763" s="78">
        <f>IF(ISBLANK(G3763),"",IF(D3763="Stock","0",Key!$A$3*H3763*G3763))</f>
        <v/>
      </c>
      <c r="J3763" s="78">
        <f>IF(ISBLANK(E3763),"",IF(ISNUMBER(SEARCH("/",E3763)), IF(LEN(E3763)-LEN(SUBSTITUTE(E3763,"/",""))=1,(RIGHT(E3763,LEN(E3763)-FIND("/",E3763)))-(LEFT(E3763,FIND("/",E3763)-1)),(MID(E3763, SEARCH("/",E3763) + 1, SEARCH("/",E3763, SEARCH("/",E3763)+1) - SEARCH("/",E3763) - 1))-(LEFT(E3763,FIND("/",E3763)-1))), "NA"))</f>
        <v/>
      </c>
      <c r="K3763" s="79">
        <f>IF(A3763&lt;&gt;"", IF(ISBLANK(L3763), TODAY(), K3763), "")</f>
        <v/>
      </c>
      <c r="L3763" s="78" t="n"/>
      <c r="M3763" s="78">
        <f>IF(ISBLANK(L3763),"",IF(D3763="Stock",IF(C3763="Buy",L3763*G3763,IF(C3763="Sell",(L3763*G3763)-I3763, X)),IF(C3763="Buy",(L3763*G3763*100)+I3763,IF(C3763="Sell",(L3763*G3763*100)-I3763, X))))</f>
        <v/>
      </c>
      <c r="N3763" s="78">
        <f>IF(ISBLANK(L3763),"",IF(AND(C3763="Sell",D3763="Stock"),M3763,IF(ISBLANK(L3763),"",IF(C3763="Buy",M3763, IF(AND(C3763="Sell",J3763="NA"),(E3763*G3763*100*0.1)+I3763, IF(C3763="Sell",(J3763-L3763)*(100*G3763)+I3763))))))</f>
        <v/>
      </c>
      <c r="O3763" s="75" t="n"/>
      <c r="P3763" s="75" t="n"/>
      <c r="Q3763" s="75">
        <f>IF(ISBLANK(P3763),"",IF(D3763="Stock",P3763*G3763,IF(P3763=0,"0",G3763*P3763*100-(G3763*$AF$14))))</f>
        <v/>
      </c>
      <c r="R3763" s="79">
        <f>IF(P3763&lt;&gt;"", TODAY(), "")</f>
        <v/>
      </c>
      <c r="S3763" s="78">
        <f>IF(AND(K3763&lt;&gt;"", R3763&lt;&gt;""), R3763-K3763, "")</f>
        <v/>
      </c>
      <c r="T3763" s="78" t="n"/>
      <c r="U3763" s="92">
        <f>IF(ISBLANK(P3763),"",IF(C3763="Buy",Q3763-M3763+T3763, IF(C3763="Sell",M3763-Q3763-T3763, X)))</f>
        <v/>
      </c>
      <c r="V3763" s="81">
        <f>IF(ISBLANK(P3763),"",U3763/N3763)</f>
        <v/>
      </c>
      <c r="W3763" s="81">
        <f>IF(ISBLANK(P3763),"",IF(S3763=0,(365/0.5)*V3763,(365/S3763)*V3763))</f>
        <v/>
      </c>
      <c r="X3763" s="75" t="n"/>
      <c r="Y3763" s="77" t="n"/>
      <c r="Z3763" s="77" t="n"/>
      <c r="AA3763" s="75" t="n"/>
      <c r="AB3763" s="75" t="n"/>
      <c r="AC3763" s="6" t="n"/>
      <c r="AD3763" s="75" t="n"/>
      <c r="AE3763" s="75" t="n"/>
      <c r="AF3763" s="75" t="n"/>
    </row>
    <row r="3764" ht="15.75" customHeight="1" s="133">
      <c r="A3764" s="75" t="n"/>
      <c r="B3764" s="75" t="n"/>
      <c r="C3764" s="75" t="n"/>
      <c r="D3764" s="75" t="n"/>
      <c r="E3764" s="76" t="n"/>
      <c r="F3764" s="77" t="n"/>
      <c r="G3764" s="75" t="n"/>
      <c r="H3764" s="75">
        <f>IF(ISBLANK(E3764),"",IF(OR(D3764="Butterfly",D3764="Butterfly ",D3764="Iron Fly", D3764="Iron Fly "),LEN(E3764)-LEN(SUBSTITUTE(E3764,"/",""))+2,LEN(E3764)-LEN(SUBSTITUTE(E3764,"/",""))+1))</f>
        <v/>
      </c>
      <c r="I3764" s="78">
        <f>IF(ISBLANK(G3764),"",IF(D3764="Stock","0",Key!$A$3*H3764*G3764))</f>
        <v/>
      </c>
      <c r="J3764" s="78">
        <f>IF(ISBLANK(E3764),"",IF(ISNUMBER(SEARCH("/",E3764)), IF(LEN(E3764)-LEN(SUBSTITUTE(E3764,"/",""))=1,(RIGHT(E3764,LEN(E3764)-FIND("/",E3764)))-(LEFT(E3764,FIND("/",E3764)-1)),(MID(E3764, SEARCH("/",E3764) + 1, SEARCH("/",E3764, SEARCH("/",E3764)+1) - SEARCH("/",E3764) - 1))-(LEFT(E3764,FIND("/",E3764)-1))), "NA"))</f>
        <v/>
      </c>
      <c r="K3764" s="79">
        <f>IF(A3764&lt;&gt;"", IF(ISBLANK(L3764), TODAY(), K3764), "")</f>
        <v/>
      </c>
      <c r="L3764" s="78" t="n"/>
      <c r="M3764" s="78">
        <f>IF(ISBLANK(L3764),"",IF(D3764="Stock",IF(C3764="Buy",L3764*G3764,IF(C3764="Sell",(L3764*G3764)-I3764, X)),IF(C3764="Buy",(L3764*G3764*100)+I3764,IF(C3764="Sell",(L3764*G3764*100)-I3764, X))))</f>
        <v/>
      </c>
      <c r="N3764" s="78">
        <f>IF(ISBLANK(L3764),"",IF(AND(C3764="Sell",D3764="Stock"),M3764,IF(ISBLANK(L3764),"",IF(C3764="Buy",M3764, IF(AND(C3764="Sell",J3764="NA"),(E3764*G3764*100*0.1)+I3764, IF(C3764="Sell",(J3764-L3764)*(100*G3764)+I3764))))))</f>
        <v/>
      </c>
      <c r="O3764" s="75" t="n"/>
      <c r="P3764" s="75" t="n"/>
      <c r="Q3764" s="75">
        <f>IF(ISBLANK(P3764),"",IF(D3764="Stock",P3764*G3764,IF(P3764=0,"0",G3764*P3764*100-(G3764*$AF$14))))</f>
        <v/>
      </c>
      <c r="R3764" s="79">
        <f>IF(P3764&lt;&gt;"", TODAY(), "")</f>
        <v/>
      </c>
      <c r="S3764" s="78">
        <f>IF(AND(K3764&lt;&gt;"", R3764&lt;&gt;""), R3764-K3764, "")</f>
        <v/>
      </c>
      <c r="T3764" s="78" t="n"/>
      <c r="U3764" s="92">
        <f>IF(ISBLANK(P3764),"",IF(C3764="Buy",Q3764-M3764+T3764, IF(C3764="Sell",M3764-Q3764-T3764, X)))</f>
        <v/>
      </c>
      <c r="V3764" s="81">
        <f>IF(ISBLANK(P3764),"",U3764/N3764)</f>
        <v/>
      </c>
      <c r="W3764" s="81">
        <f>IF(ISBLANK(P3764),"",IF(S3764=0,(365/0.5)*V3764,(365/S3764)*V3764))</f>
        <v/>
      </c>
      <c r="X3764" s="75" t="n"/>
      <c r="Y3764" s="77" t="n"/>
      <c r="Z3764" s="77" t="n"/>
      <c r="AA3764" s="75" t="n"/>
      <c r="AB3764" s="75" t="n"/>
      <c r="AC3764" s="6" t="n"/>
      <c r="AD3764" s="75" t="n"/>
      <c r="AE3764" s="75" t="n"/>
      <c r="AF3764" s="75" t="n"/>
    </row>
    <row r="3765" ht="15.75" customHeight="1" s="133">
      <c r="A3765" s="75" t="n"/>
      <c r="B3765" s="75" t="n"/>
      <c r="C3765" s="75" t="n"/>
      <c r="D3765" s="75" t="n"/>
      <c r="E3765" s="76" t="n"/>
      <c r="F3765" s="77" t="n"/>
      <c r="G3765" s="75" t="n"/>
      <c r="H3765" s="75">
        <f>IF(ISBLANK(E3765),"",IF(OR(D3765="Butterfly",D3765="Butterfly ",D3765="Iron Fly", D3765="Iron Fly "),LEN(E3765)-LEN(SUBSTITUTE(E3765,"/",""))+2,LEN(E3765)-LEN(SUBSTITUTE(E3765,"/",""))+1))</f>
        <v/>
      </c>
      <c r="I3765" s="78">
        <f>IF(ISBLANK(G3765),"",IF(D3765="Stock","0",Key!$A$3*H3765*G3765))</f>
        <v/>
      </c>
      <c r="J3765" s="78">
        <f>IF(ISBLANK(E3765),"",IF(ISNUMBER(SEARCH("/",E3765)), IF(LEN(E3765)-LEN(SUBSTITUTE(E3765,"/",""))=1,(RIGHT(E3765,LEN(E3765)-FIND("/",E3765)))-(LEFT(E3765,FIND("/",E3765)-1)),(MID(E3765, SEARCH("/",E3765) + 1, SEARCH("/",E3765, SEARCH("/",E3765)+1) - SEARCH("/",E3765) - 1))-(LEFT(E3765,FIND("/",E3765)-1))), "NA"))</f>
        <v/>
      </c>
      <c r="K3765" s="79">
        <f>IF(A3765&lt;&gt;"", IF(ISBLANK(L3765), TODAY(), K3765), "")</f>
        <v/>
      </c>
      <c r="L3765" s="78" t="n"/>
      <c r="M3765" s="78">
        <f>IF(ISBLANK(L3765),"",IF(D3765="Stock",IF(C3765="Buy",L3765*G3765,IF(C3765="Sell",(L3765*G3765)-I3765, X)),IF(C3765="Buy",(L3765*G3765*100)+I3765,IF(C3765="Sell",(L3765*G3765*100)-I3765, X))))</f>
        <v/>
      </c>
      <c r="N3765" s="78">
        <f>IF(ISBLANK(L3765),"",IF(AND(C3765="Sell",D3765="Stock"),M3765,IF(ISBLANK(L3765),"",IF(C3765="Buy",M3765, IF(AND(C3765="Sell",J3765="NA"),(E3765*G3765*100*0.1)+I3765, IF(C3765="Sell",(J3765-L3765)*(100*G3765)+I3765))))))</f>
        <v/>
      </c>
      <c r="O3765" s="75" t="n"/>
      <c r="P3765" s="75" t="n"/>
      <c r="Q3765" s="75">
        <f>IF(ISBLANK(P3765),"",IF(D3765="Stock",P3765*G3765,IF(P3765=0,"0",G3765*P3765*100-(G3765*$AF$14))))</f>
        <v/>
      </c>
      <c r="R3765" s="79">
        <f>IF(P3765&lt;&gt;"", TODAY(), "")</f>
        <v/>
      </c>
      <c r="S3765" s="78">
        <f>IF(AND(K3765&lt;&gt;"", R3765&lt;&gt;""), R3765-K3765, "")</f>
        <v/>
      </c>
      <c r="T3765" s="78" t="n"/>
      <c r="U3765" s="92">
        <f>IF(ISBLANK(P3765),"",IF(C3765="Buy",Q3765-M3765+T3765, IF(C3765="Sell",M3765-Q3765-T3765, X)))</f>
        <v/>
      </c>
      <c r="V3765" s="81">
        <f>IF(ISBLANK(P3765),"",U3765/N3765)</f>
        <v/>
      </c>
      <c r="W3765" s="81">
        <f>IF(ISBLANK(P3765),"",IF(S3765=0,(365/0.5)*V3765,(365/S3765)*V3765))</f>
        <v/>
      </c>
      <c r="X3765" s="75" t="n"/>
      <c r="Y3765" s="77" t="n"/>
      <c r="Z3765" s="77" t="n"/>
      <c r="AA3765" s="75" t="n"/>
      <c r="AB3765" s="75" t="n"/>
      <c r="AC3765" s="6" t="n"/>
      <c r="AD3765" s="75" t="n"/>
      <c r="AE3765" s="75" t="n"/>
      <c r="AF3765" s="75" t="n"/>
    </row>
    <row r="3766" ht="15.75" customHeight="1" s="133">
      <c r="A3766" s="75" t="n"/>
      <c r="B3766" s="75" t="n"/>
      <c r="C3766" s="75" t="n"/>
      <c r="D3766" s="75" t="n"/>
      <c r="E3766" s="76" t="n"/>
      <c r="F3766" s="77" t="n"/>
      <c r="G3766" s="75" t="n"/>
      <c r="H3766" s="75">
        <f>IF(ISBLANK(E3766),"",IF(OR(D3766="Butterfly",D3766="Butterfly ",D3766="Iron Fly", D3766="Iron Fly "),LEN(E3766)-LEN(SUBSTITUTE(E3766,"/",""))+2,LEN(E3766)-LEN(SUBSTITUTE(E3766,"/",""))+1))</f>
        <v/>
      </c>
      <c r="I3766" s="78">
        <f>IF(ISBLANK(G3766),"",IF(D3766="Stock","0",Key!$A$3*H3766*G3766))</f>
        <v/>
      </c>
      <c r="J3766" s="78">
        <f>IF(ISBLANK(E3766),"",IF(ISNUMBER(SEARCH("/",E3766)), IF(LEN(E3766)-LEN(SUBSTITUTE(E3766,"/",""))=1,(RIGHT(E3766,LEN(E3766)-FIND("/",E3766)))-(LEFT(E3766,FIND("/",E3766)-1)),(MID(E3766, SEARCH("/",E3766) + 1, SEARCH("/",E3766, SEARCH("/",E3766)+1) - SEARCH("/",E3766) - 1))-(LEFT(E3766,FIND("/",E3766)-1))), "NA"))</f>
        <v/>
      </c>
      <c r="K3766" s="79">
        <f>IF(A3766&lt;&gt;"", IF(ISBLANK(L3766), TODAY(), K3766), "")</f>
        <v/>
      </c>
      <c r="L3766" s="78" t="n"/>
      <c r="M3766" s="78">
        <f>IF(ISBLANK(L3766),"",IF(D3766="Stock",IF(C3766="Buy",L3766*G3766,IF(C3766="Sell",(L3766*G3766)-I3766, X)),IF(C3766="Buy",(L3766*G3766*100)+I3766,IF(C3766="Sell",(L3766*G3766*100)-I3766, X))))</f>
        <v/>
      </c>
      <c r="N3766" s="78">
        <f>IF(ISBLANK(L3766),"",IF(AND(C3766="Sell",D3766="Stock"),M3766,IF(ISBLANK(L3766),"",IF(C3766="Buy",M3766, IF(AND(C3766="Sell",J3766="NA"),(E3766*G3766*100*0.1)+I3766, IF(C3766="Sell",(J3766-L3766)*(100*G3766)+I3766))))))</f>
        <v/>
      </c>
      <c r="O3766" s="75" t="n"/>
      <c r="P3766" s="75" t="n"/>
      <c r="Q3766" s="75">
        <f>IF(ISBLANK(P3766),"",IF(D3766="Stock",P3766*G3766,IF(P3766=0,"0",G3766*P3766*100-(G3766*$AF$14))))</f>
        <v/>
      </c>
      <c r="R3766" s="79">
        <f>IF(P3766&lt;&gt;"", TODAY(), "")</f>
        <v/>
      </c>
      <c r="S3766" s="78">
        <f>IF(AND(K3766&lt;&gt;"", R3766&lt;&gt;""), R3766-K3766, "")</f>
        <v/>
      </c>
      <c r="T3766" s="78" t="n"/>
      <c r="U3766" s="92">
        <f>IF(ISBLANK(P3766),"",IF(C3766="Buy",Q3766-M3766+T3766, IF(C3766="Sell",M3766-Q3766-T3766, X)))</f>
        <v/>
      </c>
      <c r="V3766" s="81">
        <f>IF(ISBLANK(P3766),"",U3766/N3766)</f>
        <v/>
      </c>
      <c r="W3766" s="81">
        <f>IF(ISBLANK(P3766),"",IF(S3766=0,(365/0.5)*V3766,(365/S3766)*V3766))</f>
        <v/>
      </c>
      <c r="X3766" s="75" t="n"/>
      <c r="Y3766" s="77" t="n"/>
      <c r="Z3766" s="77" t="n"/>
      <c r="AA3766" s="75" t="n"/>
      <c r="AB3766" s="75" t="n"/>
      <c r="AC3766" s="6" t="n"/>
      <c r="AD3766" s="75" t="n"/>
      <c r="AE3766" s="75" t="n"/>
      <c r="AF3766" s="75" t="n"/>
    </row>
    <row r="3767" ht="15.75" customHeight="1" s="133">
      <c r="A3767" s="75" t="n"/>
      <c r="B3767" s="75" t="n"/>
      <c r="C3767" s="75" t="n"/>
      <c r="D3767" s="75" t="n"/>
      <c r="E3767" s="76" t="n"/>
      <c r="F3767" s="77" t="n"/>
      <c r="G3767" s="75" t="n"/>
      <c r="H3767" s="75">
        <f>IF(ISBLANK(E3767),"",IF(OR(D3767="Butterfly",D3767="Butterfly ",D3767="Iron Fly", D3767="Iron Fly "),LEN(E3767)-LEN(SUBSTITUTE(E3767,"/",""))+2,LEN(E3767)-LEN(SUBSTITUTE(E3767,"/",""))+1))</f>
        <v/>
      </c>
      <c r="I3767" s="78">
        <f>IF(ISBLANK(G3767),"",IF(D3767="Stock","0",Key!$A$3*H3767*G3767))</f>
        <v/>
      </c>
      <c r="J3767" s="78">
        <f>IF(ISBLANK(E3767),"",IF(ISNUMBER(SEARCH("/",E3767)), IF(LEN(E3767)-LEN(SUBSTITUTE(E3767,"/",""))=1,(RIGHT(E3767,LEN(E3767)-FIND("/",E3767)))-(LEFT(E3767,FIND("/",E3767)-1)),(MID(E3767, SEARCH("/",E3767) + 1, SEARCH("/",E3767, SEARCH("/",E3767)+1) - SEARCH("/",E3767) - 1))-(LEFT(E3767,FIND("/",E3767)-1))), "NA"))</f>
        <v/>
      </c>
      <c r="K3767" s="79">
        <f>IF(A3767&lt;&gt;"", IF(ISBLANK(L3767), TODAY(), K3767), "")</f>
        <v/>
      </c>
      <c r="L3767" s="78" t="n"/>
      <c r="M3767" s="78">
        <f>IF(ISBLANK(L3767),"",IF(D3767="Stock",IF(C3767="Buy",L3767*G3767,IF(C3767="Sell",(L3767*G3767)-I3767, X)),IF(C3767="Buy",(L3767*G3767*100)+I3767,IF(C3767="Sell",(L3767*G3767*100)-I3767, X))))</f>
        <v/>
      </c>
      <c r="N3767" s="78">
        <f>IF(ISBLANK(L3767),"",IF(AND(C3767="Sell",D3767="Stock"),M3767,IF(ISBLANK(L3767),"",IF(C3767="Buy",M3767, IF(AND(C3767="Sell",J3767="NA"),(E3767*G3767*100*0.1)+I3767, IF(C3767="Sell",(J3767-L3767)*(100*G3767)+I3767))))))</f>
        <v/>
      </c>
      <c r="O3767" s="75" t="n"/>
      <c r="P3767" s="75" t="n"/>
      <c r="Q3767" s="75">
        <f>IF(ISBLANK(P3767),"",IF(D3767="Stock",P3767*G3767,IF(P3767=0,"0",G3767*P3767*100-(G3767*$AF$14))))</f>
        <v/>
      </c>
      <c r="R3767" s="79">
        <f>IF(P3767&lt;&gt;"", TODAY(), "")</f>
        <v/>
      </c>
      <c r="S3767" s="78">
        <f>IF(AND(K3767&lt;&gt;"", R3767&lt;&gt;""), R3767-K3767, "")</f>
        <v/>
      </c>
      <c r="T3767" s="78" t="n"/>
      <c r="U3767" s="92">
        <f>IF(ISBLANK(P3767),"",IF(C3767="Buy",Q3767-M3767+T3767, IF(C3767="Sell",M3767-Q3767-T3767, X)))</f>
        <v/>
      </c>
      <c r="V3767" s="81">
        <f>IF(ISBLANK(P3767),"",U3767/N3767)</f>
        <v/>
      </c>
      <c r="W3767" s="81">
        <f>IF(ISBLANK(P3767),"",IF(S3767=0,(365/0.5)*V3767,(365/S3767)*V3767))</f>
        <v/>
      </c>
      <c r="X3767" s="75" t="n"/>
      <c r="Y3767" s="77" t="n"/>
      <c r="Z3767" s="77" t="n"/>
      <c r="AA3767" s="75" t="n"/>
      <c r="AB3767" s="75" t="n"/>
      <c r="AC3767" s="6" t="n"/>
      <c r="AD3767" s="75" t="n"/>
      <c r="AE3767" s="75" t="n"/>
      <c r="AF3767" s="75" t="n"/>
    </row>
    <row r="3768" ht="15.75" customHeight="1" s="133">
      <c r="A3768" s="75" t="n"/>
      <c r="B3768" s="75" t="n"/>
      <c r="C3768" s="75" t="n"/>
      <c r="D3768" s="75" t="n"/>
      <c r="E3768" s="76" t="n"/>
      <c r="F3768" s="77" t="n"/>
      <c r="G3768" s="75" t="n"/>
      <c r="H3768" s="75">
        <f>IF(ISBLANK(E3768),"",IF(OR(D3768="Butterfly",D3768="Butterfly ",D3768="Iron Fly", D3768="Iron Fly "),LEN(E3768)-LEN(SUBSTITUTE(E3768,"/",""))+2,LEN(E3768)-LEN(SUBSTITUTE(E3768,"/",""))+1))</f>
        <v/>
      </c>
      <c r="I3768" s="78">
        <f>IF(ISBLANK(G3768),"",IF(D3768="Stock","0",Key!$A$3*H3768*G3768))</f>
        <v/>
      </c>
      <c r="J3768" s="78">
        <f>IF(ISBLANK(E3768),"",IF(ISNUMBER(SEARCH("/",E3768)), IF(LEN(E3768)-LEN(SUBSTITUTE(E3768,"/",""))=1,(RIGHT(E3768,LEN(E3768)-FIND("/",E3768)))-(LEFT(E3768,FIND("/",E3768)-1)),(MID(E3768, SEARCH("/",E3768) + 1, SEARCH("/",E3768, SEARCH("/",E3768)+1) - SEARCH("/",E3768) - 1))-(LEFT(E3768,FIND("/",E3768)-1))), "NA"))</f>
        <v/>
      </c>
      <c r="K3768" s="79">
        <f>IF(A3768&lt;&gt;"", IF(ISBLANK(L3768), TODAY(), K3768), "")</f>
        <v/>
      </c>
      <c r="L3768" s="78" t="n"/>
      <c r="M3768" s="78">
        <f>IF(ISBLANK(L3768),"",IF(D3768="Stock",IF(C3768="Buy",L3768*G3768,IF(C3768="Sell",(L3768*G3768)-I3768, X)),IF(C3768="Buy",(L3768*G3768*100)+I3768,IF(C3768="Sell",(L3768*G3768*100)-I3768, X))))</f>
        <v/>
      </c>
      <c r="N3768" s="78">
        <f>IF(ISBLANK(L3768),"",IF(AND(C3768="Sell",D3768="Stock"),M3768,IF(ISBLANK(L3768),"",IF(C3768="Buy",M3768, IF(AND(C3768="Sell",J3768="NA"),(E3768*G3768*100*0.1)+I3768, IF(C3768="Sell",(J3768-L3768)*(100*G3768)+I3768))))))</f>
        <v/>
      </c>
      <c r="O3768" s="75" t="n"/>
      <c r="P3768" s="75" t="n"/>
      <c r="Q3768" s="75">
        <f>IF(ISBLANK(P3768),"",IF(D3768="Stock",P3768*G3768,IF(P3768=0,"0",G3768*P3768*100-(G3768*$AF$14))))</f>
        <v/>
      </c>
      <c r="R3768" s="79">
        <f>IF(P3768&lt;&gt;"", TODAY(), "")</f>
        <v/>
      </c>
      <c r="S3768" s="78">
        <f>IF(AND(K3768&lt;&gt;"", R3768&lt;&gt;""), R3768-K3768, "")</f>
        <v/>
      </c>
      <c r="T3768" s="78" t="n"/>
      <c r="U3768" s="92">
        <f>IF(ISBLANK(P3768),"",IF(C3768="Buy",Q3768-M3768+T3768, IF(C3768="Sell",M3768-Q3768-T3768, X)))</f>
        <v/>
      </c>
      <c r="V3768" s="81">
        <f>IF(ISBLANK(P3768),"",U3768/N3768)</f>
        <v/>
      </c>
      <c r="W3768" s="81">
        <f>IF(ISBLANK(P3768),"",IF(S3768=0,(365/0.5)*V3768,(365/S3768)*V3768))</f>
        <v/>
      </c>
      <c r="X3768" s="75" t="n"/>
      <c r="Y3768" s="77" t="n"/>
      <c r="Z3768" s="77" t="n"/>
      <c r="AA3768" s="75" t="n"/>
      <c r="AB3768" s="75" t="n"/>
      <c r="AC3768" s="6" t="n"/>
      <c r="AD3768" s="75" t="n"/>
      <c r="AE3768" s="75" t="n"/>
      <c r="AF3768" s="75" t="n"/>
    </row>
    <row r="3769" ht="15.75" customHeight="1" s="133">
      <c r="A3769" s="75" t="n"/>
      <c r="B3769" s="75" t="n"/>
      <c r="C3769" s="75" t="n"/>
      <c r="D3769" s="75" t="n"/>
      <c r="E3769" s="76" t="n"/>
      <c r="F3769" s="77" t="n"/>
      <c r="G3769" s="75" t="n"/>
      <c r="H3769" s="75">
        <f>IF(ISBLANK(E3769),"",IF(OR(D3769="Butterfly",D3769="Butterfly ",D3769="Iron Fly", D3769="Iron Fly "),LEN(E3769)-LEN(SUBSTITUTE(E3769,"/",""))+2,LEN(E3769)-LEN(SUBSTITUTE(E3769,"/",""))+1))</f>
        <v/>
      </c>
      <c r="I3769" s="78">
        <f>IF(ISBLANK(G3769),"",IF(D3769="Stock","0",Key!$A$3*H3769*G3769))</f>
        <v/>
      </c>
      <c r="J3769" s="78">
        <f>IF(ISBLANK(E3769),"",IF(ISNUMBER(SEARCH("/",E3769)), IF(LEN(E3769)-LEN(SUBSTITUTE(E3769,"/",""))=1,(RIGHT(E3769,LEN(E3769)-FIND("/",E3769)))-(LEFT(E3769,FIND("/",E3769)-1)),(MID(E3769, SEARCH("/",E3769) + 1, SEARCH("/",E3769, SEARCH("/",E3769)+1) - SEARCH("/",E3769) - 1))-(LEFT(E3769,FIND("/",E3769)-1))), "NA"))</f>
        <v/>
      </c>
      <c r="K3769" s="79">
        <f>IF(A3769&lt;&gt;"", IF(ISBLANK(L3769), TODAY(), K3769), "")</f>
        <v/>
      </c>
      <c r="L3769" s="78" t="n"/>
      <c r="M3769" s="78">
        <f>IF(ISBLANK(L3769),"",IF(D3769="Stock",IF(C3769="Buy",L3769*G3769,IF(C3769="Sell",(L3769*G3769)-I3769, X)),IF(C3769="Buy",(L3769*G3769*100)+I3769,IF(C3769="Sell",(L3769*G3769*100)-I3769, X))))</f>
        <v/>
      </c>
      <c r="N3769" s="78">
        <f>IF(ISBLANK(L3769),"",IF(AND(C3769="Sell",D3769="Stock"),M3769,IF(ISBLANK(L3769),"",IF(C3769="Buy",M3769, IF(AND(C3769="Sell",J3769="NA"),(E3769*G3769*100*0.1)+I3769, IF(C3769="Sell",(J3769-L3769)*(100*G3769)+I3769))))))</f>
        <v/>
      </c>
      <c r="O3769" s="75" t="n"/>
      <c r="P3769" s="75" t="n"/>
      <c r="Q3769" s="75">
        <f>IF(ISBLANK(P3769),"",IF(D3769="Stock",P3769*G3769,IF(P3769=0,"0",G3769*P3769*100-(G3769*$AF$14))))</f>
        <v/>
      </c>
      <c r="R3769" s="79">
        <f>IF(P3769&lt;&gt;"", TODAY(), "")</f>
        <v/>
      </c>
      <c r="S3769" s="78">
        <f>IF(AND(K3769&lt;&gt;"", R3769&lt;&gt;""), R3769-K3769, "")</f>
        <v/>
      </c>
      <c r="T3769" s="78" t="n"/>
      <c r="U3769" s="92">
        <f>IF(ISBLANK(P3769),"",IF(C3769="Buy",Q3769-M3769+T3769, IF(C3769="Sell",M3769-Q3769-T3769, X)))</f>
        <v/>
      </c>
      <c r="V3769" s="81">
        <f>IF(ISBLANK(P3769),"",U3769/N3769)</f>
        <v/>
      </c>
      <c r="W3769" s="81">
        <f>IF(ISBLANK(P3769),"",IF(S3769=0,(365/0.5)*V3769,(365/S3769)*V3769))</f>
        <v/>
      </c>
      <c r="X3769" s="75" t="n"/>
      <c r="Y3769" s="77" t="n"/>
      <c r="Z3769" s="77" t="n"/>
      <c r="AA3769" s="75" t="n"/>
      <c r="AB3769" s="75" t="n"/>
      <c r="AC3769" s="6" t="n"/>
      <c r="AD3769" s="75" t="n"/>
      <c r="AE3769" s="75" t="n"/>
      <c r="AF3769" s="75" t="n"/>
    </row>
    <row r="3770" ht="15.75" customHeight="1" s="133">
      <c r="A3770" s="75" t="n"/>
      <c r="B3770" s="75" t="n"/>
      <c r="C3770" s="75" t="n"/>
      <c r="D3770" s="75" t="n"/>
      <c r="E3770" s="76" t="n"/>
      <c r="F3770" s="77" t="n"/>
      <c r="G3770" s="75" t="n"/>
      <c r="H3770" s="75">
        <f>IF(ISBLANK(E3770),"",IF(OR(D3770="Butterfly",D3770="Butterfly ",D3770="Iron Fly", D3770="Iron Fly "),LEN(E3770)-LEN(SUBSTITUTE(E3770,"/",""))+2,LEN(E3770)-LEN(SUBSTITUTE(E3770,"/",""))+1))</f>
        <v/>
      </c>
      <c r="I3770" s="78">
        <f>IF(ISBLANK(G3770),"",IF(D3770="Stock","0",Key!$A$3*H3770*G3770))</f>
        <v/>
      </c>
      <c r="J3770" s="78">
        <f>IF(ISBLANK(E3770),"",IF(ISNUMBER(SEARCH("/",E3770)), IF(LEN(E3770)-LEN(SUBSTITUTE(E3770,"/",""))=1,(RIGHT(E3770,LEN(E3770)-FIND("/",E3770)))-(LEFT(E3770,FIND("/",E3770)-1)),(MID(E3770, SEARCH("/",E3770) + 1, SEARCH("/",E3770, SEARCH("/",E3770)+1) - SEARCH("/",E3770) - 1))-(LEFT(E3770,FIND("/",E3770)-1))), "NA"))</f>
        <v/>
      </c>
      <c r="K3770" s="79">
        <f>IF(A3770&lt;&gt;"", IF(ISBLANK(L3770), TODAY(), K3770), "")</f>
        <v/>
      </c>
      <c r="L3770" s="78" t="n"/>
      <c r="M3770" s="78">
        <f>IF(ISBLANK(L3770),"",IF(D3770="Stock",IF(C3770="Buy",L3770*G3770,IF(C3770="Sell",(L3770*G3770)-I3770, X)),IF(C3770="Buy",(L3770*G3770*100)+I3770,IF(C3770="Sell",(L3770*G3770*100)-I3770, X))))</f>
        <v/>
      </c>
      <c r="N3770" s="78">
        <f>IF(ISBLANK(L3770),"",IF(AND(C3770="Sell",D3770="Stock"),M3770,IF(ISBLANK(L3770),"",IF(C3770="Buy",M3770, IF(AND(C3770="Sell",J3770="NA"),(E3770*G3770*100*0.1)+I3770, IF(C3770="Sell",(J3770-L3770)*(100*G3770)+I3770))))))</f>
        <v/>
      </c>
      <c r="O3770" s="75" t="n"/>
      <c r="P3770" s="75" t="n"/>
      <c r="Q3770" s="75">
        <f>IF(ISBLANK(P3770),"",IF(D3770="Stock",P3770*G3770,IF(P3770=0,"0",G3770*P3770*100-(G3770*$AF$14))))</f>
        <v/>
      </c>
      <c r="R3770" s="79">
        <f>IF(P3770&lt;&gt;"", TODAY(), "")</f>
        <v/>
      </c>
      <c r="S3770" s="78">
        <f>IF(AND(K3770&lt;&gt;"", R3770&lt;&gt;""), R3770-K3770, "")</f>
        <v/>
      </c>
      <c r="T3770" s="78" t="n"/>
      <c r="U3770" s="92">
        <f>IF(ISBLANK(P3770),"",IF(C3770="Buy",Q3770-M3770+T3770, IF(C3770="Sell",M3770-Q3770-T3770, X)))</f>
        <v/>
      </c>
      <c r="V3770" s="81">
        <f>IF(ISBLANK(P3770),"",U3770/N3770)</f>
        <v/>
      </c>
      <c r="W3770" s="81">
        <f>IF(ISBLANK(P3770),"",IF(S3770=0,(365/0.5)*V3770,(365/S3770)*V3770))</f>
        <v/>
      </c>
      <c r="X3770" s="75" t="n"/>
      <c r="Y3770" s="77" t="n"/>
      <c r="Z3770" s="77" t="n"/>
      <c r="AA3770" s="75" t="n"/>
      <c r="AB3770" s="75" t="n"/>
      <c r="AC3770" s="6" t="n"/>
      <c r="AD3770" s="75" t="n"/>
      <c r="AE3770" s="75" t="n"/>
      <c r="AF3770" s="75" t="n"/>
    </row>
    <row r="3771" ht="15.75" customHeight="1" s="133">
      <c r="A3771" s="75" t="n"/>
      <c r="B3771" s="75" t="n"/>
      <c r="C3771" s="75" t="n"/>
      <c r="D3771" s="75" t="n"/>
      <c r="E3771" s="76" t="n"/>
      <c r="F3771" s="77" t="n"/>
      <c r="G3771" s="75" t="n"/>
      <c r="H3771" s="75">
        <f>IF(ISBLANK(E3771),"",IF(OR(D3771="Butterfly",D3771="Butterfly ",D3771="Iron Fly", D3771="Iron Fly "),LEN(E3771)-LEN(SUBSTITUTE(E3771,"/",""))+2,LEN(E3771)-LEN(SUBSTITUTE(E3771,"/",""))+1))</f>
        <v/>
      </c>
      <c r="I3771" s="78">
        <f>IF(ISBLANK(G3771),"",IF(D3771="Stock","0",Key!$A$3*H3771*G3771))</f>
        <v/>
      </c>
      <c r="J3771" s="78">
        <f>IF(ISBLANK(E3771),"",IF(ISNUMBER(SEARCH("/",E3771)), IF(LEN(E3771)-LEN(SUBSTITUTE(E3771,"/",""))=1,(RIGHT(E3771,LEN(E3771)-FIND("/",E3771)))-(LEFT(E3771,FIND("/",E3771)-1)),(MID(E3771, SEARCH("/",E3771) + 1, SEARCH("/",E3771, SEARCH("/",E3771)+1) - SEARCH("/",E3771) - 1))-(LEFT(E3771,FIND("/",E3771)-1))), "NA"))</f>
        <v/>
      </c>
      <c r="K3771" s="79">
        <f>IF(A3771&lt;&gt;"", IF(ISBLANK(L3771), TODAY(), K3771), "")</f>
        <v/>
      </c>
      <c r="L3771" s="78" t="n"/>
      <c r="M3771" s="78">
        <f>IF(ISBLANK(L3771),"",IF(D3771="Stock",IF(C3771="Buy",L3771*G3771,IF(C3771="Sell",(L3771*G3771)-I3771, X)),IF(C3771="Buy",(L3771*G3771*100)+I3771,IF(C3771="Sell",(L3771*G3771*100)-I3771, X))))</f>
        <v/>
      </c>
      <c r="N3771" s="78">
        <f>IF(ISBLANK(L3771),"",IF(AND(C3771="Sell",D3771="Stock"),M3771,IF(ISBLANK(L3771),"",IF(C3771="Buy",M3771, IF(AND(C3771="Sell",J3771="NA"),(E3771*G3771*100*0.1)+I3771, IF(C3771="Sell",(J3771-L3771)*(100*G3771)+I3771))))))</f>
        <v/>
      </c>
      <c r="O3771" s="75" t="n"/>
      <c r="P3771" s="75" t="n"/>
      <c r="Q3771" s="75">
        <f>IF(ISBLANK(P3771),"",IF(D3771="Stock",P3771*G3771,IF(P3771=0,"0",G3771*P3771*100-(G3771*$AF$14))))</f>
        <v/>
      </c>
      <c r="R3771" s="79">
        <f>IF(P3771&lt;&gt;"", TODAY(), "")</f>
        <v/>
      </c>
      <c r="S3771" s="78">
        <f>IF(AND(K3771&lt;&gt;"", R3771&lt;&gt;""), R3771-K3771, "")</f>
        <v/>
      </c>
      <c r="T3771" s="78" t="n"/>
      <c r="U3771" s="92">
        <f>IF(ISBLANK(P3771),"",IF(C3771="Buy",Q3771-M3771+T3771, IF(C3771="Sell",M3771-Q3771-T3771, X)))</f>
        <v/>
      </c>
      <c r="V3771" s="81">
        <f>IF(ISBLANK(P3771),"",U3771/N3771)</f>
        <v/>
      </c>
      <c r="W3771" s="81">
        <f>IF(ISBLANK(P3771),"",IF(S3771=0,(365/0.5)*V3771,(365/S3771)*V3771))</f>
        <v/>
      </c>
      <c r="X3771" s="75" t="n"/>
      <c r="Y3771" s="77" t="n"/>
      <c r="Z3771" s="77" t="n"/>
      <c r="AA3771" s="75" t="n"/>
      <c r="AB3771" s="75" t="n"/>
      <c r="AC3771" s="6" t="n"/>
      <c r="AD3771" s="75" t="n"/>
      <c r="AE3771" s="75" t="n"/>
      <c r="AF3771" s="75" t="n"/>
    </row>
    <row r="3772" ht="15.75" customHeight="1" s="133">
      <c r="A3772" s="75" t="n"/>
      <c r="B3772" s="75" t="n"/>
      <c r="C3772" s="75" t="n"/>
      <c r="D3772" s="75" t="n"/>
      <c r="E3772" s="76" t="n"/>
      <c r="F3772" s="77" t="n"/>
      <c r="G3772" s="75" t="n"/>
      <c r="H3772" s="75">
        <f>IF(ISBLANK(E3772),"",IF(OR(D3772="Butterfly",D3772="Butterfly ",D3772="Iron Fly", D3772="Iron Fly "),LEN(E3772)-LEN(SUBSTITUTE(E3772,"/",""))+2,LEN(E3772)-LEN(SUBSTITUTE(E3772,"/",""))+1))</f>
        <v/>
      </c>
      <c r="I3772" s="78">
        <f>IF(ISBLANK(G3772),"",IF(D3772="Stock","0",Key!$A$3*H3772*G3772))</f>
        <v/>
      </c>
      <c r="J3772" s="78">
        <f>IF(ISBLANK(E3772),"",IF(ISNUMBER(SEARCH("/",E3772)), IF(LEN(E3772)-LEN(SUBSTITUTE(E3772,"/",""))=1,(RIGHT(E3772,LEN(E3772)-FIND("/",E3772)))-(LEFT(E3772,FIND("/",E3772)-1)),(MID(E3772, SEARCH("/",E3772) + 1, SEARCH("/",E3772, SEARCH("/",E3772)+1) - SEARCH("/",E3772) - 1))-(LEFT(E3772,FIND("/",E3772)-1))), "NA"))</f>
        <v/>
      </c>
      <c r="K3772" s="79">
        <f>IF(A3772&lt;&gt;"", IF(ISBLANK(L3772), TODAY(), K3772), "")</f>
        <v/>
      </c>
      <c r="L3772" s="78" t="n"/>
      <c r="M3772" s="78">
        <f>IF(ISBLANK(L3772),"",IF(D3772="Stock",IF(C3772="Buy",L3772*G3772,IF(C3772="Sell",(L3772*G3772)-I3772, X)),IF(C3772="Buy",(L3772*G3772*100)+I3772,IF(C3772="Sell",(L3772*G3772*100)-I3772, X))))</f>
        <v/>
      </c>
      <c r="N3772" s="78">
        <f>IF(ISBLANK(L3772),"",IF(AND(C3772="Sell",D3772="Stock"),M3772,IF(ISBLANK(L3772),"",IF(C3772="Buy",M3772, IF(AND(C3772="Sell",J3772="NA"),(E3772*G3772*100*0.1)+I3772, IF(C3772="Sell",(J3772-L3772)*(100*G3772)+I3772))))))</f>
        <v/>
      </c>
      <c r="O3772" s="75" t="n"/>
      <c r="P3772" s="75" t="n"/>
      <c r="Q3772" s="75">
        <f>IF(ISBLANK(P3772),"",IF(D3772="Stock",P3772*G3772,IF(P3772=0,"0",G3772*P3772*100-(G3772*$AF$14))))</f>
        <v/>
      </c>
      <c r="R3772" s="79">
        <f>IF(P3772&lt;&gt;"", TODAY(), "")</f>
        <v/>
      </c>
      <c r="S3772" s="78">
        <f>IF(AND(K3772&lt;&gt;"", R3772&lt;&gt;""), R3772-K3772, "")</f>
        <v/>
      </c>
      <c r="T3772" s="78" t="n"/>
      <c r="U3772" s="92">
        <f>IF(ISBLANK(P3772),"",IF(C3772="Buy",Q3772-M3772+T3772, IF(C3772="Sell",M3772-Q3772-T3772, X)))</f>
        <v/>
      </c>
      <c r="V3772" s="81">
        <f>IF(ISBLANK(P3772),"",U3772/N3772)</f>
        <v/>
      </c>
      <c r="W3772" s="81">
        <f>IF(ISBLANK(P3772),"",IF(S3772=0,(365/0.5)*V3772,(365/S3772)*V3772))</f>
        <v/>
      </c>
      <c r="X3772" s="75" t="n"/>
      <c r="Y3772" s="77" t="n"/>
      <c r="Z3772" s="77" t="n"/>
      <c r="AA3772" s="75" t="n"/>
      <c r="AB3772" s="75" t="n"/>
      <c r="AC3772" s="6" t="n"/>
      <c r="AD3772" s="75" t="n"/>
      <c r="AE3772" s="75" t="n"/>
      <c r="AF3772" s="75" t="n"/>
    </row>
    <row r="3773" ht="15.75" customHeight="1" s="133">
      <c r="A3773" s="75" t="n"/>
      <c r="B3773" s="75" t="n"/>
      <c r="C3773" s="75" t="n"/>
      <c r="D3773" s="75" t="n"/>
      <c r="E3773" s="76" t="n"/>
      <c r="F3773" s="77" t="n"/>
      <c r="G3773" s="75" t="n"/>
      <c r="H3773" s="75">
        <f>IF(ISBLANK(E3773),"",IF(OR(D3773="Butterfly",D3773="Butterfly ",D3773="Iron Fly", D3773="Iron Fly "),LEN(E3773)-LEN(SUBSTITUTE(E3773,"/",""))+2,LEN(E3773)-LEN(SUBSTITUTE(E3773,"/",""))+1))</f>
        <v/>
      </c>
      <c r="I3773" s="78">
        <f>IF(ISBLANK(G3773),"",IF(D3773="Stock","0",Key!$A$3*H3773*G3773))</f>
        <v/>
      </c>
      <c r="J3773" s="78">
        <f>IF(ISBLANK(E3773),"",IF(ISNUMBER(SEARCH("/",E3773)), IF(LEN(E3773)-LEN(SUBSTITUTE(E3773,"/",""))=1,(RIGHT(E3773,LEN(E3773)-FIND("/",E3773)))-(LEFT(E3773,FIND("/",E3773)-1)),(MID(E3773, SEARCH("/",E3773) + 1, SEARCH("/",E3773, SEARCH("/",E3773)+1) - SEARCH("/",E3773) - 1))-(LEFT(E3773,FIND("/",E3773)-1))), "NA"))</f>
        <v/>
      </c>
      <c r="K3773" s="79">
        <f>IF(A3773&lt;&gt;"", IF(ISBLANK(L3773), TODAY(), K3773), "")</f>
        <v/>
      </c>
      <c r="L3773" s="78" t="n"/>
      <c r="M3773" s="78">
        <f>IF(ISBLANK(L3773),"",IF(D3773="Stock",IF(C3773="Buy",L3773*G3773,IF(C3773="Sell",(L3773*G3773)-I3773, X)),IF(C3773="Buy",(L3773*G3773*100)+I3773,IF(C3773="Sell",(L3773*G3773*100)-I3773, X))))</f>
        <v/>
      </c>
      <c r="N3773" s="78">
        <f>IF(ISBLANK(L3773),"",IF(AND(C3773="Sell",D3773="Stock"),M3773,IF(ISBLANK(L3773),"",IF(C3773="Buy",M3773, IF(AND(C3773="Sell",J3773="NA"),(E3773*G3773*100*0.1)+I3773, IF(C3773="Sell",(J3773-L3773)*(100*G3773)+I3773))))))</f>
        <v/>
      </c>
      <c r="O3773" s="75" t="n"/>
      <c r="P3773" s="75" t="n"/>
      <c r="Q3773" s="75">
        <f>IF(ISBLANK(P3773),"",IF(D3773="Stock",P3773*G3773,IF(P3773=0,"0",G3773*P3773*100-(G3773*$AF$14))))</f>
        <v/>
      </c>
      <c r="R3773" s="79">
        <f>IF(P3773&lt;&gt;"", TODAY(), "")</f>
        <v/>
      </c>
      <c r="S3773" s="78">
        <f>IF(AND(K3773&lt;&gt;"", R3773&lt;&gt;""), R3773-K3773, "")</f>
        <v/>
      </c>
      <c r="T3773" s="78" t="n"/>
      <c r="U3773" s="92">
        <f>IF(ISBLANK(P3773),"",IF(C3773="Buy",Q3773-M3773+T3773, IF(C3773="Sell",M3773-Q3773-T3773, X)))</f>
        <v/>
      </c>
      <c r="V3773" s="81">
        <f>IF(ISBLANK(P3773),"",U3773/N3773)</f>
        <v/>
      </c>
      <c r="W3773" s="81">
        <f>IF(ISBLANK(P3773),"",IF(S3773=0,(365/0.5)*V3773,(365/S3773)*V3773))</f>
        <v/>
      </c>
      <c r="X3773" s="75" t="n"/>
      <c r="Y3773" s="77" t="n"/>
      <c r="Z3773" s="77" t="n"/>
      <c r="AA3773" s="75" t="n"/>
      <c r="AB3773" s="75" t="n"/>
      <c r="AC3773" s="6" t="n"/>
      <c r="AD3773" s="75" t="n"/>
      <c r="AE3773" s="75" t="n"/>
      <c r="AF3773" s="75" t="n"/>
    </row>
    <row r="3774" ht="15.75" customHeight="1" s="133">
      <c r="A3774" s="75" t="n"/>
      <c r="B3774" s="75" t="n"/>
      <c r="C3774" s="75" t="n"/>
      <c r="D3774" s="75" t="n"/>
      <c r="E3774" s="76" t="n"/>
      <c r="F3774" s="77" t="n"/>
      <c r="G3774" s="75" t="n"/>
      <c r="H3774" s="75">
        <f>IF(ISBLANK(E3774),"",IF(OR(D3774="Butterfly",D3774="Butterfly ",D3774="Iron Fly", D3774="Iron Fly "),LEN(E3774)-LEN(SUBSTITUTE(E3774,"/",""))+2,LEN(E3774)-LEN(SUBSTITUTE(E3774,"/",""))+1))</f>
        <v/>
      </c>
      <c r="I3774" s="78">
        <f>IF(ISBLANK(G3774),"",IF(D3774="Stock","0",Key!$A$3*H3774*G3774))</f>
        <v/>
      </c>
      <c r="J3774" s="78">
        <f>IF(ISBLANK(E3774),"",IF(ISNUMBER(SEARCH("/",E3774)), IF(LEN(E3774)-LEN(SUBSTITUTE(E3774,"/",""))=1,(RIGHT(E3774,LEN(E3774)-FIND("/",E3774)))-(LEFT(E3774,FIND("/",E3774)-1)),(MID(E3774, SEARCH("/",E3774) + 1, SEARCH("/",E3774, SEARCH("/",E3774)+1) - SEARCH("/",E3774) - 1))-(LEFT(E3774,FIND("/",E3774)-1))), "NA"))</f>
        <v/>
      </c>
      <c r="K3774" s="79">
        <f>IF(A3774&lt;&gt;"", IF(ISBLANK(L3774), TODAY(), K3774), "")</f>
        <v/>
      </c>
      <c r="L3774" s="78" t="n"/>
      <c r="M3774" s="78">
        <f>IF(ISBLANK(L3774),"",IF(D3774="Stock",IF(C3774="Buy",L3774*G3774,IF(C3774="Sell",(L3774*G3774)-I3774, X)),IF(C3774="Buy",(L3774*G3774*100)+I3774,IF(C3774="Sell",(L3774*G3774*100)-I3774, X))))</f>
        <v/>
      </c>
      <c r="N3774" s="78">
        <f>IF(ISBLANK(L3774),"",IF(AND(C3774="Sell",D3774="Stock"),M3774,IF(ISBLANK(L3774),"",IF(C3774="Buy",M3774, IF(AND(C3774="Sell",J3774="NA"),(E3774*G3774*100*0.1)+I3774, IF(C3774="Sell",(J3774-L3774)*(100*G3774)+I3774))))))</f>
        <v/>
      </c>
      <c r="O3774" s="75" t="n"/>
      <c r="P3774" s="75" t="n"/>
      <c r="Q3774" s="75">
        <f>IF(ISBLANK(P3774),"",IF(D3774="Stock",P3774*G3774,IF(P3774=0,"0",G3774*P3774*100-(G3774*$AF$14))))</f>
        <v/>
      </c>
      <c r="R3774" s="79">
        <f>IF(P3774&lt;&gt;"", TODAY(), "")</f>
        <v/>
      </c>
      <c r="S3774" s="78">
        <f>IF(AND(K3774&lt;&gt;"", R3774&lt;&gt;""), R3774-K3774, "")</f>
        <v/>
      </c>
      <c r="T3774" s="78" t="n"/>
      <c r="U3774" s="92">
        <f>IF(ISBLANK(P3774),"",IF(C3774="Buy",Q3774-M3774+T3774, IF(C3774="Sell",M3774-Q3774-T3774, X)))</f>
        <v/>
      </c>
      <c r="V3774" s="81">
        <f>IF(ISBLANK(P3774),"",U3774/N3774)</f>
        <v/>
      </c>
      <c r="W3774" s="81">
        <f>IF(ISBLANK(P3774),"",IF(S3774=0,(365/0.5)*V3774,(365/S3774)*V3774))</f>
        <v/>
      </c>
      <c r="X3774" s="75" t="n"/>
      <c r="Y3774" s="77" t="n"/>
      <c r="Z3774" s="77" t="n"/>
      <c r="AA3774" s="75" t="n"/>
      <c r="AB3774" s="75" t="n"/>
      <c r="AC3774" s="6" t="n"/>
      <c r="AD3774" s="75" t="n"/>
      <c r="AE3774" s="75" t="n"/>
      <c r="AF3774" s="75" t="n"/>
    </row>
    <row r="3775" ht="15.75" customHeight="1" s="133">
      <c r="A3775" s="75" t="n"/>
      <c r="B3775" s="75" t="n"/>
      <c r="C3775" s="75" t="n"/>
      <c r="D3775" s="75" t="n"/>
      <c r="E3775" s="76" t="n"/>
      <c r="F3775" s="77" t="n"/>
      <c r="G3775" s="75" t="n"/>
      <c r="H3775" s="75">
        <f>IF(ISBLANK(E3775),"",IF(OR(D3775="Butterfly",D3775="Butterfly ",D3775="Iron Fly", D3775="Iron Fly "),LEN(E3775)-LEN(SUBSTITUTE(E3775,"/",""))+2,LEN(E3775)-LEN(SUBSTITUTE(E3775,"/",""))+1))</f>
        <v/>
      </c>
      <c r="I3775" s="78">
        <f>IF(ISBLANK(G3775),"",IF(D3775="Stock","0",Key!$A$3*H3775*G3775))</f>
        <v/>
      </c>
      <c r="J3775" s="78">
        <f>IF(ISBLANK(E3775),"",IF(ISNUMBER(SEARCH("/",E3775)), IF(LEN(E3775)-LEN(SUBSTITUTE(E3775,"/",""))=1,(RIGHT(E3775,LEN(E3775)-FIND("/",E3775)))-(LEFT(E3775,FIND("/",E3775)-1)),(MID(E3775, SEARCH("/",E3775) + 1, SEARCH("/",E3775, SEARCH("/",E3775)+1) - SEARCH("/",E3775) - 1))-(LEFT(E3775,FIND("/",E3775)-1))), "NA"))</f>
        <v/>
      </c>
      <c r="K3775" s="79">
        <f>IF(A3775&lt;&gt;"", IF(ISBLANK(L3775), TODAY(), K3775), "")</f>
        <v/>
      </c>
      <c r="L3775" s="78" t="n"/>
      <c r="M3775" s="78">
        <f>IF(ISBLANK(L3775),"",IF(D3775="Stock",IF(C3775="Buy",L3775*G3775,IF(C3775="Sell",(L3775*G3775)-I3775, X)),IF(C3775="Buy",(L3775*G3775*100)+I3775,IF(C3775="Sell",(L3775*G3775*100)-I3775, X))))</f>
        <v/>
      </c>
      <c r="N3775" s="78">
        <f>IF(ISBLANK(L3775),"",IF(AND(C3775="Sell",D3775="Stock"),M3775,IF(ISBLANK(L3775),"",IF(C3775="Buy",M3775, IF(AND(C3775="Sell",J3775="NA"),(E3775*G3775*100*0.1)+I3775, IF(C3775="Sell",(J3775-L3775)*(100*G3775)+I3775))))))</f>
        <v/>
      </c>
      <c r="O3775" s="75" t="n"/>
      <c r="P3775" s="75" t="n"/>
      <c r="Q3775" s="75">
        <f>IF(ISBLANK(P3775),"",IF(D3775="Stock",P3775*G3775,IF(P3775=0,"0",G3775*P3775*100-(G3775*$AF$14))))</f>
        <v/>
      </c>
      <c r="R3775" s="79">
        <f>IF(P3775&lt;&gt;"", TODAY(), "")</f>
        <v/>
      </c>
      <c r="S3775" s="78">
        <f>IF(AND(K3775&lt;&gt;"", R3775&lt;&gt;""), R3775-K3775, "")</f>
        <v/>
      </c>
      <c r="T3775" s="78" t="n"/>
      <c r="U3775" s="92">
        <f>IF(ISBLANK(P3775),"",IF(C3775="Buy",Q3775-M3775+T3775, IF(C3775="Sell",M3775-Q3775-T3775, X)))</f>
        <v/>
      </c>
      <c r="V3775" s="81">
        <f>IF(ISBLANK(P3775),"",U3775/N3775)</f>
        <v/>
      </c>
      <c r="W3775" s="81">
        <f>IF(ISBLANK(P3775),"",IF(S3775=0,(365/0.5)*V3775,(365/S3775)*V3775))</f>
        <v/>
      </c>
      <c r="X3775" s="75" t="n"/>
      <c r="Y3775" s="77" t="n"/>
      <c r="Z3775" s="77" t="n"/>
      <c r="AA3775" s="75" t="n"/>
      <c r="AB3775" s="75" t="n"/>
      <c r="AC3775" s="6" t="n"/>
      <c r="AD3775" s="75" t="n"/>
      <c r="AE3775" s="75" t="n"/>
      <c r="AF3775" s="75" t="n"/>
    </row>
    <row r="3776" ht="15.75" customHeight="1" s="133">
      <c r="A3776" s="75" t="n"/>
      <c r="B3776" s="75" t="n"/>
      <c r="C3776" s="75" t="n"/>
      <c r="D3776" s="75" t="n"/>
      <c r="E3776" s="76" t="n"/>
      <c r="F3776" s="77" t="n"/>
      <c r="G3776" s="75" t="n"/>
      <c r="H3776" s="75">
        <f>IF(ISBLANK(E3776),"",IF(OR(D3776="Butterfly",D3776="Butterfly ",D3776="Iron Fly", D3776="Iron Fly "),LEN(E3776)-LEN(SUBSTITUTE(E3776,"/",""))+2,LEN(E3776)-LEN(SUBSTITUTE(E3776,"/",""))+1))</f>
        <v/>
      </c>
      <c r="I3776" s="78">
        <f>IF(ISBLANK(G3776),"",IF(D3776="Stock","0",Key!$A$3*H3776*G3776))</f>
        <v/>
      </c>
      <c r="J3776" s="78">
        <f>IF(ISBLANK(E3776),"",IF(ISNUMBER(SEARCH("/",E3776)), IF(LEN(E3776)-LEN(SUBSTITUTE(E3776,"/",""))=1,(RIGHT(E3776,LEN(E3776)-FIND("/",E3776)))-(LEFT(E3776,FIND("/",E3776)-1)),(MID(E3776, SEARCH("/",E3776) + 1, SEARCH("/",E3776, SEARCH("/",E3776)+1) - SEARCH("/",E3776) - 1))-(LEFT(E3776,FIND("/",E3776)-1))), "NA"))</f>
        <v/>
      </c>
      <c r="K3776" s="79">
        <f>IF(A3776&lt;&gt;"", IF(ISBLANK(L3776), TODAY(), K3776), "")</f>
        <v/>
      </c>
      <c r="L3776" s="78" t="n"/>
      <c r="M3776" s="78">
        <f>IF(ISBLANK(L3776),"",IF(D3776="Stock",IF(C3776="Buy",L3776*G3776,IF(C3776="Sell",(L3776*G3776)-I3776, X)),IF(C3776="Buy",(L3776*G3776*100)+I3776,IF(C3776="Sell",(L3776*G3776*100)-I3776, X))))</f>
        <v/>
      </c>
      <c r="N3776" s="78">
        <f>IF(ISBLANK(L3776),"",IF(AND(C3776="Sell",D3776="Stock"),M3776,IF(ISBLANK(L3776),"",IF(C3776="Buy",M3776, IF(AND(C3776="Sell",J3776="NA"),(E3776*G3776*100*0.1)+I3776, IF(C3776="Sell",(J3776-L3776)*(100*G3776)+I3776))))))</f>
        <v/>
      </c>
      <c r="O3776" s="75" t="n"/>
      <c r="P3776" s="75" t="n"/>
      <c r="Q3776" s="75">
        <f>IF(ISBLANK(P3776),"",IF(D3776="Stock",P3776*G3776,IF(P3776=0,"0",G3776*P3776*100-(G3776*$AF$14))))</f>
        <v/>
      </c>
      <c r="R3776" s="79">
        <f>IF(P3776&lt;&gt;"", TODAY(), "")</f>
        <v/>
      </c>
      <c r="S3776" s="78">
        <f>IF(AND(K3776&lt;&gt;"", R3776&lt;&gt;""), R3776-K3776, "")</f>
        <v/>
      </c>
      <c r="T3776" s="78" t="n"/>
      <c r="U3776" s="92">
        <f>IF(ISBLANK(P3776),"",IF(C3776="Buy",Q3776-M3776+T3776, IF(C3776="Sell",M3776-Q3776-T3776, X)))</f>
        <v/>
      </c>
      <c r="V3776" s="81">
        <f>IF(ISBLANK(P3776),"",U3776/N3776)</f>
        <v/>
      </c>
      <c r="W3776" s="81">
        <f>IF(ISBLANK(P3776),"",IF(S3776=0,(365/0.5)*V3776,(365/S3776)*V3776))</f>
        <v/>
      </c>
      <c r="X3776" s="75" t="n"/>
      <c r="Y3776" s="77" t="n"/>
      <c r="Z3776" s="77" t="n"/>
      <c r="AA3776" s="75" t="n"/>
      <c r="AB3776" s="75" t="n"/>
      <c r="AC3776" s="6" t="n"/>
      <c r="AD3776" s="75" t="n"/>
      <c r="AE3776" s="75" t="n"/>
      <c r="AF3776" s="75" t="n"/>
    </row>
    <row r="3777" ht="15.75" customHeight="1" s="133">
      <c r="A3777" s="75" t="n"/>
      <c r="B3777" s="75" t="n"/>
      <c r="C3777" s="75" t="n"/>
      <c r="D3777" s="75" t="n"/>
      <c r="E3777" s="76" t="n"/>
      <c r="F3777" s="77" t="n"/>
      <c r="G3777" s="75" t="n"/>
      <c r="H3777" s="75">
        <f>IF(ISBLANK(E3777),"",IF(OR(D3777="Butterfly",D3777="Butterfly ",D3777="Iron Fly", D3777="Iron Fly "),LEN(E3777)-LEN(SUBSTITUTE(E3777,"/",""))+2,LEN(E3777)-LEN(SUBSTITUTE(E3777,"/",""))+1))</f>
        <v/>
      </c>
      <c r="I3777" s="78">
        <f>IF(ISBLANK(G3777),"",IF(D3777="Stock","0",Key!$A$3*H3777*G3777))</f>
        <v/>
      </c>
      <c r="J3777" s="78">
        <f>IF(ISBLANK(E3777),"",IF(ISNUMBER(SEARCH("/",E3777)), IF(LEN(E3777)-LEN(SUBSTITUTE(E3777,"/",""))=1,(RIGHT(E3777,LEN(E3777)-FIND("/",E3777)))-(LEFT(E3777,FIND("/",E3777)-1)),(MID(E3777, SEARCH("/",E3777) + 1, SEARCH("/",E3777, SEARCH("/",E3777)+1) - SEARCH("/",E3777) - 1))-(LEFT(E3777,FIND("/",E3777)-1))), "NA"))</f>
        <v/>
      </c>
      <c r="K3777" s="79">
        <f>IF(A3777&lt;&gt;"", IF(ISBLANK(L3777), TODAY(), K3777), "")</f>
        <v/>
      </c>
      <c r="L3777" s="78" t="n"/>
      <c r="M3777" s="78">
        <f>IF(ISBLANK(L3777),"",IF(D3777="Stock",IF(C3777="Buy",L3777*G3777,IF(C3777="Sell",(L3777*G3777)-I3777, X)),IF(C3777="Buy",(L3777*G3777*100)+I3777,IF(C3777="Sell",(L3777*G3777*100)-I3777, X))))</f>
        <v/>
      </c>
      <c r="N3777" s="78">
        <f>IF(ISBLANK(L3777),"",IF(AND(C3777="Sell",D3777="Stock"),M3777,IF(ISBLANK(L3777),"",IF(C3777="Buy",M3777, IF(AND(C3777="Sell",J3777="NA"),(E3777*G3777*100*0.1)+I3777, IF(C3777="Sell",(J3777-L3777)*(100*G3777)+I3777))))))</f>
        <v/>
      </c>
      <c r="O3777" s="75" t="n"/>
      <c r="P3777" s="75" t="n"/>
      <c r="Q3777" s="75">
        <f>IF(ISBLANK(P3777),"",IF(D3777="Stock",P3777*G3777,IF(P3777=0,"0",G3777*P3777*100-(G3777*$AF$14))))</f>
        <v/>
      </c>
      <c r="R3777" s="79">
        <f>IF(P3777&lt;&gt;"", TODAY(), "")</f>
        <v/>
      </c>
      <c r="S3777" s="78">
        <f>IF(AND(K3777&lt;&gt;"", R3777&lt;&gt;""), R3777-K3777, "")</f>
        <v/>
      </c>
      <c r="T3777" s="78" t="n"/>
      <c r="U3777" s="92">
        <f>IF(ISBLANK(P3777),"",IF(C3777="Buy",Q3777-M3777+T3777, IF(C3777="Sell",M3777-Q3777-T3777, X)))</f>
        <v/>
      </c>
      <c r="V3777" s="81">
        <f>IF(ISBLANK(P3777),"",U3777/N3777)</f>
        <v/>
      </c>
      <c r="W3777" s="81">
        <f>IF(ISBLANK(P3777),"",IF(S3777=0,(365/0.5)*V3777,(365/S3777)*V3777))</f>
        <v/>
      </c>
      <c r="X3777" s="75" t="n"/>
      <c r="Y3777" s="77" t="n"/>
      <c r="Z3777" s="77" t="n"/>
      <c r="AA3777" s="75" t="n"/>
      <c r="AB3777" s="75" t="n"/>
      <c r="AC3777" s="6" t="n"/>
      <c r="AD3777" s="75" t="n"/>
      <c r="AE3777" s="75" t="n"/>
      <c r="AF3777" s="75" t="n"/>
    </row>
    <row r="3778" ht="15.75" customHeight="1" s="133">
      <c r="A3778" s="75" t="n"/>
      <c r="B3778" s="75" t="n"/>
      <c r="C3778" s="75" t="n"/>
      <c r="D3778" s="75" t="n"/>
      <c r="E3778" s="76" t="n"/>
      <c r="F3778" s="77" t="n"/>
      <c r="G3778" s="75" t="n"/>
      <c r="H3778" s="75">
        <f>IF(ISBLANK(E3778),"",IF(OR(D3778="Butterfly",D3778="Butterfly ",D3778="Iron Fly", D3778="Iron Fly "),LEN(E3778)-LEN(SUBSTITUTE(E3778,"/",""))+2,LEN(E3778)-LEN(SUBSTITUTE(E3778,"/",""))+1))</f>
        <v/>
      </c>
      <c r="I3778" s="78">
        <f>IF(ISBLANK(G3778),"",IF(D3778="Stock","0",Key!$A$3*H3778*G3778))</f>
        <v/>
      </c>
      <c r="J3778" s="78">
        <f>IF(ISBLANK(E3778),"",IF(ISNUMBER(SEARCH("/",E3778)), IF(LEN(E3778)-LEN(SUBSTITUTE(E3778,"/",""))=1,(RIGHT(E3778,LEN(E3778)-FIND("/",E3778)))-(LEFT(E3778,FIND("/",E3778)-1)),(MID(E3778, SEARCH("/",E3778) + 1, SEARCH("/",E3778, SEARCH("/",E3778)+1) - SEARCH("/",E3778) - 1))-(LEFT(E3778,FIND("/",E3778)-1))), "NA"))</f>
        <v/>
      </c>
      <c r="K3778" s="79">
        <f>IF(A3778&lt;&gt;"", IF(ISBLANK(L3778), TODAY(), K3778), "")</f>
        <v/>
      </c>
      <c r="L3778" s="78" t="n"/>
      <c r="M3778" s="78">
        <f>IF(ISBLANK(L3778),"",IF(D3778="Stock",IF(C3778="Buy",L3778*G3778,IF(C3778="Sell",(L3778*G3778)-I3778, X)),IF(C3778="Buy",(L3778*G3778*100)+I3778,IF(C3778="Sell",(L3778*G3778*100)-I3778, X))))</f>
        <v/>
      </c>
      <c r="N3778" s="78">
        <f>IF(ISBLANK(L3778),"",IF(AND(C3778="Sell",D3778="Stock"),M3778,IF(ISBLANK(L3778),"",IF(C3778="Buy",M3778, IF(AND(C3778="Sell",J3778="NA"),(E3778*G3778*100*0.1)+I3778, IF(C3778="Sell",(J3778-L3778)*(100*G3778)+I3778))))))</f>
        <v/>
      </c>
      <c r="O3778" s="75" t="n"/>
      <c r="P3778" s="75" t="n"/>
      <c r="Q3778" s="75">
        <f>IF(ISBLANK(P3778),"",IF(D3778="Stock",P3778*G3778,IF(P3778=0,"0",G3778*P3778*100-(G3778*$AF$14))))</f>
        <v/>
      </c>
      <c r="R3778" s="79">
        <f>IF(P3778&lt;&gt;"", TODAY(), "")</f>
        <v/>
      </c>
      <c r="S3778" s="78">
        <f>IF(AND(K3778&lt;&gt;"", R3778&lt;&gt;""), R3778-K3778, "")</f>
        <v/>
      </c>
      <c r="T3778" s="78" t="n"/>
      <c r="U3778" s="92">
        <f>IF(ISBLANK(P3778),"",IF(C3778="Buy",Q3778-M3778+T3778, IF(C3778="Sell",M3778-Q3778-T3778, X)))</f>
        <v/>
      </c>
      <c r="V3778" s="81">
        <f>IF(ISBLANK(P3778),"",U3778/N3778)</f>
        <v/>
      </c>
      <c r="W3778" s="81">
        <f>IF(ISBLANK(P3778),"",IF(S3778=0,(365/0.5)*V3778,(365/S3778)*V3778))</f>
        <v/>
      </c>
      <c r="X3778" s="75" t="n"/>
      <c r="Y3778" s="77" t="n"/>
      <c r="Z3778" s="77" t="n"/>
      <c r="AA3778" s="75" t="n"/>
      <c r="AB3778" s="75" t="n"/>
      <c r="AC3778" s="6" t="n"/>
      <c r="AD3778" s="75" t="n"/>
      <c r="AE3778" s="75" t="n"/>
      <c r="AF3778" s="75" t="n"/>
    </row>
    <row r="3779" ht="15.75" customHeight="1" s="133">
      <c r="A3779" s="75" t="n"/>
      <c r="B3779" s="75" t="n"/>
      <c r="C3779" s="75" t="n"/>
      <c r="D3779" s="75" t="n"/>
      <c r="E3779" s="76" t="n"/>
      <c r="F3779" s="77" t="n"/>
      <c r="G3779" s="75" t="n"/>
      <c r="H3779" s="75">
        <f>IF(ISBLANK(E3779),"",IF(OR(D3779="Butterfly",D3779="Butterfly ",D3779="Iron Fly", D3779="Iron Fly "),LEN(E3779)-LEN(SUBSTITUTE(E3779,"/",""))+2,LEN(E3779)-LEN(SUBSTITUTE(E3779,"/",""))+1))</f>
        <v/>
      </c>
      <c r="I3779" s="78">
        <f>IF(ISBLANK(G3779),"",IF(D3779="Stock","0",Key!$A$3*H3779*G3779))</f>
        <v/>
      </c>
      <c r="J3779" s="78">
        <f>IF(ISBLANK(E3779),"",IF(ISNUMBER(SEARCH("/",E3779)), IF(LEN(E3779)-LEN(SUBSTITUTE(E3779,"/",""))=1,(RIGHT(E3779,LEN(E3779)-FIND("/",E3779)))-(LEFT(E3779,FIND("/",E3779)-1)),(MID(E3779, SEARCH("/",E3779) + 1, SEARCH("/",E3779, SEARCH("/",E3779)+1) - SEARCH("/",E3779) - 1))-(LEFT(E3779,FIND("/",E3779)-1))), "NA"))</f>
        <v/>
      </c>
      <c r="K3779" s="79">
        <f>IF(A3779&lt;&gt;"", IF(ISBLANK(L3779), TODAY(), K3779), "")</f>
        <v/>
      </c>
      <c r="L3779" s="78" t="n"/>
      <c r="M3779" s="78">
        <f>IF(ISBLANK(L3779),"",IF(D3779="Stock",IF(C3779="Buy",L3779*G3779,IF(C3779="Sell",(L3779*G3779)-I3779, X)),IF(C3779="Buy",(L3779*G3779*100)+I3779,IF(C3779="Sell",(L3779*G3779*100)-I3779, X))))</f>
        <v/>
      </c>
      <c r="N3779" s="78">
        <f>IF(ISBLANK(L3779),"",IF(AND(C3779="Sell",D3779="Stock"),M3779,IF(ISBLANK(L3779),"",IF(C3779="Buy",M3779, IF(AND(C3779="Sell",J3779="NA"),(E3779*G3779*100*0.1)+I3779, IF(C3779="Sell",(J3779-L3779)*(100*G3779)+I3779))))))</f>
        <v/>
      </c>
      <c r="O3779" s="75" t="n"/>
      <c r="P3779" s="75" t="n"/>
      <c r="Q3779" s="75">
        <f>IF(ISBLANK(P3779),"",IF(D3779="Stock",P3779*G3779,IF(P3779=0,"0",G3779*P3779*100-(G3779*$AF$14))))</f>
        <v/>
      </c>
      <c r="R3779" s="79">
        <f>IF(P3779&lt;&gt;"", TODAY(), "")</f>
        <v/>
      </c>
      <c r="S3779" s="78">
        <f>IF(AND(K3779&lt;&gt;"", R3779&lt;&gt;""), R3779-K3779, "")</f>
        <v/>
      </c>
      <c r="T3779" s="78" t="n"/>
      <c r="U3779" s="92">
        <f>IF(ISBLANK(P3779),"",IF(C3779="Buy",Q3779-M3779+T3779, IF(C3779="Sell",M3779-Q3779-T3779, X)))</f>
        <v/>
      </c>
      <c r="V3779" s="81">
        <f>IF(ISBLANK(P3779),"",U3779/N3779)</f>
        <v/>
      </c>
      <c r="W3779" s="81">
        <f>IF(ISBLANK(P3779),"",IF(S3779=0,(365/0.5)*V3779,(365/S3779)*V3779))</f>
        <v/>
      </c>
      <c r="X3779" s="75" t="n"/>
      <c r="Y3779" s="77" t="n"/>
      <c r="Z3779" s="77" t="n"/>
      <c r="AA3779" s="75" t="n"/>
      <c r="AB3779" s="75" t="n"/>
      <c r="AC3779" s="6" t="n"/>
      <c r="AD3779" s="75" t="n"/>
      <c r="AE3779" s="75" t="n"/>
      <c r="AF3779" s="75" t="n"/>
    </row>
    <row r="3780" ht="15.75" customHeight="1" s="133">
      <c r="A3780" s="75" t="n"/>
      <c r="B3780" s="75" t="n"/>
      <c r="C3780" s="75" t="n"/>
      <c r="D3780" s="75" t="n"/>
      <c r="E3780" s="76" t="n"/>
      <c r="F3780" s="77" t="n"/>
      <c r="G3780" s="75" t="n"/>
      <c r="H3780" s="75">
        <f>IF(ISBLANK(E3780),"",IF(OR(D3780="Butterfly",D3780="Butterfly ",D3780="Iron Fly", D3780="Iron Fly "),LEN(E3780)-LEN(SUBSTITUTE(E3780,"/",""))+2,LEN(E3780)-LEN(SUBSTITUTE(E3780,"/",""))+1))</f>
        <v/>
      </c>
      <c r="I3780" s="78">
        <f>IF(ISBLANK(G3780),"",IF(D3780="Stock","0",Key!$A$3*H3780*G3780))</f>
        <v/>
      </c>
      <c r="J3780" s="78">
        <f>IF(ISBLANK(E3780),"",IF(ISNUMBER(SEARCH("/",E3780)), IF(LEN(E3780)-LEN(SUBSTITUTE(E3780,"/",""))=1,(RIGHT(E3780,LEN(E3780)-FIND("/",E3780)))-(LEFT(E3780,FIND("/",E3780)-1)),(MID(E3780, SEARCH("/",E3780) + 1, SEARCH("/",E3780, SEARCH("/",E3780)+1) - SEARCH("/",E3780) - 1))-(LEFT(E3780,FIND("/",E3780)-1))), "NA"))</f>
        <v/>
      </c>
      <c r="K3780" s="79">
        <f>IF(A3780&lt;&gt;"", IF(ISBLANK(L3780), TODAY(), K3780), "")</f>
        <v/>
      </c>
      <c r="L3780" s="78" t="n"/>
      <c r="M3780" s="78">
        <f>IF(ISBLANK(L3780),"",IF(D3780="Stock",IF(C3780="Buy",L3780*G3780,IF(C3780="Sell",(L3780*G3780)-I3780, X)),IF(C3780="Buy",(L3780*G3780*100)+I3780,IF(C3780="Sell",(L3780*G3780*100)-I3780, X))))</f>
        <v/>
      </c>
      <c r="N3780" s="78">
        <f>IF(ISBLANK(L3780),"",IF(AND(C3780="Sell",D3780="Stock"),M3780,IF(ISBLANK(L3780),"",IF(C3780="Buy",M3780, IF(AND(C3780="Sell",J3780="NA"),(E3780*G3780*100*0.1)+I3780, IF(C3780="Sell",(J3780-L3780)*(100*G3780)+I3780))))))</f>
        <v/>
      </c>
      <c r="O3780" s="75" t="n"/>
      <c r="P3780" s="75" t="n"/>
      <c r="Q3780" s="75">
        <f>IF(ISBLANK(P3780),"",IF(D3780="Stock",P3780*G3780,IF(P3780=0,"0",G3780*P3780*100-(G3780*$AF$14))))</f>
        <v/>
      </c>
      <c r="R3780" s="79">
        <f>IF(P3780&lt;&gt;"", TODAY(), "")</f>
        <v/>
      </c>
      <c r="S3780" s="78">
        <f>IF(AND(K3780&lt;&gt;"", R3780&lt;&gt;""), R3780-K3780, "")</f>
        <v/>
      </c>
      <c r="T3780" s="78" t="n"/>
      <c r="U3780" s="92">
        <f>IF(ISBLANK(P3780),"",IF(C3780="Buy",Q3780-M3780+T3780, IF(C3780="Sell",M3780-Q3780-T3780, X)))</f>
        <v/>
      </c>
      <c r="V3780" s="81">
        <f>IF(ISBLANK(P3780),"",U3780/N3780)</f>
        <v/>
      </c>
      <c r="W3780" s="81">
        <f>IF(ISBLANK(P3780),"",IF(S3780=0,(365/0.5)*V3780,(365/S3780)*V3780))</f>
        <v/>
      </c>
      <c r="X3780" s="75" t="n"/>
      <c r="Y3780" s="77" t="n"/>
      <c r="Z3780" s="77" t="n"/>
      <c r="AA3780" s="75" t="n"/>
      <c r="AB3780" s="75" t="n"/>
      <c r="AC3780" s="6" t="n"/>
      <c r="AD3780" s="75" t="n"/>
      <c r="AE3780" s="75" t="n"/>
      <c r="AF3780" s="75" t="n"/>
    </row>
    <row r="3781" ht="15.75" customHeight="1" s="133">
      <c r="A3781" s="75" t="n"/>
      <c r="B3781" s="75" t="n"/>
      <c r="C3781" s="75" t="n"/>
      <c r="D3781" s="75" t="n"/>
      <c r="E3781" s="76" t="n"/>
      <c r="F3781" s="77" t="n"/>
      <c r="G3781" s="75" t="n"/>
      <c r="H3781" s="75">
        <f>IF(ISBLANK(E3781),"",IF(OR(D3781="Butterfly",D3781="Butterfly ",D3781="Iron Fly", D3781="Iron Fly "),LEN(E3781)-LEN(SUBSTITUTE(E3781,"/",""))+2,LEN(E3781)-LEN(SUBSTITUTE(E3781,"/",""))+1))</f>
        <v/>
      </c>
      <c r="I3781" s="78">
        <f>IF(ISBLANK(G3781),"",IF(D3781="Stock","0",Key!$A$3*H3781*G3781))</f>
        <v/>
      </c>
      <c r="J3781" s="78">
        <f>IF(ISBLANK(E3781),"",IF(ISNUMBER(SEARCH("/",E3781)), IF(LEN(E3781)-LEN(SUBSTITUTE(E3781,"/",""))=1,(RIGHT(E3781,LEN(E3781)-FIND("/",E3781)))-(LEFT(E3781,FIND("/",E3781)-1)),(MID(E3781, SEARCH("/",E3781) + 1, SEARCH("/",E3781, SEARCH("/",E3781)+1) - SEARCH("/",E3781) - 1))-(LEFT(E3781,FIND("/",E3781)-1))), "NA"))</f>
        <v/>
      </c>
      <c r="K3781" s="79">
        <f>IF(A3781&lt;&gt;"", IF(ISBLANK(L3781), TODAY(), K3781), "")</f>
        <v/>
      </c>
      <c r="L3781" s="78" t="n"/>
      <c r="M3781" s="78">
        <f>IF(ISBLANK(L3781),"",IF(D3781="Stock",IF(C3781="Buy",L3781*G3781,IF(C3781="Sell",(L3781*G3781)-I3781, X)),IF(C3781="Buy",(L3781*G3781*100)+I3781,IF(C3781="Sell",(L3781*G3781*100)-I3781, X))))</f>
        <v/>
      </c>
      <c r="N3781" s="78">
        <f>IF(ISBLANK(L3781),"",IF(AND(C3781="Sell",D3781="Stock"),M3781,IF(ISBLANK(L3781),"",IF(C3781="Buy",M3781, IF(AND(C3781="Sell",J3781="NA"),(E3781*G3781*100*0.1)+I3781, IF(C3781="Sell",(J3781-L3781)*(100*G3781)+I3781))))))</f>
        <v/>
      </c>
      <c r="O3781" s="75" t="n"/>
      <c r="P3781" s="75" t="n"/>
      <c r="Q3781" s="75">
        <f>IF(ISBLANK(P3781),"",IF(D3781="Stock",P3781*G3781,IF(P3781=0,"0",G3781*P3781*100-(G3781*$AF$14))))</f>
        <v/>
      </c>
      <c r="R3781" s="79">
        <f>IF(P3781&lt;&gt;"", TODAY(), "")</f>
        <v/>
      </c>
      <c r="S3781" s="78">
        <f>IF(AND(K3781&lt;&gt;"", R3781&lt;&gt;""), R3781-K3781, "")</f>
        <v/>
      </c>
      <c r="T3781" s="78" t="n"/>
      <c r="U3781" s="92">
        <f>IF(ISBLANK(P3781),"",IF(C3781="Buy",Q3781-M3781+T3781, IF(C3781="Sell",M3781-Q3781-T3781, X)))</f>
        <v/>
      </c>
      <c r="V3781" s="81">
        <f>IF(ISBLANK(P3781),"",U3781/N3781)</f>
        <v/>
      </c>
      <c r="W3781" s="81">
        <f>IF(ISBLANK(P3781),"",IF(S3781=0,(365/0.5)*V3781,(365/S3781)*V3781))</f>
        <v/>
      </c>
      <c r="X3781" s="75" t="n"/>
      <c r="Y3781" s="77" t="n"/>
      <c r="Z3781" s="77" t="n"/>
      <c r="AA3781" s="75" t="n"/>
      <c r="AB3781" s="75" t="n"/>
      <c r="AC3781" s="6" t="n"/>
      <c r="AD3781" s="75" t="n"/>
      <c r="AE3781" s="75" t="n"/>
      <c r="AF3781" s="75" t="n"/>
    </row>
    <row r="3782" ht="15.75" customHeight="1" s="133">
      <c r="A3782" s="75" t="n"/>
      <c r="B3782" s="75" t="n"/>
      <c r="C3782" s="75" t="n"/>
      <c r="D3782" s="75" t="n"/>
      <c r="E3782" s="76" t="n"/>
      <c r="F3782" s="77" t="n"/>
      <c r="G3782" s="75" t="n"/>
      <c r="H3782" s="75">
        <f>IF(ISBLANK(E3782),"",IF(OR(D3782="Butterfly",D3782="Butterfly ",D3782="Iron Fly", D3782="Iron Fly "),LEN(E3782)-LEN(SUBSTITUTE(E3782,"/",""))+2,LEN(E3782)-LEN(SUBSTITUTE(E3782,"/",""))+1))</f>
        <v/>
      </c>
      <c r="I3782" s="78">
        <f>IF(ISBLANK(G3782),"",IF(D3782="Stock","0",Key!$A$3*H3782*G3782))</f>
        <v/>
      </c>
      <c r="J3782" s="78">
        <f>IF(ISBLANK(E3782),"",IF(ISNUMBER(SEARCH("/",E3782)), IF(LEN(E3782)-LEN(SUBSTITUTE(E3782,"/",""))=1,(RIGHT(E3782,LEN(E3782)-FIND("/",E3782)))-(LEFT(E3782,FIND("/",E3782)-1)),(MID(E3782, SEARCH("/",E3782) + 1, SEARCH("/",E3782, SEARCH("/",E3782)+1) - SEARCH("/",E3782) - 1))-(LEFT(E3782,FIND("/",E3782)-1))), "NA"))</f>
        <v/>
      </c>
      <c r="K3782" s="79">
        <f>IF(A3782&lt;&gt;"", IF(ISBLANK(L3782), TODAY(), K3782), "")</f>
        <v/>
      </c>
      <c r="L3782" s="78" t="n"/>
      <c r="M3782" s="78">
        <f>IF(ISBLANK(L3782),"",IF(D3782="Stock",IF(C3782="Buy",L3782*G3782,IF(C3782="Sell",(L3782*G3782)-I3782, X)),IF(C3782="Buy",(L3782*G3782*100)+I3782,IF(C3782="Sell",(L3782*G3782*100)-I3782, X))))</f>
        <v/>
      </c>
      <c r="N3782" s="78">
        <f>IF(ISBLANK(L3782),"",IF(AND(C3782="Sell",D3782="Stock"),M3782,IF(ISBLANK(L3782),"",IF(C3782="Buy",M3782, IF(AND(C3782="Sell",J3782="NA"),(E3782*G3782*100*0.1)+I3782, IF(C3782="Sell",(J3782-L3782)*(100*G3782)+I3782))))))</f>
        <v/>
      </c>
      <c r="O3782" s="75" t="n"/>
      <c r="P3782" s="75" t="n"/>
      <c r="Q3782" s="75">
        <f>IF(ISBLANK(P3782),"",IF(D3782="Stock",P3782*G3782,IF(P3782=0,"0",G3782*P3782*100-(G3782*$AF$14))))</f>
        <v/>
      </c>
      <c r="R3782" s="79">
        <f>IF(P3782&lt;&gt;"", TODAY(), "")</f>
        <v/>
      </c>
      <c r="S3782" s="78">
        <f>IF(AND(K3782&lt;&gt;"", R3782&lt;&gt;""), R3782-K3782, "")</f>
        <v/>
      </c>
      <c r="T3782" s="78" t="n"/>
      <c r="U3782" s="92">
        <f>IF(ISBLANK(P3782),"",IF(C3782="Buy",Q3782-M3782+T3782, IF(C3782="Sell",M3782-Q3782-T3782, X)))</f>
        <v/>
      </c>
      <c r="V3782" s="81">
        <f>IF(ISBLANK(P3782),"",U3782/N3782)</f>
        <v/>
      </c>
      <c r="W3782" s="81">
        <f>IF(ISBLANK(P3782),"",IF(S3782=0,(365/0.5)*V3782,(365/S3782)*V3782))</f>
        <v/>
      </c>
      <c r="X3782" s="75" t="n"/>
      <c r="Y3782" s="77" t="n"/>
      <c r="Z3782" s="77" t="n"/>
      <c r="AA3782" s="75" t="n"/>
      <c r="AB3782" s="75" t="n"/>
      <c r="AC3782" s="6" t="n"/>
      <c r="AD3782" s="75" t="n"/>
      <c r="AE3782" s="75" t="n"/>
      <c r="AF3782" s="75" t="n"/>
    </row>
    <row r="3783" ht="15.75" customHeight="1" s="133">
      <c r="A3783" s="75" t="n"/>
      <c r="B3783" s="75" t="n"/>
      <c r="C3783" s="75" t="n"/>
      <c r="D3783" s="75" t="n"/>
      <c r="E3783" s="76" t="n"/>
      <c r="F3783" s="77" t="n"/>
      <c r="G3783" s="75" t="n"/>
      <c r="H3783" s="75">
        <f>IF(ISBLANK(E3783),"",IF(OR(D3783="Butterfly",D3783="Butterfly ",D3783="Iron Fly", D3783="Iron Fly "),LEN(E3783)-LEN(SUBSTITUTE(E3783,"/",""))+2,LEN(E3783)-LEN(SUBSTITUTE(E3783,"/",""))+1))</f>
        <v/>
      </c>
      <c r="I3783" s="78">
        <f>IF(ISBLANK(G3783),"",IF(D3783="Stock","0",Key!$A$3*H3783*G3783))</f>
        <v/>
      </c>
      <c r="J3783" s="78">
        <f>IF(ISBLANK(E3783),"",IF(ISNUMBER(SEARCH("/",E3783)), IF(LEN(E3783)-LEN(SUBSTITUTE(E3783,"/",""))=1,(RIGHT(E3783,LEN(E3783)-FIND("/",E3783)))-(LEFT(E3783,FIND("/",E3783)-1)),(MID(E3783, SEARCH("/",E3783) + 1, SEARCH("/",E3783, SEARCH("/",E3783)+1) - SEARCH("/",E3783) - 1))-(LEFT(E3783,FIND("/",E3783)-1))), "NA"))</f>
        <v/>
      </c>
      <c r="K3783" s="79">
        <f>IF(A3783&lt;&gt;"", IF(ISBLANK(L3783), TODAY(), K3783), "")</f>
        <v/>
      </c>
      <c r="L3783" s="78" t="n"/>
      <c r="M3783" s="78">
        <f>IF(ISBLANK(L3783),"",IF(D3783="Stock",IF(C3783="Buy",L3783*G3783,IF(C3783="Sell",(L3783*G3783)-I3783, X)),IF(C3783="Buy",(L3783*G3783*100)+I3783,IF(C3783="Sell",(L3783*G3783*100)-I3783, X))))</f>
        <v/>
      </c>
      <c r="N3783" s="78">
        <f>IF(ISBLANK(L3783),"",IF(AND(C3783="Sell",D3783="Stock"),M3783,IF(ISBLANK(L3783),"",IF(C3783="Buy",M3783, IF(AND(C3783="Sell",J3783="NA"),(E3783*G3783*100*0.1)+I3783, IF(C3783="Sell",(J3783-L3783)*(100*G3783)+I3783))))))</f>
        <v/>
      </c>
      <c r="O3783" s="75" t="n"/>
      <c r="P3783" s="75" t="n"/>
      <c r="Q3783" s="75">
        <f>IF(ISBLANK(P3783),"",IF(D3783="Stock",P3783*G3783,IF(P3783=0,"0",G3783*P3783*100-(G3783*$AF$14))))</f>
        <v/>
      </c>
      <c r="R3783" s="79">
        <f>IF(P3783&lt;&gt;"", TODAY(), "")</f>
        <v/>
      </c>
      <c r="S3783" s="78">
        <f>IF(AND(K3783&lt;&gt;"", R3783&lt;&gt;""), R3783-K3783, "")</f>
        <v/>
      </c>
      <c r="T3783" s="78" t="n"/>
      <c r="U3783" s="92">
        <f>IF(ISBLANK(P3783),"",IF(C3783="Buy",Q3783-M3783+T3783, IF(C3783="Sell",M3783-Q3783-T3783, X)))</f>
        <v/>
      </c>
      <c r="V3783" s="81">
        <f>IF(ISBLANK(P3783),"",U3783/N3783)</f>
        <v/>
      </c>
      <c r="W3783" s="81">
        <f>IF(ISBLANK(P3783),"",IF(S3783=0,(365/0.5)*V3783,(365/S3783)*V3783))</f>
        <v/>
      </c>
      <c r="X3783" s="75" t="n"/>
      <c r="Y3783" s="77" t="n"/>
      <c r="Z3783" s="77" t="n"/>
      <c r="AA3783" s="75" t="n"/>
      <c r="AB3783" s="75" t="n"/>
      <c r="AC3783" s="6" t="n"/>
      <c r="AD3783" s="75" t="n"/>
      <c r="AE3783" s="75" t="n"/>
      <c r="AF3783" s="75" t="n"/>
    </row>
    <row r="3784" ht="15.75" customHeight="1" s="133">
      <c r="A3784" s="75" t="n"/>
      <c r="B3784" s="75" t="n"/>
      <c r="C3784" s="75" t="n"/>
      <c r="D3784" s="75" t="n"/>
      <c r="E3784" s="76" t="n"/>
      <c r="F3784" s="77" t="n"/>
      <c r="G3784" s="75" t="n"/>
      <c r="H3784" s="75">
        <f>IF(ISBLANK(E3784),"",IF(OR(D3784="Butterfly",D3784="Butterfly ",D3784="Iron Fly", D3784="Iron Fly "),LEN(E3784)-LEN(SUBSTITUTE(E3784,"/",""))+2,LEN(E3784)-LEN(SUBSTITUTE(E3784,"/",""))+1))</f>
        <v/>
      </c>
      <c r="I3784" s="78">
        <f>IF(ISBLANK(G3784),"",IF(D3784="Stock","0",Key!$A$3*H3784*G3784))</f>
        <v/>
      </c>
      <c r="J3784" s="78">
        <f>IF(ISBLANK(E3784),"",IF(ISNUMBER(SEARCH("/",E3784)), IF(LEN(E3784)-LEN(SUBSTITUTE(E3784,"/",""))=1,(RIGHT(E3784,LEN(E3784)-FIND("/",E3784)))-(LEFT(E3784,FIND("/",E3784)-1)),(MID(E3784, SEARCH("/",E3784) + 1, SEARCH("/",E3784, SEARCH("/",E3784)+1) - SEARCH("/",E3784) - 1))-(LEFT(E3784,FIND("/",E3784)-1))), "NA"))</f>
        <v/>
      </c>
      <c r="K3784" s="79">
        <f>IF(A3784&lt;&gt;"", IF(ISBLANK(L3784), TODAY(), K3784), "")</f>
        <v/>
      </c>
      <c r="L3784" s="78" t="n"/>
      <c r="M3784" s="78">
        <f>IF(ISBLANK(L3784),"",IF(D3784="Stock",IF(C3784="Buy",L3784*G3784,IF(C3784="Sell",(L3784*G3784)-I3784, X)),IF(C3784="Buy",(L3784*G3784*100)+I3784,IF(C3784="Sell",(L3784*G3784*100)-I3784, X))))</f>
        <v/>
      </c>
      <c r="N3784" s="78">
        <f>IF(ISBLANK(L3784),"",IF(AND(C3784="Sell",D3784="Stock"),M3784,IF(ISBLANK(L3784),"",IF(C3784="Buy",M3784, IF(AND(C3784="Sell",J3784="NA"),(E3784*G3784*100*0.1)+I3784, IF(C3784="Sell",(J3784-L3784)*(100*G3784)+I3784))))))</f>
        <v/>
      </c>
      <c r="O3784" s="75" t="n"/>
      <c r="P3784" s="75" t="n"/>
      <c r="Q3784" s="75">
        <f>IF(ISBLANK(P3784),"",IF(D3784="Stock",P3784*G3784,IF(P3784=0,"0",G3784*P3784*100-(G3784*$AF$14))))</f>
        <v/>
      </c>
      <c r="R3784" s="79">
        <f>IF(P3784&lt;&gt;"", TODAY(), "")</f>
        <v/>
      </c>
      <c r="S3784" s="78">
        <f>IF(AND(K3784&lt;&gt;"", R3784&lt;&gt;""), R3784-K3784, "")</f>
        <v/>
      </c>
      <c r="T3784" s="78" t="n"/>
      <c r="U3784" s="92">
        <f>IF(ISBLANK(P3784),"",IF(C3784="Buy",Q3784-M3784+T3784, IF(C3784="Sell",M3784-Q3784-T3784, X)))</f>
        <v/>
      </c>
      <c r="V3784" s="81">
        <f>IF(ISBLANK(P3784),"",U3784/N3784)</f>
        <v/>
      </c>
      <c r="W3784" s="81">
        <f>IF(ISBLANK(P3784),"",IF(S3784=0,(365/0.5)*V3784,(365/S3784)*V3784))</f>
        <v/>
      </c>
      <c r="X3784" s="75" t="n"/>
      <c r="Y3784" s="77" t="n"/>
      <c r="Z3784" s="77" t="n"/>
      <c r="AA3784" s="75" t="n"/>
      <c r="AB3784" s="75" t="n"/>
      <c r="AC3784" s="6" t="n"/>
      <c r="AD3784" s="75" t="n"/>
      <c r="AE3784" s="75" t="n"/>
      <c r="AF3784" s="75" t="n"/>
    </row>
    <row r="3785" ht="15.75" customHeight="1" s="133">
      <c r="A3785" s="75" t="n"/>
      <c r="B3785" s="75" t="n"/>
      <c r="C3785" s="75" t="n"/>
      <c r="D3785" s="75" t="n"/>
      <c r="E3785" s="76" t="n"/>
      <c r="F3785" s="77" t="n"/>
      <c r="G3785" s="75" t="n"/>
      <c r="H3785" s="75">
        <f>IF(ISBLANK(E3785),"",IF(OR(D3785="Butterfly",D3785="Butterfly ",D3785="Iron Fly", D3785="Iron Fly "),LEN(E3785)-LEN(SUBSTITUTE(E3785,"/",""))+2,LEN(E3785)-LEN(SUBSTITUTE(E3785,"/",""))+1))</f>
        <v/>
      </c>
      <c r="I3785" s="78">
        <f>IF(ISBLANK(G3785),"",IF(D3785="Stock","0",Key!$A$3*H3785*G3785))</f>
        <v/>
      </c>
      <c r="J3785" s="78">
        <f>IF(ISBLANK(E3785),"",IF(ISNUMBER(SEARCH("/",E3785)), IF(LEN(E3785)-LEN(SUBSTITUTE(E3785,"/",""))=1,(RIGHT(E3785,LEN(E3785)-FIND("/",E3785)))-(LEFT(E3785,FIND("/",E3785)-1)),(MID(E3785, SEARCH("/",E3785) + 1, SEARCH("/",E3785, SEARCH("/",E3785)+1) - SEARCH("/",E3785) - 1))-(LEFT(E3785,FIND("/",E3785)-1))), "NA"))</f>
        <v/>
      </c>
      <c r="K3785" s="79">
        <f>IF(A3785&lt;&gt;"", IF(ISBLANK(L3785), TODAY(), K3785), "")</f>
        <v/>
      </c>
      <c r="L3785" s="78" t="n"/>
      <c r="M3785" s="78">
        <f>IF(ISBLANK(L3785),"",IF(D3785="Stock",IF(C3785="Buy",L3785*G3785,IF(C3785="Sell",(L3785*G3785)-I3785, X)),IF(C3785="Buy",(L3785*G3785*100)+I3785,IF(C3785="Sell",(L3785*G3785*100)-I3785, X))))</f>
        <v/>
      </c>
      <c r="N3785" s="78">
        <f>IF(ISBLANK(L3785),"",IF(AND(C3785="Sell",D3785="Stock"),M3785,IF(ISBLANK(L3785),"",IF(C3785="Buy",M3785, IF(AND(C3785="Sell",J3785="NA"),(E3785*G3785*100*0.1)+I3785, IF(C3785="Sell",(J3785-L3785)*(100*G3785)+I3785))))))</f>
        <v/>
      </c>
      <c r="O3785" s="75" t="n"/>
      <c r="P3785" s="75" t="n"/>
      <c r="Q3785" s="75">
        <f>IF(ISBLANK(P3785),"",IF(D3785="Stock",P3785*G3785,IF(P3785=0,"0",G3785*P3785*100-(G3785*$AF$14))))</f>
        <v/>
      </c>
      <c r="R3785" s="79">
        <f>IF(P3785&lt;&gt;"", TODAY(), "")</f>
        <v/>
      </c>
      <c r="S3785" s="78">
        <f>IF(AND(K3785&lt;&gt;"", R3785&lt;&gt;""), R3785-K3785, "")</f>
        <v/>
      </c>
      <c r="T3785" s="78" t="n"/>
      <c r="U3785" s="92">
        <f>IF(ISBLANK(P3785),"",IF(C3785="Buy",Q3785-M3785+T3785, IF(C3785="Sell",M3785-Q3785-T3785, X)))</f>
        <v/>
      </c>
      <c r="V3785" s="81">
        <f>IF(ISBLANK(P3785),"",U3785/N3785)</f>
        <v/>
      </c>
      <c r="W3785" s="81">
        <f>IF(ISBLANK(P3785),"",IF(S3785=0,(365/0.5)*V3785,(365/S3785)*V3785))</f>
        <v/>
      </c>
      <c r="X3785" s="75" t="n"/>
      <c r="Y3785" s="77" t="n"/>
      <c r="Z3785" s="77" t="n"/>
      <c r="AA3785" s="75" t="n"/>
      <c r="AB3785" s="75" t="n"/>
      <c r="AC3785" s="6" t="n"/>
      <c r="AD3785" s="75" t="n"/>
      <c r="AE3785" s="75" t="n"/>
      <c r="AF3785" s="75" t="n"/>
    </row>
    <row r="3786" ht="15.75" customHeight="1" s="133">
      <c r="A3786" s="75" t="n"/>
      <c r="B3786" s="75" t="n"/>
      <c r="C3786" s="75" t="n"/>
      <c r="D3786" s="75" t="n"/>
      <c r="E3786" s="76" t="n"/>
      <c r="F3786" s="77" t="n"/>
      <c r="G3786" s="75" t="n"/>
      <c r="H3786" s="75">
        <f>IF(ISBLANK(E3786),"",IF(OR(D3786="Butterfly",D3786="Butterfly ",D3786="Iron Fly", D3786="Iron Fly "),LEN(E3786)-LEN(SUBSTITUTE(E3786,"/",""))+2,LEN(E3786)-LEN(SUBSTITUTE(E3786,"/",""))+1))</f>
        <v/>
      </c>
      <c r="I3786" s="78">
        <f>IF(ISBLANK(G3786),"",IF(D3786="Stock","0",Key!$A$3*H3786*G3786))</f>
        <v/>
      </c>
      <c r="J3786" s="78">
        <f>IF(ISBLANK(E3786),"",IF(ISNUMBER(SEARCH("/",E3786)), IF(LEN(E3786)-LEN(SUBSTITUTE(E3786,"/",""))=1,(RIGHT(E3786,LEN(E3786)-FIND("/",E3786)))-(LEFT(E3786,FIND("/",E3786)-1)),(MID(E3786, SEARCH("/",E3786) + 1, SEARCH("/",E3786, SEARCH("/",E3786)+1) - SEARCH("/",E3786) - 1))-(LEFT(E3786,FIND("/",E3786)-1))), "NA"))</f>
        <v/>
      </c>
      <c r="K3786" s="79">
        <f>IF(A3786&lt;&gt;"", IF(ISBLANK(L3786), TODAY(), K3786), "")</f>
        <v/>
      </c>
      <c r="L3786" s="78" t="n"/>
      <c r="M3786" s="78">
        <f>IF(ISBLANK(L3786),"",IF(D3786="Stock",IF(C3786="Buy",L3786*G3786,IF(C3786="Sell",(L3786*G3786)-I3786, X)),IF(C3786="Buy",(L3786*G3786*100)+I3786,IF(C3786="Sell",(L3786*G3786*100)-I3786, X))))</f>
        <v/>
      </c>
      <c r="N3786" s="78">
        <f>IF(ISBLANK(L3786),"",IF(AND(C3786="Sell",D3786="Stock"),M3786,IF(ISBLANK(L3786),"",IF(C3786="Buy",M3786, IF(AND(C3786="Sell",J3786="NA"),(E3786*G3786*100*0.1)+I3786, IF(C3786="Sell",(J3786-L3786)*(100*G3786)+I3786))))))</f>
        <v/>
      </c>
      <c r="O3786" s="75" t="n"/>
      <c r="P3786" s="75" t="n"/>
      <c r="Q3786" s="75">
        <f>IF(ISBLANK(P3786),"",IF(D3786="Stock",P3786*G3786,IF(P3786=0,"0",G3786*P3786*100-(G3786*$AF$14))))</f>
        <v/>
      </c>
      <c r="R3786" s="79">
        <f>IF(P3786&lt;&gt;"", TODAY(), "")</f>
        <v/>
      </c>
      <c r="S3786" s="78">
        <f>IF(AND(K3786&lt;&gt;"", R3786&lt;&gt;""), R3786-K3786, "")</f>
        <v/>
      </c>
      <c r="T3786" s="78" t="n"/>
      <c r="U3786" s="92">
        <f>IF(ISBLANK(P3786),"",IF(C3786="Buy",Q3786-M3786+T3786, IF(C3786="Sell",M3786-Q3786-T3786, X)))</f>
        <v/>
      </c>
      <c r="V3786" s="81">
        <f>IF(ISBLANK(P3786),"",U3786/N3786)</f>
        <v/>
      </c>
      <c r="W3786" s="81">
        <f>IF(ISBLANK(P3786),"",IF(S3786=0,(365/0.5)*V3786,(365/S3786)*V3786))</f>
        <v/>
      </c>
      <c r="X3786" s="75" t="n"/>
      <c r="Y3786" s="77" t="n"/>
      <c r="Z3786" s="77" t="n"/>
      <c r="AA3786" s="75" t="n"/>
      <c r="AB3786" s="75" t="n"/>
      <c r="AC3786" s="6" t="n"/>
      <c r="AD3786" s="75" t="n"/>
      <c r="AE3786" s="75" t="n"/>
      <c r="AF3786" s="75" t="n"/>
    </row>
    <row r="3787" ht="15.75" customHeight="1" s="133">
      <c r="A3787" s="75" t="n"/>
      <c r="B3787" s="75" t="n"/>
      <c r="C3787" s="75" t="n"/>
      <c r="D3787" s="75" t="n"/>
      <c r="E3787" s="76" t="n"/>
      <c r="F3787" s="77" t="n"/>
      <c r="G3787" s="75" t="n"/>
      <c r="H3787" s="75">
        <f>IF(ISBLANK(E3787),"",IF(OR(D3787="Butterfly",D3787="Butterfly ",D3787="Iron Fly", D3787="Iron Fly "),LEN(E3787)-LEN(SUBSTITUTE(E3787,"/",""))+2,LEN(E3787)-LEN(SUBSTITUTE(E3787,"/",""))+1))</f>
        <v/>
      </c>
      <c r="I3787" s="78">
        <f>IF(ISBLANK(G3787),"",IF(D3787="Stock","0",Key!$A$3*H3787*G3787))</f>
        <v/>
      </c>
      <c r="J3787" s="78">
        <f>IF(ISBLANK(E3787),"",IF(ISNUMBER(SEARCH("/",E3787)), IF(LEN(E3787)-LEN(SUBSTITUTE(E3787,"/",""))=1,(RIGHT(E3787,LEN(E3787)-FIND("/",E3787)))-(LEFT(E3787,FIND("/",E3787)-1)),(MID(E3787, SEARCH("/",E3787) + 1, SEARCH("/",E3787, SEARCH("/",E3787)+1) - SEARCH("/",E3787) - 1))-(LEFT(E3787,FIND("/",E3787)-1))), "NA"))</f>
        <v/>
      </c>
      <c r="K3787" s="79">
        <f>IF(A3787&lt;&gt;"", IF(ISBLANK(L3787), TODAY(), K3787), "")</f>
        <v/>
      </c>
      <c r="L3787" s="78" t="n"/>
      <c r="M3787" s="78">
        <f>IF(ISBLANK(L3787),"",IF(D3787="Stock",IF(C3787="Buy",L3787*G3787,IF(C3787="Sell",(L3787*G3787)-I3787, X)),IF(C3787="Buy",(L3787*G3787*100)+I3787,IF(C3787="Sell",(L3787*G3787*100)-I3787, X))))</f>
        <v/>
      </c>
      <c r="N3787" s="78">
        <f>IF(ISBLANK(L3787),"",IF(AND(C3787="Sell",D3787="Stock"),M3787,IF(ISBLANK(L3787),"",IF(C3787="Buy",M3787, IF(AND(C3787="Sell",J3787="NA"),(E3787*G3787*100*0.1)+I3787, IF(C3787="Sell",(J3787-L3787)*(100*G3787)+I3787))))))</f>
        <v/>
      </c>
      <c r="O3787" s="75" t="n"/>
      <c r="P3787" s="75" t="n"/>
      <c r="Q3787" s="75">
        <f>IF(ISBLANK(P3787),"",IF(D3787="Stock",P3787*G3787,IF(P3787=0,"0",G3787*P3787*100-(G3787*$AF$14))))</f>
        <v/>
      </c>
      <c r="R3787" s="79">
        <f>IF(P3787&lt;&gt;"", TODAY(), "")</f>
        <v/>
      </c>
      <c r="S3787" s="78">
        <f>IF(AND(K3787&lt;&gt;"", R3787&lt;&gt;""), R3787-K3787, "")</f>
        <v/>
      </c>
      <c r="T3787" s="78" t="n"/>
      <c r="U3787" s="92">
        <f>IF(ISBLANK(P3787),"",IF(C3787="Buy",Q3787-M3787+T3787, IF(C3787="Sell",M3787-Q3787-T3787, X)))</f>
        <v/>
      </c>
      <c r="V3787" s="81">
        <f>IF(ISBLANK(P3787),"",U3787/N3787)</f>
        <v/>
      </c>
      <c r="W3787" s="81">
        <f>IF(ISBLANK(P3787),"",IF(S3787=0,(365/0.5)*V3787,(365/S3787)*V3787))</f>
        <v/>
      </c>
      <c r="X3787" s="75" t="n"/>
      <c r="Y3787" s="77" t="n"/>
      <c r="Z3787" s="77" t="n"/>
      <c r="AA3787" s="75" t="n"/>
      <c r="AB3787" s="75" t="n"/>
      <c r="AC3787" s="6" t="n"/>
      <c r="AD3787" s="75" t="n"/>
      <c r="AE3787" s="75" t="n"/>
      <c r="AF3787" s="75" t="n"/>
    </row>
    <row r="3788" ht="15.75" customHeight="1" s="133">
      <c r="A3788" s="75" t="n"/>
      <c r="B3788" s="75" t="n"/>
      <c r="C3788" s="75" t="n"/>
      <c r="D3788" s="75" t="n"/>
      <c r="E3788" s="76" t="n"/>
      <c r="F3788" s="77" t="n"/>
      <c r="G3788" s="75" t="n"/>
      <c r="H3788" s="75">
        <f>IF(ISBLANK(E3788),"",IF(OR(D3788="Butterfly",D3788="Butterfly ",D3788="Iron Fly", D3788="Iron Fly "),LEN(E3788)-LEN(SUBSTITUTE(E3788,"/",""))+2,LEN(E3788)-LEN(SUBSTITUTE(E3788,"/",""))+1))</f>
        <v/>
      </c>
      <c r="I3788" s="78">
        <f>IF(ISBLANK(G3788),"",IF(D3788="Stock","0",Key!$A$3*H3788*G3788))</f>
        <v/>
      </c>
      <c r="J3788" s="78">
        <f>IF(ISBLANK(E3788),"",IF(ISNUMBER(SEARCH("/",E3788)), IF(LEN(E3788)-LEN(SUBSTITUTE(E3788,"/",""))=1,(RIGHT(E3788,LEN(E3788)-FIND("/",E3788)))-(LEFT(E3788,FIND("/",E3788)-1)),(MID(E3788, SEARCH("/",E3788) + 1, SEARCH("/",E3788, SEARCH("/",E3788)+1) - SEARCH("/",E3788) - 1))-(LEFT(E3788,FIND("/",E3788)-1))), "NA"))</f>
        <v/>
      </c>
      <c r="K3788" s="79">
        <f>IF(A3788&lt;&gt;"", IF(ISBLANK(L3788), TODAY(), K3788), "")</f>
        <v/>
      </c>
      <c r="L3788" s="78" t="n"/>
      <c r="M3788" s="78">
        <f>IF(ISBLANK(L3788),"",IF(D3788="Stock",IF(C3788="Buy",L3788*G3788,IF(C3788="Sell",(L3788*G3788)-I3788, X)),IF(C3788="Buy",(L3788*G3788*100)+I3788,IF(C3788="Sell",(L3788*G3788*100)-I3788, X))))</f>
        <v/>
      </c>
      <c r="N3788" s="78">
        <f>IF(ISBLANK(L3788),"",IF(AND(C3788="Sell",D3788="Stock"),M3788,IF(ISBLANK(L3788),"",IF(C3788="Buy",M3788, IF(AND(C3788="Sell",J3788="NA"),(E3788*G3788*100*0.1)+I3788, IF(C3788="Sell",(J3788-L3788)*(100*G3788)+I3788))))))</f>
        <v/>
      </c>
      <c r="O3788" s="75" t="n"/>
      <c r="P3788" s="75" t="n"/>
      <c r="Q3788" s="75">
        <f>IF(ISBLANK(P3788),"",IF(D3788="Stock",P3788*G3788,IF(P3788=0,"0",G3788*P3788*100-(G3788*$AF$14))))</f>
        <v/>
      </c>
      <c r="R3788" s="79">
        <f>IF(P3788&lt;&gt;"", TODAY(), "")</f>
        <v/>
      </c>
      <c r="S3788" s="78">
        <f>IF(AND(K3788&lt;&gt;"", R3788&lt;&gt;""), R3788-K3788, "")</f>
        <v/>
      </c>
      <c r="T3788" s="78" t="n"/>
      <c r="U3788" s="92">
        <f>IF(ISBLANK(P3788),"",IF(C3788="Buy",Q3788-M3788+T3788, IF(C3788="Sell",M3788-Q3788-T3788, X)))</f>
        <v/>
      </c>
      <c r="V3788" s="81">
        <f>IF(ISBLANK(P3788),"",U3788/N3788)</f>
        <v/>
      </c>
      <c r="W3788" s="81">
        <f>IF(ISBLANK(P3788),"",IF(S3788=0,(365/0.5)*V3788,(365/S3788)*V3788))</f>
        <v/>
      </c>
      <c r="X3788" s="75" t="n"/>
      <c r="Y3788" s="77" t="n"/>
      <c r="Z3788" s="77" t="n"/>
      <c r="AA3788" s="75" t="n"/>
      <c r="AB3788" s="75" t="n"/>
      <c r="AC3788" s="6" t="n"/>
      <c r="AD3788" s="75" t="n"/>
      <c r="AE3788" s="75" t="n"/>
      <c r="AF3788" s="75" t="n"/>
    </row>
    <row r="3789" ht="15.75" customHeight="1" s="133">
      <c r="A3789" s="75" t="n"/>
      <c r="B3789" s="75" t="n"/>
      <c r="C3789" s="75" t="n"/>
      <c r="D3789" s="75" t="n"/>
      <c r="E3789" s="76" t="n"/>
      <c r="F3789" s="77" t="n"/>
      <c r="G3789" s="75" t="n"/>
      <c r="H3789" s="75">
        <f>IF(ISBLANK(E3789),"",IF(OR(D3789="Butterfly",D3789="Butterfly ",D3789="Iron Fly", D3789="Iron Fly "),LEN(E3789)-LEN(SUBSTITUTE(E3789,"/",""))+2,LEN(E3789)-LEN(SUBSTITUTE(E3789,"/",""))+1))</f>
        <v/>
      </c>
      <c r="I3789" s="78">
        <f>IF(ISBLANK(G3789),"",IF(D3789="Stock","0",Key!$A$3*H3789*G3789))</f>
        <v/>
      </c>
      <c r="J3789" s="78">
        <f>IF(ISBLANK(E3789),"",IF(ISNUMBER(SEARCH("/",E3789)), IF(LEN(E3789)-LEN(SUBSTITUTE(E3789,"/",""))=1,(RIGHT(E3789,LEN(E3789)-FIND("/",E3789)))-(LEFT(E3789,FIND("/",E3789)-1)),(MID(E3789, SEARCH("/",E3789) + 1, SEARCH("/",E3789, SEARCH("/",E3789)+1) - SEARCH("/",E3789) - 1))-(LEFT(E3789,FIND("/",E3789)-1))), "NA"))</f>
        <v/>
      </c>
      <c r="K3789" s="79">
        <f>IF(A3789&lt;&gt;"", IF(ISBLANK(L3789), TODAY(), K3789), "")</f>
        <v/>
      </c>
      <c r="L3789" s="78" t="n"/>
      <c r="M3789" s="78">
        <f>IF(ISBLANK(L3789),"",IF(D3789="Stock",IF(C3789="Buy",L3789*G3789,IF(C3789="Sell",(L3789*G3789)-I3789, X)),IF(C3789="Buy",(L3789*G3789*100)+I3789,IF(C3789="Sell",(L3789*G3789*100)-I3789, X))))</f>
        <v/>
      </c>
      <c r="N3789" s="78">
        <f>IF(ISBLANK(L3789),"",IF(AND(C3789="Sell",D3789="Stock"),M3789,IF(ISBLANK(L3789),"",IF(C3789="Buy",M3789, IF(AND(C3789="Sell",J3789="NA"),(E3789*G3789*100*0.1)+I3789, IF(C3789="Sell",(J3789-L3789)*(100*G3789)+I3789))))))</f>
        <v/>
      </c>
      <c r="O3789" s="75" t="n"/>
      <c r="P3789" s="75" t="n"/>
      <c r="Q3789" s="75">
        <f>IF(ISBLANK(P3789),"",IF(D3789="Stock",P3789*G3789,IF(P3789=0,"0",G3789*P3789*100-(G3789*$AF$14))))</f>
        <v/>
      </c>
      <c r="R3789" s="79">
        <f>IF(P3789&lt;&gt;"", TODAY(), "")</f>
        <v/>
      </c>
      <c r="S3789" s="78">
        <f>IF(AND(K3789&lt;&gt;"", R3789&lt;&gt;""), R3789-K3789, "")</f>
        <v/>
      </c>
      <c r="T3789" s="78" t="n"/>
      <c r="U3789" s="92">
        <f>IF(ISBLANK(P3789),"",IF(C3789="Buy",Q3789-M3789+T3789, IF(C3789="Sell",M3789-Q3789-T3789, X)))</f>
        <v/>
      </c>
      <c r="V3789" s="81">
        <f>IF(ISBLANK(P3789),"",U3789/N3789)</f>
        <v/>
      </c>
      <c r="W3789" s="81">
        <f>IF(ISBLANK(P3789),"",IF(S3789=0,(365/0.5)*V3789,(365/S3789)*V3789))</f>
        <v/>
      </c>
      <c r="X3789" s="75" t="n"/>
      <c r="Y3789" s="77" t="n"/>
      <c r="Z3789" s="77" t="n"/>
      <c r="AA3789" s="75" t="n"/>
      <c r="AB3789" s="75" t="n"/>
      <c r="AC3789" s="6" t="n"/>
      <c r="AD3789" s="75" t="n"/>
      <c r="AE3789" s="75" t="n"/>
      <c r="AF3789" s="75" t="n"/>
    </row>
    <row r="3790" ht="15.75" customHeight="1" s="133">
      <c r="A3790" s="75" t="n"/>
      <c r="B3790" s="75" t="n"/>
      <c r="C3790" s="75" t="n"/>
      <c r="D3790" s="75" t="n"/>
      <c r="E3790" s="76" t="n"/>
      <c r="F3790" s="77" t="n"/>
      <c r="G3790" s="75" t="n"/>
      <c r="H3790" s="75">
        <f>IF(ISBLANK(E3790),"",IF(OR(D3790="Butterfly",D3790="Butterfly ",D3790="Iron Fly", D3790="Iron Fly "),LEN(E3790)-LEN(SUBSTITUTE(E3790,"/",""))+2,LEN(E3790)-LEN(SUBSTITUTE(E3790,"/",""))+1))</f>
        <v/>
      </c>
      <c r="I3790" s="78">
        <f>IF(ISBLANK(G3790),"",IF(D3790="Stock","0",Key!$A$3*H3790*G3790))</f>
        <v/>
      </c>
      <c r="J3790" s="78">
        <f>IF(ISBLANK(E3790),"",IF(ISNUMBER(SEARCH("/",E3790)), IF(LEN(E3790)-LEN(SUBSTITUTE(E3790,"/",""))=1,(RIGHT(E3790,LEN(E3790)-FIND("/",E3790)))-(LEFT(E3790,FIND("/",E3790)-1)),(MID(E3790, SEARCH("/",E3790) + 1, SEARCH("/",E3790, SEARCH("/",E3790)+1) - SEARCH("/",E3790) - 1))-(LEFT(E3790,FIND("/",E3790)-1))), "NA"))</f>
        <v/>
      </c>
      <c r="K3790" s="79">
        <f>IF(A3790&lt;&gt;"", IF(ISBLANK(L3790), TODAY(), K3790), "")</f>
        <v/>
      </c>
      <c r="L3790" s="78" t="n"/>
      <c r="M3790" s="78">
        <f>IF(ISBLANK(L3790),"",IF(D3790="Stock",IF(C3790="Buy",L3790*G3790,IF(C3790="Sell",(L3790*G3790)-I3790, X)),IF(C3790="Buy",(L3790*G3790*100)+I3790,IF(C3790="Sell",(L3790*G3790*100)-I3790, X))))</f>
        <v/>
      </c>
      <c r="N3790" s="78">
        <f>IF(ISBLANK(L3790),"",IF(AND(C3790="Sell",D3790="Stock"),M3790,IF(ISBLANK(L3790),"",IF(C3790="Buy",M3790, IF(AND(C3790="Sell",J3790="NA"),(E3790*G3790*100*0.1)+I3790, IF(C3790="Sell",(J3790-L3790)*(100*G3790)+I3790))))))</f>
        <v/>
      </c>
      <c r="O3790" s="75" t="n"/>
      <c r="P3790" s="75" t="n"/>
      <c r="Q3790" s="75">
        <f>IF(ISBLANK(P3790),"",IF(D3790="Stock",P3790*G3790,IF(P3790=0,"0",G3790*P3790*100-(G3790*$AF$14))))</f>
        <v/>
      </c>
      <c r="R3790" s="79">
        <f>IF(P3790&lt;&gt;"", TODAY(), "")</f>
        <v/>
      </c>
      <c r="S3790" s="78">
        <f>IF(AND(K3790&lt;&gt;"", R3790&lt;&gt;""), R3790-K3790, "")</f>
        <v/>
      </c>
      <c r="T3790" s="78" t="n"/>
      <c r="U3790" s="92">
        <f>IF(ISBLANK(P3790),"",IF(C3790="Buy",Q3790-M3790+T3790, IF(C3790="Sell",M3790-Q3790-T3790, X)))</f>
        <v/>
      </c>
      <c r="V3790" s="81">
        <f>IF(ISBLANK(P3790),"",U3790/N3790)</f>
        <v/>
      </c>
      <c r="W3790" s="81">
        <f>IF(ISBLANK(P3790),"",IF(S3790=0,(365/0.5)*V3790,(365/S3790)*V3790))</f>
        <v/>
      </c>
      <c r="X3790" s="75" t="n"/>
      <c r="Y3790" s="77" t="n"/>
      <c r="Z3790" s="77" t="n"/>
      <c r="AA3790" s="75" t="n"/>
      <c r="AB3790" s="75" t="n"/>
      <c r="AC3790" s="6" t="n"/>
      <c r="AD3790" s="75" t="n"/>
      <c r="AE3790" s="75" t="n"/>
      <c r="AF3790" s="75" t="n"/>
    </row>
    <row r="3791" ht="15.75" customHeight="1" s="133">
      <c r="A3791" s="75" t="n"/>
      <c r="B3791" s="75" t="n"/>
      <c r="C3791" s="75" t="n"/>
      <c r="D3791" s="75" t="n"/>
      <c r="E3791" s="76" t="n"/>
      <c r="F3791" s="77" t="n"/>
      <c r="G3791" s="75" t="n"/>
      <c r="H3791" s="75">
        <f>IF(ISBLANK(E3791),"",IF(OR(D3791="Butterfly",D3791="Butterfly ",D3791="Iron Fly", D3791="Iron Fly "),LEN(E3791)-LEN(SUBSTITUTE(E3791,"/",""))+2,LEN(E3791)-LEN(SUBSTITUTE(E3791,"/",""))+1))</f>
        <v/>
      </c>
      <c r="I3791" s="78">
        <f>IF(ISBLANK(G3791),"",IF(D3791="Stock","0",Key!$A$3*H3791*G3791))</f>
        <v/>
      </c>
      <c r="J3791" s="78">
        <f>IF(ISBLANK(E3791),"",IF(ISNUMBER(SEARCH("/",E3791)), IF(LEN(E3791)-LEN(SUBSTITUTE(E3791,"/",""))=1,(RIGHT(E3791,LEN(E3791)-FIND("/",E3791)))-(LEFT(E3791,FIND("/",E3791)-1)),(MID(E3791, SEARCH("/",E3791) + 1, SEARCH("/",E3791, SEARCH("/",E3791)+1) - SEARCH("/",E3791) - 1))-(LEFT(E3791,FIND("/",E3791)-1))), "NA"))</f>
        <v/>
      </c>
      <c r="K3791" s="79">
        <f>IF(A3791&lt;&gt;"", IF(ISBLANK(L3791), TODAY(), K3791), "")</f>
        <v/>
      </c>
      <c r="L3791" s="78" t="n"/>
      <c r="M3791" s="78">
        <f>IF(ISBLANK(L3791),"",IF(D3791="Stock",IF(C3791="Buy",L3791*G3791,IF(C3791="Sell",(L3791*G3791)-I3791, X)),IF(C3791="Buy",(L3791*G3791*100)+I3791,IF(C3791="Sell",(L3791*G3791*100)-I3791, X))))</f>
        <v/>
      </c>
      <c r="N3791" s="78">
        <f>IF(ISBLANK(L3791),"",IF(AND(C3791="Sell",D3791="Stock"),M3791,IF(ISBLANK(L3791),"",IF(C3791="Buy",M3791, IF(AND(C3791="Sell",J3791="NA"),(E3791*G3791*100*0.1)+I3791, IF(C3791="Sell",(J3791-L3791)*(100*G3791)+I3791))))))</f>
        <v/>
      </c>
      <c r="O3791" s="75" t="n"/>
      <c r="P3791" s="75" t="n"/>
      <c r="Q3791" s="75">
        <f>IF(ISBLANK(P3791),"",IF(D3791="Stock",P3791*G3791,IF(P3791=0,"0",G3791*P3791*100-(G3791*$AF$14))))</f>
        <v/>
      </c>
      <c r="R3791" s="79">
        <f>IF(P3791&lt;&gt;"", TODAY(), "")</f>
        <v/>
      </c>
      <c r="S3791" s="78">
        <f>IF(AND(K3791&lt;&gt;"", R3791&lt;&gt;""), R3791-K3791, "")</f>
        <v/>
      </c>
      <c r="T3791" s="78" t="n"/>
      <c r="U3791" s="92">
        <f>IF(ISBLANK(P3791),"",IF(C3791="Buy",Q3791-M3791+T3791, IF(C3791="Sell",M3791-Q3791-T3791, X)))</f>
        <v/>
      </c>
      <c r="V3791" s="81">
        <f>IF(ISBLANK(P3791),"",U3791/N3791)</f>
        <v/>
      </c>
      <c r="W3791" s="81">
        <f>IF(ISBLANK(P3791),"",IF(S3791=0,(365/0.5)*V3791,(365/S3791)*V3791))</f>
        <v/>
      </c>
      <c r="X3791" s="75" t="n"/>
      <c r="Y3791" s="77" t="n"/>
      <c r="Z3791" s="77" t="n"/>
      <c r="AA3791" s="75" t="n"/>
      <c r="AB3791" s="75" t="n"/>
      <c r="AC3791" s="6" t="n"/>
      <c r="AD3791" s="75" t="n"/>
      <c r="AE3791" s="75" t="n"/>
      <c r="AF3791" s="75" t="n"/>
    </row>
    <row r="3792" ht="15.75" customHeight="1" s="133">
      <c r="A3792" s="75" t="n"/>
      <c r="B3792" s="75" t="n"/>
      <c r="C3792" s="75" t="n"/>
      <c r="D3792" s="75" t="n"/>
      <c r="E3792" s="76" t="n"/>
      <c r="F3792" s="77" t="n"/>
      <c r="G3792" s="75" t="n"/>
      <c r="H3792" s="75">
        <f>IF(ISBLANK(E3792),"",IF(OR(D3792="Butterfly",D3792="Butterfly ",D3792="Iron Fly", D3792="Iron Fly "),LEN(E3792)-LEN(SUBSTITUTE(E3792,"/",""))+2,LEN(E3792)-LEN(SUBSTITUTE(E3792,"/",""))+1))</f>
        <v/>
      </c>
      <c r="I3792" s="78">
        <f>IF(ISBLANK(G3792),"",IF(D3792="Stock","0",Key!$A$3*H3792*G3792))</f>
        <v/>
      </c>
      <c r="J3792" s="78">
        <f>IF(ISBLANK(E3792),"",IF(ISNUMBER(SEARCH("/",E3792)), IF(LEN(E3792)-LEN(SUBSTITUTE(E3792,"/",""))=1,(RIGHT(E3792,LEN(E3792)-FIND("/",E3792)))-(LEFT(E3792,FIND("/",E3792)-1)),(MID(E3792, SEARCH("/",E3792) + 1, SEARCH("/",E3792, SEARCH("/",E3792)+1) - SEARCH("/",E3792) - 1))-(LEFT(E3792,FIND("/",E3792)-1))), "NA"))</f>
        <v/>
      </c>
      <c r="K3792" s="79">
        <f>IF(A3792&lt;&gt;"", IF(ISBLANK(L3792), TODAY(), K3792), "")</f>
        <v/>
      </c>
      <c r="L3792" s="78" t="n"/>
      <c r="M3792" s="78">
        <f>IF(ISBLANK(L3792),"",IF(D3792="Stock",IF(C3792="Buy",L3792*G3792,IF(C3792="Sell",(L3792*G3792)-I3792, X)),IF(C3792="Buy",(L3792*G3792*100)+I3792,IF(C3792="Sell",(L3792*G3792*100)-I3792, X))))</f>
        <v/>
      </c>
      <c r="N3792" s="78">
        <f>IF(ISBLANK(L3792),"",IF(AND(C3792="Sell",D3792="Stock"),M3792,IF(ISBLANK(L3792),"",IF(C3792="Buy",M3792, IF(AND(C3792="Sell",J3792="NA"),(E3792*G3792*100*0.1)+I3792, IF(C3792="Sell",(J3792-L3792)*(100*G3792)+I3792))))))</f>
        <v/>
      </c>
      <c r="O3792" s="75" t="n"/>
      <c r="P3792" s="75" t="n"/>
      <c r="Q3792" s="75">
        <f>IF(ISBLANK(P3792),"",IF(D3792="Stock",P3792*G3792,IF(P3792=0,"0",G3792*P3792*100-(G3792*$AF$14))))</f>
        <v/>
      </c>
      <c r="R3792" s="79">
        <f>IF(P3792&lt;&gt;"", TODAY(), "")</f>
        <v/>
      </c>
      <c r="S3792" s="78">
        <f>IF(AND(K3792&lt;&gt;"", R3792&lt;&gt;""), R3792-K3792, "")</f>
        <v/>
      </c>
      <c r="T3792" s="78" t="n"/>
      <c r="U3792" s="92">
        <f>IF(ISBLANK(P3792),"",IF(C3792="Buy",Q3792-M3792+T3792, IF(C3792="Sell",M3792-Q3792-T3792, X)))</f>
        <v/>
      </c>
      <c r="V3792" s="81">
        <f>IF(ISBLANK(P3792),"",U3792/N3792)</f>
        <v/>
      </c>
      <c r="W3792" s="81">
        <f>IF(ISBLANK(P3792),"",IF(S3792=0,(365/0.5)*V3792,(365/S3792)*V3792))</f>
        <v/>
      </c>
      <c r="X3792" s="75" t="n"/>
      <c r="Y3792" s="77" t="n"/>
      <c r="Z3792" s="77" t="n"/>
      <c r="AA3792" s="75" t="n"/>
      <c r="AB3792" s="75" t="n"/>
      <c r="AC3792" s="6" t="n"/>
      <c r="AD3792" s="75" t="n"/>
      <c r="AE3792" s="75" t="n"/>
      <c r="AF3792" s="75" t="n"/>
    </row>
    <row r="3793" ht="15.75" customHeight="1" s="133">
      <c r="A3793" s="75" t="n"/>
      <c r="B3793" s="75" t="n"/>
      <c r="C3793" s="75" t="n"/>
      <c r="D3793" s="75" t="n"/>
      <c r="E3793" s="76" t="n"/>
      <c r="F3793" s="77" t="n"/>
      <c r="G3793" s="75" t="n"/>
      <c r="H3793" s="75">
        <f>IF(ISBLANK(E3793),"",IF(OR(D3793="Butterfly",D3793="Butterfly ",D3793="Iron Fly", D3793="Iron Fly "),LEN(E3793)-LEN(SUBSTITUTE(E3793,"/",""))+2,LEN(E3793)-LEN(SUBSTITUTE(E3793,"/",""))+1))</f>
        <v/>
      </c>
      <c r="I3793" s="78">
        <f>IF(ISBLANK(G3793),"",IF(D3793="Stock","0",Key!$A$3*H3793*G3793))</f>
        <v/>
      </c>
      <c r="J3793" s="78">
        <f>IF(ISBLANK(E3793),"",IF(ISNUMBER(SEARCH("/",E3793)), IF(LEN(E3793)-LEN(SUBSTITUTE(E3793,"/",""))=1,(RIGHT(E3793,LEN(E3793)-FIND("/",E3793)))-(LEFT(E3793,FIND("/",E3793)-1)),(MID(E3793, SEARCH("/",E3793) + 1, SEARCH("/",E3793, SEARCH("/",E3793)+1) - SEARCH("/",E3793) - 1))-(LEFT(E3793,FIND("/",E3793)-1))), "NA"))</f>
        <v/>
      </c>
      <c r="K3793" s="79">
        <f>IF(A3793&lt;&gt;"", IF(ISBLANK(L3793), TODAY(), K3793), "")</f>
        <v/>
      </c>
      <c r="L3793" s="78" t="n"/>
      <c r="M3793" s="78">
        <f>IF(ISBLANK(L3793),"",IF(D3793="Stock",IF(C3793="Buy",L3793*G3793,IF(C3793="Sell",(L3793*G3793)-I3793, X)),IF(C3793="Buy",(L3793*G3793*100)+I3793,IF(C3793="Sell",(L3793*G3793*100)-I3793, X))))</f>
        <v/>
      </c>
      <c r="N3793" s="78">
        <f>IF(ISBLANK(L3793),"",IF(AND(C3793="Sell",D3793="Stock"),M3793,IF(ISBLANK(L3793),"",IF(C3793="Buy",M3793, IF(AND(C3793="Sell",J3793="NA"),(E3793*G3793*100*0.1)+I3793, IF(C3793="Sell",(J3793-L3793)*(100*G3793)+I3793))))))</f>
        <v/>
      </c>
      <c r="O3793" s="75" t="n"/>
      <c r="P3793" s="75" t="n"/>
      <c r="Q3793" s="75">
        <f>IF(ISBLANK(P3793),"",IF(D3793="Stock",P3793*G3793,IF(P3793=0,"0",G3793*P3793*100-(G3793*$AF$14))))</f>
        <v/>
      </c>
      <c r="R3793" s="79">
        <f>IF(P3793&lt;&gt;"", TODAY(), "")</f>
        <v/>
      </c>
      <c r="S3793" s="78">
        <f>IF(AND(K3793&lt;&gt;"", R3793&lt;&gt;""), R3793-K3793, "")</f>
        <v/>
      </c>
      <c r="T3793" s="78" t="n"/>
      <c r="U3793" s="92">
        <f>IF(ISBLANK(P3793),"",IF(C3793="Buy",Q3793-M3793+T3793, IF(C3793="Sell",M3793-Q3793-T3793, X)))</f>
        <v/>
      </c>
      <c r="V3793" s="81">
        <f>IF(ISBLANK(P3793),"",U3793/N3793)</f>
        <v/>
      </c>
      <c r="W3793" s="81">
        <f>IF(ISBLANK(P3793),"",IF(S3793=0,(365/0.5)*V3793,(365/S3793)*V3793))</f>
        <v/>
      </c>
      <c r="X3793" s="75" t="n"/>
      <c r="Y3793" s="77" t="n"/>
      <c r="Z3793" s="77" t="n"/>
      <c r="AA3793" s="75" t="n"/>
      <c r="AB3793" s="75" t="n"/>
      <c r="AC3793" s="6" t="n"/>
      <c r="AD3793" s="75" t="n"/>
      <c r="AE3793" s="75" t="n"/>
      <c r="AF3793" s="75" t="n"/>
    </row>
    <row r="3794" ht="15.75" customHeight="1" s="133">
      <c r="A3794" s="75" t="n"/>
      <c r="B3794" s="75" t="n"/>
      <c r="C3794" s="75" t="n"/>
      <c r="D3794" s="75" t="n"/>
      <c r="E3794" s="76" t="n"/>
      <c r="F3794" s="77" t="n"/>
      <c r="G3794" s="75" t="n"/>
      <c r="H3794" s="75">
        <f>IF(ISBLANK(E3794),"",IF(OR(D3794="Butterfly",D3794="Butterfly ",D3794="Iron Fly", D3794="Iron Fly "),LEN(E3794)-LEN(SUBSTITUTE(E3794,"/",""))+2,LEN(E3794)-LEN(SUBSTITUTE(E3794,"/",""))+1))</f>
        <v/>
      </c>
      <c r="I3794" s="78">
        <f>IF(ISBLANK(G3794),"",IF(D3794="Stock","0",Key!$A$3*H3794*G3794))</f>
        <v/>
      </c>
      <c r="J3794" s="78">
        <f>IF(ISBLANK(E3794),"",IF(ISNUMBER(SEARCH("/",E3794)), IF(LEN(E3794)-LEN(SUBSTITUTE(E3794,"/",""))=1,(RIGHT(E3794,LEN(E3794)-FIND("/",E3794)))-(LEFT(E3794,FIND("/",E3794)-1)),(MID(E3794, SEARCH("/",E3794) + 1, SEARCH("/",E3794, SEARCH("/",E3794)+1) - SEARCH("/",E3794) - 1))-(LEFT(E3794,FIND("/",E3794)-1))), "NA"))</f>
        <v/>
      </c>
      <c r="K3794" s="79">
        <f>IF(A3794&lt;&gt;"", IF(ISBLANK(L3794), TODAY(), K3794), "")</f>
        <v/>
      </c>
      <c r="L3794" s="78" t="n"/>
      <c r="M3794" s="78">
        <f>IF(ISBLANK(L3794),"",IF(D3794="Stock",IF(C3794="Buy",L3794*G3794,IF(C3794="Sell",(L3794*G3794)-I3794, X)),IF(C3794="Buy",(L3794*G3794*100)+I3794,IF(C3794="Sell",(L3794*G3794*100)-I3794, X))))</f>
        <v/>
      </c>
      <c r="N3794" s="78">
        <f>IF(ISBLANK(L3794),"",IF(AND(C3794="Sell",D3794="Stock"),M3794,IF(ISBLANK(L3794),"",IF(C3794="Buy",M3794, IF(AND(C3794="Sell",J3794="NA"),(E3794*G3794*100*0.1)+I3794, IF(C3794="Sell",(J3794-L3794)*(100*G3794)+I3794))))))</f>
        <v/>
      </c>
      <c r="O3794" s="75" t="n"/>
      <c r="P3794" s="75" t="n"/>
      <c r="Q3794" s="75">
        <f>IF(ISBLANK(P3794),"",IF(D3794="Stock",P3794*G3794,IF(P3794=0,"0",G3794*P3794*100-(G3794*$AF$14))))</f>
        <v/>
      </c>
      <c r="R3794" s="79">
        <f>IF(P3794&lt;&gt;"", TODAY(), "")</f>
        <v/>
      </c>
      <c r="S3794" s="78">
        <f>IF(AND(K3794&lt;&gt;"", R3794&lt;&gt;""), R3794-K3794, "")</f>
        <v/>
      </c>
      <c r="T3794" s="78" t="n"/>
      <c r="U3794" s="92">
        <f>IF(ISBLANK(P3794),"",IF(C3794="Buy",Q3794-M3794+T3794, IF(C3794="Sell",M3794-Q3794-T3794, X)))</f>
        <v/>
      </c>
      <c r="V3794" s="81">
        <f>IF(ISBLANK(P3794),"",U3794/N3794)</f>
        <v/>
      </c>
      <c r="W3794" s="81">
        <f>IF(ISBLANK(P3794),"",IF(S3794=0,(365/0.5)*V3794,(365/S3794)*V3794))</f>
        <v/>
      </c>
      <c r="X3794" s="75" t="n"/>
      <c r="Y3794" s="77" t="n"/>
      <c r="Z3794" s="77" t="n"/>
      <c r="AA3794" s="75" t="n"/>
      <c r="AB3794" s="75" t="n"/>
      <c r="AC3794" s="6" t="n"/>
      <c r="AD3794" s="75" t="n"/>
      <c r="AE3794" s="75" t="n"/>
      <c r="AF3794" s="75" t="n"/>
    </row>
    <row r="3795" ht="15.75" customHeight="1" s="133">
      <c r="A3795" s="75" t="n"/>
      <c r="B3795" s="75" t="n"/>
      <c r="C3795" s="75" t="n"/>
      <c r="D3795" s="75" t="n"/>
      <c r="E3795" s="76" t="n"/>
      <c r="F3795" s="77" t="n"/>
      <c r="G3795" s="75" t="n"/>
      <c r="H3795" s="75">
        <f>IF(ISBLANK(E3795),"",IF(OR(D3795="Butterfly",D3795="Butterfly ",D3795="Iron Fly", D3795="Iron Fly "),LEN(E3795)-LEN(SUBSTITUTE(E3795,"/",""))+2,LEN(E3795)-LEN(SUBSTITUTE(E3795,"/",""))+1))</f>
        <v/>
      </c>
      <c r="I3795" s="78">
        <f>IF(ISBLANK(G3795),"",IF(D3795="Stock","0",Key!$A$3*H3795*G3795))</f>
        <v/>
      </c>
      <c r="J3795" s="78">
        <f>IF(ISBLANK(E3795),"",IF(ISNUMBER(SEARCH("/",E3795)), IF(LEN(E3795)-LEN(SUBSTITUTE(E3795,"/",""))=1,(RIGHT(E3795,LEN(E3795)-FIND("/",E3795)))-(LEFT(E3795,FIND("/",E3795)-1)),(MID(E3795, SEARCH("/",E3795) + 1, SEARCH("/",E3795, SEARCH("/",E3795)+1) - SEARCH("/",E3795) - 1))-(LEFT(E3795,FIND("/",E3795)-1))), "NA"))</f>
        <v/>
      </c>
      <c r="K3795" s="79">
        <f>IF(A3795&lt;&gt;"", IF(ISBLANK(L3795), TODAY(), K3795), "")</f>
        <v/>
      </c>
      <c r="L3795" s="78" t="n"/>
      <c r="M3795" s="78">
        <f>IF(ISBLANK(L3795),"",IF(D3795="Stock",IF(C3795="Buy",L3795*G3795,IF(C3795="Sell",(L3795*G3795)-I3795, X)),IF(C3795="Buy",(L3795*G3795*100)+I3795,IF(C3795="Sell",(L3795*G3795*100)-I3795, X))))</f>
        <v/>
      </c>
      <c r="N3795" s="78">
        <f>IF(ISBLANK(L3795),"",IF(AND(C3795="Sell",D3795="Stock"),M3795,IF(ISBLANK(L3795),"",IF(C3795="Buy",M3795, IF(AND(C3795="Sell",J3795="NA"),(E3795*G3795*100*0.1)+I3795, IF(C3795="Sell",(J3795-L3795)*(100*G3795)+I3795))))))</f>
        <v/>
      </c>
      <c r="O3795" s="75" t="n"/>
      <c r="P3795" s="75" t="n"/>
      <c r="Q3795" s="75">
        <f>IF(ISBLANK(P3795),"",IF(D3795="Stock",P3795*G3795,IF(P3795=0,"0",G3795*P3795*100-(G3795*$AF$14))))</f>
        <v/>
      </c>
      <c r="R3795" s="79">
        <f>IF(P3795&lt;&gt;"", TODAY(), "")</f>
        <v/>
      </c>
      <c r="S3795" s="78">
        <f>IF(AND(K3795&lt;&gt;"", R3795&lt;&gt;""), R3795-K3795, "")</f>
        <v/>
      </c>
      <c r="T3795" s="78" t="n"/>
      <c r="U3795" s="92">
        <f>IF(ISBLANK(P3795),"",IF(C3795="Buy",Q3795-M3795+T3795, IF(C3795="Sell",M3795-Q3795-T3795, X)))</f>
        <v/>
      </c>
      <c r="V3795" s="81">
        <f>IF(ISBLANK(P3795),"",U3795/N3795)</f>
        <v/>
      </c>
      <c r="W3795" s="81">
        <f>IF(ISBLANK(P3795),"",IF(S3795=0,(365/0.5)*V3795,(365/S3795)*V3795))</f>
        <v/>
      </c>
      <c r="X3795" s="75" t="n"/>
      <c r="Y3795" s="77" t="n"/>
      <c r="Z3795" s="77" t="n"/>
      <c r="AA3795" s="75" t="n"/>
      <c r="AB3795" s="75" t="n"/>
      <c r="AC3795" s="6" t="n"/>
      <c r="AD3795" s="75" t="n"/>
      <c r="AE3795" s="75" t="n"/>
      <c r="AF3795" s="75" t="n"/>
    </row>
    <row r="3796" ht="15.75" customHeight="1" s="133">
      <c r="A3796" s="75" t="n"/>
      <c r="B3796" s="75" t="n"/>
      <c r="C3796" s="75" t="n"/>
      <c r="D3796" s="75" t="n"/>
      <c r="E3796" s="76" t="n"/>
      <c r="F3796" s="77" t="n"/>
      <c r="G3796" s="75" t="n"/>
      <c r="H3796" s="75">
        <f>IF(ISBLANK(E3796),"",IF(OR(D3796="Butterfly",D3796="Butterfly ",D3796="Iron Fly", D3796="Iron Fly "),LEN(E3796)-LEN(SUBSTITUTE(E3796,"/",""))+2,LEN(E3796)-LEN(SUBSTITUTE(E3796,"/",""))+1))</f>
        <v/>
      </c>
      <c r="I3796" s="78">
        <f>IF(ISBLANK(G3796),"",IF(D3796="Stock","0",Key!$A$3*H3796*G3796))</f>
        <v/>
      </c>
      <c r="J3796" s="78">
        <f>IF(ISBLANK(E3796),"",IF(ISNUMBER(SEARCH("/",E3796)), IF(LEN(E3796)-LEN(SUBSTITUTE(E3796,"/",""))=1,(RIGHT(E3796,LEN(E3796)-FIND("/",E3796)))-(LEFT(E3796,FIND("/",E3796)-1)),(MID(E3796, SEARCH("/",E3796) + 1, SEARCH("/",E3796, SEARCH("/",E3796)+1) - SEARCH("/",E3796) - 1))-(LEFT(E3796,FIND("/",E3796)-1))), "NA"))</f>
        <v/>
      </c>
      <c r="K3796" s="79">
        <f>IF(A3796&lt;&gt;"", IF(ISBLANK(L3796), TODAY(), K3796), "")</f>
        <v/>
      </c>
      <c r="L3796" s="78" t="n"/>
      <c r="M3796" s="78">
        <f>IF(ISBLANK(L3796),"",IF(D3796="Stock",IF(C3796="Buy",L3796*G3796,IF(C3796="Sell",(L3796*G3796)-I3796, X)),IF(C3796="Buy",(L3796*G3796*100)+I3796,IF(C3796="Sell",(L3796*G3796*100)-I3796, X))))</f>
        <v/>
      </c>
      <c r="N3796" s="78">
        <f>IF(ISBLANK(L3796),"",IF(AND(C3796="Sell",D3796="Stock"),M3796,IF(ISBLANK(L3796),"",IF(C3796="Buy",M3796, IF(AND(C3796="Sell",J3796="NA"),(E3796*G3796*100*0.1)+I3796, IF(C3796="Sell",(J3796-L3796)*(100*G3796)+I3796))))))</f>
        <v/>
      </c>
      <c r="O3796" s="75" t="n"/>
      <c r="P3796" s="75" t="n"/>
      <c r="Q3796" s="75">
        <f>IF(ISBLANK(P3796),"",IF(D3796="Stock",P3796*G3796,IF(P3796=0,"0",G3796*P3796*100-(G3796*$AF$14))))</f>
        <v/>
      </c>
      <c r="R3796" s="79">
        <f>IF(P3796&lt;&gt;"", TODAY(), "")</f>
        <v/>
      </c>
      <c r="S3796" s="78">
        <f>IF(AND(K3796&lt;&gt;"", R3796&lt;&gt;""), R3796-K3796, "")</f>
        <v/>
      </c>
      <c r="T3796" s="78" t="n"/>
      <c r="U3796" s="92">
        <f>IF(ISBLANK(P3796),"",IF(C3796="Buy",Q3796-M3796+T3796, IF(C3796="Sell",M3796-Q3796-T3796, X)))</f>
        <v/>
      </c>
      <c r="V3796" s="81">
        <f>IF(ISBLANK(P3796),"",U3796/N3796)</f>
        <v/>
      </c>
      <c r="W3796" s="81">
        <f>IF(ISBLANK(P3796),"",IF(S3796=0,(365/0.5)*V3796,(365/S3796)*V3796))</f>
        <v/>
      </c>
      <c r="X3796" s="75" t="n"/>
      <c r="Y3796" s="77" t="n"/>
      <c r="Z3796" s="77" t="n"/>
      <c r="AA3796" s="75" t="n"/>
      <c r="AB3796" s="75" t="n"/>
      <c r="AC3796" s="6" t="n"/>
      <c r="AD3796" s="75" t="n"/>
      <c r="AE3796" s="75" t="n"/>
      <c r="AF3796" s="75" t="n"/>
    </row>
    <row r="3797" ht="15.75" customHeight="1" s="133">
      <c r="A3797" s="75" t="n"/>
      <c r="B3797" s="75" t="n"/>
      <c r="C3797" s="75" t="n"/>
      <c r="D3797" s="75" t="n"/>
      <c r="E3797" s="76" t="n"/>
      <c r="F3797" s="77" t="n"/>
      <c r="G3797" s="75" t="n"/>
      <c r="H3797" s="75">
        <f>IF(ISBLANK(E3797),"",IF(OR(D3797="Butterfly",D3797="Butterfly ",D3797="Iron Fly", D3797="Iron Fly "),LEN(E3797)-LEN(SUBSTITUTE(E3797,"/",""))+2,LEN(E3797)-LEN(SUBSTITUTE(E3797,"/",""))+1))</f>
        <v/>
      </c>
      <c r="I3797" s="78">
        <f>IF(ISBLANK(G3797),"",IF(D3797="Stock","0",Key!$A$3*H3797*G3797))</f>
        <v/>
      </c>
      <c r="J3797" s="78">
        <f>IF(ISBLANK(E3797),"",IF(ISNUMBER(SEARCH("/",E3797)), IF(LEN(E3797)-LEN(SUBSTITUTE(E3797,"/",""))=1,(RIGHT(E3797,LEN(E3797)-FIND("/",E3797)))-(LEFT(E3797,FIND("/",E3797)-1)),(MID(E3797, SEARCH("/",E3797) + 1, SEARCH("/",E3797, SEARCH("/",E3797)+1) - SEARCH("/",E3797) - 1))-(LEFT(E3797,FIND("/",E3797)-1))), "NA"))</f>
        <v/>
      </c>
      <c r="K3797" s="79">
        <f>IF(A3797&lt;&gt;"", IF(ISBLANK(L3797), TODAY(), K3797), "")</f>
        <v/>
      </c>
      <c r="L3797" s="78" t="n"/>
      <c r="M3797" s="78">
        <f>IF(ISBLANK(L3797),"",IF(D3797="Stock",IF(C3797="Buy",L3797*G3797,IF(C3797="Sell",(L3797*G3797)-I3797, X)),IF(C3797="Buy",(L3797*G3797*100)+I3797,IF(C3797="Sell",(L3797*G3797*100)-I3797, X))))</f>
        <v/>
      </c>
      <c r="N3797" s="78">
        <f>IF(ISBLANK(L3797),"",IF(AND(C3797="Sell",D3797="Stock"),M3797,IF(ISBLANK(L3797),"",IF(C3797="Buy",M3797, IF(AND(C3797="Sell",J3797="NA"),(E3797*G3797*100*0.1)+I3797, IF(C3797="Sell",(J3797-L3797)*(100*G3797)+I3797))))))</f>
        <v/>
      </c>
      <c r="O3797" s="75" t="n"/>
      <c r="P3797" s="75" t="n"/>
      <c r="Q3797" s="75">
        <f>IF(ISBLANK(P3797),"",IF(D3797="Stock",P3797*G3797,IF(P3797=0,"0",G3797*P3797*100-(G3797*$AF$14))))</f>
        <v/>
      </c>
      <c r="R3797" s="79">
        <f>IF(P3797&lt;&gt;"", TODAY(), "")</f>
        <v/>
      </c>
      <c r="S3797" s="78">
        <f>IF(AND(K3797&lt;&gt;"", R3797&lt;&gt;""), R3797-K3797, "")</f>
        <v/>
      </c>
      <c r="T3797" s="78" t="n"/>
      <c r="U3797" s="92">
        <f>IF(ISBLANK(P3797),"",IF(C3797="Buy",Q3797-M3797+T3797, IF(C3797="Sell",M3797-Q3797-T3797, X)))</f>
        <v/>
      </c>
      <c r="V3797" s="81">
        <f>IF(ISBLANK(P3797),"",U3797/N3797)</f>
        <v/>
      </c>
      <c r="W3797" s="81">
        <f>IF(ISBLANK(P3797),"",IF(S3797=0,(365/0.5)*V3797,(365/S3797)*V3797))</f>
        <v/>
      </c>
      <c r="X3797" s="75" t="n"/>
      <c r="Y3797" s="77" t="n"/>
      <c r="Z3797" s="77" t="n"/>
      <c r="AA3797" s="75" t="n"/>
      <c r="AB3797" s="75" t="n"/>
      <c r="AC3797" s="6" t="n"/>
      <c r="AD3797" s="75" t="n"/>
      <c r="AE3797" s="75" t="n"/>
      <c r="AF3797" s="75" t="n"/>
    </row>
    <row r="3798" ht="15.75" customHeight="1" s="133">
      <c r="A3798" s="75" t="n"/>
      <c r="B3798" s="75" t="n"/>
      <c r="C3798" s="75" t="n"/>
      <c r="D3798" s="75" t="n"/>
      <c r="E3798" s="76" t="n"/>
      <c r="F3798" s="77" t="n"/>
      <c r="G3798" s="75" t="n"/>
      <c r="H3798" s="75">
        <f>IF(ISBLANK(E3798),"",IF(OR(D3798="Butterfly",D3798="Butterfly ",D3798="Iron Fly", D3798="Iron Fly "),LEN(E3798)-LEN(SUBSTITUTE(E3798,"/",""))+2,LEN(E3798)-LEN(SUBSTITUTE(E3798,"/",""))+1))</f>
        <v/>
      </c>
      <c r="I3798" s="78">
        <f>IF(ISBLANK(G3798),"",IF(D3798="Stock","0",Key!$A$3*H3798*G3798))</f>
        <v/>
      </c>
      <c r="J3798" s="78">
        <f>IF(ISBLANK(E3798),"",IF(ISNUMBER(SEARCH("/",E3798)), IF(LEN(E3798)-LEN(SUBSTITUTE(E3798,"/",""))=1,(RIGHT(E3798,LEN(E3798)-FIND("/",E3798)))-(LEFT(E3798,FIND("/",E3798)-1)),(MID(E3798, SEARCH("/",E3798) + 1, SEARCH("/",E3798, SEARCH("/",E3798)+1) - SEARCH("/",E3798) - 1))-(LEFT(E3798,FIND("/",E3798)-1))), "NA"))</f>
        <v/>
      </c>
      <c r="K3798" s="79">
        <f>IF(A3798&lt;&gt;"", IF(ISBLANK(L3798), TODAY(), K3798), "")</f>
        <v/>
      </c>
      <c r="L3798" s="78" t="n"/>
      <c r="M3798" s="78">
        <f>IF(ISBLANK(L3798),"",IF(D3798="Stock",IF(C3798="Buy",L3798*G3798,IF(C3798="Sell",(L3798*G3798)-I3798, X)),IF(C3798="Buy",(L3798*G3798*100)+I3798,IF(C3798="Sell",(L3798*G3798*100)-I3798, X))))</f>
        <v/>
      </c>
      <c r="N3798" s="78">
        <f>IF(ISBLANK(L3798),"",IF(AND(C3798="Sell",D3798="Stock"),M3798,IF(ISBLANK(L3798),"",IF(C3798="Buy",M3798, IF(AND(C3798="Sell",J3798="NA"),(E3798*G3798*100*0.1)+I3798, IF(C3798="Sell",(J3798-L3798)*(100*G3798)+I3798))))))</f>
        <v/>
      </c>
      <c r="O3798" s="75" t="n"/>
      <c r="P3798" s="75" t="n"/>
      <c r="Q3798" s="75">
        <f>IF(ISBLANK(P3798),"",IF(D3798="Stock",P3798*G3798,IF(P3798=0,"0",G3798*P3798*100-(G3798*$AF$14))))</f>
        <v/>
      </c>
      <c r="R3798" s="79">
        <f>IF(P3798&lt;&gt;"", TODAY(), "")</f>
        <v/>
      </c>
      <c r="S3798" s="78">
        <f>IF(AND(K3798&lt;&gt;"", R3798&lt;&gt;""), R3798-K3798, "")</f>
        <v/>
      </c>
      <c r="T3798" s="78" t="n"/>
      <c r="U3798" s="92">
        <f>IF(ISBLANK(P3798),"",IF(C3798="Buy",Q3798-M3798+T3798, IF(C3798="Sell",M3798-Q3798-T3798, X)))</f>
        <v/>
      </c>
      <c r="V3798" s="81">
        <f>IF(ISBLANK(P3798),"",U3798/N3798)</f>
        <v/>
      </c>
      <c r="W3798" s="81">
        <f>IF(ISBLANK(P3798),"",IF(S3798=0,(365/0.5)*V3798,(365/S3798)*V3798))</f>
        <v/>
      </c>
      <c r="X3798" s="75" t="n"/>
      <c r="Y3798" s="77" t="n"/>
      <c r="Z3798" s="77" t="n"/>
      <c r="AA3798" s="75" t="n"/>
      <c r="AB3798" s="75" t="n"/>
      <c r="AC3798" s="6" t="n"/>
      <c r="AD3798" s="75" t="n"/>
      <c r="AE3798" s="75" t="n"/>
      <c r="AF3798" s="75" t="n"/>
    </row>
    <row r="3799" ht="15.75" customHeight="1" s="133">
      <c r="A3799" s="75" t="n"/>
      <c r="B3799" s="75" t="n"/>
      <c r="C3799" s="75" t="n"/>
      <c r="D3799" s="75" t="n"/>
      <c r="E3799" s="76" t="n"/>
      <c r="F3799" s="77" t="n"/>
      <c r="G3799" s="75" t="n"/>
      <c r="H3799" s="75">
        <f>IF(ISBLANK(E3799),"",IF(OR(D3799="Butterfly",D3799="Butterfly ",D3799="Iron Fly", D3799="Iron Fly "),LEN(E3799)-LEN(SUBSTITUTE(E3799,"/",""))+2,LEN(E3799)-LEN(SUBSTITUTE(E3799,"/",""))+1))</f>
        <v/>
      </c>
      <c r="I3799" s="78">
        <f>IF(ISBLANK(G3799),"",IF(D3799="Stock","0",Key!$A$3*H3799*G3799))</f>
        <v/>
      </c>
      <c r="J3799" s="78">
        <f>IF(ISBLANK(E3799),"",IF(ISNUMBER(SEARCH("/",E3799)), IF(LEN(E3799)-LEN(SUBSTITUTE(E3799,"/",""))=1,(RIGHT(E3799,LEN(E3799)-FIND("/",E3799)))-(LEFT(E3799,FIND("/",E3799)-1)),(MID(E3799, SEARCH("/",E3799) + 1, SEARCH("/",E3799, SEARCH("/",E3799)+1) - SEARCH("/",E3799) - 1))-(LEFT(E3799,FIND("/",E3799)-1))), "NA"))</f>
        <v/>
      </c>
      <c r="K3799" s="79">
        <f>IF(A3799&lt;&gt;"", IF(ISBLANK(L3799), TODAY(), K3799), "")</f>
        <v/>
      </c>
      <c r="L3799" s="78" t="n"/>
      <c r="M3799" s="78">
        <f>IF(ISBLANK(L3799),"",IF(D3799="Stock",IF(C3799="Buy",L3799*G3799,IF(C3799="Sell",(L3799*G3799)-I3799, X)),IF(C3799="Buy",(L3799*G3799*100)+I3799,IF(C3799="Sell",(L3799*G3799*100)-I3799, X))))</f>
        <v/>
      </c>
      <c r="N3799" s="78">
        <f>IF(ISBLANK(L3799),"",IF(AND(C3799="Sell",D3799="Stock"),M3799,IF(ISBLANK(L3799),"",IF(C3799="Buy",M3799, IF(AND(C3799="Sell",J3799="NA"),(E3799*G3799*100*0.1)+I3799, IF(C3799="Sell",(J3799-L3799)*(100*G3799)+I3799))))))</f>
        <v/>
      </c>
      <c r="O3799" s="75" t="n"/>
      <c r="P3799" s="75" t="n"/>
      <c r="Q3799" s="75">
        <f>IF(ISBLANK(P3799),"",IF(D3799="Stock",P3799*G3799,IF(P3799=0,"0",G3799*P3799*100-(G3799*$AF$14))))</f>
        <v/>
      </c>
      <c r="R3799" s="79">
        <f>IF(P3799&lt;&gt;"", TODAY(), "")</f>
        <v/>
      </c>
      <c r="S3799" s="78">
        <f>IF(AND(K3799&lt;&gt;"", R3799&lt;&gt;""), R3799-K3799, "")</f>
        <v/>
      </c>
      <c r="T3799" s="78" t="n"/>
      <c r="U3799" s="92">
        <f>IF(ISBLANK(P3799),"",IF(C3799="Buy",Q3799-M3799+T3799, IF(C3799="Sell",M3799-Q3799-T3799, X)))</f>
        <v/>
      </c>
      <c r="V3799" s="81">
        <f>IF(ISBLANK(P3799),"",U3799/N3799)</f>
        <v/>
      </c>
      <c r="W3799" s="81">
        <f>IF(ISBLANK(P3799),"",IF(S3799=0,(365/0.5)*V3799,(365/S3799)*V3799))</f>
        <v/>
      </c>
      <c r="X3799" s="75" t="n"/>
      <c r="Y3799" s="77" t="n"/>
      <c r="Z3799" s="77" t="n"/>
      <c r="AA3799" s="75" t="n"/>
      <c r="AB3799" s="75" t="n"/>
      <c r="AC3799" s="6" t="n"/>
      <c r="AD3799" s="75" t="n"/>
      <c r="AE3799" s="75" t="n"/>
      <c r="AF3799" s="75" t="n"/>
    </row>
    <row r="3800" ht="15.75" customHeight="1" s="133">
      <c r="A3800" s="75" t="n"/>
      <c r="B3800" s="75" t="n"/>
      <c r="C3800" s="75" t="n"/>
      <c r="D3800" s="75" t="n"/>
      <c r="E3800" s="76" t="n"/>
      <c r="F3800" s="77" t="n"/>
      <c r="G3800" s="75" t="n"/>
      <c r="H3800" s="75">
        <f>IF(ISBLANK(E3800),"",IF(OR(D3800="Butterfly",D3800="Butterfly ",D3800="Iron Fly", D3800="Iron Fly "),LEN(E3800)-LEN(SUBSTITUTE(E3800,"/",""))+2,LEN(E3800)-LEN(SUBSTITUTE(E3800,"/",""))+1))</f>
        <v/>
      </c>
      <c r="I3800" s="78">
        <f>IF(ISBLANK(G3800),"",IF(D3800="Stock","0",Key!$A$3*H3800*G3800))</f>
        <v/>
      </c>
      <c r="J3800" s="78">
        <f>IF(ISBLANK(E3800),"",IF(ISNUMBER(SEARCH("/",E3800)), IF(LEN(E3800)-LEN(SUBSTITUTE(E3800,"/",""))=1,(RIGHT(E3800,LEN(E3800)-FIND("/",E3800)))-(LEFT(E3800,FIND("/",E3800)-1)),(MID(E3800, SEARCH("/",E3800) + 1, SEARCH("/",E3800, SEARCH("/",E3800)+1) - SEARCH("/",E3800) - 1))-(LEFT(E3800,FIND("/",E3800)-1))), "NA"))</f>
        <v/>
      </c>
      <c r="K3800" s="79">
        <f>IF(A3800&lt;&gt;"", IF(ISBLANK(L3800), TODAY(), K3800), "")</f>
        <v/>
      </c>
      <c r="L3800" s="78" t="n"/>
      <c r="M3800" s="78">
        <f>IF(ISBLANK(L3800),"",IF(D3800="Stock",IF(C3800="Buy",L3800*G3800,IF(C3800="Sell",(L3800*G3800)-I3800, X)),IF(C3800="Buy",(L3800*G3800*100)+I3800,IF(C3800="Sell",(L3800*G3800*100)-I3800, X))))</f>
        <v/>
      </c>
      <c r="N3800" s="78">
        <f>IF(ISBLANK(L3800),"",IF(AND(C3800="Sell",D3800="Stock"),M3800,IF(ISBLANK(L3800),"",IF(C3800="Buy",M3800, IF(AND(C3800="Sell",J3800="NA"),(E3800*G3800*100*0.1)+I3800, IF(C3800="Sell",(J3800-L3800)*(100*G3800)+I3800))))))</f>
        <v/>
      </c>
      <c r="O3800" s="75" t="n"/>
      <c r="P3800" s="75" t="n"/>
      <c r="Q3800" s="75">
        <f>IF(ISBLANK(P3800),"",IF(D3800="Stock",P3800*G3800,IF(P3800=0,"0",G3800*P3800*100-(G3800*$AF$14))))</f>
        <v/>
      </c>
      <c r="R3800" s="79">
        <f>IF(P3800&lt;&gt;"", TODAY(), "")</f>
        <v/>
      </c>
      <c r="S3800" s="78">
        <f>IF(AND(K3800&lt;&gt;"", R3800&lt;&gt;""), R3800-K3800, "")</f>
        <v/>
      </c>
      <c r="T3800" s="78" t="n"/>
      <c r="U3800" s="92">
        <f>IF(ISBLANK(P3800),"",IF(C3800="Buy",Q3800-M3800+T3800, IF(C3800="Sell",M3800-Q3800-T3800, X)))</f>
        <v/>
      </c>
      <c r="V3800" s="81">
        <f>IF(ISBLANK(P3800),"",U3800/N3800)</f>
        <v/>
      </c>
      <c r="W3800" s="81">
        <f>IF(ISBLANK(P3800),"",IF(S3800=0,(365/0.5)*V3800,(365/S3800)*V3800))</f>
        <v/>
      </c>
      <c r="X3800" s="75" t="n"/>
      <c r="Y3800" s="77" t="n"/>
      <c r="Z3800" s="77" t="n"/>
      <c r="AA3800" s="75" t="n"/>
      <c r="AB3800" s="75" t="n"/>
      <c r="AC3800" s="6" t="n"/>
      <c r="AD3800" s="75" t="n"/>
      <c r="AE3800" s="75" t="n"/>
      <c r="AF3800" s="75" t="n"/>
    </row>
    <row r="3801" ht="15.75" customHeight="1" s="133">
      <c r="A3801" s="75" t="n"/>
      <c r="B3801" s="75" t="n"/>
      <c r="C3801" s="75" t="n"/>
      <c r="D3801" s="75" t="n"/>
      <c r="E3801" s="76" t="n"/>
      <c r="F3801" s="77" t="n"/>
      <c r="G3801" s="75" t="n"/>
      <c r="H3801" s="75">
        <f>IF(ISBLANK(E3801),"",IF(OR(D3801="Butterfly",D3801="Butterfly ",D3801="Iron Fly", D3801="Iron Fly "),LEN(E3801)-LEN(SUBSTITUTE(E3801,"/",""))+2,LEN(E3801)-LEN(SUBSTITUTE(E3801,"/",""))+1))</f>
        <v/>
      </c>
      <c r="I3801" s="78">
        <f>IF(ISBLANK(G3801),"",IF(D3801="Stock","0",Key!$A$3*H3801*G3801))</f>
        <v/>
      </c>
      <c r="J3801" s="78">
        <f>IF(ISBLANK(E3801),"",IF(ISNUMBER(SEARCH("/",E3801)), IF(LEN(E3801)-LEN(SUBSTITUTE(E3801,"/",""))=1,(RIGHT(E3801,LEN(E3801)-FIND("/",E3801)))-(LEFT(E3801,FIND("/",E3801)-1)),(MID(E3801, SEARCH("/",E3801) + 1, SEARCH("/",E3801, SEARCH("/",E3801)+1) - SEARCH("/",E3801) - 1))-(LEFT(E3801,FIND("/",E3801)-1))), "NA"))</f>
        <v/>
      </c>
      <c r="K3801" s="79">
        <f>IF(A3801&lt;&gt;"", IF(ISBLANK(L3801), TODAY(), K3801), "")</f>
        <v/>
      </c>
      <c r="L3801" s="78" t="n"/>
      <c r="M3801" s="78">
        <f>IF(ISBLANK(L3801),"",IF(D3801="Stock",IF(C3801="Buy",L3801*G3801,IF(C3801="Sell",(L3801*G3801)-I3801, X)),IF(C3801="Buy",(L3801*G3801*100)+I3801,IF(C3801="Sell",(L3801*G3801*100)-I3801, X))))</f>
        <v/>
      </c>
      <c r="N3801" s="78">
        <f>IF(ISBLANK(L3801),"",IF(AND(C3801="Sell",D3801="Stock"),M3801,IF(ISBLANK(L3801),"",IF(C3801="Buy",M3801, IF(AND(C3801="Sell",J3801="NA"),(E3801*G3801*100*0.1)+I3801, IF(C3801="Sell",(J3801-L3801)*(100*G3801)+I3801))))))</f>
        <v/>
      </c>
      <c r="O3801" s="75" t="n"/>
      <c r="P3801" s="75" t="n"/>
      <c r="Q3801" s="75">
        <f>IF(ISBLANK(P3801),"",IF(D3801="Stock",P3801*G3801,IF(P3801=0,"0",G3801*P3801*100-(G3801*$AF$14))))</f>
        <v/>
      </c>
      <c r="R3801" s="79">
        <f>IF(P3801&lt;&gt;"", TODAY(), "")</f>
        <v/>
      </c>
      <c r="S3801" s="78">
        <f>IF(AND(K3801&lt;&gt;"", R3801&lt;&gt;""), R3801-K3801, "")</f>
        <v/>
      </c>
      <c r="T3801" s="78" t="n"/>
      <c r="U3801" s="92">
        <f>IF(ISBLANK(P3801),"",IF(C3801="Buy",Q3801-M3801+T3801, IF(C3801="Sell",M3801-Q3801-T3801, X)))</f>
        <v/>
      </c>
      <c r="V3801" s="81">
        <f>IF(ISBLANK(P3801),"",U3801/N3801)</f>
        <v/>
      </c>
      <c r="W3801" s="81">
        <f>IF(ISBLANK(P3801),"",IF(S3801=0,(365/0.5)*V3801,(365/S3801)*V3801))</f>
        <v/>
      </c>
      <c r="X3801" s="75" t="n"/>
      <c r="Y3801" s="77" t="n"/>
      <c r="Z3801" s="77" t="n"/>
      <c r="AA3801" s="75" t="n"/>
      <c r="AB3801" s="75" t="n"/>
      <c r="AC3801" s="6" t="n"/>
      <c r="AD3801" s="75" t="n"/>
      <c r="AE3801" s="75" t="n"/>
      <c r="AF3801" s="75" t="n"/>
    </row>
    <row r="3802" ht="15.75" customHeight="1" s="133">
      <c r="A3802" s="75" t="n"/>
      <c r="B3802" s="75" t="n"/>
      <c r="C3802" s="75" t="n"/>
      <c r="D3802" s="75" t="n"/>
      <c r="E3802" s="76" t="n"/>
      <c r="F3802" s="77" t="n"/>
      <c r="G3802" s="75" t="n"/>
      <c r="H3802" s="75">
        <f>IF(ISBLANK(E3802),"",IF(OR(D3802="Butterfly",D3802="Butterfly ",D3802="Iron Fly", D3802="Iron Fly "),LEN(E3802)-LEN(SUBSTITUTE(E3802,"/",""))+2,LEN(E3802)-LEN(SUBSTITUTE(E3802,"/",""))+1))</f>
        <v/>
      </c>
      <c r="I3802" s="78">
        <f>IF(ISBLANK(G3802),"",IF(D3802="Stock","0",Key!$A$3*H3802*G3802))</f>
        <v/>
      </c>
      <c r="J3802" s="78">
        <f>IF(ISBLANK(E3802),"",IF(ISNUMBER(SEARCH("/",E3802)), IF(LEN(E3802)-LEN(SUBSTITUTE(E3802,"/",""))=1,(RIGHT(E3802,LEN(E3802)-FIND("/",E3802)))-(LEFT(E3802,FIND("/",E3802)-1)),(MID(E3802, SEARCH("/",E3802) + 1, SEARCH("/",E3802, SEARCH("/",E3802)+1) - SEARCH("/",E3802) - 1))-(LEFT(E3802,FIND("/",E3802)-1))), "NA"))</f>
        <v/>
      </c>
      <c r="K3802" s="79">
        <f>IF(A3802&lt;&gt;"", IF(ISBLANK(L3802), TODAY(), K3802), "")</f>
        <v/>
      </c>
      <c r="L3802" s="78" t="n"/>
      <c r="M3802" s="78">
        <f>IF(ISBLANK(L3802),"",IF(D3802="Stock",IF(C3802="Buy",L3802*G3802,IF(C3802="Sell",(L3802*G3802)-I3802, X)),IF(C3802="Buy",(L3802*G3802*100)+I3802,IF(C3802="Sell",(L3802*G3802*100)-I3802, X))))</f>
        <v/>
      </c>
      <c r="N3802" s="78">
        <f>IF(ISBLANK(L3802),"",IF(AND(C3802="Sell",D3802="Stock"),M3802,IF(ISBLANK(L3802),"",IF(C3802="Buy",M3802, IF(AND(C3802="Sell",J3802="NA"),(E3802*G3802*100*0.1)+I3802, IF(C3802="Sell",(J3802-L3802)*(100*G3802)+I3802))))))</f>
        <v/>
      </c>
      <c r="O3802" s="75" t="n"/>
      <c r="P3802" s="75" t="n"/>
      <c r="Q3802" s="75">
        <f>IF(ISBLANK(P3802),"",IF(D3802="Stock",P3802*G3802,IF(P3802=0,"0",G3802*P3802*100-(G3802*$AF$14))))</f>
        <v/>
      </c>
      <c r="R3802" s="79">
        <f>IF(P3802&lt;&gt;"", TODAY(), "")</f>
        <v/>
      </c>
      <c r="S3802" s="78">
        <f>IF(AND(K3802&lt;&gt;"", R3802&lt;&gt;""), R3802-K3802, "")</f>
        <v/>
      </c>
      <c r="T3802" s="78" t="n"/>
      <c r="U3802" s="92">
        <f>IF(ISBLANK(P3802),"",IF(C3802="Buy",Q3802-M3802+T3802, IF(C3802="Sell",M3802-Q3802-T3802, X)))</f>
        <v/>
      </c>
      <c r="V3802" s="81">
        <f>IF(ISBLANK(P3802),"",U3802/N3802)</f>
        <v/>
      </c>
      <c r="W3802" s="81">
        <f>IF(ISBLANK(P3802),"",IF(S3802=0,(365/0.5)*V3802,(365/S3802)*V3802))</f>
        <v/>
      </c>
      <c r="X3802" s="75" t="n"/>
      <c r="Y3802" s="77" t="n"/>
      <c r="Z3802" s="77" t="n"/>
      <c r="AA3802" s="75" t="n"/>
      <c r="AB3802" s="75" t="n"/>
      <c r="AC3802" s="6" t="n"/>
      <c r="AD3802" s="75" t="n"/>
      <c r="AE3802" s="75" t="n"/>
      <c r="AF3802" s="75" t="n"/>
    </row>
    <row r="3803" ht="15.75" customHeight="1" s="133">
      <c r="A3803" s="75" t="n"/>
      <c r="B3803" s="75" t="n"/>
      <c r="C3803" s="75" t="n"/>
      <c r="D3803" s="75" t="n"/>
      <c r="E3803" s="76" t="n"/>
      <c r="F3803" s="77" t="n"/>
      <c r="G3803" s="75" t="n"/>
      <c r="H3803" s="75">
        <f>IF(ISBLANK(E3803),"",IF(OR(D3803="Butterfly",D3803="Butterfly ",D3803="Iron Fly", D3803="Iron Fly "),LEN(E3803)-LEN(SUBSTITUTE(E3803,"/",""))+2,LEN(E3803)-LEN(SUBSTITUTE(E3803,"/",""))+1))</f>
        <v/>
      </c>
      <c r="I3803" s="78">
        <f>IF(ISBLANK(G3803),"",IF(D3803="Stock","0",Key!$A$3*H3803*G3803))</f>
        <v/>
      </c>
      <c r="J3803" s="78">
        <f>IF(ISBLANK(E3803),"",IF(ISNUMBER(SEARCH("/",E3803)), IF(LEN(E3803)-LEN(SUBSTITUTE(E3803,"/",""))=1,(RIGHT(E3803,LEN(E3803)-FIND("/",E3803)))-(LEFT(E3803,FIND("/",E3803)-1)),(MID(E3803, SEARCH("/",E3803) + 1, SEARCH("/",E3803, SEARCH("/",E3803)+1) - SEARCH("/",E3803) - 1))-(LEFT(E3803,FIND("/",E3803)-1))), "NA"))</f>
        <v/>
      </c>
      <c r="K3803" s="79">
        <f>IF(A3803&lt;&gt;"", IF(ISBLANK(L3803), TODAY(), K3803), "")</f>
        <v/>
      </c>
      <c r="L3803" s="78" t="n"/>
      <c r="M3803" s="78">
        <f>IF(ISBLANK(L3803),"",IF(D3803="Stock",IF(C3803="Buy",L3803*G3803,IF(C3803="Sell",(L3803*G3803)-I3803, X)),IF(C3803="Buy",(L3803*G3803*100)+I3803,IF(C3803="Sell",(L3803*G3803*100)-I3803, X))))</f>
        <v/>
      </c>
      <c r="N3803" s="78">
        <f>IF(ISBLANK(L3803),"",IF(AND(C3803="Sell",D3803="Stock"),M3803,IF(ISBLANK(L3803),"",IF(C3803="Buy",M3803, IF(AND(C3803="Sell",J3803="NA"),(E3803*G3803*100*0.1)+I3803, IF(C3803="Sell",(J3803-L3803)*(100*G3803)+I3803))))))</f>
        <v/>
      </c>
      <c r="O3803" s="75" t="n"/>
      <c r="P3803" s="75" t="n"/>
      <c r="Q3803" s="75">
        <f>IF(ISBLANK(P3803),"",IF(D3803="Stock",P3803*G3803,IF(P3803=0,"0",G3803*P3803*100-(G3803*$AF$14))))</f>
        <v/>
      </c>
      <c r="R3803" s="79">
        <f>IF(P3803&lt;&gt;"", TODAY(), "")</f>
        <v/>
      </c>
      <c r="S3803" s="78">
        <f>IF(AND(K3803&lt;&gt;"", R3803&lt;&gt;""), R3803-K3803, "")</f>
        <v/>
      </c>
      <c r="T3803" s="78" t="n"/>
      <c r="U3803" s="92">
        <f>IF(ISBLANK(P3803),"",IF(C3803="Buy",Q3803-M3803+T3803, IF(C3803="Sell",M3803-Q3803-T3803, X)))</f>
        <v/>
      </c>
      <c r="V3803" s="81">
        <f>IF(ISBLANK(P3803),"",U3803/N3803)</f>
        <v/>
      </c>
      <c r="W3803" s="81">
        <f>IF(ISBLANK(P3803),"",IF(S3803=0,(365/0.5)*V3803,(365/S3803)*V3803))</f>
        <v/>
      </c>
      <c r="X3803" s="75" t="n"/>
      <c r="Y3803" s="77" t="n"/>
      <c r="Z3803" s="77" t="n"/>
      <c r="AA3803" s="75" t="n"/>
      <c r="AB3803" s="75" t="n"/>
      <c r="AC3803" s="6" t="n"/>
      <c r="AD3803" s="75" t="n"/>
      <c r="AE3803" s="75" t="n"/>
      <c r="AF3803" s="75" t="n"/>
    </row>
    <row r="3804" ht="15.75" customHeight="1" s="133">
      <c r="A3804" s="75" t="n"/>
      <c r="B3804" s="75" t="n"/>
      <c r="C3804" s="75" t="n"/>
      <c r="D3804" s="75" t="n"/>
      <c r="E3804" s="76" t="n"/>
      <c r="F3804" s="77" t="n"/>
      <c r="G3804" s="75" t="n"/>
      <c r="H3804" s="75">
        <f>IF(ISBLANK(E3804),"",IF(OR(D3804="Butterfly",D3804="Butterfly ",D3804="Iron Fly", D3804="Iron Fly "),LEN(E3804)-LEN(SUBSTITUTE(E3804,"/",""))+2,LEN(E3804)-LEN(SUBSTITUTE(E3804,"/",""))+1))</f>
        <v/>
      </c>
      <c r="I3804" s="78">
        <f>IF(ISBLANK(G3804),"",IF(D3804="Stock","0",Key!$A$3*H3804*G3804))</f>
        <v/>
      </c>
      <c r="J3804" s="78">
        <f>IF(ISBLANK(E3804),"",IF(ISNUMBER(SEARCH("/",E3804)), IF(LEN(E3804)-LEN(SUBSTITUTE(E3804,"/",""))=1,(RIGHT(E3804,LEN(E3804)-FIND("/",E3804)))-(LEFT(E3804,FIND("/",E3804)-1)),(MID(E3804, SEARCH("/",E3804) + 1, SEARCH("/",E3804, SEARCH("/",E3804)+1) - SEARCH("/",E3804) - 1))-(LEFT(E3804,FIND("/",E3804)-1))), "NA"))</f>
        <v/>
      </c>
      <c r="K3804" s="79">
        <f>IF(A3804&lt;&gt;"", IF(ISBLANK(L3804), TODAY(), K3804), "")</f>
        <v/>
      </c>
      <c r="L3804" s="78" t="n"/>
      <c r="M3804" s="78">
        <f>IF(ISBLANK(L3804),"",IF(D3804="Stock",IF(C3804="Buy",L3804*G3804,IF(C3804="Sell",(L3804*G3804)-I3804, X)),IF(C3804="Buy",(L3804*G3804*100)+I3804,IF(C3804="Sell",(L3804*G3804*100)-I3804, X))))</f>
        <v/>
      </c>
      <c r="N3804" s="78">
        <f>IF(ISBLANK(L3804),"",IF(AND(C3804="Sell",D3804="Stock"),M3804,IF(ISBLANK(L3804),"",IF(C3804="Buy",M3804, IF(AND(C3804="Sell",J3804="NA"),(E3804*G3804*100*0.1)+I3804, IF(C3804="Sell",(J3804-L3804)*(100*G3804)+I3804))))))</f>
        <v/>
      </c>
      <c r="O3804" s="75" t="n"/>
      <c r="P3804" s="75" t="n"/>
      <c r="Q3804" s="75">
        <f>IF(ISBLANK(P3804),"",IF(D3804="Stock",P3804*G3804,IF(P3804=0,"0",G3804*P3804*100-(G3804*$AF$14))))</f>
        <v/>
      </c>
      <c r="R3804" s="79">
        <f>IF(P3804&lt;&gt;"", TODAY(), "")</f>
        <v/>
      </c>
      <c r="S3804" s="78">
        <f>IF(AND(K3804&lt;&gt;"", R3804&lt;&gt;""), R3804-K3804, "")</f>
        <v/>
      </c>
      <c r="T3804" s="78" t="n"/>
      <c r="U3804" s="92">
        <f>IF(ISBLANK(P3804),"",IF(C3804="Buy",Q3804-M3804+T3804, IF(C3804="Sell",M3804-Q3804-T3804, X)))</f>
        <v/>
      </c>
      <c r="V3804" s="81">
        <f>IF(ISBLANK(P3804),"",U3804/N3804)</f>
        <v/>
      </c>
      <c r="W3804" s="81">
        <f>IF(ISBLANK(P3804),"",IF(S3804=0,(365/0.5)*V3804,(365/S3804)*V3804))</f>
        <v/>
      </c>
      <c r="X3804" s="75" t="n"/>
      <c r="Y3804" s="77" t="n"/>
      <c r="Z3804" s="77" t="n"/>
      <c r="AA3804" s="75" t="n"/>
      <c r="AB3804" s="75" t="n"/>
      <c r="AC3804" s="6" t="n"/>
      <c r="AD3804" s="75" t="n"/>
      <c r="AE3804" s="75" t="n"/>
      <c r="AF3804" s="75" t="n"/>
    </row>
    <row r="3805" ht="15.75" customHeight="1" s="133">
      <c r="A3805" s="75" t="n"/>
      <c r="B3805" s="75" t="n"/>
      <c r="C3805" s="75" t="n"/>
      <c r="D3805" s="75" t="n"/>
      <c r="E3805" s="76" t="n"/>
      <c r="F3805" s="77" t="n"/>
      <c r="G3805" s="75" t="n"/>
      <c r="H3805" s="75">
        <f>IF(ISBLANK(E3805),"",IF(OR(D3805="Butterfly",D3805="Butterfly ",D3805="Iron Fly", D3805="Iron Fly "),LEN(E3805)-LEN(SUBSTITUTE(E3805,"/",""))+2,LEN(E3805)-LEN(SUBSTITUTE(E3805,"/",""))+1))</f>
        <v/>
      </c>
      <c r="I3805" s="78">
        <f>IF(ISBLANK(G3805),"",IF(D3805="Stock","0",Key!$A$3*H3805*G3805))</f>
        <v/>
      </c>
      <c r="J3805" s="78">
        <f>IF(ISBLANK(E3805),"",IF(ISNUMBER(SEARCH("/",E3805)), IF(LEN(E3805)-LEN(SUBSTITUTE(E3805,"/",""))=1,(RIGHT(E3805,LEN(E3805)-FIND("/",E3805)))-(LEFT(E3805,FIND("/",E3805)-1)),(MID(E3805, SEARCH("/",E3805) + 1, SEARCH("/",E3805, SEARCH("/",E3805)+1) - SEARCH("/",E3805) - 1))-(LEFT(E3805,FIND("/",E3805)-1))), "NA"))</f>
        <v/>
      </c>
      <c r="K3805" s="79">
        <f>IF(A3805&lt;&gt;"", IF(ISBLANK(L3805), TODAY(), K3805), "")</f>
        <v/>
      </c>
      <c r="L3805" s="78" t="n"/>
      <c r="M3805" s="78">
        <f>IF(ISBLANK(L3805),"",IF(D3805="Stock",IF(C3805="Buy",L3805*G3805,IF(C3805="Sell",(L3805*G3805)-I3805, X)),IF(C3805="Buy",(L3805*G3805*100)+I3805,IF(C3805="Sell",(L3805*G3805*100)-I3805, X))))</f>
        <v/>
      </c>
      <c r="N3805" s="78">
        <f>IF(ISBLANK(L3805),"",IF(AND(C3805="Sell",D3805="Stock"),M3805,IF(ISBLANK(L3805),"",IF(C3805="Buy",M3805, IF(AND(C3805="Sell",J3805="NA"),(E3805*G3805*100*0.1)+I3805, IF(C3805="Sell",(J3805-L3805)*(100*G3805)+I3805))))))</f>
        <v/>
      </c>
      <c r="O3805" s="75" t="n"/>
      <c r="P3805" s="75" t="n"/>
      <c r="Q3805" s="75">
        <f>IF(ISBLANK(P3805),"",IF(D3805="Stock",P3805*G3805,IF(P3805=0,"0",G3805*P3805*100-(G3805*$AF$14))))</f>
        <v/>
      </c>
      <c r="R3805" s="79">
        <f>IF(P3805&lt;&gt;"", TODAY(), "")</f>
        <v/>
      </c>
      <c r="S3805" s="78">
        <f>IF(AND(K3805&lt;&gt;"", R3805&lt;&gt;""), R3805-K3805, "")</f>
        <v/>
      </c>
      <c r="T3805" s="78" t="n"/>
      <c r="U3805" s="92">
        <f>IF(ISBLANK(P3805),"",IF(C3805="Buy",Q3805-M3805+T3805, IF(C3805="Sell",M3805-Q3805-T3805, X)))</f>
        <v/>
      </c>
      <c r="V3805" s="81">
        <f>IF(ISBLANK(P3805),"",U3805/N3805)</f>
        <v/>
      </c>
      <c r="W3805" s="81">
        <f>IF(ISBLANK(P3805),"",IF(S3805=0,(365/0.5)*V3805,(365/S3805)*V3805))</f>
        <v/>
      </c>
      <c r="X3805" s="75" t="n"/>
      <c r="Y3805" s="77" t="n"/>
      <c r="Z3805" s="77" t="n"/>
      <c r="AA3805" s="75" t="n"/>
      <c r="AB3805" s="75" t="n"/>
      <c r="AC3805" s="6" t="n"/>
      <c r="AD3805" s="75" t="n"/>
      <c r="AE3805" s="75" t="n"/>
      <c r="AF3805" s="75" t="n"/>
    </row>
    <row r="3806" ht="15.75" customHeight="1" s="133">
      <c r="A3806" s="75" t="n"/>
      <c r="B3806" s="75" t="n"/>
      <c r="C3806" s="75" t="n"/>
      <c r="D3806" s="75" t="n"/>
      <c r="E3806" s="76" t="n"/>
      <c r="F3806" s="77" t="n"/>
      <c r="G3806" s="75" t="n"/>
      <c r="H3806" s="75">
        <f>IF(ISBLANK(E3806),"",IF(OR(D3806="Butterfly",D3806="Butterfly ",D3806="Iron Fly", D3806="Iron Fly "),LEN(E3806)-LEN(SUBSTITUTE(E3806,"/",""))+2,LEN(E3806)-LEN(SUBSTITUTE(E3806,"/",""))+1))</f>
        <v/>
      </c>
      <c r="I3806" s="78">
        <f>IF(ISBLANK(G3806),"",IF(D3806="Stock","0",Key!$A$3*H3806*G3806))</f>
        <v/>
      </c>
      <c r="J3806" s="78">
        <f>IF(ISBLANK(E3806),"",IF(ISNUMBER(SEARCH("/",E3806)), IF(LEN(E3806)-LEN(SUBSTITUTE(E3806,"/",""))=1,(RIGHT(E3806,LEN(E3806)-FIND("/",E3806)))-(LEFT(E3806,FIND("/",E3806)-1)),(MID(E3806, SEARCH("/",E3806) + 1, SEARCH("/",E3806, SEARCH("/",E3806)+1) - SEARCH("/",E3806) - 1))-(LEFT(E3806,FIND("/",E3806)-1))), "NA"))</f>
        <v/>
      </c>
      <c r="K3806" s="79">
        <f>IF(A3806&lt;&gt;"", IF(ISBLANK(L3806), TODAY(), K3806), "")</f>
        <v/>
      </c>
      <c r="L3806" s="78" t="n"/>
      <c r="M3806" s="78">
        <f>IF(ISBLANK(L3806),"",IF(D3806="Stock",IF(C3806="Buy",L3806*G3806,IF(C3806="Sell",(L3806*G3806)-I3806, X)),IF(C3806="Buy",(L3806*G3806*100)+I3806,IF(C3806="Sell",(L3806*G3806*100)-I3806, X))))</f>
        <v/>
      </c>
      <c r="N3806" s="78">
        <f>IF(ISBLANK(L3806),"",IF(AND(C3806="Sell",D3806="Stock"),M3806,IF(ISBLANK(L3806),"",IF(C3806="Buy",M3806, IF(AND(C3806="Sell",J3806="NA"),(E3806*G3806*100*0.1)+I3806, IF(C3806="Sell",(J3806-L3806)*(100*G3806)+I3806))))))</f>
        <v/>
      </c>
      <c r="O3806" s="75" t="n"/>
      <c r="P3806" s="75" t="n"/>
      <c r="Q3806" s="75">
        <f>IF(ISBLANK(P3806),"",IF(D3806="Stock",P3806*G3806,IF(P3806=0,"0",G3806*P3806*100-(G3806*$AF$14))))</f>
        <v/>
      </c>
      <c r="R3806" s="79">
        <f>IF(P3806&lt;&gt;"", TODAY(), "")</f>
        <v/>
      </c>
      <c r="S3806" s="78">
        <f>IF(AND(K3806&lt;&gt;"", R3806&lt;&gt;""), R3806-K3806, "")</f>
        <v/>
      </c>
      <c r="T3806" s="78" t="n"/>
      <c r="U3806" s="92">
        <f>IF(ISBLANK(P3806),"",IF(C3806="Buy",Q3806-M3806+T3806, IF(C3806="Sell",M3806-Q3806-T3806, X)))</f>
        <v/>
      </c>
      <c r="V3806" s="81">
        <f>IF(ISBLANK(P3806),"",U3806/N3806)</f>
        <v/>
      </c>
      <c r="W3806" s="81">
        <f>IF(ISBLANK(P3806),"",IF(S3806=0,(365/0.5)*V3806,(365/S3806)*V3806))</f>
        <v/>
      </c>
      <c r="X3806" s="75" t="n"/>
      <c r="Y3806" s="77" t="n"/>
      <c r="Z3806" s="77" t="n"/>
      <c r="AA3806" s="75" t="n"/>
      <c r="AB3806" s="75" t="n"/>
      <c r="AC3806" s="6" t="n"/>
      <c r="AD3806" s="75" t="n"/>
      <c r="AE3806" s="75" t="n"/>
      <c r="AF3806" s="75" t="n"/>
    </row>
    <row r="3807" ht="15.75" customHeight="1" s="133">
      <c r="A3807" s="75" t="n"/>
      <c r="B3807" s="75" t="n"/>
      <c r="C3807" s="75" t="n"/>
      <c r="D3807" s="75" t="n"/>
      <c r="E3807" s="76" t="n"/>
      <c r="F3807" s="77" t="n"/>
      <c r="G3807" s="75" t="n"/>
      <c r="H3807" s="75">
        <f>IF(ISBLANK(E3807),"",IF(OR(D3807="Butterfly",D3807="Butterfly ",D3807="Iron Fly", D3807="Iron Fly "),LEN(E3807)-LEN(SUBSTITUTE(E3807,"/",""))+2,LEN(E3807)-LEN(SUBSTITUTE(E3807,"/",""))+1))</f>
        <v/>
      </c>
      <c r="I3807" s="78">
        <f>IF(ISBLANK(G3807),"",IF(D3807="Stock","0",Key!$A$3*H3807*G3807))</f>
        <v/>
      </c>
      <c r="J3807" s="78">
        <f>IF(ISBLANK(E3807),"",IF(ISNUMBER(SEARCH("/",E3807)), IF(LEN(E3807)-LEN(SUBSTITUTE(E3807,"/",""))=1,(RIGHT(E3807,LEN(E3807)-FIND("/",E3807)))-(LEFT(E3807,FIND("/",E3807)-1)),(MID(E3807, SEARCH("/",E3807) + 1, SEARCH("/",E3807, SEARCH("/",E3807)+1) - SEARCH("/",E3807) - 1))-(LEFT(E3807,FIND("/",E3807)-1))), "NA"))</f>
        <v/>
      </c>
      <c r="K3807" s="79">
        <f>IF(A3807&lt;&gt;"", IF(ISBLANK(L3807), TODAY(), K3807), "")</f>
        <v/>
      </c>
      <c r="L3807" s="78" t="n"/>
      <c r="M3807" s="78">
        <f>IF(ISBLANK(L3807),"",IF(D3807="Stock",IF(C3807="Buy",L3807*G3807,IF(C3807="Sell",(L3807*G3807)-I3807, X)),IF(C3807="Buy",(L3807*G3807*100)+I3807,IF(C3807="Sell",(L3807*G3807*100)-I3807, X))))</f>
        <v/>
      </c>
      <c r="N3807" s="78">
        <f>IF(ISBLANK(L3807),"",IF(AND(C3807="Sell",D3807="Stock"),M3807,IF(ISBLANK(L3807),"",IF(C3807="Buy",M3807, IF(AND(C3807="Sell",J3807="NA"),(E3807*G3807*100*0.1)+I3807, IF(C3807="Sell",(J3807-L3807)*(100*G3807)+I3807))))))</f>
        <v/>
      </c>
      <c r="O3807" s="75" t="n"/>
      <c r="P3807" s="75" t="n"/>
      <c r="Q3807" s="75">
        <f>IF(ISBLANK(P3807),"",IF(D3807="Stock",P3807*G3807,IF(P3807=0,"0",G3807*P3807*100-(G3807*$AF$14))))</f>
        <v/>
      </c>
      <c r="R3807" s="79">
        <f>IF(P3807&lt;&gt;"", TODAY(), "")</f>
        <v/>
      </c>
      <c r="S3807" s="78">
        <f>IF(AND(K3807&lt;&gt;"", R3807&lt;&gt;""), R3807-K3807, "")</f>
        <v/>
      </c>
      <c r="T3807" s="78" t="n"/>
      <c r="U3807" s="92">
        <f>IF(ISBLANK(P3807),"",IF(C3807="Buy",Q3807-M3807+T3807, IF(C3807="Sell",M3807-Q3807-T3807, X)))</f>
        <v/>
      </c>
      <c r="V3807" s="81">
        <f>IF(ISBLANK(P3807),"",U3807/N3807)</f>
        <v/>
      </c>
      <c r="W3807" s="81">
        <f>IF(ISBLANK(P3807),"",IF(S3807=0,(365/0.5)*V3807,(365/S3807)*V3807))</f>
        <v/>
      </c>
      <c r="X3807" s="75" t="n"/>
      <c r="Y3807" s="77" t="n"/>
      <c r="Z3807" s="77" t="n"/>
      <c r="AA3807" s="75" t="n"/>
      <c r="AB3807" s="75" t="n"/>
      <c r="AC3807" s="6" t="n"/>
      <c r="AD3807" s="75" t="n"/>
      <c r="AE3807" s="75" t="n"/>
      <c r="AF3807" s="75" t="n"/>
    </row>
    <row r="3808" ht="15.75" customHeight="1" s="133">
      <c r="A3808" s="75" t="n"/>
      <c r="B3808" s="75" t="n"/>
      <c r="C3808" s="75" t="n"/>
      <c r="D3808" s="75" t="n"/>
      <c r="E3808" s="76" t="n"/>
      <c r="F3808" s="77" t="n"/>
      <c r="G3808" s="75" t="n"/>
      <c r="H3808" s="75">
        <f>IF(ISBLANK(E3808),"",IF(OR(D3808="Butterfly",D3808="Butterfly ",D3808="Iron Fly", D3808="Iron Fly "),LEN(E3808)-LEN(SUBSTITUTE(E3808,"/",""))+2,LEN(E3808)-LEN(SUBSTITUTE(E3808,"/",""))+1))</f>
        <v/>
      </c>
      <c r="I3808" s="78">
        <f>IF(ISBLANK(G3808),"",IF(D3808="Stock","0",Key!$A$3*H3808*G3808))</f>
        <v/>
      </c>
      <c r="J3808" s="78">
        <f>IF(ISBLANK(E3808),"",IF(ISNUMBER(SEARCH("/",E3808)), IF(LEN(E3808)-LEN(SUBSTITUTE(E3808,"/",""))=1,(RIGHT(E3808,LEN(E3808)-FIND("/",E3808)))-(LEFT(E3808,FIND("/",E3808)-1)),(MID(E3808, SEARCH("/",E3808) + 1, SEARCH("/",E3808, SEARCH("/",E3808)+1) - SEARCH("/",E3808) - 1))-(LEFT(E3808,FIND("/",E3808)-1))), "NA"))</f>
        <v/>
      </c>
      <c r="K3808" s="79">
        <f>IF(A3808&lt;&gt;"", IF(ISBLANK(L3808), TODAY(), K3808), "")</f>
        <v/>
      </c>
      <c r="L3808" s="78" t="n"/>
      <c r="M3808" s="78">
        <f>IF(ISBLANK(L3808),"",IF(D3808="Stock",IF(C3808="Buy",L3808*G3808,IF(C3808="Sell",(L3808*G3808)-I3808, X)),IF(C3808="Buy",(L3808*G3808*100)+I3808,IF(C3808="Sell",(L3808*G3808*100)-I3808, X))))</f>
        <v/>
      </c>
      <c r="N3808" s="78">
        <f>IF(ISBLANK(L3808),"",IF(AND(C3808="Sell",D3808="Stock"),M3808,IF(ISBLANK(L3808),"",IF(C3808="Buy",M3808, IF(AND(C3808="Sell",J3808="NA"),(E3808*G3808*100*0.1)+I3808, IF(C3808="Sell",(J3808-L3808)*(100*G3808)+I3808))))))</f>
        <v/>
      </c>
      <c r="O3808" s="75" t="n"/>
      <c r="P3808" s="75" t="n"/>
      <c r="Q3808" s="75">
        <f>IF(ISBLANK(P3808),"",IF(D3808="Stock",P3808*G3808,IF(P3808=0,"0",G3808*P3808*100-(G3808*$AF$14))))</f>
        <v/>
      </c>
      <c r="R3808" s="79">
        <f>IF(P3808&lt;&gt;"", TODAY(), "")</f>
        <v/>
      </c>
      <c r="S3808" s="78">
        <f>IF(AND(K3808&lt;&gt;"", R3808&lt;&gt;""), R3808-K3808, "")</f>
        <v/>
      </c>
      <c r="T3808" s="78" t="n"/>
      <c r="U3808" s="92">
        <f>IF(ISBLANK(P3808),"",IF(C3808="Buy",Q3808-M3808+T3808, IF(C3808="Sell",M3808-Q3808-T3808, X)))</f>
        <v/>
      </c>
      <c r="V3808" s="81">
        <f>IF(ISBLANK(P3808),"",U3808/N3808)</f>
        <v/>
      </c>
      <c r="W3808" s="81">
        <f>IF(ISBLANK(P3808),"",IF(S3808=0,(365/0.5)*V3808,(365/S3808)*V3808))</f>
        <v/>
      </c>
      <c r="X3808" s="75" t="n"/>
      <c r="Y3808" s="77" t="n"/>
      <c r="Z3808" s="77" t="n"/>
      <c r="AA3808" s="75" t="n"/>
      <c r="AB3808" s="75" t="n"/>
      <c r="AC3808" s="6" t="n"/>
      <c r="AD3808" s="75" t="n"/>
      <c r="AE3808" s="75" t="n"/>
      <c r="AF3808" s="75" t="n"/>
    </row>
    <row r="3809" ht="15.75" customHeight="1" s="133">
      <c r="A3809" s="75" t="n"/>
      <c r="B3809" s="75" t="n"/>
      <c r="C3809" s="75" t="n"/>
      <c r="D3809" s="75" t="n"/>
      <c r="E3809" s="76" t="n"/>
      <c r="F3809" s="77" t="n"/>
      <c r="G3809" s="75" t="n"/>
      <c r="H3809" s="75">
        <f>IF(ISBLANK(E3809),"",IF(OR(D3809="Butterfly",D3809="Butterfly ",D3809="Iron Fly", D3809="Iron Fly "),LEN(E3809)-LEN(SUBSTITUTE(E3809,"/",""))+2,LEN(E3809)-LEN(SUBSTITUTE(E3809,"/",""))+1))</f>
        <v/>
      </c>
      <c r="I3809" s="78">
        <f>IF(ISBLANK(G3809),"",IF(D3809="Stock","0",Key!$A$3*H3809*G3809))</f>
        <v/>
      </c>
      <c r="J3809" s="78">
        <f>IF(ISBLANK(E3809),"",IF(ISNUMBER(SEARCH("/",E3809)), IF(LEN(E3809)-LEN(SUBSTITUTE(E3809,"/",""))=1,(RIGHT(E3809,LEN(E3809)-FIND("/",E3809)))-(LEFT(E3809,FIND("/",E3809)-1)),(MID(E3809, SEARCH("/",E3809) + 1, SEARCH("/",E3809, SEARCH("/",E3809)+1) - SEARCH("/",E3809) - 1))-(LEFT(E3809,FIND("/",E3809)-1))), "NA"))</f>
        <v/>
      </c>
      <c r="K3809" s="79">
        <f>IF(A3809&lt;&gt;"", IF(ISBLANK(L3809), TODAY(), K3809), "")</f>
        <v/>
      </c>
      <c r="L3809" s="78" t="n"/>
      <c r="M3809" s="78">
        <f>IF(ISBLANK(L3809),"",IF(D3809="Stock",IF(C3809="Buy",L3809*G3809,IF(C3809="Sell",(L3809*G3809)-I3809, X)),IF(C3809="Buy",(L3809*G3809*100)+I3809,IF(C3809="Sell",(L3809*G3809*100)-I3809, X))))</f>
        <v/>
      </c>
      <c r="N3809" s="78">
        <f>IF(ISBLANK(L3809),"",IF(AND(C3809="Sell",D3809="Stock"),M3809,IF(ISBLANK(L3809),"",IF(C3809="Buy",M3809, IF(AND(C3809="Sell",J3809="NA"),(E3809*G3809*100*0.1)+I3809, IF(C3809="Sell",(J3809-L3809)*(100*G3809)+I3809))))))</f>
        <v/>
      </c>
      <c r="O3809" s="75" t="n"/>
      <c r="P3809" s="75" t="n"/>
      <c r="Q3809" s="75">
        <f>IF(ISBLANK(P3809),"",IF(D3809="Stock",P3809*G3809,IF(P3809=0,"0",G3809*P3809*100-(G3809*$AF$14))))</f>
        <v/>
      </c>
      <c r="R3809" s="79">
        <f>IF(P3809&lt;&gt;"", TODAY(), "")</f>
        <v/>
      </c>
      <c r="S3809" s="78">
        <f>IF(AND(K3809&lt;&gt;"", R3809&lt;&gt;""), R3809-K3809, "")</f>
        <v/>
      </c>
      <c r="T3809" s="78" t="n"/>
      <c r="U3809" s="92">
        <f>IF(ISBLANK(P3809),"",IF(C3809="Buy",Q3809-M3809+T3809, IF(C3809="Sell",M3809-Q3809-T3809, X)))</f>
        <v/>
      </c>
      <c r="V3809" s="81">
        <f>IF(ISBLANK(P3809),"",U3809/N3809)</f>
        <v/>
      </c>
      <c r="W3809" s="81">
        <f>IF(ISBLANK(P3809),"",IF(S3809=0,(365/0.5)*V3809,(365/S3809)*V3809))</f>
        <v/>
      </c>
      <c r="X3809" s="75" t="n"/>
      <c r="Y3809" s="77" t="n"/>
      <c r="Z3809" s="77" t="n"/>
      <c r="AA3809" s="75" t="n"/>
      <c r="AB3809" s="75" t="n"/>
      <c r="AC3809" s="6" t="n"/>
      <c r="AD3809" s="75" t="n"/>
      <c r="AE3809" s="75" t="n"/>
      <c r="AF3809" s="75" t="n"/>
    </row>
    <row r="3810" ht="15.75" customHeight="1" s="133">
      <c r="A3810" s="75" t="n"/>
      <c r="B3810" s="75" t="n"/>
      <c r="C3810" s="75" t="n"/>
      <c r="D3810" s="75" t="n"/>
      <c r="E3810" s="76" t="n"/>
      <c r="F3810" s="77" t="n"/>
      <c r="G3810" s="75" t="n"/>
      <c r="H3810" s="75">
        <f>IF(ISBLANK(E3810),"",IF(OR(D3810="Butterfly",D3810="Butterfly ",D3810="Iron Fly", D3810="Iron Fly "),LEN(E3810)-LEN(SUBSTITUTE(E3810,"/",""))+2,LEN(E3810)-LEN(SUBSTITUTE(E3810,"/",""))+1))</f>
        <v/>
      </c>
      <c r="I3810" s="78">
        <f>IF(ISBLANK(G3810),"",IF(D3810="Stock","0",Key!$A$3*H3810*G3810))</f>
        <v/>
      </c>
      <c r="J3810" s="78">
        <f>IF(ISBLANK(E3810),"",IF(ISNUMBER(SEARCH("/",E3810)), IF(LEN(E3810)-LEN(SUBSTITUTE(E3810,"/",""))=1,(RIGHT(E3810,LEN(E3810)-FIND("/",E3810)))-(LEFT(E3810,FIND("/",E3810)-1)),(MID(E3810, SEARCH("/",E3810) + 1, SEARCH("/",E3810, SEARCH("/",E3810)+1) - SEARCH("/",E3810) - 1))-(LEFT(E3810,FIND("/",E3810)-1))), "NA"))</f>
        <v/>
      </c>
      <c r="K3810" s="79">
        <f>IF(A3810&lt;&gt;"", IF(ISBLANK(L3810), TODAY(), K3810), "")</f>
        <v/>
      </c>
      <c r="L3810" s="78" t="n"/>
      <c r="M3810" s="78">
        <f>IF(ISBLANK(L3810),"",IF(D3810="Stock",IF(C3810="Buy",L3810*G3810,IF(C3810="Sell",(L3810*G3810)-I3810, X)),IF(C3810="Buy",(L3810*G3810*100)+I3810,IF(C3810="Sell",(L3810*G3810*100)-I3810, X))))</f>
        <v/>
      </c>
      <c r="N3810" s="78">
        <f>IF(ISBLANK(L3810),"",IF(AND(C3810="Sell",D3810="Stock"),M3810,IF(ISBLANK(L3810),"",IF(C3810="Buy",M3810, IF(AND(C3810="Sell",J3810="NA"),(E3810*G3810*100*0.1)+I3810, IF(C3810="Sell",(J3810-L3810)*(100*G3810)+I3810))))))</f>
        <v/>
      </c>
      <c r="O3810" s="75" t="n"/>
      <c r="P3810" s="75" t="n"/>
      <c r="Q3810" s="75">
        <f>IF(ISBLANK(P3810),"",IF(D3810="Stock",P3810*G3810,IF(P3810=0,"0",G3810*P3810*100-(G3810*$AF$14))))</f>
        <v/>
      </c>
      <c r="R3810" s="79">
        <f>IF(P3810&lt;&gt;"", TODAY(), "")</f>
        <v/>
      </c>
      <c r="S3810" s="78">
        <f>IF(AND(K3810&lt;&gt;"", R3810&lt;&gt;""), R3810-K3810, "")</f>
        <v/>
      </c>
      <c r="T3810" s="78" t="n"/>
      <c r="U3810" s="92">
        <f>IF(ISBLANK(P3810),"",IF(C3810="Buy",Q3810-M3810+T3810, IF(C3810="Sell",M3810-Q3810-T3810, X)))</f>
        <v/>
      </c>
      <c r="V3810" s="81">
        <f>IF(ISBLANK(P3810),"",U3810/N3810)</f>
        <v/>
      </c>
      <c r="W3810" s="81">
        <f>IF(ISBLANK(P3810),"",IF(S3810=0,(365/0.5)*V3810,(365/S3810)*V3810))</f>
        <v/>
      </c>
      <c r="X3810" s="75" t="n"/>
      <c r="Y3810" s="77" t="n"/>
      <c r="Z3810" s="77" t="n"/>
      <c r="AA3810" s="75" t="n"/>
      <c r="AB3810" s="75" t="n"/>
      <c r="AC3810" s="6" t="n"/>
      <c r="AD3810" s="75" t="n"/>
      <c r="AE3810" s="75" t="n"/>
      <c r="AF3810" s="75" t="n"/>
    </row>
    <row r="3811" ht="15.75" customHeight="1" s="133">
      <c r="A3811" s="75" t="n"/>
      <c r="B3811" s="75" t="n"/>
      <c r="C3811" s="75" t="n"/>
      <c r="D3811" s="75" t="n"/>
      <c r="E3811" s="76" t="n"/>
      <c r="F3811" s="77" t="n"/>
      <c r="G3811" s="75" t="n"/>
      <c r="H3811" s="75">
        <f>IF(ISBLANK(E3811),"",IF(OR(D3811="Butterfly",D3811="Butterfly ",D3811="Iron Fly", D3811="Iron Fly "),LEN(E3811)-LEN(SUBSTITUTE(E3811,"/",""))+2,LEN(E3811)-LEN(SUBSTITUTE(E3811,"/",""))+1))</f>
        <v/>
      </c>
      <c r="I3811" s="78">
        <f>IF(ISBLANK(G3811),"",IF(D3811="Stock","0",Key!$A$3*H3811*G3811))</f>
        <v/>
      </c>
      <c r="J3811" s="78">
        <f>IF(ISBLANK(E3811),"",IF(ISNUMBER(SEARCH("/",E3811)), IF(LEN(E3811)-LEN(SUBSTITUTE(E3811,"/",""))=1,(RIGHT(E3811,LEN(E3811)-FIND("/",E3811)))-(LEFT(E3811,FIND("/",E3811)-1)),(MID(E3811, SEARCH("/",E3811) + 1, SEARCH("/",E3811, SEARCH("/",E3811)+1) - SEARCH("/",E3811) - 1))-(LEFT(E3811,FIND("/",E3811)-1))), "NA"))</f>
        <v/>
      </c>
      <c r="K3811" s="79">
        <f>IF(A3811&lt;&gt;"", IF(ISBLANK(L3811), TODAY(), K3811), "")</f>
        <v/>
      </c>
      <c r="L3811" s="78" t="n"/>
      <c r="M3811" s="78">
        <f>IF(ISBLANK(L3811),"",IF(D3811="Stock",IF(C3811="Buy",L3811*G3811,IF(C3811="Sell",(L3811*G3811)-I3811, X)),IF(C3811="Buy",(L3811*G3811*100)+I3811,IF(C3811="Sell",(L3811*G3811*100)-I3811, X))))</f>
        <v/>
      </c>
      <c r="N3811" s="78">
        <f>IF(ISBLANK(L3811),"",IF(AND(C3811="Sell",D3811="Stock"),M3811,IF(ISBLANK(L3811),"",IF(C3811="Buy",M3811, IF(AND(C3811="Sell",J3811="NA"),(E3811*G3811*100*0.1)+I3811, IF(C3811="Sell",(J3811-L3811)*(100*G3811)+I3811))))))</f>
        <v/>
      </c>
      <c r="O3811" s="75" t="n"/>
      <c r="P3811" s="75" t="n"/>
      <c r="Q3811" s="75">
        <f>IF(ISBLANK(P3811),"",IF(D3811="Stock",P3811*G3811,IF(P3811=0,"0",G3811*P3811*100-(G3811*$AF$14))))</f>
        <v/>
      </c>
      <c r="R3811" s="79">
        <f>IF(P3811&lt;&gt;"", TODAY(), "")</f>
        <v/>
      </c>
      <c r="S3811" s="78">
        <f>IF(AND(K3811&lt;&gt;"", R3811&lt;&gt;""), R3811-K3811, "")</f>
        <v/>
      </c>
      <c r="T3811" s="78" t="n"/>
      <c r="U3811" s="92">
        <f>IF(ISBLANK(P3811),"",IF(C3811="Buy",Q3811-M3811+T3811, IF(C3811="Sell",M3811-Q3811-T3811, X)))</f>
        <v/>
      </c>
      <c r="V3811" s="81">
        <f>IF(ISBLANK(P3811),"",U3811/N3811)</f>
        <v/>
      </c>
      <c r="W3811" s="81">
        <f>IF(ISBLANK(P3811),"",IF(S3811=0,(365/0.5)*V3811,(365/S3811)*V3811))</f>
        <v/>
      </c>
      <c r="X3811" s="75" t="n"/>
      <c r="Y3811" s="77" t="n"/>
      <c r="Z3811" s="77" t="n"/>
      <c r="AA3811" s="75" t="n"/>
      <c r="AB3811" s="75" t="n"/>
      <c r="AC3811" s="6" t="n"/>
      <c r="AD3811" s="75" t="n"/>
      <c r="AE3811" s="75" t="n"/>
      <c r="AF3811" s="75" t="n"/>
    </row>
    <row r="3812" ht="15.75" customHeight="1" s="133">
      <c r="A3812" s="75" t="n"/>
      <c r="B3812" s="75" t="n"/>
      <c r="C3812" s="75" t="n"/>
      <c r="D3812" s="75" t="n"/>
      <c r="E3812" s="76" t="n"/>
      <c r="F3812" s="77" t="n"/>
      <c r="G3812" s="75" t="n"/>
      <c r="H3812" s="75">
        <f>IF(ISBLANK(E3812),"",IF(OR(D3812="Butterfly",D3812="Butterfly ",D3812="Iron Fly", D3812="Iron Fly "),LEN(E3812)-LEN(SUBSTITUTE(E3812,"/",""))+2,LEN(E3812)-LEN(SUBSTITUTE(E3812,"/",""))+1))</f>
        <v/>
      </c>
      <c r="I3812" s="78">
        <f>IF(ISBLANK(G3812),"",IF(D3812="Stock","0",Key!$A$3*H3812*G3812))</f>
        <v/>
      </c>
      <c r="J3812" s="78">
        <f>IF(ISBLANK(E3812),"",IF(ISNUMBER(SEARCH("/",E3812)), IF(LEN(E3812)-LEN(SUBSTITUTE(E3812,"/",""))=1,(RIGHT(E3812,LEN(E3812)-FIND("/",E3812)))-(LEFT(E3812,FIND("/",E3812)-1)),(MID(E3812, SEARCH("/",E3812) + 1, SEARCH("/",E3812, SEARCH("/",E3812)+1) - SEARCH("/",E3812) - 1))-(LEFT(E3812,FIND("/",E3812)-1))), "NA"))</f>
        <v/>
      </c>
      <c r="K3812" s="79">
        <f>IF(A3812&lt;&gt;"", IF(ISBLANK(L3812), TODAY(), K3812), "")</f>
        <v/>
      </c>
      <c r="L3812" s="78" t="n"/>
      <c r="M3812" s="78">
        <f>IF(ISBLANK(L3812),"",IF(D3812="Stock",IF(C3812="Buy",L3812*G3812,IF(C3812="Sell",(L3812*G3812)-I3812, X)),IF(C3812="Buy",(L3812*G3812*100)+I3812,IF(C3812="Sell",(L3812*G3812*100)-I3812, X))))</f>
        <v/>
      </c>
      <c r="N3812" s="78">
        <f>IF(ISBLANK(L3812),"",IF(AND(C3812="Sell",D3812="Stock"),M3812,IF(ISBLANK(L3812),"",IF(C3812="Buy",M3812, IF(AND(C3812="Sell",J3812="NA"),(E3812*G3812*100*0.1)+I3812, IF(C3812="Sell",(J3812-L3812)*(100*G3812)+I3812))))))</f>
        <v/>
      </c>
      <c r="O3812" s="75" t="n"/>
      <c r="P3812" s="75" t="n"/>
      <c r="Q3812" s="75">
        <f>IF(ISBLANK(P3812),"",IF(D3812="Stock",P3812*G3812,IF(P3812=0,"0",G3812*P3812*100-(G3812*$AF$14))))</f>
        <v/>
      </c>
      <c r="R3812" s="79">
        <f>IF(P3812&lt;&gt;"", TODAY(), "")</f>
        <v/>
      </c>
      <c r="S3812" s="78">
        <f>IF(AND(K3812&lt;&gt;"", R3812&lt;&gt;""), R3812-K3812, "")</f>
        <v/>
      </c>
      <c r="T3812" s="78" t="n"/>
      <c r="U3812" s="92">
        <f>IF(ISBLANK(P3812),"",IF(C3812="Buy",Q3812-M3812+T3812, IF(C3812="Sell",M3812-Q3812-T3812, X)))</f>
        <v/>
      </c>
      <c r="V3812" s="81">
        <f>IF(ISBLANK(P3812),"",U3812/N3812)</f>
        <v/>
      </c>
      <c r="W3812" s="81">
        <f>IF(ISBLANK(P3812),"",IF(S3812=0,(365/0.5)*V3812,(365/S3812)*V3812))</f>
        <v/>
      </c>
      <c r="X3812" s="75" t="n"/>
      <c r="Y3812" s="77" t="n"/>
      <c r="Z3812" s="77" t="n"/>
      <c r="AA3812" s="75" t="n"/>
      <c r="AB3812" s="75" t="n"/>
      <c r="AC3812" s="6" t="n"/>
      <c r="AD3812" s="75" t="n"/>
      <c r="AE3812" s="75" t="n"/>
      <c r="AF3812" s="75" t="n"/>
    </row>
    <row r="3813" ht="15.75" customHeight="1" s="133">
      <c r="A3813" s="75" t="n"/>
      <c r="B3813" s="75" t="n"/>
      <c r="C3813" s="75" t="n"/>
      <c r="D3813" s="75" t="n"/>
      <c r="E3813" s="76" t="n"/>
      <c r="F3813" s="77" t="n"/>
      <c r="G3813" s="75" t="n"/>
      <c r="H3813" s="75">
        <f>IF(ISBLANK(E3813),"",IF(OR(D3813="Butterfly",D3813="Butterfly ",D3813="Iron Fly", D3813="Iron Fly "),LEN(E3813)-LEN(SUBSTITUTE(E3813,"/",""))+2,LEN(E3813)-LEN(SUBSTITUTE(E3813,"/",""))+1))</f>
        <v/>
      </c>
      <c r="I3813" s="78">
        <f>IF(ISBLANK(G3813),"",IF(D3813="Stock","0",Key!$A$3*H3813*G3813))</f>
        <v/>
      </c>
      <c r="J3813" s="78">
        <f>IF(ISBLANK(E3813),"",IF(ISNUMBER(SEARCH("/",E3813)), IF(LEN(E3813)-LEN(SUBSTITUTE(E3813,"/",""))=1,(RIGHT(E3813,LEN(E3813)-FIND("/",E3813)))-(LEFT(E3813,FIND("/",E3813)-1)),(MID(E3813, SEARCH("/",E3813) + 1, SEARCH("/",E3813, SEARCH("/",E3813)+1) - SEARCH("/",E3813) - 1))-(LEFT(E3813,FIND("/",E3813)-1))), "NA"))</f>
        <v/>
      </c>
      <c r="K3813" s="79">
        <f>IF(A3813&lt;&gt;"", IF(ISBLANK(L3813), TODAY(), K3813), "")</f>
        <v/>
      </c>
      <c r="L3813" s="78" t="n"/>
      <c r="M3813" s="78">
        <f>IF(ISBLANK(L3813),"",IF(D3813="Stock",IF(C3813="Buy",L3813*G3813,IF(C3813="Sell",(L3813*G3813)-I3813, X)),IF(C3813="Buy",(L3813*G3813*100)+I3813,IF(C3813="Sell",(L3813*G3813*100)-I3813, X))))</f>
        <v/>
      </c>
      <c r="N3813" s="78">
        <f>IF(ISBLANK(L3813),"",IF(AND(C3813="Sell",D3813="Stock"),M3813,IF(ISBLANK(L3813),"",IF(C3813="Buy",M3813, IF(AND(C3813="Sell",J3813="NA"),(E3813*G3813*100*0.1)+I3813, IF(C3813="Sell",(J3813-L3813)*(100*G3813)+I3813))))))</f>
        <v/>
      </c>
      <c r="O3813" s="75" t="n"/>
      <c r="P3813" s="75" t="n"/>
      <c r="Q3813" s="75">
        <f>IF(ISBLANK(P3813),"",IF(D3813="Stock",P3813*G3813,IF(P3813=0,"0",G3813*P3813*100-(G3813*$AF$14))))</f>
        <v/>
      </c>
      <c r="R3813" s="79">
        <f>IF(P3813&lt;&gt;"", TODAY(), "")</f>
        <v/>
      </c>
      <c r="S3813" s="78">
        <f>IF(AND(K3813&lt;&gt;"", R3813&lt;&gt;""), R3813-K3813, "")</f>
        <v/>
      </c>
      <c r="T3813" s="78" t="n"/>
      <c r="U3813" s="92">
        <f>IF(ISBLANK(P3813),"",IF(C3813="Buy",Q3813-M3813+T3813, IF(C3813="Sell",M3813-Q3813-T3813, X)))</f>
        <v/>
      </c>
      <c r="V3813" s="81">
        <f>IF(ISBLANK(P3813),"",U3813/N3813)</f>
        <v/>
      </c>
      <c r="W3813" s="81">
        <f>IF(ISBLANK(P3813),"",IF(S3813=0,(365/0.5)*V3813,(365/S3813)*V3813))</f>
        <v/>
      </c>
      <c r="X3813" s="75" t="n"/>
      <c r="Y3813" s="77" t="n"/>
      <c r="Z3813" s="77" t="n"/>
      <c r="AA3813" s="75" t="n"/>
      <c r="AB3813" s="75" t="n"/>
      <c r="AC3813" s="6" t="n"/>
      <c r="AD3813" s="75" t="n"/>
      <c r="AE3813" s="75" t="n"/>
      <c r="AF3813" s="75" t="n"/>
    </row>
    <row r="3814" ht="15.75" customHeight="1" s="133">
      <c r="A3814" s="75" t="n"/>
      <c r="B3814" s="75" t="n"/>
      <c r="C3814" s="75" t="n"/>
      <c r="D3814" s="75" t="n"/>
      <c r="E3814" s="76" t="n"/>
      <c r="F3814" s="77" t="n"/>
      <c r="G3814" s="75" t="n"/>
      <c r="H3814" s="75">
        <f>IF(ISBLANK(E3814),"",IF(OR(D3814="Butterfly",D3814="Butterfly ",D3814="Iron Fly", D3814="Iron Fly "),LEN(E3814)-LEN(SUBSTITUTE(E3814,"/",""))+2,LEN(E3814)-LEN(SUBSTITUTE(E3814,"/",""))+1))</f>
        <v/>
      </c>
      <c r="I3814" s="78">
        <f>IF(ISBLANK(G3814),"",IF(D3814="Stock","0",Key!$A$3*H3814*G3814))</f>
        <v/>
      </c>
      <c r="J3814" s="78">
        <f>IF(ISBLANK(E3814),"",IF(ISNUMBER(SEARCH("/",E3814)), IF(LEN(E3814)-LEN(SUBSTITUTE(E3814,"/",""))=1,(RIGHT(E3814,LEN(E3814)-FIND("/",E3814)))-(LEFT(E3814,FIND("/",E3814)-1)),(MID(E3814, SEARCH("/",E3814) + 1, SEARCH("/",E3814, SEARCH("/",E3814)+1) - SEARCH("/",E3814) - 1))-(LEFT(E3814,FIND("/",E3814)-1))), "NA"))</f>
        <v/>
      </c>
      <c r="K3814" s="79">
        <f>IF(A3814&lt;&gt;"", IF(ISBLANK(L3814), TODAY(), K3814), "")</f>
        <v/>
      </c>
      <c r="L3814" s="78" t="n"/>
      <c r="M3814" s="78">
        <f>IF(ISBLANK(L3814),"",IF(D3814="Stock",IF(C3814="Buy",L3814*G3814,IF(C3814="Sell",(L3814*G3814)-I3814, X)),IF(C3814="Buy",(L3814*G3814*100)+I3814,IF(C3814="Sell",(L3814*G3814*100)-I3814, X))))</f>
        <v/>
      </c>
      <c r="N3814" s="78">
        <f>IF(ISBLANK(L3814),"",IF(AND(C3814="Sell",D3814="Stock"),M3814,IF(ISBLANK(L3814),"",IF(C3814="Buy",M3814, IF(AND(C3814="Sell",J3814="NA"),(E3814*G3814*100*0.1)+I3814, IF(C3814="Sell",(J3814-L3814)*(100*G3814)+I3814))))))</f>
        <v/>
      </c>
      <c r="O3814" s="75" t="n"/>
      <c r="P3814" s="75" t="n"/>
      <c r="Q3814" s="75">
        <f>IF(ISBLANK(P3814),"",IF(D3814="Stock",P3814*G3814,IF(P3814=0,"0",G3814*P3814*100-(G3814*$AF$14))))</f>
        <v/>
      </c>
      <c r="R3814" s="79">
        <f>IF(P3814&lt;&gt;"", TODAY(), "")</f>
        <v/>
      </c>
      <c r="S3814" s="78">
        <f>IF(AND(K3814&lt;&gt;"", R3814&lt;&gt;""), R3814-K3814, "")</f>
        <v/>
      </c>
      <c r="T3814" s="78" t="n"/>
      <c r="U3814" s="92">
        <f>IF(ISBLANK(P3814),"",IF(C3814="Buy",Q3814-M3814+T3814, IF(C3814="Sell",M3814-Q3814-T3814, X)))</f>
        <v/>
      </c>
      <c r="V3814" s="81">
        <f>IF(ISBLANK(P3814),"",U3814/N3814)</f>
        <v/>
      </c>
      <c r="W3814" s="81">
        <f>IF(ISBLANK(P3814),"",IF(S3814=0,(365/0.5)*V3814,(365/S3814)*V3814))</f>
        <v/>
      </c>
      <c r="X3814" s="75" t="n"/>
      <c r="Y3814" s="77" t="n"/>
      <c r="Z3814" s="77" t="n"/>
      <c r="AA3814" s="75" t="n"/>
      <c r="AB3814" s="75" t="n"/>
      <c r="AC3814" s="6" t="n"/>
      <c r="AD3814" s="75" t="n"/>
      <c r="AE3814" s="75" t="n"/>
      <c r="AF3814" s="75" t="n"/>
    </row>
    <row r="3815" ht="15.75" customHeight="1" s="133">
      <c r="A3815" s="75" t="n"/>
      <c r="B3815" s="75" t="n"/>
      <c r="C3815" s="75" t="n"/>
      <c r="D3815" s="75" t="n"/>
      <c r="E3815" s="76" t="n"/>
      <c r="F3815" s="77" t="n"/>
      <c r="G3815" s="75" t="n"/>
      <c r="H3815" s="75">
        <f>IF(ISBLANK(E3815),"",IF(OR(D3815="Butterfly",D3815="Butterfly ",D3815="Iron Fly", D3815="Iron Fly "),LEN(E3815)-LEN(SUBSTITUTE(E3815,"/",""))+2,LEN(E3815)-LEN(SUBSTITUTE(E3815,"/",""))+1))</f>
        <v/>
      </c>
      <c r="I3815" s="78">
        <f>IF(ISBLANK(G3815),"",IF(D3815="Stock","0",Key!$A$3*H3815*G3815))</f>
        <v/>
      </c>
      <c r="J3815" s="78">
        <f>IF(ISBLANK(E3815),"",IF(ISNUMBER(SEARCH("/",E3815)), IF(LEN(E3815)-LEN(SUBSTITUTE(E3815,"/",""))=1,(RIGHT(E3815,LEN(E3815)-FIND("/",E3815)))-(LEFT(E3815,FIND("/",E3815)-1)),(MID(E3815, SEARCH("/",E3815) + 1, SEARCH("/",E3815, SEARCH("/",E3815)+1) - SEARCH("/",E3815) - 1))-(LEFT(E3815,FIND("/",E3815)-1))), "NA"))</f>
        <v/>
      </c>
      <c r="K3815" s="79">
        <f>IF(A3815&lt;&gt;"", IF(ISBLANK(L3815), TODAY(), K3815), "")</f>
        <v/>
      </c>
      <c r="L3815" s="78" t="n"/>
      <c r="M3815" s="78">
        <f>IF(ISBLANK(L3815),"",IF(D3815="Stock",IF(C3815="Buy",L3815*G3815,IF(C3815="Sell",(L3815*G3815)-I3815, X)),IF(C3815="Buy",(L3815*G3815*100)+I3815,IF(C3815="Sell",(L3815*G3815*100)-I3815, X))))</f>
        <v/>
      </c>
      <c r="N3815" s="78">
        <f>IF(ISBLANK(L3815),"",IF(AND(C3815="Sell",D3815="Stock"),M3815,IF(ISBLANK(L3815),"",IF(C3815="Buy",M3815, IF(AND(C3815="Sell",J3815="NA"),(E3815*G3815*100*0.1)+I3815, IF(C3815="Sell",(J3815-L3815)*(100*G3815)+I3815))))))</f>
        <v/>
      </c>
      <c r="O3815" s="75" t="n"/>
      <c r="P3815" s="75" t="n"/>
      <c r="Q3815" s="75">
        <f>IF(ISBLANK(P3815),"",IF(D3815="Stock",P3815*G3815,IF(P3815=0,"0",G3815*P3815*100-(G3815*$AF$14))))</f>
        <v/>
      </c>
      <c r="R3815" s="79">
        <f>IF(P3815&lt;&gt;"", TODAY(), "")</f>
        <v/>
      </c>
      <c r="S3815" s="78">
        <f>IF(AND(K3815&lt;&gt;"", R3815&lt;&gt;""), R3815-K3815, "")</f>
        <v/>
      </c>
      <c r="T3815" s="78" t="n"/>
      <c r="U3815" s="92">
        <f>IF(ISBLANK(P3815),"",IF(C3815="Buy",Q3815-M3815+T3815, IF(C3815="Sell",M3815-Q3815-T3815, X)))</f>
        <v/>
      </c>
      <c r="V3815" s="81">
        <f>IF(ISBLANK(P3815),"",U3815/N3815)</f>
        <v/>
      </c>
      <c r="W3815" s="81">
        <f>IF(ISBLANK(P3815),"",IF(S3815=0,(365/0.5)*V3815,(365/S3815)*V3815))</f>
        <v/>
      </c>
      <c r="X3815" s="75" t="n"/>
      <c r="Y3815" s="77" t="n"/>
      <c r="Z3815" s="77" t="n"/>
      <c r="AA3815" s="75" t="n"/>
      <c r="AB3815" s="75" t="n"/>
      <c r="AC3815" s="6" t="n"/>
      <c r="AD3815" s="75" t="n"/>
      <c r="AE3815" s="75" t="n"/>
      <c r="AF3815" s="75" t="n"/>
    </row>
    <row r="3816" ht="15.75" customHeight="1" s="133">
      <c r="A3816" s="75" t="n"/>
      <c r="B3816" s="75" t="n"/>
      <c r="C3816" s="75" t="n"/>
      <c r="D3816" s="75" t="n"/>
      <c r="E3816" s="76" t="n"/>
      <c r="F3816" s="77" t="n"/>
      <c r="G3816" s="75" t="n"/>
      <c r="H3816" s="75">
        <f>IF(ISBLANK(E3816),"",IF(OR(D3816="Butterfly",D3816="Butterfly ",D3816="Iron Fly", D3816="Iron Fly "),LEN(E3816)-LEN(SUBSTITUTE(E3816,"/",""))+2,LEN(E3816)-LEN(SUBSTITUTE(E3816,"/",""))+1))</f>
        <v/>
      </c>
      <c r="I3816" s="78">
        <f>IF(ISBLANK(G3816),"",IF(D3816="Stock","0",Key!$A$3*H3816*G3816))</f>
        <v/>
      </c>
      <c r="J3816" s="78">
        <f>IF(ISBLANK(E3816),"",IF(ISNUMBER(SEARCH("/",E3816)), IF(LEN(E3816)-LEN(SUBSTITUTE(E3816,"/",""))=1,(RIGHT(E3816,LEN(E3816)-FIND("/",E3816)))-(LEFT(E3816,FIND("/",E3816)-1)),(MID(E3816, SEARCH("/",E3816) + 1, SEARCH("/",E3816, SEARCH("/",E3816)+1) - SEARCH("/",E3816) - 1))-(LEFT(E3816,FIND("/",E3816)-1))), "NA"))</f>
        <v/>
      </c>
      <c r="K3816" s="79">
        <f>IF(A3816&lt;&gt;"", IF(ISBLANK(L3816), TODAY(), K3816), "")</f>
        <v/>
      </c>
      <c r="L3816" s="78" t="n"/>
      <c r="M3816" s="78">
        <f>IF(ISBLANK(L3816),"",IF(D3816="Stock",IF(C3816="Buy",L3816*G3816,IF(C3816="Sell",(L3816*G3816)-I3816, X)),IF(C3816="Buy",(L3816*G3816*100)+I3816,IF(C3816="Sell",(L3816*G3816*100)-I3816, X))))</f>
        <v/>
      </c>
      <c r="N3816" s="78">
        <f>IF(ISBLANK(L3816),"",IF(AND(C3816="Sell",D3816="Stock"),M3816,IF(ISBLANK(L3816),"",IF(C3816="Buy",M3816, IF(AND(C3816="Sell",J3816="NA"),(E3816*G3816*100*0.1)+I3816, IF(C3816="Sell",(J3816-L3816)*(100*G3816)+I3816))))))</f>
        <v/>
      </c>
      <c r="O3816" s="75" t="n"/>
      <c r="P3816" s="75" t="n"/>
      <c r="Q3816" s="75">
        <f>IF(ISBLANK(P3816),"",IF(D3816="Stock",P3816*G3816,IF(P3816=0,"0",G3816*P3816*100-(G3816*$AF$14))))</f>
        <v/>
      </c>
      <c r="R3816" s="79">
        <f>IF(P3816&lt;&gt;"", TODAY(), "")</f>
        <v/>
      </c>
      <c r="S3816" s="78">
        <f>IF(AND(K3816&lt;&gt;"", R3816&lt;&gt;""), R3816-K3816, "")</f>
        <v/>
      </c>
      <c r="T3816" s="78" t="n"/>
      <c r="U3816" s="92">
        <f>IF(ISBLANK(P3816),"",IF(C3816="Buy",Q3816-M3816+T3816, IF(C3816="Sell",M3816-Q3816-T3816, X)))</f>
        <v/>
      </c>
      <c r="V3816" s="81">
        <f>IF(ISBLANK(P3816),"",U3816/N3816)</f>
        <v/>
      </c>
      <c r="W3816" s="81">
        <f>IF(ISBLANK(P3816),"",IF(S3816=0,(365/0.5)*V3816,(365/S3816)*V3816))</f>
        <v/>
      </c>
      <c r="X3816" s="75" t="n"/>
      <c r="Y3816" s="77" t="n"/>
      <c r="Z3816" s="77" t="n"/>
      <c r="AA3816" s="75" t="n"/>
      <c r="AB3816" s="75" t="n"/>
      <c r="AC3816" s="6" t="n"/>
      <c r="AD3816" s="75" t="n"/>
      <c r="AE3816" s="75" t="n"/>
      <c r="AF3816" s="75" t="n"/>
    </row>
    <row r="3817" ht="15.75" customHeight="1" s="133">
      <c r="A3817" s="75" t="n"/>
      <c r="B3817" s="75" t="n"/>
      <c r="C3817" s="75" t="n"/>
      <c r="D3817" s="75" t="n"/>
      <c r="E3817" s="76" t="n"/>
      <c r="F3817" s="77" t="n"/>
      <c r="G3817" s="75" t="n"/>
      <c r="H3817" s="75">
        <f>IF(ISBLANK(E3817),"",IF(OR(D3817="Butterfly",D3817="Butterfly ",D3817="Iron Fly", D3817="Iron Fly "),LEN(E3817)-LEN(SUBSTITUTE(E3817,"/",""))+2,LEN(E3817)-LEN(SUBSTITUTE(E3817,"/",""))+1))</f>
        <v/>
      </c>
      <c r="I3817" s="78">
        <f>IF(ISBLANK(G3817),"",IF(D3817="Stock","0",Key!$A$3*H3817*G3817))</f>
        <v/>
      </c>
      <c r="J3817" s="78">
        <f>IF(ISBLANK(E3817),"",IF(ISNUMBER(SEARCH("/",E3817)), IF(LEN(E3817)-LEN(SUBSTITUTE(E3817,"/",""))=1,(RIGHT(E3817,LEN(E3817)-FIND("/",E3817)))-(LEFT(E3817,FIND("/",E3817)-1)),(MID(E3817, SEARCH("/",E3817) + 1, SEARCH("/",E3817, SEARCH("/",E3817)+1) - SEARCH("/",E3817) - 1))-(LEFT(E3817,FIND("/",E3817)-1))), "NA"))</f>
        <v/>
      </c>
      <c r="K3817" s="79">
        <f>IF(A3817&lt;&gt;"", IF(ISBLANK(L3817), TODAY(), K3817), "")</f>
        <v/>
      </c>
      <c r="L3817" s="78" t="n"/>
      <c r="M3817" s="78">
        <f>IF(ISBLANK(L3817),"",IF(D3817="Stock",IF(C3817="Buy",L3817*G3817,IF(C3817="Sell",(L3817*G3817)-I3817, X)),IF(C3817="Buy",(L3817*G3817*100)+I3817,IF(C3817="Sell",(L3817*G3817*100)-I3817, X))))</f>
        <v/>
      </c>
      <c r="N3817" s="78">
        <f>IF(ISBLANK(L3817),"",IF(AND(C3817="Sell",D3817="Stock"),M3817,IF(ISBLANK(L3817),"",IF(C3817="Buy",M3817, IF(AND(C3817="Sell",J3817="NA"),(E3817*G3817*100*0.1)+I3817, IF(C3817="Sell",(J3817-L3817)*(100*G3817)+I3817))))))</f>
        <v/>
      </c>
      <c r="O3817" s="75" t="n"/>
      <c r="P3817" s="75" t="n"/>
      <c r="Q3817" s="75">
        <f>IF(ISBLANK(P3817),"",IF(D3817="Stock",P3817*G3817,IF(P3817=0,"0",G3817*P3817*100-(G3817*$AF$14))))</f>
        <v/>
      </c>
      <c r="R3817" s="79">
        <f>IF(P3817&lt;&gt;"", TODAY(), "")</f>
        <v/>
      </c>
      <c r="S3817" s="78">
        <f>IF(AND(K3817&lt;&gt;"", R3817&lt;&gt;""), R3817-K3817, "")</f>
        <v/>
      </c>
      <c r="T3817" s="78" t="n"/>
      <c r="U3817" s="92">
        <f>IF(ISBLANK(P3817),"",IF(C3817="Buy",Q3817-M3817+T3817, IF(C3817="Sell",M3817-Q3817-T3817, X)))</f>
        <v/>
      </c>
      <c r="V3817" s="81">
        <f>IF(ISBLANK(P3817),"",U3817/N3817)</f>
        <v/>
      </c>
      <c r="W3817" s="81">
        <f>IF(ISBLANK(P3817),"",IF(S3817=0,(365/0.5)*V3817,(365/S3817)*V3817))</f>
        <v/>
      </c>
      <c r="X3817" s="75" t="n"/>
      <c r="Y3817" s="77" t="n"/>
      <c r="Z3817" s="77" t="n"/>
      <c r="AA3817" s="75" t="n"/>
      <c r="AB3817" s="75" t="n"/>
      <c r="AC3817" s="6" t="n"/>
      <c r="AD3817" s="75" t="n"/>
      <c r="AE3817" s="75" t="n"/>
      <c r="AF3817" s="75" t="n"/>
    </row>
    <row r="3818" ht="15.75" customHeight="1" s="133">
      <c r="A3818" s="75" t="n"/>
      <c r="B3818" s="75" t="n"/>
      <c r="C3818" s="75" t="n"/>
      <c r="D3818" s="75" t="n"/>
      <c r="E3818" s="76" t="n"/>
      <c r="F3818" s="77" t="n"/>
      <c r="G3818" s="75" t="n"/>
      <c r="H3818" s="75">
        <f>IF(ISBLANK(E3818),"",IF(OR(D3818="Butterfly",D3818="Butterfly ",D3818="Iron Fly", D3818="Iron Fly "),LEN(E3818)-LEN(SUBSTITUTE(E3818,"/",""))+2,LEN(E3818)-LEN(SUBSTITUTE(E3818,"/",""))+1))</f>
        <v/>
      </c>
      <c r="I3818" s="78">
        <f>IF(ISBLANK(G3818),"",IF(D3818="Stock","0",Key!$A$3*H3818*G3818))</f>
        <v/>
      </c>
      <c r="J3818" s="78">
        <f>IF(ISBLANK(E3818),"",IF(ISNUMBER(SEARCH("/",E3818)), IF(LEN(E3818)-LEN(SUBSTITUTE(E3818,"/",""))=1,(RIGHT(E3818,LEN(E3818)-FIND("/",E3818)))-(LEFT(E3818,FIND("/",E3818)-1)),(MID(E3818, SEARCH("/",E3818) + 1, SEARCH("/",E3818, SEARCH("/",E3818)+1) - SEARCH("/",E3818) - 1))-(LEFT(E3818,FIND("/",E3818)-1))), "NA"))</f>
        <v/>
      </c>
      <c r="K3818" s="79">
        <f>IF(A3818&lt;&gt;"", IF(ISBLANK(L3818), TODAY(), K3818), "")</f>
        <v/>
      </c>
      <c r="L3818" s="78" t="n"/>
      <c r="M3818" s="78">
        <f>IF(ISBLANK(L3818),"",IF(D3818="Stock",IF(C3818="Buy",L3818*G3818,IF(C3818="Sell",(L3818*G3818)-I3818, X)),IF(C3818="Buy",(L3818*G3818*100)+I3818,IF(C3818="Sell",(L3818*G3818*100)-I3818, X))))</f>
        <v/>
      </c>
      <c r="N3818" s="78">
        <f>IF(ISBLANK(L3818),"",IF(AND(C3818="Sell",D3818="Stock"),M3818,IF(ISBLANK(L3818),"",IF(C3818="Buy",M3818, IF(AND(C3818="Sell",J3818="NA"),(E3818*G3818*100*0.1)+I3818, IF(C3818="Sell",(J3818-L3818)*(100*G3818)+I3818))))))</f>
        <v/>
      </c>
      <c r="O3818" s="75" t="n"/>
      <c r="P3818" s="75" t="n"/>
      <c r="Q3818" s="75">
        <f>IF(ISBLANK(P3818),"",IF(D3818="Stock",P3818*G3818,IF(P3818=0,"0",G3818*P3818*100-(G3818*$AF$14))))</f>
        <v/>
      </c>
      <c r="R3818" s="79">
        <f>IF(P3818&lt;&gt;"", TODAY(), "")</f>
        <v/>
      </c>
      <c r="S3818" s="78">
        <f>IF(AND(K3818&lt;&gt;"", R3818&lt;&gt;""), R3818-K3818, "")</f>
        <v/>
      </c>
      <c r="T3818" s="78" t="n"/>
      <c r="U3818" s="92">
        <f>IF(ISBLANK(P3818),"",IF(C3818="Buy",Q3818-M3818+T3818, IF(C3818="Sell",M3818-Q3818-T3818, X)))</f>
        <v/>
      </c>
      <c r="V3818" s="81">
        <f>IF(ISBLANK(P3818),"",U3818/N3818)</f>
        <v/>
      </c>
      <c r="W3818" s="81">
        <f>IF(ISBLANK(P3818),"",IF(S3818=0,(365/0.5)*V3818,(365/S3818)*V3818))</f>
        <v/>
      </c>
      <c r="X3818" s="75" t="n"/>
      <c r="Y3818" s="77" t="n"/>
      <c r="Z3818" s="77" t="n"/>
      <c r="AA3818" s="75" t="n"/>
      <c r="AB3818" s="75" t="n"/>
      <c r="AC3818" s="6" t="n"/>
      <c r="AD3818" s="75" t="n"/>
      <c r="AE3818" s="75" t="n"/>
      <c r="AF3818" s="75" t="n"/>
    </row>
    <row r="3819" ht="15.75" customHeight="1" s="133">
      <c r="A3819" s="75" t="n"/>
      <c r="B3819" s="75" t="n"/>
      <c r="C3819" s="75" t="n"/>
      <c r="D3819" s="75" t="n"/>
      <c r="E3819" s="76" t="n"/>
      <c r="F3819" s="77" t="n"/>
      <c r="G3819" s="75" t="n"/>
      <c r="H3819" s="75">
        <f>IF(ISBLANK(E3819),"",IF(OR(D3819="Butterfly",D3819="Butterfly ",D3819="Iron Fly", D3819="Iron Fly "),LEN(E3819)-LEN(SUBSTITUTE(E3819,"/",""))+2,LEN(E3819)-LEN(SUBSTITUTE(E3819,"/",""))+1))</f>
        <v/>
      </c>
      <c r="I3819" s="78">
        <f>IF(ISBLANK(G3819),"",IF(D3819="Stock","0",Key!$A$3*H3819*G3819))</f>
        <v/>
      </c>
      <c r="J3819" s="78">
        <f>IF(ISBLANK(E3819),"",IF(ISNUMBER(SEARCH("/",E3819)), IF(LEN(E3819)-LEN(SUBSTITUTE(E3819,"/",""))=1,(RIGHT(E3819,LEN(E3819)-FIND("/",E3819)))-(LEFT(E3819,FIND("/",E3819)-1)),(MID(E3819, SEARCH("/",E3819) + 1, SEARCH("/",E3819, SEARCH("/",E3819)+1) - SEARCH("/",E3819) - 1))-(LEFT(E3819,FIND("/",E3819)-1))), "NA"))</f>
        <v/>
      </c>
      <c r="K3819" s="79">
        <f>IF(A3819&lt;&gt;"", IF(ISBLANK(L3819), TODAY(), K3819), "")</f>
        <v/>
      </c>
      <c r="L3819" s="78" t="n"/>
      <c r="M3819" s="78">
        <f>IF(ISBLANK(L3819),"",IF(D3819="Stock",IF(C3819="Buy",L3819*G3819,IF(C3819="Sell",(L3819*G3819)-I3819, X)),IF(C3819="Buy",(L3819*G3819*100)+I3819,IF(C3819="Sell",(L3819*G3819*100)-I3819, X))))</f>
        <v/>
      </c>
      <c r="N3819" s="78">
        <f>IF(ISBLANK(L3819),"",IF(AND(C3819="Sell",D3819="Stock"),M3819,IF(ISBLANK(L3819),"",IF(C3819="Buy",M3819, IF(AND(C3819="Sell",J3819="NA"),(E3819*G3819*100*0.1)+I3819, IF(C3819="Sell",(J3819-L3819)*(100*G3819)+I3819))))))</f>
        <v/>
      </c>
      <c r="O3819" s="75" t="n"/>
      <c r="P3819" s="75" t="n"/>
      <c r="Q3819" s="75">
        <f>IF(ISBLANK(P3819),"",IF(D3819="Stock",P3819*G3819,IF(P3819=0,"0",G3819*P3819*100-(G3819*$AF$14))))</f>
        <v/>
      </c>
      <c r="R3819" s="79">
        <f>IF(P3819&lt;&gt;"", TODAY(), "")</f>
        <v/>
      </c>
      <c r="S3819" s="78">
        <f>IF(AND(K3819&lt;&gt;"", R3819&lt;&gt;""), R3819-K3819, "")</f>
        <v/>
      </c>
      <c r="T3819" s="78" t="n"/>
      <c r="U3819" s="92">
        <f>IF(ISBLANK(P3819),"",IF(C3819="Buy",Q3819-M3819+T3819, IF(C3819="Sell",M3819-Q3819-T3819, X)))</f>
        <v/>
      </c>
      <c r="V3819" s="81">
        <f>IF(ISBLANK(P3819),"",U3819/N3819)</f>
        <v/>
      </c>
      <c r="W3819" s="81">
        <f>IF(ISBLANK(P3819),"",IF(S3819=0,(365/0.5)*V3819,(365/S3819)*V3819))</f>
        <v/>
      </c>
      <c r="X3819" s="75" t="n"/>
      <c r="Y3819" s="77" t="n"/>
      <c r="Z3819" s="77" t="n"/>
      <c r="AA3819" s="75" t="n"/>
      <c r="AB3819" s="75" t="n"/>
      <c r="AC3819" s="6" t="n"/>
      <c r="AD3819" s="75" t="n"/>
      <c r="AE3819" s="75" t="n"/>
      <c r="AF3819" s="75" t="n"/>
    </row>
    <row r="3820" ht="15.75" customHeight="1" s="133">
      <c r="A3820" s="75" t="n"/>
      <c r="B3820" s="75" t="n"/>
      <c r="C3820" s="75" t="n"/>
      <c r="D3820" s="75" t="n"/>
      <c r="E3820" s="76" t="n"/>
      <c r="F3820" s="77" t="n"/>
      <c r="G3820" s="75" t="n"/>
      <c r="H3820" s="75">
        <f>IF(ISBLANK(E3820),"",IF(OR(D3820="Butterfly",D3820="Butterfly ",D3820="Iron Fly", D3820="Iron Fly "),LEN(E3820)-LEN(SUBSTITUTE(E3820,"/",""))+2,LEN(E3820)-LEN(SUBSTITUTE(E3820,"/",""))+1))</f>
        <v/>
      </c>
      <c r="I3820" s="78">
        <f>IF(ISBLANK(G3820),"",IF(D3820="Stock","0",Key!$A$3*H3820*G3820))</f>
        <v/>
      </c>
      <c r="J3820" s="78">
        <f>IF(ISBLANK(E3820),"",IF(ISNUMBER(SEARCH("/",E3820)), IF(LEN(E3820)-LEN(SUBSTITUTE(E3820,"/",""))=1,(RIGHT(E3820,LEN(E3820)-FIND("/",E3820)))-(LEFT(E3820,FIND("/",E3820)-1)),(MID(E3820, SEARCH("/",E3820) + 1, SEARCH("/",E3820, SEARCH("/",E3820)+1) - SEARCH("/",E3820) - 1))-(LEFT(E3820,FIND("/",E3820)-1))), "NA"))</f>
        <v/>
      </c>
      <c r="K3820" s="79">
        <f>IF(A3820&lt;&gt;"", IF(ISBLANK(L3820), TODAY(), K3820), "")</f>
        <v/>
      </c>
      <c r="L3820" s="78" t="n"/>
      <c r="M3820" s="78">
        <f>IF(ISBLANK(L3820),"",IF(D3820="Stock",IF(C3820="Buy",L3820*G3820,IF(C3820="Sell",(L3820*G3820)-I3820, X)),IF(C3820="Buy",(L3820*G3820*100)+I3820,IF(C3820="Sell",(L3820*G3820*100)-I3820, X))))</f>
        <v/>
      </c>
      <c r="N3820" s="78">
        <f>IF(ISBLANK(L3820),"",IF(AND(C3820="Sell",D3820="Stock"),M3820,IF(ISBLANK(L3820),"",IF(C3820="Buy",M3820, IF(AND(C3820="Sell",J3820="NA"),(E3820*G3820*100*0.1)+I3820, IF(C3820="Sell",(J3820-L3820)*(100*G3820)+I3820))))))</f>
        <v/>
      </c>
      <c r="O3820" s="75" t="n"/>
      <c r="P3820" s="75" t="n"/>
      <c r="Q3820" s="75">
        <f>IF(ISBLANK(P3820),"",IF(D3820="Stock",P3820*G3820,IF(P3820=0,"0",G3820*P3820*100-(G3820*$AF$14))))</f>
        <v/>
      </c>
      <c r="R3820" s="79">
        <f>IF(P3820&lt;&gt;"", TODAY(), "")</f>
        <v/>
      </c>
      <c r="S3820" s="78">
        <f>IF(AND(K3820&lt;&gt;"", R3820&lt;&gt;""), R3820-K3820, "")</f>
        <v/>
      </c>
      <c r="T3820" s="78" t="n"/>
      <c r="U3820" s="92">
        <f>IF(ISBLANK(P3820),"",IF(C3820="Buy",Q3820-M3820+T3820, IF(C3820="Sell",M3820-Q3820-T3820, X)))</f>
        <v/>
      </c>
      <c r="V3820" s="81">
        <f>IF(ISBLANK(P3820),"",U3820/N3820)</f>
        <v/>
      </c>
      <c r="W3820" s="81">
        <f>IF(ISBLANK(P3820),"",IF(S3820=0,(365/0.5)*V3820,(365/S3820)*V3820))</f>
        <v/>
      </c>
      <c r="X3820" s="75" t="n"/>
      <c r="Y3820" s="77" t="n"/>
      <c r="Z3820" s="77" t="n"/>
      <c r="AA3820" s="75" t="n"/>
      <c r="AB3820" s="75" t="n"/>
      <c r="AC3820" s="6" t="n"/>
      <c r="AD3820" s="75" t="n"/>
      <c r="AE3820" s="75" t="n"/>
      <c r="AF3820" s="75" t="n"/>
    </row>
    <row r="3821" ht="15.75" customHeight="1" s="133">
      <c r="A3821" s="75" t="n"/>
      <c r="B3821" s="75" t="n"/>
      <c r="C3821" s="75" t="n"/>
      <c r="D3821" s="75" t="n"/>
      <c r="E3821" s="76" t="n"/>
      <c r="F3821" s="77" t="n"/>
      <c r="G3821" s="75" t="n"/>
      <c r="H3821" s="75">
        <f>IF(ISBLANK(E3821),"",IF(OR(D3821="Butterfly",D3821="Butterfly ",D3821="Iron Fly", D3821="Iron Fly "),LEN(E3821)-LEN(SUBSTITUTE(E3821,"/",""))+2,LEN(E3821)-LEN(SUBSTITUTE(E3821,"/",""))+1))</f>
        <v/>
      </c>
      <c r="I3821" s="78">
        <f>IF(ISBLANK(G3821),"",IF(D3821="Stock","0",Key!$A$3*H3821*G3821))</f>
        <v/>
      </c>
      <c r="J3821" s="78">
        <f>IF(ISBLANK(E3821),"",IF(ISNUMBER(SEARCH("/",E3821)), IF(LEN(E3821)-LEN(SUBSTITUTE(E3821,"/",""))=1,(RIGHT(E3821,LEN(E3821)-FIND("/",E3821)))-(LEFT(E3821,FIND("/",E3821)-1)),(MID(E3821, SEARCH("/",E3821) + 1, SEARCH("/",E3821, SEARCH("/",E3821)+1) - SEARCH("/",E3821) - 1))-(LEFT(E3821,FIND("/",E3821)-1))), "NA"))</f>
        <v/>
      </c>
      <c r="K3821" s="79">
        <f>IF(A3821&lt;&gt;"", IF(ISBLANK(L3821), TODAY(), K3821), "")</f>
        <v/>
      </c>
      <c r="L3821" s="78" t="n"/>
      <c r="M3821" s="78">
        <f>IF(ISBLANK(L3821),"",IF(D3821="Stock",IF(C3821="Buy",L3821*G3821,IF(C3821="Sell",(L3821*G3821)-I3821, X)),IF(C3821="Buy",(L3821*G3821*100)+I3821,IF(C3821="Sell",(L3821*G3821*100)-I3821, X))))</f>
        <v/>
      </c>
      <c r="N3821" s="78">
        <f>IF(ISBLANK(L3821),"",IF(AND(C3821="Sell",D3821="Stock"),M3821,IF(ISBLANK(L3821),"",IF(C3821="Buy",M3821, IF(AND(C3821="Sell",J3821="NA"),(E3821*G3821*100*0.1)+I3821, IF(C3821="Sell",(J3821-L3821)*(100*G3821)+I3821))))))</f>
        <v/>
      </c>
      <c r="O3821" s="75" t="n"/>
      <c r="P3821" s="75" t="n"/>
      <c r="Q3821" s="75">
        <f>IF(ISBLANK(P3821),"",IF(D3821="Stock",P3821*G3821,IF(P3821=0,"0",G3821*P3821*100-(G3821*$AF$14))))</f>
        <v/>
      </c>
      <c r="R3821" s="79">
        <f>IF(P3821&lt;&gt;"", TODAY(), "")</f>
        <v/>
      </c>
      <c r="S3821" s="78">
        <f>IF(AND(K3821&lt;&gt;"", R3821&lt;&gt;""), R3821-K3821, "")</f>
        <v/>
      </c>
      <c r="T3821" s="78" t="n"/>
      <c r="U3821" s="92">
        <f>IF(ISBLANK(P3821),"",IF(C3821="Buy",Q3821-M3821+T3821, IF(C3821="Sell",M3821-Q3821-T3821, X)))</f>
        <v/>
      </c>
      <c r="V3821" s="81">
        <f>IF(ISBLANK(P3821),"",U3821/N3821)</f>
        <v/>
      </c>
      <c r="W3821" s="81">
        <f>IF(ISBLANK(P3821),"",IF(S3821=0,(365/0.5)*V3821,(365/S3821)*V3821))</f>
        <v/>
      </c>
      <c r="X3821" s="75" t="n"/>
      <c r="Y3821" s="77" t="n"/>
      <c r="Z3821" s="77" t="n"/>
      <c r="AA3821" s="75" t="n"/>
      <c r="AB3821" s="75" t="n"/>
      <c r="AC3821" s="6" t="n"/>
      <c r="AD3821" s="75" t="n"/>
      <c r="AE3821" s="75" t="n"/>
      <c r="AF3821" s="75" t="n"/>
    </row>
    <row r="3822" ht="15.75" customHeight="1" s="133">
      <c r="A3822" s="75" t="n"/>
      <c r="B3822" s="75" t="n"/>
      <c r="C3822" s="75" t="n"/>
      <c r="D3822" s="75" t="n"/>
      <c r="E3822" s="76" t="n"/>
      <c r="F3822" s="77" t="n"/>
      <c r="G3822" s="75" t="n"/>
      <c r="H3822" s="75">
        <f>IF(ISBLANK(E3822),"",IF(OR(D3822="Butterfly",D3822="Butterfly ",D3822="Iron Fly", D3822="Iron Fly "),LEN(E3822)-LEN(SUBSTITUTE(E3822,"/",""))+2,LEN(E3822)-LEN(SUBSTITUTE(E3822,"/",""))+1))</f>
        <v/>
      </c>
      <c r="I3822" s="78">
        <f>IF(ISBLANK(G3822),"",IF(D3822="Stock","0",Key!$A$3*H3822*G3822))</f>
        <v/>
      </c>
      <c r="J3822" s="78">
        <f>IF(ISBLANK(E3822),"",IF(ISNUMBER(SEARCH("/",E3822)), IF(LEN(E3822)-LEN(SUBSTITUTE(E3822,"/",""))=1,(RIGHT(E3822,LEN(E3822)-FIND("/",E3822)))-(LEFT(E3822,FIND("/",E3822)-1)),(MID(E3822, SEARCH("/",E3822) + 1, SEARCH("/",E3822, SEARCH("/",E3822)+1) - SEARCH("/",E3822) - 1))-(LEFT(E3822,FIND("/",E3822)-1))), "NA"))</f>
        <v/>
      </c>
      <c r="K3822" s="79">
        <f>IF(A3822&lt;&gt;"", IF(ISBLANK(L3822), TODAY(), K3822), "")</f>
        <v/>
      </c>
      <c r="L3822" s="78" t="n"/>
      <c r="M3822" s="78">
        <f>IF(ISBLANK(L3822),"",IF(D3822="Stock",IF(C3822="Buy",L3822*G3822,IF(C3822="Sell",(L3822*G3822)-I3822, X)),IF(C3822="Buy",(L3822*G3822*100)+I3822,IF(C3822="Sell",(L3822*G3822*100)-I3822, X))))</f>
        <v/>
      </c>
      <c r="N3822" s="78">
        <f>IF(ISBLANK(L3822),"",IF(AND(C3822="Sell",D3822="Stock"),M3822,IF(ISBLANK(L3822),"",IF(C3822="Buy",M3822, IF(AND(C3822="Sell",J3822="NA"),(E3822*G3822*100*0.1)+I3822, IF(C3822="Sell",(J3822-L3822)*(100*G3822)+I3822))))))</f>
        <v/>
      </c>
      <c r="O3822" s="75" t="n"/>
      <c r="P3822" s="75" t="n"/>
      <c r="Q3822" s="75">
        <f>IF(ISBLANK(P3822),"",IF(D3822="Stock",P3822*G3822,IF(P3822=0,"0",G3822*P3822*100-(G3822*$AF$14))))</f>
        <v/>
      </c>
      <c r="R3822" s="79">
        <f>IF(P3822&lt;&gt;"", TODAY(), "")</f>
        <v/>
      </c>
      <c r="S3822" s="78">
        <f>IF(AND(K3822&lt;&gt;"", R3822&lt;&gt;""), R3822-K3822, "")</f>
        <v/>
      </c>
      <c r="T3822" s="78" t="n"/>
      <c r="U3822" s="92">
        <f>IF(ISBLANK(P3822),"",IF(C3822="Buy",Q3822-M3822+T3822, IF(C3822="Sell",M3822-Q3822-T3822, X)))</f>
        <v/>
      </c>
      <c r="V3822" s="81">
        <f>IF(ISBLANK(P3822),"",U3822/N3822)</f>
        <v/>
      </c>
      <c r="W3822" s="81">
        <f>IF(ISBLANK(P3822),"",IF(S3822=0,(365/0.5)*V3822,(365/S3822)*V3822))</f>
        <v/>
      </c>
      <c r="X3822" s="75" t="n"/>
      <c r="Y3822" s="77" t="n"/>
      <c r="Z3822" s="77" t="n"/>
      <c r="AA3822" s="75" t="n"/>
      <c r="AB3822" s="75" t="n"/>
      <c r="AC3822" s="6" t="n"/>
      <c r="AD3822" s="75" t="n"/>
      <c r="AE3822" s="75" t="n"/>
      <c r="AF3822" s="75" t="n"/>
    </row>
    <row r="3823" ht="15.75" customHeight="1" s="133">
      <c r="A3823" s="75" t="n"/>
      <c r="B3823" s="75" t="n"/>
      <c r="C3823" s="75" t="n"/>
      <c r="D3823" s="75" t="n"/>
      <c r="E3823" s="76" t="n"/>
      <c r="F3823" s="77" t="n"/>
      <c r="G3823" s="75" t="n"/>
      <c r="H3823" s="75">
        <f>IF(ISBLANK(E3823),"",IF(OR(D3823="Butterfly",D3823="Butterfly ",D3823="Iron Fly", D3823="Iron Fly "),LEN(E3823)-LEN(SUBSTITUTE(E3823,"/",""))+2,LEN(E3823)-LEN(SUBSTITUTE(E3823,"/",""))+1))</f>
        <v/>
      </c>
      <c r="I3823" s="78">
        <f>IF(ISBLANK(G3823),"",IF(D3823="Stock","0",Key!$A$3*H3823*G3823))</f>
        <v/>
      </c>
      <c r="J3823" s="78">
        <f>IF(ISBLANK(E3823),"",IF(ISNUMBER(SEARCH("/",E3823)), IF(LEN(E3823)-LEN(SUBSTITUTE(E3823,"/",""))=1,(RIGHT(E3823,LEN(E3823)-FIND("/",E3823)))-(LEFT(E3823,FIND("/",E3823)-1)),(MID(E3823, SEARCH("/",E3823) + 1, SEARCH("/",E3823, SEARCH("/",E3823)+1) - SEARCH("/",E3823) - 1))-(LEFT(E3823,FIND("/",E3823)-1))), "NA"))</f>
        <v/>
      </c>
      <c r="K3823" s="79">
        <f>IF(A3823&lt;&gt;"", IF(ISBLANK(L3823), TODAY(), K3823), "")</f>
        <v/>
      </c>
      <c r="L3823" s="78" t="n"/>
      <c r="M3823" s="78">
        <f>IF(ISBLANK(L3823),"",IF(D3823="Stock",IF(C3823="Buy",L3823*G3823,IF(C3823="Sell",(L3823*G3823)-I3823, X)),IF(C3823="Buy",(L3823*G3823*100)+I3823,IF(C3823="Sell",(L3823*G3823*100)-I3823, X))))</f>
        <v/>
      </c>
      <c r="N3823" s="78">
        <f>IF(ISBLANK(L3823),"",IF(AND(C3823="Sell",D3823="Stock"),M3823,IF(ISBLANK(L3823),"",IF(C3823="Buy",M3823, IF(AND(C3823="Sell",J3823="NA"),(E3823*G3823*100*0.1)+I3823, IF(C3823="Sell",(J3823-L3823)*(100*G3823)+I3823))))))</f>
        <v/>
      </c>
      <c r="O3823" s="75" t="n"/>
      <c r="P3823" s="75" t="n"/>
      <c r="Q3823" s="75">
        <f>IF(ISBLANK(P3823),"",IF(D3823="Stock",P3823*G3823,IF(P3823=0,"0",G3823*P3823*100-(G3823*$AF$14))))</f>
        <v/>
      </c>
      <c r="R3823" s="79">
        <f>IF(P3823&lt;&gt;"", TODAY(), "")</f>
        <v/>
      </c>
      <c r="S3823" s="78">
        <f>IF(AND(K3823&lt;&gt;"", R3823&lt;&gt;""), R3823-K3823, "")</f>
        <v/>
      </c>
      <c r="T3823" s="78" t="n"/>
      <c r="U3823" s="92">
        <f>IF(ISBLANK(P3823),"",IF(C3823="Buy",Q3823-M3823+T3823, IF(C3823="Sell",M3823-Q3823-T3823, X)))</f>
        <v/>
      </c>
      <c r="V3823" s="81">
        <f>IF(ISBLANK(P3823),"",U3823/N3823)</f>
        <v/>
      </c>
      <c r="W3823" s="81">
        <f>IF(ISBLANK(P3823),"",IF(S3823=0,(365/0.5)*V3823,(365/S3823)*V3823))</f>
        <v/>
      </c>
      <c r="X3823" s="75" t="n"/>
      <c r="Y3823" s="77" t="n"/>
      <c r="Z3823" s="77" t="n"/>
      <c r="AA3823" s="75" t="n"/>
      <c r="AB3823" s="75" t="n"/>
      <c r="AC3823" s="6" t="n"/>
      <c r="AD3823" s="75" t="n"/>
      <c r="AE3823" s="75" t="n"/>
      <c r="AF3823" s="75" t="n"/>
    </row>
    <row r="3824" ht="15.75" customHeight="1" s="133">
      <c r="A3824" s="75" t="n"/>
      <c r="B3824" s="75" t="n"/>
      <c r="C3824" s="75" t="n"/>
      <c r="D3824" s="75" t="n"/>
      <c r="E3824" s="76" t="n"/>
      <c r="F3824" s="77" t="n"/>
      <c r="G3824" s="75" t="n"/>
      <c r="H3824" s="75">
        <f>IF(ISBLANK(E3824),"",IF(OR(D3824="Butterfly",D3824="Butterfly ",D3824="Iron Fly", D3824="Iron Fly "),LEN(E3824)-LEN(SUBSTITUTE(E3824,"/",""))+2,LEN(E3824)-LEN(SUBSTITUTE(E3824,"/",""))+1))</f>
        <v/>
      </c>
      <c r="I3824" s="78">
        <f>IF(ISBLANK(G3824),"",IF(D3824="Stock","0",Key!$A$3*H3824*G3824))</f>
        <v/>
      </c>
      <c r="J3824" s="78">
        <f>IF(ISBLANK(E3824),"",IF(ISNUMBER(SEARCH("/",E3824)), IF(LEN(E3824)-LEN(SUBSTITUTE(E3824,"/",""))=1,(RIGHT(E3824,LEN(E3824)-FIND("/",E3824)))-(LEFT(E3824,FIND("/",E3824)-1)),(MID(E3824, SEARCH("/",E3824) + 1, SEARCH("/",E3824, SEARCH("/",E3824)+1) - SEARCH("/",E3824) - 1))-(LEFT(E3824,FIND("/",E3824)-1))), "NA"))</f>
        <v/>
      </c>
      <c r="K3824" s="79">
        <f>IF(A3824&lt;&gt;"", IF(ISBLANK(L3824), TODAY(), K3824), "")</f>
        <v/>
      </c>
      <c r="L3824" s="78" t="n"/>
      <c r="M3824" s="78">
        <f>IF(ISBLANK(L3824),"",IF(D3824="Stock",IF(C3824="Buy",L3824*G3824,IF(C3824="Sell",(L3824*G3824)-I3824, X)),IF(C3824="Buy",(L3824*G3824*100)+I3824,IF(C3824="Sell",(L3824*G3824*100)-I3824, X))))</f>
        <v/>
      </c>
      <c r="N3824" s="78">
        <f>IF(ISBLANK(L3824),"",IF(AND(C3824="Sell",D3824="Stock"),M3824,IF(ISBLANK(L3824),"",IF(C3824="Buy",M3824, IF(AND(C3824="Sell",J3824="NA"),(E3824*G3824*100*0.1)+I3824, IF(C3824="Sell",(J3824-L3824)*(100*G3824)+I3824))))))</f>
        <v/>
      </c>
      <c r="O3824" s="75" t="n"/>
      <c r="P3824" s="75" t="n"/>
      <c r="Q3824" s="75">
        <f>IF(ISBLANK(P3824),"",IF(D3824="Stock",P3824*G3824,IF(P3824=0,"0",G3824*P3824*100-(G3824*$AF$14))))</f>
        <v/>
      </c>
      <c r="R3824" s="79">
        <f>IF(P3824&lt;&gt;"", TODAY(), "")</f>
        <v/>
      </c>
      <c r="S3824" s="78">
        <f>IF(AND(K3824&lt;&gt;"", R3824&lt;&gt;""), R3824-K3824, "")</f>
        <v/>
      </c>
      <c r="T3824" s="78" t="n"/>
      <c r="U3824" s="92">
        <f>IF(ISBLANK(P3824),"",IF(C3824="Buy",Q3824-M3824+T3824, IF(C3824="Sell",M3824-Q3824-T3824, X)))</f>
        <v/>
      </c>
      <c r="V3824" s="81">
        <f>IF(ISBLANK(P3824),"",U3824/N3824)</f>
        <v/>
      </c>
      <c r="W3824" s="81">
        <f>IF(ISBLANK(P3824),"",IF(S3824=0,(365/0.5)*V3824,(365/S3824)*V3824))</f>
        <v/>
      </c>
      <c r="X3824" s="75" t="n"/>
      <c r="Y3824" s="77" t="n"/>
      <c r="Z3824" s="77" t="n"/>
      <c r="AA3824" s="75" t="n"/>
      <c r="AB3824" s="75" t="n"/>
      <c r="AC3824" s="6" t="n"/>
      <c r="AD3824" s="75" t="n"/>
      <c r="AE3824" s="75" t="n"/>
      <c r="AF3824" s="75" t="n"/>
    </row>
    <row r="3825" ht="15.75" customHeight="1" s="133">
      <c r="A3825" s="75" t="n"/>
      <c r="B3825" s="75" t="n"/>
      <c r="C3825" s="75" t="n"/>
      <c r="D3825" s="75" t="n"/>
      <c r="E3825" s="76" t="n"/>
      <c r="F3825" s="77" t="n"/>
      <c r="G3825" s="75" t="n"/>
      <c r="H3825" s="75">
        <f>IF(ISBLANK(E3825),"",IF(OR(D3825="Butterfly",D3825="Butterfly ",D3825="Iron Fly", D3825="Iron Fly "),LEN(E3825)-LEN(SUBSTITUTE(E3825,"/",""))+2,LEN(E3825)-LEN(SUBSTITUTE(E3825,"/",""))+1))</f>
        <v/>
      </c>
      <c r="I3825" s="78">
        <f>IF(ISBLANK(G3825),"",IF(D3825="Stock","0",Key!$A$3*H3825*G3825))</f>
        <v/>
      </c>
      <c r="J3825" s="78">
        <f>IF(ISBLANK(E3825),"",IF(ISNUMBER(SEARCH("/",E3825)), IF(LEN(E3825)-LEN(SUBSTITUTE(E3825,"/",""))=1,(RIGHT(E3825,LEN(E3825)-FIND("/",E3825)))-(LEFT(E3825,FIND("/",E3825)-1)),(MID(E3825, SEARCH("/",E3825) + 1, SEARCH("/",E3825, SEARCH("/",E3825)+1) - SEARCH("/",E3825) - 1))-(LEFT(E3825,FIND("/",E3825)-1))), "NA"))</f>
        <v/>
      </c>
      <c r="K3825" s="79">
        <f>IF(A3825&lt;&gt;"", IF(ISBLANK(L3825), TODAY(), K3825), "")</f>
        <v/>
      </c>
      <c r="L3825" s="78" t="n"/>
      <c r="M3825" s="78">
        <f>IF(ISBLANK(L3825),"",IF(D3825="Stock",IF(C3825="Buy",L3825*G3825,IF(C3825="Sell",(L3825*G3825)-I3825, X)),IF(C3825="Buy",(L3825*G3825*100)+I3825,IF(C3825="Sell",(L3825*G3825*100)-I3825, X))))</f>
        <v/>
      </c>
      <c r="N3825" s="78">
        <f>IF(ISBLANK(L3825),"",IF(AND(C3825="Sell",D3825="Stock"),M3825,IF(ISBLANK(L3825),"",IF(C3825="Buy",M3825, IF(AND(C3825="Sell",J3825="NA"),(E3825*G3825*100*0.1)+I3825, IF(C3825="Sell",(J3825-L3825)*(100*G3825)+I3825))))))</f>
        <v/>
      </c>
      <c r="O3825" s="75" t="n"/>
      <c r="P3825" s="75" t="n"/>
      <c r="Q3825" s="75">
        <f>IF(ISBLANK(P3825),"",IF(D3825="Stock",P3825*G3825,IF(P3825=0,"0",G3825*P3825*100-(G3825*$AF$14))))</f>
        <v/>
      </c>
      <c r="R3825" s="79">
        <f>IF(P3825&lt;&gt;"", TODAY(), "")</f>
        <v/>
      </c>
      <c r="S3825" s="78">
        <f>IF(AND(K3825&lt;&gt;"", R3825&lt;&gt;""), R3825-K3825, "")</f>
        <v/>
      </c>
      <c r="T3825" s="78" t="n"/>
      <c r="U3825" s="92">
        <f>IF(ISBLANK(P3825),"",IF(C3825="Buy",Q3825-M3825+T3825, IF(C3825="Sell",M3825-Q3825-T3825, X)))</f>
        <v/>
      </c>
      <c r="V3825" s="81">
        <f>IF(ISBLANK(P3825),"",U3825/N3825)</f>
        <v/>
      </c>
      <c r="W3825" s="81">
        <f>IF(ISBLANK(P3825),"",IF(S3825=0,(365/0.5)*V3825,(365/S3825)*V3825))</f>
        <v/>
      </c>
      <c r="X3825" s="75" t="n"/>
      <c r="Y3825" s="77" t="n"/>
      <c r="Z3825" s="77" t="n"/>
      <c r="AA3825" s="75" t="n"/>
      <c r="AB3825" s="75" t="n"/>
      <c r="AC3825" s="6" t="n"/>
      <c r="AD3825" s="75" t="n"/>
      <c r="AE3825" s="75" t="n"/>
      <c r="AF3825" s="75" t="n"/>
    </row>
    <row r="3826" ht="15.75" customHeight="1" s="133">
      <c r="A3826" s="75" t="n"/>
      <c r="B3826" s="75" t="n"/>
      <c r="C3826" s="75" t="n"/>
      <c r="D3826" s="75" t="n"/>
      <c r="E3826" s="76" t="n"/>
      <c r="F3826" s="77" t="n"/>
      <c r="G3826" s="75" t="n"/>
      <c r="H3826" s="75">
        <f>IF(ISBLANK(E3826),"",IF(OR(D3826="Butterfly",D3826="Butterfly ",D3826="Iron Fly", D3826="Iron Fly "),LEN(E3826)-LEN(SUBSTITUTE(E3826,"/",""))+2,LEN(E3826)-LEN(SUBSTITUTE(E3826,"/",""))+1))</f>
        <v/>
      </c>
      <c r="I3826" s="78">
        <f>IF(ISBLANK(G3826),"",IF(D3826="Stock","0",Key!$A$3*H3826*G3826))</f>
        <v/>
      </c>
      <c r="J3826" s="78">
        <f>IF(ISBLANK(E3826),"",IF(ISNUMBER(SEARCH("/",E3826)), IF(LEN(E3826)-LEN(SUBSTITUTE(E3826,"/",""))=1,(RIGHT(E3826,LEN(E3826)-FIND("/",E3826)))-(LEFT(E3826,FIND("/",E3826)-1)),(MID(E3826, SEARCH("/",E3826) + 1, SEARCH("/",E3826, SEARCH("/",E3826)+1) - SEARCH("/",E3826) - 1))-(LEFT(E3826,FIND("/",E3826)-1))), "NA"))</f>
        <v/>
      </c>
      <c r="K3826" s="79">
        <f>IF(A3826&lt;&gt;"", IF(ISBLANK(L3826), TODAY(), K3826), "")</f>
        <v/>
      </c>
      <c r="L3826" s="78" t="n"/>
      <c r="M3826" s="78">
        <f>IF(ISBLANK(L3826),"",IF(D3826="Stock",IF(C3826="Buy",L3826*G3826,IF(C3826="Sell",(L3826*G3826)-I3826, X)),IF(C3826="Buy",(L3826*G3826*100)+I3826,IF(C3826="Sell",(L3826*G3826*100)-I3826, X))))</f>
        <v/>
      </c>
      <c r="N3826" s="78">
        <f>IF(ISBLANK(L3826),"",IF(AND(C3826="Sell",D3826="Stock"),M3826,IF(ISBLANK(L3826),"",IF(C3826="Buy",M3826, IF(AND(C3826="Sell",J3826="NA"),(E3826*G3826*100*0.1)+I3826, IF(C3826="Sell",(J3826-L3826)*(100*G3826)+I3826))))))</f>
        <v/>
      </c>
      <c r="O3826" s="75" t="n"/>
      <c r="P3826" s="75" t="n"/>
      <c r="Q3826" s="75">
        <f>IF(ISBLANK(P3826),"",IF(D3826="Stock",P3826*G3826,IF(P3826=0,"0",G3826*P3826*100-(G3826*$AF$14))))</f>
        <v/>
      </c>
      <c r="R3826" s="79">
        <f>IF(P3826&lt;&gt;"", TODAY(), "")</f>
        <v/>
      </c>
      <c r="S3826" s="78">
        <f>IF(AND(K3826&lt;&gt;"", R3826&lt;&gt;""), R3826-K3826, "")</f>
        <v/>
      </c>
      <c r="T3826" s="78" t="n"/>
      <c r="U3826" s="92">
        <f>IF(ISBLANK(P3826),"",IF(C3826="Buy",Q3826-M3826+T3826, IF(C3826="Sell",M3826-Q3826-T3826, X)))</f>
        <v/>
      </c>
      <c r="V3826" s="81">
        <f>IF(ISBLANK(P3826),"",U3826/N3826)</f>
        <v/>
      </c>
      <c r="W3826" s="81">
        <f>IF(ISBLANK(P3826),"",IF(S3826=0,(365/0.5)*V3826,(365/S3826)*V3826))</f>
        <v/>
      </c>
      <c r="X3826" s="75" t="n"/>
      <c r="Y3826" s="77" t="n"/>
      <c r="Z3826" s="77" t="n"/>
      <c r="AA3826" s="75" t="n"/>
      <c r="AB3826" s="75" t="n"/>
      <c r="AC3826" s="6" t="n"/>
      <c r="AD3826" s="75" t="n"/>
      <c r="AE3826" s="75" t="n"/>
      <c r="AF3826" s="75" t="n"/>
    </row>
    <row r="3827" ht="15.75" customHeight="1" s="133">
      <c r="A3827" s="75" t="n"/>
      <c r="B3827" s="75" t="n"/>
      <c r="C3827" s="75" t="n"/>
      <c r="D3827" s="75" t="n"/>
      <c r="E3827" s="76" t="n"/>
      <c r="F3827" s="77" t="n"/>
      <c r="G3827" s="75" t="n"/>
      <c r="H3827" s="75">
        <f>IF(ISBLANK(E3827),"",IF(OR(D3827="Butterfly",D3827="Butterfly ",D3827="Iron Fly", D3827="Iron Fly "),LEN(E3827)-LEN(SUBSTITUTE(E3827,"/",""))+2,LEN(E3827)-LEN(SUBSTITUTE(E3827,"/",""))+1))</f>
        <v/>
      </c>
      <c r="I3827" s="78">
        <f>IF(ISBLANK(G3827),"",IF(D3827="Stock","0",Key!$A$3*H3827*G3827))</f>
        <v/>
      </c>
      <c r="J3827" s="78">
        <f>IF(ISBLANK(E3827),"",IF(ISNUMBER(SEARCH("/",E3827)), IF(LEN(E3827)-LEN(SUBSTITUTE(E3827,"/",""))=1,(RIGHT(E3827,LEN(E3827)-FIND("/",E3827)))-(LEFT(E3827,FIND("/",E3827)-1)),(MID(E3827, SEARCH("/",E3827) + 1, SEARCH("/",E3827, SEARCH("/",E3827)+1) - SEARCH("/",E3827) - 1))-(LEFT(E3827,FIND("/",E3827)-1))), "NA"))</f>
        <v/>
      </c>
      <c r="K3827" s="79">
        <f>IF(A3827&lt;&gt;"", IF(ISBLANK(L3827), TODAY(), K3827), "")</f>
        <v/>
      </c>
      <c r="L3827" s="78" t="n"/>
      <c r="M3827" s="78">
        <f>IF(ISBLANK(L3827),"",IF(D3827="Stock",IF(C3827="Buy",L3827*G3827,IF(C3827="Sell",(L3827*G3827)-I3827, X)),IF(C3827="Buy",(L3827*G3827*100)+I3827,IF(C3827="Sell",(L3827*G3827*100)-I3827, X))))</f>
        <v/>
      </c>
      <c r="N3827" s="78">
        <f>IF(ISBLANK(L3827),"",IF(AND(C3827="Sell",D3827="Stock"),M3827,IF(ISBLANK(L3827),"",IF(C3827="Buy",M3827, IF(AND(C3827="Sell",J3827="NA"),(E3827*G3827*100*0.1)+I3827, IF(C3827="Sell",(J3827-L3827)*(100*G3827)+I3827))))))</f>
        <v/>
      </c>
      <c r="O3827" s="75" t="n"/>
      <c r="P3827" s="75" t="n"/>
      <c r="Q3827" s="75">
        <f>IF(ISBLANK(P3827),"",IF(D3827="Stock",P3827*G3827,IF(P3827=0,"0",G3827*P3827*100-(G3827*$AF$14))))</f>
        <v/>
      </c>
      <c r="R3827" s="79">
        <f>IF(P3827&lt;&gt;"", TODAY(), "")</f>
        <v/>
      </c>
      <c r="S3827" s="78">
        <f>IF(AND(K3827&lt;&gt;"", R3827&lt;&gt;""), R3827-K3827, "")</f>
        <v/>
      </c>
      <c r="T3827" s="78" t="n"/>
      <c r="U3827" s="92">
        <f>IF(ISBLANK(P3827),"",IF(C3827="Buy",Q3827-M3827+T3827, IF(C3827="Sell",M3827-Q3827-T3827, X)))</f>
        <v/>
      </c>
      <c r="V3827" s="81">
        <f>IF(ISBLANK(P3827),"",U3827/N3827)</f>
        <v/>
      </c>
      <c r="W3827" s="81">
        <f>IF(ISBLANK(P3827),"",IF(S3827=0,(365/0.5)*V3827,(365/S3827)*V3827))</f>
        <v/>
      </c>
      <c r="X3827" s="75" t="n"/>
      <c r="Y3827" s="77" t="n"/>
      <c r="Z3827" s="77" t="n"/>
      <c r="AA3827" s="75" t="n"/>
      <c r="AB3827" s="75" t="n"/>
      <c r="AC3827" s="6" t="n"/>
      <c r="AD3827" s="75" t="n"/>
      <c r="AE3827" s="75" t="n"/>
      <c r="AF3827" s="75" t="n"/>
    </row>
    <row r="3828" ht="15.75" customHeight="1" s="133">
      <c r="A3828" s="75" t="n"/>
      <c r="B3828" s="75" t="n"/>
      <c r="C3828" s="75" t="n"/>
      <c r="D3828" s="75" t="n"/>
      <c r="E3828" s="76" t="n"/>
      <c r="F3828" s="77" t="n"/>
      <c r="G3828" s="75" t="n"/>
      <c r="H3828" s="75">
        <f>IF(ISBLANK(E3828),"",IF(OR(D3828="Butterfly",D3828="Butterfly ",D3828="Iron Fly", D3828="Iron Fly "),LEN(E3828)-LEN(SUBSTITUTE(E3828,"/",""))+2,LEN(E3828)-LEN(SUBSTITUTE(E3828,"/",""))+1))</f>
        <v/>
      </c>
      <c r="I3828" s="78">
        <f>IF(ISBLANK(G3828),"",IF(D3828="Stock","0",Key!$A$3*H3828*G3828))</f>
        <v/>
      </c>
      <c r="J3828" s="78">
        <f>IF(ISBLANK(E3828),"",IF(ISNUMBER(SEARCH("/",E3828)), IF(LEN(E3828)-LEN(SUBSTITUTE(E3828,"/",""))=1,(RIGHT(E3828,LEN(E3828)-FIND("/",E3828)))-(LEFT(E3828,FIND("/",E3828)-1)),(MID(E3828, SEARCH("/",E3828) + 1, SEARCH("/",E3828, SEARCH("/",E3828)+1) - SEARCH("/",E3828) - 1))-(LEFT(E3828,FIND("/",E3828)-1))), "NA"))</f>
        <v/>
      </c>
      <c r="K3828" s="79">
        <f>IF(A3828&lt;&gt;"", IF(ISBLANK(L3828), TODAY(), K3828), "")</f>
        <v/>
      </c>
      <c r="L3828" s="78" t="n"/>
      <c r="M3828" s="78">
        <f>IF(ISBLANK(L3828),"",IF(D3828="Stock",IF(C3828="Buy",L3828*G3828,IF(C3828="Sell",(L3828*G3828)-I3828, X)),IF(C3828="Buy",(L3828*G3828*100)+I3828,IF(C3828="Sell",(L3828*G3828*100)-I3828, X))))</f>
        <v/>
      </c>
      <c r="N3828" s="78">
        <f>IF(ISBLANK(L3828),"",IF(AND(C3828="Sell",D3828="Stock"),M3828,IF(ISBLANK(L3828),"",IF(C3828="Buy",M3828, IF(AND(C3828="Sell",J3828="NA"),(E3828*G3828*100*0.1)+I3828, IF(C3828="Sell",(J3828-L3828)*(100*G3828)+I3828))))))</f>
        <v/>
      </c>
      <c r="O3828" s="75" t="n"/>
      <c r="P3828" s="75" t="n"/>
      <c r="Q3828" s="75">
        <f>IF(ISBLANK(P3828),"",IF(D3828="Stock",P3828*G3828,IF(P3828=0,"0",G3828*P3828*100-(G3828*$AF$14))))</f>
        <v/>
      </c>
      <c r="R3828" s="79">
        <f>IF(P3828&lt;&gt;"", TODAY(), "")</f>
        <v/>
      </c>
      <c r="S3828" s="78">
        <f>IF(AND(K3828&lt;&gt;"", R3828&lt;&gt;""), R3828-K3828, "")</f>
        <v/>
      </c>
      <c r="T3828" s="78" t="n"/>
      <c r="U3828" s="92">
        <f>IF(ISBLANK(P3828),"",IF(C3828="Buy",Q3828-M3828+T3828, IF(C3828="Sell",M3828-Q3828-T3828, X)))</f>
        <v/>
      </c>
      <c r="V3828" s="81">
        <f>IF(ISBLANK(P3828),"",U3828/N3828)</f>
        <v/>
      </c>
      <c r="W3828" s="81">
        <f>IF(ISBLANK(P3828),"",IF(S3828=0,(365/0.5)*V3828,(365/S3828)*V3828))</f>
        <v/>
      </c>
      <c r="X3828" s="75" t="n"/>
      <c r="Y3828" s="77" t="n"/>
      <c r="Z3828" s="77" t="n"/>
      <c r="AA3828" s="75" t="n"/>
      <c r="AB3828" s="75" t="n"/>
      <c r="AC3828" s="6" t="n"/>
      <c r="AD3828" s="75" t="n"/>
      <c r="AE3828" s="75" t="n"/>
      <c r="AF3828" s="75" t="n"/>
    </row>
    <row r="3829" ht="15.75" customHeight="1" s="133">
      <c r="A3829" s="75" t="n"/>
      <c r="B3829" s="75" t="n"/>
      <c r="C3829" s="75" t="n"/>
      <c r="D3829" s="75" t="n"/>
      <c r="E3829" s="76" t="n"/>
      <c r="F3829" s="77" t="n"/>
      <c r="G3829" s="75" t="n"/>
      <c r="H3829" s="75">
        <f>IF(ISBLANK(E3829),"",IF(OR(D3829="Butterfly",D3829="Butterfly ",D3829="Iron Fly", D3829="Iron Fly "),LEN(E3829)-LEN(SUBSTITUTE(E3829,"/",""))+2,LEN(E3829)-LEN(SUBSTITUTE(E3829,"/",""))+1))</f>
        <v/>
      </c>
      <c r="I3829" s="78">
        <f>IF(ISBLANK(G3829),"",IF(D3829="Stock","0",Key!$A$3*H3829*G3829))</f>
        <v/>
      </c>
      <c r="J3829" s="78">
        <f>IF(ISBLANK(E3829),"",IF(ISNUMBER(SEARCH("/",E3829)), IF(LEN(E3829)-LEN(SUBSTITUTE(E3829,"/",""))=1,(RIGHT(E3829,LEN(E3829)-FIND("/",E3829)))-(LEFT(E3829,FIND("/",E3829)-1)),(MID(E3829, SEARCH("/",E3829) + 1, SEARCH("/",E3829, SEARCH("/",E3829)+1) - SEARCH("/",E3829) - 1))-(LEFT(E3829,FIND("/",E3829)-1))), "NA"))</f>
        <v/>
      </c>
      <c r="K3829" s="79">
        <f>IF(A3829&lt;&gt;"", IF(ISBLANK(L3829), TODAY(), K3829), "")</f>
        <v/>
      </c>
      <c r="L3829" s="78" t="n"/>
      <c r="M3829" s="78">
        <f>IF(ISBLANK(L3829),"",IF(D3829="Stock",IF(C3829="Buy",L3829*G3829,IF(C3829="Sell",(L3829*G3829)-I3829, X)),IF(C3829="Buy",(L3829*G3829*100)+I3829,IF(C3829="Sell",(L3829*G3829*100)-I3829, X))))</f>
        <v/>
      </c>
      <c r="N3829" s="78">
        <f>IF(ISBLANK(L3829),"",IF(AND(C3829="Sell",D3829="Stock"),M3829,IF(ISBLANK(L3829),"",IF(C3829="Buy",M3829, IF(AND(C3829="Sell",J3829="NA"),(E3829*G3829*100*0.1)+I3829, IF(C3829="Sell",(J3829-L3829)*(100*G3829)+I3829))))))</f>
        <v/>
      </c>
      <c r="O3829" s="75" t="n"/>
      <c r="P3829" s="75" t="n"/>
      <c r="Q3829" s="75">
        <f>IF(ISBLANK(P3829),"",IF(D3829="Stock",P3829*G3829,IF(P3829=0,"0",G3829*P3829*100-(G3829*$AF$14))))</f>
        <v/>
      </c>
      <c r="R3829" s="79">
        <f>IF(P3829&lt;&gt;"", TODAY(), "")</f>
        <v/>
      </c>
      <c r="S3829" s="78">
        <f>IF(AND(K3829&lt;&gt;"", R3829&lt;&gt;""), R3829-K3829, "")</f>
        <v/>
      </c>
      <c r="T3829" s="78" t="n"/>
      <c r="U3829" s="92">
        <f>IF(ISBLANK(P3829),"",IF(C3829="Buy",Q3829-M3829+T3829, IF(C3829="Sell",M3829-Q3829-T3829, X)))</f>
        <v/>
      </c>
      <c r="V3829" s="81">
        <f>IF(ISBLANK(P3829),"",U3829/N3829)</f>
        <v/>
      </c>
      <c r="W3829" s="81">
        <f>IF(ISBLANK(P3829),"",IF(S3829=0,(365/0.5)*V3829,(365/S3829)*V3829))</f>
        <v/>
      </c>
      <c r="X3829" s="75" t="n"/>
      <c r="Y3829" s="77" t="n"/>
      <c r="Z3829" s="77" t="n"/>
      <c r="AA3829" s="75" t="n"/>
      <c r="AB3829" s="75" t="n"/>
      <c r="AC3829" s="6" t="n"/>
      <c r="AD3829" s="75" t="n"/>
      <c r="AE3829" s="75" t="n"/>
      <c r="AF3829" s="75" t="n"/>
    </row>
    <row r="3830" ht="15.75" customHeight="1" s="133">
      <c r="A3830" s="75" t="n"/>
      <c r="B3830" s="75" t="n"/>
      <c r="C3830" s="75" t="n"/>
      <c r="D3830" s="75" t="n"/>
      <c r="E3830" s="76" t="n"/>
      <c r="F3830" s="77" t="n"/>
      <c r="G3830" s="75" t="n"/>
      <c r="H3830" s="75">
        <f>IF(ISBLANK(E3830),"",IF(OR(D3830="Butterfly",D3830="Butterfly ",D3830="Iron Fly", D3830="Iron Fly "),LEN(E3830)-LEN(SUBSTITUTE(E3830,"/",""))+2,LEN(E3830)-LEN(SUBSTITUTE(E3830,"/",""))+1))</f>
        <v/>
      </c>
      <c r="I3830" s="78">
        <f>IF(ISBLANK(G3830),"",IF(D3830="Stock","0",Key!$A$3*H3830*G3830))</f>
        <v/>
      </c>
      <c r="J3830" s="78">
        <f>IF(ISBLANK(E3830),"",IF(ISNUMBER(SEARCH("/",E3830)), IF(LEN(E3830)-LEN(SUBSTITUTE(E3830,"/",""))=1,(RIGHT(E3830,LEN(E3830)-FIND("/",E3830)))-(LEFT(E3830,FIND("/",E3830)-1)),(MID(E3830, SEARCH("/",E3830) + 1, SEARCH("/",E3830, SEARCH("/",E3830)+1) - SEARCH("/",E3830) - 1))-(LEFT(E3830,FIND("/",E3830)-1))), "NA"))</f>
        <v/>
      </c>
      <c r="K3830" s="79">
        <f>IF(A3830&lt;&gt;"", IF(ISBLANK(L3830), TODAY(), K3830), "")</f>
        <v/>
      </c>
      <c r="L3830" s="78" t="n"/>
      <c r="M3830" s="78">
        <f>IF(ISBLANK(L3830),"",IF(D3830="Stock",IF(C3830="Buy",L3830*G3830,IF(C3830="Sell",(L3830*G3830)-I3830, X)),IF(C3830="Buy",(L3830*G3830*100)+I3830,IF(C3830="Sell",(L3830*G3830*100)-I3830, X))))</f>
        <v/>
      </c>
      <c r="N3830" s="78">
        <f>IF(ISBLANK(L3830),"",IF(AND(C3830="Sell",D3830="Stock"),M3830,IF(ISBLANK(L3830),"",IF(C3830="Buy",M3830, IF(AND(C3830="Sell",J3830="NA"),(E3830*G3830*100*0.1)+I3830, IF(C3830="Sell",(J3830-L3830)*(100*G3830)+I3830))))))</f>
        <v/>
      </c>
      <c r="O3830" s="75" t="n"/>
      <c r="P3830" s="75" t="n"/>
      <c r="Q3830" s="75">
        <f>IF(ISBLANK(P3830),"",IF(D3830="Stock",P3830*G3830,IF(P3830=0,"0",G3830*P3830*100-(G3830*$AF$14))))</f>
        <v/>
      </c>
      <c r="R3830" s="79">
        <f>IF(P3830&lt;&gt;"", TODAY(), "")</f>
        <v/>
      </c>
      <c r="S3830" s="78">
        <f>IF(AND(K3830&lt;&gt;"", R3830&lt;&gt;""), R3830-K3830, "")</f>
        <v/>
      </c>
      <c r="T3830" s="78" t="n"/>
      <c r="U3830" s="92">
        <f>IF(ISBLANK(P3830),"",IF(C3830="Buy",Q3830-M3830+T3830, IF(C3830="Sell",M3830-Q3830-T3830, X)))</f>
        <v/>
      </c>
      <c r="V3830" s="81">
        <f>IF(ISBLANK(P3830),"",U3830/N3830)</f>
        <v/>
      </c>
      <c r="W3830" s="81">
        <f>IF(ISBLANK(P3830),"",IF(S3830=0,(365/0.5)*V3830,(365/S3830)*V3830))</f>
        <v/>
      </c>
      <c r="X3830" s="75" t="n"/>
      <c r="Y3830" s="77" t="n"/>
      <c r="Z3830" s="77" t="n"/>
      <c r="AA3830" s="75" t="n"/>
      <c r="AB3830" s="75" t="n"/>
      <c r="AC3830" s="6" t="n"/>
      <c r="AD3830" s="75" t="n"/>
      <c r="AE3830" s="75" t="n"/>
      <c r="AF3830" s="75" t="n"/>
    </row>
    <row r="3831" ht="15.75" customHeight="1" s="133">
      <c r="A3831" s="75" t="n"/>
      <c r="B3831" s="75" t="n"/>
      <c r="C3831" s="75" t="n"/>
      <c r="D3831" s="75" t="n"/>
      <c r="E3831" s="76" t="n"/>
      <c r="F3831" s="77" t="n"/>
      <c r="G3831" s="75" t="n"/>
      <c r="H3831" s="75">
        <f>IF(ISBLANK(E3831),"",IF(OR(D3831="Butterfly",D3831="Butterfly ",D3831="Iron Fly", D3831="Iron Fly "),LEN(E3831)-LEN(SUBSTITUTE(E3831,"/",""))+2,LEN(E3831)-LEN(SUBSTITUTE(E3831,"/",""))+1))</f>
        <v/>
      </c>
      <c r="I3831" s="78">
        <f>IF(ISBLANK(G3831),"",IF(D3831="Stock","0",Key!$A$3*H3831*G3831))</f>
        <v/>
      </c>
      <c r="J3831" s="78">
        <f>IF(ISBLANK(E3831),"",IF(ISNUMBER(SEARCH("/",E3831)), IF(LEN(E3831)-LEN(SUBSTITUTE(E3831,"/",""))=1,(RIGHT(E3831,LEN(E3831)-FIND("/",E3831)))-(LEFT(E3831,FIND("/",E3831)-1)),(MID(E3831, SEARCH("/",E3831) + 1, SEARCH("/",E3831, SEARCH("/",E3831)+1) - SEARCH("/",E3831) - 1))-(LEFT(E3831,FIND("/",E3831)-1))), "NA"))</f>
        <v/>
      </c>
      <c r="K3831" s="79">
        <f>IF(A3831&lt;&gt;"", IF(ISBLANK(L3831), TODAY(), K3831), "")</f>
        <v/>
      </c>
      <c r="L3831" s="78" t="n"/>
      <c r="M3831" s="78">
        <f>IF(ISBLANK(L3831),"",IF(D3831="Stock",IF(C3831="Buy",L3831*G3831,IF(C3831="Sell",(L3831*G3831)-I3831, X)),IF(C3831="Buy",(L3831*G3831*100)+I3831,IF(C3831="Sell",(L3831*G3831*100)-I3831, X))))</f>
        <v/>
      </c>
      <c r="N3831" s="78">
        <f>IF(ISBLANK(L3831),"",IF(AND(C3831="Sell",D3831="Stock"),M3831,IF(ISBLANK(L3831),"",IF(C3831="Buy",M3831, IF(AND(C3831="Sell",J3831="NA"),(E3831*G3831*100*0.1)+I3831, IF(C3831="Sell",(J3831-L3831)*(100*G3831)+I3831))))))</f>
        <v/>
      </c>
      <c r="O3831" s="75" t="n"/>
      <c r="P3831" s="75" t="n"/>
      <c r="Q3831" s="75">
        <f>IF(ISBLANK(P3831),"",IF(D3831="Stock",P3831*G3831,IF(P3831=0,"0",G3831*P3831*100-(G3831*$AF$14))))</f>
        <v/>
      </c>
      <c r="R3831" s="79">
        <f>IF(P3831&lt;&gt;"", TODAY(), "")</f>
        <v/>
      </c>
      <c r="S3831" s="78">
        <f>IF(AND(K3831&lt;&gt;"", R3831&lt;&gt;""), R3831-K3831, "")</f>
        <v/>
      </c>
      <c r="T3831" s="78" t="n"/>
      <c r="U3831" s="92">
        <f>IF(ISBLANK(P3831),"",IF(C3831="Buy",Q3831-M3831+T3831, IF(C3831="Sell",M3831-Q3831-T3831, X)))</f>
        <v/>
      </c>
      <c r="V3831" s="81">
        <f>IF(ISBLANK(P3831),"",U3831/N3831)</f>
        <v/>
      </c>
      <c r="W3831" s="81">
        <f>IF(ISBLANK(P3831),"",IF(S3831=0,(365/0.5)*V3831,(365/S3831)*V3831))</f>
        <v/>
      </c>
      <c r="X3831" s="75" t="n"/>
      <c r="Y3831" s="77" t="n"/>
      <c r="Z3831" s="77" t="n"/>
      <c r="AA3831" s="75" t="n"/>
      <c r="AB3831" s="75" t="n"/>
      <c r="AC3831" s="6" t="n"/>
      <c r="AD3831" s="75" t="n"/>
      <c r="AE3831" s="75" t="n"/>
      <c r="AF3831" s="75" t="n"/>
    </row>
    <row r="3832" ht="15.75" customHeight="1" s="133">
      <c r="A3832" s="75" t="n"/>
      <c r="B3832" s="75" t="n"/>
      <c r="C3832" s="75" t="n"/>
      <c r="D3832" s="75" t="n"/>
      <c r="E3832" s="76" t="n"/>
      <c r="F3832" s="77" t="n"/>
      <c r="G3832" s="75" t="n"/>
      <c r="H3832" s="75">
        <f>IF(ISBLANK(E3832),"",IF(OR(D3832="Butterfly",D3832="Butterfly ",D3832="Iron Fly", D3832="Iron Fly "),LEN(E3832)-LEN(SUBSTITUTE(E3832,"/",""))+2,LEN(E3832)-LEN(SUBSTITUTE(E3832,"/",""))+1))</f>
        <v/>
      </c>
      <c r="I3832" s="78">
        <f>IF(ISBLANK(G3832),"",IF(D3832="Stock","0",Key!$A$3*H3832*G3832))</f>
        <v/>
      </c>
      <c r="J3832" s="78">
        <f>IF(ISBLANK(E3832),"",IF(ISNUMBER(SEARCH("/",E3832)), IF(LEN(E3832)-LEN(SUBSTITUTE(E3832,"/",""))=1,(RIGHT(E3832,LEN(E3832)-FIND("/",E3832)))-(LEFT(E3832,FIND("/",E3832)-1)),(MID(E3832, SEARCH("/",E3832) + 1, SEARCH("/",E3832, SEARCH("/",E3832)+1) - SEARCH("/",E3832) - 1))-(LEFT(E3832,FIND("/",E3832)-1))), "NA"))</f>
        <v/>
      </c>
      <c r="K3832" s="79">
        <f>IF(A3832&lt;&gt;"", IF(ISBLANK(L3832), TODAY(), K3832), "")</f>
        <v/>
      </c>
      <c r="L3832" s="78" t="n"/>
      <c r="M3832" s="78">
        <f>IF(ISBLANK(L3832),"",IF(D3832="Stock",IF(C3832="Buy",L3832*G3832,IF(C3832="Sell",(L3832*G3832)-I3832, X)),IF(C3832="Buy",(L3832*G3832*100)+I3832,IF(C3832="Sell",(L3832*G3832*100)-I3832, X))))</f>
        <v/>
      </c>
      <c r="N3832" s="78">
        <f>IF(ISBLANK(L3832),"",IF(AND(C3832="Sell",D3832="Stock"),M3832,IF(ISBLANK(L3832),"",IF(C3832="Buy",M3832, IF(AND(C3832="Sell",J3832="NA"),(E3832*G3832*100*0.1)+I3832, IF(C3832="Sell",(J3832-L3832)*(100*G3832)+I3832))))))</f>
        <v/>
      </c>
      <c r="O3832" s="75" t="n"/>
      <c r="P3832" s="75" t="n"/>
      <c r="Q3832" s="75">
        <f>IF(ISBLANK(P3832),"",IF(D3832="Stock",P3832*G3832,IF(P3832=0,"0",G3832*P3832*100-(G3832*$AF$14))))</f>
        <v/>
      </c>
      <c r="R3832" s="79">
        <f>IF(P3832&lt;&gt;"", TODAY(), "")</f>
        <v/>
      </c>
      <c r="S3832" s="78">
        <f>IF(AND(K3832&lt;&gt;"", R3832&lt;&gt;""), R3832-K3832, "")</f>
        <v/>
      </c>
      <c r="T3832" s="78" t="n"/>
      <c r="U3832" s="92">
        <f>IF(ISBLANK(P3832),"",IF(C3832="Buy",Q3832-M3832+T3832, IF(C3832="Sell",M3832-Q3832-T3832, X)))</f>
        <v/>
      </c>
      <c r="V3832" s="81">
        <f>IF(ISBLANK(P3832),"",U3832/N3832)</f>
        <v/>
      </c>
      <c r="W3832" s="81">
        <f>IF(ISBLANK(P3832),"",IF(S3832=0,(365/0.5)*V3832,(365/S3832)*V3832))</f>
        <v/>
      </c>
      <c r="X3832" s="75" t="n"/>
      <c r="Y3832" s="77" t="n"/>
      <c r="Z3832" s="77" t="n"/>
      <c r="AA3832" s="75" t="n"/>
      <c r="AB3832" s="75" t="n"/>
      <c r="AC3832" s="6" t="n"/>
      <c r="AD3832" s="75" t="n"/>
      <c r="AE3832" s="75" t="n"/>
      <c r="AF3832" s="75" t="n"/>
    </row>
    <row r="3833" ht="15.75" customHeight="1" s="133">
      <c r="A3833" s="75" t="n"/>
      <c r="B3833" s="75" t="n"/>
      <c r="C3833" s="75" t="n"/>
      <c r="D3833" s="75" t="n"/>
      <c r="E3833" s="76" t="n"/>
      <c r="F3833" s="77" t="n"/>
      <c r="G3833" s="75" t="n"/>
      <c r="H3833" s="75">
        <f>IF(ISBLANK(E3833),"",IF(OR(D3833="Butterfly",D3833="Butterfly ",D3833="Iron Fly", D3833="Iron Fly "),LEN(E3833)-LEN(SUBSTITUTE(E3833,"/",""))+2,LEN(E3833)-LEN(SUBSTITUTE(E3833,"/",""))+1))</f>
        <v/>
      </c>
      <c r="I3833" s="78">
        <f>IF(ISBLANK(G3833),"",IF(D3833="Stock","0",Key!$A$3*H3833*G3833))</f>
        <v/>
      </c>
      <c r="J3833" s="78">
        <f>IF(ISBLANK(E3833),"",IF(ISNUMBER(SEARCH("/",E3833)), IF(LEN(E3833)-LEN(SUBSTITUTE(E3833,"/",""))=1,(RIGHT(E3833,LEN(E3833)-FIND("/",E3833)))-(LEFT(E3833,FIND("/",E3833)-1)),(MID(E3833, SEARCH("/",E3833) + 1, SEARCH("/",E3833, SEARCH("/",E3833)+1) - SEARCH("/",E3833) - 1))-(LEFT(E3833,FIND("/",E3833)-1))), "NA"))</f>
        <v/>
      </c>
      <c r="K3833" s="79">
        <f>IF(A3833&lt;&gt;"", IF(ISBLANK(L3833), TODAY(), K3833), "")</f>
        <v/>
      </c>
      <c r="L3833" s="78" t="n"/>
      <c r="M3833" s="78">
        <f>IF(ISBLANK(L3833),"",IF(D3833="Stock",IF(C3833="Buy",L3833*G3833,IF(C3833="Sell",(L3833*G3833)-I3833, X)),IF(C3833="Buy",(L3833*G3833*100)+I3833,IF(C3833="Sell",(L3833*G3833*100)-I3833, X))))</f>
        <v/>
      </c>
      <c r="N3833" s="78">
        <f>IF(ISBLANK(L3833),"",IF(AND(C3833="Sell",D3833="Stock"),M3833,IF(ISBLANK(L3833),"",IF(C3833="Buy",M3833, IF(AND(C3833="Sell",J3833="NA"),(E3833*G3833*100*0.1)+I3833, IF(C3833="Sell",(J3833-L3833)*(100*G3833)+I3833))))))</f>
        <v/>
      </c>
      <c r="O3833" s="75" t="n"/>
      <c r="P3833" s="75" t="n"/>
      <c r="Q3833" s="75">
        <f>IF(ISBLANK(P3833),"",IF(D3833="Stock",P3833*G3833,IF(P3833=0,"0",G3833*P3833*100-(G3833*$AF$14))))</f>
        <v/>
      </c>
      <c r="R3833" s="79">
        <f>IF(P3833&lt;&gt;"", TODAY(), "")</f>
        <v/>
      </c>
      <c r="S3833" s="78">
        <f>IF(AND(K3833&lt;&gt;"", R3833&lt;&gt;""), R3833-K3833, "")</f>
        <v/>
      </c>
      <c r="T3833" s="78" t="n"/>
      <c r="U3833" s="92">
        <f>IF(ISBLANK(P3833),"",IF(C3833="Buy",Q3833-M3833+T3833, IF(C3833="Sell",M3833-Q3833-T3833, X)))</f>
        <v/>
      </c>
      <c r="V3833" s="81">
        <f>IF(ISBLANK(P3833),"",U3833/N3833)</f>
        <v/>
      </c>
      <c r="W3833" s="81">
        <f>IF(ISBLANK(P3833),"",IF(S3833=0,(365/0.5)*V3833,(365/S3833)*V3833))</f>
        <v/>
      </c>
      <c r="X3833" s="75" t="n"/>
      <c r="Y3833" s="77" t="n"/>
      <c r="Z3833" s="77" t="n"/>
      <c r="AA3833" s="75" t="n"/>
      <c r="AB3833" s="75" t="n"/>
      <c r="AC3833" s="6" t="n"/>
      <c r="AD3833" s="75" t="n"/>
      <c r="AE3833" s="75" t="n"/>
      <c r="AF3833" s="75" t="n"/>
    </row>
    <row r="3834" ht="15.75" customHeight="1" s="133">
      <c r="A3834" s="75" t="n"/>
      <c r="B3834" s="75" t="n"/>
      <c r="C3834" s="75" t="n"/>
      <c r="D3834" s="75" t="n"/>
      <c r="E3834" s="76" t="n"/>
      <c r="F3834" s="77" t="n"/>
      <c r="G3834" s="75" t="n"/>
      <c r="H3834" s="75">
        <f>IF(ISBLANK(E3834),"",IF(OR(D3834="Butterfly",D3834="Butterfly ",D3834="Iron Fly", D3834="Iron Fly "),LEN(E3834)-LEN(SUBSTITUTE(E3834,"/",""))+2,LEN(E3834)-LEN(SUBSTITUTE(E3834,"/",""))+1))</f>
        <v/>
      </c>
      <c r="I3834" s="78">
        <f>IF(ISBLANK(G3834),"",IF(D3834="Stock","0",Key!$A$3*H3834*G3834))</f>
        <v/>
      </c>
      <c r="J3834" s="78">
        <f>IF(ISBLANK(E3834),"",IF(ISNUMBER(SEARCH("/",E3834)), IF(LEN(E3834)-LEN(SUBSTITUTE(E3834,"/",""))=1,(RIGHT(E3834,LEN(E3834)-FIND("/",E3834)))-(LEFT(E3834,FIND("/",E3834)-1)),(MID(E3834, SEARCH("/",E3834) + 1, SEARCH("/",E3834, SEARCH("/",E3834)+1) - SEARCH("/",E3834) - 1))-(LEFT(E3834,FIND("/",E3834)-1))), "NA"))</f>
        <v/>
      </c>
      <c r="K3834" s="79">
        <f>IF(A3834&lt;&gt;"", IF(ISBLANK(L3834), TODAY(), K3834), "")</f>
        <v/>
      </c>
      <c r="L3834" s="78" t="n"/>
      <c r="M3834" s="78">
        <f>IF(ISBLANK(L3834),"",IF(D3834="Stock",IF(C3834="Buy",L3834*G3834,IF(C3834="Sell",(L3834*G3834)-I3834, X)),IF(C3834="Buy",(L3834*G3834*100)+I3834,IF(C3834="Sell",(L3834*G3834*100)-I3834, X))))</f>
        <v/>
      </c>
      <c r="N3834" s="78">
        <f>IF(ISBLANK(L3834),"",IF(AND(C3834="Sell",D3834="Stock"),M3834,IF(ISBLANK(L3834),"",IF(C3834="Buy",M3834, IF(AND(C3834="Sell",J3834="NA"),(E3834*G3834*100*0.1)+I3834, IF(C3834="Sell",(J3834-L3834)*(100*G3834)+I3834))))))</f>
        <v/>
      </c>
      <c r="O3834" s="75" t="n"/>
      <c r="P3834" s="75" t="n"/>
      <c r="Q3834" s="75">
        <f>IF(ISBLANK(P3834),"",IF(D3834="Stock",P3834*G3834,IF(P3834=0,"0",G3834*P3834*100-(G3834*$AF$14))))</f>
        <v/>
      </c>
      <c r="R3834" s="79">
        <f>IF(P3834&lt;&gt;"", TODAY(), "")</f>
        <v/>
      </c>
      <c r="S3834" s="78">
        <f>IF(AND(K3834&lt;&gt;"", R3834&lt;&gt;""), R3834-K3834, "")</f>
        <v/>
      </c>
      <c r="T3834" s="78" t="n"/>
      <c r="U3834" s="92">
        <f>IF(ISBLANK(P3834),"",IF(C3834="Buy",Q3834-M3834+T3834, IF(C3834="Sell",M3834-Q3834-T3834, X)))</f>
        <v/>
      </c>
      <c r="V3834" s="81">
        <f>IF(ISBLANK(P3834),"",U3834/N3834)</f>
        <v/>
      </c>
      <c r="W3834" s="81">
        <f>IF(ISBLANK(P3834),"",IF(S3834=0,(365/0.5)*V3834,(365/S3834)*V3834))</f>
        <v/>
      </c>
      <c r="X3834" s="75" t="n"/>
      <c r="Y3834" s="77" t="n"/>
      <c r="Z3834" s="77" t="n"/>
      <c r="AA3834" s="75" t="n"/>
      <c r="AB3834" s="75" t="n"/>
      <c r="AC3834" s="6" t="n"/>
      <c r="AD3834" s="75" t="n"/>
      <c r="AE3834" s="75" t="n"/>
      <c r="AF3834" s="75" t="n"/>
    </row>
    <row r="3835" ht="15.75" customHeight="1" s="133">
      <c r="A3835" s="75" t="n"/>
      <c r="B3835" s="75" t="n"/>
      <c r="C3835" s="75" t="n"/>
      <c r="D3835" s="75" t="n"/>
      <c r="E3835" s="76" t="n"/>
      <c r="F3835" s="77" t="n"/>
      <c r="G3835" s="75" t="n"/>
      <c r="H3835" s="75">
        <f>IF(ISBLANK(E3835),"",IF(OR(D3835="Butterfly",D3835="Butterfly ",D3835="Iron Fly", D3835="Iron Fly "),LEN(E3835)-LEN(SUBSTITUTE(E3835,"/",""))+2,LEN(E3835)-LEN(SUBSTITUTE(E3835,"/",""))+1))</f>
        <v/>
      </c>
      <c r="I3835" s="78">
        <f>IF(ISBLANK(G3835),"",IF(D3835="Stock","0",Key!$A$3*H3835*G3835))</f>
        <v/>
      </c>
      <c r="J3835" s="78">
        <f>IF(ISBLANK(E3835),"",IF(ISNUMBER(SEARCH("/",E3835)), IF(LEN(E3835)-LEN(SUBSTITUTE(E3835,"/",""))=1,(RIGHT(E3835,LEN(E3835)-FIND("/",E3835)))-(LEFT(E3835,FIND("/",E3835)-1)),(MID(E3835, SEARCH("/",E3835) + 1, SEARCH("/",E3835, SEARCH("/",E3835)+1) - SEARCH("/",E3835) - 1))-(LEFT(E3835,FIND("/",E3835)-1))), "NA"))</f>
        <v/>
      </c>
      <c r="K3835" s="79">
        <f>IF(A3835&lt;&gt;"", IF(ISBLANK(L3835), TODAY(), K3835), "")</f>
        <v/>
      </c>
      <c r="L3835" s="78" t="n"/>
      <c r="M3835" s="78">
        <f>IF(ISBLANK(L3835),"",IF(D3835="Stock",IF(C3835="Buy",L3835*G3835,IF(C3835="Sell",(L3835*G3835)-I3835, X)),IF(C3835="Buy",(L3835*G3835*100)+I3835,IF(C3835="Sell",(L3835*G3835*100)-I3835, X))))</f>
        <v/>
      </c>
      <c r="N3835" s="78">
        <f>IF(ISBLANK(L3835),"",IF(AND(C3835="Sell",D3835="Stock"),M3835,IF(ISBLANK(L3835),"",IF(C3835="Buy",M3835, IF(AND(C3835="Sell",J3835="NA"),(E3835*G3835*100*0.1)+I3835, IF(C3835="Sell",(J3835-L3835)*(100*G3835)+I3835))))))</f>
        <v/>
      </c>
      <c r="O3835" s="75" t="n"/>
      <c r="P3835" s="75" t="n"/>
      <c r="Q3835" s="75">
        <f>IF(ISBLANK(P3835),"",IF(D3835="Stock",P3835*G3835,IF(P3835=0,"0",G3835*P3835*100-(G3835*$AF$14))))</f>
        <v/>
      </c>
      <c r="R3835" s="79">
        <f>IF(P3835&lt;&gt;"", TODAY(), "")</f>
        <v/>
      </c>
      <c r="S3835" s="78">
        <f>IF(AND(K3835&lt;&gt;"", R3835&lt;&gt;""), R3835-K3835, "")</f>
        <v/>
      </c>
      <c r="T3835" s="78" t="n"/>
      <c r="U3835" s="92">
        <f>IF(ISBLANK(P3835),"",IF(C3835="Buy",Q3835-M3835+T3835, IF(C3835="Sell",M3835-Q3835-T3835, X)))</f>
        <v/>
      </c>
      <c r="V3835" s="81">
        <f>IF(ISBLANK(P3835),"",U3835/N3835)</f>
        <v/>
      </c>
      <c r="W3835" s="81">
        <f>IF(ISBLANK(P3835),"",IF(S3835=0,(365/0.5)*V3835,(365/S3835)*V3835))</f>
        <v/>
      </c>
      <c r="X3835" s="75" t="n"/>
      <c r="Y3835" s="77" t="n"/>
      <c r="Z3835" s="77" t="n"/>
      <c r="AA3835" s="75" t="n"/>
      <c r="AB3835" s="75" t="n"/>
      <c r="AC3835" s="6" t="n"/>
      <c r="AD3835" s="75" t="n"/>
      <c r="AE3835" s="75" t="n"/>
      <c r="AF3835" s="75" t="n"/>
    </row>
    <row r="3836" ht="15.75" customHeight="1" s="133">
      <c r="A3836" s="75" t="n"/>
      <c r="B3836" s="75" t="n"/>
      <c r="C3836" s="75" t="n"/>
      <c r="D3836" s="75" t="n"/>
      <c r="E3836" s="76" t="n"/>
      <c r="F3836" s="77" t="n"/>
      <c r="G3836" s="75" t="n"/>
      <c r="H3836" s="75">
        <f>IF(ISBLANK(E3836),"",IF(OR(D3836="Butterfly",D3836="Butterfly ",D3836="Iron Fly", D3836="Iron Fly "),LEN(E3836)-LEN(SUBSTITUTE(E3836,"/",""))+2,LEN(E3836)-LEN(SUBSTITUTE(E3836,"/",""))+1))</f>
        <v/>
      </c>
      <c r="I3836" s="78">
        <f>IF(ISBLANK(G3836),"",IF(D3836="Stock","0",Key!$A$3*H3836*G3836))</f>
        <v/>
      </c>
      <c r="J3836" s="78">
        <f>IF(ISBLANK(E3836),"",IF(ISNUMBER(SEARCH("/",E3836)), IF(LEN(E3836)-LEN(SUBSTITUTE(E3836,"/",""))=1,(RIGHT(E3836,LEN(E3836)-FIND("/",E3836)))-(LEFT(E3836,FIND("/",E3836)-1)),(MID(E3836, SEARCH("/",E3836) + 1, SEARCH("/",E3836, SEARCH("/",E3836)+1) - SEARCH("/",E3836) - 1))-(LEFT(E3836,FIND("/",E3836)-1))), "NA"))</f>
        <v/>
      </c>
      <c r="K3836" s="79">
        <f>IF(A3836&lt;&gt;"", IF(ISBLANK(L3836), TODAY(), K3836), "")</f>
        <v/>
      </c>
      <c r="L3836" s="78" t="n"/>
      <c r="M3836" s="78">
        <f>IF(ISBLANK(L3836),"",IF(D3836="Stock",IF(C3836="Buy",L3836*G3836,IF(C3836="Sell",(L3836*G3836)-I3836, X)),IF(C3836="Buy",(L3836*G3836*100)+I3836,IF(C3836="Sell",(L3836*G3836*100)-I3836, X))))</f>
        <v/>
      </c>
      <c r="N3836" s="78">
        <f>IF(ISBLANK(L3836),"",IF(AND(C3836="Sell",D3836="Stock"),M3836,IF(ISBLANK(L3836),"",IF(C3836="Buy",M3836, IF(AND(C3836="Sell",J3836="NA"),(E3836*G3836*100*0.1)+I3836, IF(C3836="Sell",(J3836-L3836)*(100*G3836)+I3836))))))</f>
        <v/>
      </c>
      <c r="O3836" s="75" t="n"/>
      <c r="P3836" s="75" t="n"/>
      <c r="Q3836" s="75">
        <f>IF(ISBLANK(P3836),"",IF(D3836="Stock",P3836*G3836,IF(P3836=0,"0",G3836*P3836*100-(G3836*$AF$14))))</f>
        <v/>
      </c>
      <c r="R3836" s="79">
        <f>IF(P3836&lt;&gt;"", TODAY(), "")</f>
        <v/>
      </c>
      <c r="S3836" s="78">
        <f>IF(AND(K3836&lt;&gt;"", R3836&lt;&gt;""), R3836-K3836, "")</f>
        <v/>
      </c>
      <c r="T3836" s="78" t="n"/>
      <c r="U3836" s="92">
        <f>IF(ISBLANK(P3836),"",IF(C3836="Buy",Q3836-M3836+T3836, IF(C3836="Sell",M3836-Q3836-T3836, X)))</f>
        <v/>
      </c>
      <c r="V3836" s="81">
        <f>IF(ISBLANK(P3836),"",U3836/N3836)</f>
        <v/>
      </c>
      <c r="W3836" s="81">
        <f>IF(ISBLANK(P3836),"",IF(S3836=0,(365/0.5)*V3836,(365/S3836)*V3836))</f>
        <v/>
      </c>
      <c r="X3836" s="75" t="n"/>
      <c r="Y3836" s="77" t="n"/>
      <c r="Z3836" s="77" t="n"/>
      <c r="AA3836" s="75" t="n"/>
      <c r="AB3836" s="75" t="n"/>
      <c r="AC3836" s="6" t="n"/>
      <c r="AD3836" s="75" t="n"/>
      <c r="AE3836" s="75" t="n"/>
      <c r="AF3836" s="75" t="n"/>
    </row>
    <row r="3837" ht="15.75" customHeight="1" s="133">
      <c r="A3837" s="75" t="n"/>
      <c r="B3837" s="75" t="n"/>
      <c r="C3837" s="75" t="n"/>
      <c r="D3837" s="75" t="n"/>
      <c r="E3837" s="76" t="n"/>
      <c r="F3837" s="77" t="n"/>
      <c r="G3837" s="75" t="n"/>
      <c r="H3837" s="75">
        <f>IF(ISBLANK(E3837),"",IF(OR(D3837="Butterfly",D3837="Butterfly ",D3837="Iron Fly", D3837="Iron Fly "),LEN(E3837)-LEN(SUBSTITUTE(E3837,"/",""))+2,LEN(E3837)-LEN(SUBSTITUTE(E3837,"/",""))+1))</f>
        <v/>
      </c>
      <c r="I3837" s="78">
        <f>IF(ISBLANK(G3837),"",IF(D3837="Stock","0",Key!$A$3*H3837*G3837))</f>
        <v/>
      </c>
      <c r="J3837" s="78">
        <f>IF(ISBLANK(E3837),"",IF(ISNUMBER(SEARCH("/",E3837)), IF(LEN(E3837)-LEN(SUBSTITUTE(E3837,"/",""))=1,(RIGHT(E3837,LEN(E3837)-FIND("/",E3837)))-(LEFT(E3837,FIND("/",E3837)-1)),(MID(E3837, SEARCH("/",E3837) + 1, SEARCH("/",E3837, SEARCH("/",E3837)+1) - SEARCH("/",E3837) - 1))-(LEFT(E3837,FIND("/",E3837)-1))), "NA"))</f>
        <v/>
      </c>
      <c r="K3837" s="79">
        <f>IF(A3837&lt;&gt;"", IF(ISBLANK(L3837), TODAY(), K3837), "")</f>
        <v/>
      </c>
      <c r="L3837" s="78" t="n"/>
      <c r="M3837" s="78">
        <f>IF(ISBLANK(L3837),"",IF(D3837="Stock",IF(C3837="Buy",L3837*G3837,IF(C3837="Sell",(L3837*G3837)-I3837, X)),IF(C3837="Buy",(L3837*G3837*100)+I3837,IF(C3837="Sell",(L3837*G3837*100)-I3837, X))))</f>
        <v/>
      </c>
      <c r="N3837" s="78">
        <f>IF(ISBLANK(L3837),"",IF(AND(C3837="Sell",D3837="Stock"),M3837,IF(ISBLANK(L3837),"",IF(C3837="Buy",M3837, IF(AND(C3837="Sell",J3837="NA"),(E3837*G3837*100*0.1)+I3837, IF(C3837="Sell",(J3837-L3837)*(100*G3837)+I3837))))))</f>
        <v/>
      </c>
      <c r="O3837" s="75" t="n"/>
      <c r="P3837" s="75" t="n"/>
      <c r="Q3837" s="75">
        <f>IF(ISBLANK(P3837),"",IF(D3837="Stock",P3837*G3837,IF(P3837=0,"0",G3837*P3837*100-(G3837*$AF$14))))</f>
        <v/>
      </c>
      <c r="R3837" s="79">
        <f>IF(P3837&lt;&gt;"", TODAY(), "")</f>
        <v/>
      </c>
      <c r="S3837" s="78">
        <f>IF(AND(K3837&lt;&gt;"", R3837&lt;&gt;""), R3837-K3837, "")</f>
        <v/>
      </c>
      <c r="T3837" s="78" t="n"/>
      <c r="U3837" s="92">
        <f>IF(ISBLANK(P3837),"",IF(C3837="Buy",Q3837-M3837+T3837, IF(C3837="Sell",M3837-Q3837-T3837, X)))</f>
        <v/>
      </c>
      <c r="V3837" s="81">
        <f>IF(ISBLANK(P3837),"",U3837/N3837)</f>
        <v/>
      </c>
      <c r="W3837" s="81">
        <f>IF(ISBLANK(P3837),"",IF(S3837=0,(365/0.5)*V3837,(365/S3837)*V3837))</f>
        <v/>
      </c>
      <c r="X3837" s="75" t="n"/>
      <c r="Y3837" s="77" t="n"/>
      <c r="Z3837" s="77" t="n"/>
      <c r="AA3837" s="75" t="n"/>
      <c r="AB3837" s="75" t="n"/>
      <c r="AC3837" s="6" t="n"/>
      <c r="AD3837" s="75" t="n"/>
      <c r="AE3837" s="75" t="n"/>
      <c r="AF3837" s="75" t="n"/>
    </row>
    <row r="3838" ht="15.75" customHeight="1" s="133">
      <c r="A3838" s="75" t="n"/>
      <c r="B3838" s="75" t="n"/>
      <c r="C3838" s="75" t="n"/>
      <c r="D3838" s="75" t="n"/>
      <c r="E3838" s="76" t="n"/>
      <c r="F3838" s="77" t="n"/>
      <c r="G3838" s="75" t="n"/>
      <c r="H3838" s="75">
        <f>IF(ISBLANK(E3838),"",IF(OR(D3838="Butterfly",D3838="Butterfly ",D3838="Iron Fly", D3838="Iron Fly "),LEN(E3838)-LEN(SUBSTITUTE(E3838,"/",""))+2,LEN(E3838)-LEN(SUBSTITUTE(E3838,"/",""))+1))</f>
        <v/>
      </c>
      <c r="I3838" s="78">
        <f>IF(ISBLANK(G3838),"",IF(D3838="Stock","0",Key!$A$3*H3838*G3838))</f>
        <v/>
      </c>
      <c r="J3838" s="78">
        <f>IF(ISBLANK(E3838),"",IF(ISNUMBER(SEARCH("/",E3838)), IF(LEN(E3838)-LEN(SUBSTITUTE(E3838,"/",""))=1,(RIGHT(E3838,LEN(E3838)-FIND("/",E3838)))-(LEFT(E3838,FIND("/",E3838)-1)),(MID(E3838, SEARCH("/",E3838) + 1, SEARCH("/",E3838, SEARCH("/",E3838)+1) - SEARCH("/",E3838) - 1))-(LEFT(E3838,FIND("/",E3838)-1))), "NA"))</f>
        <v/>
      </c>
      <c r="K3838" s="79">
        <f>IF(A3838&lt;&gt;"", IF(ISBLANK(L3838), TODAY(), K3838), "")</f>
        <v/>
      </c>
      <c r="L3838" s="78" t="n"/>
      <c r="M3838" s="78">
        <f>IF(ISBLANK(L3838),"",IF(D3838="Stock",IF(C3838="Buy",L3838*G3838,IF(C3838="Sell",(L3838*G3838)-I3838, X)),IF(C3838="Buy",(L3838*G3838*100)+I3838,IF(C3838="Sell",(L3838*G3838*100)-I3838, X))))</f>
        <v/>
      </c>
      <c r="N3838" s="78">
        <f>IF(ISBLANK(L3838),"",IF(AND(C3838="Sell",D3838="Stock"),M3838,IF(ISBLANK(L3838),"",IF(C3838="Buy",M3838, IF(AND(C3838="Sell",J3838="NA"),(E3838*G3838*100*0.1)+I3838, IF(C3838="Sell",(J3838-L3838)*(100*G3838)+I3838))))))</f>
        <v/>
      </c>
      <c r="O3838" s="75" t="n"/>
      <c r="P3838" s="75" t="n"/>
      <c r="Q3838" s="75">
        <f>IF(ISBLANK(P3838),"",IF(D3838="Stock",P3838*G3838,IF(P3838=0,"0",G3838*P3838*100-(G3838*$AF$14))))</f>
        <v/>
      </c>
      <c r="R3838" s="79">
        <f>IF(P3838&lt;&gt;"", TODAY(), "")</f>
        <v/>
      </c>
      <c r="S3838" s="78">
        <f>IF(AND(K3838&lt;&gt;"", R3838&lt;&gt;""), R3838-K3838, "")</f>
        <v/>
      </c>
      <c r="T3838" s="78" t="n"/>
      <c r="U3838" s="92">
        <f>IF(ISBLANK(P3838),"",IF(C3838="Buy",Q3838-M3838+T3838, IF(C3838="Sell",M3838-Q3838-T3838, X)))</f>
        <v/>
      </c>
      <c r="V3838" s="81">
        <f>IF(ISBLANK(P3838),"",U3838/N3838)</f>
        <v/>
      </c>
      <c r="W3838" s="81">
        <f>IF(ISBLANK(P3838),"",IF(S3838=0,(365/0.5)*V3838,(365/S3838)*V3838))</f>
        <v/>
      </c>
      <c r="X3838" s="75" t="n"/>
      <c r="Y3838" s="77" t="n"/>
      <c r="Z3838" s="77" t="n"/>
      <c r="AA3838" s="75" t="n"/>
      <c r="AB3838" s="75" t="n"/>
      <c r="AC3838" s="6" t="n"/>
      <c r="AD3838" s="75" t="n"/>
      <c r="AE3838" s="75" t="n"/>
      <c r="AF3838" s="75" t="n"/>
    </row>
    <row r="3839" ht="15.75" customHeight="1" s="133">
      <c r="A3839" s="75" t="n"/>
      <c r="B3839" s="75" t="n"/>
      <c r="C3839" s="75" t="n"/>
      <c r="D3839" s="75" t="n"/>
      <c r="E3839" s="76" t="n"/>
      <c r="F3839" s="77" t="n"/>
      <c r="G3839" s="75" t="n"/>
      <c r="H3839" s="75">
        <f>IF(ISBLANK(E3839),"",IF(OR(D3839="Butterfly",D3839="Butterfly ",D3839="Iron Fly", D3839="Iron Fly "),LEN(E3839)-LEN(SUBSTITUTE(E3839,"/",""))+2,LEN(E3839)-LEN(SUBSTITUTE(E3839,"/",""))+1))</f>
        <v/>
      </c>
      <c r="I3839" s="78">
        <f>IF(ISBLANK(G3839),"",IF(D3839="Stock","0",Key!$A$3*H3839*G3839))</f>
        <v/>
      </c>
      <c r="J3839" s="78">
        <f>IF(ISBLANK(E3839),"",IF(ISNUMBER(SEARCH("/",E3839)), IF(LEN(E3839)-LEN(SUBSTITUTE(E3839,"/",""))=1,(RIGHT(E3839,LEN(E3839)-FIND("/",E3839)))-(LEFT(E3839,FIND("/",E3839)-1)),(MID(E3839, SEARCH("/",E3839) + 1, SEARCH("/",E3839, SEARCH("/",E3839)+1) - SEARCH("/",E3839) - 1))-(LEFT(E3839,FIND("/",E3839)-1))), "NA"))</f>
        <v/>
      </c>
      <c r="K3839" s="79">
        <f>IF(A3839&lt;&gt;"", IF(ISBLANK(L3839), TODAY(), K3839), "")</f>
        <v/>
      </c>
      <c r="L3839" s="78" t="n"/>
      <c r="M3839" s="78">
        <f>IF(ISBLANK(L3839),"",IF(D3839="Stock",IF(C3839="Buy",L3839*G3839,IF(C3839="Sell",(L3839*G3839)-I3839, X)),IF(C3839="Buy",(L3839*G3839*100)+I3839,IF(C3839="Sell",(L3839*G3839*100)-I3839, X))))</f>
        <v/>
      </c>
      <c r="N3839" s="78">
        <f>IF(ISBLANK(L3839),"",IF(AND(C3839="Sell",D3839="Stock"),M3839,IF(ISBLANK(L3839),"",IF(C3839="Buy",M3839, IF(AND(C3839="Sell",J3839="NA"),(E3839*G3839*100*0.1)+I3839, IF(C3839="Sell",(J3839-L3839)*(100*G3839)+I3839))))))</f>
        <v/>
      </c>
      <c r="O3839" s="75" t="n"/>
      <c r="P3839" s="75" t="n"/>
      <c r="Q3839" s="75">
        <f>IF(ISBLANK(P3839),"",IF(D3839="Stock",P3839*G3839,IF(P3839=0,"0",G3839*P3839*100-(G3839*$AF$14))))</f>
        <v/>
      </c>
      <c r="R3839" s="79">
        <f>IF(P3839&lt;&gt;"", TODAY(), "")</f>
        <v/>
      </c>
      <c r="S3839" s="78">
        <f>IF(AND(K3839&lt;&gt;"", R3839&lt;&gt;""), R3839-K3839, "")</f>
        <v/>
      </c>
      <c r="T3839" s="78" t="n"/>
      <c r="U3839" s="92">
        <f>IF(ISBLANK(P3839),"",IF(C3839="Buy",Q3839-M3839+T3839, IF(C3839="Sell",M3839-Q3839-T3839, X)))</f>
        <v/>
      </c>
      <c r="V3839" s="81">
        <f>IF(ISBLANK(P3839),"",U3839/N3839)</f>
        <v/>
      </c>
      <c r="W3839" s="81">
        <f>IF(ISBLANK(P3839),"",IF(S3839=0,(365/0.5)*V3839,(365/S3839)*V3839))</f>
        <v/>
      </c>
      <c r="X3839" s="75" t="n"/>
      <c r="Y3839" s="77" t="n"/>
      <c r="Z3839" s="77" t="n"/>
      <c r="AA3839" s="75" t="n"/>
      <c r="AB3839" s="75" t="n"/>
      <c r="AC3839" s="6" t="n"/>
      <c r="AD3839" s="75" t="n"/>
      <c r="AE3839" s="75" t="n"/>
      <c r="AF3839" s="75" t="n"/>
    </row>
    <row r="3840" ht="15.75" customHeight="1" s="133">
      <c r="A3840" s="75" t="n"/>
      <c r="B3840" s="75" t="n"/>
      <c r="C3840" s="75" t="n"/>
      <c r="D3840" s="75" t="n"/>
      <c r="E3840" s="76" t="n"/>
      <c r="F3840" s="77" t="n"/>
      <c r="G3840" s="75" t="n"/>
      <c r="H3840" s="75">
        <f>IF(ISBLANK(E3840),"",IF(OR(D3840="Butterfly",D3840="Butterfly ",D3840="Iron Fly", D3840="Iron Fly "),LEN(E3840)-LEN(SUBSTITUTE(E3840,"/",""))+2,LEN(E3840)-LEN(SUBSTITUTE(E3840,"/",""))+1))</f>
        <v/>
      </c>
      <c r="I3840" s="78">
        <f>IF(ISBLANK(G3840),"",IF(D3840="Stock","0",Key!$A$3*H3840*G3840))</f>
        <v/>
      </c>
      <c r="J3840" s="78">
        <f>IF(ISBLANK(E3840),"",IF(ISNUMBER(SEARCH("/",E3840)), IF(LEN(E3840)-LEN(SUBSTITUTE(E3840,"/",""))=1,(RIGHT(E3840,LEN(E3840)-FIND("/",E3840)))-(LEFT(E3840,FIND("/",E3840)-1)),(MID(E3840, SEARCH("/",E3840) + 1, SEARCH("/",E3840, SEARCH("/",E3840)+1) - SEARCH("/",E3840) - 1))-(LEFT(E3840,FIND("/",E3840)-1))), "NA"))</f>
        <v/>
      </c>
      <c r="K3840" s="79">
        <f>IF(A3840&lt;&gt;"", IF(ISBLANK(L3840), TODAY(), K3840), "")</f>
        <v/>
      </c>
      <c r="L3840" s="78" t="n"/>
      <c r="M3840" s="78">
        <f>IF(ISBLANK(L3840),"",IF(D3840="Stock",IF(C3840="Buy",L3840*G3840,IF(C3840="Sell",(L3840*G3840)-I3840, X)),IF(C3840="Buy",(L3840*G3840*100)+I3840,IF(C3840="Sell",(L3840*G3840*100)-I3840, X))))</f>
        <v/>
      </c>
      <c r="N3840" s="78">
        <f>IF(ISBLANK(L3840),"",IF(AND(C3840="Sell",D3840="Stock"),M3840,IF(ISBLANK(L3840),"",IF(C3840="Buy",M3840, IF(AND(C3840="Sell",J3840="NA"),(E3840*G3840*100*0.1)+I3840, IF(C3840="Sell",(J3840-L3840)*(100*G3840)+I3840))))))</f>
        <v/>
      </c>
      <c r="O3840" s="75" t="n"/>
      <c r="P3840" s="75" t="n"/>
      <c r="Q3840" s="75">
        <f>IF(ISBLANK(P3840),"",IF(D3840="Stock",P3840*G3840,IF(P3840=0,"0",G3840*P3840*100-(G3840*$AF$14))))</f>
        <v/>
      </c>
      <c r="R3840" s="79">
        <f>IF(P3840&lt;&gt;"", TODAY(), "")</f>
        <v/>
      </c>
      <c r="S3840" s="78">
        <f>IF(AND(K3840&lt;&gt;"", R3840&lt;&gt;""), R3840-K3840, "")</f>
        <v/>
      </c>
      <c r="T3840" s="78" t="n"/>
      <c r="U3840" s="92">
        <f>IF(ISBLANK(P3840),"",IF(C3840="Buy",Q3840-M3840+T3840, IF(C3840="Sell",M3840-Q3840-T3840, X)))</f>
        <v/>
      </c>
      <c r="V3840" s="81">
        <f>IF(ISBLANK(P3840),"",U3840/N3840)</f>
        <v/>
      </c>
      <c r="W3840" s="81">
        <f>IF(ISBLANK(P3840),"",IF(S3840=0,(365/0.5)*V3840,(365/S3840)*V3840))</f>
        <v/>
      </c>
      <c r="X3840" s="75" t="n"/>
      <c r="Y3840" s="77" t="n"/>
      <c r="Z3840" s="77" t="n"/>
      <c r="AA3840" s="75" t="n"/>
      <c r="AB3840" s="75" t="n"/>
      <c r="AC3840" s="6" t="n"/>
      <c r="AD3840" s="75" t="n"/>
      <c r="AE3840" s="75" t="n"/>
      <c r="AF3840" s="75" t="n"/>
    </row>
    <row r="3841" ht="15.75" customHeight="1" s="133">
      <c r="A3841" s="75" t="n"/>
      <c r="B3841" s="75" t="n"/>
      <c r="C3841" s="75" t="n"/>
      <c r="D3841" s="75" t="n"/>
      <c r="E3841" s="76" t="n"/>
      <c r="F3841" s="77" t="n"/>
      <c r="G3841" s="75" t="n"/>
      <c r="H3841" s="75">
        <f>IF(ISBLANK(E3841),"",IF(OR(D3841="Butterfly",D3841="Butterfly ",D3841="Iron Fly", D3841="Iron Fly "),LEN(E3841)-LEN(SUBSTITUTE(E3841,"/",""))+2,LEN(E3841)-LEN(SUBSTITUTE(E3841,"/",""))+1))</f>
        <v/>
      </c>
      <c r="I3841" s="78">
        <f>IF(ISBLANK(G3841),"",IF(D3841="Stock","0",Key!$A$3*H3841*G3841))</f>
        <v/>
      </c>
      <c r="J3841" s="78">
        <f>IF(ISBLANK(E3841),"",IF(ISNUMBER(SEARCH("/",E3841)), IF(LEN(E3841)-LEN(SUBSTITUTE(E3841,"/",""))=1,(RIGHT(E3841,LEN(E3841)-FIND("/",E3841)))-(LEFT(E3841,FIND("/",E3841)-1)),(MID(E3841, SEARCH("/",E3841) + 1, SEARCH("/",E3841, SEARCH("/",E3841)+1) - SEARCH("/",E3841) - 1))-(LEFT(E3841,FIND("/",E3841)-1))), "NA"))</f>
        <v/>
      </c>
      <c r="K3841" s="79">
        <f>IF(A3841&lt;&gt;"", IF(ISBLANK(L3841), TODAY(), K3841), "")</f>
        <v/>
      </c>
      <c r="L3841" s="78" t="n"/>
      <c r="M3841" s="78">
        <f>IF(ISBLANK(L3841),"",IF(D3841="Stock",IF(C3841="Buy",L3841*G3841,IF(C3841="Sell",(L3841*G3841)-I3841, X)),IF(C3841="Buy",(L3841*G3841*100)+I3841,IF(C3841="Sell",(L3841*G3841*100)-I3841, X))))</f>
        <v/>
      </c>
      <c r="N3841" s="78">
        <f>IF(ISBLANK(L3841),"",IF(AND(C3841="Sell",D3841="Stock"),M3841,IF(ISBLANK(L3841),"",IF(C3841="Buy",M3841, IF(AND(C3841="Sell",J3841="NA"),(E3841*G3841*100*0.1)+I3841, IF(C3841="Sell",(J3841-L3841)*(100*G3841)+I3841))))))</f>
        <v/>
      </c>
      <c r="O3841" s="75" t="n"/>
      <c r="P3841" s="75" t="n"/>
      <c r="Q3841" s="75">
        <f>IF(ISBLANK(P3841),"",IF(D3841="Stock",P3841*G3841,IF(P3841=0,"0",G3841*P3841*100-(G3841*$AF$14))))</f>
        <v/>
      </c>
      <c r="R3841" s="79">
        <f>IF(P3841&lt;&gt;"", TODAY(), "")</f>
        <v/>
      </c>
      <c r="S3841" s="78">
        <f>IF(AND(K3841&lt;&gt;"", R3841&lt;&gt;""), R3841-K3841, "")</f>
        <v/>
      </c>
      <c r="T3841" s="78" t="n"/>
      <c r="U3841" s="92">
        <f>IF(ISBLANK(P3841),"",IF(C3841="Buy",Q3841-M3841+T3841, IF(C3841="Sell",M3841-Q3841-T3841, X)))</f>
        <v/>
      </c>
      <c r="V3841" s="81">
        <f>IF(ISBLANK(P3841),"",U3841/N3841)</f>
        <v/>
      </c>
      <c r="W3841" s="81">
        <f>IF(ISBLANK(P3841),"",IF(S3841=0,(365/0.5)*V3841,(365/S3841)*V3841))</f>
        <v/>
      </c>
      <c r="X3841" s="75" t="n"/>
      <c r="Y3841" s="77" t="n"/>
      <c r="Z3841" s="77" t="n"/>
      <c r="AA3841" s="75" t="n"/>
      <c r="AB3841" s="75" t="n"/>
      <c r="AC3841" s="6" t="n"/>
      <c r="AD3841" s="75" t="n"/>
      <c r="AE3841" s="75" t="n"/>
      <c r="AF3841" s="75" t="n"/>
    </row>
    <row r="3842" ht="15.75" customHeight="1" s="133">
      <c r="A3842" s="75" t="n"/>
      <c r="B3842" s="75" t="n"/>
      <c r="C3842" s="75" t="n"/>
      <c r="D3842" s="75" t="n"/>
      <c r="E3842" s="76" t="n"/>
      <c r="F3842" s="77" t="n"/>
      <c r="G3842" s="75" t="n"/>
      <c r="H3842" s="75">
        <f>IF(ISBLANK(E3842),"",IF(OR(D3842="Butterfly",D3842="Butterfly ",D3842="Iron Fly", D3842="Iron Fly "),LEN(E3842)-LEN(SUBSTITUTE(E3842,"/",""))+2,LEN(E3842)-LEN(SUBSTITUTE(E3842,"/",""))+1))</f>
        <v/>
      </c>
      <c r="I3842" s="78">
        <f>IF(ISBLANK(G3842),"",IF(D3842="Stock","0",Key!$A$3*H3842*G3842))</f>
        <v/>
      </c>
      <c r="J3842" s="78">
        <f>IF(ISBLANK(E3842),"",IF(ISNUMBER(SEARCH("/",E3842)), IF(LEN(E3842)-LEN(SUBSTITUTE(E3842,"/",""))=1,(RIGHT(E3842,LEN(E3842)-FIND("/",E3842)))-(LEFT(E3842,FIND("/",E3842)-1)),(MID(E3842, SEARCH("/",E3842) + 1, SEARCH("/",E3842, SEARCH("/",E3842)+1) - SEARCH("/",E3842) - 1))-(LEFT(E3842,FIND("/",E3842)-1))), "NA"))</f>
        <v/>
      </c>
      <c r="K3842" s="79">
        <f>IF(A3842&lt;&gt;"", IF(ISBLANK(L3842), TODAY(), K3842), "")</f>
        <v/>
      </c>
      <c r="L3842" s="78" t="n"/>
      <c r="M3842" s="78">
        <f>IF(ISBLANK(L3842),"",IF(D3842="Stock",IF(C3842="Buy",L3842*G3842,IF(C3842="Sell",(L3842*G3842)-I3842, X)),IF(C3842="Buy",(L3842*G3842*100)+I3842,IF(C3842="Sell",(L3842*G3842*100)-I3842, X))))</f>
        <v/>
      </c>
      <c r="N3842" s="78">
        <f>IF(ISBLANK(L3842),"",IF(AND(C3842="Sell",D3842="Stock"),M3842,IF(ISBLANK(L3842),"",IF(C3842="Buy",M3842, IF(AND(C3842="Sell",J3842="NA"),(E3842*G3842*100*0.1)+I3842, IF(C3842="Sell",(J3842-L3842)*(100*G3842)+I3842))))))</f>
        <v/>
      </c>
      <c r="O3842" s="75" t="n"/>
      <c r="P3842" s="75" t="n"/>
      <c r="Q3842" s="75">
        <f>IF(ISBLANK(P3842),"",IF(D3842="Stock",P3842*G3842,IF(P3842=0,"0",G3842*P3842*100-(G3842*$AF$14))))</f>
        <v/>
      </c>
      <c r="R3842" s="79">
        <f>IF(P3842&lt;&gt;"", TODAY(), "")</f>
        <v/>
      </c>
      <c r="S3842" s="78">
        <f>IF(AND(K3842&lt;&gt;"", R3842&lt;&gt;""), R3842-K3842, "")</f>
        <v/>
      </c>
      <c r="T3842" s="78" t="n"/>
      <c r="U3842" s="92">
        <f>IF(ISBLANK(P3842),"",IF(C3842="Buy",Q3842-M3842+T3842, IF(C3842="Sell",M3842-Q3842-T3842, X)))</f>
        <v/>
      </c>
      <c r="V3842" s="81">
        <f>IF(ISBLANK(P3842),"",U3842/N3842)</f>
        <v/>
      </c>
      <c r="W3842" s="81">
        <f>IF(ISBLANK(P3842),"",IF(S3842=0,(365/0.5)*V3842,(365/S3842)*V3842))</f>
        <v/>
      </c>
      <c r="X3842" s="75" t="n"/>
      <c r="Y3842" s="77" t="n"/>
      <c r="Z3842" s="77" t="n"/>
      <c r="AA3842" s="75" t="n"/>
      <c r="AB3842" s="75" t="n"/>
      <c r="AC3842" s="6" t="n"/>
      <c r="AD3842" s="75" t="n"/>
      <c r="AE3842" s="75" t="n"/>
      <c r="AF3842" s="75" t="n"/>
    </row>
    <row r="3843" ht="15.75" customHeight="1" s="133">
      <c r="A3843" s="75" t="n"/>
      <c r="B3843" s="75" t="n"/>
      <c r="C3843" s="75" t="n"/>
      <c r="D3843" s="75" t="n"/>
      <c r="E3843" s="76" t="n"/>
      <c r="F3843" s="77" t="n"/>
      <c r="G3843" s="75" t="n"/>
      <c r="H3843" s="75">
        <f>IF(ISBLANK(E3843),"",IF(OR(D3843="Butterfly",D3843="Butterfly ",D3843="Iron Fly", D3843="Iron Fly "),LEN(E3843)-LEN(SUBSTITUTE(E3843,"/",""))+2,LEN(E3843)-LEN(SUBSTITUTE(E3843,"/",""))+1))</f>
        <v/>
      </c>
      <c r="I3843" s="78">
        <f>IF(ISBLANK(G3843),"",IF(D3843="Stock","0",Key!$A$3*H3843*G3843))</f>
        <v/>
      </c>
      <c r="J3843" s="78">
        <f>IF(ISBLANK(E3843),"",IF(ISNUMBER(SEARCH("/",E3843)), IF(LEN(E3843)-LEN(SUBSTITUTE(E3843,"/",""))=1,(RIGHT(E3843,LEN(E3843)-FIND("/",E3843)))-(LEFT(E3843,FIND("/",E3843)-1)),(MID(E3843, SEARCH("/",E3843) + 1, SEARCH("/",E3843, SEARCH("/",E3843)+1) - SEARCH("/",E3843) - 1))-(LEFT(E3843,FIND("/",E3843)-1))), "NA"))</f>
        <v/>
      </c>
      <c r="K3843" s="79">
        <f>IF(A3843&lt;&gt;"", IF(ISBLANK(L3843), TODAY(), K3843), "")</f>
        <v/>
      </c>
      <c r="L3843" s="78" t="n"/>
      <c r="M3843" s="78">
        <f>IF(ISBLANK(L3843),"",IF(D3843="Stock",IF(C3843="Buy",L3843*G3843,IF(C3843="Sell",(L3843*G3843)-I3843, X)),IF(C3843="Buy",(L3843*G3843*100)+I3843,IF(C3843="Sell",(L3843*G3843*100)-I3843, X))))</f>
        <v/>
      </c>
      <c r="N3843" s="78">
        <f>IF(ISBLANK(L3843),"",IF(AND(C3843="Sell",D3843="Stock"),M3843,IF(ISBLANK(L3843),"",IF(C3843="Buy",M3843, IF(AND(C3843="Sell",J3843="NA"),(E3843*G3843*100*0.1)+I3843, IF(C3843="Sell",(J3843-L3843)*(100*G3843)+I3843))))))</f>
        <v/>
      </c>
      <c r="O3843" s="75" t="n"/>
      <c r="P3843" s="75" t="n"/>
      <c r="Q3843" s="75">
        <f>IF(ISBLANK(P3843),"",IF(D3843="Stock",P3843*G3843,IF(P3843=0,"0",G3843*P3843*100-(G3843*$AF$14))))</f>
        <v/>
      </c>
      <c r="R3843" s="79">
        <f>IF(P3843&lt;&gt;"", TODAY(), "")</f>
        <v/>
      </c>
      <c r="S3843" s="78">
        <f>IF(AND(K3843&lt;&gt;"", R3843&lt;&gt;""), R3843-K3843, "")</f>
        <v/>
      </c>
      <c r="T3843" s="78" t="n"/>
      <c r="U3843" s="92">
        <f>IF(ISBLANK(P3843),"",IF(C3843="Buy",Q3843-M3843+T3843, IF(C3843="Sell",M3843-Q3843-T3843, X)))</f>
        <v/>
      </c>
      <c r="V3843" s="81">
        <f>IF(ISBLANK(P3843),"",U3843/N3843)</f>
        <v/>
      </c>
      <c r="W3843" s="81">
        <f>IF(ISBLANK(P3843),"",IF(S3843=0,(365/0.5)*V3843,(365/S3843)*V3843))</f>
        <v/>
      </c>
      <c r="X3843" s="75" t="n"/>
      <c r="Y3843" s="77" t="n"/>
      <c r="Z3843" s="77" t="n"/>
      <c r="AA3843" s="75" t="n"/>
      <c r="AB3843" s="75" t="n"/>
      <c r="AC3843" s="6" t="n"/>
      <c r="AD3843" s="75" t="n"/>
      <c r="AE3843" s="75" t="n"/>
      <c r="AF3843" s="75" t="n"/>
    </row>
    <row r="3844" ht="15.75" customHeight="1" s="133">
      <c r="A3844" s="75" t="n"/>
      <c r="B3844" s="75" t="n"/>
      <c r="C3844" s="75" t="n"/>
      <c r="D3844" s="75" t="n"/>
      <c r="E3844" s="76" t="n"/>
      <c r="F3844" s="77" t="n"/>
      <c r="G3844" s="75" t="n"/>
      <c r="H3844" s="75">
        <f>IF(ISBLANK(E3844),"",IF(OR(D3844="Butterfly",D3844="Butterfly ",D3844="Iron Fly", D3844="Iron Fly "),LEN(E3844)-LEN(SUBSTITUTE(E3844,"/",""))+2,LEN(E3844)-LEN(SUBSTITUTE(E3844,"/",""))+1))</f>
        <v/>
      </c>
      <c r="I3844" s="78">
        <f>IF(ISBLANK(G3844),"",IF(D3844="Stock","0",Key!$A$3*H3844*G3844))</f>
        <v/>
      </c>
      <c r="J3844" s="78">
        <f>IF(ISBLANK(E3844),"",IF(ISNUMBER(SEARCH("/",E3844)), IF(LEN(E3844)-LEN(SUBSTITUTE(E3844,"/",""))=1,(RIGHT(E3844,LEN(E3844)-FIND("/",E3844)))-(LEFT(E3844,FIND("/",E3844)-1)),(MID(E3844, SEARCH("/",E3844) + 1, SEARCH("/",E3844, SEARCH("/",E3844)+1) - SEARCH("/",E3844) - 1))-(LEFT(E3844,FIND("/",E3844)-1))), "NA"))</f>
        <v/>
      </c>
      <c r="K3844" s="79">
        <f>IF(A3844&lt;&gt;"", IF(ISBLANK(L3844), TODAY(), K3844), "")</f>
        <v/>
      </c>
      <c r="L3844" s="78" t="n"/>
      <c r="M3844" s="78">
        <f>IF(ISBLANK(L3844),"",IF(D3844="Stock",IF(C3844="Buy",L3844*G3844,IF(C3844="Sell",(L3844*G3844)-I3844, X)),IF(C3844="Buy",(L3844*G3844*100)+I3844,IF(C3844="Sell",(L3844*G3844*100)-I3844, X))))</f>
        <v/>
      </c>
      <c r="N3844" s="78">
        <f>IF(ISBLANK(L3844),"",IF(AND(C3844="Sell",D3844="Stock"),M3844,IF(ISBLANK(L3844),"",IF(C3844="Buy",M3844, IF(AND(C3844="Sell",J3844="NA"),(E3844*G3844*100*0.1)+I3844, IF(C3844="Sell",(J3844-L3844)*(100*G3844)+I3844))))))</f>
        <v/>
      </c>
      <c r="O3844" s="75" t="n"/>
      <c r="P3844" s="75" t="n"/>
      <c r="Q3844" s="75">
        <f>IF(ISBLANK(P3844),"",IF(D3844="Stock",P3844*G3844,IF(P3844=0,"0",G3844*P3844*100-(G3844*$AF$14))))</f>
        <v/>
      </c>
      <c r="R3844" s="79">
        <f>IF(P3844&lt;&gt;"", TODAY(), "")</f>
        <v/>
      </c>
      <c r="S3844" s="78">
        <f>IF(AND(K3844&lt;&gt;"", R3844&lt;&gt;""), R3844-K3844, "")</f>
        <v/>
      </c>
      <c r="T3844" s="78" t="n"/>
      <c r="U3844" s="92">
        <f>IF(ISBLANK(P3844),"",IF(C3844="Buy",Q3844-M3844+T3844, IF(C3844="Sell",M3844-Q3844-T3844, X)))</f>
        <v/>
      </c>
      <c r="V3844" s="81">
        <f>IF(ISBLANK(P3844),"",U3844/N3844)</f>
        <v/>
      </c>
      <c r="W3844" s="81">
        <f>IF(ISBLANK(P3844),"",IF(S3844=0,(365/0.5)*V3844,(365/S3844)*V3844))</f>
        <v/>
      </c>
      <c r="X3844" s="75" t="n"/>
      <c r="Y3844" s="77" t="n"/>
      <c r="Z3844" s="77" t="n"/>
      <c r="AA3844" s="75" t="n"/>
      <c r="AB3844" s="75" t="n"/>
      <c r="AC3844" s="6" t="n"/>
      <c r="AD3844" s="75" t="n"/>
      <c r="AE3844" s="75" t="n"/>
      <c r="AF3844" s="75" t="n"/>
    </row>
    <row r="3845" ht="15.75" customHeight="1" s="133">
      <c r="A3845" s="75" t="n"/>
      <c r="B3845" s="75" t="n"/>
      <c r="C3845" s="75" t="n"/>
      <c r="D3845" s="75" t="n"/>
      <c r="E3845" s="76" t="n"/>
      <c r="F3845" s="77" t="n"/>
      <c r="G3845" s="75" t="n"/>
      <c r="H3845" s="75">
        <f>IF(ISBLANK(E3845),"",IF(OR(D3845="Butterfly",D3845="Butterfly ",D3845="Iron Fly", D3845="Iron Fly "),LEN(E3845)-LEN(SUBSTITUTE(E3845,"/",""))+2,LEN(E3845)-LEN(SUBSTITUTE(E3845,"/",""))+1))</f>
        <v/>
      </c>
      <c r="I3845" s="78">
        <f>IF(ISBLANK(G3845),"",IF(D3845="Stock","0",Key!$A$3*H3845*G3845))</f>
        <v/>
      </c>
      <c r="J3845" s="78">
        <f>IF(ISBLANK(E3845),"",IF(ISNUMBER(SEARCH("/",E3845)), IF(LEN(E3845)-LEN(SUBSTITUTE(E3845,"/",""))=1,(RIGHT(E3845,LEN(E3845)-FIND("/",E3845)))-(LEFT(E3845,FIND("/",E3845)-1)),(MID(E3845, SEARCH("/",E3845) + 1, SEARCH("/",E3845, SEARCH("/",E3845)+1) - SEARCH("/",E3845) - 1))-(LEFT(E3845,FIND("/",E3845)-1))), "NA"))</f>
        <v/>
      </c>
      <c r="K3845" s="79">
        <f>IF(A3845&lt;&gt;"", IF(ISBLANK(L3845), TODAY(), K3845), "")</f>
        <v/>
      </c>
      <c r="L3845" s="78" t="n"/>
      <c r="M3845" s="78">
        <f>IF(ISBLANK(L3845),"",IF(D3845="Stock",IF(C3845="Buy",L3845*G3845,IF(C3845="Sell",(L3845*G3845)-I3845, X)),IF(C3845="Buy",(L3845*G3845*100)+I3845,IF(C3845="Sell",(L3845*G3845*100)-I3845, X))))</f>
        <v/>
      </c>
      <c r="N3845" s="78">
        <f>IF(ISBLANK(L3845),"",IF(AND(C3845="Sell",D3845="Stock"),M3845,IF(ISBLANK(L3845),"",IF(C3845="Buy",M3845, IF(AND(C3845="Sell",J3845="NA"),(E3845*G3845*100*0.1)+I3845, IF(C3845="Sell",(J3845-L3845)*(100*G3845)+I3845))))))</f>
        <v/>
      </c>
      <c r="O3845" s="75" t="n"/>
      <c r="P3845" s="75" t="n"/>
      <c r="Q3845" s="75">
        <f>IF(ISBLANK(P3845),"",IF(D3845="Stock",P3845*G3845,IF(P3845=0,"0",G3845*P3845*100-(G3845*$AF$14))))</f>
        <v/>
      </c>
      <c r="R3845" s="79">
        <f>IF(P3845&lt;&gt;"", TODAY(), "")</f>
        <v/>
      </c>
      <c r="S3845" s="78">
        <f>IF(AND(K3845&lt;&gt;"", R3845&lt;&gt;""), R3845-K3845, "")</f>
        <v/>
      </c>
      <c r="T3845" s="78" t="n"/>
      <c r="U3845" s="92">
        <f>IF(ISBLANK(P3845),"",IF(C3845="Buy",Q3845-M3845+T3845, IF(C3845="Sell",M3845-Q3845-T3845, X)))</f>
        <v/>
      </c>
      <c r="V3845" s="81">
        <f>IF(ISBLANK(P3845),"",U3845/N3845)</f>
        <v/>
      </c>
      <c r="W3845" s="81">
        <f>IF(ISBLANK(P3845),"",IF(S3845=0,(365/0.5)*V3845,(365/S3845)*V3845))</f>
        <v/>
      </c>
      <c r="X3845" s="75" t="n"/>
      <c r="Y3845" s="77" t="n"/>
      <c r="Z3845" s="77" t="n"/>
      <c r="AA3845" s="75" t="n"/>
      <c r="AB3845" s="75" t="n"/>
      <c r="AC3845" s="6" t="n"/>
      <c r="AD3845" s="75" t="n"/>
      <c r="AE3845" s="75" t="n"/>
      <c r="AF3845" s="75" t="n"/>
    </row>
    <row r="3846" ht="15.75" customHeight="1" s="133">
      <c r="A3846" s="75" t="n"/>
      <c r="B3846" s="75" t="n"/>
      <c r="C3846" s="75" t="n"/>
      <c r="D3846" s="75" t="n"/>
      <c r="E3846" s="76" t="n"/>
      <c r="F3846" s="77" t="n"/>
      <c r="G3846" s="75" t="n"/>
      <c r="H3846" s="75">
        <f>IF(ISBLANK(E3846),"",IF(OR(D3846="Butterfly",D3846="Butterfly ",D3846="Iron Fly", D3846="Iron Fly "),LEN(E3846)-LEN(SUBSTITUTE(E3846,"/",""))+2,LEN(E3846)-LEN(SUBSTITUTE(E3846,"/",""))+1))</f>
        <v/>
      </c>
      <c r="I3846" s="78">
        <f>IF(ISBLANK(G3846),"",IF(D3846="Stock","0",Key!$A$3*H3846*G3846))</f>
        <v/>
      </c>
      <c r="J3846" s="78">
        <f>IF(ISBLANK(E3846),"",IF(ISNUMBER(SEARCH("/",E3846)), IF(LEN(E3846)-LEN(SUBSTITUTE(E3846,"/",""))=1,(RIGHT(E3846,LEN(E3846)-FIND("/",E3846)))-(LEFT(E3846,FIND("/",E3846)-1)),(MID(E3846, SEARCH("/",E3846) + 1, SEARCH("/",E3846, SEARCH("/",E3846)+1) - SEARCH("/",E3846) - 1))-(LEFT(E3846,FIND("/",E3846)-1))), "NA"))</f>
        <v/>
      </c>
      <c r="K3846" s="79">
        <f>IF(A3846&lt;&gt;"", IF(ISBLANK(L3846), TODAY(), K3846), "")</f>
        <v/>
      </c>
      <c r="L3846" s="78" t="n"/>
      <c r="M3846" s="78">
        <f>IF(ISBLANK(L3846),"",IF(D3846="Stock",IF(C3846="Buy",L3846*G3846,IF(C3846="Sell",(L3846*G3846)-I3846, X)),IF(C3846="Buy",(L3846*G3846*100)+I3846,IF(C3846="Sell",(L3846*G3846*100)-I3846, X))))</f>
        <v/>
      </c>
      <c r="N3846" s="78">
        <f>IF(ISBLANK(L3846),"",IF(AND(C3846="Sell",D3846="Stock"),M3846,IF(ISBLANK(L3846),"",IF(C3846="Buy",M3846, IF(AND(C3846="Sell",J3846="NA"),(E3846*G3846*100*0.1)+I3846, IF(C3846="Sell",(J3846-L3846)*(100*G3846)+I3846))))))</f>
        <v/>
      </c>
      <c r="O3846" s="75" t="n"/>
      <c r="P3846" s="75" t="n"/>
      <c r="Q3846" s="75">
        <f>IF(ISBLANK(P3846),"",IF(D3846="Stock",P3846*G3846,IF(P3846=0,"0",G3846*P3846*100-(G3846*$AF$14))))</f>
        <v/>
      </c>
      <c r="R3846" s="79">
        <f>IF(P3846&lt;&gt;"", TODAY(), "")</f>
        <v/>
      </c>
      <c r="S3846" s="78">
        <f>IF(AND(K3846&lt;&gt;"", R3846&lt;&gt;""), R3846-K3846, "")</f>
        <v/>
      </c>
      <c r="T3846" s="78" t="n"/>
      <c r="U3846" s="92">
        <f>IF(ISBLANK(P3846),"",IF(C3846="Buy",Q3846-M3846+T3846, IF(C3846="Sell",M3846-Q3846-T3846, X)))</f>
        <v/>
      </c>
      <c r="V3846" s="81">
        <f>IF(ISBLANK(P3846),"",U3846/N3846)</f>
        <v/>
      </c>
      <c r="W3846" s="81">
        <f>IF(ISBLANK(P3846),"",IF(S3846=0,(365/0.5)*V3846,(365/S3846)*V3846))</f>
        <v/>
      </c>
      <c r="X3846" s="75" t="n"/>
      <c r="Y3846" s="77" t="n"/>
      <c r="Z3846" s="77" t="n"/>
      <c r="AA3846" s="75" t="n"/>
      <c r="AB3846" s="75" t="n"/>
      <c r="AC3846" s="6" t="n"/>
      <c r="AD3846" s="75" t="n"/>
      <c r="AE3846" s="75" t="n"/>
      <c r="AF3846" s="75" t="n"/>
    </row>
    <row r="3847" ht="15.75" customHeight="1" s="133">
      <c r="A3847" s="75" t="n"/>
      <c r="B3847" s="75" t="n"/>
      <c r="C3847" s="75" t="n"/>
      <c r="D3847" s="75" t="n"/>
      <c r="E3847" s="76" t="n"/>
      <c r="F3847" s="77" t="n"/>
      <c r="G3847" s="75" t="n"/>
      <c r="H3847" s="75">
        <f>IF(ISBLANK(E3847),"",IF(OR(D3847="Butterfly",D3847="Butterfly ",D3847="Iron Fly", D3847="Iron Fly "),LEN(E3847)-LEN(SUBSTITUTE(E3847,"/",""))+2,LEN(E3847)-LEN(SUBSTITUTE(E3847,"/",""))+1))</f>
        <v/>
      </c>
      <c r="I3847" s="78">
        <f>IF(ISBLANK(G3847),"",IF(D3847="Stock","0",Key!$A$3*H3847*G3847))</f>
        <v/>
      </c>
      <c r="J3847" s="78">
        <f>IF(ISBLANK(E3847),"",IF(ISNUMBER(SEARCH("/",E3847)), IF(LEN(E3847)-LEN(SUBSTITUTE(E3847,"/",""))=1,(RIGHT(E3847,LEN(E3847)-FIND("/",E3847)))-(LEFT(E3847,FIND("/",E3847)-1)),(MID(E3847, SEARCH("/",E3847) + 1, SEARCH("/",E3847, SEARCH("/",E3847)+1) - SEARCH("/",E3847) - 1))-(LEFT(E3847,FIND("/",E3847)-1))), "NA"))</f>
        <v/>
      </c>
      <c r="K3847" s="79">
        <f>IF(A3847&lt;&gt;"", IF(ISBLANK(L3847), TODAY(), K3847), "")</f>
        <v/>
      </c>
      <c r="L3847" s="78" t="n"/>
      <c r="M3847" s="78">
        <f>IF(ISBLANK(L3847),"",IF(D3847="Stock",IF(C3847="Buy",L3847*G3847,IF(C3847="Sell",(L3847*G3847)-I3847, X)),IF(C3847="Buy",(L3847*G3847*100)+I3847,IF(C3847="Sell",(L3847*G3847*100)-I3847, X))))</f>
        <v/>
      </c>
      <c r="N3847" s="78">
        <f>IF(ISBLANK(L3847),"",IF(AND(C3847="Sell",D3847="Stock"),M3847,IF(ISBLANK(L3847),"",IF(C3847="Buy",M3847, IF(AND(C3847="Sell",J3847="NA"),(E3847*G3847*100*0.1)+I3847, IF(C3847="Sell",(J3847-L3847)*(100*G3847)+I3847))))))</f>
        <v/>
      </c>
      <c r="O3847" s="75" t="n"/>
      <c r="P3847" s="75" t="n"/>
      <c r="Q3847" s="75">
        <f>IF(ISBLANK(P3847),"",IF(D3847="Stock",P3847*G3847,IF(P3847=0,"0",G3847*P3847*100-(G3847*$AF$14))))</f>
        <v/>
      </c>
      <c r="R3847" s="79">
        <f>IF(P3847&lt;&gt;"", TODAY(), "")</f>
        <v/>
      </c>
      <c r="S3847" s="78">
        <f>IF(AND(K3847&lt;&gt;"", R3847&lt;&gt;""), R3847-K3847, "")</f>
        <v/>
      </c>
      <c r="T3847" s="78" t="n"/>
      <c r="U3847" s="92">
        <f>IF(ISBLANK(P3847),"",IF(C3847="Buy",Q3847-M3847+T3847, IF(C3847="Sell",M3847-Q3847-T3847, X)))</f>
        <v/>
      </c>
      <c r="V3847" s="81">
        <f>IF(ISBLANK(P3847),"",U3847/N3847)</f>
        <v/>
      </c>
      <c r="W3847" s="81">
        <f>IF(ISBLANK(P3847),"",IF(S3847=0,(365/0.5)*V3847,(365/S3847)*V3847))</f>
        <v/>
      </c>
      <c r="X3847" s="75" t="n"/>
      <c r="Y3847" s="77" t="n"/>
      <c r="Z3847" s="77" t="n"/>
      <c r="AA3847" s="75" t="n"/>
      <c r="AB3847" s="75" t="n"/>
      <c r="AC3847" s="6" t="n"/>
      <c r="AD3847" s="75" t="n"/>
      <c r="AE3847" s="75" t="n"/>
      <c r="AF3847" s="75" t="n"/>
    </row>
    <row r="3848" ht="15.75" customHeight="1" s="133">
      <c r="A3848" s="75" t="n"/>
      <c r="B3848" s="75" t="n"/>
      <c r="C3848" s="75" t="n"/>
      <c r="D3848" s="75" t="n"/>
      <c r="E3848" s="76" t="n"/>
      <c r="F3848" s="77" t="n"/>
      <c r="G3848" s="75" t="n"/>
      <c r="H3848" s="75">
        <f>IF(ISBLANK(E3848),"",IF(OR(D3848="Butterfly",D3848="Butterfly ",D3848="Iron Fly", D3848="Iron Fly "),LEN(E3848)-LEN(SUBSTITUTE(E3848,"/",""))+2,LEN(E3848)-LEN(SUBSTITUTE(E3848,"/",""))+1))</f>
        <v/>
      </c>
      <c r="I3848" s="78">
        <f>IF(ISBLANK(G3848),"",IF(D3848="Stock","0",Key!$A$3*H3848*G3848))</f>
        <v/>
      </c>
      <c r="J3848" s="78">
        <f>IF(ISBLANK(E3848),"",IF(ISNUMBER(SEARCH("/",E3848)), IF(LEN(E3848)-LEN(SUBSTITUTE(E3848,"/",""))=1,(RIGHT(E3848,LEN(E3848)-FIND("/",E3848)))-(LEFT(E3848,FIND("/",E3848)-1)),(MID(E3848, SEARCH("/",E3848) + 1, SEARCH("/",E3848, SEARCH("/",E3848)+1) - SEARCH("/",E3848) - 1))-(LEFT(E3848,FIND("/",E3848)-1))), "NA"))</f>
        <v/>
      </c>
      <c r="K3848" s="79">
        <f>IF(A3848&lt;&gt;"", IF(ISBLANK(L3848), TODAY(), K3848), "")</f>
        <v/>
      </c>
      <c r="L3848" s="78" t="n"/>
      <c r="M3848" s="78">
        <f>IF(ISBLANK(L3848),"",IF(D3848="Stock",IF(C3848="Buy",L3848*G3848,IF(C3848="Sell",(L3848*G3848)-I3848, X)),IF(C3848="Buy",(L3848*G3848*100)+I3848,IF(C3848="Sell",(L3848*G3848*100)-I3848, X))))</f>
        <v/>
      </c>
      <c r="N3848" s="78">
        <f>IF(ISBLANK(L3848),"",IF(AND(C3848="Sell",D3848="Stock"),M3848,IF(ISBLANK(L3848),"",IF(C3848="Buy",M3848, IF(AND(C3848="Sell",J3848="NA"),(E3848*G3848*100*0.1)+I3848, IF(C3848="Sell",(J3848-L3848)*(100*G3848)+I3848))))))</f>
        <v/>
      </c>
      <c r="O3848" s="75" t="n"/>
      <c r="P3848" s="75" t="n"/>
      <c r="Q3848" s="75">
        <f>IF(ISBLANK(P3848),"",IF(D3848="Stock",P3848*G3848,IF(P3848=0,"0",G3848*P3848*100-(G3848*$AF$14))))</f>
        <v/>
      </c>
      <c r="R3848" s="79">
        <f>IF(P3848&lt;&gt;"", TODAY(), "")</f>
        <v/>
      </c>
      <c r="S3848" s="78">
        <f>IF(AND(K3848&lt;&gt;"", R3848&lt;&gt;""), R3848-K3848, "")</f>
        <v/>
      </c>
      <c r="T3848" s="78" t="n"/>
      <c r="U3848" s="92">
        <f>IF(ISBLANK(P3848),"",IF(C3848="Buy",Q3848-M3848+T3848, IF(C3848="Sell",M3848-Q3848-T3848, X)))</f>
        <v/>
      </c>
      <c r="V3848" s="81">
        <f>IF(ISBLANK(P3848),"",U3848/N3848)</f>
        <v/>
      </c>
      <c r="W3848" s="81">
        <f>IF(ISBLANK(P3848),"",IF(S3848=0,(365/0.5)*V3848,(365/S3848)*V3848))</f>
        <v/>
      </c>
      <c r="X3848" s="75" t="n"/>
      <c r="Y3848" s="77" t="n"/>
      <c r="Z3848" s="77" t="n"/>
      <c r="AA3848" s="75" t="n"/>
      <c r="AB3848" s="75" t="n"/>
      <c r="AC3848" s="6" t="n"/>
      <c r="AD3848" s="75" t="n"/>
      <c r="AE3848" s="75" t="n"/>
      <c r="AF3848" s="75" t="n"/>
    </row>
    <row r="3849" ht="15.75" customHeight="1" s="133">
      <c r="A3849" s="75" t="n"/>
      <c r="B3849" s="75" t="n"/>
      <c r="C3849" s="75" t="n"/>
      <c r="D3849" s="75" t="n"/>
      <c r="E3849" s="76" t="n"/>
      <c r="F3849" s="77" t="n"/>
      <c r="G3849" s="75" t="n"/>
      <c r="H3849" s="75">
        <f>IF(ISBLANK(E3849),"",IF(OR(D3849="Butterfly",D3849="Butterfly ",D3849="Iron Fly", D3849="Iron Fly "),LEN(E3849)-LEN(SUBSTITUTE(E3849,"/",""))+2,LEN(E3849)-LEN(SUBSTITUTE(E3849,"/",""))+1))</f>
        <v/>
      </c>
      <c r="I3849" s="78">
        <f>IF(ISBLANK(G3849),"",IF(D3849="Stock","0",Key!$A$3*H3849*G3849))</f>
        <v/>
      </c>
      <c r="J3849" s="78">
        <f>IF(ISBLANK(E3849),"",IF(ISNUMBER(SEARCH("/",E3849)), IF(LEN(E3849)-LEN(SUBSTITUTE(E3849,"/",""))=1,(RIGHT(E3849,LEN(E3849)-FIND("/",E3849)))-(LEFT(E3849,FIND("/",E3849)-1)),(MID(E3849, SEARCH("/",E3849) + 1, SEARCH("/",E3849, SEARCH("/",E3849)+1) - SEARCH("/",E3849) - 1))-(LEFT(E3849,FIND("/",E3849)-1))), "NA"))</f>
        <v/>
      </c>
      <c r="K3849" s="79">
        <f>IF(A3849&lt;&gt;"", IF(ISBLANK(L3849), TODAY(), K3849), "")</f>
        <v/>
      </c>
      <c r="L3849" s="78" t="n"/>
      <c r="M3849" s="78">
        <f>IF(ISBLANK(L3849),"",IF(D3849="Stock",IF(C3849="Buy",L3849*G3849,IF(C3849="Sell",(L3849*G3849)-I3849, X)),IF(C3849="Buy",(L3849*G3849*100)+I3849,IF(C3849="Sell",(L3849*G3849*100)-I3849, X))))</f>
        <v/>
      </c>
      <c r="N3849" s="78">
        <f>IF(ISBLANK(L3849),"",IF(AND(C3849="Sell",D3849="Stock"),M3849,IF(ISBLANK(L3849),"",IF(C3849="Buy",M3849, IF(AND(C3849="Sell",J3849="NA"),(E3849*G3849*100*0.1)+I3849, IF(C3849="Sell",(J3849-L3849)*(100*G3849)+I3849))))))</f>
        <v/>
      </c>
      <c r="O3849" s="75" t="n"/>
      <c r="P3849" s="75" t="n"/>
      <c r="Q3849" s="75">
        <f>IF(ISBLANK(P3849),"",IF(D3849="Stock",P3849*G3849,IF(P3849=0,"0",G3849*P3849*100-(G3849*$AF$14))))</f>
        <v/>
      </c>
      <c r="R3849" s="79">
        <f>IF(P3849&lt;&gt;"", TODAY(), "")</f>
        <v/>
      </c>
      <c r="S3849" s="78">
        <f>IF(AND(K3849&lt;&gt;"", R3849&lt;&gt;""), R3849-K3849, "")</f>
        <v/>
      </c>
      <c r="T3849" s="78" t="n"/>
      <c r="U3849" s="92">
        <f>IF(ISBLANK(P3849),"",IF(C3849="Buy",Q3849-M3849+T3849, IF(C3849="Sell",M3849-Q3849-T3849, X)))</f>
        <v/>
      </c>
      <c r="V3849" s="81">
        <f>IF(ISBLANK(P3849),"",U3849/N3849)</f>
        <v/>
      </c>
      <c r="W3849" s="81">
        <f>IF(ISBLANK(P3849),"",IF(S3849=0,(365/0.5)*V3849,(365/S3849)*V3849))</f>
        <v/>
      </c>
      <c r="X3849" s="75" t="n"/>
      <c r="Y3849" s="77" t="n"/>
      <c r="Z3849" s="77" t="n"/>
      <c r="AA3849" s="75" t="n"/>
      <c r="AB3849" s="75" t="n"/>
      <c r="AC3849" s="6" t="n"/>
      <c r="AD3849" s="75" t="n"/>
      <c r="AE3849" s="75" t="n"/>
      <c r="AF3849" s="75" t="n"/>
    </row>
    <row r="3850" ht="15.75" customHeight="1" s="133">
      <c r="A3850" s="75" t="n"/>
      <c r="B3850" s="75" t="n"/>
      <c r="C3850" s="75" t="n"/>
      <c r="D3850" s="75" t="n"/>
      <c r="E3850" s="76" t="n"/>
      <c r="F3850" s="77" t="n"/>
      <c r="G3850" s="75" t="n"/>
      <c r="H3850" s="75">
        <f>IF(ISBLANK(E3850),"",IF(OR(D3850="Butterfly",D3850="Butterfly ",D3850="Iron Fly", D3850="Iron Fly "),LEN(E3850)-LEN(SUBSTITUTE(E3850,"/",""))+2,LEN(E3850)-LEN(SUBSTITUTE(E3850,"/",""))+1))</f>
        <v/>
      </c>
      <c r="I3850" s="78">
        <f>IF(ISBLANK(G3850),"",IF(D3850="Stock","0",Key!$A$3*H3850*G3850))</f>
        <v/>
      </c>
      <c r="J3850" s="78">
        <f>IF(ISBLANK(E3850),"",IF(ISNUMBER(SEARCH("/",E3850)), IF(LEN(E3850)-LEN(SUBSTITUTE(E3850,"/",""))=1,(RIGHT(E3850,LEN(E3850)-FIND("/",E3850)))-(LEFT(E3850,FIND("/",E3850)-1)),(MID(E3850, SEARCH("/",E3850) + 1, SEARCH("/",E3850, SEARCH("/",E3850)+1) - SEARCH("/",E3850) - 1))-(LEFT(E3850,FIND("/",E3850)-1))), "NA"))</f>
        <v/>
      </c>
      <c r="K3850" s="79">
        <f>IF(A3850&lt;&gt;"", IF(ISBLANK(L3850), TODAY(), K3850), "")</f>
        <v/>
      </c>
      <c r="L3850" s="78" t="n"/>
      <c r="M3850" s="78">
        <f>IF(ISBLANK(L3850),"",IF(D3850="Stock",IF(C3850="Buy",L3850*G3850,IF(C3850="Sell",(L3850*G3850)-I3850, X)),IF(C3850="Buy",(L3850*G3850*100)+I3850,IF(C3850="Sell",(L3850*G3850*100)-I3850, X))))</f>
        <v/>
      </c>
      <c r="N3850" s="78">
        <f>IF(ISBLANK(L3850),"",IF(AND(C3850="Sell",D3850="Stock"),M3850,IF(ISBLANK(L3850),"",IF(C3850="Buy",M3850, IF(AND(C3850="Sell",J3850="NA"),(E3850*G3850*100*0.1)+I3850, IF(C3850="Sell",(J3850-L3850)*(100*G3850)+I3850))))))</f>
        <v/>
      </c>
      <c r="O3850" s="75" t="n"/>
      <c r="P3850" s="75" t="n"/>
      <c r="Q3850" s="75">
        <f>IF(ISBLANK(P3850),"",IF(D3850="Stock",P3850*G3850,IF(P3850=0,"0",G3850*P3850*100-(G3850*$AF$14))))</f>
        <v/>
      </c>
      <c r="R3850" s="79">
        <f>IF(P3850&lt;&gt;"", TODAY(), "")</f>
        <v/>
      </c>
      <c r="S3850" s="78">
        <f>IF(AND(K3850&lt;&gt;"", R3850&lt;&gt;""), R3850-K3850, "")</f>
        <v/>
      </c>
      <c r="T3850" s="78" t="n"/>
      <c r="U3850" s="92">
        <f>IF(ISBLANK(P3850),"",IF(C3850="Buy",Q3850-M3850+T3850, IF(C3850="Sell",M3850-Q3850-T3850, X)))</f>
        <v/>
      </c>
      <c r="V3850" s="81">
        <f>IF(ISBLANK(P3850),"",U3850/N3850)</f>
        <v/>
      </c>
      <c r="W3850" s="81">
        <f>IF(ISBLANK(P3850),"",IF(S3850=0,(365/0.5)*V3850,(365/S3850)*V3850))</f>
        <v/>
      </c>
      <c r="X3850" s="75" t="n"/>
      <c r="Y3850" s="77" t="n"/>
      <c r="Z3850" s="77" t="n"/>
      <c r="AA3850" s="75" t="n"/>
      <c r="AB3850" s="75" t="n"/>
      <c r="AC3850" s="6" t="n"/>
      <c r="AD3850" s="75" t="n"/>
      <c r="AE3850" s="75" t="n"/>
      <c r="AF3850" s="75" t="n"/>
    </row>
    <row r="3851" ht="15.75" customHeight="1" s="133">
      <c r="A3851" s="75" t="n"/>
      <c r="B3851" s="75" t="n"/>
      <c r="C3851" s="75" t="n"/>
      <c r="D3851" s="75" t="n"/>
      <c r="E3851" s="76" t="n"/>
      <c r="F3851" s="77" t="n"/>
      <c r="G3851" s="75" t="n"/>
      <c r="H3851" s="75">
        <f>IF(ISBLANK(E3851),"",IF(OR(D3851="Butterfly",D3851="Butterfly ",D3851="Iron Fly", D3851="Iron Fly "),LEN(E3851)-LEN(SUBSTITUTE(E3851,"/",""))+2,LEN(E3851)-LEN(SUBSTITUTE(E3851,"/",""))+1))</f>
        <v/>
      </c>
      <c r="I3851" s="78">
        <f>IF(ISBLANK(G3851),"",IF(D3851="Stock","0",Key!$A$3*H3851*G3851))</f>
        <v/>
      </c>
      <c r="J3851" s="78">
        <f>IF(ISBLANK(E3851),"",IF(ISNUMBER(SEARCH("/",E3851)), IF(LEN(E3851)-LEN(SUBSTITUTE(E3851,"/",""))=1,(RIGHT(E3851,LEN(E3851)-FIND("/",E3851)))-(LEFT(E3851,FIND("/",E3851)-1)),(MID(E3851, SEARCH("/",E3851) + 1, SEARCH("/",E3851, SEARCH("/",E3851)+1) - SEARCH("/",E3851) - 1))-(LEFT(E3851,FIND("/",E3851)-1))), "NA"))</f>
        <v/>
      </c>
      <c r="K3851" s="79">
        <f>IF(A3851&lt;&gt;"", IF(ISBLANK(L3851), TODAY(), K3851), "")</f>
        <v/>
      </c>
      <c r="L3851" s="78" t="n"/>
      <c r="M3851" s="78">
        <f>IF(ISBLANK(L3851),"",IF(D3851="Stock",IF(C3851="Buy",L3851*G3851,IF(C3851="Sell",(L3851*G3851)-I3851, X)),IF(C3851="Buy",(L3851*G3851*100)+I3851,IF(C3851="Sell",(L3851*G3851*100)-I3851, X))))</f>
        <v/>
      </c>
      <c r="N3851" s="78">
        <f>IF(ISBLANK(L3851),"",IF(AND(C3851="Sell",D3851="Stock"),M3851,IF(ISBLANK(L3851),"",IF(C3851="Buy",M3851, IF(AND(C3851="Sell",J3851="NA"),(E3851*G3851*100*0.1)+I3851, IF(C3851="Sell",(J3851-L3851)*(100*G3851)+I3851))))))</f>
        <v/>
      </c>
      <c r="O3851" s="75" t="n"/>
      <c r="P3851" s="75" t="n"/>
      <c r="Q3851" s="75">
        <f>IF(ISBLANK(P3851),"",IF(D3851="Stock",P3851*G3851,IF(P3851=0,"0",G3851*P3851*100-(G3851*$AF$14))))</f>
        <v/>
      </c>
      <c r="R3851" s="79">
        <f>IF(P3851&lt;&gt;"", TODAY(), "")</f>
        <v/>
      </c>
      <c r="S3851" s="78">
        <f>IF(AND(K3851&lt;&gt;"", R3851&lt;&gt;""), R3851-K3851, "")</f>
        <v/>
      </c>
      <c r="T3851" s="78" t="n"/>
      <c r="U3851" s="92">
        <f>IF(ISBLANK(P3851),"",IF(C3851="Buy",Q3851-M3851+T3851, IF(C3851="Sell",M3851-Q3851-T3851, X)))</f>
        <v/>
      </c>
      <c r="V3851" s="81">
        <f>IF(ISBLANK(P3851),"",U3851/N3851)</f>
        <v/>
      </c>
      <c r="W3851" s="81">
        <f>IF(ISBLANK(P3851),"",IF(S3851=0,(365/0.5)*V3851,(365/S3851)*V3851))</f>
        <v/>
      </c>
      <c r="X3851" s="75" t="n"/>
      <c r="Y3851" s="77" t="n"/>
      <c r="Z3851" s="77" t="n"/>
      <c r="AA3851" s="75" t="n"/>
      <c r="AB3851" s="75" t="n"/>
      <c r="AC3851" s="6" t="n"/>
      <c r="AD3851" s="75" t="n"/>
      <c r="AE3851" s="75" t="n"/>
      <c r="AF3851" s="75" t="n"/>
    </row>
    <row r="3852" ht="15.75" customHeight="1" s="133">
      <c r="A3852" s="75" t="n"/>
      <c r="B3852" s="75" t="n"/>
      <c r="C3852" s="75" t="n"/>
      <c r="D3852" s="75" t="n"/>
      <c r="E3852" s="76" t="n"/>
      <c r="F3852" s="77" t="n"/>
      <c r="G3852" s="75" t="n"/>
      <c r="H3852" s="75">
        <f>IF(ISBLANK(E3852),"",IF(OR(D3852="Butterfly",D3852="Butterfly ",D3852="Iron Fly", D3852="Iron Fly "),LEN(E3852)-LEN(SUBSTITUTE(E3852,"/",""))+2,LEN(E3852)-LEN(SUBSTITUTE(E3852,"/",""))+1))</f>
        <v/>
      </c>
      <c r="I3852" s="78">
        <f>IF(ISBLANK(G3852),"",IF(D3852="Stock","0",Key!$A$3*H3852*G3852))</f>
        <v/>
      </c>
      <c r="J3852" s="78">
        <f>IF(ISBLANK(E3852),"",IF(ISNUMBER(SEARCH("/",E3852)), IF(LEN(E3852)-LEN(SUBSTITUTE(E3852,"/",""))=1,(RIGHT(E3852,LEN(E3852)-FIND("/",E3852)))-(LEFT(E3852,FIND("/",E3852)-1)),(MID(E3852, SEARCH("/",E3852) + 1, SEARCH("/",E3852, SEARCH("/",E3852)+1) - SEARCH("/",E3852) - 1))-(LEFT(E3852,FIND("/",E3852)-1))), "NA"))</f>
        <v/>
      </c>
      <c r="K3852" s="79">
        <f>IF(A3852&lt;&gt;"", IF(ISBLANK(L3852), TODAY(), K3852), "")</f>
        <v/>
      </c>
      <c r="L3852" s="78" t="n"/>
      <c r="M3852" s="78">
        <f>IF(ISBLANK(L3852),"",IF(D3852="Stock",IF(C3852="Buy",L3852*G3852,IF(C3852="Sell",(L3852*G3852)-I3852, X)),IF(C3852="Buy",(L3852*G3852*100)+I3852,IF(C3852="Sell",(L3852*G3852*100)-I3852, X))))</f>
        <v/>
      </c>
      <c r="N3852" s="78">
        <f>IF(ISBLANK(L3852),"",IF(AND(C3852="Sell",D3852="Stock"),M3852,IF(ISBLANK(L3852),"",IF(C3852="Buy",M3852, IF(AND(C3852="Sell",J3852="NA"),(E3852*G3852*100*0.1)+I3852, IF(C3852="Sell",(J3852-L3852)*(100*G3852)+I3852))))))</f>
        <v/>
      </c>
      <c r="O3852" s="75" t="n"/>
      <c r="P3852" s="75" t="n"/>
      <c r="Q3852" s="75">
        <f>IF(ISBLANK(P3852),"",IF(D3852="Stock",P3852*G3852,IF(P3852=0,"0",G3852*P3852*100-(G3852*$AF$14))))</f>
        <v/>
      </c>
      <c r="R3852" s="79">
        <f>IF(P3852&lt;&gt;"", TODAY(), "")</f>
        <v/>
      </c>
      <c r="S3852" s="78">
        <f>IF(AND(K3852&lt;&gt;"", R3852&lt;&gt;""), R3852-K3852, "")</f>
        <v/>
      </c>
      <c r="T3852" s="78" t="n"/>
      <c r="U3852" s="92">
        <f>IF(ISBLANK(P3852),"",IF(C3852="Buy",Q3852-M3852+T3852, IF(C3852="Sell",M3852-Q3852-T3852, X)))</f>
        <v/>
      </c>
      <c r="V3852" s="81">
        <f>IF(ISBLANK(P3852),"",U3852/N3852)</f>
        <v/>
      </c>
      <c r="W3852" s="81">
        <f>IF(ISBLANK(P3852),"",IF(S3852=0,(365/0.5)*V3852,(365/S3852)*V3852))</f>
        <v/>
      </c>
      <c r="X3852" s="75" t="n"/>
      <c r="Y3852" s="77" t="n"/>
      <c r="Z3852" s="77" t="n"/>
      <c r="AA3852" s="75" t="n"/>
      <c r="AB3852" s="75" t="n"/>
      <c r="AC3852" s="6" t="n"/>
      <c r="AD3852" s="75" t="n"/>
      <c r="AE3852" s="75" t="n"/>
      <c r="AF3852" s="75" t="n"/>
    </row>
    <row r="3853" ht="15.75" customHeight="1" s="133">
      <c r="A3853" s="75" t="n"/>
      <c r="B3853" s="75" t="n"/>
      <c r="C3853" s="75" t="n"/>
      <c r="D3853" s="75" t="n"/>
      <c r="E3853" s="76" t="n"/>
      <c r="F3853" s="77" t="n"/>
      <c r="G3853" s="75" t="n"/>
      <c r="H3853" s="75">
        <f>IF(ISBLANK(E3853),"",IF(OR(D3853="Butterfly",D3853="Butterfly ",D3853="Iron Fly", D3853="Iron Fly "),LEN(E3853)-LEN(SUBSTITUTE(E3853,"/",""))+2,LEN(E3853)-LEN(SUBSTITUTE(E3853,"/",""))+1))</f>
        <v/>
      </c>
      <c r="I3853" s="78">
        <f>IF(ISBLANK(G3853),"",IF(D3853="Stock","0",Key!$A$3*H3853*G3853))</f>
        <v/>
      </c>
      <c r="J3853" s="78">
        <f>IF(ISBLANK(E3853),"",IF(ISNUMBER(SEARCH("/",E3853)), IF(LEN(E3853)-LEN(SUBSTITUTE(E3853,"/",""))=1,(RIGHT(E3853,LEN(E3853)-FIND("/",E3853)))-(LEFT(E3853,FIND("/",E3853)-1)),(MID(E3853, SEARCH("/",E3853) + 1, SEARCH("/",E3853, SEARCH("/",E3853)+1) - SEARCH("/",E3853) - 1))-(LEFT(E3853,FIND("/",E3853)-1))), "NA"))</f>
        <v/>
      </c>
      <c r="K3853" s="79">
        <f>IF(A3853&lt;&gt;"", IF(ISBLANK(L3853), TODAY(), K3853), "")</f>
        <v/>
      </c>
      <c r="L3853" s="78" t="n"/>
      <c r="M3853" s="78">
        <f>IF(ISBLANK(L3853),"",IF(D3853="Stock",IF(C3853="Buy",L3853*G3853,IF(C3853="Sell",(L3853*G3853)-I3853, X)),IF(C3853="Buy",(L3853*G3853*100)+I3853,IF(C3853="Sell",(L3853*G3853*100)-I3853, X))))</f>
        <v/>
      </c>
      <c r="N3853" s="78">
        <f>IF(ISBLANK(L3853),"",IF(AND(C3853="Sell",D3853="Stock"),M3853,IF(ISBLANK(L3853),"",IF(C3853="Buy",M3853, IF(AND(C3853="Sell",J3853="NA"),(E3853*G3853*100*0.1)+I3853, IF(C3853="Sell",(J3853-L3853)*(100*G3853)+I3853))))))</f>
        <v/>
      </c>
      <c r="O3853" s="75" t="n"/>
      <c r="P3853" s="75" t="n"/>
      <c r="Q3853" s="75">
        <f>IF(ISBLANK(P3853),"",IF(D3853="Stock",P3853*G3853,IF(P3853=0,"0",G3853*P3853*100-(G3853*$AF$14))))</f>
        <v/>
      </c>
      <c r="R3853" s="79">
        <f>IF(P3853&lt;&gt;"", TODAY(), "")</f>
        <v/>
      </c>
      <c r="S3853" s="78">
        <f>IF(AND(K3853&lt;&gt;"", R3853&lt;&gt;""), R3853-K3853, "")</f>
        <v/>
      </c>
      <c r="T3853" s="78" t="n"/>
      <c r="U3853" s="92">
        <f>IF(ISBLANK(P3853),"",IF(C3853="Buy",Q3853-M3853+T3853, IF(C3853="Sell",M3853-Q3853-T3853, X)))</f>
        <v/>
      </c>
      <c r="V3853" s="81">
        <f>IF(ISBLANK(P3853),"",U3853/N3853)</f>
        <v/>
      </c>
      <c r="W3853" s="81">
        <f>IF(ISBLANK(P3853),"",IF(S3853=0,(365/0.5)*V3853,(365/S3853)*V3853))</f>
        <v/>
      </c>
      <c r="X3853" s="75" t="n"/>
      <c r="Y3853" s="77" t="n"/>
      <c r="Z3853" s="77" t="n"/>
      <c r="AA3853" s="75" t="n"/>
      <c r="AB3853" s="75" t="n"/>
      <c r="AC3853" s="6" t="n"/>
      <c r="AD3853" s="75" t="n"/>
      <c r="AE3853" s="75" t="n"/>
      <c r="AF3853" s="75" t="n"/>
    </row>
    <row r="3854" ht="15.75" customHeight="1" s="133">
      <c r="A3854" s="75" t="n"/>
      <c r="B3854" s="75" t="n"/>
      <c r="C3854" s="75" t="n"/>
      <c r="D3854" s="75" t="n"/>
      <c r="E3854" s="76" t="n"/>
      <c r="F3854" s="77" t="n"/>
      <c r="G3854" s="75" t="n"/>
      <c r="H3854" s="75">
        <f>IF(ISBLANK(E3854),"",IF(OR(D3854="Butterfly",D3854="Butterfly ",D3854="Iron Fly", D3854="Iron Fly "),LEN(E3854)-LEN(SUBSTITUTE(E3854,"/",""))+2,LEN(E3854)-LEN(SUBSTITUTE(E3854,"/",""))+1))</f>
        <v/>
      </c>
      <c r="I3854" s="78">
        <f>IF(ISBLANK(G3854),"",IF(D3854="Stock","0",Key!$A$3*H3854*G3854))</f>
        <v/>
      </c>
      <c r="J3854" s="78">
        <f>IF(ISBLANK(E3854),"",IF(ISNUMBER(SEARCH("/",E3854)), IF(LEN(E3854)-LEN(SUBSTITUTE(E3854,"/",""))=1,(RIGHT(E3854,LEN(E3854)-FIND("/",E3854)))-(LEFT(E3854,FIND("/",E3854)-1)),(MID(E3854, SEARCH("/",E3854) + 1, SEARCH("/",E3854, SEARCH("/",E3854)+1) - SEARCH("/",E3854) - 1))-(LEFT(E3854,FIND("/",E3854)-1))), "NA"))</f>
        <v/>
      </c>
      <c r="K3854" s="79">
        <f>IF(A3854&lt;&gt;"", IF(ISBLANK(L3854), TODAY(), K3854), "")</f>
        <v/>
      </c>
      <c r="L3854" s="78" t="n"/>
      <c r="M3854" s="78">
        <f>IF(ISBLANK(L3854),"",IF(D3854="Stock",IF(C3854="Buy",L3854*G3854,IF(C3854="Sell",(L3854*G3854)-I3854, X)),IF(C3854="Buy",(L3854*G3854*100)+I3854,IF(C3854="Sell",(L3854*G3854*100)-I3854, X))))</f>
        <v/>
      </c>
      <c r="N3854" s="78">
        <f>IF(ISBLANK(L3854),"",IF(AND(C3854="Sell",D3854="Stock"),M3854,IF(ISBLANK(L3854),"",IF(C3854="Buy",M3854, IF(AND(C3854="Sell",J3854="NA"),(E3854*G3854*100*0.1)+I3854, IF(C3854="Sell",(J3854-L3854)*(100*G3854)+I3854))))))</f>
        <v/>
      </c>
      <c r="O3854" s="75" t="n"/>
      <c r="P3854" s="75" t="n"/>
      <c r="Q3854" s="75">
        <f>IF(ISBLANK(P3854),"",IF(D3854="Stock",P3854*G3854,IF(P3854=0,"0",G3854*P3854*100-(G3854*$AF$14))))</f>
        <v/>
      </c>
      <c r="R3854" s="79">
        <f>IF(P3854&lt;&gt;"", TODAY(), "")</f>
        <v/>
      </c>
      <c r="S3854" s="78">
        <f>IF(AND(K3854&lt;&gt;"", R3854&lt;&gt;""), R3854-K3854, "")</f>
        <v/>
      </c>
      <c r="T3854" s="78" t="n"/>
      <c r="U3854" s="92">
        <f>IF(ISBLANK(P3854),"",IF(C3854="Buy",Q3854-M3854+T3854, IF(C3854="Sell",M3854-Q3854-T3854, X)))</f>
        <v/>
      </c>
      <c r="V3854" s="81">
        <f>IF(ISBLANK(P3854),"",U3854/N3854)</f>
        <v/>
      </c>
      <c r="W3854" s="81">
        <f>IF(ISBLANK(P3854),"",IF(S3854=0,(365/0.5)*V3854,(365/S3854)*V3854))</f>
        <v/>
      </c>
      <c r="X3854" s="75" t="n"/>
      <c r="Y3854" s="77" t="n"/>
      <c r="Z3854" s="77" t="n"/>
      <c r="AA3854" s="75" t="n"/>
      <c r="AB3854" s="75" t="n"/>
      <c r="AC3854" s="6" t="n"/>
      <c r="AD3854" s="75" t="n"/>
      <c r="AE3854" s="75" t="n"/>
      <c r="AF3854" s="75" t="n"/>
    </row>
    <row r="3855" ht="15.75" customHeight="1" s="133">
      <c r="A3855" s="75" t="n"/>
      <c r="B3855" s="75" t="n"/>
      <c r="C3855" s="75" t="n"/>
      <c r="D3855" s="75" t="n"/>
      <c r="E3855" s="76" t="n"/>
      <c r="F3855" s="77" t="n"/>
      <c r="G3855" s="75" t="n"/>
      <c r="H3855" s="75">
        <f>IF(ISBLANK(E3855),"",IF(OR(D3855="Butterfly",D3855="Butterfly ",D3855="Iron Fly", D3855="Iron Fly "),LEN(E3855)-LEN(SUBSTITUTE(E3855,"/",""))+2,LEN(E3855)-LEN(SUBSTITUTE(E3855,"/",""))+1))</f>
        <v/>
      </c>
      <c r="I3855" s="78">
        <f>IF(ISBLANK(G3855),"",IF(D3855="Stock","0",Key!$A$3*H3855*G3855))</f>
        <v/>
      </c>
      <c r="J3855" s="78">
        <f>IF(ISBLANK(E3855),"",IF(ISNUMBER(SEARCH("/",E3855)), IF(LEN(E3855)-LEN(SUBSTITUTE(E3855,"/",""))=1,(RIGHT(E3855,LEN(E3855)-FIND("/",E3855)))-(LEFT(E3855,FIND("/",E3855)-1)),(MID(E3855, SEARCH("/",E3855) + 1, SEARCH("/",E3855, SEARCH("/",E3855)+1) - SEARCH("/",E3855) - 1))-(LEFT(E3855,FIND("/",E3855)-1))), "NA"))</f>
        <v/>
      </c>
      <c r="K3855" s="79">
        <f>IF(A3855&lt;&gt;"", IF(ISBLANK(L3855), TODAY(), K3855), "")</f>
        <v/>
      </c>
      <c r="L3855" s="78" t="n"/>
      <c r="M3855" s="78">
        <f>IF(ISBLANK(L3855),"",IF(D3855="Stock",IF(C3855="Buy",L3855*G3855,IF(C3855="Sell",(L3855*G3855)-I3855, X)),IF(C3855="Buy",(L3855*G3855*100)+I3855,IF(C3855="Sell",(L3855*G3855*100)-I3855, X))))</f>
        <v/>
      </c>
      <c r="N3855" s="78">
        <f>IF(ISBLANK(L3855),"",IF(AND(C3855="Sell",D3855="Stock"),M3855,IF(ISBLANK(L3855),"",IF(C3855="Buy",M3855, IF(AND(C3855="Sell",J3855="NA"),(E3855*G3855*100*0.1)+I3855, IF(C3855="Sell",(J3855-L3855)*(100*G3855)+I3855))))))</f>
        <v/>
      </c>
      <c r="O3855" s="75" t="n"/>
      <c r="P3855" s="75" t="n"/>
      <c r="Q3855" s="75">
        <f>IF(ISBLANK(P3855),"",IF(D3855="Stock",P3855*G3855,IF(P3855=0,"0",G3855*P3855*100-(G3855*$AF$14))))</f>
        <v/>
      </c>
      <c r="R3855" s="79">
        <f>IF(P3855&lt;&gt;"", TODAY(), "")</f>
        <v/>
      </c>
      <c r="S3855" s="78">
        <f>IF(AND(K3855&lt;&gt;"", R3855&lt;&gt;""), R3855-K3855, "")</f>
        <v/>
      </c>
      <c r="T3855" s="78" t="n"/>
      <c r="U3855" s="92">
        <f>IF(ISBLANK(P3855),"",IF(C3855="Buy",Q3855-M3855+T3855, IF(C3855="Sell",M3855-Q3855-T3855, X)))</f>
        <v/>
      </c>
      <c r="V3855" s="81">
        <f>IF(ISBLANK(P3855),"",U3855/N3855)</f>
        <v/>
      </c>
      <c r="W3855" s="81">
        <f>IF(ISBLANK(P3855),"",IF(S3855=0,(365/0.5)*V3855,(365/S3855)*V3855))</f>
        <v/>
      </c>
      <c r="X3855" s="75" t="n"/>
      <c r="Y3855" s="77" t="n"/>
      <c r="Z3855" s="77" t="n"/>
      <c r="AA3855" s="75" t="n"/>
      <c r="AB3855" s="75" t="n"/>
      <c r="AC3855" s="6" t="n"/>
      <c r="AD3855" s="75" t="n"/>
      <c r="AE3855" s="75" t="n"/>
      <c r="AF3855" s="75" t="n"/>
    </row>
    <row r="3856" ht="15.75" customHeight="1" s="133">
      <c r="A3856" s="75" t="n"/>
      <c r="B3856" s="75" t="n"/>
      <c r="C3856" s="75" t="n"/>
      <c r="D3856" s="75" t="n"/>
      <c r="E3856" s="76" t="n"/>
      <c r="F3856" s="77" t="n"/>
      <c r="G3856" s="75" t="n"/>
      <c r="H3856" s="75">
        <f>IF(ISBLANK(E3856),"",IF(OR(D3856="Butterfly",D3856="Butterfly ",D3856="Iron Fly", D3856="Iron Fly "),LEN(E3856)-LEN(SUBSTITUTE(E3856,"/",""))+2,LEN(E3856)-LEN(SUBSTITUTE(E3856,"/",""))+1))</f>
        <v/>
      </c>
      <c r="I3856" s="78">
        <f>IF(ISBLANK(G3856),"",IF(D3856="Stock","0",Key!$A$3*H3856*G3856))</f>
        <v/>
      </c>
      <c r="J3856" s="78">
        <f>IF(ISBLANK(E3856),"",IF(ISNUMBER(SEARCH("/",E3856)), IF(LEN(E3856)-LEN(SUBSTITUTE(E3856,"/",""))=1,(RIGHT(E3856,LEN(E3856)-FIND("/",E3856)))-(LEFT(E3856,FIND("/",E3856)-1)),(MID(E3856, SEARCH("/",E3856) + 1, SEARCH("/",E3856, SEARCH("/",E3856)+1) - SEARCH("/",E3856) - 1))-(LEFT(E3856,FIND("/",E3856)-1))), "NA"))</f>
        <v/>
      </c>
      <c r="K3856" s="79">
        <f>IF(A3856&lt;&gt;"", IF(ISBLANK(L3856), TODAY(), K3856), "")</f>
        <v/>
      </c>
      <c r="L3856" s="78" t="n"/>
      <c r="M3856" s="78">
        <f>IF(ISBLANK(L3856),"",IF(D3856="Stock",IF(C3856="Buy",L3856*G3856,IF(C3856="Sell",(L3856*G3856)-I3856, X)),IF(C3856="Buy",(L3856*G3856*100)+I3856,IF(C3856="Sell",(L3856*G3856*100)-I3856, X))))</f>
        <v/>
      </c>
      <c r="N3856" s="78">
        <f>IF(ISBLANK(L3856),"",IF(AND(C3856="Sell",D3856="Stock"),M3856,IF(ISBLANK(L3856),"",IF(C3856="Buy",M3856, IF(AND(C3856="Sell",J3856="NA"),(E3856*G3856*100*0.1)+I3856, IF(C3856="Sell",(J3856-L3856)*(100*G3856)+I3856))))))</f>
        <v/>
      </c>
      <c r="O3856" s="75" t="n"/>
      <c r="P3856" s="75" t="n"/>
      <c r="Q3856" s="75">
        <f>IF(ISBLANK(P3856),"",IF(D3856="Stock",P3856*G3856,IF(P3856=0,"0",G3856*P3856*100-(G3856*$AF$14))))</f>
        <v/>
      </c>
      <c r="R3856" s="79">
        <f>IF(P3856&lt;&gt;"", TODAY(), "")</f>
        <v/>
      </c>
      <c r="S3856" s="78">
        <f>IF(AND(K3856&lt;&gt;"", R3856&lt;&gt;""), R3856-K3856, "")</f>
        <v/>
      </c>
      <c r="T3856" s="78" t="n"/>
      <c r="U3856" s="92">
        <f>IF(ISBLANK(P3856),"",IF(C3856="Buy",Q3856-M3856+T3856, IF(C3856="Sell",M3856-Q3856-T3856, X)))</f>
        <v/>
      </c>
      <c r="V3856" s="81">
        <f>IF(ISBLANK(P3856),"",U3856/N3856)</f>
        <v/>
      </c>
      <c r="W3856" s="81">
        <f>IF(ISBLANK(P3856),"",IF(S3856=0,(365/0.5)*V3856,(365/S3856)*V3856))</f>
        <v/>
      </c>
      <c r="X3856" s="75" t="n"/>
      <c r="Y3856" s="77" t="n"/>
      <c r="Z3856" s="77" t="n"/>
      <c r="AA3856" s="75" t="n"/>
      <c r="AB3856" s="75" t="n"/>
      <c r="AC3856" s="6" t="n"/>
      <c r="AD3856" s="75" t="n"/>
      <c r="AE3856" s="75" t="n"/>
      <c r="AF3856" s="75" t="n"/>
    </row>
    <row r="3857" ht="15.75" customHeight="1" s="133">
      <c r="A3857" s="75" t="n"/>
      <c r="B3857" s="75" t="n"/>
      <c r="C3857" s="75" t="n"/>
      <c r="D3857" s="75" t="n"/>
      <c r="E3857" s="76" t="n"/>
      <c r="F3857" s="77" t="n"/>
      <c r="G3857" s="75" t="n"/>
      <c r="H3857" s="75">
        <f>IF(ISBLANK(E3857),"",IF(OR(D3857="Butterfly",D3857="Butterfly ",D3857="Iron Fly", D3857="Iron Fly "),LEN(E3857)-LEN(SUBSTITUTE(E3857,"/",""))+2,LEN(E3857)-LEN(SUBSTITUTE(E3857,"/",""))+1))</f>
        <v/>
      </c>
      <c r="I3857" s="78">
        <f>IF(ISBLANK(G3857),"",IF(D3857="Stock","0",Key!$A$3*H3857*G3857))</f>
        <v/>
      </c>
      <c r="J3857" s="78">
        <f>IF(ISBLANK(E3857),"",IF(ISNUMBER(SEARCH("/",E3857)), IF(LEN(E3857)-LEN(SUBSTITUTE(E3857,"/",""))=1,(RIGHT(E3857,LEN(E3857)-FIND("/",E3857)))-(LEFT(E3857,FIND("/",E3857)-1)),(MID(E3857, SEARCH("/",E3857) + 1, SEARCH("/",E3857, SEARCH("/",E3857)+1) - SEARCH("/",E3857) - 1))-(LEFT(E3857,FIND("/",E3857)-1))), "NA"))</f>
        <v/>
      </c>
      <c r="K3857" s="79">
        <f>IF(A3857&lt;&gt;"", IF(ISBLANK(L3857), TODAY(), K3857), "")</f>
        <v/>
      </c>
      <c r="L3857" s="78" t="n"/>
      <c r="M3857" s="78">
        <f>IF(ISBLANK(L3857),"",IF(D3857="Stock",IF(C3857="Buy",L3857*G3857,IF(C3857="Sell",(L3857*G3857)-I3857, X)),IF(C3857="Buy",(L3857*G3857*100)+I3857,IF(C3857="Sell",(L3857*G3857*100)-I3857, X))))</f>
        <v/>
      </c>
      <c r="N3857" s="78">
        <f>IF(ISBLANK(L3857),"",IF(AND(C3857="Sell",D3857="Stock"),M3857,IF(ISBLANK(L3857),"",IF(C3857="Buy",M3857, IF(AND(C3857="Sell",J3857="NA"),(E3857*G3857*100*0.1)+I3857, IF(C3857="Sell",(J3857-L3857)*(100*G3857)+I3857))))))</f>
        <v/>
      </c>
      <c r="O3857" s="75" t="n"/>
      <c r="P3857" s="75" t="n"/>
      <c r="Q3857" s="75">
        <f>IF(ISBLANK(P3857),"",IF(D3857="Stock",P3857*G3857,IF(P3857=0,"0",G3857*P3857*100-(G3857*$AF$14))))</f>
        <v/>
      </c>
      <c r="R3857" s="79">
        <f>IF(P3857&lt;&gt;"", TODAY(), "")</f>
        <v/>
      </c>
      <c r="S3857" s="78">
        <f>IF(AND(K3857&lt;&gt;"", R3857&lt;&gt;""), R3857-K3857, "")</f>
        <v/>
      </c>
      <c r="T3857" s="78" t="n"/>
      <c r="U3857" s="92">
        <f>IF(ISBLANK(P3857),"",IF(C3857="Buy",Q3857-M3857+T3857, IF(C3857="Sell",M3857-Q3857-T3857, X)))</f>
        <v/>
      </c>
      <c r="V3857" s="81">
        <f>IF(ISBLANK(P3857),"",U3857/N3857)</f>
        <v/>
      </c>
      <c r="W3857" s="81">
        <f>IF(ISBLANK(P3857),"",IF(S3857=0,(365/0.5)*V3857,(365/S3857)*V3857))</f>
        <v/>
      </c>
      <c r="X3857" s="75" t="n"/>
      <c r="Y3857" s="77" t="n"/>
      <c r="Z3857" s="77" t="n"/>
      <c r="AA3857" s="75" t="n"/>
      <c r="AB3857" s="75" t="n"/>
      <c r="AC3857" s="6" t="n"/>
      <c r="AD3857" s="75" t="n"/>
      <c r="AE3857" s="75" t="n"/>
      <c r="AF3857" s="75" t="n"/>
    </row>
    <row r="3858" ht="15.75" customHeight="1" s="133">
      <c r="A3858" s="75" t="n"/>
      <c r="B3858" s="75" t="n"/>
      <c r="C3858" s="75" t="n"/>
      <c r="D3858" s="75" t="n"/>
      <c r="E3858" s="76" t="n"/>
      <c r="F3858" s="77" t="n"/>
      <c r="G3858" s="75" t="n"/>
      <c r="H3858" s="75">
        <f>IF(ISBLANK(E3858),"",IF(OR(D3858="Butterfly",D3858="Butterfly ",D3858="Iron Fly", D3858="Iron Fly "),LEN(E3858)-LEN(SUBSTITUTE(E3858,"/",""))+2,LEN(E3858)-LEN(SUBSTITUTE(E3858,"/",""))+1))</f>
        <v/>
      </c>
      <c r="I3858" s="78">
        <f>IF(ISBLANK(G3858),"",IF(D3858="Stock","0",Key!$A$3*H3858*G3858))</f>
        <v/>
      </c>
      <c r="J3858" s="78">
        <f>IF(ISBLANK(E3858),"",IF(ISNUMBER(SEARCH("/",E3858)), IF(LEN(E3858)-LEN(SUBSTITUTE(E3858,"/",""))=1,(RIGHT(E3858,LEN(E3858)-FIND("/",E3858)))-(LEFT(E3858,FIND("/",E3858)-1)),(MID(E3858, SEARCH("/",E3858) + 1, SEARCH("/",E3858, SEARCH("/",E3858)+1) - SEARCH("/",E3858) - 1))-(LEFT(E3858,FIND("/",E3858)-1))), "NA"))</f>
        <v/>
      </c>
      <c r="K3858" s="79">
        <f>IF(A3858&lt;&gt;"", IF(ISBLANK(L3858), TODAY(), K3858), "")</f>
        <v/>
      </c>
      <c r="L3858" s="78" t="n"/>
      <c r="M3858" s="78">
        <f>IF(ISBLANK(L3858),"",IF(D3858="Stock",IF(C3858="Buy",L3858*G3858,IF(C3858="Sell",(L3858*G3858)-I3858, X)),IF(C3858="Buy",(L3858*G3858*100)+I3858,IF(C3858="Sell",(L3858*G3858*100)-I3858, X))))</f>
        <v/>
      </c>
      <c r="N3858" s="78">
        <f>IF(ISBLANK(L3858),"",IF(AND(C3858="Sell",D3858="Stock"),M3858,IF(ISBLANK(L3858),"",IF(C3858="Buy",M3858, IF(AND(C3858="Sell",J3858="NA"),(E3858*G3858*100*0.1)+I3858, IF(C3858="Sell",(J3858-L3858)*(100*G3858)+I3858))))))</f>
        <v/>
      </c>
      <c r="O3858" s="75" t="n"/>
      <c r="P3858" s="75" t="n"/>
      <c r="Q3858" s="75">
        <f>IF(ISBLANK(P3858),"",IF(D3858="Stock",P3858*G3858,IF(P3858=0,"0",G3858*P3858*100-(G3858*$AF$14))))</f>
        <v/>
      </c>
      <c r="R3858" s="79">
        <f>IF(P3858&lt;&gt;"", TODAY(), "")</f>
        <v/>
      </c>
      <c r="S3858" s="78">
        <f>IF(AND(K3858&lt;&gt;"", R3858&lt;&gt;""), R3858-K3858, "")</f>
        <v/>
      </c>
      <c r="T3858" s="78" t="n"/>
      <c r="U3858" s="92">
        <f>IF(ISBLANK(P3858),"",IF(C3858="Buy",Q3858-M3858+T3858, IF(C3858="Sell",M3858-Q3858-T3858, X)))</f>
        <v/>
      </c>
      <c r="V3858" s="81">
        <f>IF(ISBLANK(P3858),"",U3858/N3858)</f>
        <v/>
      </c>
      <c r="W3858" s="81">
        <f>IF(ISBLANK(P3858),"",IF(S3858=0,(365/0.5)*V3858,(365/S3858)*V3858))</f>
        <v/>
      </c>
      <c r="X3858" s="75" t="n"/>
      <c r="Y3858" s="77" t="n"/>
      <c r="Z3858" s="77" t="n"/>
      <c r="AA3858" s="75" t="n"/>
      <c r="AB3858" s="75" t="n"/>
      <c r="AC3858" s="6" t="n"/>
      <c r="AD3858" s="75" t="n"/>
      <c r="AE3858" s="75" t="n"/>
      <c r="AF3858" s="75" t="n"/>
    </row>
    <row r="3859" ht="15.75" customHeight="1" s="133">
      <c r="A3859" s="75" t="n"/>
      <c r="B3859" s="75" t="n"/>
      <c r="C3859" s="75" t="n"/>
      <c r="D3859" s="75" t="n"/>
      <c r="E3859" s="76" t="n"/>
      <c r="F3859" s="77" t="n"/>
      <c r="G3859" s="75" t="n"/>
      <c r="H3859" s="75">
        <f>IF(ISBLANK(E3859),"",IF(OR(D3859="Butterfly",D3859="Butterfly ",D3859="Iron Fly", D3859="Iron Fly "),LEN(E3859)-LEN(SUBSTITUTE(E3859,"/",""))+2,LEN(E3859)-LEN(SUBSTITUTE(E3859,"/",""))+1))</f>
        <v/>
      </c>
      <c r="I3859" s="78">
        <f>IF(ISBLANK(G3859),"",IF(D3859="Stock","0",Key!$A$3*H3859*G3859))</f>
        <v/>
      </c>
      <c r="J3859" s="78">
        <f>IF(ISBLANK(E3859),"",IF(ISNUMBER(SEARCH("/",E3859)), IF(LEN(E3859)-LEN(SUBSTITUTE(E3859,"/",""))=1,(RIGHT(E3859,LEN(E3859)-FIND("/",E3859)))-(LEFT(E3859,FIND("/",E3859)-1)),(MID(E3859, SEARCH("/",E3859) + 1, SEARCH("/",E3859, SEARCH("/",E3859)+1) - SEARCH("/",E3859) - 1))-(LEFT(E3859,FIND("/",E3859)-1))), "NA"))</f>
        <v/>
      </c>
      <c r="K3859" s="79">
        <f>IF(A3859&lt;&gt;"", IF(ISBLANK(L3859), TODAY(), K3859), "")</f>
        <v/>
      </c>
      <c r="L3859" s="78" t="n"/>
      <c r="M3859" s="78">
        <f>IF(ISBLANK(L3859),"",IF(D3859="Stock",IF(C3859="Buy",L3859*G3859,IF(C3859="Sell",(L3859*G3859)-I3859, X)),IF(C3859="Buy",(L3859*G3859*100)+I3859,IF(C3859="Sell",(L3859*G3859*100)-I3859, X))))</f>
        <v/>
      </c>
      <c r="N3859" s="78">
        <f>IF(ISBLANK(L3859),"",IF(AND(C3859="Sell",D3859="Stock"),M3859,IF(ISBLANK(L3859),"",IF(C3859="Buy",M3859, IF(AND(C3859="Sell",J3859="NA"),(E3859*G3859*100*0.1)+I3859, IF(C3859="Sell",(J3859-L3859)*(100*G3859)+I3859))))))</f>
        <v/>
      </c>
      <c r="O3859" s="75" t="n"/>
      <c r="P3859" s="75" t="n"/>
      <c r="Q3859" s="75">
        <f>IF(ISBLANK(P3859),"",IF(D3859="Stock",P3859*G3859,IF(P3859=0,"0",G3859*P3859*100-(G3859*$AF$14))))</f>
        <v/>
      </c>
      <c r="R3859" s="79">
        <f>IF(P3859&lt;&gt;"", TODAY(), "")</f>
        <v/>
      </c>
      <c r="S3859" s="78">
        <f>IF(AND(K3859&lt;&gt;"", R3859&lt;&gt;""), R3859-K3859, "")</f>
        <v/>
      </c>
      <c r="T3859" s="78" t="n"/>
      <c r="U3859" s="92">
        <f>IF(ISBLANK(P3859),"",IF(C3859="Buy",Q3859-M3859+T3859, IF(C3859="Sell",M3859-Q3859-T3859, X)))</f>
        <v/>
      </c>
      <c r="V3859" s="81">
        <f>IF(ISBLANK(P3859),"",U3859/N3859)</f>
        <v/>
      </c>
      <c r="W3859" s="81">
        <f>IF(ISBLANK(P3859),"",IF(S3859=0,(365/0.5)*V3859,(365/S3859)*V3859))</f>
        <v/>
      </c>
      <c r="X3859" s="75" t="n"/>
      <c r="Y3859" s="77" t="n"/>
      <c r="Z3859" s="77" t="n"/>
      <c r="AA3859" s="75" t="n"/>
      <c r="AB3859" s="75" t="n"/>
      <c r="AC3859" s="6" t="n"/>
      <c r="AD3859" s="75" t="n"/>
      <c r="AE3859" s="75" t="n"/>
      <c r="AF3859" s="75" t="n"/>
    </row>
    <row r="3860" ht="15.75" customHeight="1" s="133">
      <c r="A3860" s="75" t="n"/>
      <c r="B3860" s="75" t="n"/>
      <c r="C3860" s="75" t="n"/>
      <c r="D3860" s="75" t="n"/>
      <c r="E3860" s="76" t="n"/>
      <c r="F3860" s="77" t="n"/>
      <c r="G3860" s="75" t="n"/>
      <c r="H3860" s="75">
        <f>IF(ISBLANK(E3860),"",IF(OR(D3860="Butterfly",D3860="Butterfly ",D3860="Iron Fly", D3860="Iron Fly "),LEN(E3860)-LEN(SUBSTITUTE(E3860,"/",""))+2,LEN(E3860)-LEN(SUBSTITUTE(E3860,"/",""))+1))</f>
        <v/>
      </c>
      <c r="I3860" s="78">
        <f>IF(ISBLANK(G3860),"",IF(D3860="Stock","0",Key!$A$3*H3860*G3860))</f>
        <v/>
      </c>
      <c r="J3860" s="78">
        <f>IF(ISBLANK(E3860),"",IF(ISNUMBER(SEARCH("/",E3860)), IF(LEN(E3860)-LEN(SUBSTITUTE(E3860,"/",""))=1,(RIGHT(E3860,LEN(E3860)-FIND("/",E3860)))-(LEFT(E3860,FIND("/",E3860)-1)),(MID(E3860, SEARCH("/",E3860) + 1, SEARCH("/",E3860, SEARCH("/",E3860)+1) - SEARCH("/",E3860) - 1))-(LEFT(E3860,FIND("/",E3860)-1))), "NA"))</f>
        <v/>
      </c>
      <c r="K3860" s="79">
        <f>IF(A3860&lt;&gt;"", IF(ISBLANK(L3860), TODAY(), K3860), "")</f>
        <v/>
      </c>
      <c r="L3860" s="78" t="n"/>
      <c r="M3860" s="78">
        <f>IF(ISBLANK(L3860),"",IF(D3860="Stock",IF(C3860="Buy",L3860*G3860,IF(C3860="Sell",(L3860*G3860)-I3860, X)),IF(C3860="Buy",(L3860*G3860*100)+I3860,IF(C3860="Sell",(L3860*G3860*100)-I3860, X))))</f>
        <v/>
      </c>
      <c r="N3860" s="78">
        <f>IF(ISBLANK(L3860),"",IF(AND(C3860="Sell",D3860="Stock"),M3860,IF(ISBLANK(L3860),"",IF(C3860="Buy",M3860, IF(AND(C3860="Sell",J3860="NA"),(E3860*G3860*100*0.1)+I3860, IF(C3860="Sell",(J3860-L3860)*(100*G3860)+I3860))))))</f>
        <v/>
      </c>
      <c r="O3860" s="75" t="n"/>
      <c r="P3860" s="75" t="n"/>
      <c r="Q3860" s="75">
        <f>IF(ISBLANK(P3860),"",IF(D3860="Stock",P3860*G3860,IF(P3860=0,"0",G3860*P3860*100-(G3860*$AF$14))))</f>
        <v/>
      </c>
      <c r="R3860" s="79">
        <f>IF(P3860&lt;&gt;"", TODAY(), "")</f>
        <v/>
      </c>
      <c r="S3860" s="78">
        <f>IF(AND(K3860&lt;&gt;"", R3860&lt;&gt;""), R3860-K3860, "")</f>
        <v/>
      </c>
      <c r="T3860" s="78" t="n"/>
      <c r="U3860" s="92">
        <f>IF(ISBLANK(P3860),"",IF(C3860="Buy",Q3860-M3860+T3860, IF(C3860="Sell",M3860-Q3860-T3860, X)))</f>
        <v/>
      </c>
      <c r="V3860" s="81">
        <f>IF(ISBLANK(P3860),"",U3860/N3860)</f>
        <v/>
      </c>
      <c r="W3860" s="81">
        <f>IF(ISBLANK(P3860),"",IF(S3860=0,(365/0.5)*V3860,(365/S3860)*V3860))</f>
        <v/>
      </c>
      <c r="X3860" s="75" t="n"/>
      <c r="Y3860" s="77" t="n"/>
      <c r="Z3860" s="77" t="n"/>
      <c r="AA3860" s="75" t="n"/>
      <c r="AB3860" s="75" t="n"/>
      <c r="AC3860" s="6" t="n"/>
      <c r="AD3860" s="75" t="n"/>
      <c r="AE3860" s="75" t="n"/>
      <c r="AF3860" s="75" t="n"/>
    </row>
    <row r="3861" ht="15.75" customHeight="1" s="133">
      <c r="A3861" s="75" t="n"/>
      <c r="B3861" s="75" t="n"/>
      <c r="C3861" s="75" t="n"/>
      <c r="D3861" s="75" t="n"/>
      <c r="E3861" s="76" t="n"/>
      <c r="F3861" s="77" t="n"/>
      <c r="G3861" s="75" t="n"/>
      <c r="H3861" s="75">
        <f>IF(ISBLANK(E3861),"",IF(OR(D3861="Butterfly",D3861="Butterfly ",D3861="Iron Fly", D3861="Iron Fly "),LEN(E3861)-LEN(SUBSTITUTE(E3861,"/",""))+2,LEN(E3861)-LEN(SUBSTITUTE(E3861,"/",""))+1))</f>
        <v/>
      </c>
      <c r="I3861" s="78">
        <f>IF(ISBLANK(G3861),"",IF(D3861="Stock","0",Key!$A$3*H3861*G3861))</f>
        <v/>
      </c>
      <c r="J3861" s="78">
        <f>IF(ISBLANK(E3861),"",IF(ISNUMBER(SEARCH("/",E3861)), IF(LEN(E3861)-LEN(SUBSTITUTE(E3861,"/",""))=1,(RIGHT(E3861,LEN(E3861)-FIND("/",E3861)))-(LEFT(E3861,FIND("/",E3861)-1)),(MID(E3861, SEARCH("/",E3861) + 1, SEARCH("/",E3861, SEARCH("/",E3861)+1) - SEARCH("/",E3861) - 1))-(LEFT(E3861,FIND("/",E3861)-1))), "NA"))</f>
        <v/>
      </c>
      <c r="K3861" s="79">
        <f>IF(A3861&lt;&gt;"", IF(ISBLANK(L3861), TODAY(), K3861), "")</f>
        <v/>
      </c>
      <c r="L3861" s="78" t="n"/>
      <c r="M3861" s="78">
        <f>IF(ISBLANK(L3861),"",IF(D3861="Stock",IF(C3861="Buy",L3861*G3861,IF(C3861="Sell",(L3861*G3861)-I3861, X)),IF(C3861="Buy",(L3861*G3861*100)+I3861,IF(C3861="Sell",(L3861*G3861*100)-I3861, X))))</f>
        <v/>
      </c>
      <c r="N3861" s="78">
        <f>IF(ISBLANK(L3861),"",IF(AND(C3861="Sell",D3861="Stock"),M3861,IF(ISBLANK(L3861),"",IF(C3861="Buy",M3861, IF(AND(C3861="Sell",J3861="NA"),(E3861*G3861*100*0.1)+I3861, IF(C3861="Sell",(J3861-L3861)*(100*G3861)+I3861))))))</f>
        <v/>
      </c>
      <c r="O3861" s="75" t="n"/>
      <c r="P3861" s="75" t="n"/>
      <c r="Q3861" s="75">
        <f>IF(ISBLANK(P3861),"",IF(D3861="Stock",P3861*G3861,IF(P3861=0,"0",G3861*P3861*100-(G3861*$AF$14))))</f>
        <v/>
      </c>
      <c r="R3861" s="79">
        <f>IF(P3861&lt;&gt;"", TODAY(), "")</f>
        <v/>
      </c>
      <c r="S3861" s="78">
        <f>IF(AND(K3861&lt;&gt;"", R3861&lt;&gt;""), R3861-K3861, "")</f>
        <v/>
      </c>
      <c r="T3861" s="78" t="n"/>
      <c r="U3861" s="92">
        <f>IF(ISBLANK(P3861),"",IF(C3861="Buy",Q3861-M3861+T3861, IF(C3861="Sell",M3861-Q3861-T3861, X)))</f>
        <v/>
      </c>
      <c r="V3861" s="81">
        <f>IF(ISBLANK(P3861),"",U3861/N3861)</f>
        <v/>
      </c>
      <c r="W3861" s="81">
        <f>IF(ISBLANK(P3861),"",IF(S3861=0,(365/0.5)*V3861,(365/S3861)*V3861))</f>
        <v/>
      </c>
      <c r="X3861" s="75" t="n"/>
      <c r="Y3861" s="77" t="n"/>
      <c r="Z3861" s="77" t="n"/>
      <c r="AA3861" s="75" t="n"/>
      <c r="AB3861" s="75" t="n"/>
      <c r="AC3861" s="6" t="n"/>
      <c r="AD3861" s="75" t="n"/>
      <c r="AE3861" s="75" t="n"/>
      <c r="AF3861" s="75" t="n"/>
    </row>
    <row r="3862" ht="15.75" customHeight="1" s="133">
      <c r="A3862" s="75" t="n"/>
      <c r="B3862" s="75" t="n"/>
      <c r="C3862" s="75" t="n"/>
      <c r="D3862" s="75" t="n"/>
      <c r="E3862" s="76" t="n"/>
      <c r="F3862" s="77" t="n"/>
      <c r="G3862" s="75" t="n"/>
      <c r="H3862" s="75">
        <f>IF(ISBLANK(E3862),"",IF(OR(D3862="Butterfly",D3862="Butterfly ",D3862="Iron Fly", D3862="Iron Fly "),LEN(E3862)-LEN(SUBSTITUTE(E3862,"/",""))+2,LEN(E3862)-LEN(SUBSTITUTE(E3862,"/",""))+1))</f>
        <v/>
      </c>
      <c r="I3862" s="78">
        <f>IF(ISBLANK(G3862),"",IF(D3862="Stock","0",Key!$A$3*H3862*G3862))</f>
        <v/>
      </c>
      <c r="J3862" s="78">
        <f>IF(ISBLANK(E3862),"",IF(ISNUMBER(SEARCH("/",E3862)), IF(LEN(E3862)-LEN(SUBSTITUTE(E3862,"/",""))=1,(RIGHT(E3862,LEN(E3862)-FIND("/",E3862)))-(LEFT(E3862,FIND("/",E3862)-1)),(MID(E3862, SEARCH("/",E3862) + 1, SEARCH("/",E3862, SEARCH("/",E3862)+1) - SEARCH("/",E3862) - 1))-(LEFT(E3862,FIND("/",E3862)-1))), "NA"))</f>
        <v/>
      </c>
      <c r="K3862" s="79">
        <f>IF(A3862&lt;&gt;"", IF(ISBLANK(L3862), TODAY(), K3862), "")</f>
        <v/>
      </c>
      <c r="L3862" s="78" t="n"/>
      <c r="M3862" s="78">
        <f>IF(ISBLANK(L3862),"",IF(D3862="Stock",IF(C3862="Buy",L3862*G3862,IF(C3862="Sell",(L3862*G3862)-I3862, X)),IF(C3862="Buy",(L3862*G3862*100)+I3862,IF(C3862="Sell",(L3862*G3862*100)-I3862, X))))</f>
        <v/>
      </c>
      <c r="N3862" s="78">
        <f>IF(ISBLANK(L3862),"",IF(AND(C3862="Sell",D3862="Stock"),M3862,IF(ISBLANK(L3862),"",IF(C3862="Buy",M3862, IF(AND(C3862="Sell",J3862="NA"),(E3862*G3862*100*0.1)+I3862, IF(C3862="Sell",(J3862-L3862)*(100*G3862)+I3862))))))</f>
        <v/>
      </c>
      <c r="O3862" s="75" t="n"/>
      <c r="P3862" s="75" t="n"/>
      <c r="Q3862" s="75">
        <f>IF(ISBLANK(P3862),"",IF(D3862="Stock",P3862*G3862,IF(P3862=0,"0",G3862*P3862*100-(G3862*$AF$14))))</f>
        <v/>
      </c>
      <c r="R3862" s="79">
        <f>IF(P3862&lt;&gt;"", TODAY(), "")</f>
        <v/>
      </c>
      <c r="S3862" s="78">
        <f>IF(AND(K3862&lt;&gt;"", R3862&lt;&gt;""), R3862-K3862, "")</f>
        <v/>
      </c>
      <c r="T3862" s="78" t="n"/>
      <c r="U3862" s="92">
        <f>IF(ISBLANK(P3862),"",IF(C3862="Buy",Q3862-M3862+T3862, IF(C3862="Sell",M3862-Q3862-T3862, X)))</f>
        <v/>
      </c>
      <c r="V3862" s="81">
        <f>IF(ISBLANK(P3862),"",U3862/N3862)</f>
        <v/>
      </c>
      <c r="W3862" s="81">
        <f>IF(ISBLANK(P3862),"",IF(S3862=0,(365/0.5)*V3862,(365/S3862)*V3862))</f>
        <v/>
      </c>
      <c r="X3862" s="75" t="n"/>
      <c r="Y3862" s="77" t="n"/>
      <c r="Z3862" s="77" t="n"/>
      <c r="AA3862" s="75" t="n"/>
      <c r="AB3862" s="75" t="n"/>
      <c r="AC3862" s="6" t="n"/>
      <c r="AD3862" s="75" t="n"/>
      <c r="AE3862" s="75" t="n"/>
      <c r="AF3862" s="75" t="n"/>
    </row>
    <row r="3863" ht="15.75" customHeight="1" s="133">
      <c r="A3863" s="75" t="n"/>
      <c r="B3863" s="75" t="n"/>
      <c r="C3863" s="75" t="n"/>
      <c r="D3863" s="75" t="n"/>
      <c r="E3863" s="76" t="n"/>
      <c r="F3863" s="77" t="n"/>
      <c r="G3863" s="75" t="n"/>
      <c r="H3863" s="75">
        <f>IF(ISBLANK(E3863),"",IF(OR(D3863="Butterfly",D3863="Butterfly ",D3863="Iron Fly", D3863="Iron Fly "),LEN(E3863)-LEN(SUBSTITUTE(E3863,"/",""))+2,LEN(E3863)-LEN(SUBSTITUTE(E3863,"/",""))+1))</f>
        <v/>
      </c>
      <c r="I3863" s="78">
        <f>IF(ISBLANK(G3863),"",IF(D3863="Stock","0",Key!$A$3*H3863*G3863))</f>
        <v/>
      </c>
      <c r="J3863" s="78">
        <f>IF(ISBLANK(E3863),"",IF(ISNUMBER(SEARCH("/",E3863)), IF(LEN(E3863)-LEN(SUBSTITUTE(E3863,"/",""))=1,(RIGHT(E3863,LEN(E3863)-FIND("/",E3863)))-(LEFT(E3863,FIND("/",E3863)-1)),(MID(E3863, SEARCH("/",E3863) + 1, SEARCH("/",E3863, SEARCH("/",E3863)+1) - SEARCH("/",E3863) - 1))-(LEFT(E3863,FIND("/",E3863)-1))), "NA"))</f>
        <v/>
      </c>
      <c r="K3863" s="79">
        <f>IF(A3863&lt;&gt;"", IF(ISBLANK(L3863), TODAY(), K3863), "")</f>
        <v/>
      </c>
      <c r="L3863" s="78" t="n"/>
      <c r="M3863" s="78">
        <f>IF(ISBLANK(L3863),"",IF(D3863="Stock",IF(C3863="Buy",L3863*G3863,IF(C3863="Sell",(L3863*G3863)-I3863, X)),IF(C3863="Buy",(L3863*G3863*100)+I3863,IF(C3863="Sell",(L3863*G3863*100)-I3863, X))))</f>
        <v/>
      </c>
      <c r="N3863" s="78">
        <f>IF(ISBLANK(L3863),"",IF(AND(C3863="Sell",D3863="Stock"),M3863,IF(ISBLANK(L3863),"",IF(C3863="Buy",M3863, IF(AND(C3863="Sell",J3863="NA"),(E3863*G3863*100*0.1)+I3863, IF(C3863="Sell",(J3863-L3863)*(100*G3863)+I3863))))))</f>
        <v/>
      </c>
      <c r="O3863" s="75" t="n"/>
      <c r="P3863" s="75" t="n"/>
      <c r="Q3863" s="75">
        <f>IF(ISBLANK(P3863),"",IF(D3863="Stock",P3863*G3863,IF(P3863=0,"0",G3863*P3863*100-(G3863*$AF$14))))</f>
        <v/>
      </c>
      <c r="R3863" s="79">
        <f>IF(P3863&lt;&gt;"", TODAY(), "")</f>
        <v/>
      </c>
      <c r="S3863" s="78">
        <f>IF(AND(K3863&lt;&gt;"", R3863&lt;&gt;""), R3863-K3863, "")</f>
        <v/>
      </c>
      <c r="T3863" s="78" t="n"/>
      <c r="U3863" s="92">
        <f>IF(ISBLANK(P3863),"",IF(C3863="Buy",Q3863-M3863+T3863, IF(C3863="Sell",M3863-Q3863-T3863, X)))</f>
        <v/>
      </c>
      <c r="V3863" s="81">
        <f>IF(ISBLANK(P3863),"",U3863/N3863)</f>
        <v/>
      </c>
      <c r="W3863" s="81">
        <f>IF(ISBLANK(P3863),"",IF(S3863=0,(365/0.5)*V3863,(365/S3863)*V3863))</f>
        <v/>
      </c>
      <c r="X3863" s="75" t="n"/>
      <c r="Y3863" s="77" t="n"/>
      <c r="Z3863" s="77" t="n"/>
      <c r="AA3863" s="75" t="n"/>
      <c r="AB3863" s="75" t="n"/>
      <c r="AC3863" s="6" t="n"/>
      <c r="AD3863" s="75" t="n"/>
      <c r="AE3863" s="75" t="n"/>
      <c r="AF3863" s="75" t="n"/>
    </row>
    <row r="3864" ht="15.75" customHeight="1" s="133">
      <c r="A3864" s="75" t="n"/>
      <c r="B3864" s="75" t="n"/>
      <c r="C3864" s="75" t="n"/>
      <c r="D3864" s="75" t="n"/>
      <c r="E3864" s="76" t="n"/>
      <c r="F3864" s="77" t="n"/>
      <c r="G3864" s="75" t="n"/>
      <c r="H3864" s="75">
        <f>IF(ISBLANK(E3864),"",IF(OR(D3864="Butterfly",D3864="Butterfly ",D3864="Iron Fly", D3864="Iron Fly "),LEN(E3864)-LEN(SUBSTITUTE(E3864,"/",""))+2,LEN(E3864)-LEN(SUBSTITUTE(E3864,"/",""))+1))</f>
        <v/>
      </c>
      <c r="I3864" s="78">
        <f>IF(ISBLANK(G3864),"",IF(D3864="Stock","0",Key!$A$3*H3864*G3864))</f>
        <v/>
      </c>
      <c r="J3864" s="78">
        <f>IF(ISBLANK(E3864),"",IF(ISNUMBER(SEARCH("/",E3864)), IF(LEN(E3864)-LEN(SUBSTITUTE(E3864,"/",""))=1,(RIGHT(E3864,LEN(E3864)-FIND("/",E3864)))-(LEFT(E3864,FIND("/",E3864)-1)),(MID(E3864, SEARCH("/",E3864) + 1, SEARCH("/",E3864, SEARCH("/",E3864)+1) - SEARCH("/",E3864) - 1))-(LEFT(E3864,FIND("/",E3864)-1))), "NA"))</f>
        <v/>
      </c>
      <c r="K3864" s="79">
        <f>IF(A3864&lt;&gt;"", IF(ISBLANK(L3864), TODAY(), K3864), "")</f>
        <v/>
      </c>
      <c r="L3864" s="78" t="n"/>
      <c r="M3864" s="78">
        <f>IF(ISBLANK(L3864),"",IF(D3864="Stock",IF(C3864="Buy",L3864*G3864,IF(C3864="Sell",(L3864*G3864)-I3864, X)),IF(C3864="Buy",(L3864*G3864*100)+I3864,IF(C3864="Sell",(L3864*G3864*100)-I3864, X))))</f>
        <v/>
      </c>
      <c r="N3864" s="78">
        <f>IF(ISBLANK(L3864),"",IF(AND(C3864="Sell",D3864="Stock"),M3864,IF(ISBLANK(L3864),"",IF(C3864="Buy",M3864, IF(AND(C3864="Sell",J3864="NA"),(E3864*G3864*100*0.1)+I3864, IF(C3864="Sell",(J3864-L3864)*(100*G3864)+I3864))))))</f>
        <v/>
      </c>
      <c r="O3864" s="75" t="n"/>
      <c r="P3864" s="75" t="n"/>
      <c r="Q3864" s="75">
        <f>IF(ISBLANK(P3864),"",IF(D3864="Stock",P3864*G3864,IF(P3864=0,"0",G3864*P3864*100-(G3864*$AF$14))))</f>
        <v/>
      </c>
      <c r="R3864" s="79">
        <f>IF(P3864&lt;&gt;"", TODAY(), "")</f>
        <v/>
      </c>
      <c r="S3864" s="78">
        <f>IF(AND(K3864&lt;&gt;"", R3864&lt;&gt;""), R3864-K3864, "")</f>
        <v/>
      </c>
      <c r="T3864" s="78" t="n"/>
      <c r="U3864" s="92">
        <f>IF(ISBLANK(P3864),"",IF(C3864="Buy",Q3864-M3864+T3864, IF(C3864="Sell",M3864-Q3864-T3864, X)))</f>
        <v/>
      </c>
      <c r="V3864" s="81">
        <f>IF(ISBLANK(P3864),"",U3864/N3864)</f>
        <v/>
      </c>
      <c r="W3864" s="81">
        <f>IF(ISBLANK(P3864),"",IF(S3864=0,(365/0.5)*V3864,(365/S3864)*V3864))</f>
        <v/>
      </c>
      <c r="X3864" s="75" t="n"/>
      <c r="Y3864" s="77" t="n"/>
      <c r="Z3864" s="77" t="n"/>
      <c r="AA3864" s="75" t="n"/>
      <c r="AB3864" s="75" t="n"/>
      <c r="AC3864" s="6" t="n"/>
      <c r="AD3864" s="75" t="n"/>
      <c r="AE3864" s="75" t="n"/>
      <c r="AF3864" s="75" t="n"/>
    </row>
    <row r="3865" ht="15.75" customHeight="1" s="133">
      <c r="A3865" s="75" t="n"/>
      <c r="B3865" s="75" t="n"/>
      <c r="C3865" s="75" t="n"/>
      <c r="D3865" s="75" t="n"/>
      <c r="E3865" s="76" t="n"/>
      <c r="F3865" s="77" t="n"/>
      <c r="G3865" s="75" t="n"/>
      <c r="H3865" s="75">
        <f>IF(ISBLANK(E3865),"",IF(OR(D3865="Butterfly",D3865="Butterfly ",D3865="Iron Fly", D3865="Iron Fly "),LEN(E3865)-LEN(SUBSTITUTE(E3865,"/",""))+2,LEN(E3865)-LEN(SUBSTITUTE(E3865,"/",""))+1))</f>
        <v/>
      </c>
      <c r="I3865" s="78">
        <f>IF(ISBLANK(G3865),"",IF(D3865="Stock","0",Key!$A$3*H3865*G3865))</f>
        <v/>
      </c>
      <c r="J3865" s="78">
        <f>IF(ISBLANK(E3865),"",IF(ISNUMBER(SEARCH("/",E3865)), IF(LEN(E3865)-LEN(SUBSTITUTE(E3865,"/",""))=1,(RIGHT(E3865,LEN(E3865)-FIND("/",E3865)))-(LEFT(E3865,FIND("/",E3865)-1)),(MID(E3865, SEARCH("/",E3865) + 1, SEARCH("/",E3865, SEARCH("/",E3865)+1) - SEARCH("/",E3865) - 1))-(LEFT(E3865,FIND("/",E3865)-1))), "NA"))</f>
        <v/>
      </c>
      <c r="K3865" s="79">
        <f>IF(A3865&lt;&gt;"", IF(ISBLANK(L3865), TODAY(), K3865), "")</f>
        <v/>
      </c>
      <c r="L3865" s="78" t="n"/>
      <c r="M3865" s="78">
        <f>IF(ISBLANK(L3865),"",IF(D3865="Stock",IF(C3865="Buy",L3865*G3865,IF(C3865="Sell",(L3865*G3865)-I3865, X)),IF(C3865="Buy",(L3865*G3865*100)+I3865,IF(C3865="Sell",(L3865*G3865*100)-I3865, X))))</f>
        <v/>
      </c>
      <c r="N3865" s="78">
        <f>IF(ISBLANK(L3865),"",IF(AND(C3865="Sell",D3865="Stock"),M3865,IF(ISBLANK(L3865),"",IF(C3865="Buy",M3865, IF(AND(C3865="Sell",J3865="NA"),(E3865*G3865*100*0.1)+I3865, IF(C3865="Sell",(J3865-L3865)*(100*G3865)+I3865))))))</f>
        <v/>
      </c>
      <c r="O3865" s="75" t="n"/>
      <c r="P3865" s="75" t="n"/>
      <c r="Q3865" s="75">
        <f>IF(ISBLANK(P3865),"",IF(D3865="Stock",P3865*G3865,IF(P3865=0,"0",G3865*P3865*100-(G3865*$AF$14))))</f>
        <v/>
      </c>
      <c r="R3865" s="79">
        <f>IF(P3865&lt;&gt;"", TODAY(), "")</f>
        <v/>
      </c>
      <c r="S3865" s="78">
        <f>IF(AND(K3865&lt;&gt;"", R3865&lt;&gt;""), R3865-K3865, "")</f>
        <v/>
      </c>
      <c r="T3865" s="78" t="n"/>
      <c r="U3865" s="92">
        <f>IF(ISBLANK(P3865),"",IF(C3865="Buy",Q3865-M3865+T3865, IF(C3865="Sell",M3865-Q3865-T3865, X)))</f>
        <v/>
      </c>
      <c r="V3865" s="81">
        <f>IF(ISBLANK(P3865),"",U3865/N3865)</f>
        <v/>
      </c>
      <c r="W3865" s="81">
        <f>IF(ISBLANK(P3865),"",IF(S3865=0,(365/0.5)*V3865,(365/S3865)*V3865))</f>
        <v/>
      </c>
      <c r="X3865" s="75" t="n"/>
      <c r="Y3865" s="77" t="n"/>
      <c r="Z3865" s="77" t="n"/>
      <c r="AA3865" s="75" t="n"/>
      <c r="AB3865" s="75" t="n"/>
      <c r="AC3865" s="6" t="n"/>
      <c r="AD3865" s="75" t="n"/>
      <c r="AE3865" s="75" t="n"/>
      <c r="AF3865" s="75" t="n"/>
    </row>
    <row r="3866" ht="15.75" customHeight="1" s="133">
      <c r="A3866" s="75" t="n"/>
      <c r="B3866" s="75" t="n"/>
      <c r="C3866" s="75" t="n"/>
      <c r="D3866" s="75" t="n"/>
      <c r="E3866" s="76" t="n"/>
      <c r="F3866" s="77" t="n"/>
      <c r="G3866" s="75" t="n"/>
      <c r="H3866" s="75">
        <f>IF(ISBLANK(E3866),"",IF(OR(D3866="Butterfly",D3866="Butterfly ",D3866="Iron Fly", D3866="Iron Fly "),LEN(E3866)-LEN(SUBSTITUTE(E3866,"/",""))+2,LEN(E3866)-LEN(SUBSTITUTE(E3866,"/",""))+1))</f>
        <v/>
      </c>
      <c r="I3866" s="78">
        <f>IF(ISBLANK(G3866),"",IF(D3866="Stock","0",Key!$A$3*H3866*G3866))</f>
        <v/>
      </c>
      <c r="J3866" s="78">
        <f>IF(ISBLANK(E3866),"",IF(ISNUMBER(SEARCH("/",E3866)), IF(LEN(E3866)-LEN(SUBSTITUTE(E3866,"/",""))=1,(RIGHT(E3866,LEN(E3866)-FIND("/",E3866)))-(LEFT(E3866,FIND("/",E3866)-1)),(MID(E3866, SEARCH("/",E3866) + 1, SEARCH("/",E3866, SEARCH("/",E3866)+1) - SEARCH("/",E3866) - 1))-(LEFT(E3866,FIND("/",E3866)-1))), "NA"))</f>
        <v/>
      </c>
      <c r="K3866" s="79">
        <f>IF(A3866&lt;&gt;"", IF(ISBLANK(L3866), TODAY(), K3866), "")</f>
        <v/>
      </c>
      <c r="L3866" s="78" t="n"/>
      <c r="M3866" s="78">
        <f>IF(ISBLANK(L3866),"",IF(D3866="Stock",IF(C3866="Buy",L3866*G3866,IF(C3866="Sell",(L3866*G3866)-I3866, X)),IF(C3866="Buy",(L3866*G3866*100)+I3866,IF(C3866="Sell",(L3866*G3866*100)-I3866, X))))</f>
        <v/>
      </c>
      <c r="N3866" s="78">
        <f>IF(ISBLANK(L3866),"",IF(AND(C3866="Sell",D3866="Stock"),M3866,IF(ISBLANK(L3866),"",IF(C3866="Buy",M3866, IF(AND(C3866="Sell",J3866="NA"),(E3866*G3866*100*0.1)+I3866, IF(C3866="Sell",(J3866-L3866)*(100*G3866)+I3866))))))</f>
        <v/>
      </c>
      <c r="O3866" s="75" t="n"/>
      <c r="P3866" s="75" t="n"/>
      <c r="Q3866" s="75">
        <f>IF(ISBLANK(P3866),"",IF(D3866="Stock",P3866*G3866,IF(P3866=0,"0",G3866*P3866*100-(G3866*$AF$14))))</f>
        <v/>
      </c>
      <c r="R3866" s="79">
        <f>IF(P3866&lt;&gt;"", TODAY(), "")</f>
        <v/>
      </c>
      <c r="S3866" s="78">
        <f>IF(AND(K3866&lt;&gt;"", R3866&lt;&gt;""), R3866-K3866, "")</f>
        <v/>
      </c>
      <c r="T3866" s="78" t="n"/>
      <c r="U3866" s="92">
        <f>IF(ISBLANK(P3866),"",IF(C3866="Buy",Q3866-M3866+T3866, IF(C3866="Sell",M3866-Q3866-T3866, X)))</f>
        <v/>
      </c>
      <c r="V3866" s="81">
        <f>IF(ISBLANK(P3866),"",U3866/N3866)</f>
        <v/>
      </c>
      <c r="W3866" s="81">
        <f>IF(ISBLANK(P3866),"",IF(S3866=0,(365/0.5)*V3866,(365/S3866)*V3866))</f>
        <v/>
      </c>
      <c r="X3866" s="75" t="n"/>
      <c r="Y3866" s="77" t="n"/>
      <c r="Z3866" s="77" t="n"/>
      <c r="AA3866" s="75" t="n"/>
      <c r="AB3866" s="75" t="n"/>
      <c r="AC3866" s="6" t="n"/>
      <c r="AD3866" s="75" t="n"/>
      <c r="AE3866" s="75" t="n"/>
      <c r="AF3866" s="75" t="n"/>
    </row>
    <row r="3867" ht="15.75" customHeight="1" s="133">
      <c r="A3867" s="75" t="n"/>
      <c r="B3867" s="75" t="n"/>
      <c r="C3867" s="75" t="n"/>
      <c r="D3867" s="75" t="n"/>
      <c r="E3867" s="76" t="n"/>
      <c r="F3867" s="77" t="n"/>
      <c r="G3867" s="75" t="n"/>
      <c r="H3867" s="75">
        <f>IF(ISBLANK(E3867),"",IF(OR(D3867="Butterfly",D3867="Butterfly ",D3867="Iron Fly", D3867="Iron Fly "),LEN(E3867)-LEN(SUBSTITUTE(E3867,"/",""))+2,LEN(E3867)-LEN(SUBSTITUTE(E3867,"/",""))+1))</f>
        <v/>
      </c>
      <c r="I3867" s="78">
        <f>IF(ISBLANK(G3867),"",IF(D3867="Stock","0",Key!$A$3*H3867*G3867))</f>
        <v/>
      </c>
      <c r="J3867" s="78">
        <f>IF(ISBLANK(E3867),"",IF(ISNUMBER(SEARCH("/",E3867)), IF(LEN(E3867)-LEN(SUBSTITUTE(E3867,"/",""))=1,(RIGHT(E3867,LEN(E3867)-FIND("/",E3867)))-(LEFT(E3867,FIND("/",E3867)-1)),(MID(E3867, SEARCH("/",E3867) + 1, SEARCH("/",E3867, SEARCH("/",E3867)+1) - SEARCH("/",E3867) - 1))-(LEFT(E3867,FIND("/",E3867)-1))), "NA"))</f>
        <v/>
      </c>
      <c r="K3867" s="79">
        <f>IF(A3867&lt;&gt;"", IF(ISBLANK(L3867), TODAY(), K3867), "")</f>
        <v/>
      </c>
      <c r="L3867" s="78" t="n"/>
      <c r="M3867" s="78">
        <f>IF(ISBLANK(L3867),"",IF(D3867="Stock",IF(C3867="Buy",L3867*G3867,IF(C3867="Sell",(L3867*G3867)-I3867, X)),IF(C3867="Buy",(L3867*G3867*100)+I3867,IF(C3867="Sell",(L3867*G3867*100)-I3867, X))))</f>
        <v/>
      </c>
      <c r="N3867" s="78">
        <f>IF(ISBLANK(L3867),"",IF(AND(C3867="Sell",D3867="Stock"),M3867,IF(ISBLANK(L3867),"",IF(C3867="Buy",M3867, IF(AND(C3867="Sell",J3867="NA"),(E3867*G3867*100*0.1)+I3867, IF(C3867="Sell",(J3867-L3867)*(100*G3867)+I3867))))))</f>
        <v/>
      </c>
      <c r="O3867" s="75" t="n"/>
      <c r="P3867" s="75" t="n"/>
      <c r="Q3867" s="75">
        <f>IF(ISBLANK(P3867),"",IF(D3867="Stock",P3867*G3867,IF(P3867=0,"0",G3867*P3867*100-(G3867*$AF$14))))</f>
        <v/>
      </c>
      <c r="R3867" s="79">
        <f>IF(P3867&lt;&gt;"", TODAY(), "")</f>
        <v/>
      </c>
      <c r="S3867" s="78">
        <f>IF(AND(K3867&lt;&gt;"", R3867&lt;&gt;""), R3867-K3867, "")</f>
        <v/>
      </c>
      <c r="T3867" s="78" t="n"/>
      <c r="U3867" s="92">
        <f>IF(ISBLANK(P3867),"",IF(C3867="Buy",Q3867-M3867+T3867, IF(C3867="Sell",M3867-Q3867-T3867, X)))</f>
        <v/>
      </c>
      <c r="V3867" s="81">
        <f>IF(ISBLANK(P3867),"",U3867/N3867)</f>
        <v/>
      </c>
      <c r="W3867" s="81">
        <f>IF(ISBLANK(P3867),"",IF(S3867=0,(365/0.5)*V3867,(365/S3867)*V3867))</f>
        <v/>
      </c>
      <c r="X3867" s="75" t="n"/>
      <c r="Y3867" s="77" t="n"/>
      <c r="Z3867" s="77" t="n"/>
      <c r="AA3867" s="75" t="n"/>
      <c r="AB3867" s="75" t="n"/>
      <c r="AC3867" s="6" t="n"/>
      <c r="AD3867" s="75" t="n"/>
      <c r="AE3867" s="75" t="n"/>
      <c r="AF3867" s="75" t="n"/>
    </row>
    <row r="3868" ht="15.75" customHeight="1" s="133">
      <c r="A3868" s="75" t="n"/>
      <c r="B3868" s="75" t="n"/>
      <c r="C3868" s="75" t="n"/>
      <c r="D3868" s="75" t="n"/>
      <c r="E3868" s="76" t="n"/>
      <c r="F3868" s="77" t="n"/>
      <c r="G3868" s="75" t="n"/>
      <c r="H3868" s="75">
        <f>IF(ISBLANK(E3868),"",IF(OR(D3868="Butterfly",D3868="Butterfly ",D3868="Iron Fly", D3868="Iron Fly "),LEN(E3868)-LEN(SUBSTITUTE(E3868,"/",""))+2,LEN(E3868)-LEN(SUBSTITUTE(E3868,"/",""))+1))</f>
        <v/>
      </c>
      <c r="I3868" s="78">
        <f>IF(ISBLANK(G3868),"",IF(D3868="Stock","0",Key!$A$3*H3868*G3868))</f>
        <v/>
      </c>
      <c r="J3868" s="78">
        <f>IF(ISBLANK(E3868),"",IF(ISNUMBER(SEARCH("/",E3868)), IF(LEN(E3868)-LEN(SUBSTITUTE(E3868,"/",""))=1,(RIGHT(E3868,LEN(E3868)-FIND("/",E3868)))-(LEFT(E3868,FIND("/",E3868)-1)),(MID(E3868, SEARCH("/",E3868) + 1, SEARCH("/",E3868, SEARCH("/",E3868)+1) - SEARCH("/",E3868) - 1))-(LEFT(E3868,FIND("/",E3868)-1))), "NA"))</f>
        <v/>
      </c>
      <c r="K3868" s="79">
        <f>IF(A3868&lt;&gt;"", IF(ISBLANK(L3868), TODAY(), K3868), "")</f>
        <v/>
      </c>
      <c r="L3868" s="78" t="n"/>
      <c r="M3868" s="78">
        <f>IF(ISBLANK(L3868),"",IF(D3868="Stock",IF(C3868="Buy",L3868*G3868,IF(C3868="Sell",(L3868*G3868)-I3868, X)),IF(C3868="Buy",(L3868*G3868*100)+I3868,IF(C3868="Sell",(L3868*G3868*100)-I3868, X))))</f>
        <v/>
      </c>
      <c r="N3868" s="78">
        <f>IF(ISBLANK(L3868),"",IF(AND(C3868="Sell",D3868="Stock"),M3868,IF(ISBLANK(L3868),"",IF(C3868="Buy",M3868, IF(AND(C3868="Sell",J3868="NA"),(E3868*G3868*100*0.1)+I3868, IF(C3868="Sell",(J3868-L3868)*(100*G3868)+I3868))))))</f>
        <v/>
      </c>
      <c r="O3868" s="75" t="n"/>
      <c r="P3868" s="75" t="n"/>
      <c r="Q3868" s="75">
        <f>IF(ISBLANK(P3868),"",IF(D3868="Stock",P3868*G3868,IF(P3868=0,"0",G3868*P3868*100-(G3868*$AF$14))))</f>
        <v/>
      </c>
      <c r="R3868" s="79">
        <f>IF(P3868&lt;&gt;"", TODAY(), "")</f>
        <v/>
      </c>
      <c r="S3868" s="78">
        <f>IF(AND(K3868&lt;&gt;"", R3868&lt;&gt;""), R3868-K3868, "")</f>
        <v/>
      </c>
      <c r="T3868" s="78" t="n"/>
      <c r="U3868" s="92">
        <f>IF(ISBLANK(P3868),"",IF(C3868="Buy",Q3868-M3868+T3868, IF(C3868="Sell",M3868-Q3868-T3868, X)))</f>
        <v/>
      </c>
      <c r="V3868" s="81">
        <f>IF(ISBLANK(P3868),"",U3868/N3868)</f>
        <v/>
      </c>
      <c r="W3868" s="81">
        <f>IF(ISBLANK(P3868),"",IF(S3868=0,(365/0.5)*V3868,(365/S3868)*V3868))</f>
        <v/>
      </c>
      <c r="X3868" s="75" t="n"/>
      <c r="Y3868" s="77" t="n"/>
      <c r="Z3868" s="77" t="n"/>
      <c r="AA3868" s="75" t="n"/>
      <c r="AB3868" s="75" t="n"/>
      <c r="AC3868" s="6" t="n"/>
      <c r="AD3868" s="75" t="n"/>
      <c r="AE3868" s="75" t="n"/>
      <c r="AF3868" s="75" t="n"/>
    </row>
    <row r="3869" ht="15.75" customHeight="1" s="133">
      <c r="A3869" s="75" t="n"/>
      <c r="B3869" s="75" t="n"/>
      <c r="C3869" s="75" t="n"/>
      <c r="D3869" s="75" t="n"/>
      <c r="E3869" s="76" t="n"/>
      <c r="F3869" s="77" t="n"/>
      <c r="G3869" s="75" t="n"/>
      <c r="H3869" s="75">
        <f>IF(ISBLANK(E3869),"",IF(OR(D3869="Butterfly",D3869="Butterfly ",D3869="Iron Fly", D3869="Iron Fly "),LEN(E3869)-LEN(SUBSTITUTE(E3869,"/",""))+2,LEN(E3869)-LEN(SUBSTITUTE(E3869,"/",""))+1))</f>
        <v/>
      </c>
      <c r="I3869" s="78">
        <f>IF(ISBLANK(G3869),"",IF(D3869="Stock","0",Key!$A$3*H3869*G3869))</f>
        <v/>
      </c>
      <c r="J3869" s="78">
        <f>IF(ISBLANK(E3869),"",IF(ISNUMBER(SEARCH("/",E3869)), IF(LEN(E3869)-LEN(SUBSTITUTE(E3869,"/",""))=1,(RIGHT(E3869,LEN(E3869)-FIND("/",E3869)))-(LEFT(E3869,FIND("/",E3869)-1)),(MID(E3869, SEARCH("/",E3869) + 1, SEARCH("/",E3869, SEARCH("/",E3869)+1) - SEARCH("/",E3869) - 1))-(LEFT(E3869,FIND("/",E3869)-1))), "NA"))</f>
        <v/>
      </c>
      <c r="K3869" s="79">
        <f>IF(A3869&lt;&gt;"", IF(ISBLANK(L3869), TODAY(), K3869), "")</f>
        <v/>
      </c>
      <c r="L3869" s="78" t="n"/>
      <c r="M3869" s="78">
        <f>IF(ISBLANK(L3869),"",IF(D3869="Stock",IF(C3869="Buy",L3869*G3869,IF(C3869="Sell",(L3869*G3869)-I3869, X)),IF(C3869="Buy",(L3869*G3869*100)+I3869,IF(C3869="Sell",(L3869*G3869*100)-I3869, X))))</f>
        <v/>
      </c>
      <c r="N3869" s="78">
        <f>IF(ISBLANK(L3869),"",IF(AND(C3869="Sell",D3869="Stock"),M3869,IF(ISBLANK(L3869),"",IF(C3869="Buy",M3869, IF(AND(C3869="Sell",J3869="NA"),(E3869*G3869*100*0.1)+I3869, IF(C3869="Sell",(J3869-L3869)*(100*G3869)+I3869))))))</f>
        <v/>
      </c>
      <c r="O3869" s="75" t="n"/>
      <c r="P3869" s="75" t="n"/>
      <c r="Q3869" s="75">
        <f>IF(ISBLANK(P3869),"",IF(D3869="Stock",P3869*G3869,IF(P3869=0,"0",G3869*P3869*100-(G3869*$AF$14))))</f>
        <v/>
      </c>
      <c r="R3869" s="79">
        <f>IF(P3869&lt;&gt;"", TODAY(), "")</f>
        <v/>
      </c>
      <c r="S3869" s="78">
        <f>IF(AND(K3869&lt;&gt;"", R3869&lt;&gt;""), R3869-K3869, "")</f>
        <v/>
      </c>
      <c r="T3869" s="78" t="n"/>
      <c r="U3869" s="92">
        <f>IF(ISBLANK(P3869),"",IF(C3869="Buy",Q3869-M3869+T3869, IF(C3869="Sell",M3869-Q3869-T3869, X)))</f>
        <v/>
      </c>
      <c r="V3869" s="81">
        <f>IF(ISBLANK(P3869),"",U3869/N3869)</f>
        <v/>
      </c>
      <c r="W3869" s="81">
        <f>IF(ISBLANK(P3869),"",IF(S3869=0,(365/0.5)*V3869,(365/S3869)*V3869))</f>
        <v/>
      </c>
      <c r="X3869" s="75" t="n"/>
      <c r="Y3869" s="77" t="n"/>
      <c r="Z3869" s="77" t="n"/>
      <c r="AA3869" s="75" t="n"/>
      <c r="AB3869" s="75" t="n"/>
      <c r="AC3869" s="6" t="n"/>
      <c r="AD3869" s="75" t="n"/>
      <c r="AE3869" s="75" t="n"/>
      <c r="AF3869" s="75" t="n"/>
    </row>
    <row r="3870" ht="15.75" customHeight="1" s="133">
      <c r="A3870" s="75" t="n"/>
      <c r="B3870" s="75" t="n"/>
      <c r="C3870" s="75" t="n"/>
      <c r="D3870" s="75" t="n"/>
      <c r="E3870" s="76" t="n"/>
      <c r="F3870" s="77" t="n"/>
      <c r="G3870" s="75" t="n"/>
      <c r="H3870" s="75">
        <f>IF(ISBLANK(E3870),"",IF(OR(D3870="Butterfly",D3870="Butterfly ",D3870="Iron Fly", D3870="Iron Fly "),LEN(E3870)-LEN(SUBSTITUTE(E3870,"/",""))+2,LEN(E3870)-LEN(SUBSTITUTE(E3870,"/",""))+1))</f>
        <v/>
      </c>
      <c r="I3870" s="78">
        <f>IF(ISBLANK(G3870),"",IF(D3870="Stock","0",Key!$A$3*H3870*G3870))</f>
        <v/>
      </c>
      <c r="J3870" s="78">
        <f>IF(ISBLANK(E3870),"",IF(ISNUMBER(SEARCH("/",E3870)), IF(LEN(E3870)-LEN(SUBSTITUTE(E3870,"/",""))=1,(RIGHT(E3870,LEN(E3870)-FIND("/",E3870)))-(LEFT(E3870,FIND("/",E3870)-1)),(MID(E3870, SEARCH("/",E3870) + 1, SEARCH("/",E3870, SEARCH("/",E3870)+1) - SEARCH("/",E3870) - 1))-(LEFT(E3870,FIND("/",E3870)-1))), "NA"))</f>
        <v/>
      </c>
      <c r="K3870" s="79">
        <f>IF(A3870&lt;&gt;"", IF(ISBLANK(L3870), TODAY(), K3870), "")</f>
        <v/>
      </c>
      <c r="L3870" s="78" t="n"/>
      <c r="M3870" s="78">
        <f>IF(ISBLANK(L3870),"",IF(D3870="Stock",IF(C3870="Buy",L3870*G3870,IF(C3870="Sell",(L3870*G3870)-I3870, X)),IF(C3870="Buy",(L3870*G3870*100)+I3870,IF(C3870="Sell",(L3870*G3870*100)-I3870, X))))</f>
        <v/>
      </c>
      <c r="N3870" s="78">
        <f>IF(ISBLANK(L3870),"",IF(AND(C3870="Sell",D3870="Stock"),M3870,IF(ISBLANK(L3870),"",IF(C3870="Buy",M3870, IF(AND(C3870="Sell",J3870="NA"),(E3870*G3870*100*0.1)+I3870, IF(C3870="Sell",(J3870-L3870)*(100*G3870)+I3870))))))</f>
        <v/>
      </c>
      <c r="O3870" s="75" t="n"/>
      <c r="P3870" s="75" t="n"/>
      <c r="Q3870" s="75">
        <f>IF(ISBLANK(P3870),"",IF(D3870="Stock",P3870*G3870,IF(P3870=0,"0",G3870*P3870*100-(G3870*$AF$14))))</f>
        <v/>
      </c>
      <c r="R3870" s="79">
        <f>IF(P3870&lt;&gt;"", TODAY(), "")</f>
        <v/>
      </c>
      <c r="S3870" s="78">
        <f>IF(AND(K3870&lt;&gt;"", R3870&lt;&gt;""), R3870-K3870, "")</f>
        <v/>
      </c>
      <c r="T3870" s="78" t="n"/>
      <c r="U3870" s="92">
        <f>IF(ISBLANK(P3870),"",IF(C3870="Buy",Q3870-M3870+T3870, IF(C3870="Sell",M3870-Q3870-T3870, X)))</f>
        <v/>
      </c>
      <c r="V3870" s="81">
        <f>IF(ISBLANK(P3870),"",U3870/N3870)</f>
        <v/>
      </c>
      <c r="W3870" s="81">
        <f>IF(ISBLANK(P3870),"",IF(S3870=0,(365/0.5)*V3870,(365/S3870)*V3870))</f>
        <v/>
      </c>
      <c r="X3870" s="75" t="n"/>
      <c r="Y3870" s="77" t="n"/>
      <c r="Z3870" s="77" t="n"/>
      <c r="AA3870" s="75" t="n"/>
      <c r="AB3870" s="75" t="n"/>
      <c r="AC3870" s="6" t="n"/>
      <c r="AD3870" s="75" t="n"/>
      <c r="AE3870" s="75" t="n"/>
      <c r="AF3870" s="75" t="n"/>
    </row>
    <row r="3871" ht="15.75" customHeight="1" s="133">
      <c r="A3871" s="75" t="n"/>
      <c r="B3871" s="75" t="n"/>
      <c r="C3871" s="75" t="n"/>
      <c r="D3871" s="75" t="n"/>
      <c r="E3871" s="76" t="n"/>
      <c r="F3871" s="77" t="n"/>
      <c r="G3871" s="75" t="n"/>
      <c r="H3871" s="75">
        <f>IF(ISBLANK(E3871),"",IF(OR(D3871="Butterfly",D3871="Butterfly ",D3871="Iron Fly", D3871="Iron Fly "),LEN(E3871)-LEN(SUBSTITUTE(E3871,"/",""))+2,LEN(E3871)-LEN(SUBSTITUTE(E3871,"/",""))+1))</f>
        <v/>
      </c>
      <c r="I3871" s="78">
        <f>IF(ISBLANK(G3871),"",IF(D3871="Stock","0",Key!$A$3*H3871*G3871))</f>
        <v/>
      </c>
      <c r="J3871" s="78">
        <f>IF(ISBLANK(E3871),"",IF(ISNUMBER(SEARCH("/",E3871)), IF(LEN(E3871)-LEN(SUBSTITUTE(E3871,"/",""))=1,(RIGHT(E3871,LEN(E3871)-FIND("/",E3871)))-(LEFT(E3871,FIND("/",E3871)-1)),(MID(E3871, SEARCH("/",E3871) + 1, SEARCH("/",E3871, SEARCH("/",E3871)+1) - SEARCH("/",E3871) - 1))-(LEFT(E3871,FIND("/",E3871)-1))), "NA"))</f>
        <v/>
      </c>
      <c r="K3871" s="79">
        <f>IF(A3871&lt;&gt;"", IF(ISBLANK(L3871), TODAY(), K3871), "")</f>
        <v/>
      </c>
      <c r="L3871" s="78" t="n"/>
      <c r="M3871" s="78">
        <f>IF(ISBLANK(L3871),"",IF(D3871="Stock",IF(C3871="Buy",L3871*G3871,IF(C3871="Sell",(L3871*G3871)-I3871, X)),IF(C3871="Buy",(L3871*G3871*100)+I3871,IF(C3871="Sell",(L3871*G3871*100)-I3871, X))))</f>
        <v/>
      </c>
      <c r="N3871" s="78">
        <f>IF(ISBLANK(L3871),"",IF(AND(C3871="Sell",D3871="Stock"),M3871,IF(ISBLANK(L3871),"",IF(C3871="Buy",M3871, IF(AND(C3871="Sell",J3871="NA"),(E3871*G3871*100*0.1)+I3871, IF(C3871="Sell",(J3871-L3871)*(100*G3871)+I3871))))))</f>
        <v/>
      </c>
      <c r="O3871" s="75" t="n"/>
      <c r="P3871" s="75" t="n"/>
      <c r="Q3871" s="75">
        <f>IF(ISBLANK(P3871),"",IF(D3871="Stock",P3871*G3871,IF(P3871=0,"0",G3871*P3871*100-(G3871*$AF$14))))</f>
        <v/>
      </c>
      <c r="R3871" s="79">
        <f>IF(P3871&lt;&gt;"", TODAY(), "")</f>
        <v/>
      </c>
      <c r="S3871" s="78">
        <f>IF(AND(K3871&lt;&gt;"", R3871&lt;&gt;""), R3871-K3871, "")</f>
        <v/>
      </c>
      <c r="T3871" s="78" t="n"/>
      <c r="U3871" s="92">
        <f>IF(ISBLANK(P3871),"",IF(C3871="Buy",Q3871-M3871+T3871, IF(C3871="Sell",M3871-Q3871-T3871, X)))</f>
        <v/>
      </c>
      <c r="V3871" s="81">
        <f>IF(ISBLANK(P3871),"",U3871/N3871)</f>
        <v/>
      </c>
      <c r="W3871" s="81">
        <f>IF(ISBLANK(P3871),"",IF(S3871=0,(365/0.5)*V3871,(365/S3871)*V3871))</f>
        <v/>
      </c>
      <c r="X3871" s="75" t="n"/>
      <c r="Y3871" s="77" t="n"/>
      <c r="Z3871" s="77" t="n"/>
      <c r="AA3871" s="75" t="n"/>
      <c r="AB3871" s="75" t="n"/>
      <c r="AC3871" s="6" t="n"/>
      <c r="AD3871" s="75" t="n"/>
      <c r="AE3871" s="75" t="n"/>
      <c r="AF3871" s="75" t="n"/>
    </row>
    <row r="3872" ht="15.75" customHeight="1" s="133">
      <c r="A3872" s="75" t="n"/>
      <c r="B3872" s="75" t="n"/>
      <c r="C3872" s="75" t="n"/>
      <c r="D3872" s="75" t="n"/>
      <c r="E3872" s="76" t="n"/>
      <c r="F3872" s="77" t="n"/>
      <c r="G3872" s="75" t="n"/>
      <c r="H3872" s="75">
        <f>IF(ISBLANK(E3872),"",IF(OR(D3872="Butterfly",D3872="Butterfly ",D3872="Iron Fly", D3872="Iron Fly "),LEN(E3872)-LEN(SUBSTITUTE(E3872,"/",""))+2,LEN(E3872)-LEN(SUBSTITUTE(E3872,"/",""))+1))</f>
        <v/>
      </c>
      <c r="I3872" s="78">
        <f>IF(ISBLANK(G3872),"",IF(D3872="Stock","0",Key!$A$3*H3872*G3872))</f>
        <v/>
      </c>
      <c r="J3872" s="78">
        <f>IF(ISBLANK(E3872),"",IF(ISNUMBER(SEARCH("/",E3872)), IF(LEN(E3872)-LEN(SUBSTITUTE(E3872,"/",""))=1,(RIGHT(E3872,LEN(E3872)-FIND("/",E3872)))-(LEFT(E3872,FIND("/",E3872)-1)),(MID(E3872, SEARCH("/",E3872) + 1, SEARCH("/",E3872, SEARCH("/",E3872)+1) - SEARCH("/",E3872) - 1))-(LEFT(E3872,FIND("/",E3872)-1))), "NA"))</f>
        <v/>
      </c>
      <c r="K3872" s="79">
        <f>IF(A3872&lt;&gt;"", IF(ISBLANK(L3872), TODAY(), K3872), "")</f>
        <v/>
      </c>
      <c r="L3872" s="78" t="n"/>
      <c r="M3872" s="78">
        <f>IF(ISBLANK(L3872),"",IF(D3872="Stock",IF(C3872="Buy",L3872*G3872,IF(C3872="Sell",(L3872*G3872)-I3872, X)),IF(C3872="Buy",(L3872*G3872*100)+I3872,IF(C3872="Sell",(L3872*G3872*100)-I3872, X))))</f>
        <v/>
      </c>
      <c r="N3872" s="78">
        <f>IF(ISBLANK(L3872),"",IF(AND(C3872="Sell",D3872="Stock"),M3872,IF(ISBLANK(L3872),"",IF(C3872="Buy",M3872, IF(AND(C3872="Sell",J3872="NA"),(E3872*G3872*100*0.1)+I3872, IF(C3872="Sell",(J3872-L3872)*(100*G3872)+I3872))))))</f>
        <v/>
      </c>
      <c r="O3872" s="75" t="n"/>
      <c r="P3872" s="75" t="n"/>
      <c r="Q3872" s="75">
        <f>IF(ISBLANK(P3872),"",IF(D3872="Stock",P3872*G3872,IF(P3872=0,"0",G3872*P3872*100-(G3872*$AF$14))))</f>
        <v/>
      </c>
      <c r="R3872" s="79">
        <f>IF(P3872&lt;&gt;"", TODAY(), "")</f>
        <v/>
      </c>
      <c r="S3872" s="78">
        <f>IF(AND(K3872&lt;&gt;"", R3872&lt;&gt;""), R3872-K3872, "")</f>
        <v/>
      </c>
      <c r="T3872" s="78" t="n"/>
      <c r="U3872" s="92">
        <f>IF(ISBLANK(P3872),"",IF(C3872="Buy",Q3872-M3872+T3872, IF(C3872="Sell",M3872-Q3872-T3872, X)))</f>
        <v/>
      </c>
      <c r="V3872" s="81">
        <f>IF(ISBLANK(P3872),"",U3872/N3872)</f>
        <v/>
      </c>
      <c r="W3872" s="81">
        <f>IF(ISBLANK(P3872),"",IF(S3872=0,(365/0.5)*V3872,(365/S3872)*V3872))</f>
        <v/>
      </c>
      <c r="X3872" s="75" t="n"/>
      <c r="Y3872" s="77" t="n"/>
      <c r="Z3872" s="77" t="n"/>
      <c r="AA3872" s="75" t="n"/>
      <c r="AB3872" s="75" t="n"/>
      <c r="AC3872" s="6" t="n"/>
      <c r="AD3872" s="75" t="n"/>
      <c r="AE3872" s="75" t="n"/>
      <c r="AF3872" s="75" t="n"/>
    </row>
    <row r="3873" ht="15.75" customHeight="1" s="133">
      <c r="A3873" s="75" t="n"/>
      <c r="B3873" s="75" t="n"/>
      <c r="C3873" s="75" t="n"/>
      <c r="D3873" s="75" t="n"/>
      <c r="E3873" s="76" t="n"/>
      <c r="F3873" s="77" t="n"/>
      <c r="G3873" s="75" t="n"/>
      <c r="H3873" s="75">
        <f>IF(ISBLANK(E3873),"",IF(OR(D3873="Butterfly",D3873="Butterfly ",D3873="Iron Fly", D3873="Iron Fly "),LEN(E3873)-LEN(SUBSTITUTE(E3873,"/",""))+2,LEN(E3873)-LEN(SUBSTITUTE(E3873,"/",""))+1))</f>
        <v/>
      </c>
      <c r="I3873" s="78">
        <f>IF(ISBLANK(G3873),"",IF(D3873="Stock","0",Key!$A$3*H3873*G3873))</f>
        <v/>
      </c>
      <c r="J3873" s="78">
        <f>IF(ISBLANK(E3873),"",IF(ISNUMBER(SEARCH("/",E3873)), IF(LEN(E3873)-LEN(SUBSTITUTE(E3873,"/",""))=1,(RIGHT(E3873,LEN(E3873)-FIND("/",E3873)))-(LEFT(E3873,FIND("/",E3873)-1)),(MID(E3873, SEARCH("/",E3873) + 1, SEARCH("/",E3873, SEARCH("/",E3873)+1) - SEARCH("/",E3873) - 1))-(LEFT(E3873,FIND("/",E3873)-1))), "NA"))</f>
        <v/>
      </c>
      <c r="K3873" s="79">
        <f>IF(A3873&lt;&gt;"", IF(ISBLANK(L3873), TODAY(), K3873), "")</f>
        <v/>
      </c>
      <c r="L3873" s="78" t="n"/>
      <c r="M3873" s="78">
        <f>IF(ISBLANK(L3873),"",IF(D3873="Stock",IF(C3873="Buy",L3873*G3873,IF(C3873="Sell",(L3873*G3873)-I3873, X)),IF(C3873="Buy",(L3873*G3873*100)+I3873,IF(C3873="Sell",(L3873*G3873*100)-I3873, X))))</f>
        <v/>
      </c>
      <c r="N3873" s="78">
        <f>IF(ISBLANK(L3873),"",IF(AND(C3873="Sell",D3873="Stock"),M3873,IF(ISBLANK(L3873),"",IF(C3873="Buy",M3873, IF(AND(C3873="Sell",J3873="NA"),(E3873*G3873*100*0.1)+I3873, IF(C3873="Sell",(J3873-L3873)*(100*G3873)+I3873))))))</f>
        <v/>
      </c>
      <c r="O3873" s="75" t="n"/>
      <c r="P3873" s="75" t="n"/>
      <c r="Q3873" s="75">
        <f>IF(ISBLANK(P3873),"",IF(D3873="Stock",P3873*G3873,IF(P3873=0,"0",G3873*P3873*100-(G3873*$AF$14))))</f>
        <v/>
      </c>
      <c r="R3873" s="79">
        <f>IF(P3873&lt;&gt;"", TODAY(), "")</f>
        <v/>
      </c>
      <c r="S3873" s="78">
        <f>IF(AND(K3873&lt;&gt;"", R3873&lt;&gt;""), R3873-K3873, "")</f>
        <v/>
      </c>
      <c r="T3873" s="78" t="n"/>
      <c r="U3873" s="92">
        <f>IF(ISBLANK(P3873),"",IF(C3873="Buy",Q3873-M3873+T3873, IF(C3873="Sell",M3873-Q3873-T3873, X)))</f>
        <v/>
      </c>
      <c r="V3873" s="81">
        <f>IF(ISBLANK(P3873),"",U3873/N3873)</f>
        <v/>
      </c>
      <c r="W3873" s="81">
        <f>IF(ISBLANK(P3873),"",IF(S3873=0,(365/0.5)*V3873,(365/S3873)*V3873))</f>
        <v/>
      </c>
      <c r="X3873" s="75" t="n"/>
      <c r="Y3873" s="77" t="n"/>
      <c r="Z3873" s="77" t="n"/>
      <c r="AA3873" s="75" t="n"/>
      <c r="AB3873" s="75" t="n"/>
      <c r="AC3873" s="6" t="n"/>
      <c r="AD3873" s="75" t="n"/>
      <c r="AE3873" s="75" t="n"/>
      <c r="AF3873" s="75" t="n"/>
    </row>
    <row r="3874" ht="15.75" customHeight="1" s="133">
      <c r="A3874" s="75" t="n"/>
      <c r="B3874" s="75" t="n"/>
      <c r="C3874" s="75" t="n"/>
      <c r="D3874" s="75" t="n"/>
      <c r="E3874" s="76" t="n"/>
      <c r="F3874" s="77" t="n"/>
      <c r="G3874" s="75" t="n"/>
      <c r="H3874" s="75">
        <f>IF(ISBLANK(E3874),"",IF(OR(D3874="Butterfly",D3874="Butterfly ",D3874="Iron Fly", D3874="Iron Fly "),LEN(E3874)-LEN(SUBSTITUTE(E3874,"/",""))+2,LEN(E3874)-LEN(SUBSTITUTE(E3874,"/",""))+1))</f>
        <v/>
      </c>
      <c r="I3874" s="78">
        <f>IF(ISBLANK(G3874),"",IF(D3874="Stock","0",Key!$A$3*H3874*G3874))</f>
        <v/>
      </c>
      <c r="J3874" s="78">
        <f>IF(ISBLANK(E3874),"",IF(ISNUMBER(SEARCH("/",E3874)), IF(LEN(E3874)-LEN(SUBSTITUTE(E3874,"/",""))=1,(RIGHT(E3874,LEN(E3874)-FIND("/",E3874)))-(LEFT(E3874,FIND("/",E3874)-1)),(MID(E3874, SEARCH("/",E3874) + 1, SEARCH("/",E3874, SEARCH("/",E3874)+1) - SEARCH("/",E3874) - 1))-(LEFT(E3874,FIND("/",E3874)-1))), "NA"))</f>
        <v/>
      </c>
      <c r="K3874" s="79">
        <f>IF(A3874&lt;&gt;"", IF(ISBLANK(L3874), TODAY(), K3874), "")</f>
        <v/>
      </c>
      <c r="L3874" s="78" t="n"/>
      <c r="M3874" s="78">
        <f>IF(ISBLANK(L3874),"",IF(D3874="Stock",IF(C3874="Buy",L3874*G3874,IF(C3874="Sell",(L3874*G3874)-I3874, X)),IF(C3874="Buy",(L3874*G3874*100)+I3874,IF(C3874="Sell",(L3874*G3874*100)-I3874, X))))</f>
        <v/>
      </c>
      <c r="N3874" s="78">
        <f>IF(ISBLANK(L3874),"",IF(AND(C3874="Sell",D3874="Stock"),M3874,IF(ISBLANK(L3874),"",IF(C3874="Buy",M3874, IF(AND(C3874="Sell",J3874="NA"),(E3874*G3874*100*0.1)+I3874, IF(C3874="Sell",(J3874-L3874)*(100*G3874)+I3874))))))</f>
        <v/>
      </c>
      <c r="O3874" s="75" t="n"/>
      <c r="P3874" s="75" t="n"/>
      <c r="Q3874" s="75">
        <f>IF(ISBLANK(P3874),"",IF(D3874="Stock",P3874*G3874,IF(P3874=0,"0",G3874*P3874*100-(G3874*$AF$14))))</f>
        <v/>
      </c>
      <c r="R3874" s="79">
        <f>IF(P3874&lt;&gt;"", TODAY(), "")</f>
        <v/>
      </c>
      <c r="S3874" s="78">
        <f>IF(AND(K3874&lt;&gt;"", R3874&lt;&gt;""), R3874-K3874, "")</f>
        <v/>
      </c>
      <c r="T3874" s="78" t="n"/>
      <c r="U3874" s="92">
        <f>IF(ISBLANK(P3874),"",IF(C3874="Buy",Q3874-M3874+T3874, IF(C3874="Sell",M3874-Q3874-T3874, X)))</f>
        <v/>
      </c>
      <c r="V3874" s="81">
        <f>IF(ISBLANK(P3874),"",U3874/N3874)</f>
        <v/>
      </c>
      <c r="W3874" s="81">
        <f>IF(ISBLANK(P3874),"",IF(S3874=0,(365/0.5)*V3874,(365/S3874)*V3874))</f>
        <v/>
      </c>
      <c r="X3874" s="75" t="n"/>
      <c r="Y3874" s="77" t="n"/>
      <c r="Z3874" s="77" t="n"/>
      <c r="AA3874" s="75" t="n"/>
      <c r="AB3874" s="75" t="n"/>
      <c r="AC3874" s="6" t="n"/>
      <c r="AD3874" s="75" t="n"/>
      <c r="AE3874" s="75" t="n"/>
      <c r="AF3874" s="75" t="n"/>
    </row>
    <row r="3875" ht="15.75" customHeight="1" s="133">
      <c r="A3875" s="75" t="n"/>
      <c r="B3875" s="75" t="n"/>
      <c r="C3875" s="75" t="n"/>
      <c r="D3875" s="75" t="n"/>
      <c r="E3875" s="76" t="n"/>
      <c r="F3875" s="77" t="n"/>
      <c r="G3875" s="75" t="n"/>
      <c r="H3875" s="75">
        <f>IF(ISBLANK(E3875),"",IF(OR(D3875="Butterfly",D3875="Butterfly ",D3875="Iron Fly", D3875="Iron Fly "),LEN(E3875)-LEN(SUBSTITUTE(E3875,"/",""))+2,LEN(E3875)-LEN(SUBSTITUTE(E3875,"/",""))+1))</f>
        <v/>
      </c>
      <c r="I3875" s="78">
        <f>IF(ISBLANK(G3875),"",IF(D3875="Stock","0",Key!$A$3*H3875*G3875))</f>
        <v/>
      </c>
      <c r="J3875" s="78">
        <f>IF(ISBLANK(E3875),"",IF(ISNUMBER(SEARCH("/",E3875)), IF(LEN(E3875)-LEN(SUBSTITUTE(E3875,"/",""))=1,(RIGHT(E3875,LEN(E3875)-FIND("/",E3875)))-(LEFT(E3875,FIND("/",E3875)-1)),(MID(E3875, SEARCH("/",E3875) + 1, SEARCH("/",E3875, SEARCH("/",E3875)+1) - SEARCH("/",E3875) - 1))-(LEFT(E3875,FIND("/",E3875)-1))), "NA"))</f>
        <v/>
      </c>
      <c r="K3875" s="79">
        <f>IF(A3875&lt;&gt;"", IF(ISBLANK(L3875), TODAY(), K3875), "")</f>
        <v/>
      </c>
      <c r="L3875" s="78" t="n"/>
      <c r="M3875" s="78">
        <f>IF(ISBLANK(L3875),"",IF(D3875="Stock",IF(C3875="Buy",L3875*G3875,IF(C3875="Sell",(L3875*G3875)-I3875, X)),IF(C3875="Buy",(L3875*G3875*100)+I3875,IF(C3875="Sell",(L3875*G3875*100)-I3875, X))))</f>
        <v/>
      </c>
      <c r="N3875" s="78">
        <f>IF(ISBLANK(L3875),"",IF(AND(C3875="Sell",D3875="Stock"),M3875,IF(ISBLANK(L3875),"",IF(C3875="Buy",M3875, IF(AND(C3875="Sell",J3875="NA"),(E3875*G3875*100*0.1)+I3875, IF(C3875="Sell",(J3875-L3875)*(100*G3875)+I3875))))))</f>
        <v/>
      </c>
      <c r="O3875" s="75" t="n"/>
      <c r="P3875" s="75" t="n"/>
      <c r="Q3875" s="75">
        <f>IF(ISBLANK(P3875),"",IF(D3875="Stock",P3875*G3875,IF(P3875=0,"0",G3875*P3875*100-(G3875*$AF$14))))</f>
        <v/>
      </c>
      <c r="R3875" s="79">
        <f>IF(P3875&lt;&gt;"", TODAY(), "")</f>
        <v/>
      </c>
      <c r="S3875" s="78">
        <f>IF(AND(K3875&lt;&gt;"", R3875&lt;&gt;""), R3875-K3875, "")</f>
        <v/>
      </c>
      <c r="T3875" s="78" t="n"/>
      <c r="U3875" s="92">
        <f>IF(ISBLANK(P3875),"",IF(C3875="Buy",Q3875-M3875+T3875, IF(C3875="Sell",M3875-Q3875-T3875, X)))</f>
        <v/>
      </c>
      <c r="V3875" s="81">
        <f>IF(ISBLANK(P3875),"",U3875/N3875)</f>
        <v/>
      </c>
      <c r="W3875" s="81">
        <f>IF(ISBLANK(P3875),"",IF(S3875=0,(365/0.5)*V3875,(365/S3875)*V3875))</f>
        <v/>
      </c>
      <c r="X3875" s="75" t="n"/>
      <c r="Y3875" s="77" t="n"/>
      <c r="Z3875" s="77" t="n"/>
      <c r="AA3875" s="75" t="n"/>
      <c r="AB3875" s="75" t="n"/>
      <c r="AC3875" s="6" t="n"/>
      <c r="AD3875" s="75" t="n"/>
      <c r="AE3875" s="75" t="n"/>
      <c r="AF3875" s="75" t="n"/>
    </row>
    <row r="3876" ht="15.75" customHeight="1" s="133">
      <c r="A3876" s="75" t="n"/>
      <c r="B3876" s="75" t="n"/>
      <c r="C3876" s="75" t="n"/>
      <c r="D3876" s="75" t="n"/>
      <c r="E3876" s="76" t="n"/>
      <c r="F3876" s="77" t="n"/>
      <c r="G3876" s="75" t="n"/>
      <c r="H3876" s="75">
        <f>IF(ISBLANK(E3876),"",IF(OR(D3876="Butterfly",D3876="Butterfly ",D3876="Iron Fly", D3876="Iron Fly "),LEN(E3876)-LEN(SUBSTITUTE(E3876,"/",""))+2,LEN(E3876)-LEN(SUBSTITUTE(E3876,"/",""))+1))</f>
        <v/>
      </c>
      <c r="I3876" s="78">
        <f>IF(ISBLANK(G3876),"",IF(D3876="Stock","0",Key!$A$3*H3876*G3876))</f>
        <v/>
      </c>
      <c r="J3876" s="78">
        <f>IF(ISBLANK(E3876),"",IF(ISNUMBER(SEARCH("/",E3876)), IF(LEN(E3876)-LEN(SUBSTITUTE(E3876,"/",""))=1,(RIGHT(E3876,LEN(E3876)-FIND("/",E3876)))-(LEFT(E3876,FIND("/",E3876)-1)),(MID(E3876, SEARCH("/",E3876) + 1, SEARCH("/",E3876, SEARCH("/",E3876)+1) - SEARCH("/",E3876) - 1))-(LEFT(E3876,FIND("/",E3876)-1))), "NA"))</f>
        <v/>
      </c>
      <c r="K3876" s="79">
        <f>IF(A3876&lt;&gt;"", IF(ISBLANK(L3876), TODAY(), K3876), "")</f>
        <v/>
      </c>
      <c r="L3876" s="78" t="n"/>
      <c r="M3876" s="78">
        <f>IF(ISBLANK(L3876),"",IF(D3876="Stock",IF(C3876="Buy",L3876*G3876,IF(C3876="Sell",(L3876*G3876)-I3876, X)),IF(C3876="Buy",(L3876*G3876*100)+I3876,IF(C3876="Sell",(L3876*G3876*100)-I3876, X))))</f>
        <v/>
      </c>
      <c r="N3876" s="78">
        <f>IF(ISBLANK(L3876),"",IF(AND(C3876="Sell",D3876="Stock"),M3876,IF(ISBLANK(L3876),"",IF(C3876="Buy",M3876, IF(AND(C3876="Sell",J3876="NA"),(E3876*G3876*100*0.1)+I3876, IF(C3876="Sell",(J3876-L3876)*(100*G3876)+I3876))))))</f>
        <v/>
      </c>
      <c r="O3876" s="75" t="n"/>
      <c r="P3876" s="75" t="n"/>
      <c r="Q3876" s="75">
        <f>IF(ISBLANK(P3876),"",IF(D3876="Stock",P3876*G3876,IF(P3876=0,"0",G3876*P3876*100-(G3876*$AF$14))))</f>
        <v/>
      </c>
      <c r="R3876" s="79">
        <f>IF(P3876&lt;&gt;"", TODAY(), "")</f>
        <v/>
      </c>
      <c r="S3876" s="78">
        <f>IF(AND(K3876&lt;&gt;"", R3876&lt;&gt;""), R3876-K3876, "")</f>
        <v/>
      </c>
      <c r="T3876" s="78" t="n"/>
      <c r="U3876" s="92">
        <f>IF(ISBLANK(P3876),"",IF(C3876="Buy",Q3876-M3876+T3876, IF(C3876="Sell",M3876-Q3876-T3876, X)))</f>
        <v/>
      </c>
      <c r="V3876" s="81">
        <f>IF(ISBLANK(P3876),"",U3876/N3876)</f>
        <v/>
      </c>
      <c r="W3876" s="81">
        <f>IF(ISBLANK(P3876),"",IF(S3876=0,(365/0.5)*V3876,(365/S3876)*V3876))</f>
        <v/>
      </c>
      <c r="X3876" s="75" t="n"/>
      <c r="Y3876" s="77" t="n"/>
      <c r="Z3876" s="77" t="n"/>
      <c r="AA3876" s="75" t="n"/>
      <c r="AB3876" s="75" t="n"/>
      <c r="AC3876" s="6" t="n"/>
      <c r="AD3876" s="75" t="n"/>
      <c r="AE3876" s="75" t="n"/>
      <c r="AF3876" s="75" t="n"/>
    </row>
    <row r="3877" ht="15.75" customHeight="1" s="133">
      <c r="A3877" s="75" t="n"/>
      <c r="B3877" s="75" t="n"/>
      <c r="C3877" s="75" t="n"/>
      <c r="D3877" s="75" t="n"/>
      <c r="E3877" s="76" t="n"/>
      <c r="F3877" s="77" t="n"/>
      <c r="G3877" s="75" t="n"/>
      <c r="H3877" s="75">
        <f>IF(ISBLANK(E3877),"",IF(OR(D3877="Butterfly",D3877="Butterfly ",D3877="Iron Fly", D3877="Iron Fly "),LEN(E3877)-LEN(SUBSTITUTE(E3877,"/",""))+2,LEN(E3877)-LEN(SUBSTITUTE(E3877,"/",""))+1))</f>
        <v/>
      </c>
      <c r="I3877" s="78">
        <f>IF(ISBLANK(G3877),"",IF(D3877="Stock","0",Key!$A$3*H3877*G3877))</f>
        <v/>
      </c>
      <c r="J3877" s="78">
        <f>IF(ISBLANK(E3877),"",IF(ISNUMBER(SEARCH("/",E3877)), IF(LEN(E3877)-LEN(SUBSTITUTE(E3877,"/",""))=1,(RIGHT(E3877,LEN(E3877)-FIND("/",E3877)))-(LEFT(E3877,FIND("/",E3877)-1)),(MID(E3877, SEARCH("/",E3877) + 1, SEARCH("/",E3877, SEARCH("/",E3877)+1) - SEARCH("/",E3877) - 1))-(LEFT(E3877,FIND("/",E3877)-1))), "NA"))</f>
        <v/>
      </c>
      <c r="K3877" s="79">
        <f>IF(A3877&lt;&gt;"", IF(ISBLANK(L3877), TODAY(), K3877), "")</f>
        <v/>
      </c>
      <c r="L3877" s="78" t="n"/>
      <c r="M3877" s="78">
        <f>IF(ISBLANK(L3877),"",IF(D3877="Stock",IF(C3877="Buy",L3877*G3877,IF(C3877="Sell",(L3877*G3877)-I3877, X)),IF(C3877="Buy",(L3877*G3877*100)+I3877,IF(C3877="Sell",(L3877*G3877*100)-I3877, X))))</f>
        <v/>
      </c>
      <c r="N3877" s="78">
        <f>IF(ISBLANK(L3877),"",IF(AND(C3877="Sell",D3877="Stock"),M3877,IF(ISBLANK(L3877),"",IF(C3877="Buy",M3877, IF(AND(C3877="Sell",J3877="NA"),(E3877*G3877*100*0.1)+I3877, IF(C3877="Sell",(J3877-L3877)*(100*G3877)+I3877))))))</f>
        <v/>
      </c>
      <c r="O3877" s="75" t="n"/>
      <c r="P3877" s="75" t="n"/>
      <c r="Q3877" s="75">
        <f>IF(ISBLANK(P3877),"",IF(D3877="Stock",P3877*G3877,IF(P3877=0,"0",G3877*P3877*100-(G3877*$AF$14))))</f>
        <v/>
      </c>
      <c r="R3877" s="79">
        <f>IF(P3877&lt;&gt;"", TODAY(), "")</f>
        <v/>
      </c>
      <c r="S3877" s="78">
        <f>IF(AND(K3877&lt;&gt;"", R3877&lt;&gt;""), R3877-K3877, "")</f>
        <v/>
      </c>
      <c r="T3877" s="78" t="n"/>
      <c r="U3877" s="92">
        <f>IF(ISBLANK(P3877),"",IF(C3877="Buy",Q3877-M3877+T3877, IF(C3877="Sell",M3877-Q3877-T3877, X)))</f>
        <v/>
      </c>
      <c r="V3877" s="81">
        <f>IF(ISBLANK(P3877),"",U3877/N3877)</f>
        <v/>
      </c>
      <c r="W3877" s="81">
        <f>IF(ISBLANK(P3877),"",IF(S3877=0,(365/0.5)*V3877,(365/S3877)*V3877))</f>
        <v/>
      </c>
      <c r="X3877" s="75" t="n"/>
      <c r="Y3877" s="77" t="n"/>
      <c r="Z3877" s="77" t="n"/>
      <c r="AA3877" s="75" t="n"/>
      <c r="AB3877" s="75" t="n"/>
      <c r="AC3877" s="6" t="n"/>
      <c r="AD3877" s="75" t="n"/>
      <c r="AE3877" s="75" t="n"/>
      <c r="AF3877" s="75" t="n"/>
    </row>
    <row r="3878" ht="15.75" customHeight="1" s="133">
      <c r="A3878" s="75" t="n"/>
      <c r="B3878" s="75" t="n"/>
      <c r="C3878" s="75" t="n"/>
      <c r="D3878" s="75" t="n"/>
      <c r="E3878" s="76" t="n"/>
      <c r="F3878" s="77" t="n"/>
      <c r="G3878" s="75" t="n"/>
      <c r="H3878" s="75">
        <f>IF(ISBLANK(E3878),"",IF(OR(D3878="Butterfly",D3878="Butterfly ",D3878="Iron Fly", D3878="Iron Fly "),LEN(E3878)-LEN(SUBSTITUTE(E3878,"/",""))+2,LEN(E3878)-LEN(SUBSTITUTE(E3878,"/",""))+1))</f>
        <v/>
      </c>
      <c r="I3878" s="78">
        <f>IF(ISBLANK(G3878),"",IF(D3878="Stock","0",Key!$A$3*H3878*G3878))</f>
        <v/>
      </c>
      <c r="J3878" s="78">
        <f>IF(ISBLANK(E3878),"",IF(ISNUMBER(SEARCH("/",E3878)), IF(LEN(E3878)-LEN(SUBSTITUTE(E3878,"/",""))=1,(RIGHT(E3878,LEN(E3878)-FIND("/",E3878)))-(LEFT(E3878,FIND("/",E3878)-1)),(MID(E3878, SEARCH("/",E3878) + 1, SEARCH("/",E3878, SEARCH("/",E3878)+1) - SEARCH("/",E3878) - 1))-(LEFT(E3878,FIND("/",E3878)-1))), "NA"))</f>
        <v/>
      </c>
      <c r="K3878" s="79">
        <f>IF(A3878&lt;&gt;"", IF(ISBLANK(L3878), TODAY(), K3878), "")</f>
        <v/>
      </c>
      <c r="L3878" s="78" t="n"/>
      <c r="M3878" s="78">
        <f>IF(ISBLANK(L3878),"",IF(D3878="Stock",IF(C3878="Buy",L3878*G3878,IF(C3878="Sell",(L3878*G3878)-I3878, X)),IF(C3878="Buy",(L3878*G3878*100)+I3878,IF(C3878="Sell",(L3878*G3878*100)-I3878, X))))</f>
        <v/>
      </c>
      <c r="N3878" s="78">
        <f>IF(ISBLANK(L3878),"",IF(AND(C3878="Sell",D3878="Stock"),M3878,IF(ISBLANK(L3878),"",IF(C3878="Buy",M3878, IF(AND(C3878="Sell",J3878="NA"),(E3878*G3878*100*0.1)+I3878, IF(C3878="Sell",(J3878-L3878)*(100*G3878)+I3878))))))</f>
        <v/>
      </c>
      <c r="O3878" s="75" t="n"/>
      <c r="P3878" s="75" t="n"/>
      <c r="Q3878" s="75">
        <f>IF(ISBLANK(P3878),"",IF(D3878="Stock",P3878*G3878,IF(P3878=0,"0",G3878*P3878*100-(G3878*$AF$14))))</f>
        <v/>
      </c>
      <c r="R3878" s="79">
        <f>IF(P3878&lt;&gt;"", TODAY(), "")</f>
        <v/>
      </c>
      <c r="S3878" s="78">
        <f>IF(AND(K3878&lt;&gt;"", R3878&lt;&gt;""), R3878-K3878, "")</f>
        <v/>
      </c>
      <c r="T3878" s="78" t="n"/>
      <c r="U3878" s="92">
        <f>IF(ISBLANK(P3878),"",IF(C3878="Buy",Q3878-M3878+T3878, IF(C3878="Sell",M3878-Q3878-T3878, X)))</f>
        <v/>
      </c>
      <c r="V3878" s="81">
        <f>IF(ISBLANK(P3878),"",U3878/N3878)</f>
        <v/>
      </c>
      <c r="W3878" s="81">
        <f>IF(ISBLANK(P3878),"",IF(S3878=0,(365/0.5)*V3878,(365/S3878)*V3878))</f>
        <v/>
      </c>
      <c r="X3878" s="75" t="n"/>
      <c r="Y3878" s="77" t="n"/>
      <c r="Z3878" s="77" t="n"/>
      <c r="AA3878" s="75" t="n"/>
      <c r="AB3878" s="75" t="n"/>
      <c r="AC3878" s="6" t="n"/>
      <c r="AD3878" s="75" t="n"/>
      <c r="AE3878" s="75" t="n"/>
      <c r="AF3878" s="75" t="n"/>
    </row>
    <row r="3879" ht="15.75" customHeight="1" s="133">
      <c r="A3879" s="75" t="n"/>
      <c r="B3879" s="75" t="n"/>
      <c r="C3879" s="75" t="n"/>
      <c r="D3879" s="75" t="n"/>
      <c r="E3879" s="76" t="n"/>
      <c r="F3879" s="77" t="n"/>
      <c r="G3879" s="75" t="n"/>
      <c r="H3879" s="75">
        <f>IF(ISBLANK(E3879),"",IF(OR(D3879="Butterfly",D3879="Butterfly ",D3879="Iron Fly", D3879="Iron Fly "),LEN(E3879)-LEN(SUBSTITUTE(E3879,"/",""))+2,LEN(E3879)-LEN(SUBSTITUTE(E3879,"/",""))+1))</f>
        <v/>
      </c>
      <c r="I3879" s="78">
        <f>IF(ISBLANK(G3879),"",IF(D3879="Stock","0",Key!$A$3*H3879*G3879))</f>
        <v/>
      </c>
      <c r="J3879" s="78">
        <f>IF(ISBLANK(E3879),"",IF(ISNUMBER(SEARCH("/",E3879)), IF(LEN(E3879)-LEN(SUBSTITUTE(E3879,"/",""))=1,(RIGHT(E3879,LEN(E3879)-FIND("/",E3879)))-(LEFT(E3879,FIND("/",E3879)-1)),(MID(E3879, SEARCH("/",E3879) + 1, SEARCH("/",E3879, SEARCH("/",E3879)+1) - SEARCH("/",E3879) - 1))-(LEFT(E3879,FIND("/",E3879)-1))), "NA"))</f>
        <v/>
      </c>
      <c r="K3879" s="79">
        <f>IF(A3879&lt;&gt;"", IF(ISBLANK(L3879), TODAY(), K3879), "")</f>
        <v/>
      </c>
      <c r="L3879" s="78" t="n"/>
      <c r="M3879" s="78">
        <f>IF(ISBLANK(L3879),"",IF(D3879="Stock",IF(C3879="Buy",L3879*G3879,IF(C3879="Sell",(L3879*G3879)-I3879, X)),IF(C3879="Buy",(L3879*G3879*100)+I3879,IF(C3879="Sell",(L3879*G3879*100)-I3879, X))))</f>
        <v/>
      </c>
      <c r="N3879" s="78">
        <f>IF(ISBLANK(L3879),"",IF(AND(C3879="Sell",D3879="Stock"),M3879,IF(ISBLANK(L3879),"",IF(C3879="Buy",M3879, IF(AND(C3879="Sell",J3879="NA"),(E3879*G3879*100*0.1)+I3879, IF(C3879="Sell",(J3879-L3879)*(100*G3879)+I3879))))))</f>
        <v/>
      </c>
      <c r="O3879" s="75" t="n"/>
      <c r="P3879" s="75" t="n"/>
      <c r="Q3879" s="75">
        <f>IF(ISBLANK(P3879),"",IF(D3879="Stock",P3879*G3879,IF(P3879=0,"0",G3879*P3879*100-(G3879*$AF$14))))</f>
        <v/>
      </c>
      <c r="R3879" s="79">
        <f>IF(P3879&lt;&gt;"", TODAY(), "")</f>
        <v/>
      </c>
      <c r="S3879" s="78">
        <f>IF(AND(K3879&lt;&gt;"", R3879&lt;&gt;""), R3879-K3879, "")</f>
        <v/>
      </c>
      <c r="T3879" s="78" t="n"/>
      <c r="U3879" s="92">
        <f>IF(ISBLANK(P3879),"",IF(C3879="Buy",Q3879-M3879+T3879, IF(C3879="Sell",M3879-Q3879-T3879, X)))</f>
        <v/>
      </c>
      <c r="V3879" s="81">
        <f>IF(ISBLANK(P3879),"",U3879/N3879)</f>
        <v/>
      </c>
      <c r="W3879" s="81">
        <f>IF(ISBLANK(P3879),"",IF(S3879=0,(365/0.5)*V3879,(365/S3879)*V3879))</f>
        <v/>
      </c>
      <c r="X3879" s="75" t="n"/>
      <c r="Y3879" s="77" t="n"/>
      <c r="Z3879" s="77" t="n"/>
      <c r="AA3879" s="75" t="n"/>
      <c r="AB3879" s="75" t="n"/>
      <c r="AC3879" s="6" t="n"/>
      <c r="AD3879" s="75" t="n"/>
      <c r="AE3879" s="75" t="n"/>
      <c r="AF3879" s="75" t="n"/>
    </row>
    <row r="3880" ht="15.75" customHeight="1" s="133">
      <c r="A3880" s="75" t="n"/>
      <c r="B3880" s="75" t="n"/>
      <c r="C3880" s="75" t="n"/>
      <c r="D3880" s="75" t="n"/>
      <c r="E3880" s="76" t="n"/>
      <c r="F3880" s="77" t="n"/>
      <c r="G3880" s="75" t="n"/>
      <c r="H3880" s="75">
        <f>IF(ISBLANK(E3880),"",IF(OR(D3880="Butterfly",D3880="Butterfly ",D3880="Iron Fly", D3880="Iron Fly "),LEN(E3880)-LEN(SUBSTITUTE(E3880,"/",""))+2,LEN(E3880)-LEN(SUBSTITUTE(E3880,"/",""))+1))</f>
        <v/>
      </c>
      <c r="I3880" s="78">
        <f>IF(ISBLANK(G3880),"",IF(D3880="Stock","0",Key!$A$3*H3880*G3880))</f>
        <v/>
      </c>
      <c r="J3880" s="78">
        <f>IF(ISBLANK(E3880),"",IF(ISNUMBER(SEARCH("/",E3880)), IF(LEN(E3880)-LEN(SUBSTITUTE(E3880,"/",""))=1,(RIGHT(E3880,LEN(E3880)-FIND("/",E3880)))-(LEFT(E3880,FIND("/",E3880)-1)),(MID(E3880, SEARCH("/",E3880) + 1, SEARCH("/",E3880, SEARCH("/",E3880)+1) - SEARCH("/",E3880) - 1))-(LEFT(E3880,FIND("/",E3880)-1))), "NA"))</f>
        <v/>
      </c>
      <c r="K3880" s="79">
        <f>IF(A3880&lt;&gt;"", IF(ISBLANK(L3880), TODAY(), K3880), "")</f>
        <v/>
      </c>
      <c r="L3880" s="78" t="n"/>
      <c r="M3880" s="78">
        <f>IF(ISBLANK(L3880),"",IF(D3880="Stock",IF(C3880="Buy",L3880*G3880,IF(C3880="Sell",(L3880*G3880)-I3880, X)),IF(C3880="Buy",(L3880*G3880*100)+I3880,IF(C3880="Sell",(L3880*G3880*100)-I3880, X))))</f>
        <v/>
      </c>
      <c r="N3880" s="78">
        <f>IF(ISBLANK(L3880),"",IF(AND(C3880="Sell",D3880="Stock"),M3880,IF(ISBLANK(L3880),"",IF(C3880="Buy",M3880, IF(AND(C3880="Sell",J3880="NA"),(E3880*G3880*100*0.1)+I3880, IF(C3880="Sell",(J3880-L3880)*(100*G3880)+I3880))))))</f>
        <v/>
      </c>
      <c r="O3880" s="75" t="n"/>
      <c r="P3880" s="75" t="n"/>
      <c r="Q3880" s="75">
        <f>IF(ISBLANK(P3880),"",IF(D3880="Stock",P3880*G3880,IF(P3880=0,"0",G3880*P3880*100-(G3880*$AF$14))))</f>
        <v/>
      </c>
      <c r="R3880" s="79">
        <f>IF(P3880&lt;&gt;"", TODAY(), "")</f>
        <v/>
      </c>
      <c r="S3880" s="78">
        <f>IF(AND(K3880&lt;&gt;"", R3880&lt;&gt;""), R3880-K3880, "")</f>
        <v/>
      </c>
      <c r="T3880" s="78" t="n"/>
      <c r="U3880" s="92">
        <f>IF(ISBLANK(P3880),"",IF(C3880="Buy",Q3880-M3880+T3880, IF(C3880="Sell",M3880-Q3880-T3880, X)))</f>
        <v/>
      </c>
      <c r="V3880" s="81">
        <f>IF(ISBLANK(P3880),"",U3880/N3880)</f>
        <v/>
      </c>
      <c r="W3880" s="81">
        <f>IF(ISBLANK(P3880),"",IF(S3880=0,(365/0.5)*V3880,(365/S3880)*V3880))</f>
        <v/>
      </c>
      <c r="X3880" s="75" t="n"/>
      <c r="Y3880" s="77" t="n"/>
      <c r="Z3880" s="77" t="n"/>
      <c r="AA3880" s="75" t="n"/>
      <c r="AB3880" s="75" t="n"/>
      <c r="AC3880" s="6" t="n"/>
      <c r="AD3880" s="75" t="n"/>
      <c r="AE3880" s="75" t="n"/>
      <c r="AF3880" s="75" t="n"/>
    </row>
    <row r="3881" ht="15.75" customHeight="1" s="133">
      <c r="A3881" s="75" t="n"/>
      <c r="B3881" s="75" t="n"/>
      <c r="C3881" s="75" t="n"/>
      <c r="D3881" s="75" t="n"/>
      <c r="E3881" s="76" t="n"/>
      <c r="F3881" s="77" t="n"/>
      <c r="G3881" s="75" t="n"/>
      <c r="H3881" s="75">
        <f>IF(ISBLANK(E3881),"",IF(OR(D3881="Butterfly",D3881="Butterfly ",D3881="Iron Fly", D3881="Iron Fly "),LEN(E3881)-LEN(SUBSTITUTE(E3881,"/",""))+2,LEN(E3881)-LEN(SUBSTITUTE(E3881,"/",""))+1))</f>
        <v/>
      </c>
      <c r="I3881" s="78">
        <f>IF(ISBLANK(G3881),"",IF(D3881="Stock","0",Key!$A$3*H3881*G3881))</f>
        <v/>
      </c>
      <c r="J3881" s="78">
        <f>IF(ISBLANK(E3881),"",IF(ISNUMBER(SEARCH("/",E3881)), IF(LEN(E3881)-LEN(SUBSTITUTE(E3881,"/",""))=1,(RIGHT(E3881,LEN(E3881)-FIND("/",E3881)))-(LEFT(E3881,FIND("/",E3881)-1)),(MID(E3881, SEARCH("/",E3881) + 1, SEARCH("/",E3881, SEARCH("/",E3881)+1) - SEARCH("/",E3881) - 1))-(LEFT(E3881,FIND("/",E3881)-1))), "NA"))</f>
        <v/>
      </c>
      <c r="K3881" s="79">
        <f>IF(A3881&lt;&gt;"", IF(ISBLANK(L3881), TODAY(), K3881), "")</f>
        <v/>
      </c>
      <c r="L3881" s="78" t="n"/>
      <c r="M3881" s="78">
        <f>IF(ISBLANK(L3881),"",IF(D3881="Stock",IF(C3881="Buy",L3881*G3881,IF(C3881="Sell",(L3881*G3881)-I3881, X)),IF(C3881="Buy",(L3881*G3881*100)+I3881,IF(C3881="Sell",(L3881*G3881*100)-I3881, X))))</f>
        <v/>
      </c>
      <c r="N3881" s="78">
        <f>IF(ISBLANK(L3881),"",IF(AND(C3881="Sell",D3881="Stock"),M3881,IF(ISBLANK(L3881),"",IF(C3881="Buy",M3881, IF(AND(C3881="Sell",J3881="NA"),(E3881*G3881*100*0.1)+I3881, IF(C3881="Sell",(J3881-L3881)*(100*G3881)+I3881))))))</f>
        <v/>
      </c>
      <c r="O3881" s="75" t="n"/>
      <c r="P3881" s="75" t="n"/>
      <c r="Q3881" s="75">
        <f>IF(ISBLANK(P3881),"",IF(D3881="Stock",P3881*G3881,IF(P3881=0,"0",G3881*P3881*100-(G3881*$AF$14))))</f>
        <v/>
      </c>
      <c r="R3881" s="79">
        <f>IF(P3881&lt;&gt;"", TODAY(), "")</f>
        <v/>
      </c>
      <c r="S3881" s="78">
        <f>IF(AND(K3881&lt;&gt;"", R3881&lt;&gt;""), R3881-K3881, "")</f>
        <v/>
      </c>
      <c r="T3881" s="78" t="n"/>
      <c r="U3881" s="92">
        <f>IF(ISBLANK(P3881),"",IF(C3881="Buy",Q3881-M3881+T3881, IF(C3881="Sell",M3881-Q3881-T3881, X)))</f>
        <v/>
      </c>
      <c r="V3881" s="81">
        <f>IF(ISBLANK(P3881),"",U3881/N3881)</f>
        <v/>
      </c>
      <c r="W3881" s="81">
        <f>IF(ISBLANK(P3881),"",IF(S3881=0,(365/0.5)*V3881,(365/S3881)*V3881))</f>
        <v/>
      </c>
      <c r="X3881" s="75" t="n"/>
      <c r="Y3881" s="77" t="n"/>
      <c r="Z3881" s="77" t="n"/>
      <c r="AA3881" s="75" t="n"/>
      <c r="AB3881" s="75" t="n"/>
      <c r="AC3881" s="6" t="n"/>
      <c r="AD3881" s="75" t="n"/>
      <c r="AE3881" s="75" t="n"/>
      <c r="AF3881" s="75" t="n"/>
    </row>
    <row r="3882" ht="15.75" customHeight="1" s="133">
      <c r="A3882" s="75" t="n"/>
      <c r="B3882" s="75" t="n"/>
      <c r="C3882" s="75" t="n"/>
      <c r="D3882" s="75" t="n"/>
      <c r="E3882" s="76" t="n"/>
      <c r="F3882" s="77" t="n"/>
      <c r="G3882" s="75" t="n"/>
      <c r="H3882" s="75">
        <f>IF(ISBLANK(E3882),"",IF(OR(D3882="Butterfly",D3882="Butterfly ",D3882="Iron Fly", D3882="Iron Fly "),LEN(E3882)-LEN(SUBSTITUTE(E3882,"/",""))+2,LEN(E3882)-LEN(SUBSTITUTE(E3882,"/",""))+1))</f>
        <v/>
      </c>
      <c r="I3882" s="78">
        <f>IF(ISBLANK(G3882),"",IF(D3882="Stock","0",Key!$A$3*H3882*G3882))</f>
        <v/>
      </c>
      <c r="J3882" s="78">
        <f>IF(ISBLANK(E3882),"",IF(ISNUMBER(SEARCH("/",E3882)), IF(LEN(E3882)-LEN(SUBSTITUTE(E3882,"/",""))=1,(RIGHT(E3882,LEN(E3882)-FIND("/",E3882)))-(LEFT(E3882,FIND("/",E3882)-1)),(MID(E3882, SEARCH("/",E3882) + 1, SEARCH("/",E3882, SEARCH("/",E3882)+1) - SEARCH("/",E3882) - 1))-(LEFT(E3882,FIND("/",E3882)-1))), "NA"))</f>
        <v/>
      </c>
      <c r="K3882" s="79">
        <f>IF(A3882&lt;&gt;"", IF(ISBLANK(L3882), TODAY(), K3882), "")</f>
        <v/>
      </c>
      <c r="L3882" s="78" t="n"/>
      <c r="M3882" s="78">
        <f>IF(ISBLANK(L3882),"",IF(D3882="Stock",IF(C3882="Buy",L3882*G3882,IF(C3882="Sell",(L3882*G3882)-I3882, X)),IF(C3882="Buy",(L3882*G3882*100)+I3882,IF(C3882="Sell",(L3882*G3882*100)-I3882, X))))</f>
        <v/>
      </c>
      <c r="N3882" s="78">
        <f>IF(ISBLANK(L3882),"",IF(AND(C3882="Sell",D3882="Stock"),M3882,IF(ISBLANK(L3882),"",IF(C3882="Buy",M3882, IF(AND(C3882="Sell",J3882="NA"),(E3882*G3882*100*0.1)+I3882, IF(C3882="Sell",(J3882-L3882)*(100*G3882)+I3882))))))</f>
        <v/>
      </c>
      <c r="O3882" s="75" t="n"/>
      <c r="P3882" s="75" t="n"/>
      <c r="Q3882" s="75">
        <f>IF(ISBLANK(P3882),"",IF(D3882="Stock",P3882*G3882,IF(P3882=0,"0",G3882*P3882*100-(G3882*$AF$14))))</f>
        <v/>
      </c>
      <c r="R3882" s="79">
        <f>IF(P3882&lt;&gt;"", TODAY(), "")</f>
        <v/>
      </c>
      <c r="S3882" s="78">
        <f>IF(AND(K3882&lt;&gt;"", R3882&lt;&gt;""), R3882-K3882, "")</f>
        <v/>
      </c>
      <c r="T3882" s="78" t="n"/>
      <c r="U3882" s="92">
        <f>IF(ISBLANK(P3882),"",IF(C3882="Buy",Q3882-M3882+T3882, IF(C3882="Sell",M3882-Q3882-T3882, X)))</f>
        <v/>
      </c>
      <c r="V3882" s="81">
        <f>IF(ISBLANK(P3882),"",U3882/N3882)</f>
        <v/>
      </c>
      <c r="W3882" s="81">
        <f>IF(ISBLANK(P3882),"",IF(S3882=0,(365/0.5)*V3882,(365/S3882)*V3882))</f>
        <v/>
      </c>
      <c r="X3882" s="75" t="n"/>
      <c r="Y3882" s="77" t="n"/>
      <c r="Z3882" s="77" t="n"/>
      <c r="AA3882" s="75" t="n"/>
      <c r="AB3882" s="75" t="n"/>
      <c r="AC3882" s="6" t="n"/>
      <c r="AD3882" s="75" t="n"/>
      <c r="AE3882" s="75" t="n"/>
      <c r="AF3882" s="75" t="n"/>
    </row>
    <row r="3883" ht="15.75" customHeight="1" s="133">
      <c r="A3883" s="75" t="n"/>
      <c r="B3883" s="75" t="n"/>
      <c r="C3883" s="75" t="n"/>
      <c r="D3883" s="75" t="n"/>
      <c r="E3883" s="76" t="n"/>
      <c r="F3883" s="77" t="n"/>
      <c r="G3883" s="75" t="n"/>
      <c r="H3883" s="75">
        <f>IF(ISBLANK(E3883),"",IF(OR(D3883="Butterfly",D3883="Butterfly ",D3883="Iron Fly", D3883="Iron Fly "),LEN(E3883)-LEN(SUBSTITUTE(E3883,"/",""))+2,LEN(E3883)-LEN(SUBSTITUTE(E3883,"/",""))+1))</f>
        <v/>
      </c>
      <c r="I3883" s="78">
        <f>IF(ISBLANK(G3883),"",IF(D3883="Stock","0",Key!$A$3*H3883*G3883))</f>
        <v/>
      </c>
      <c r="J3883" s="78">
        <f>IF(ISBLANK(E3883),"",IF(ISNUMBER(SEARCH("/",E3883)), IF(LEN(E3883)-LEN(SUBSTITUTE(E3883,"/",""))=1,(RIGHT(E3883,LEN(E3883)-FIND("/",E3883)))-(LEFT(E3883,FIND("/",E3883)-1)),(MID(E3883, SEARCH("/",E3883) + 1, SEARCH("/",E3883, SEARCH("/",E3883)+1) - SEARCH("/",E3883) - 1))-(LEFT(E3883,FIND("/",E3883)-1))), "NA"))</f>
        <v/>
      </c>
      <c r="K3883" s="79">
        <f>IF(A3883&lt;&gt;"", IF(ISBLANK(L3883), TODAY(), K3883), "")</f>
        <v/>
      </c>
      <c r="L3883" s="78" t="n"/>
      <c r="M3883" s="78">
        <f>IF(ISBLANK(L3883),"",IF(D3883="Stock",IF(C3883="Buy",L3883*G3883,IF(C3883="Sell",(L3883*G3883)-I3883, X)),IF(C3883="Buy",(L3883*G3883*100)+I3883,IF(C3883="Sell",(L3883*G3883*100)-I3883, X))))</f>
        <v/>
      </c>
      <c r="N3883" s="78">
        <f>IF(ISBLANK(L3883),"",IF(AND(C3883="Sell",D3883="Stock"),M3883,IF(ISBLANK(L3883),"",IF(C3883="Buy",M3883, IF(AND(C3883="Sell",J3883="NA"),(E3883*G3883*100*0.1)+I3883, IF(C3883="Sell",(J3883-L3883)*(100*G3883)+I3883))))))</f>
        <v/>
      </c>
      <c r="O3883" s="75" t="n"/>
      <c r="P3883" s="75" t="n"/>
      <c r="Q3883" s="75">
        <f>IF(ISBLANK(P3883),"",IF(D3883="Stock",P3883*G3883,IF(P3883=0,"0",G3883*P3883*100-(G3883*$AF$14))))</f>
        <v/>
      </c>
      <c r="R3883" s="79">
        <f>IF(P3883&lt;&gt;"", TODAY(), "")</f>
        <v/>
      </c>
      <c r="S3883" s="78">
        <f>IF(AND(K3883&lt;&gt;"", R3883&lt;&gt;""), R3883-K3883, "")</f>
        <v/>
      </c>
      <c r="T3883" s="78" t="n"/>
      <c r="U3883" s="92">
        <f>IF(ISBLANK(P3883),"",IF(C3883="Buy",Q3883-M3883+T3883, IF(C3883="Sell",M3883-Q3883-T3883, X)))</f>
        <v/>
      </c>
      <c r="V3883" s="81">
        <f>IF(ISBLANK(P3883),"",U3883/N3883)</f>
        <v/>
      </c>
      <c r="W3883" s="81">
        <f>IF(ISBLANK(P3883),"",IF(S3883=0,(365/0.5)*V3883,(365/S3883)*V3883))</f>
        <v/>
      </c>
      <c r="X3883" s="75" t="n"/>
      <c r="Y3883" s="77" t="n"/>
      <c r="Z3883" s="77" t="n"/>
      <c r="AA3883" s="75" t="n"/>
      <c r="AB3883" s="75" t="n"/>
      <c r="AC3883" s="6" t="n"/>
      <c r="AD3883" s="75" t="n"/>
      <c r="AE3883" s="75" t="n"/>
      <c r="AF3883" s="75" t="n"/>
    </row>
    <row r="3884" ht="15.75" customHeight="1" s="133">
      <c r="A3884" s="75" t="n"/>
      <c r="B3884" s="75" t="n"/>
      <c r="C3884" s="75" t="n"/>
      <c r="D3884" s="75" t="n"/>
      <c r="E3884" s="76" t="n"/>
      <c r="F3884" s="77" t="n"/>
      <c r="G3884" s="75" t="n"/>
      <c r="H3884" s="75">
        <f>IF(ISBLANK(E3884),"",IF(OR(D3884="Butterfly",D3884="Butterfly ",D3884="Iron Fly", D3884="Iron Fly "),LEN(E3884)-LEN(SUBSTITUTE(E3884,"/",""))+2,LEN(E3884)-LEN(SUBSTITUTE(E3884,"/",""))+1))</f>
        <v/>
      </c>
      <c r="I3884" s="78">
        <f>IF(ISBLANK(G3884),"",IF(D3884="Stock","0",Key!$A$3*H3884*G3884))</f>
        <v/>
      </c>
      <c r="J3884" s="78">
        <f>IF(ISBLANK(E3884),"",IF(ISNUMBER(SEARCH("/",E3884)), IF(LEN(E3884)-LEN(SUBSTITUTE(E3884,"/",""))=1,(RIGHT(E3884,LEN(E3884)-FIND("/",E3884)))-(LEFT(E3884,FIND("/",E3884)-1)),(MID(E3884, SEARCH("/",E3884) + 1, SEARCH("/",E3884, SEARCH("/",E3884)+1) - SEARCH("/",E3884) - 1))-(LEFT(E3884,FIND("/",E3884)-1))), "NA"))</f>
        <v/>
      </c>
      <c r="K3884" s="79">
        <f>IF(A3884&lt;&gt;"", IF(ISBLANK(L3884), TODAY(), K3884), "")</f>
        <v/>
      </c>
      <c r="L3884" s="78" t="n"/>
      <c r="M3884" s="78">
        <f>IF(ISBLANK(L3884),"",IF(D3884="Stock",IF(C3884="Buy",L3884*G3884,IF(C3884="Sell",(L3884*G3884)-I3884, X)),IF(C3884="Buy",(L3884*G3884*100)+I3884,IF(C3884="Sell",(L3884*G3884*100)-I3884, X))))</f>
        <v/>
      </c>
      <c r="N3884" s="78">
        <f>IF(ISBLANK(L3884),"",IF(AND(C3884="Sell",D3884="Stock"),M3884,IF(ISBLANK(L3884),"",IF(C3884="Buy",M3884, IF(AND(C3884="Sell",J3884="NA"),(E3884*G3884*100*0.1)+I3884, IF(C3884="Sell",(J3884-L3884)*(100*G3884)+I3884))))))</f>
        <v/>
      </c>
      <c r="O3884" s="75" t="n"/>
      <c r="P3884" s="75" t="n"/>
      <c r="Q3884" s="75">
        <f>IF(ISBLANK(P3884),"",IF(D3884="Stock",P3884*G3884,IF(P3884=0,"0",G3884*P3884*100-(G3884*$AF$14))))</f>
        <v/>
      </c>
      <c r="R3884" s="79">
        <f>IF(P3884&lt;&gt;"", TODAY(), "")</f>
        <v/>
      </c>
      <c r="S3884" s="78">
        <f>IF(AND(K3884&lt;&gt;"", R3884&lt;&gt;""), R3884-K3884, "")</f>
        <v/>
      </c>
      <c r="T3884" s="78" t="n"/>
      <c r="U3884" s="92">
        <f>IF(ISBLANK(P3884),"",IF(C3884="Buy",Q3884-M3884+T3884, IF(C3884="Sell",M3884-Q3884-T3884, X)))</f>
        <v/>
      </c>
      <c r="V3884" s="81">
        <f>IF(ISBLANK(P3884),"",U3884/N3884)</f>
        <v/>
      </c>
      <c r="W3884" s="81">
        <f>IF(ISBLANK(P3884),"",IF(S3884=0,(365/0.5)*V3884,(365/S3884)*V3884))</f>
        <v/>
      </c>
      <c r="X3884" s="75" t="n"/>
      <c r="Y3884" s="77" t="n"/>
      <c r="Z3884" s="77" t="n"/>
      <c r="AA3884" s="75" t="n"/>
      <c r="AB3884" s="75" t="n"/>
      <c r="AC3884" s="6" t="n"/>
      <c r="AD3884" s="75" t="n"/>
      <c r="AE3884" s="75" t="n"/>
      <c r="AF3884" s="75" t="n"/>
    </row>
    <row r="3885" ht="15.75" customHeight="1" s="133">
      <c r="A3885" s="75" t="n"/>
      <c r="B3885" s="75" t="n"/>
      <c r="C3885" s="75" t="n"/>
      <c r="D3885" s="75" t="n"/>
      <c r="E3885" s="76" t="n"/>
      <c r="F3885" s="77" t="n"/>
      <c r="G3885" s="75" t="n"/>
      <c r="H3885" s="75">
        <f>IF(ISBLANK(E3885),"",IF(OR(D3885="Butterfly",D3885="Butterfly ",D3885="Iron Fly", D3885="Iron Fly "),LEN(E3885)-LEN(SUBSTITUTE(E3885,"/",""))+2,LEN(E3885)-LEN(SUBSTITUTE(E3885,"/",""))+1))</f>
        <v/>
      </c>
      <c r="I3885" s="78">
        <f>IF(ISBLANK(G3885),"",IF(D3885="Stock","0",Key!$A$3*H3885*G3885))</f>
        <v/>
      </c>
      <c r="J3885" s="78">
        <f>IF(ISBLANK(E3885),"",IF(ISNUMBER(SEARCH("/",E3885)), IF(LEN(E3885)-LEN(SUBSTITUTE(E3885,"/",""))=1,(RIGHT(E3885,LEN(E3885)-FIND("/",E3885)))-(LEFT(E3885,FIND("/",E3885)-1)),(MID(E3885, SEARCH("/",E3885) + 1, SEARCH("/",E3885, SEARCH("/",E3885)+1) - SEARCH("/",E3885) - 1))-(LEFT(E3885,FIND("/",E3885)-1))), "NA"))</f>
        <v/>
      </c>
      <c r="K3885" s="79">
        <f>IF(A3885&lt;&gt;"", IF(ISBLANK(L3885), TODAY(), K3885), "")</f>
        <v/>
      </c>
      <c r="L3885" s="78" t="n"/>
      <c r="M3885" s="78">
        <f>IF(ISBLANK(L3885),"",IF(D3885="Stock",IF(C3885="Buy",L3885*G3885,IF(C3885="Sell",(L3885*G3885)-I3885, X)),IF(C3885="Buy",(L3885*G3885*100)+I3885,IF(C3885="Sell",(L3885*G3885*100)-I3885, X))))</f>
        <v/>
      </c>
      <c r="N3885" s="78">
        <f>IF(ISBLANK(L3885),"",IF(AND(C3885="Sell",D3885="Stock"),M3885,IF(ISBLANK(L3885),"",IF(C3885="Buy",M3885, IF(AND(C3885="Sell",J3885="NA"),(E3885*G3885*100*0.1)+I3885, IF(C3885="Sell",(J3885-L3885)*(100*G3885)+I3885))))))</f>
        <v/>
      </c>
      <c r="O3885" s="75" t="n"/>
      <c r="P3885" s="75" t="n"/>
      <c r="Q3885" s="75">
        <f>IF(ISBLANK(P3885),"",IF(D3885="Stock",P3885*G3885,IF(P3885=0,"0",G3885*P3885*100-(G3885*$AF$14))))</f>
        <v/>
      </c>
      <c r="R3885" s="79">
        <f>IF(P3885&lt;&gt;"", TODAY(), "")</f>
        <v/>
      </c>
      <c r="S3885" s="78">
        <f>IF(AND(K3885&lt;&gt;"", R3885&lt;&gt;""), R3885-K3885, "")</f>
        <v/>
      </c>
      <c r="T3885" s="78" t="n"/>
      <c r="U3885" s="92">
        <f>IF(ISBLANK(P3885),"",IF(C3885="Buy",Q3885-M3885+T3885, IF(C3885="Sell",M3885-Q3885-T3885, X)))</f>
        <v/>
      </c>
      <c r="V3885" s="81">
        <f>IF(ISBLANK(P3885),"",U3885/N3885)</f>
        <v/>
      </c>
      <c r="W3885" s="81">
        <f>IF(ISBLANK(P3885),"",IF(S3885=0,(365/0.5)*V3885,(365/S3885)*V3885))</f>
        <v/>
      </c>
      <c r="X3885" s="75" t="n"/>
      <c r="Y3885" s="77" t="n"/>
      <c r="Z3885" s="77" t="n"/>
      <c r="AA3885" s="75" t="n"/>
      <c r="AB3885" s="75" t="n"/>
      <c r="AC3885" s="6" t="n"/>
      <c r="AD3885" s="75" t="n"/>
      <c r="AE3885" s="75" t="n"/>
      <c r="AF3885" s="75" t="n"/>
    </row>
    <row r="3886" ht="15.75" customHeight="1" s="133">
      <c r="A3886" s="75" t="n"/>
      <c r="B3886" s="75" t="n"/>
      <c r="C3886" s="75" t="n"/>
      <c r="D3886" s="75" t="n"/>
      <c r="E3886" s="76" t="n"/>
      <c r="F3886" s="77" t="n"/>
      <c r="G3886" s="75" t="n"/>
      <c r="H3886" s="75">
        <f>IF(ISBLANK(E3886),"",IF(OR(D3886="Butterfly",D3886="Butterfly ",D3886="Iron Fly", D3886="Iron Fly "),LEN(E3886)-LEN(SUBSTITUTE(E3886,"/",""))+2,LEN(E3886)-LEN(SUBSTITUTE(E3886,"/",""))+1))</f>
        <v/>
      </c>
      <c r="I3886" s="78">
        <f>IF(ISBLANK(G3886),"",IF(D3886="Stock","0",Key!$A$3*H3886*G3886))</f>
        <v/>
      </c>
      <c r="J3886" s="78">
        <f>IF(ISBLANK(E3886),"",IF(ISNUMBER(SEARCH("/",E3886)), IF(LEN(E3886)-LEN(SUBSTITUTE(E3886,"/",""))=1,(RIGHT(E3886,LEN(E3886)-FIND("/",E3886)))-(LEFT(E3886,FIND("/",E3886)-1)),(MID(E3886, SEARCH("/",E3886) + 1, SEARCH("/",E3886, SEARCH("/",E3886)+1) - SEARCH("/",E3886) - 1))-(LEFT(E3886,FIND("/",E3886)-1))), "NA"))</f>
        <v/>
      </c>
      <c r="K3886" s="79">
        <f>IF(A3886&lt;&gt;"", IF(ISBLANK(L3886), TODAY(), K3886), "")</f>
        <v/>
      </c>
      <c r="L3886" s="78" t="n"/>
      <c r="M3886" s="78">
        <f>IF(ISBLANK(L3886),"",IF(D3886="Stock",IF(C3886="Buy",L3886*G3886,IF(C3886="Sell",(L3886*G3886)-I3886, X)),IF(C3886="Buy",(L3886*G3886*100)+I3886,IF(C3886="Sell",(L3886*G3886*100)-I3886, X))))</f>
        <v/>
      </c>
      <c r="N3886" s="78">
        <f>IF(ISBLANK(L3886),"",IF(AND(C3886="Sell",D3886="Stock"),M3886,IF(ISBLANK(L3886),"",IF(C3886="Buy",M3886, IF(AND(C3886="Sell",J3886="NA"),(E3886*G3886*100*0.1)+I3886, IF(C3886="Sell",(J3886-L3886)*(100*G3886)+I3886))))))</f>
        <v/>
      </c>
      <c r="O3886" s="75" t="n"/>
      <c r="P3886" s="75" t="n"/>
      <c r="Q3886" s="75">
        <f>IF(ISBLANK(P3886),"",IF(D3886="Stock",P3886*G3886,IF(P3886=0,"0",G3886*P3886*100-(G3886*$AF$14))))</f>
        <v/>
      </c>
      <c r="R3886" s="79">
        <f>IF(P3886&lt;&gt;"", TODAY(), "")</f>
        <v/>
      </c>
      <c r="S3886" s="78">
        <f>IF(AND(K3886&lt;&gt;"", R3886&lt;&gt;""), R3886-K3886, "")</f>
        <v/>
      </c>
      <c r="T3886" s="78" t="n"/>
      <c r="U3886" s="92">
        <f>IF(ISBLANK(P3886),"",IF(C3886="Buy",Q3886-M3886+T3886, IF(C3886="Sell",M3886-Q3886-T3886, X)))</f>
        <v/>
      </c>
      <c r="V3886" s="81">
        <f>IF(ISBLANK(P3886),"",U3886/N3886)</f>
        <v/>
      </c>
      <c r="W3886" s="81">
        <f>IF(ISBLANK(P3886),"",IF(S3886=0,(365/0.5)*V3886,(365/S3886)*V3886))</f>
        <v/>
      </c>
      <c r="X3886" s="75" t="n"/>
      <c r="Y3886" s="77" t="n"/>
      <c r="Z3886" s="77" t="n"/>
      <c r="AA3886" s="75" t="n"/>
      <c r="AB3886" s="75" t="n"/>
      <c r="AC3886" s="6" t="n"/>
      <c r="AD3886" s="75" t="n"/>
      <c r="AE3886" s="75" t="n"/>
      <c r="AF3886" s="75" t="n"/>
    </row>
    <row r="3887" ht="15.75" customHeight="1" s="133">
      <c r="A3887" s="75" t="n"/>
      <c r="B3887" s="75" t="n"/>
      <c r="C3887" s="75" t="n"/>
      <c r="D3887" s="75" t="n"/>
      <c r="E3887" s="76" t="n"/>
      <c r="F3887" s="77" t="n"/>
      <c r="G3887" s="75" t="n"/>
      <c r="H3887" s="75">
        <f>IF(ISBLANK(E3887),"",IF(OR(D3887="Butterfly",D3887="Butterfly ",D3887="Iron Fly", D3887="Iron Fly "),LEN(E3887)-LEN(SUBSTITUTE(E3887,"/",""))+2,LEN(E3887)-LEN(SUBSTITUTE(E3887,"/",""))+1))</f>
        <v/>
      </c>
      <c r="I3887" s="78">
        <f>IF(ISBLANK(G3887),"",IF(D3887="Stock","0",Key!$A$3*H3887*G3887))</f>
        <v/>
      </c>
      <c r="J3887" s="78">
        <f>IF(ISBLANK(E3887),"",IF(ISNUMBER(SEARCH("/",E3887)), IF(LEN(E3887)-LEN(SUBSTITUTE(E3887,"/",""))=1,(RIGHT(E3887,LEN(E3887)-FIND("/",E3887)))-(LEFT(E3887,FIND("/",E3887)-1)),(MID(E3887, SEARCH("/",E3887) + 1, SEARCH("/",E3887, SEARCH("/",E3887)+1) - SEARCH("/",E3887) - 1))-(LEFT(E3887,FIND("/",E3887)-1))), "NA"))</f>
        <v/>
      </c>
      <c r="K3887" s="79">
        <f>IF(A3887&lt;&gt;"", IF(ISBLANK(L3887), TODAY(), K3887), "")</f>
        <v/>
      </c>
      <c r="L3887" s="78" t="n"/>
      <c r="M3887" s="78">
        <f>IF(ISBLANK(L3887),"",IF(D3887="Stock",IF(C3887="Buy",L3887*G3887,IF(C3887="Sell",(L3887*G3887)-I3887, X)),IF(C3887="Buy",(L3887*G3887*100)+I3887,IF(C3887="Sell",(L3887*G3887*100)-I3887, X))))</f>
        <v/>
      </c>
      <c r="N3887" s="78">
        <f>IF(ISBLANK(L3887),"",IF(AND(C3887="Sell",D3887="Stock"),M3887,IF(ISBLANK(L3887),"",IF(C3887="Buy",M3887, IF(AND(C3887="Sell",J3887="NA"),(E3887*G3887*100*0.1)+I3887, IF(C3887="Sell",(J3887-L3887)*(100*G3887)+I3887))))))</f>
        <v/>
      </c>
      <c r="O3887" s="75" t="n"/>
      <c r="P3887" s="75" t="n"/>
      <c r="Q3887" s="75">
        <f>IF(ISBLANK(P3887),"",IF(D3887="Stock",P3887*G3887,IF(P3887=0,"0",G3887*P3887*100-(G3887*$AF$14))))</f>
        <v/>
      </c>
      <c r="R3887" s="79">
        <f>IF(P3887&lt;&gt;"", TODAY(), "")</f>
        <v/>
      </c>
      <c r="S3887" s="78">
        <f>IF(AND(K3887&lt;&gt;"", R3887&lt;&gt;""), R3887-K3887, "")</f>
        <v/>
      </c>
      <c r="T3887" s="78" t="n"/>
      <c r="U3887" s="92">
        <f>IF(ISBLANK(P3887),"",IF(C3887="Buy",Q3887-M3887+T3887, IF(C3887="Sell",M3887-Q3887-T3887, X)))</f>
        <v/>
      </c>
      <c r="V3887" s="81">
        <f>IF(ISBLANK(P3887),"",U3887/N3887)</f>
        <v/>
      </c>
      <c r="W3887" s="81">
        <f>IF(ISBLANK(P3887),"",IF(S3887=0,(365/0.5)*V3887,(365/S3887)*V3887))</f>
        <v/>
      </c>
      <c r="X3887" s="75" t="n"/>
      <c r="Y3887" s="77" t="n"/>
      <c r="Z3887" s="77" t="n"/>
      <c r="AA3887" s="75" t="n"/>
      <c r="AB3887" s="75" t="n"/>
      <c r="AC3887" s="6" t="n"/>
      <c r="AD3887" s="75" t="n"/>
      <c r="AE3887" s="75" t="n"/>
      <c r="AF3887" s="75" t="n"/>
    </row>
    <row r="3888" ht="15.75" customHeight="1" s="133">
      <c r="A3888" s="75" t="n"/>
      <c r="B3888" s="75" t="n"/>
      <c r="C3888" s="75" t="n"/>
      <c r="D3888" s="75" t="n"/>
      <c r="E3888" s="76" t="n"/>
      <c r="F3888" s="77" t="n"/>
      <c r="G3888" s="75" t="n"/>
      <c r="H3888" s="75">
        <f>IF(ISBLANK(E3888),"",IF(OR(D3888="Butterfly",D3888="Butterfly ",D3888="Iron Fly", D3888="Iron Fly "),LEN(E3888)-LEN(SUBSTITUTE(E3888,"/",""))+2,LEN(E3888)-LEN(SUBSTITUTE(E3888,"/",""))+1))</f>
        <v/>
      </c>
      <c r="I3888" s="78">
        <f>IF(ISBLANK(G3888),"",IF(D3888="Stock","0",Key!$A$3*H3888*G3888))</f>
        <v/>
      </c>
      <c r="J3888" s="78">
        <f>IF(ISBLANK(E3888),"",IF(ISNUMBER(SEARCH("/",E3888)), IF(LEN(E3888)-LEN(SUBSTITUTE(E3888,"/",""))=1,(RIGHT(E3888,LEN(E3888)-FIND("/",E3888)))-(LEFT(E3888,FIND("/",E3888)-1)),(MID(E3888, SEARCH("/",E3888) + 1, SEARCH("/",E3888, SEARCH("/",E3888)+1) - SEARCH("/",E3888) - 1))-(LEFT(E3888,FIND("/",E3888)-1))), "NA"))</f>
        <v/>
      </c>
      <c r="K3888" s="79">
        <f>IF(A3888&lt;&gt;"", IF(ISBLANK(L3888), TODAY(), K3888), "")</f>
        <v/>
      </c>
      <c r="L3888" s="78" t="n"/>
      <c r="M3888" s="78">
        <f>IF(ISBLANK(L3888),"",IF(D3888="Stock",IF(C3888="Buy",L3888*G3888,IF(C3888="Sell",(L3888*G3888)-I3888, X)),IF(C3888="Buy",(L3888*G3888*100)+I3888,IF(C3888="Sell",(L3888*G3888*100)-I3888, X))))</f>
        <v/>
      </c>
      <c r="N3888" s="78">
        <f>IF(ISBLANK(L3888),"",IF(AND(C3888="Sell",D3888="Stock"),M3888,IF(ISBLANK(L3888),"",IF(C3888="Buy",M3888, IF(AND(C3888="Sell",J3888="NA"),(E3888*G3888*100*0.1)+I3888, IF(C3888="Sell",(J3888-L3888)*(100*G3888)+I3888))))))</f>
        <v/>
      </c>
      <c r="O3888" s="75" t="n"/>
      <c r="P3888" s="75" t="n"/>
      <c r="Q3888" s="75">
        <f>IF(ISBLANK(P3888),"",IF(D3888="Stock",P3888*G3888,IF(P3888=0,"0",G3888*P3888*100-(G3888*$AF$14))))</f>
        <v/>
      </c>
      <c r="R3888" s="79">
        <f>IF(P3888&lt;&gt;"", TODAY(), "")</f>
        <v/>
      </c>
      <c r="S3888" s="78">
        <f>IF(AND(K3888&lt;&gt;"", R3888&lt;&gt;""), R3888-K3888, "")</f>
        <v/>
      </c>
      <c r="T3888" s="78" t="n"/>
      <c r="U3888" s="92">
        <f>IF(ISBLANK(P3888),"",IF(C3888="Buy",Q3888-M3888+T3888, IF(C3888="Sell",M3888-Q3888-T3888, X)))</f>
        <v/>
      </c>
      <c r="V3888" s="81">
        <f>IF(ISBLANK(P3888),"",U3888/N3888)</f>
        <v/>
      </c>
      <c r="W3888" s="81">
        <f>IF(ISBLANK(P3888),"",IF(S3888=0,(365/0.5)*V3888,(365/S3888)*V3888))</f>
        <v/>
      </c>
      <c r="X3888" s="75" t="n"/>
      <c r="Y3888" s="77" t="n"/>
      <c r="Z3888" s="77" t="n"/>
      <c r="AA3888" s="75" t="n"/>
      <c r="AB3888" s="75" t="n"/>
      <c r="AC3888" s="6" t="n"/>
      <c r="AD3888" s="75" t="n"/>
      <c r="AE3888" s="75" t="n"/>
      <c r="AF3888" s="75" t="n"/>
    </row>
    <row r="3889" ht="15.75" customHeight="1" s="133">
      <c r="A3889" s="75" t="n"/>
      <c r="B3889" s="75" t="n"/>
      <c r="C3889" s="75" t="n"/>
      <c r="D3889" s="75" t="n"/>
      <c r="E3889" s="76" t="n"/>
      <c r="F3889" s="77" t="n"/>
      <c r="G3889" s="75" t="n"/>
      <c r="H3889" s="75">
        <f>IF(ISBLANK(E3889),"",IF(OR(D3889="Butterfly",D3889="Butterfly ",D3889="Iron Fly", D3889="Iron Fly "),LEN(E3889)-LEN(SUBSTITUTE(E3889,"/",""))+2,LEN(E3889)-LEN(SUBSTITUTE(E3889,"/",""))+1))</f>
        <v/>
      </c>
      <c r="I3889" s="78">
        <f>IF(ISBLANK(G3889),"",IF(D3889="Stock","0",Key!$A$3*H3889*G3889))</f>
        <v/>
      </c>
      <c r="J3889" s="78">
        <f>IF(ISBLANK(E3889),"",IF(ISNUMBER(SEARCH("/",E3889)), IF(LEN(E3889)-LEN(SUBSTITUTE(E3889,"/",""))=1,(RIGHT(E3889,LEN(E3889)-FIND("/",E3889)))-(LEFT(E3889,FIND("/",E3889)-1)),(MID(E3889, SEARCH("/",E3889) + 1, SEARCH("/",E3889, SEARCH("/",E3889)+1) - SEARCH("/",E3889) - 1))-(LEFT(E3889,FIND("/",E3889)-1))), "NA"))</f>
        <v/>
      </c>
      <c r="K3889" s="79">
        <f>IF(A3889&lt;&gt;"", IF(ISBLANK(L3889), TODAY(), K3889), "")</f>
        <v/>
      </c>
      <c r="L3889" s="78" t="n"/>
      <c r="M3889" s="78">
        <f>IF(ISBLANK(L3889),"",IF(D3889="Stock",IF(C3889="Buy",L3889*G3889,IF(C3889="Sell",(L3889*G3889)-I3889, X)),IF(C3889="Buy",(L3889*G3889*100)+I3889,IF(C3889="Sell",(L3889*G3889*100)-I3889, X))))</f>
        <v/>
      </c>
      <c r="N3889" s="78">
        <f>IF(ISBLANK(L3889),"",IF(AND(C3889="Sell",D3889="Stock"),M3889,IF(ISBLANK(L3889),"",IF(C3889="Buy",M3889, IF(AND(C3889="Sell",J3889="NA"),(E3889*G3889*100*0.1)+I3889, IF(C3889="Sell",(J3889-L3889)*(100*G3889)+I3889))))))</f>
        <v/>
      </c>
      <c r="O3889" s="75" t="n"/>
      <c r="P3889" s="75" t="n"/>
      <c r="Q3889" s="75">
        <f>IF(ISBLANK(P3889),"",IF(D3889="Stock",P3889*G3889,IF(P3889=0,"0",G3889*P3889*100-(G3889*$AF$14))))</f>
        <v/>
      </c>
      <c r="R3889" s="79">
        <f>IF(P3889&lt;&gt;"", TODAY(), "")</f>
        <v/>
      </c>
      <c r="S3889" s="78">
        <f>IF(AND(K3889&lt;&gt;"", R3889&lt;&gt;""), R3889-K3889, "")</f>
        <v/>
      </c>
      <c r="T3889" s="78" t="n"/>
      <c r="U3889" s="92">
        <f>IF(ISBLANK(P3889),"",IF(C3889="Buy",Q3889-M3889+T3889, IF(C3889="Sell",M3889-Q3889-T3889, X)))</f>
        <v/>
      </c>
      <c r="V3889" s="81">
        <f>IF(ISBLANK(P3889),"",U3889/N3889)</f>
        <v/>
      </c>
      <c r="W3889" s="81">
        <f>IF(ISBLANK(P3889),"",IF(S3889=0,(365/0.5)*V3889,(365/S3889)*V3889))</f>
        <v/>
      </c>
      <c r="X3889" s="75" t="n"/>
      <c r="Y3889" s="77" t="n"/>
      <c r="Z3889" s="77" t="n"/>
      <c r="AA3889" s="75" t="n"/>
      <c r="AB3889" s="75" t="n"/>
      <c r="AC3889" s="6" t="n"/>
      <c r="AD3889" s="75" t="n"/>
      <c r="AE3889" s="75" t="n"/>
      <c r="AF3889" s="75" t="n"/>
    </row>
    <row r="3890" ht="15.75" customHeight="1" s="133">
      <c r="A3890" s="75" t="n"/>
      <c r="B3890" s="75" t="n"/>
      <c r="C3890" s="75" t="n"/>
      <c r="D3890" s="75" t="n"/>
      <c r="E3890" s="76" t="n"/>
      <c r="F3890" s="77" t="n"/>
      <c r="G3890" s="75" t="n"/>
      <c r="H3890" s="75">
        <f>IF(ISBLANK(E3890),"",IF(OR(D3890="Butterfly",D3890="Butterfly ",D3890="Iron Fly", D3890="Iron Fly "),LEN(E3890)-LEN(SUBSTITUTE(E3890,"/",""))+2,LEN(E3890)-LEN(SUBSTITUTE(E3890,"/",""))+1))</f>
        <v/>
      </c>
      <c r="I3890" s="78">
        <f>IF(ISBLANK(G3890),"",IF(D3890="Stock","0",Key!$A$3*H3890*G3890))</f>
        <v/>
      </c>
      <c r="J3890" s="78">
        <f>IF(ISBLANK(E3890),"",IF(ISNUMBER(SEARCH("/",E3890)), IF(LEN(E3890)-LEN(SUBSTITUTE(E3890,"/",""))=1,(RIGHT(E3890,LEN(E3890)-FIND("/",E3890)))-(LEFT(E3890,FIND("/",E3890)-1)),(MID(E3890, SEARCH("/",E3890) + 1, SEARCH("/",E3890, SEARCH("/",E3890)+1) - SEARCH("/",E3890) - 1))-(LEFT(E3890,FIND("/",E3890)-1))), "NA"))</f>
        <v/>
      </c>
      <c r="K3890" s="79">
        <f>IF(A3890&lt;&gt;"", IF(ISBLANK(L3890), TODAY(), K3890), "")</f>
        <v/>
      </c>
      <c r="L3890" s="78" t="n"/>
      <c r="M3890" s="78">
        <f>IF(ISBLANK(L3890),"",IF(D3890="Stock",IF(C3890="Buy",L3890*G3890,IF(C3890="Sell",(L3890*G3890)-I3890, X)),IF(C3890="Buy",(L3890*G3890*100)+I3890,IF(C3890="Sell",(L3890*G3890*100)-I3890, X))))</f>
        <v/>
      </c>
      <c r="N3890" s="78">
        <f>IF(ISBLANK(L3890),"",IF(AND(C3890="Sell",D3890="Stock"),M3890,IF(ISBLANK(L3890),"",IF(C3890="Buy",M3890, IF(AND(C3890="Sell",J3890="NA"),(E3890*G3890*100*0.1)+I3890, IF(C3890="Sell",(J3890-L3890)*(100*G3890)+I3890))))))</f>
        <v/>
      </c>
      <c r="O3890" s="75" t="n"/>
      <c r="P3890" s="75" t="n"/>
      <c r="Q3890" s="75">
        <f>IF(ISBLANK(P3890),"",IF(D3890="Stock",P3890*G3890,IF(P3890=0,"0",G3890*P3890*100-(G3890*$AF$14))))</f>
        <v/>
      </c>
      <c r="R3890" s="79">
        <f>IF(P3890&lt;&gt;"", TODAY(), "")</f>
        <v/>
      </c>
      <c r="S3890" s="78">
        <f>IF(AND(K3890&lt;&gt;"", R3890&lt;&gt;""), R3890-K3890, "")</f>
        <v/>
      </c>
      <c r="T3890" s="78" t="n"/>
      <c r="U3890" s="92">
        <f>IF(ISBLANK(P3890),"",IF(C3890="Buy",Q3890-M3890+T3890, IF(C3890="Sell",M3890-Q3890-T3890, X)))</f>
        <v/>
      </c>
      <c r="V3890" s="81">
        <f>IF(ISBLANK(P3890),"",U3890/N3890)</f>
        <v/>
      </c>
      <c r="W3890" s="81">
        <f>IF(ISBLANK(P3890),"",IF(S3890=0,(365/0.5)*V3890,(365/S3890)*V3890))</f>
        <v/>
      </c>
      <c r="X3890" s="75" t="n"/>
      <c r="Y3890" s="77" t="n"/>
      <c r="Z3890" s="77" t="n"/>
      <c r="AA3890" s="75" t="n"/>
      <c r="AB3890" s="75" t="n"/>
      <c r="AC3890" s="6" t="n"/>
      <c r="AD3890" s="75" t="n"/>
      <c r="AE3890" s="75" t="n"/>
      <c r="AF3890" s="75" t="n"/>
    </row>
    <row r="3891" ht="15.75" customHeight="1" s="133">
      <c r="A3891" s="75" t="n"/>
      <c r="B3891" s="75" t="n"/>
      <c r="C3891" s="75" t="n"/>
      <c r="D3891" s="75" t="n"/>
      <c r="E3891" s="76" t="n"/>
      <c r="F3891" s="77" t="n"/>
      <c r="G3891" s="75" t="n"/>
      <c r="H3891" s="75">
        <f>IF(ISBLANK(E3891),"",IF(OR(D3891="Butterfly",D3891="Butterfly ",D3891="Iron Fly", D3891="Iron Fly "),LEN(E3891)-LEN(SUBSTITUTE(E3891,"/",""))+2,LEN(E3891)-LEN(SUBSTITUTE(E3891,"/",""))+1))</f>
        <v/>
      </c>
      <c r="I3891" s="78">
        <f>IF(ISBLANK(G3891),"",IF(D3891="Stock","0",Key!$A$3*H3891*G3891))</f>
        <v/>
      </c>
      <c r="J3891" s="78">
        <f>IF(ISBLANK(E3891),"",IF(ISNUMBER(SEARCH("/",E3891)), IF(LEN(E3891)-LEN(SUBSTITUTE(E3891,"/",""))=1,(RIGHT(E3891,LEN(E3891)-FIND("/",E3891)))-(LEFT(E3891,FIND("/",E3891)-1)),(MID(E3891, SEARCH("/",E3891) + 1, SEARCH("/",E3891, SEARCH("/",E3891)+1) - SEARCH("/",E3891) - 1))-(LEFT(E3891,FIND("/",E3891)-1))), "NA"))</f>
        <v/>
      </c>
      <c r="K3891" s="79">
        <f>IF(A3891&lt;&gt;"", IF(ISBLANK(L3891), TODAY(), K3891), "")</f>
        <v/>
      </c>
      <c r="L3891" s="78" t="n"/>
      <c r="M3891" s="78">
        <f>IF(ISBLANK(L3891),"",IF(D3891="Stock",IF(C3891="Buy",L3891*G3891,IF(C3891="Sell",(L3891*G3891)-I3891, X)),IF(C3891="Buy",(L3891*G3891*100)+I3891,IF(C3891="Sell",(L3891*G3891*100)-I3891, X))))</f>
        <v/>
      </c>
      <c r="N3891" s="78">
        <f>IF(ISBLANK(L3891),"",IF(AND(C3891="Sell",D3891="Stock"),M3891,IF(ISBLANK(L3891),"",IF(C3891="Buy",M3891, IF(AND(C3891="Sell",J3891="NA"),(E3891*G3891*100*0.1)+I3891, IF(C3891="Sell",(J3891-L3891)*(100*G3891)+I3891))))))</f>
        <v/>
      </c>
      <c r="O3891" s="75" t="n"/>
      <c r="P3891" s="75" t="n"/>
      <c r="Q3891" s="75">
        <f>IF(ISBLANK(P3891),"",IF(D3891="Stock",P3891*G3891,IF(P3891=0,"0",G3891*P3891*100-(G3891*$AF$14))))</f>
        <v/>
      </c>
      <c r="R3891" s="79">
        <f>IF(P3891&lt;&gt;"", TODAY(), "")</f>
        <v/>
      </c>
      <c r="S3891" s="78">
        <f>IF(AND(K3891&lt;&gt;"", R3891&lt;&gt;""), R3891-K3891, "")</f>
        <v/>
      </c>
      <c r="T3891" s="78" t="n"/>
      <c r="U3891" s="92">
        <f>IF(ISBLANK(P3891),"",IF(C3891="Buy",Q3891-M3891+T3891, IF(C3891="Sell",M3891-Q3891-T3891, X)))</f>
        <v/>
      </c>
      <c r="V3891" s="81">
        <f>IF(ISBLANK(P3891),"",U3891/N3891)</f>
        <v/>
      </c>
      <c r="W3891" s="81">
        <f>IF(ISBLANK(P3891),"",IF(S3891=0,(365/0.5)*V3891,(365/S3891)*V3891))</f>
        <v/>
      </c>
      <c r="X3891" s="75" t="n"/>
      <c r="Y3891" s="77" t="n"/>
      <c r="Z3891" s="77" t="n"/>
      <c r="AA3891" s="75" t="n"/>
      <c r="AB3891" s="75" t="n"/>
      <c r="AC3891" s="6" t="n"/>
      <c r="AD3891" s="75" t="n"/>
      <c r="AE3891" s="75" t="n"/>
      <c r="AF3891" s="75" t="n"/>
    </row>
    <row r="3892" ht="15.75" customHeight="1" s="133">
      <c r="A3892" s="75" t="n"/>
      <c r="B3892" s="75" t="n"/>
      <c r="C3892" s="75" t="n"/>
      <c r="D3892" s="75" t="n"/>
      <c r="E3892" s="76" t="n"/>
      <c r="F3892" s="77" t="n"/>
      <c r="G3892" s="75" t="n"/>
      <c r="H3892" s="75">
        <f>IF(ISBLANK(E3892),"",IF(OR(D3892="Butterfly",D3892="Butterfly ",D3892="Iron Fly", D3892="Iron Fly "),LEN(E3892)-LEN(SUBSTITUTE(E3892,"/",""))+2,LEN(E3892)-LEN(SUBSTITUTE(E3892,"/",""))+1))</f>
        <v/>
      </c>
      <c r="I3892" s="78">
        <f>IF(ISBLANK(G3892),"",IF(D3892="Stock","0",Key!$A$3*H3892*G3892))</f>
        <v/>
      </c>
      <c r="J3892" s="78">
        <f>IF(ISBLANK(E3892),"",IF(ISNUMBER(SEARCH("/",E3892)), IF(LEN(E3892)-LEN(SUBSTITUTE(E3892,"/",""))=1,(RIGHT(E3892,LEN(E3892)-FIND("/",E3892)))-(LEFT(E3892,FIND("/",E3892)-1)),(MID(E3892, SEARCH("/",E3892) + 1, SEARCH("/",E3892, SEARCH("/",E3892)+1) - SEARCH("/",E3892) - 1))-(LEFT(E3892,FIND("/",E3892)-1))), "NA"))</f>
        <v/>
      </c>
      <c r="K3892" s="79">
        <f>IF(A3892&lt;&gt;"", IF(ISBLANK(L3892), TODAY(), K3892), "")</f>
        <v/>
      </c>
      <c r="L3892" s="78" t="n"/>
      <c r="M3892" s="78">
        <f>IF(ISBLANK(L3892),"",IF(D3892="Stock",IF(C3892="Buy",L3892*G3892,IF(C3892="Sell",(L3892*G3892)-I3892, X)),IF(C3892="Buy",(L3892*G3892*100)+I3892,IF(C3892="Sell",(L3892*G3892*100)-I3892, X))))</f>
        <v/>
      </c>
      <c r="N3892" s="78">
        <f>IF(ISBLANK(L3892),"",IF(AND(C3892="Sell",D3892="Stock"),M3892,IF(ISBLANK(L3892),"",IF(C3892="Buy",M3892, IF(AND(C3892="Sell",J3892="NA"),(E3892*G3892*100*0.1)+I3892, IF(C3892="Sell",(J3892-L3892)*(100*G3892)+I3892))))))</f>
        <v/>
      </c>
      <c r="O3892" s="75" t="n"/>
      <c r="P3892" s="75" t="n"/>
      <c r="Q3892" s="75">
        <f>IF(ISBLANK(P3892),"",IF(D3892="Stock",P3892*G3892,IF(P3892=0,"0",G3892*P3892*100-(G3892*$AF$14))))</f>
        <v/>
      </c>
      <c r="R3892" s="79">
        <f>IF(P3892&lt;&gt;"", TODAY(), "")</f>
        <v/>
      </c>
      <c r="S3892" s="78">
        <f>IF(AND(K3892&lt;&gt;"", R3892&lt;&gt;""), R3892-K3892, "")</f>
        <v/>
      </c>
      <c r="T3892" s="78" t="n"/>
      <c r="U3892" s="92">
        <f>IF(ISBLANK(P3892),"",IF(C3892="Buy",Q3892-M3892+T3892, IF(C3892="Sell",M3892-Q3892-T3892, X)))</f>
        <v/>
      </c>
      <c r="V3892" s="81">
        <f>IF(ISBLANK(P3892),"",U3892/N3892)</f>
        <v/>
      </c>
      <c r="W3892" s="81">
        <f>IF(ISBLANK(P3892),"",IF(S3892=0,(365/0.5)*V3892,(365/S3892)*V3892))</f>
        <v/>
      </c>
      <c r="X3892" s="75" t="n"/>
      <c r="Y3892" s="77" t="n"/>
      <c r="Z3892" s="77" t="n"/>
      <c r="AA3892" s="75" t="n"/>
      <c r="AB3892" s="75" t="n"/>
      <c r="AC3892" s="6" t="n"/>
      <c r="AD3892" s="75" t="n"/>
      <c r="AE3892" s="75" t="n"/>
      <c r="AF3892" s="75" t="n"/>
    </row>
    <row r="3893" ht="15.75" customHeight="1" s="133">
      <c r="A3893" s="75" t="n"/>
      <c r="B3893" s="75" t="n"/>
      <c r="C3893" s="75" t="n"/>
      <c r="D3893" s="75" t="n"/>
      <c r="E3893" s="76" t="n"/>
      <c r="F3893" s="77" t="n"/>
      <c r="G3893" s="75" t="n"/>
      <c r="H3893" s="75">
        <f>IF(ISBLANK(E3893),"",IF(OR(D3893="Butterfly",D3893="Butterfly ",D3893="Iron Fly", D3893="Iron Fly "),LEN(E3893)-LEN(SUBSTITUTE(E3893,"/",""))+2,LEN(E3893)-LEN(SUBSTITUTE(E3893,"/",""))+1))</f>
        <v/>
      </c>
      <c r="I3893" s="78">
        <f>IF(ISBLANK(G3893),"",IF(D3893="Stock","0",Key!$A$3*H3893*G3893))</f>
        <v/>
      </c>
      <c r="J3893" s="78">
        <f>IF(ISBLANK(E3893),"",IF(ISNUMBER(SEARCH("/",E3893)), IF(LEN(E3893)-LEN(SUBSTITUTE(E3893,"/",""))=1,(RIGHT(E3893,LEN(E3893)-FIND("/",E3893)))-(LEFT(E3893,FIND("/",E3893)-1)),(MID(E3893, SEARCH("/",E3893) + 1, SEARCH("/",E3893, SEARCH("/",E3893)+1) - SEARCH("/",E3893) - 1))-(LEFT(E3893,FIND("/",E3893)-1))), "NA"))</f>
        <v/>
      </c>
      <c r="K3893" s="79">
        <f>IF(A3893&lt;&gt;"", IF(ISBLANK(L3893), TODAY(), K3893), "")</f>
        <v/>
      </c>
      <c r="L3893" s="78" t="n"/>
      <c r="M3893" s="78">
        <f>IF(ISBLANK(L3893),"",IF(D3893="Stock",IF(C3893="Buy",L3893*G3893,IF(C3893="Sell",(L3893*G3893)-I3893, X)),IF(C3893="Buy",(L3893*G3893*100)+I3893,IF(C3893="Sell",(L3893*G3893*100)-I3893, X))))</f>
        <v/>
      </c>
      <c r="N3893" s="78">
        <f>IF(ISBLANK(L3893),"",IF(AND(C3893="Sell",D3893="Stock"),M3893,IF(ISBLANK(L3893),"",IF(C3893="Buy",M3893, IF(AND(C3893="Sell",J3893="NA"),(E3893*G3893*100*0.1)+I3893, IF(C3893="Sell",(J3893-L3893)*(100*G3893)+I3893))))))</f>
        <v/>
      </c>
      <c r="O3893" s="75" t="n"/>
      <c r="P3893" s="75" t="n"/>
      <c r="Q3893" s="75">
        <f>IF(ISBLANK(P3893),"",IF(D3893="Stock",P3893*G3893,IF(P3893=0,"0",G3893*P3893*100-(G3893*$AF$14))))</f>
        <v/>
      </c>
      <c r="R3893" s="79">
        <f>IF(P3893&lt;&gt;"", TODAY(), "")</f>
        <v/>
      </c>
      <c r="S3893" s="78">
        <f>IF(AND(K3893&lt;&gt;"", R3893&lt;&gt;""), R3893-K3893, "")</f>
        <v/>
      </c>
      <c r="T3893" s="78" t="n"/>
      <c r="U3893" s="92">
        <f>IF(ISBLANK(P3893),"",IF(C3893="Buy",Q3893-M3893+T3893, IF(C3893="Sell",M3893-Q3893-T3893, X)))</f>
        <v/>
      </c>
      <c r="V3893" s="81">
        <f>IF(ISBLANK(P3893),"",U3893/N3893)</f>
        <v/>
      </c>
      <c r="W3893" s="81">
        <f>IF(ISBLANK(P3893),"",IF(S3893=0,(365/0.5)*V3893,(365/S3893)*V3893))</f>
        <v/>
      </c>
      <c r="X3893" s="75" t="n"/>
      <c r="Y3893" s="77" t="n"/>
      <c r="Z3893" s="77" t="n"/>
      <c r="AA3893" s="75" t="n"/>
      <c r="AB3893" s="75" t="n"/>
      <c r="AC3893" s="6" t="n"/>
      <c r="AD3893" s="75" t="n"/>
      <c r="AE3893" s="75" t="n"/>
      <c r="AF3893" s="75" t="n"/>
    </row>
    <row r="3894" ht="15.75" customHeight="1" s="133">
      <c r="A3894" s="75" t="n"/>
      <c r="B3894" s="75" t="n"/>
      <c r="C3894" s="75" t="n"/>
      <c r="D3894" s="75" t="n"/>
      <c r="E3894" s="76" t="n"/>
      <c r="F3894" s="77" t="n"/>
      <c r="G3894" s="75" t="n"/>
      <c r="H3894" s="75">
        <f>IF(ISBLANK(E3894),"",IF(OR(D3894="Butterfly",D3894="Butterfly ",D3894="Iron Fly", D3894="Iron Fly "),LEN(E3894)-LEN(SUBSTITUTE(E3894,"/",""))+2,LEN(E3894)-LEN(SUBSTITUTE(E3894,"/",""))+1))</f>
        <v/>
      </c>
      <c r="I3894" s="78">
        <f>IF(ISBLANK(G3894),"",IF(D3894="Stock","0",Key!$A$3*H3894*G3894))</f>
        <v/>
      </c>
      <c r="J3894" s="78">
        <f>IF(ISBLANK(E3894),"",IF(ISNUMBER(SEARCH("/",E3894)), IF(LEN(E3894)-LEN(SUBSTITUTE(E3894,"/",""))=1,(RIGHT(E3894,LEN(E3894)-FIND("/",E3894)))-(LEFT(E3894,FIND("/",E3894)-1)),(MID(E3894, SEARCH("/",E3894) + 1, SEARCH("/",E3894, SEARCH("/",E3894)+1) - SEARCH("/",E3894) - 1))-(LEFT(E3894,FIND("/",E3894)-1))), "NA"))</f>
        <v/>
      </c>
      <c r="K3894" s="79">
        <f>IF(A3894&lt;&gt;"", IF(ISBLANK(L3894), TODAY(), K3894), "")</f>
        <v/>
      </c>
      <c r="L3894" s="78" t="n"/>
      <c r="M3894" s="78">
        <f>IF(ISBLANK(L3894),"",IF(D3894="Stock",IF(C3894="Buy",L3894*G3894,IF(C3894="Sell",(L3894*G3894)-I3894, X)),IF(C3894="Buy",(L3894*G3894*100)+I3894,IF(C3894="Sell",(L3894*G3894*100)-I3894, X))))</f>
        <v/>
      </c>
      <c r="N3894" s="78">
        <f>IF(ISBLANK(L3894),"",IF(AND(C3894="Sell",D3894="Stock"),M3894,IF(ISBLANK(L3894),"",IF(C3894="Buy",M3894, IF(AND(C3894="Sell",J3894="NA"),(E3894*G3894*100*0.1)+I3894, IF(C3894="Sell",(J3894-L3894)*(100*G3894)+I3894))))))</f>
        <v/>
      </c>
      <c r="O3894" s="75" t="n"/>
      <c r="P3894" s="75" t="n"/>
      <c r="Q3894" s="75">
        <f>IF(ISBLANK(P3894),"",IF(D3894="Stock",P3894*G3894,IF(P3894=0,"0",G3894*P3894*100-(G3894*$AF$14))))</f>
        <v/>
      </c>
      <c r="R3894" s="79">
        <f>IF(P3894&lt;&gt;"", TODAY(), "")</f>
        <v/>
      </c>
      <c r="S3894" s="78">
        <f>IF(AND(K3894&lt;&gt;"", R3894&lt;&gt;""), R3894-K3894, "")</f>
        <v/>
      </c>
      <c r="T3894" s="78" t="n"/>
      <c r="U3894" s="92">
        <f>IF(ISBLANK(P3894),"",IF(C3894="Buy",Q3894-M3894+T3894, IF(C3894="Sell",M3894-Q3894-T3894, X)))</f>
        <v/>
      </c>
      <c r="V3894" s="81">
        <f>IF(ISBLANK(P3894),"",U3894/N3894)</f>
        <v/>
      </c>
      <c r="W3894" s="81">
        <f>IF(ISBLANK(P3894),"",IF(S3894=0,(365/0.5)*V3894,(365/S3894)*V3894))</f>
        <v/>
      </c>
      <c r="X3894" s="75" t="n"/>
      <c r="Y3894" s="77" t="n"/>
      <c r="Z3894" s="77" t="n"/>
      <c r="AA3894" s="75" t="n"/>
      <c r="AB3894" s="75" t="n"/>
      <c r="AC3894" s="6" t="n"/>
      <c r="AD3894" s="75" t="n"/>
      <c r="AE3894" s="75" t="n"/>
      <c r="AF3894" s="75" t="n"/>
    </row>
    <row r="3895" ht="15.75" customHeight="1" s="133">
      <c r="A3895" s="75" t="n"/>
      <c r="B3895" s="75" t="n"/>
      <c r="C3895" s="75" t="n"/>
      <c r="D3895" s="75" t="n"/>
      <c r="E3895" s="76" t="n"/>
      <c r="F3895" s="77" t="n"/>
      <c r="G3895" s="75" t="n"/>
      <c r="H3895" s="75">
        <f>IF(ISBLANK(E3895),"",IF(OR(D3895="Butterfly",D3895="Butterfly ",D3895="Iron Fly", D3895="Iron Fly "),LEN(E3895)-LEN(SUBSTITUTE(E3895,"/",""))+2,LEN(E3895)-LEN(SUBSTITUTE(E3895,"/",""))+1))</f>
        <v/>
      </c>
      <c r="I3895" s="78">
        <f>IF(ISBLANK(G3895),"",IF(D3895="Stock","0",Key!$A$3*H3895*G3895))</f>
        <v/>
      </c>
      <c r="J3895" s="78">
        <f>IF(ISBLANK(E3895),"",IF(ISNUMBER(SEARCH("/",E3895)), IF(LEN(E3895)-LEN(SUBSTITUTE(E3895,"/",""))=1,(RIGHT(E3895,LEN(E3895)-FIND("/",E3895)))-(LEFT(E3895,FIND("/",E3895)-1)),(MID(E3895, SEARCH("/",E3895) + 1, SEARCH("/",E3895, SEARCH("/",E3895)+1) - SEARCH("/",E3895) - 1))-(LEFT(E3895,FIND("/",E3895)-1))), "NA"))</f>
        <v/>
      </c>
      <c r="K3895" s="79">
        <f>IF(A3895&lt;&gt;"", IF(ISBLANK(L3895), TODAY(), K3895), "")</f>
        <v/>
      </c>
      <c r="L3895" s="78" t="n"/>
      <c r="M3895" s="78">
        <f>IF(ISBLANK(L3895),"",IF(D3895="Stock",IF(C3895="Buy",L3895*G3895,IF(C3895="Sell",(L3895*G3895)-I3895, X)),IF(C3895="Buy",(L3895*G3895*100)+I3895,IF(C3895="Sell",(L3895*G3895*100)-I3895, X))))</f>
        <v/>
      </c>
      <c r="N3895" s="78">
        <f>IF(ISBLANK(L3895),"",IF(AND(C3895="Sell",D3895="Stock"),M3895,IF(ISBLANK(L3895),"",IF(C3895="Buy",M3895, IF(AND(C3895="Sell",J3895="NA"),(E3895*G3895*100*0.1)+I3895, IF(C3895="Sell",(J3895-L3895)*(100*G3895)+I3895))))))</f>
        <v/>
      </c>
      <c r="O3895" s="75" t="n"/>
      <c r="P3895" s="75" t="n"/>
      <c r="Q3895" s="75">
        <f>IF(ISBLANK(P3895),"",IF(D3895="Stock",P3895*G3895,IF(P3895=0,"0",G3895*P3895*100-(G3895*$AF$14))))</f>
        <v/>
      </c>
      <c r="R3895" s="79">
        <f>IF(P3895&lt;&gt;"", TODAY(), "")</f>
        <v/>
      </c>
      <c r="S3895" s="78">
        <f>IF(AND(K3895&lt;&gt;"", R3895&lt;&gt;""), R3895-K3895, "")</f>
        <v/>
      </c>
      <c r="T3895" s="78" t="n"/>
      <c r="U3895" s="92">
        <f>IF(ISBLANK(P3895),"",IF(C3895="Buy",Q3895-M3895+T3895, IF(C3895="Sell",M3895-Q3895-T3895, X)))</f>
        <v/>
      </c>
      <c r="V3895" s="81">
        <f>IF(ISBLANK(P3895),"",U3895/N3895)</f>
        <v/>
      </c>
      <c r="W3895" s="81">
        <f>IF(ISBLANK(P3895),"",IF(S3895=0,(365/0.5)*V3895,(365/S3895)*V3895))</f>
        <v/>
      </c>
      <c r="X3895" s="75" t="n"/>
      <c r="Y3895" s="77" t="n"/>
      <c r="Z3895" s="77" t="n"/>
      <c r="AA3895" s="75" t="n"/>
      <c r="AB3895" s="75" t="n"/>
      <c r="AC3895" s="6" t="n"/>
      <c r="AD3895" s="75" t="n"/>
      <c r="AE3895" s="75" t="n"/>
      <c r="AF3895" s="75" t="n"/>
    </row>
    <row r="3896" ht="15.75" customHeight="1" s="133">
      <c r="A3896" s="75" t="n"/>
      <c r="B3896" s="75" t="n"/>
      <c r="C3896" s="75" t="n"/>
      <c r="D3896" s="75" t="n"/>
      <c r="E3896" s="76" t="n"/>
      <c r="F3896" s="77" t="n"/>
      <c r="G3896" s="75" t="n"/>
      <c r="H3896" s="75">
        <f>IF(ISBLANK(E3896),"",IF(OR(D3896="Butterfly",D3896="Butterfly ",D3896="Iron Fly", D3896="Iron Fly "),LEN(E3896)-LEN(SUBSTITUTE(E3896,"/",""))+2,LEN(E3896)-LEN(SUBSTITUTE(E3896,"/",""))+1))</f>
        <v/>
      </c>
      <c r="I3896" s="78">
        <f>IF(ISBLANK(G3896),"",IF(D3896="Stock","0",Key!$A$3*H3896*G3896))</f>
        <v/>
      </c>
      <c r="J3896" s="78">
        <f>IF(ISBLANK(E3896),"",IF(ISNUMBER(SEARCH("/",E3896)), IF(LEN(E3896)-LEN(SUBSTITUTE(E3896,"/",""))=1,(RIGHT(E3896,LEN(E3896)-FIND("/",E3896)))-(LEFT(E3896,FIND("/",E3896)-1)),(MID(E3896, SEARCH("/",E3896) + 1, SEARCH("/",E3896, SEARCH("/",E3896)+1) - SEARCH("/",E3896) - 1))-(LEFT(E3896,FIND("/",E3896)-1))), "NA"))</f>
        <v/>
      </c>
      <c r="K3896" s="79">
        <f>IF(A3896&lt;&gt;"", IF(ISBLANK(L3896), TODAY(), K3896), "")</f>
        <v/>
      </c>
      <c r="L3896" s="78" t="n"/>
      <c r="M3896" s="78">
        <f>IF(ISBLANK(L3896),"",IF(D3896="Stock",IF(C3896="Buy",L3896*G3896,IF(C3896="Sell",(L3896*G3896)-I3896, X)),IF(C3896="Buy",(L3896*G3896*100)+I3896,IF(C3896="Sell",(L3896*G3896*100)-I3896, X))))</f>
        <v/>
      </c>
      <c r="N3896" s="78">
        <f>IF(ISBLANK(L3896),"",IF(AND(C3896="Sell",D3896="Stock"),M3896,IF(ISBLANK(L3896),"",IF(C3896="Buy",M3896, IF(AND(C3896="Sell",J3896="NA"),(E3896*G3896*100*0.1)+I3896, IF(C3896="Sell",(J3896-L3896)*(100*G3896)+I3896))))))</f>
        <v/>
      </c>
      <c r="O3896" s="75" t="n"/>
      <c r="P3896" s="75" t="n"/>
      <c r="Q3896" s="75">
        <f>IF(ISBLANK(P3896),"",IF(D3896="Stock",P3896*G3896,IF(P3896=0,"0",G3896*P3896*100-(G3896*$AF$14))))</f>
        <v/>
      </c>
      <c r="R3896" s="79">
        <f>IF(P3896&lt;&gt;"", TODAY(), "")</f>
        <v/>
      </c>
      <c r="S3896" s="78">
        <f>IF(AND(K3896&lt;&gt;"", R3896&lt;&gt;""), R3896-K3896, "")</f>
        <v/>
      </c>
      <c r="T3896" s="78" t="n"/>
      <c r="U3896" s="92">
        <f>IF(ISBLANK(P3896),"",IF(C3896="Buy",Q3896-M3896+T3896, IF(C3896="Sell",M3896-Q3896-T3896, X)))</f>
        <v/>
      </c>
      <c r="V3896" s="81">
        <f>IF(ISBLANK(P3896),"",U3896/N3896)</f>
        <v/>
      </c>
      <c r="W3896" s="81">
        <f>IF(ISBLANK(P3896),"",IF(S3896=0,(365/0.5)*V3896,(365/S3896)*V3896))</f>
        <v/>
      </c>
      <c r="X3896" s="75" t="n"/>
      <c r="Y3896" s="77" t="n"/>
      <c r="Z3896" s="77" t="n"/>
      <c r="AA3896" s="75" t="n"/>
      <c r="AB3896" s="75" t="n"/>
      <c r="AC3896" s="6" t="n"/>
      <c r="AD3896" s="75" t="n"/>
      <c r="AE3896" s="75" t="n"/>
      <c r="AF3896" s="75" t="n"/>
    </row>
    <row r="3897" ht="15.75" customHeight="1" s="133">
      <c r="A3897" s="75" t="n"/>
      <c r="B3897" s="75" t="n"/>
      <c r="C3897" s="75" t="n"/>
      <c r="D3897" s="75" t="n"/>
      <c r="E3897" s="76" t="n"/>
      <c r="F3897" s="77" t="n"/>
      <c r="G3897" s="75" t="n"/>
      <c r="H3897" s="75">
        <f>IF(ISBLANK(E3897),"",IF(OR(D3897="Butterfly",D3897="Butterfly ",D3897="Iron Fly", D3897="Iron Fly "),LEN(E3897)-LEN(SUBSTITUTE(E3897,"/",""))+2,LEN(E3897)-LEN(SUBSTITUTE(E3897,"/",""))+1))</f>
        <v/>
      </c>
      <c r="I3897" s="78">
        <f>IF(ISBLANK(G3897),"",IF(D3897="Stock","0",Key!$A$3*H3897*G3897))</f>
        <v/>
      </c>
      <c r="J3897" s="78">
        <f>IF(ISBLANK(E3897),"",IF(ISNUMBER(SEARCH("/",E3897)), IF(LEN(E3897)-LEN(SUBSTITUTE(E3897,"/",""))=1,(RIGHT(E3897,LEN(E3897)-FIND("/",E3897)))-(LEFT(E3897,FIND("/",E3897)-1)),(MID(E3897, SEARCH("/",E3897) + 1, SEARCH("/",E3897, SEARCH("/",E3897)+1) - SEARCH("/",E3897) - 1))-(LEFT(E3897,FIND("/",E3897)-1))), "NA"))</f>
        <v/>
      </c>
      <c r="K3897" s="79">
        <f>IF(A3897&lt;&gt;"", IF(ISBLANK(L3897), TODAY(), K3897), "")</f>
        <v/>
      </c>
      <c r="L3897" s="78" t="n"/>
      <c r="M3897" s="78">
        <f>IF(ISBLANK(L3897),"",IF(D3897="Stock",IF(C3897="Buy",L3897*G3897,IF(C3897="Sell",(L3897*G3897)-I3897, X)),IF(C3897="Buy",(L3897*G3897*100)+I3897,IF(C3897="Sell",(L3897*G3897*100)-I3897, X))))</f>
        <v/>
      </c>
      <c r="N3897" s="78">
        <f>IF(ISBLANK(L3897),"",IF(AND(C3897="Sell",D3897="Stock"),M3897,IF(ISBLANK(L3897),"",IF(C3897="Buy",M3897, IF(AND(C3897="Sell",J3897="NA"),(E3897*G3897*100*0.1)+I3897, IF(C3897="Sell",(J3897-L3897)*(100*G3897)+I3897))))))</f>
        <v/>
      </c>
      <c r="O3897" s="75" t="n"/>
      <c r="P3897" s="75" t="n"/>
      <c r="Q3897" s="75">
        <f>IF(ISBLANK(P3897),"",IF(D3897="Stock",P3897*G3897,IF(P3897=0,"0",G3897*P3897*100-(G3897*$AF$14))))</f>
        <v/>
      </c>
      <c r="R3897" s="79">
        <f>IF(P3897&lt;&gt;"", TODAY(), "")</f>
        <v/>
      </c>
      <c r="S3897" s="78">
        <f>IF(AND(K3897&lt;&gt;"", R3897&lt;&gt;""), R3897-K3897, "")</f>
        <v/>
      </c>
      <c r="T3897" s="78" t="n"/>
      <c r="U3897" s="92">
        <f>IF(ISBLANK(P3897),"",IF(C3897="Buy",Q3897-M3897+T3897, IF(C3897="Sell",M3897-Q3897-T3897, X)))</f>
        <v/>
      </c>
      <c r="V3897" s="81">
        <f>IF(ISBLANK(P3897),"",U3897/N3897)</f>
        <v/>
      </c>
      <c r="W3897" s="81">
        <f>IF(ISBLANK(P3897),"",IF(S3897=0,(365/0.5)*V3897,(365/S3897)*V3897))</f>
        <v/>
      </c>
      <c r="X3897" s="75" t="n"/>
      <c r="Y3897" s="77" t="n"/>
      <c r="Z3897" s="77" t="n"/>
      <c r="AA3897" s="75" t="n"/>
      <c r="AB3897" s="75" t="n"/>
      <c r="AC3897" s="6" t="n"/>
      <c r="AD3897" s="75" t="n"/>
      <c r="AE3897" s="75" t="n"/>
      <c r="AF3897" s="75" t="n"/>
    </row>
    <row r="3898" ht="15.75" customHeight="1" s="133">
      <c r="A3898" s="75" t="n"/>
      <c r="B3898" s="75" t="n"/>
      <c r="C3898" s="75" t="n"/>
      <c r="D3898" s="75" t="n"/>
      <c r="E3898" s="76" t="n"/>
      <c r="F3898" s="77" t="n"/>
      <c r="G3898" s="75" t="n"/>
      <c r="H3898" s="75">
        <f>IF(ISBLANK(E3898),"",IF(OR(D3898="Butterfly",D3898="Butterfly ",D3898="Iron Fly", D3898="Iron Fly "),LEN(E3898)-LEN(SUBSTITUTE(E3898,"/",""))+2,LEN(E3898)-LEN(SUBSTITUTE(E3898,"/",""))+1))</f>
        <v/>
      </c>
      <c r="I3898" s="78">
        <f>IF(ISBLANK(G3898),"",IF(D3898="Stock","0",Key!$A$3*H3898*G3898))</f>
        <v/>
      </c>
      <c r="J3898" s="78">
        <f>IF(ISBLANK(E3898),"",IF(ISNUMBER(SEARCH("/",E3898)), IF(LEN(E3898)-LEN(SUBSTITUTE(E3898,"/",""))=1,(RIGHT(E3898,LEN(E3898)-FIND("/",E3898)))-(LEFT(E3898,FIND("/",E3898)-1)),(MID(E3898, SEARCH("/",E3898) + 1, SEARCH("/",E3898, SEARCH("/",E3898)+1) - SEARCH("/",E3898) - 1))-(LEFT(E3898,FIND("/",E3898)-1))), "NA"))</f>
        <v/>
      </c>
      <c r="K3898" s="79">
        <f>IF(A3898&lt;&gt;"", IF(ISBLANK(L3898), TODAY(), K3898), "")</f>
        <v/>
      </c>
      <c r="L3898" s="78" t="n"/>
      <c r="M3898" s="78">
        <f>IF(ISBLANK(L3898),"",IF(D3898="Stock",IF(C3898="Buy",L3898*G3898,IF(C3898="Sell",(L3898*G3898)-I3898, X)),IF(C3898="Buy",(L3898*G3898*100)+I3898,IF(C3898="Sell",(L3898*G3898*100)-I3898, X))))</f>
        <v/>
      </c>
      <c r="N3898" s="78">
        <f>IF(ISBLANK(L3898),"",IF(AND(C3898="Sell",D3898="Stock"),M3898,IF(ISBLANK(L3898),"",IF(C3898="Buy",M3898, IF(AND(C3898="Sell",J3898="NA"),(E3898*G3898*100*0.1)+I3898, IF(C3898="Sell",(J3898-L3898)*(100*G3898)+I3898))))))</f>
        <v/>
      </c>
      <c r="O3898" s="75" t="n"/>
      <c r="P3898" s="75" t="n"/>
      <c r="Q3898" s="75">
        <f>IF(ISBLANK(P3898),"",IF(D3898="Stock",P3898*G3898,IF(P3898=0,"0",G3898*P3898*100-(G3898*$AF$14))))</f>
        <v/>
      </c>
      <c r="R3898" s="79">
        <f>IF(P3898&lt;&gt;"", TODAY(), "")</f>
        <v/>
      </c>
      <c r="S3898" s="78">
        <f>IF(AND(K3898&lt;&gt;"", R3898&lt;&gt;""), R3898-K3898, "")</f>
        <v/>
      </c>
      <c r="T3898" s="78" t="n"/>
      <c r="U3898" s="92">
        <f>IF(ISBLANK(P3898),"",IF(C3898="Buy",Q3898-M3898+T3898, IF(C3898="Sell",M3898-Q3898-T3898, X)))</f>
        <v/>
      </c>
      <c r="V3898" s="81">
        <f>IF(ISBLANK(P3898),"",U3898/N3898)</f>
        <v/>
      </c>
      <c r="W3898" s="81">
        <f>IF(ISBLANK(P3898),"",IF(S3898=0,(365/0.5)*V3898,(365/S3898)*V3898))</f>
        <v/>
      </c>
      <c r="X3898" s="75" t="n"/>
      <c r="Y3898" s="77" t="n"/>
      <c r="Z3898" s="77" t="n"/>
      <c r="AA3898" s="75" t="n"/>
      <c r="AB3898" s="75" t="n"/>
      <c r="AC3898" s="6" t="n"/>
      <c r="AD3898" s="75" t="n"/>
      <c r="AE3898" s="75" t="n"/>
      <c r="AF3898" s="75" t="n"/>
    </row>
    <row r="3899" ht="15.75" customHeight="1" s="133">
      <c r="A3899" s="75" t="n"/>
      <c r="B3899" s="75" t="n"/>
      <c r="C3899" s="75" t="n"/>
      <c r="D3899" s="75" t="n"/>
      <c r="E3899" s="76" t="n"/>
      <c r="F3899" s="77" t="n"/>
      <c r="G3899" s="75" t="n"/>
      <c r="H3899" s="75">
        <f>IF(ISBLANK(E3899),"",IF(OR(D3899="Butterfly",D3899="Butterfly ",D3899="Iron Fly", D3899="Iron Fly "),LEN(E3899)-LEN(SUBSTITUTE(E3899,"/",""))+2,LEN(E3899)-LEN(SUBSTITUTE(E3899,"/",""))+1))</f>
        <v/>
      </c>
      <c r="I3899" s="78">
        <f>IF(ISBLANK(G3899),"",IF(D3899="Stock","0",Key!$A$3*H3899*G3899))</f>
        <v/>
      </c>
      <c r="J3899" s="78">
        <f>IF(ISBLANK(E3899),"",IF(ISNUMBER(SEARCH("/",E3899)), IF(LEN(E3899)-LEN(SUBSTITUTE(E3899,"/",""))=1,(RIGHT(E3899,LEN(E3899)-FIND("/",E3899)))-(LEFT(E3899,FIND("/",E3899)-1)),(MID(E3899, SEARCH("/",E3899) + 1, SEARCH("/",E3899, SEARCH("/",E3899)+1) - SEARCH("/",E3899) - 1))-(LEFT(E3899,FIND("/",E3899)-1))), "NA"))</f>
        <v/>
      </c>
      <c r="K3899" s="79">
        <f>IF(A3899&lt;&gt;"", IF(ISBLANK(L3899), TODAY(), K3899), "")</f>
        <v/>
      </c>
      <c r="L3899" s="78" t="n"/>
      <c r="M3899" s="78">
        <f>IF(ISBLANK(L3899),"",IF(D3899="Stock",IF(C3899="Buy",L3899*G3899,IF(C3899="Sell",(L3899*G3899)-I3899, X)),IF(C3899="Buy",(L3899*G3899*100)+I3899,IF(C3899="Sell",(L3899*G3899*100)-I3899, X))))</f>
        <v/>
      </c>
      <c r="N3899" s="78">
        <f>IF(ISBLANK(L3899),"",IF(AND(C3899="Sell",D3899="Stock"),M3899,IF(ISBLANK(L3899),"",IF(C3899="Buy",M3899, IF(AND(C3899="Sell",J3899="NA"),(E3899*G3899*100*0.1)+I3899, IF(C3899="Sell",(J3899-L3899)*(100*G3899)+I3899))))))</f>
        <v/>
      </c>
      <c r="O3899" s="75" t="n"/>
      <c r="P3899" s="75" t="n"/>
      <c r="Q3899" s="75">
        <f>IF(ISBLANK(P3899),"",IF(D3899="Stock",P3899*G3899,IF(P3899=0,"0",G3899*P3899*100-(G3899*$AF$14))))</f>
        <v/>
      </c>
      <c r="R3899" s="79">
        <f>IF(P3899&lt;&gt;"", TODAY(), "")</f>
        <v/>
      </c>
      <c r="S3899" s="78">
        <f>IF(AND(K3899&lt;&gt;"", R3899&lt;&gt;""), R3899-K3899, "")</f>
        <v/>
      </c>
      <c r="T3899" s="78" t="n"/>
      <c r="U3899" s="92">
        <f>IF(ISBLANK(P3899),"",IF(C3899="Buy",Q3899-M3899+T3899, IF(C3899="Sell",M3899-Q3899-T3899, X)))</f>
        <v/>
      </c>
      <c r="V3899" s="81">
        <f>IF(ISBLANK(P3899),"",U3899/N3899)</f>
        <v/>
      </c>
      <c r="W3899" s="81">
        <f>IF(ISBLANK(P3899),"",IF(S3899=0,(365/0.5)*V3899,(365/S3899)*V3899))</f>
        <v/>
      </c>
      <c r="X3899" s="75" t="n"/>
      <c r="Y3899" s="77" t="n"/>
      <c r="Z3899" s="77" t="n"/>
      <c r="AA3899" s="75" t="n"/>
      <c r="AB3899" s="75" t="n"/>
      <c r="AC3899" s="6" t="n"/>
      <c r="AD3899" s="75" t="n"/>
      <c r="AE3899" s="75" t="n"/>
      <c r="AF3899" s="75" t="n"/>
    </row>
    <row r="3900" ht="15.75" customHeight="1" s="133">
      <c r="A3900" s="75" t="n"/>
      <c r="B3900" s="75" t="n"/>
      <c r="C3900" s="75" t="n"/>
      <c r="D3900" s="75" t="n"/>
      <c r="E3900" s="76" t="n"/>
      <c r="F3900" s="77" t="n"/>
      <c r="G3900" s="75" t="n"/>
      <c r="H3900" s="75">
        <f>IF(ISBLANK(E3900),"",IF(OR(D3900="Butterfly",D3900="Butterfly ",D3900="Iron Fly", D3900="Iron Fly "),LEN(E3900)-LEN(SUBSTITUTE(E3900,"/",""))+2,LEN(E3900)-LEN(SUBSTITUTE(E3900,"/",""))+1))</f>
        <v/>
      </c>
      <c r="I3900" s="78">
        <f>IF(ISBLANK(G3900),"",IF(D3900="Stock","0",Key!$A$3*H3900*G3900))</f>
        <v/>
      </c>
      <c r="J3900" s="78">
        <f>IF(ISBLANK(E3900),"",IF(ISNUMBER(SEARCH("/",E3900)), IF(LEN(E3900)-LEN(SUBSTITUTE(E3900,"/",""))=1,(RIGHT(E3900,LEN(E3900)-FIND("/",E3900)))-(LEFT(E3900,FIND("/",E3900)-1)),(MID(E3900, SEARCH("/",E3900) + 1, SEARCH("/",E3900, SEARCH("/",E3900)+1) - SEARCH("/",E3900) - 1))-(LEFT(E3900,FIND("/",E3900)-1))), "NA"))</f>
        <v/>
      </c>
      <c r="K3900" s="79">
        <f>IF(A3900&lt;&gt;"", IF(ISBLANK(L3900), TODAY(), K3900), "")</f>
        <v/>
      </c>
      <c r="L3900" s="78" t="n"/>
      <c r="M3900" s="78">
        <f>IF(ISBLANK(L3900),"",IF(D3900="Stock",IF(C3900="Buy",L3900*G3900,IF(C3900="Sell",(L3900*G3900)-I3900, X)),IF(C3900="Buy",(L3900*G3900*100)+I3900,IF(C3900="Sell",(L3900*G3900*100)-I3900, X))))</f>
        <v/>
      </c>
      <c r="N3900" s="78">
        <f>IF(ISBLANK(L3900),"",IF(AND(C3900="Sell",D3900="Stock"),M3900,IF(ISBLANK(L3900),"",IF(C3900="Buy",M3900, IF(AND(C3900="Sell",J3900="NA"),(E3900*G3900*100*0.1)+I3900, IF(C3900="Sell",(J3900-L3900)*(100*G3900)+I3900))))))</f>
        <v/>
      </c>
      <c r="O3900" s="75" t="n"/>
      <c r="P3900" s="75" t="n"/>
      <c r="Q3900" s="75">
        <f>IF(ISBLANK(P3900),"",IF(D3900="Stock",P3900*G3900,IF(P3900=0,"0",G3900*P3900*100-(G3900*$AF$14))))</f>
        <v/>
      </c>
      <c r="R3900" s="79">
        <f>IF(P3900&lt;&gt;"", TODAY(), "")</f>
        <v/>
      </c>
      <c r="S3900" s="78">
        <f>IF(AND(K3900&lt;&gt;"", R3900&lt;&gt;""), R3900-K3900, "")</f>
        <v/>
      </c>
      <c r="T3900" s="78" t="n"/>
      <c r="U3900" s="92">
        <f>IF(ISBLANK(P3900),"",IF(C3900="Buy",Q3900-M3900+T3900, IF(C3900="Sell",M3900-Q3900-T3900, X)))</f>
        <v/>
      </c>
      <c r="V3900" s="81">
        <f>IF(ISBLANK(P3900),"",U3900/N3900)</f>
        <v/>
      </c>
      <c r="W3900" s="81">
        <f>IF(ISBLANK(P3900),"",IF(S3900=0,(365/0.5)*V3900,(365/S3900)*V3900))</f>
        <v/>
      </c>
      <c r="X3900" s="75" t="n"/>
      <c r="Y3900" s="77" t="n"/>
      <c r="Z3900" s="77" t="n"/>
      <c r="AA3900" s="75" t="n"/>
      <c r="AB3900" s="75" t="n"/>
      <c r="AC3900" s="6" t="n"/>
      <c r="AD3900" s="75" t="n"/>
      <c r="AE3900" s="75" t="n"/>
      <c r="AF3900" s="75" t="n"/>
    </row>
    <row r="3901" ht="15.75" customHeight="1" s="133">
      <c r="A3901" s="75" t="n"/>
      <c r="B3901" s="75" t="n"/>
      <c r="C3901" s="75" t="n"/>
      <c r="D3901" s="75" t="n"/>
      <c r="E3901" s="76" t="n"/>
      <c r="F3901" s="77" t="n"/>
      <c r="G3901" s="75" t="n"/>
      <c r="H3901" s="75">
        <f>IF(ISBLANK(E3901),"",IF(OR(D3901="Butterfly",D3901="Butterfly ",D3901="Iron Fly", D3901="Iron Fly "),LEN(E3901)-LEN(SUBSTITUTE(E3901,"/",""))+2,LEN(E3901)-LEN(SUBSTITUTE(E3901,"/",""))+1))</f>
        <v/>
      </c>
      <c r="I3901" s="78">
        <f>IF(ISBLANK(G3901),"",IF(D3901="Stock","0",Key!$A$3*H3901*G3901))</f>
        <v/>
      </c>
      <c r="J3901" s="78">
        <f>IF(ISBLANK(E3901),"",IF(ISNUMBER(SEARCH("/",E3901)), IF(LEN(E3901)-LEN(SUBSTITUTE(E3901,"/",""))=1,(RIGHT(E3901,LEN(E3901)-FIND("/",E3901)))-(LEFT(E3901,FIND("/",E3901)-1)),(MID(E3901, SEARCH("/",E3901) + 1, SEARCH("/",E3901, SEARCH("/",E3901)+1) - SEARCH("/",E3901) - 1))-(LEFT(E3901,FIND("/",E3901)-1))), "NA"))</f>
        <v/>
      </c>
      <c r="K3901" s="79">
        <f>IF(A3901&lt;&gt;"", IF(ISBLANK(L3901), TODAY(), K3901), "")</f>
        <v/>
      </c>
      <c r="L3901" s="78" t="n"/>
      <c r="M3901" s="78">
        <f>IF(ISBLANK(L3901),"",IF(D3901="Stock",IF(C3901="Buy",L3901*G3901,IF(C3901="Sell",(L3901*G3901)-I3901, X)),IF(C3901="Buy",(L3901*G3901*100)+I3901,IF(C3901="Sell",(L3901*G3901*100)-I3901, X))))</f>
        <v/>
      </c>
      <c r="N3901" s="78">
        <f>IF(ISBLANK(L3901),"",IF(AND(C3901="Sell",D3901="Stock"),M3901,IF(ISBLANK(L3901),"",IF(C3901="Buy",M3901, IF(AND(C3901="Sell",J3901="NA"),(E3901*G3901*100*0.1)+I3901, IF(C3901="Sell",(J3901-L3901)*(100*G3901)+I3901))))))</f>
        <v/>
      </c>
      <c r="O3901" s="75" t="n"/>
      <c r="P3901" s="75" t="n"/>
      <c r="Q3901" s="75">
        <f>IF(ISBLANK(P3901),"",IF(D3901="Stock",P3901*G3901,IF(P3901=0,"0",G3901*P3901*100-(G3901*$AF$14))))</f>
        <v/>
      </c>
      <c r="R3901" s="79">
        <f>IF(P3901&lt;&gt;"", TODAY(), "")</f>
        <v/>
      </c>
      <c r="S3901" s="78">
        <f>IF(AND(K3901&lt;&gt;"", R3901&lt;&gt;""), R3901-K3901, "")</f>
        <v/>
      </c>
      <c r="T3901" s="78" t="n"/>
      <c r="U3901" s="92">
        <f>IF(ISBLANK(P3901),"",IF(C3901="Buy",Q3901-M3901+T3901, IF(C3901="Sell",M3901-Q3901-T3901, X)))</f>
        <v/>
      </c>
      <c r="V3901" s="81">
        <f>IF(ISBLANK(P3901),"",U3901/N3901)</f>
        <v/>
      </c>
      <c r="W3901" s="81">
        <f>IF(ISBLANK(P3901),"",IF(S3901=0,(365/0.5)*V3901,(365/S3901)*V3901))</f>
        <v/>
      </c>
      <c r="X3901" s="75" t="n"/>
      <c r="Y3901" s="77" t="n"/>
      <c r="Z3901" s="77" t="n"/>
      <c r="AA3901" s="75" t="n"/>
      <c r="AB3901" s="75" t="n"/>
      <c r="AC3901" s="6" t="n"/>
      <c r="AD3901" s="75" t="n"/>
      <c r="AE3901" s="75" t="n"/>
      <c r="AF3901" s="75" t="n"/>
    </row>
    <row r="3902" ht="15.75" customHeight="1" s="133">
      <c r="A3902" s="75" t="n"/>
      <c r="B3902" s="75" t="n"/>
      <c r="C3902" s="75" t="n"/>
      <c r="D3902" s="75" t="n"/>
      <c r="E3902" s="76" t="n"/>
      <c r="F3902" s="77" t="n"/>
      <c r="G3902" s="75" t="n"/>
      <c r="H3902" s="75">
        <f>IF(ISBLANK(E3902),"",IF(OR(D3902="Butterfly",D3902="Butterfly ",D3902="Iron Fly", D3902="Iron Fly "),LEN(E3902)-LEN(SUBSTITUTE(E3902,"/",""))+2,LEN(E3902)-LEN(SUBSTITUTE(E3902,"/",""))+1))</f>
        <v/>
      </c>
      <c r="I3902" s="78">
        <f>IF(ISBLANK(G3902),"",IF(D3902="Stock","0",Key!$A$3*H3902*G3902))</f>
        <v/>
      </c>
      <c r="J3902" s="78">
        <f>IF(ISBLANK(E3902),"",IF(ISNUMBER(SEARCH("/",E3902)), IF(LEN(E3902)-LEN(SUBSTITUTE(E3902,"/",""))=1,(RIGHT(E3902,LEN(E3902)-FIND("/",E3902)))-(LEFT(E3902,FIND("/",E3902)-1)),(MID(E3902, SEARCH("/",E3902) + 1, SEARCH("/",E3902, SEARCH("/",E3902)+1) - SEARCH("/",E3902) - 1))-(LEFT(E3902,FIND("/",E3902)-1))), "NA"))</f>
        <v/>
      </c>
      <c r="K3902" s="79">
        <f>IF(A3902&lt;&gt;"", IF(ISBLANK(L3902), TODAY(), K3902), "")</f>
        <v/>
      </c>
      <c r="L3902" s="78" t="n"/>
      <c r="M3902" s="78">
        <f>IF(ISBLANK(L3902),"",IF(D3902="Stock",IF(C3902="Buy",L3902*G3902,IF(C3902="Sell",(L3902*G3902)-I3902, X)),IF(C3902="Buy",(L3902*G3902*100)+I3902,IF(C3902="Sell",(L3902*G3902*100)-I3902, X))))</f>
        <v/>
      </c>
      <c r="N3902" s="78">
        <f>IF(ISBLANK(L3902),"",IF(AND(C3902="Sell",D3902="Stock"),M3902,IF(ISBLANK(L3902),"",IF(C3902="Buy",M3902, IF(AND(C3902="Sell",J3902="NA"),(E3902*G3902*100*0.1)+I3902, IF(C3902="Sell",(J3902-L3902)*(100*G3902)+I3902))))))</f>
        <v/>
      </c>
      <c r="O3902" s="75" t="n"/>
      <c r="P3902" s="75" t="n"/>
      <c r="Q3902" s="75">
        <f>IF(ISBLANK(P3902),"",IF(D3902="Stock",P3902*G3902,IF(P3902=0,"0",G3902*P3902*100-(G3902*$AF$14))))</f>
        <v/>
      </c>
      <c r="R3902" s="79">
        <f>IF(P3902&lt;&gt;"", TODAY(), "")</f>
        <v/>
      </c>
      <c r="S3902" s="78">
        <f>IF(AND(K3902&lt;&gt;"", R3902&lt;&gt;""), R3902-K3902, "")</f>
        <v/>
      </c>
      <c r="T3902" s="78" t="n"/>
      <c r="U3902" s="92">
        <f>IF(ISBLANK(P3902),"",IF(C3902="Buy",Q3902-M3902+T3902, IF(C3902="Sell",M3902-Q3902-T3902, X)))</f>
        <v/>
      </c>
      <c r="V3902" s="81">
        <f>IF(ISBLANK(P3902),"",U3902/N3902)</f>
        <v/>
      </c>
      <c r="W3902" s="81">
        <f>IF(ISBLANK(P3902),"",IF(S3902=0,(365/0.5)*V3902,(365/S3902)*V3902))</f>
        <v/>
      </c>
      <c r="X3902" s="75" t="n"/>
      <c r="Y3902" s="77" t="n"/>
      <c r="Z3902" s="77" t="n"/>
      <c r="AA3902" s="75" t="n"/>
      <c r="AB3902" s="75" t="n"/>
      <c r="AC3902" s="6" t="n"/>
      <c r="AD3902" s="75" t="n"/>
      <c r="AE3902" s="75" t="n"/>
      <c r="AF3902" s="75" t="n"/>
    </row>
    <row r="3903" ht="15.75" customHeight="1" s="133">
      <c r="A3903" s="75" t="n"/>
      <c r="B3903" s="75" t="n"/>
      <c r="C3903" s="75" t="n"/>
      <c r="D3903" s="75" t="n"/>
      <c r="E3903" s="76" t="n"/>
      <c r="F3903" s="77" t="n"/>
      <c r="G3903" s="75" t="n"/>
      <c r="H3903" s="75">
        <f>IF(ISBLANK(E3903),"",IF(OR(D3903="Butterfly",D3903="Butterfly ",D3903="Iron Fly", D3903="Iron Fly "),LEN(E3903)-LEN(SUBSTITUTE(E3903,"/",""))+2,LEN(E3903)-LEN(SUBSTITUTE(E3903,"/",""))+1))</f>
        <v/>
      </c>
      <c r="I3903" s="78">
        <f>IF(ISBLANK(G3903),"",IF(D3903="Stock","0",Key!$A$3*H3903*G3903))</f>
        <v/>
      </c>
      <c r="J3903" s="78">
        <f>IF(ISBLANK(E3903),"",IF(ISNUMBER(SEARCH("/",E3903)), IF(LEN(E3903)-LEN(SUBSTITUTE(E3903,"/",""))=1,(RIGHT(E3903,LEN(E3903)-FIND("/",E3903)))-(LEFT(E3903,FIND("/",E3903)-1)),(MID(E3903, SEARCH("/",E3903) + 1, SEARCH("/",E3903, SEARCH("/",E3903)+1) - SEARCH("/",E3903) - 1))-(LEFT(E3903,FIND("/",E3903)-1))), "NA"))</f>
        <v/>
      </c>
      <c r="K3903" s="79">
        <f>IF(A3903&lt;&gt;"", IF(ISBLANK(L3903), TODAY(), K3903), "")</f>
        <v/>
      </c>
      <c r="L3903" s="78" t="n"/>
      <c r="M3903" s="78">
        <f>IF(ISBLANK(L3903),"",IF(D3903="Stock",IF(C3903="Buy",L3903*G3903,IF(C3903="Sell",(L3903*G3903)-I3903, X)),IF(C3903="Buy",(L3903*G3903*100)+I3903,IF(C3903="Sell",(L3903*G3903*100)-I3903, X))))</f>
        <v/>
      </c>
      <c r="N3903" s="78">
        <f>IF(ISBLANK(L3903),"",IF(AND(C3903="Sell",D3903="Stock"),M3903,IF(ISBLANK(L3903),"",IF(C3903="Buy",M3903, IF(AND(C3903="Sell",J3903="NA"),(E3903*G3903*100*0.1)+I3903, IF(C3903="Sell",(J3903-L3903)*(100*G3903)+I3903))))))</f>
        <v/>
      </c>
      <c r="O3903" s="75" t="n"/>
      <c r="P3903" s="75" t="n"/>
      <c r="Q3903" s="75">
        <f>IF(ISBLANK(P3903),"",IF(D3903="Stock",P3903*G3903,IF(P3903=0,"0",G3903*P3903*100-(G3903*$AF$14))))</f>
        <v/>
      </c>
      <c r="R3903" s="79">
        <f>IF(P3903&lt;&gt;"", TODAY(), "")</f>
        <v/>
      </c>
      <c r="S3903" s="78">
        <f>IF(AND(K3903&lt;&gt;"", R3903&lt;&gt;""), R3903-K3903, "")</f>
        <v/>
      </c>
      <c r="T3903" s="78" t="n"/>
      <c r="U3903" s="92">
        <f>IF(ISBLANK(P3903),"",IF(C3903="Buy",Q3903-M3903+T3903, IF(C3903="Sell",M3903-Q3903-T3903, X)))</f>
        <v/>
      </c>
      <c r="V3903" s="81">
        <f>IF(ISBLANK(P3903),"",U3903/N3903)</f>
        <v/>
      </c>
      <c r="W3903" s="81">
        <f>IF(ISBLANK(P3903),"",IF(S3903=0,(365/0.5)*V3903,(365/S3903)*V3903))</f>
        <v/>
      </c>
      <c r="X3903" s="75" t="n"/>
      <c r="Y3903" s="77" t="n"/>
      <c r="Z3903" s="77" t="n"/>
      <c r="AA3903" s="75" t="n"/>
      <c r="AB3903" s="75" t="n"/>
      <c r="AC3903" s="6" t="n"/>
      <c r="AD3903" s="75" t="n"/>
      <c r="AE3903" s="75" t="n"/>
      <c r="AF3903" s="75" t="n"/>
    </row>
    <row r="3904" ht="15.75" customHeight="1" s="133">
      <c r="A3904" s="75" t="n"/>
      <c r="B3904" s="75" t="n"/>
      <c r="C3904" s="75" t="n"/>
      <c r="D3904" s="75" t="n"/>
      <c r="E3904" s="76" t="n"/>
      <c r="F3904" s="77" t="n"/>
      <c r="G3904" s="75" t="n"/>
      <c r="H3904" s="75">
        <f>IF(ISBLANK(E3904),"",IF(OR(D3904="Butterfly",D3904="Butterfly ",D3904="Iron Fly", D3904="Iron Fly "),LEN(E3904)-LEN(SUBSTITUTE(E3904,"/",""))+2,LEN(E3904)-LEN(SUBSTITUTE(E3904,"/",""))+1))</f>
        <v/>
      </c>
      <c r="I3904" s="78">
        <f>IF(ISBLANK(G3904),"",IF(D3904="Stock","0",Key!$A$3*H3904*G3904))</f>
        <v/>
      </c>
      <c r="J3904" s="78">
        <f>IF(ISBLANK(E3904),"",IF(ISNUMBER(SEARCH("/",E3904)), IF(LEN(E3904)-LEN(SUBSTITUTE(E3904,"/",""))=1,(RIGHT(E3904,LEN(E3904)-FIND("/",E3904)))-(LEFT(E3904,FIND("/",E3904)-1)),(MID(E3904, SEARCH("/",E3904) + 1, SEARCH("/",E3904, SEARCH("/",E3904)+1) - SEARCH("/",E3904) - 1))-(LEFT(E3904,FIND("/",E3904)-1))), "NA"))</f>
        <v/>
      </c>
      <c r="K3904" s="79">
        <f>IF(A3904&lt;&gt;"", IF(ISBLANK(L3904), TODAY(), K3904), "")</f>
        <v/>
      </c>
      <c r="L3904" s="78" t="n"/>
      <c r="M3904" s="78">
        <f>IF(ISBLANK(L3904),"",IF(D3904="Stock",IF(C3904="Buy",L3904*G3904,IF(C3904="Sell",(L3904*G3904)-I3904, X)),IF(C3904="Buy",(L3904*G3904*100)+I3904,IF(C3904="Sell",(L3904*G3904*100)-I3904, X))))</f>
        <v/>
      </c>
      <c r="N3904" s="78">
        <f>IF(ISBLANK(L3904),"",IF(AND(C3904="Sell",D3904="Stock"),M3904,IF(ISBLANK(L3904),"",IF(C3904="Buy",M3904, IF(AND(C3904="Sell",J3904="NA"),(E3904*G3904*100*0.1)+I3904, IF(C3904="Sell",(J3904-L3904)*(100*G3904)+I3904))))))</f>
        <v/>
      </c>
      <c r="O3904" s="75" t="n"/>
      <c r="P3904" s="75" t="n"/>
      <c r="Q3904" s="75">
        <f>IF(ISBLANK(P3904),"",IF(D3904="Stock",P3904*G3904,IF(P3904=0,"0",G3904*P3904*100-(G3904*$AF$14))))</f>
        <v/>
      </c>
      <c r="R3904" s="79">
        <f>IF(P3904&lt;&gt;"", TODAY(), "")</f>
        <v/>
      </c>
      <c r="S3904" s="78">
        <f>IF(AND(K3904&lt;&gt;"", R3904&lt;&gt;""), R3904-K3904, "")</f>
        <v/>
      </c>
      <c r="T3904" s="78" t="n"/>
      <c r="U3904" s="92">
        <f>IF(ISBLANK(P3904),"",IF(C3904="Buy",Q3904-M3904+T3904, IF(C3904="Sell",M3904-Q3904-T3904, X)))</f>
        <v/>
      </c>
      <c r="V3904" s="81">
        <f>IF(ISBLANK(P3904),"",U3904/N3904)</f>
        <v/>
      </c>
      <c r="W3904" s="81">
        <f>IF(ISBLANK(P3904),"",IF(S3904=0,(365/0.5)*V3904,(365/S3904)*V3904))</f>
        <v/>
      </c>
      <c r="X3904" s="75" t="n"/>
      <c r="Y3904" s="77" t="n"/>
      <c r="Z3904" s="77" t="n"/>
      <c r="AA3904" s="75" t="n"/>
      <c r="AB3904" s="75" t="n"/>
      <c r="AC3904" s="6" t="n"/>
      <c r="AD3904" s="75" t="n"/>
      <c r="AE3904" s="75" t="n"/>
      <c r="AF3904" s="75" t="n"/>
    </row>
    <row r="3905" ht="15.75" customHeight="1" s="133">
      <c r="A3905" s="75" t="n"/>
      <c r="B3905" s="75" t="n"/>
      <c r="C3905" s="75" t="n"/>
      <c r="D3905" s="75" t="n"/>
      <c r="E3905" s="76" t="n"/>
      <c r="F3905" s="77" t="n"/>
      <c r="G3905" s="75" t="n"/>
      <c r="H3905" s="75">
        <f>IF(ISBLANK(E3905),"",IF(OR(D3905="Butterfly",D3905="Butterfly ",D3905="Iron Fly", D3905="Iron Fly "),LEN(E3905)-LEN(SUBSTITUTE(E3905,"/",""))+2,LEN(E3905)-LEN(SUBSTITUTE(E3905,"/",""))+1))</f>
        <v/>
      </c>
      <c r="I3905" s="78">
        <f>IF(ISBLANK(G3905),"",IF(D3905="Stock","0",Key!$A$3*H3905*G3905))</f>
        <v/>
      </c>
      <c r="J3905" s="78">
        <f>IF(ISBLANK(E3905),"",IF(ISNUMBER(SEARCH("/",E3905)), IF(LEN(E3905)-LEN(SUBSTITUTE(E3905,"/",""))=1,(RIGHT(E3905,LEN(E3905)-FIND("/",E3905)))-(LEFT(E3905,FIND("/",E3905)-1)),(MID(E3905, SEARCH("/",E3905) + 1, SEARCH("/",E3905, SEARCH("/",E3905)+1) - SEARCH("/",E3905) - 1))-(LEFT(E3905,FIND("/",E3905)-1))), "NA"))</f>
        <v/>
      </c>
      <c r="K3905" s="79">
        <f>IF(A3905&lt;&gt;"", IF(ISBLANK(L3905), TODAY(), K3905), "")</f>
        <v/>
      </c>
      <c r="L3905" s="78" t="n"/>
      <c r="M3905" s="78">
        <f>IF(ISBLANK(L3905),"",IF(D3905="Stock",IF(C3905="Buy",L3905*G3905,IF(C3905="Sell",(L3905*G3905)-I3905, X)),IF(C3905="Buy",(L3905*G3905*100)+I3905,IF(C3905="Sell",(L3905*G3905*100)-I3905, X))))</f>
        <v/>
      </c>
      <c r="N3905" s="78">
        <f>IF(ISBLANK(L3905),"",IF(AND(C3905="Sell",D3905="Stock"),M3905,IF(ISBLANK(L3905),"",IF(C3905="Buy",M3905, IF(AND(C3905="Sell",J3905="NA"),(E3905*G3905*100*0.1)+I3905, IF(C3905="Sell",(J3905-L3905)*(100*G3905)+I3905))))))</f>
        <v/>
      </c>
      <c r="O3905" s="75" t="n"/>
      <c r="P3905" s="75" t="n"/>
      <c r="Q3905" s="75">
        <f>IF(ISBLANK(P3905),"",IF(D3905="Stock",P3905*G3905,IF(P3905=0,"0",G3905*P3905*100-(G3905*$AF$14))))</f>
        <v/>
      </c>
      <c r="R3905" s="79">
        <f>IF(P3905&lt;&gt;"", TODAY(), "")</f>
        <v/>
      </c>
      <c r="S3905" s="78">
        <f>IF(AND(K3905&lt;&gt;"", R3905&lt;&gt;""), R3905-K3905, "")</f>
        <v/>
      </c>
      <c r="T3905" s="78" t="n"/>
      <c r="U3905" s="92">
        <f>IF(ISBLANK(P3905),"",IF(C3905="Buy",Q3905-M3905+T3905, IF(C3905="Sell",M3905-Q3905-T3905, X)))</f>
        <v/>
      </c>
      <c r="V3905" s="81">
        <f>IF(ISBLANK(P3905),"",U3905/N3905)</f>
        <v/>
      </c>
      <c r="W3905" s="81">
        <f>IF(ISBLANK(P3905),"",IF(S3905=0,(365/0.5)*V3905,(365/S3905)*V3905))</f>
        <v/>
      </c>
      <c r="X3905" s="75" t="n"/>
      <c r="Y3905" s="77" t="n"/>
      <c r="Z3905" s="77" t="n"/>
      <c r="AA3905" s="75" t="n"/>
      <c r="AB3905" s="75" t="n"/>
      <c r="AC3905" s="6" t="n"/>
      <c r="AD3905" s="75" t="n"/>
      <c r="AE3905" s="75" t="n"/>
      <c r="AF3905" s="75" t="n"/>
    </row>
    <row r="3906" ht="15.75" customHeight="1" s="133">
      <c r="A3906" s="75" t="n"/>
      <c r="B3906" s="75" t="n"/>
      <c r="C3906" s="75" t="n"/>
      <c r="D3906" s="75" t="n"/>
      <c r="E3906" s="76" t="n"/>
      <c r="F3906" s="77" t="n"/>
      <c r="G3906" s="75" t="n"/>
      <c r="H3906" s="75">
        <f>IF(ISBLANK(E3906),"",IF(OR(D3906="Butterfly",D3906="Butterfly ",D3906="Iron Fly", D3906="Iron Fly "),LEN(E3906)-LEN(SUBSTITUTE(E3906,"/",""))+2,LEN(E3906)-LEN(SUBSTITUTE(E3906,"/",""))+1))</f>
        <v/>
      </c>
      <c r="I3906" s="78">
        <f>IF(ISBLANK(G3906),"",IF(D3906="Stock","0",Key!$A$3*H3906*G3906))</f>
        <v/>
      </c>
      <c r="J3906" s="78">
        <f>IF(ISBLANK(E3906),"",IF(ISNUMBER(SEARCH("/",E3906)), IF(LEN(E3906)-LEN(SUBSTITUTE(E3906,"/",""))=1,(RIGHT(E3906,LEN(E3906)-FIND("/",E3906)))-(LEFT(E3906,FIND("/",E3906)-1)),(MID(E3906, SEARCH("/",E3906) + 1, SEARCH("/",E3906, SEARCH("/",E3906)+1) - SEARCH("/",E3906) - 1))-(LEFT(E3906,FIND("/",E3906)-1))), "NA"))</f>
        <v/>
      </c>
      <c r="K3906" s="79">
        <f>IF(A3906&lt;&gt;"", IF(ISBLANK(L3906), TODAY(), K3906), "")</f>
        <v/>
      </c>
      <c r="L3906" s="78" t="n"/>
      <c r="M3906" s="78">
        <f>IF(ISBLANK(L3906),"",IF(D3906="Stock",IF(C3906="Buy",L3906*G3906,IF(C3906="Sell",(L3906*G3906)-I3906, X)),IF(C3906="Buy",(L3906*G3906*100)+I3906,IF(C3906="Sell",(L3906*G3906*100)-I3906, X))))</f>
        <v/>
      </c>
      <c r="N3906" s="78">
        <f>IF(ISBLANK(L3906),"",IF(AND(C3906="Sell",D3906="Stock"),M3906,IF(ISBLANK(L3906),"",IF(C3906="Buy",M3906, IF(AND(C3906="Sell",J3906="NA"),(E3906*G3906*100*0.1)+I3906, IF(C3906="Sell",(J3906-L3906)*(100*G3906)+I3906))))))</f>
        <v/>
      </c>
      <c r="O3906" s="75" t="n"/>
      <c r="P3906" s="75" t="n"/>
      <c r="Q3906" s="75">
        <f>IF(ISBLANK(P3906),"",IF(D3906="Stock",P3906*G3906,IF(P3906=0,"0",G3906*P3906*100-(G3906*$AF$14))))</f>
        <v/>
      </c>
      <c r="R3906" s="79">
        <f>IF(P3906&lt;&gt;"", TODAY(), "")</f>
        <v/>
      </c>
      <c r="S3906" s="78">
        <f>IF(AND(K3906&lt;&gt;"", R3906&lt;&gt;""), R3906-K3906, "")</f>
        <v/>
      </c>
      <c r="T3906" s="78" t="n"/>
      <c r="U3906" s="92">
        <f>IF(ISBLANK(P3906),"",IF(C3906="Buy",Q3906-M3906+T3906, IF(C3906="Sell",M3906-Q3906-T3906, X)))</f>
        <v/>
      </c>
      <c r="V3906" s="81">
        <f>IF(ISBLANK(P3906),"",U3906/N3906)</f>
        <v/>
      </c>
      <c r="W3906" s="81">
        <f>IF(ISBLANK(P3906),"",IF(S3906=0,(365/0.5)*V3906,(365/S3906)*V3906))</f>
        <v/>
      </c>
      <c r="X3906" s="75" t="n"/>
      <c r="Y3906" s="77" t="n"/>
      <c r="Z3906" s="77" t="n"/>
      <c r="AA3906" s="75" t="n"/>
      <c r="AB3906" s="75" t="n"/>
      <c r="AC3906" s="6" t="n"/>
      <c r="AD3906" s="75" t="n"/>
      <c r="AE3906" s="75" t="n"/>
      <c r="AF3906" s="75" t="n"/>
    </row>
    <row r="3907" ht="15.75" customHeight="1" s="133">
      <c r="A3907" s="75" t="n"/>
      <c r="B3907" s="75" t="n"/>
      <c r="C3907" s="75" t="n"/>
      <c r="D3907" s="75" t="n"/>
      <c r="E3907" s="76" t="n"/>
      <c r="F3907" s="77" t="n"/>
      <c r="G3907" s="75" t="n"/>
      <c r="H3907" s="75">
        <f>IF(ISBLANK(E3907),"",IF(OR(D3907="Butterfly",D3907="Butterfly ",D3907="Iron Fly", D3907="Iron Fly "),LEN(E3907)-LEN(SUBSTITUTE(E3907,"/",""))+2,LEN(E3907)-LEN(SUBSTITUTE(E3907,"/",""))+1))</f>
        <v/>
      </c>
      <c r="I3907" s="78">
        <f>IF(ISBLANK(G3907),"",IF(D3907="Stock","0",Key!$A$3*H3907*G3907))</f>
        <v/>
      </c>
      <c r="J3907" s="78">
        <f>IF(ISBLANK(E3907),"",IF(ISNUMBER(SEARCH("/",E3907)), IF(LEN(E3907)-LEN(SUBSTITUTE(E3907,"/",""))=1,(RIGHT(E3907,LEN(E3907)-FIND("/",E3907)))-(LEFT(E3907,FIND("/",E3907)-1)),(MID(E3907, SEARCH("/",E3907) + 1, SEARCH("/",E3907, SEARCH("/",E3907)+1) - SEARCH("/",E3907) - 1))-(LEFT(E3907,FIND("/",E3907)-1))), "NA"))</f>
        <v/>
      </c>
      <c r="K3907" s="79">
        <f>IF(A3907&lt;&gt;"", IF(ISBLANK(L3907), TODAY(), K3907), "")</f>
        <v/>
      </c>
      <c r="L3907" s="78" t="n"/>
      <c r="M3907" s="78">
        <f>IF(ISBLANK(L3907),"",IF(D3907="Stock",IF(C3907="Buy",L3907*G3907,IF(C3907="Sell",(L3907*G3907)-I3907, X)),IF(C3907="Buy",(L3907*G3907*100)+I3907,IF(C3907="Sell",(L3907*G3907*100)-I3907, X))))</f>
        <v/>
      </c>
      <c r="N3907" s="78">
        <f>IF(ISBLANK(L3907),"",IF(AND(C3907="Sell",D3907="Stock"),M3907,IF(ISBLANK(L3907),"",IF(C3907="Buy",M3907, IF(AND(C3907="Sell",J3907="NA"),(E3907*G3907*100*0.1)+I3907, IF(C3907="Sell",(J3907-L3907)*(100*G3907)+I3907))))))</f>
        <v/>
      </c>
      <c r="O3907" s="75" t="n"/>
      <c r="P3907" s="75" t="n"/>
      <c r="Q3907" s="75">
        <f>IF(ISBLANK(P3907),"",IF(D3907="Stock",P3907*G3907,IF(P3907=0,"0",G3907*P3907*100-(G3907*$AF$14))))</f>
        <v/>
      </c>
      <c r="R3907" s="79">
        <f>IF(P3907&lt;&gt;"", TODAY(), "")</f>
        <v/>
      </c>
      <c r="S3907" s="78">
        <f>IF(AND(K3907&lt;&gt;"", R3907&lt;&gt;""), R3907-K3907, "")</f>
        <v/>
      </c>
      <c r="T3907" s="78" t="n"/>
      <c r="U3907" s="92">
        <f>IF(ISBLANK(P3907),"",IF(C3907="Buy",Q3907-M3907+T3907, IF(C3907="Sell",M3907-Q3907-T3907, X)))</f>
        <v/>
      </c>
      <c r="V3907" s="81">
        <f>IF(ISBLANK(P3907),"",U3907/N3907)</f>
        <v/>
      </c>
      <c r="W3907" s="81">
        <f>IF(ISBLANK(P3907),"",IF(S3907=0,(365/0.5)*V3907,(365/S3907)*V3907))</f>
        <v/>
      </c>
      <c r="X3907" s="75" t="n"/>
      <c r="Y3907" s="77" t="n"/>
      <c r="Z3907" s="77" t="n"/>
      <c r="AA3907" s="75" t="n"/>
      <c r="AB3907" s="75" t="n"/>
      <c r="AC3907" s="6" t="n"/>
      <c r="AD3907" s="75" t="n"/>
      <c r="AE3907" s="75" t="n"/>
      <c r="AF3907" s="75" t="n"/>
    </row>
    <row r="3908" ht="15.75" customHeight="1" s="133">
      <c r="A3908" s="75" t="n"/>
      <c r="B3908" s="75" t="n"/>
      <c r="C3908" s="75" t="n"/>
      <c r="D3908" s="75" t="n"/>
      <c r="E3908" s="76" t="n"/>
      <c r="F3908" s="77" t="n"/>
      <c r="G3908" s="75" t="n"/>
      <c r="H3908" s="75">
        <f>IF(ISBLANK(E3908),"",IF(OR(D3908="Butterfly",D3908="Butterfly ",D3908="Iron Fly", D3908="Iron Fly "),LEN(E3908)-LEN(SUBSTITUTE(E3908,"/",""))+2,LEN(E3908)-LEN(SUBSTITUTE(E3908,"/",""))+1))</f>
        <v/>
      </c>
      <c r="I3908" s="78">
        <f>IF(ISBLANK(G3908),"",IF(D3908="Stock","0",Key!$A$3*H3908*G3908))</f>
        <v/>
      </c>
      <c r="J3908" s="78">
        <f>IF(ISBLANK(E3908),"",IF(ISNUMBER(SEARCH("/",E3908)), IF(LEN(E3908)-LEN(SUBSTITUTE(E3908,"/",""))=1,(RIGHT(E3908,LEN(E3908)-FIND("/",E3908)))-(LEFT(E3908,FIND("/",E3908)-1)),(MID(E3908, SEARCH("/",E3908) + 1, SEARCH("/",E3908, SEARCH("/",E3908)+1) - SEARCH("/",E3908) - 1))-(LEFT(E3908,FIND("/",E3908)-1))), "NA"))</f>
        <v/>
      </c>
      <c r="K3908" s="79">
        <f>IF(A3908&lt;&gt;"", IF(ISBLANK(L3908), TODAY(), K3908), "")</f>
        <v/>
      </c>
      <c r="L3908" s="78" t="n"/>
      <c r="M3908" s="78">
        <f>IF(ISBLANK(L3908),"",IF(D3908="Stock",IF(C3908="Buy",L3908*G3908,IF(C3908="Sell",(L3908*G3908)-I3908, X)),IF(C3908="Buy",(L3908*G3908*100)+I3908,IF(C3908="Sell",(L3908*G3908*100)-I3908, X))))</f>
        <v/>
      </c>
      <c r="N3908" s="78">
        <f>IF(ISBLANK(L3908),"",IF(AND(C3908="Sell",D3908="Stock"),M3908,IF(ISBLANK(L3908),"",IF(C3908="Buy",M3908, IF(AND(C3908="Sell",J3908="NA"),(E3908*G3908*100*0.1)+I3908, IF(C3908="Sell",(J3908-L3908)*(100*G3908)+I3908))))))</f>
        <v/>
      </c>
      <c r="O3908" s="75" t="n"/>
      <c r="P3908" s="75" t="n"/>
      <c r="Q3908" s="75">
        <f>IF(ISBLANK(P3908),"",IF(D3908="Stock",P3908*G3908,IF(P3908=0,"0",G3908*P3908*100-(G3908*$AF$14))))</f>
        <v/>
      </c>
      <c r="R3908" s="79">
        <f>IF(P3908&lt;&gt;"", TODAY(), "")</f>
        <v/>
      </c>
      <c r="S3908" s="78">
        <f>IF(AND(K3908&lt;&gt;"", R3908&lt;&gt;""), R3908-K3908, "")</f>
        <v/>
      </c>
      <c r="T3908" s="78" t="n"/>
      <c r="U3908" s="92">
        <f>IF(ISBLANK(P3908),"",IF(C3908="Buy",Q3908-M3908+T3908, IF(C3908="Sell",M3908-Q3908-T3908, X)))</f>
        <v/>
      </c>
      <c r="V3908" s="81">
        <f>IF(ISBLANK(P3908),"",U3908/N3908)</f>
        <v/>
      </c>
      <c r="W3908" s="81">
        <f>IF(ISBLANK(P3908),"",IF(S3908=0,(365/0.5)*V3908,(365/S3908)*V3908))</f>
        <v/>
      </c>
      <c r="X3908" s="75" t="n"/>
      <c r="Y3908" s="77" t="n"/>
      <c r="Z3908" s="77" t="n"/>
      <c r="AA3908" s="75" t="n"/>
      <c r="AB3908" s="75" t="n"/>
      <c r="AC3908" s="6" t="n"/>
      <c r="AD3908" s="75" t="n"/>
      <c r="AE3908" s="75" t="n"/>
      <c r="AF3908" s="75" t="n"/>
    </row>
    <row r="3909" ht="15.75" customHeight="1" s="133">
      <c r="A3909" s="75" t="n"/>
      <c r="B3909" s="75" t="n"/>
      <c r="C3909" s="75" t="n"/>
      <c r="D3909" s="75" t="n"/>
      <c r="E3909" s="76" t="n"/>
      <c r="F3909" s="77" t="n"/>
      <c r="G3909" s="75" t="n"/>
      <c r="H3909" s="75">
        <f>IF(ISBLANK(E3909),"",IF(OR(D3909="Butterfly",D3909="Butterfly ",D3909="Iron Fly", D3909="Iron Fly "),LEN(E3909)-LEN(SUBSTITUTE(E3909,"/",""))+2,LEN(E3909)-LEN(SUBSTITUTE(E3909,"/",""))+1))</f>
        <v/>
      </c>
      <c r="I3909" s="78">
        <f>IF(ISBLANK(G3909),"",IF(D3909="Stock","0",Key!$A$3*H3909*G3909))</f>
        <v/>
      </c>
      <c r="J3909" s="78">
        <f>IF(ISBLANK(E3909),"",IF(ISNUMBER(SEARCH("/",E3909)), IF(LEN(E3909)-LEN(SUBSTITUTE(E3909,"/",""))=1,(RIGHT(E3909,LEN(E3909)-FIND("/",E3909)))-(LEFT(E3909,FIND("/",E3909)-1)),(MID(E3909, SEARCH("/",E3909) + 1, SEARCH("/",E3909, SEARCH("/",E3909)+1) - SEARCH("/",E3909) - 1))-(LEFT(E3909,FIND("/",E3909)-1))), "NA"))</f>
        <v/>
      </c>
      <c r="K3909" s="79">
        <f>IF(A3909&lt;&gt;"", IF(ISBLANK(L3909), TODAY(), K3909), "")</f>
        <v/>
      </c>
      <c r="L3909" s="78" t="n"/>
      <c r="M3909" s="78">
        <f>IF(ISBLANK(L3909),"",IF(D3909="Stock",IF(C3909="Buy",L3909*G3909,IF(C3909="Sell",(L3909*G3909)-I3909, X)),IF(C3909="Buy",(L3909*G3909*100)+I3909,IF(C3909="Sell",(L3909*G3909*100)-I3909, X))))</f>
        <v/>
      </c>
      <c r="N3909" s="78">
        <f>IF(ISBLANK(L3909),"",IF(AND(C3909="Sell",D3909="Stock"),M3909,IF(ISBLANK(L3909),"",IF(C3909="Buy",M3909, IF(AND(C3909="Sell",J3909="NA"),(E3909*G3909*100*0.1)+I3909, IF(C3909="Sell",(J3909-L3909)*(100*G3909)+I3909))))))</f>
        <v/>
      </c>
      <c r="O3909" s="75" t="n"/>
      <c r="P3909" s="75" t="n"/>
      <c r="Q3909" s="75">
        <f>IF(ISBLANK(P3909),"",IF(D3909="Stock",P3909*G3909,IF(P3909=0,"0",G3909*P3909*100-(G3909*$AF$14))))</f>
        <v/>
      </c>
      <c r="R3909" s="79">
        <f>IF(P3909&lt;&gt;"", TODAY(), "")</f>
        <v/>
      </c>
      <c r="S3909" s="78">
        <f>IF(AND(K3909&lt;&gt;"", R3909&lt;&gt;""), R3909-K3909, "")</f>
        <v/>
      </c>
      <c r="T3909" s="78" t="n"/>
      <c r="U3909" s="92">
        <f>IF(ISBLANK(P3909),"",IF(C3909="Buy",Q3909-M3909+T3909, IF(C3909="Sell",M3909-Q3909-T3909, X)))</f>
        <v/>
      </c>
      <c r="V3909" s="81">
        <f>IF(ISBLANK(P3909),"",U3909/N3909)</f>
        <v/>
      </c>
      <c r="W3909" s="81">
        <f>IF(ISBLANK(P3909),"",IF(S3909=0,(365/0.5)*V3909,(365/S3909)*V3909))</f>
        <v/>
      </c>
      <c r="X3909" s="75" t="n"/>
      <c r="Y3909" s="77" t="n"/>
      <c r="Z3909" s="77" t="n"/>
      <c r="AA3909" s="75" t="n"/>
      <c r="AB3909" s="75" t="n"/>
      <c r="AC3909" s="6" t="n"/>
      <c r="AD3909" s="75" t="n"/>
      <c r="AE3909" s="75" t="n"/>
      <c r="AF3909" s="75" t="n"/>
    </row>
    <row r="3910" ht="15.75" customHeight="1" s="133">
      <c r="A3910" s="75" t="n"/>
      <c r="B3910" s="75" t="n"/>
      <c r="C3910" s="75" t="n"/>
      <c r="D3910" s="75" t="n"/>
      <c r="E3910" s="76" t="n"/>
      <c r="F3910" s="77" t="n"/>
      <c r="G3910" s="75" t="n"/>
      <c r="H3910" s="75">
        <f>IF(ISBLANK(E3910),"",IF(OR(D3910="Butterfly",D3910="Butterfly ",D3910="Iron Fly", D3910="Iron Fly "),LEN(E3910)-LEN(SUBSTITUTE(E3910,"/",""))+2,LEN(E3910)-LEN(SUBSTITUTE(E3910,"/",""))+1))</f>
        <v/>
      </c>
      <c r="I3910" s="78">
        <f>IF(ISBLANK(G3910),"",IF(D3910="Stock","0",Key!$A$3*H3910*G3910))</f>
        <v/>
      </c>
      <c r="J3910" s="78">
        <f>IF(ISBLANK(E3910),"",IF(ISNUMBER(SEARCH("/",E3910)), IF(LEN(E3910)-LEN(SUBSTITUTE(E3910,"/",""))=1,(RIGHT(E3910,LEN(E3910)-FIND("/",E3910)))-(LEFT(E3910,FIND("/",E3910)-1)),(MID(E3910, SEARCH("/",E3910) + 1, SEARCH("/",E3910, SEARCH("/",E3910)+1) - SEARCH("/",E3910) - 1))-(LEFT(E3910,FIND("/",E3910)-1))), "NA"))</f>
        <v/>
      </c>
      <c r="K3910" s="79">
        <f>IF(A3910&lt;&gt;"", IF(ISBLANK(L3910), TODAY(), K3910), "")</f>
        <v/>
      </c>
      <c r="L3910" s="78" t="n"/>
      <c r="M3910" s="78">
        <f>IF(ISBLANK(L3910),"",IF(D3910="Stock",IF(C3910="Buy",L3910*G3910,IF(C3910="Sell",(L3910*G3910)-I3910, X)),IF(C3910="Buy",(L3910*G3910*100)+I3910,IF(C3910="Sell",(L3910*G3910*100)-I3910, X))))</f>
        <v/>
      </c>
      <c r="N3910" s="78">
        <f>IF(ISBLANK(L3910),"",IF(AND(C3910="Sell",D3910="Stock"),M3910,IF(ISBLANK(L3910),"",IF(C3910="Buy",M3910, IF(AND(C3910="Sell",J3910="NA"),(E3910*G3910*100*0.1)+I3910, IF(C3910="Sell",(J3910-L3910)*(100*G3910)+I3910))))))</f>
        <v/>
      </c>
      <c r="O3910" s="75" t="n"/>
      <c r="P3910" s="75" t="n"/>
      <c r="Q3910" s="75">
        <f>IF(ISBLANK(P3910),"",IF(D3910="Stock",P3910*G3910,IF(P3910=0,"0",G3910*P3910*100-(G3910*$AF$14))))</f>
        <v/>
      </c>
      <c r="R3910" s="79">
        <f>IF(P3910&lt;&gt;"", TODAY(), "")</f>
        <v/>
      </c>
      <c r="S3910" s="78">
        <f>IF(AND(K3910&lt;&gt;"", R3910&lt;&gt;""), R3910-K3910, "")</f>
        <v/>
      </c>
      <c r="T3910" s="78" t="n"/>
      <c r="U3910" s="92">
        <f>IF(ISBLANK(P3910),"",IF(C3910="Buy",Q3910-M3910+T3910, IF(C3910="Sell",M3910-Q3910-T3910, X)))</f>
        <v/>
      </c>
      <c r="V3910" s="81">
        <f>IF(ISBLANK(P3910),"",U3910/N3910)</f>
        <v/>
      </c>
      <c r="W3910" s="81">
        <f>IF(ISBLANK(P3910),"",IF(S3910=0,(365/0.5)*V3910,(365/S3910)*V3910))</f>
        <v/>
      </c>
      <c r="X3910" s="75" t="n"/>
      <c r="Y3910" s="77" t="n"/>
      <c r="Z3910" s="77" t="n"/>
      <c r="AA3910" s="75" t="n"/>
      <c r="AB3910" s="75" t="n"/>
      <c r="AC3910" s="6" t="n"/>
      <c r="AD3910" s="75" t="n"/>
      <c r="AE3910" s="75" t="n"/>
      <c r="AF3910" s="75" t="n"/>
    </row>
    <row r="3911" ht="15.75" customHeight="1" s="133">
      <c r="A3911" s="75" t="n"/>
      <c r="B3911" s="75" t="n"/>
      <c r="C3911" s="75" t="n"/>
      <c r="D3911" s="75" t="n"/>
      <c r="E3911" s="76" t="n"/>
      <c r="F3911" s="77" t="n"/>
      <c r="G3911" s="75" t="n"/>
      <c r="H3911" s="75">
        <f>IF(ISBLANK(E3911),"",IF(OR(D3911="Butterfly",D3911="Butterfly ",D3911="Iron Fly", D3911="Iron Fly "),LEN(E3911)-LEN(SUBSTITUTE(E3911,"/",""))+2,LEN(E3911)-LEN(SUBSTITUTE(E3911,"/",""))+1))</f>
        <v/>
      </c>
      <c r="I3911" s="78">
        <f>IF(ISBLANK(G3911),"",IF(D3911="Stock","0",Key!$A$3*H3911*G3911))</f>
        <v/>
      </c>
      <c r="J3911" s="78">
        <f>IF(ISBLANK(E3911),"",IF(ISNUMBER(SEARCH("/",E3911)), IF(LEN(E3911)-LEN(SUBSTITUTE(E3911,"/",""))=1,(RIGHT(E3911,LEN(E3911)-FIND("/",E3911)))-(LEFT(E3911,FIND("/",E3911)-1)),(MID(E3911, SEARCH("/",E3911) + 1, SEARCH("/",E3911, SEARCH("/",E3911)+1) - SEARCH("/",E3911) - 1))-(LEFT(E3911,FIND("/",E3911)-1))), "NA"))</f>
        <v/>
      </c>
      <c r="K3911" s="79">
        <f>IF(A3911&lt;&gt;"", IF(ISBLANK(L3911), TODAY(), K3911), "")</f>
        <v/>
      </c>
      <c r="L3911" s="78" t="n"/>
      <c r="M3911" s="78">
        <f>IF(ISBLANK(L3911),"",IF(D3911="Stock",IF(C3911="Buy",L3911*G3911,IF(C3911="Sell",(L3911*G3911)-I3911, X)),IF(C3911="Buy",(L3911*G3911*100)+I3911,IF(C3911="Sell",(L3911*G3911*100)-I3911, X))))</f>
        <v/>
      </c>
      <c r="N3911" s="78">
        <f>IF(ISBLANK(L3911),"",IF(AND(C3911="Sell",D3911="Stock"),M3911,IF(ISBLANK(L3911),"",IF(C3911="Buy",M3911, IF(AND(C3911="Sell",J3911="NA"),(E3911*G3911*100*0.1)+I3911, IF(C3911="Sell",(J3911-L3911)*(100*G3911)+I3911))))))</f>
        <v/>
      </c>
      <c r="O3911" s="75" t="n"/>
      <c r="P3911" s="75" t="n"/>
      <c r="Q3911" s="75">
        <f>IF(ISBLANK(P3911),"",IF(D3911="Stock",P3911*G3911,IF(P3911=0,"0",G3911*P3911*100-(G3911*$AF$14))))</f>
        <v/>
      </c>
      <c r="R3911" s="79">
        <f>IF(P3911&lt;&gt;"", TODAY(), "")</f>
        <v/>
      </c>
      <c r="S3911" s="78">
        <f>IF(AND(K3911&lt;&gt;"", R3911&lt;&gt;""), R3911-K3911, "")</f>
        <v/>
      </c>
      <c r="T3911" s="78" t="n"/>
      <c r="U3911" s="92">
        <f>IF(ISBLANK(P3911),"",IF(C3911="Buy",Q3911-M3911+T3911, IF(C3911="Sell",M3911-Q3911-T3911, X)))</f>
        <v/>
      </c>
      <c r="V3911" s="81">
        <f>IF(ISBLANK(P3911),"",U3911/N3911)</f>
        <v/>
      </c>
      <c r="W3911" s="81">
        <f>IF(ISBLANK(P3911),"",IF(S3911=0,(365/0.5)*V3911,(365/S3911)*V3911))</f>
        <v/>
      </c>
      <c r="X3911" s="75" t="n"/>
      <c r="Y3911" s="77" t="n"/>
      <c r="Z3911" s="77" t="n"/>
      <c r="AA3911" s="75" t="n"/>
      <c r="AB3911" s="75" t="n"/>
      <c r="AC3911" s="6" t="n"/>
      <c r="AD3911" s="75" t="n"/>
      <c r="AE3911" s="75" t="n"/>
      <c r="AF3911" s="75" t="n"/>
    </row>
    <row r="3912" ht="15.75" customHeight="1" s="133">
      <c r="A3912" s="75" t="n"/>
      <c r="B3912" s="75" t="n"/>
      <c r="C3912" s="75" t="n"/>
      <c r="D3912" s="75" t="n"/>
      <c r="E3912" s="76" t="n"/>
      <c r="F3912" s="77" t="n"/>
      <c r="G3912" s="75" t="n"/>
      <c r="H3912" s="75">
        <f>IF(ISBLANK(E3912),"",IF(OR(D3912="Butterfly",D3912="Butterfly ",D3912="Iron Fly", D3912="Iron Fly "),LEN(E3912)-LEN(SUBSTITUTE(E3912,"/",""))+2,LEN(E3912)-LEN(SUBSTITUTE(E3912,"/",""))+1))</f>
        <v/>
      </c>
      <c r="I3912" s="78">
        <f>IF(ISBLANK(G3912),"",IF(D3912="Stock","0",Key!$A$3*H3912*G3912))</f>
        <v/>
      </c>
      <c r="J3912" s="78">
        <f>IF(ISBLANK(E3912),"",IF(ISNUMBER(SEARCH("/",E3912)), IF(LEN(E3912)-LEN(SUBSTITUTE(E3912,"/",""))=1,(RIGHT(E3912,LEN(E3912)-FIND("/",E3912)))-(LEFT(E3912,FIND("/",E3912)-1)),(MID(E3912, SEARCH("/",E3912) + 1, SEARCH("/",E3912, SEARCH("/",E3912)+1) - SEARCH("/",E3912) - 1))-(LEFT(E3912,FIND("/",E3912)-1))), "NA"))</f>
        <v/>
      </c>
      <c r="K3912" s="79">
        <f>IF(A3912&lt;&gt;"", IF(ISBLANK(L3912), TODAY(), K3912), "")</f>
        <v/>
      </c>
      <c r="L3912" s="78" t="n"/>
      <c r="M3912" s="78">
        <f>IF(ISBLANK(L3912),"",IF(D3912="Stock",IF(C3912="Buy",L3912*G3912,IF(C3912="Sell",(L3912*G3912)-I3912, X)),IF(C3912="Buy",(L3912*G3912*100)+I3912,IF(C3912="Sell",(L3912*G3912*100)-I3912, X))))</f>
        <v/>
      </c>
      <c r="N3912" s="78">
        <f>IF(ISBLANK(L3912),"",IF(AND(C3912="Sell",D3912="Stock"),M3912,IF(ISBLANK(L3912),"",IF(C3912="Buy",M3912, IF(AND(C3912="Sell",J3912="NA"),(E3912*G3912*100*0.1)+I3912, IF(C3912="Sell",(J3912-L3912)*(100*G3912)+I3912))))))</f>
        <v/>
      </c>
      <c r="O3912" s="75" t="n"/>
      <c r="P3912" s="75" t="n"/>
      <c r="Q3912" s="75">
        <f>IF(ISBLANK(P3912),"",IF(D3912="Stock",P3912*G3912,IF(P3912=0,"0",G3912*P3912*100-(G3912*$AF$14))))</f>
        <v/>
      </c>
      <c r="R3912" s="79">
        <f>IF(P3912&lt;&gt;"", TODAY(), "")</f>
        <v/>
      </c>
      <c r="S3912" s="78">
        <f>IF(AND(K3912&lt;&gt;"", R3912&lt;&gt;""), R3912-K3912, "")</f>
        <v/>
      </c>
      <c r="T3912" s="78" t="n"/>
      <c r="U3912" s="92">
        <f>IF(ISBLANK(P3912),"",IF(C3912="Buy",Q3912-M3912+T3912, IF(C3912="Sell",M3912-Q3912-T3912, X)))</f>
        <v/>
      </c>
      <c r="V3912" s="81">
        <f>IF(ISBLANK(P3912),"",U3912/N3912)</f>
        <v/>
      </c>
      <c r="W3912" s="81">
        <f>IF(ISBLANK(P3912),"",IF(S3912=0,(365/0.5)*V3912,(365/S3912)*V3912))</f>
        <v/>
      </c>
      <c r="X3912" s="75" t="n"/>
      <c r="Y3912" s="77" t="n"/>
      <c r="Z3912" s="77" t="n"/>
      <c r="AA3912" s="75" t="n"/>
      <c r="AB3912" s="75" t="n"/>
      <c r="AC3912" s="6" t="n"/>
      <c r="AD3912" s="75" t="n"/>
      <c r="AE3912" s="75" t="n"/>
      <c r="AF3912" s="75" t="n"/>
    </row>
    <row r="3913" ht="15.75" customHeight="1" s="133">
      <c r="A3913" s="75" t="n"/>
      <c r="B3913" s="75" t="n"/>
      <c r="C3913" s="75" t="n"/>
      <c r="D3913" s="75" t="n"/>
      <c r="E3913" s="76" t="n"/>
      <c r="F3913" s="77" t="n"/>
      <c r="G3913" s="75" t="n"/>
      <c r="H3913" s="75">
        <f>IF(ISBLANK(E3913),"",IF(OR(D3913="Butterfly",D3913="Butterfly ",D3913="Iron Fly", D3913="Iron Fly "),LEN(E3913)-LEN(SUBSTITUTE(E3913,"/",""))+2,LEN(E3913)-LEN(SUBSTITUTE(E3913,"/",""))+1))</f>
        <v/>
      </c>
      <c r="I3913" s="78">
        <f>IF(ISBLANK(G3913),"",IF(D3913="Stock","0",Key!$A$3*H3913*G3913))</f>
        <v/>
      </c>
      <c r="J3913" s="78">
        <f>IF(ISBLANK(E3913),"",IF(ISNUMBER(SEARCH("/",E3913)), IF(LEN(E3913)-LEN(SUBSTITUTE(E3913,"/",""))=1,(RIGHT(E3913,LEN(E3913)-FIND("/",E3913)))-(LEFT(E3913,FIND("/",E3913)-1)),(MID(E3913, SEARCH("/",E3913) + 1, SEARCH("/",E3913, SEARCH("/",E3913)+1) - SEARCH("/",E3913) - 1))-(LEFT(E3913,FIND("/",E3913)-1))), "NA"))</f>
        <v/>
      </c>
      <c r="K3913" s="79">
        <f>IF(A3913&lt;&gt;"", IF(ISBLANK(L3913), TODAY(), K3913), "")</f>
        <v/>
      </c>
      <c r="L3913" s="78" t="n"/>
      <c r="M3913" s="78">
        <f>IF(ISBLANK(L3913),"",IF(D3913="Stock",IF(C3913="Buy",L3913*G3913,IF(C3913="Sell",(L3913*G3913)-I3913, X)),IF(C3913="Buy",(L3913*G3913*100)+I3913,IF(C3913="Sell",(L3913*G3913*100)-I3913, X))))</f>
        <v/>
      </c>
      <c r="N3913" s="78">
        <f>IF(ISBLANK(L3913),"",IF(AND(C3913="Sell",D3913="Stock"),M3913,IF(ISBLANK(L3913),"",IF(C3913="Buy",M3913, IF(AND(C3913="Sell",J3913="NA"),(E3913*G3913*100*0.1)+I3913, IF(C3913="Sell",(J3913-L3913)*(100*G3913)+I3913))))))</f>
        <v/>
      </c>
      <c r="O3913" s="75" t="n"/>
      <c r="P3913" s="75" t="n"/>
      <c r="Q3913" s="75">
        <f>IF(ISBLANK(P3913),"",IF(D3913="Stock",P3913*G3913,IF(P3913=0,"0",G3913*P3913*100-(G3913*$AF$14))))</f>
        <v/>
      </c>
      <c r="R3913" s="79">
        <f>IF(P3913&lt;&gt;"", TODAY(), "")</f>
        <v/>
      </c>
      <c r="S3913" s="78">
        <f>IF(AND(K3913&lt;&gt;"", R3913&lt;&gt;""), R3913-K3913, "")</f>
        <v/>
      </c>
      <c r="T3913" s="78" t="n"/>
      <c r="U3913" s="92">
        <f>IF(ISBLANK(P3913),"",IF(C3913="Buy",Q3913-M3913+T3913, IF(C3913="Sell",M3913-Q3913-T3913, X)))</f>
        <v/>
      </c>
      <c r="V3913" s="81">
        <f>IF(ISBLANK(P3913),"",U3913/N3913)</f>
        <v/>
      </c>
      <c r="W3913" s="81">
        <f>IF(ISBLANK(P3913),"",IF(S3913=0,(365/0.5)*V3913,(365/S3913)*V3913))</f>
        <v/>
      </c>
      <c r="X3913" s="75" t="n"/>
      <c r="Y3913" s="77" t="n"/>
      <c r="Z3913" s="77" t="n"/>
      <c r="AA3913" s="75" t="n"/>
      <c r="AB3913" s="75" t="n"/>
      <c r="AC3913" s="6" t="n"/>
      <c r="AD3913" s="75" t="n"/>
      <c r="AE3913" s="75" t="n"/>
      <c r="AF3913" s="75" t="n"/>
    </row>
    <row r="3914" ht="15.75" customHeight="1" s="133">
      <c r="A3914" s="75" t="n"/>
      <c r="B3914" s="75" t="n"/>
      <c r="C3914" s="75" t="n"/>
      <c r="D3914" s="75" t="n"/>
      <c r="E3914" s="76" t="n"/>
      <c r="F3914" s="77" t="n"/>
      <c r="G3914" s="75" t="n"/>
      <c r="H3914" s="75">
        <f>IF(ISBLANK(E3914),"",IF(OR(D3914="Butterfly",D3914="Butterfly ",D3914="Iron Fly", D3914="Iron Fly "),LEN(E3914)-LEN(SUBSTITUTE(E3914,"/",""))+2,LEN(E3914)-LEN(SUBSTITUTE(E3914,"/",""))+1))</f>
        <v/>
      </c>
      <c r="I3914" s="78">
        <f>IF(ISBLANK(G3914),"",IF(D3914="Stock","0",Key!$A$3*H3914*G3914))</f>
        <v/>
      </c>
      <c r="J3914" s="78">
        <f>IF(ISBLANK(E3914),"",IF(ISNUMBER(SEARCH("/",E3914)), IF(LEN(E3914)-LEN(SUBSTITUTE(E3914,"/",""))=1,(RIGHT(E3914,LEN(E3914)-FIND("/",E3914)))-(LEFT(E3914,FIND("/",E3914)-1)),(MID(E3914, SEARCH("/",E3914) + 1, SEARCH("/",E3914, SEARCH("/",E3914)+1) - SEARCH("/",E3914) - 1))-(LEFT(E3914,FIND("/",E3914)-1))), "NA"))</f>
        <v/>
      </c>
      <c r="K3914" s="79">
        <f>IF(A3914&lt;&gt;"", IF(ISBLANK(L3914), TODAY(), K3914), "")</f>
        <v/>
      </c>
      <c r="L3914" s="78" t="n"/>
      <c r="M3914" s="78">
        <f>IF(ISBLANK(L3914),"",IF(D3914="Stock",IF(C3914="Buy",L3914*G3914,IF(C3914="Sell",(L3914*G3914)-I3914, X)),IF(C3914="Buy",(L3914*G3914*100)+I3914,IF(C3914="Sell",(L3914*G3914*100)-I3914, X))))</f>
        <v/>
      </c>
      <c r="N3914" s="78">
        <f>IF(ISBLANK(L3914),"",IF(AND(C3914="Sell",D3914="Stock"),M3914,IF(ISBLANK(L3914),"",IF(C3914="Buy",M3914, IF(AND(C3914="Sell",J3914="NA"),(E3914*G3914*100*0.1)+I3914, IF(C3914="Sell",(J3914-L3914)*(100*G3914)+I3914))))))</f>
        <v/>
      </c>
      <c r="O3914" s="75" t="n"/>
      <c r="P3914" s="75" t="n"/>
      <c r="Q3914" s="75">
        <f>IF(ISBLANK(P3914),"",IF(D3914="Stock",P3914*G3914,IF(P3914=0,"0",G3914*P3914*100-(G3914*$AF$14))))</f>
        <v/>
      </c>
      <c r="R3914" s="79">
        <f>IF(P3914&lt;&gt;"", TODAY(), "")</f>
        <v/>
      </c>
      <c r="S3914" s="78">
        <f>IF(AND(K3914&lt;&gt;"", R3914&lt;&gt;""), R3914-K3914, "")</f>
        <v/>
      </c>
      <c r="T3914" s="78" t="n"/>
      <c r="U3914" s="92">
        <f>IF(ISBLANK(P3914),"",IF(C3914="Buy",Q3914-M3914+T3914, IF(C3914="Sell",M3914-Q3914-T3914, X)))</f>
        <v/>
      </c>
      <c r="V3914" s="81">
        <f>IF(ISBLANK(P3914),"",U3914/N3914)</f>
        <v/>
      </c>
      <c r="W3914" s="81">
        <f>IF(ISBLANK(P3914),"",IF(S3914=0,(365/0.5)*V3914,(365/S3914)*V3914))</f>
        <v/>
      </c>
      <c r="X3914" s="75" t="n"/>
      <c r="Y3914" s="77" t="n"/>
      <c r="Z3914" s="77" t="n"/>
      <c r="AA3914" s="75" t="n"/>
      <c r="AB3914" s="75" t="n"/>
      <c r="AC3914" s="6" t="n"/>
      <c r="AD3914" s="75" t="n"/>
      <c r="AE3914" s="75" t="n"/>
      <c r="AF3914" s="75" t="n"/>
    </row>
    <row r="3915" ht="15.75" customHeight="1" s="133">
      <c r="A3915" s="75" t="n"/>
      <c r="B3915" s="75" t="n"/>
      <c r="C3915" s="75" t="n"/>
      <c r="D3915" s="75" t="n"/>
      <c r="E3915" s="76" t="n"/>
      <c r="F3915" s="77" t="n"/>
      <c r="G3915" s="75" t="n"/>
      <c r="H3915" s="75">
        <f>IF(ISBLANK(E3915),"",IF(OR(D3915="Butterfly",D3915="Butterfly ",D3915="Iron Fly", D3915="Iron Fly "),LEN(E3915)-LEN(SUBSTITUTE(E3915,"/",""))+2,LEN(E3915)-LEN(SUBSTITUTE(E3915,"/",""))+1))</f>
        <v/>
      </c>
      <c r="I3915" s="78">
        <f>IF(ISBLANK(G3915),"",IF(D3915="Stock","0",Key!$A$3*H3915*G3915))</f>
        <v/>
      </c>
      <c r="J3915" s="78">
        <f>IF(ISBLANK(E3915),"",IF(ISNUMBER(SEARCH("/",E3915)), IF(LEN(E3915)-LEN(SUBSTITUTE(E3915,"/",""))=1,(RIGHT(E3915,LEN(E3915)-FIND("/",E3915)))-(LEFT(E3915,FIND("/",E3915)-1)),(MID(E3915, SEARCH("/",E3915) + 1, SEARCH("/",E3915, SEARCH("/",E3915)+1) - SEARCH("/",E3915) - 1))-(LEFT(E3915,FIND("/",E3915)-1))), "NA"))</f>
        <v/>
      </c>
      <c r="K3915" s="79">
        <f>IF(A3915&lt;&gt;"", IF(ISBLANK(L3915), TODAY(), K3915), "")</f>
        <v/>
      </c>
      <c r="L3915" s="78" t="n"/>
      <c r="M3915" s="78">
        <f>IF(ISBLANK(L3915),"",IF(D3915="Stock",IF(C3915="Buy",L3915*G3915,IF(C3915="Sell",(L3915*G3915)-I3915, X)),IF(C3915="Buy",(L3915*G3915*100)+I3915,IF(C3915="Sell",(L3915*G3915*100)-I3915, X))))</f>
        <v/>
      </c>
      <c r="N3915" s="78">
        <f>IF(ISBLANK(L3915),"",IF(AND(C3915="Sell",D3915="Stock"),M3915,IF(ISBLANK(L3915),"",IF(C3915="Buy",M3915, IF(AND(C3915="Sell",J3915="NA"),(E3915*G3915*100*0.1)+I3915, IF(C3915="Sell",(J3915-L3915)*(100*G3915)+I3915))))))</f>
        <v/>
      </c>
      <c r="O3915" s="75" t="n"/>
      <c r="P3915" s="75" t="n"/>
      <c r="Q3915" s="75">
        <f>IF(ISBLANK(P3915),"",IF(D3915="Stock",P3915*G3915,IF(P3915=0,"0",G3915*P3915*100-(G3915*$AF$14))))</f>
        <v/>
      </c>
      <c r="R3915" s="79">
        <f>IF(P3915&lt;&gt;"", TODAY(), "")</f>
        <v/>
      </c>
      <c r="S3915" s="78">
        <f>IF(AND(K3915&lt;&gt;"", R3915&lt;&gt;""), R3915-K3915, "")</f>
        <v/>
      </c>
      <c r="T3915" s="78" t="n"/>
      <c r="U3915" s="92">
        <f>IF(ISBLANK(P3915),"",IF(C3915="Buy",Q3915-M3915+T3915, IF(C3915="Sell",M3915-Q3915-T3915, X)))</f>
        <v/>
      </c>
      <c r="V3915" s="81">
        <f>IF(ISBLANK(P3915),"",U3915/N3915)</f>
        <v/>
      </c>
      <c r="W3915" s="81">
        <f>IF(ISBLANK(P3915),"",IF(S3915=0,(365/0.5)*V3915,(365/S3915)*V3915))</f>
        <v/>
      </c>
      <c r="X3915" s="75" t="n"/>
      <c r="Y3915" s="77" t="n"/>
      <c r="Z3915" s="77" t="n"/>
      <c r="AA3915" s="75" t="n"/>
      <c r="AB3915" s="75" t="n"/>
      <c r="AC3915" s="6" t="n"/>
      <c r="AD3915" s="75" t="n"/>
      <c r="AE3915" s="75" t="n"/>
      <c r="AF3915" s="75" t="n"/>
    </row>
    <row r="3916" ht="15.75" customHeight="1" s="133">
      <c r="A3916" s="75" t="n"/>
      <c r="B3916" s="75" t="n"/>
      <c r="C3916" s="75" t="n"/>
      <c r="D3916" s="75" t="n"/>
      <c r="E3916" s="76" t="n"/>
      <c r="F3916" s="77" t="n"/>
      <c r="G3916" s="75" t="n"/>
      <c r="H3916" s="75">
        <f>IF(ISBLANK(E3916),"",IF(OR(D3916="Butterfly",D3916="Butterfly ",D3916="Iron Fly", D3916="Iron Fly "),LEN(E3916)-LEN(SUBSTITUTE(E3916,"/",""))+2,LEN(E3916)-LEN(SUBSTITUTE(E3916,"/",""))+1))</f>
        <v/>
      </c>
      <c r="I3916" s="78">
        <f>IF(ISBLANK(G3916),"",IF(D3916="Stock","0",Key!$A$3*H3916*G3916))</f>
        <v/>
      </c>
      <c r="J3916" s="78">
        <f>IF(ISBLANK(E3916),"",IF(ISNUMBER(SEARCH("/",E3916)), IF(LEN(E3916)-LEN(SUBSTITUTE(E3916,"/",""))=1,(RIGHT(E3916,LEN(E3916)-FIND("/",E3916)))-(LEFT(E3916,FIND("/",E3916)-1)),(MID(E3916, SEARCH("/",E3916) + 1, SEARCH("/",E3916, SEARCH("/",E3916)+1) - SEARCH("/",E3916) - 1))-(LEFT(E3916,FIND("/",E3916)-1))), "NA"))</f>
        <v/>
      </c>
      <c r="K3916" s="79">
        <f>IF(A3916&lt;&gt;"", IF(ISBLANK(L3916), TODAY(), K3916), "")</f>
        <v/>
      </c>
      <c r="L3916" s="78" t="n"/>
      <c r="M3916" s="78">
        <f>IF(ISBLANK(L3916),"",IF(D3916="Stock",IF(C3916="Buy",L3916*G3916,IF(C3916="Sell",(L3916*G3916)-I3916, X)),IF(C3916="Buy",(L3916*G3916*100)+I3916,IF(C3916="Sell",(L3916*G3916*100)-I3916, X))))</f>
        <v/>
      </c>
      <c r="N3916" s="78">
        <f>IF(ISBLANK(L3916),"",IF(AND(C3916="Sell",D3916="Stock"),M3916,IF(ISBLANK(L3916),"",IF(C3916="Buy",M3916, IF(AND(C3916="Sell",J3916="NA"),(E3916*G3916*100*0.1)+I3916, IF(C3916="Sell",(J3916-L3916)*(100*G3916)+I3916))))))</f>
        <v/>
      </c>
      <c r="O3916" s="75" t="n"/>
      <c r="P3916" s="75" t="n"/>
      <c r="Q3916" s="75">
        <f>IF(ISBLANK(P3916),"",IF(D3916="Stock",P3916*G3916,IF(P3916=0,"0",G3916*P3916*100-(G3916*$AF$14))))</f>
        <v/>
      </c>
      <c r="R3916" s="79">
        <f>IF(P3916&lt;&gt;"", TODAY(), "")</f>
        <v/>
      </c>
      <c r="S3916" s="78">
        <f>IF(AND(K3916&lt;&gt;"", R3916&lt;&gt;""), R3916-K3916, "")</f>
        <v/>
      </c>
      <c r="T3916" s="78" t="n"/>
      <c r="U3916" s="92">
        <f>IF(ISBLANK(P3916),"",IF(C3916="Buy",Q3916-M3916+T3916, IF(C3916="Sell",M3916-Q3916-T3916, X)))</f>
        <v/>
      </c>
      <c r="V3916" s="81">
        <f>IF(ISBLANK(P3916),"",U3916/N3916)</f>
        <v/>
      </c>
      <c r="W3916" s="81">
        <f>IF(ISBLANK(P3916),"",IF(S3916=0,(365/0.5)*V3916,(365/S3916)*V3916))</f>
        <v/>
      </c>
      <c r="X3916" s="75" t="n"/>
      <c r="Y3916" s="77" t="n"/>
      <c r="Z3916" s="77" t="n"/>
      <c r="AA3916" s="75" t="n"/>
      <c r="AB3916" s="75" t="n"/>
      <c r="AC3916" s="6" t="n"/>
      <c r="AD3916" s="75" t="n"/>
      <c r="AE3916" s="75" t="n"/>
      <c r="AF3916" s="75" t="n"/>
    </row>
    <row r="3917" ht="15.75" customHeight="1" s="133">
      <c r="A3917" s="75" t="n"/>
      <c r="B3917" s="75" t="n"/>
      <c r="C3917" s="75" t="n"/>
      <c r="D3917" s="75" t="n"/>
      <c r="E3917" s="76" t="n"/>
      <c r="F3917" s="77" t="n"/>
      <c r="G3917" s="75" t="n"/>
      <c r="H3917" s="75">
        <f>IF(ISBLANK(E3917),"",IF(OR(D3917="Butterfly",D3917="Butterfly ",D3917="Iron Fly", D3917="Iron Fly "),LEN(E3917)-LEN(SUBSTITUTE(E3917,"/",""))+2,LEN(E3917)-LEN(SUBSTITUTE(E3917,"/",""))+1))</f>
        <v/>
      </c>
      <c r="I3917" s="78">
        <f>IF(ISBLANK(G3917),"",IF(D3917="Stock","0",Key!$A$3*H3917*G3917))</f>
        <v/>
      </c>
      <c r="J3917" s="78">
        <f>IF(ISBLANK(E3917),"",IF(ISNUMBER(SEARCH("/",E3917)), IF(LEN(E3917)-LEN(SUBSTITUTE(E3917,"/",""))=1,(RIGHT(E3917,LEN(E3917)-FIND("/",E3917)))-(LEFT(E3917,FIND("/",E3917)-1)),(MID(E3917, SEARCH("/",E3917) + 1, SEARCH("/",E3917, SEARCH("/",E3917)+1) - SEARCH("/",E3917) - 1))-(LEFT(E3917,FIND("/",E3917)-1))), "NA"))</f>
        <v/>
      </c>
      <c r="K3917" s="79">
        <f>IF(A3917&lt;&gt;"", IF(ISBLANK(L3917), TODAY(), K3917), "")</f>
        <v/>
      </c>
      <c r="L3917" s="78" t="n"/>
      <c r="M3917" s="78">
        <f>IF(ISBLANK(L3917),"",IF(D3917="Stock",IF(C3917="Buy",L3917*G3917,IF(C3917="Sell",(L3917*G3917)-I3917, X)),IF(C3917="Buy",(L3917*G3917*100)+I3917,IF(C3917="Sell",(L3917*G3917*100)-I3917, X))))</f>
        <v/>
      </c>
      <c r="N3917" s="78">
        <f>IF(ISBLANK(L3917),"",IF(AND(C3917="Sell",D3917="Stock"),M3917,IF(ISBLANK(L3917),"",IF(C3917="Buy",M3917, IF(AND(C3917="Sell",J3917="NA"),(E3917*G3917*100*0.1)+I3917, IF(C3917="Sell",(J3917-L3917)*(100*G3917)+I3917))))))</f>
        <v/>
      </c>
      <c r="O3917" s="75" t="n"/>
      <c r="P3917" s="75" t="n"/>
      <c r="Q3917" s="75">
        <f>IF(ISBLANK(P3917),"",IF(D3917="Stock",P3917*G3917,IF(P3917=0,"0",G3917*P3917*100-(G3917*$AF$14))))</f>
        <v/>
      </c>
      <c r="R3917" s="79">
        <f>IF(P3917&lt;&gt;"", TODAY(), "")</f>
        <v/>
      </c>
      <c r="S3917" s="78">
        <f>IF(AND(K3917&lt;&gt;"", R3917&lt;&gt;""), R3917-K3917, "")</f>
        <v/>
      </c>
      <c r="T3917" s="78" t="n"/>
      <c r="U3917" s="92">
        <f>IF(ISBLANK(P3917),"",IF(C3917="Buy",Q3917-M3917+T3917, IF(C3917="Sell",M3917-Q3917-T3917, X)))</f>
        <v/>
      </c>
      <c r="V3917" s="81">
        <f>IF(ISBLANK(P3917),"",U3917/N3917)</f>
        <v/>
      </c>
      <c r="W3917" s="81">
        <f>IF(ISBLANK(P3917),"",IF(S3917=0,(365/0.5)*V3917,(365/S3917)*V3917))</f>
        <v/>
      </c>
      <c r="X3917" s="75" t="n"/>
      <c r="Y3917" s="77" t="n"/>
      <c r="Z3917" s="77" t="n"/>
      <c r="AA3917" s="75" t="n"/>
      <c r="AB3917" s="75" t="n"/>
      <c r="AC3917" s="6" t="n"/>
      <c r="AD3917" s="75" t="n"/>
      <c r="AE3917" s="75" t="n"/>
      <c r="AF3917" s="75" t="n"/>
    </row>
    <row r="3918" ht="15.75" customHeight="1" s="133">
      <c r="A3918" s="75" t="n"/>
      <c r="B3918" s="75" t="n"/>
      <c r="C3918" s="75" t="n"/>
      <c r="D3918" s="75" t="n"/>
      <c r="E3918" s="76" t="n"/>
      <c r="F3918" s="77" t="n"/>
      <c r="G3918" s="75" t="n"/>
      <c r="H3918" s="75">
        <f>IF(ISBLANK(E3918),"",IF(OR(D3918="Butterfly",D3918="Butterfly ",D3918="Iron Fly", D3918="Iron Fly "),LEN(E3918)-LEN(SUBSTITUTE(E3918,"/",""))+2,LEN(E3918)-LEN(SUBSTITUTE(E3918,"/",""))+1))</f>
        <v/>
      </c>
      <c r="I3918" s="78">
        <f>IF(ISBLANK(G3918),"",IF(D3918="Stock","0",Key!$A$3*H3918*G3918))</f>
        <v/>
      </c>
      <c r="J3918" s="78">
        <f>IF(ISBLANK(E3918),"",IF(ISNUMBER(SEARCH("/",E3918)), IF(LEN(E3918)-LEN(SUBSTITUTE(E3918,"/",""))=1,(RIGHT(E3918,LEN(E3918)-FIND("/",E3918)))-(LEFT(E3918,FIND("/",E3918)-1)),(MID(E3918, SEARCH("/",E3918) + 1, SEARCH("/",E3918, SEARCH("/",E3918)+1) - SEARCH("/",E3918) - 1))-(LEFT(E3918,FIND("/",E3918)-1))), "NA"))</f>
        <v/>
      </c>
      <c r="K3918" s="79">
        <f>IF(A3918&lt;&gt;"", IF(ISBLANK(L3918), TODAY(), K3918), "")</f>
        <v/>
      </c>
      <c r="L3918" s="78" t="n"/>
      <c r="M3918" s="78">
        <f>IF(ISBLANK(L3918),"",IF(D3918="Stock",IF(C3918="Buy",L3918*G3918,IF(C3918="Sell",(L3918*G3918)-I3918, X)),IF(C3918="Buy",(L3918*G3918*100)+I3918,IF(C3918="Sell",(L3918*G3918*100)-I3918, X))))</f>
        <v/>
      </c>
      <c r="N3918" s="78">
        <f>IF(ISBLANK(L3918),"",IF(AND(C3918="Sell",D3918="Stock"),M3918,IF(ISBLANK(L3918),"",IF(C3918="Buy",M3918, IF(AND(C3918="Sell",J3918="NA"),(E3918*G3918*100*0.1)+I3918, IF(C3918="Sell",(J3918-L3918)*(100*G3918)+I3918))))))</f>
        <v/>
      </c>
      <c r="O3918" s="75" t="n"/>
      <c r="P3918" s="75" t="n"/>
      <c r="Q3918" s="75">
        <f>IF(ISBLANK(P3918),"",IF(D3918="Stock",P3918*G3918,IF(P3918=0,"0",G3918*P3918*100-(G3918*$AF$14))))</f>
        <v/>
      </c>
      <c r="R3918" s="79">
        <f>IF(P3918&lt;&gt;"", TODAY(), "")</f>
        <v/>
      </c>
      <c r="S3918" s="78">
        <f>IF(AND(K3918&lt;&gt;"", R3918&lt;&gt;""), R3918-K3918, "")</f>
        <v/>
      </c>
      <c r="T3918" s="78" t="n"/>
      <c r="U3918" s="92">
        <f>IF(ISBLANK(P3918),"",IF(C3918="Buy",Q3918-M3918+T3918, IF(C3918="Sell",M3918-Q3918-T3918, X)))</f>
        <v/>
      </c>
      <c r="V3918" s="81">
        <f>IF(ISBLANK(P3918),"",U3918/N3918)</f>
        <v/>
      </c>
      <c r="W3918" s="81">
        <f>IF(ISBLANK(P3918),"",IF(S3918=0,(365/0.5)*V3918,(365/S3918)*V3918))</f>
        <v/>
      </c>
      <c r="X3918" s="75" t="n"/>
      <c r="Y3918" s="77" t="n"/>
      <c r="Z3918" s="77" t="n"/>
      <c r="AA3918" s="75" t="n"/>
      <c r="AB3918" s="75" t="n"/>
      <c r="AC3918" s="6" t="n"/>
      <c r="AD3918" s="75" t="n"/>
      <c r="AE3918" s="75" t="n"/>
      <c r="AF3918" s="75" t="n"/>
    </row>
    <row r="3919" ht="15.75" customHeight="1" s="133">
      <c r="A3919" s="75" t="n"/>
      <c r="B3919" s="75" t="n"/>
      <c r="C3919" s="75" t="n"/>
      <c r="D3919" s="75" t="n"/>
      <c r="E3919" s="76" t="n"/>
      <c r="F3919" s="77" t="n"/>
      <c r="G3919" s="75" t="n"/>
      <c r="H3919" s="75">
        <f>IF(ISBLANK(E3919),"",IF(OR(D3919="Butterfly",D3919="Butterfly ",D3919="Iron Fly", D3919="Iron Fly "),LEN(E3919)-LEN(SUBSTITUTE(E3919,"/",""))+2,LEN(E3919)-LEN(SUBSTITUTE(E3919,"/",""))+1))</f>
        <v/>
      </c>
      <c r="I3919" s="78">
        <f>IF(ISBLANK(G3919),"",IF(D3919="Stock","0",Key!$A$3*H3919*G3919))</f>
        <v/>
      </c>
      <c r="J3919" s="78">
        <f>IF(ISBLANK(E3919),"",IF(ISNUMBER(SEARCH("/",E3919)), IF(LEN(E3919)-LEN(SUBSTITUTE(E3919,"/",""))=1,(RIGHT(E3919,LEN(E3919)-FIND("/",E3919)))-(LEFT(E3919,FIND("/",E3919)-1)),(MID(E3919, SEARCH("/",E3919) + 1, SEARCH("/",E3919, SEARCH("/",E3919)+1) - SEARCH("/",E3919) - 1))-(LEFT(E3919,FIND("/",E3919)-1))), "NA"))</f>
        <v/>
      </c>
      <c r="K3919" s="79">
        <f>IF(A3919&lt;&gt;"", IF(ISBLANK(L3919), TODAY(), K3919), "")</f>
        <v/>
      </c>
      <c r="L3919" s="78" t="n"/>
      <c r="M3919" s="78">
        <f>IF(ISBLANK(L3919),"",IF(D3919="Stock",IF(C3919="Buy",L3919*G3919,IF(C3919="Sell",(L3919*G3919)-I3919, X)),IF(C3919="Buy",(L3919*G3919*100)+I3919,IF(C3919="Sell",(L3919*G3919*100)-I3919, X))))</f>
        <v/>
      </c>
      <c r="N3919" s="78">
        <f>IF(ISBLANK(L3919),"",IF(AND(C3919="Sell",D3919="Stock"),M3919,IF(ISBLANK(L3919),"",IF(C3919="Buy",M3919, IF(AND(C3919="Sell",J3919="NA"),(E3919*G3919*100*0.1)+I3919, IF(C3919="Sell",(J3919-L3919)*(100*G3919)+I3919))))))</f>
        <v/>
      </c>
      <c r="O3919" s="75" t="n"/>
      <c r="P3919" s="75" t="n"/>
      <c r="Q3919" s="75">
        <f>IF(ISBLANK(P3919),"",IF(D3919="Stock",P3919*G3919,IF(P3919=0,"0",G3919*P3919*100-(G3919*$AF$14))))</f>
        <v/>
      </c>
      <c r="R3919" s="79">
        <f>IF(P3919&lt;&gt;"", TODAY(), "")</f>
        <v/>
      </c>
      <c r="S3919" s="78">
        <f>IF(AND(K3919&lt;&gt;"", R3919&lt;&gt;""), R3919-K3919, "")</f>
        <v/>
      </c>
      <c r="T3919" s="78" t="n"/>
      <c r="U3919" s="92">
        <f>IF(ISBLANK(P3919),"",IF(C3919="Buy",Q3919-M3919+T3919, IF(C3919="Sell",M3919-Q3919-T3919, X)))</f>
        <v/>
      </c>
      <c r="V3919" s="81">
        <f>IF(ISBLANK(P3919),"",U3919/N3919)</f>
        <v/>
      </c>
      <c r="W3919" s="81">
        <f>IF(ISBLANK(P3919),"",IF(S3919=0,(365/0.5)*V3919,(365/S3919)*V3919))</f>
        <v/>
      </c>
      <c r="X3919" s="75" t="n"/>
      <c r="Y3919" s="77" t="n"/>
      <c r="Z3919" s="77" t="n"/>
      <c r="AA3919" s="75" t="n"/>
      <c r="AB3919" s="75" t="n"/>
      <c r="AC3919" s="6" t="n"/>
      <c r="AD3919" s="75" t="n"/>
      <c r="AE3919" s="75" t="n"/>
      <c r="AF3919" s="75" t="n"/>
    </row>
    <row r="3920" ht="15.75" customHeight="1" s="133">
      <c r="A3920" s="75" t="n"/>
      <c r="B3920" s="75" t="n"/>
      <c r="C3920" s="75" t="n"/>
      <c r="D3920" s="75" t="n"/>
      <c r="E3920" s="76" t="n"/>
      <c r="F3920" s="77" t="n"/>
      <c r="G3920" s="75" t="n"/>
      <c r="H3920" s="75">
        <f>IF(ISBLANK(E3920),"",IF(OR(D3920="Butterfly",D3920="Butterfly ",D3920="Iron Fly", D3920="Iron Fly "),LEN(E3920)-LEN(SUBSTITUTE(E3920,"/",""))+2,LEN(E3920)-LEN(SUBSTITUTE(E3920,"/",""))+1))</f>
        <v/>
      </c>
      <c r="I3920" s="78">
        <f>IF(ISBLANK(G3920),"",IF(D3920="Stock","0",Key!$A$3*H3920*G3920))</f>
        <v/>
      </c>
      <c r="J3920" s="78">
        <f>IF(ISBLANK(E3920),"",IF(ISNUMBER(SEARCH("/",E3920)), IF(LEN(E3920)-LEN(SUBSTITUTE(E3920,"/",""))=1,(RIGHT(E3920,LEN(E3920)-FIND("/",E3920)))-(LEFT(E3920,FIND("/",E3920)-1)),(MID(E3920, SEARCH("/",E3920) + 1, SEARCH("/",E3920, SEARCH("/",E3920)+1) - SEARCH("/",E3920) - 1))-(LEFT(E3920,FIND("/",E3920)-1))), "NA"))</f>
        <v/>
      </c>
      <c r="K3920" s="79">
        <f>IF(A3920&lt;&gt;"", IF(ISBLANK(L3920), TODAY(), K3920), "")</f>
        <v/>
      </c>
      <c r="L3920" s="78" t="n"/>
      <c r="M3920" s="78">
        <f>IF(ISBLANK(L3920),"",IF(D3920="Stock",IF(C3920="Buy",L3920*G3920,IF(C3920="Sell",(L3920*G3920)-I3920, X)),IF(C3920="Buy",(L3920*G3920*100)+I3920,IF(C3920="Sell",(L3920*G3920*100)-I3920, X))))</f>
        <v/>
      </c>
      <c r="N3920" s="78">
        <f>IF(ISBLANK(L3920),"",IF(AND(C3920="Sell",D3920="Stock"),M3920,IF(ISBLANK(L3920),"",IF(C3920="Buy",M3920, IF(AND(C3920="Sell",J3920="NA"),(E3920*G3920*100*0.1)+I3920, IF(C3920="Sell",(J3920-L3920)*(100*G3920)+I3920))))))</f>
        <v/>
      </c>
      <c r="O3920" s="75" t="n"/>
      <c r="P3920" s="75" t="n"/>
      <c r="Q3920" s="75">
        <f>IF(ISBLANK(P3920),"",IF(D3920="Stock",P3920*G3920,IF(P3920=0,"0",G3920*P3920*100-(G3920*$AF$14))))</f>
        <v/>
      </c>
      <c r="R3920" s="79">
        <f>IF(P3920&lt;&gt;"", TODAY(), "")</f>
        <v/>
      </c>
      <c r="S3920" s="78">
        <f>IF(AND(K3920&lt;&gt;"", R3920&lt;&gt;""), R3920-K3920, "")</f>
        <v/>
      </c>
      <c r="T3920" s="78" t="n"/>
      <c r="U3920" s="92">
        <f>IF(ISBLANK(P3920),"",IF(C3920="Buy",Q3920-M3920+T3920, IF(C3920="Sell",M3920-Q3920-T3920, X)))</f>
        <v/>
      </c>
      <c r="V3920" s="81">
        <f>IF(ISBLANK(P3920),"",U3920/N3920)</f>
        <v/>
      </c>
      <c r="W3920" s="81">
        <f>IF(ISBLANK(P3920),"",IF(S3920=0,(365/0.5)*V3920,(365/S3920)*V3920))</f>
        <v/>
      </c>
      <c r="X3920" s="75" t="n"/>
      <c r="Y3920" s="77" t="n"/>
      <c r="Z3920" s="77" t="n"/>
      <c r="AA3920" s="75" t="n"/>
      <c r="AB3920" s="75" t="n"/>
      <c r="AC3920" s="6" t="n"/>
      <c r="AD3920" s="75" t="n"/>
      <c r="AE3920" s="75" t="n"/>
      <c r="AF3920" s="75" t="n"/>
    </row>
    <row r="3921" ht="15.75" customHeight="1" s="133">
      <c r="A3921" s="75" t="n"/>
      <c r="B3921" s="75" t="n"/>
      <c r="C3921" s="75" t="n"/>
      <c r="D3921" s="75" t="n"/>
      <c r="E3921" s="76" t="n"/>
      <c r="F3921" s="77" t="n"/>
      <c r="G3921" s="75" t="n"/>
      <c r="H3921" s="75">
        <f>IF(ISBLANK(E3921),"",IF(OR(D3921="Butterfly",D3921="Butterfly ",D3921="Iron Fly", D3921="Iron Fly "),LEN(E3921)-LEN(SUBSTITUTE(E3921,"/",""))+2,LEN(E3921)-LEN(SUBSTITUTE(E3921,"/",""))+1))</f>
        <v/>
      </c>
      <c r="I3921" s="78">
        <f>IF(ISBLANK(G3921),"",IF(D3921="Stock","0",Key!$A$3*H3921*G3921))</f>
        <v/>
      </c>
      <c r="J3921" s="78">
        <f>IF(ISBLANK(E3921),"",IF(ISNUMBER(SEARCH("/",E3921)), IF(LEN(E3921)-LEN(SUBSTITUTE(E3921,"/",""))=1,(RIGHT(E3921,LEN(E3921)-FIND("/",E3921)))-(LEFT(E3921,FIND("/",E3921)-1)),(MID(E3921, SEARCH("/",E3921) + 1, SEARCH("/",E3921, SEARCH("/",E3921)+1) - SEARCH("/",E3921) - 1))-(LEFT(E3921,FIND("/",E3921)-1))), "NA"))</f>
        <v/>
      </c>
      <c r="K3921" s="79">
        <f>IF(A3921&lt;&gt;"", IF(ISBLANK(L3921), TODAY(), K3921), "")</f>
        <v/>
      </c>
      <c r="L3921" s="78" t="n"/>
      <c r="M3921" s="78">
        <f>IF(ISBLANK(L3921),"",IF(D3921="Stock",IF(C3921="Buy",L3921*G3921,IF(C3921="Sell",(L3921*G3921)-I3921, X)),IF(C3921="Buy",(L3921*G3921*100)+I3921,IF(C3921="Sell",(L3921*G3921*100)-I3921, X))))</f>
        <v/>
      </c>
      <c r="N3921" s="78">
        <f>IF(ISBLANK(L3921),"",IF(AND(C3921="Sell",D3921="Stock"),M3921,IF(ISBLANK(L3921),"",IF(C3921="Buy",M3921, IF(AND(C3921="Sell",J3921="NA"),(E3921*G3921*100*0.1)+I3921, IF(C3921="Sell",(J3921-L3921)*(100*G3921)+I3921))))))</f>
        <v/>
      </c>
      <c r="O3921" s="75" t="n"/>
      <c r="P3921" s="75" t="n"/>
      <c r="Q3921" s="75">
        <f>IF(ISBLANK(P3921),"",IF(D3921="Stock",P3921*G3921,IF(P3921=0,"0",G3921*P3921*100-(G3921*$AF$14))))</f>
        <v/>
      </c>
      <c r="R3921" s="79">
        <f>IF(P3921&lt;&gt;"", TODAY(), "")</f>
        <v/>
      </c>
      <c r="S3921" s="78">
        <f>IF(AND(K3921&lt;&gt;"", R3921&lt;&gt;""), R3921-K3921, "")</f>
        <v/>
      </c>
      <c r="T3921" s="78" t="n"/>
      <c r="U3921" s="92">
        <f>IF(ISBLANK(P3921),"",IF(C3921="Buy",Q3921-M3921+T3921, IF(C3921="Sell",M3921-Q3921-T3921, X)))</f>
        <v/>
      </c>
      <c r="V3921" s="81">
        <f>IF(ISBLANK(P3921),"",U3921/N3921)</f>
        <v/>
      </c>
      <c r="W3921" s="81">
        <f>IF(ISBLANK(P3921),"",IF(S3921=0,(365/0.5)*V3921,(365/S3921)*V3921))</f>
        <v/>
      </c>
      <c r="X3921" s="75" t="n"/>
      <c r="Y3921" s="77" t="n"/>
      <c r="Z3921" s="77" t="n"/>
      <c r="AA3921" s="75" t="n"/>
      <c r="AB3921" s="75" t="n"/>
      <c r="AC3921" s="6" t="n"/>
      <c r="AD3921" s="75" t="n"/>
      <c r="AE3921" s="75" t="n"/>
      <c r="AF3921" s="75" t="n"/>
    </row>
    <row r="3922" ht="15.75" customHeight="1" s="133">
      <c r="A3922" s="75" t="n"/>
      <c r="B3922" s="75" t="n"/>
      <c r="C3922" s="75" t="n"/>
      <c r="D3922" s="75" t="n"/>
      <c r="E3922" s="76" t="n"/>
      <c r="F3922" s="77" t="n"/>
      <c r="G3922" s="75" t="n"/>
      <c r="H3922" s="75">
        <f>IF(ISBLANK(E3922),"",IF(OR(D3922="Butterfly",D3922="Butterfly ",D3922="Iron Fly", D3922="Iron Fly "),LEN(E3922)-LEN(SUBSTITUTE(E3922,"/",""))+2,LEN(E3922)-LEN(SUBSTITUTE(E3922,"/",""))+1))</f>
        <v/>
      </c>
      <c r="I3922" s="78">
        <f>IF(ISBLANK(G3922),"",IF(D3922="Stock","0",Key!$A$3*H3922*G3922))</f>
        <v/>
      </c>
      <c r="J3922" s="78">
        <f>IF(ISBLANK(E3922),"",IF(ISNUMBER(SEARCH("/",E3922)), IF(LEN(E3922)-LEN(SUBSTITUTE(E3922,"/",""))=1,(RIGHT(E3922,LEN(E3922)-FIND("/",E3922)))-(LEFT(E3922,FIND("/",E3922)-1)),(MID(E3922, SEARCH("/",E3922) + 1, SEARCH("/",E3922, SEARCH("/",E3922)+1) - SEARCH("/",E3922) - 1))-(LEFT(E3922,FIND("/",E3922)-1))), "NA"))</f>
        <v/>
      </c>
      <c r="K3922" s="79">
        <f>IF(A3922&lt;&gt;"", IF(ISBLANK(L3922), TODAY(), K3922), "")</f>
        <v/>
      </c>
      <c r="L3922" s="78" t="n"/>
      <c r="M3922" s="78">
        <f>IF(ISBLANK(L3922),"",IF(D3922="Stock",IF(C3922="Buy",L3922*G3922,IF(C3922="Sell",(L3922*G3922)-I3922, X)),IF(C3922="Buy",(L3922*G3922*100)+I3922,IF(C3922="Sell",(L3922*G3922*100)-I3922, X))))</f>
        <v/>
      </c>
      <c r="N3922" s="78">
        <f>IF(ISBLANK(L3922),"",IF(AND(C3922="Sell",D3922="Stock"),M3922,IF(ISBLANK(L3922),"",IF(C3922="Buy",M3922, IF(AND(C3922="Sell",J3922="NA"),(E3922*G3922*100*0.1)+I3922, IF(C3922="Sell",(J3922-L3922)*(100*G3922)+I3922))))))</f>
        <v/>
      </c>
      <c r="O3922" s="75" t="n"/>
      <c r="P3922" s="75" t="n"/>
      <c r="Q3922" s="75">
        <f>IF(ISBLANK(P3922),"",IF(D3922="Stock",P3922*G3922,IF(P3922=0,"0",G3922*P3922*100-(G3922*$AF$14))))</f>
        <v/>
      </c>
      <c r="R3922" s="79">
        <f>IF(P3922&lt;&gt;"", TODAY(), "")</f>
        <v/>
      </c>
      <c r="S3922" s="78">
        <f>IF(AND(K3922&lt;&gt;"", R3922&lt;&gt;""), R3922-K3922, "")</f>
        <v/>
      </c>
      <c r="T3922" s="78" t="n"/>
      <c r="U3922" s="92">
        <f>IF(ISBLANK(P3922),"",IF(C3922="Buy",Q3922-M3922+T3922, IF(C3922="Sell",M3922-Q3922-T3922, X)))</f>
        <v/>
      </c>
      <c r="V3922" s="81">
        <f>IF(ISBLANK(P3922),"",U3922/N3922)</f>
        <v/>
      </c>
      <c r="W3922" s="81">
        <f>IF(ISBLANK(P3922),"",IF(S3922=0,(365/0.5)*V3922,(365/S3922)*V3922))</f>
        <v/>
      </c>
      <c r="X3922" s="75" t="n"/>
      <c r="Y3922" s="77" t="n"/>
      <c r="Z3922" s="77" t="n"/>
      <c r="AA3922" s="75" t="n"/>
      <c r="AB3922" s="75" t="n"/>
      <c r="AC3922" s="6" t="n"/>
      <c r="AD3922" s="75" t="n"/>
      <c r="AE3922" s="75" t="n"/>
      <c r="AF3922" s="75" t="n"/>
    </row>
    <row r="3923" ht="15.75" customHeight="1" s="133">
      <c r="A3923" s="75" t="n"/>
      <c r="B3923" s="75" t="n"/>
      <c r="C3923" s="75" t="n"/>
      <c r="D3923" s="75" t="n"/>
      <c r="E3923" s="76" t="n"/>
      <c r="F3923" s="77" t="n"/>
      <c r="G3923" s="75" t="n"/>
      <c r="H3923" s="75">
        <f>IF(ISBLANK(E3923),"",IF(OR(D3923="Butterfly",D3923="Butterfly ",D3923="Iron Fly", D3923="Iron Fly "),LEN(E3923)-LEN(SUBSTITUTE(E3923,"/",""))+2,LEN(E3923)-LEN(SUBSTITUTE(E3923,"/",""))+1))</f>
        <v/>
      </c>
      <c r="I3923" s="78">
        <f>IF(ISBLANK(G3923),"",IF(D3923="Stock","0",Key!$A$3*H3923*G3923))</f>
        <v/>
      </c>
      <c r="J3923" s="78">
        <f>IF(ISBLANK(E3923),"",IF(ISNUMBER(SEARCH("/",E3923)), IF(LEN(E3923)-LEN(SUBSTITUTE(E3923,"/",""))=1,(RIGHT(E3923,LEN(E3923)-FIND("/",E3923)))-(LEFT(E3923,FIND("/",E3923)-1)),(MID(E3923, SEARCH("/",E3923) + 1, SEARCH("/",E3923, SEARCH("/",E3923)+1) - SEARCH("/",E3923) - 1))-(LEFT(E3923,FIND("/",E3923)-1))), "NA"))</f>
        <v/>
      </c>
      <c r="K3923" s="79">
        <f>IF(A3923&lt;&gt;"", IF(ISBLANK(L3923), TODAY(), K3923), "")</f>
        <v/>
      </c>
      <c r="L3923" s="78" t="n"/>
      <c r="M3923" s="78">
        <f>IF(ISBLANK(L3923),"",IF(D3923="Stock",IF(C3923="Buy",L3923*G3923,IF(C3923="Sell",(L3923*G3923)-I3923, X)),IF(C3923="Buy",(L3923*G3923*100)+I3923,IF(C3923="Sell",(L3923*G3923*100)-I3923, X))))</f>
        <v/>
      </c>
      <c r="N3923" s="78">
        <f>IF(ISBLANK(L3923),"",IF(AND(C3923="Sell",D3923="Stock"),M3923,IF(ISBLANK(L3923),"",IF(C3923="Buy",M3923, IF(AND(C3923="Sell",J3923="NA"),(E3923*G3923*100*0.1)+I3923, IF(C3923="Sell",(J3923-L3923)*(100*G3923)+I3923))))))</f>
        <v/>
      </c>
      <c r="O3923" s="75" t="n"/>
      <c r="P3923" s="75" t="n"/>
      <c r="Q3923" s="75">
        <f>IF(ISBLANK(P3923),"",IF(D3923="Stock",P3923*G3923,IF(P3923=0,"0",G3923*P3923*100-(G3923*$AF$14))))</f>
        <v/>
      </c>
      <c r="R3923" s="79">
        <f>IF(P3923&lt;&gt;"", TODAY(), "")</f>
        <v/>
      </c>
      <c r="S3923" s="78">
        <f>IF(AND(K3923&lt;&gt;"", R3923&lt;&gt;""), R3923-K3923, "")</f>
        <v/>
      </c>
      <c r="T3923" s="78" t="n"/>
      <c r="U3923" s="92">
        <f>IF(ISBLANK(P3923),"",IF(C3923="Buy",Q3923-M3923+T3923, IF(C3923="Sell",M3923-Q3923-T3923, X)))</f>
        <v/>
      </c>
      <c r="V3923" s="81">
        <f>IF(ISBLANK(P3923),"",U3923/N3923)</f>
        <v/>
      </c>
      <c r="W3923" s="81">
        <f>IF(ISBLANK(P3923),"",IF(S3923=0,(365/0.5)*V3923,(365/S3923)*V3923))</f>
        <v/>
      </c>
      <c r="X3923" s="75" t="n"/>
      <c r="Y3923" s="77" t="n"/>
      <c r="Z3923" s="77" t="n"/>
      <c r="AA3923" s="75" t="n"/>
      <c r="AB3923" s="75" t="n"/>
      <c r="AC3923" s="6" t="n"/>
      <c r="AD3923" s="75" t="n"/>
      <c r="AE3923" s="75" t="n"/>
      <c r="AF3923" s="75" t="n"/>
    </row>
    <row r="3924" ht="15.75" customHeight="1" s="133">
      <c r="A3924" s="75" t="n"/>
      <c r="B3924" s="75" t="n"/>
      <c r="C3924" s="75" t="n"/>
      <c r="D3924" s="75" t="n"/>
      <c r="E3924" s="76" t="n"/>
      <c r="F3924" s="77" t="n"/>
      <c r="G3924" s="75" t="n"/>
      <c r="H3924" s="75">
        <f>IF(ISBLANK(E3924),"",IF(OR(D3924="Butterfly",D3924="Butterfly ",D3924="Iron Fly", D3924="Iron Fly "),LEN(E3924)-LEN(SUBSTITUTE(E3924,"/",""))+2,LEN(E3924)-LEN(SUBSTITUTE(E3924,"/",""))+1))</f>
        <v/>
      </c>
      <c r="I3924" s="78">
        <f>IF(ISBLANK(G3924),"",IF(D3924="Stock","0",Key!$A$3*H3924*G3924))</f>
        <v/>
      </c>
      <c r="J3924" s="78">
        <f>IF(ISBLANK(E3924),"",IF(ISNUMBER(SEARCH("/",E3924)), IF(LEN(E3924)-LEN(SUBSTITUTE(E3924,"/",""))=1,(RIGHT(E3924,LEN(E3924)-FIND("/",E3924)))-(LEFT(E3924,FIND("/",E3924)-1)),(MID(E3924, SEARCH("/",E3924) + 1, SEARCH("/",E3924, SEARCH("/",E3924)+1) - SEARCH("/",E3924) - 1))-(LEFT(E3924,FIND("/",E3924)-1))), "NA"))</f>
        <v/>
      </c>
      <c r="K3924" s="79">
        <f>IF(A3924&lt;&gt;"", IF(ISBLANK(L3924), TODAY(), K3924), "")</f>
        <v/>
      </c>
      <c r="L3924" s="78" t="n"/>
      <c r="M3924" s="78">
        <f>IF(ISBLANK(L3924),"",IF(D3924="Stock",IF(C3924="Buy",L3924*G3924,IF(C3924="Sell",(L3924*G3924)-I3924, X)),IF(C3924="Buy",(L3924*G3924*100)+I3924,IF(C3924="Sell",(L3924*G3924*100)-I3924, X))))</f>
        <v/>
      </c>
      <c r="N3924" s="78">
        <f>IF(ISBLANK(L3924),"",IF(AND(C3924="Sell",D3924="Stock"),M3924,IF(ISBLANK(L3924),"",IF(C3924="Buy",M3924, IF(AND(C3924="Sell",J3924="NA"),(E3924*G3924*100*0.1)+I3924, IF(C3924="Sell",(J3924-L3924)*(100*G3924)+I3924))))))</f>
        <v/>
      </c>
      <c r="O3924" s="75" t="n"/>
      <c r="P3924" s="75" t="n"/>
      <c r="Q3924" s="75">
        <f>IF(ISBLANK(P3924),"",IF(D3924="Stock",P3924*G3924,IF(P3924=0,"0",G3924*P3924*100-(G3924*$AF$14))))</f>
        <v/>
      </c>
      <c r="R3924" s="79">
        <f>IF(P3924&lt;&gt;"", TODAY(), "")</f>
        <v/>
      </c>
      <c r="S3924" s="78">
        <f>IF(AND(K3924&lt;&gt;"", R3924&lt;&gt;""), R3924-K3924, "")</f>
        <v/>
      </c>
      <c r="T3924" s="78" t="n"/>
      <c r="U3924" s="92">
        <f>IF(ISBLANK(P3924),"",IF(C3924="Buy",Q3924-M3924+T3924, IF(C3924="Sell",M3924-Q3924-T3924, X)))</f>
        <v/>
      </c>
      <c r="V3924" s="81">
        <f>IF(ISBLANK(P3924),"",U3924/N3924)</f>
        <v/>
      </c>
      <c r="W3924" s="81">
        <f>IF(ISBLANK(P3924),"",IF(S3924=0,(365/0.5)*V3924,(365/S3924)*V3924))</f>
        <v/>
      </c>
      <c r="X3924" s="75" t="n"/>
      <c r="Y3924" s="77" t="n"/>
      <c r="Z3924" s="77" t="n"/>
      <c r="AA3924" s="75" t="n"/>
      <c r="AB3924" s="75" t="n"/>
      <c r="AC3924" s="6" t="n"/>
      <c r="AD3924" s="75" t="n"/>
      <c r="AE3924" s="75" t="n"/>
      <c r="AF3924" s="75" t="n"/>
    </row>
    <row r="3925" ht="15.75" customHeight="1" s="133">
      <c r="A3925" s="75" t="n"/>
      <c r="B3925" s="75" t="n"/>
      <c r="C3925" s="75" t="n"/>
      <c r="D3925" s="75" t="n"/>
      <c r="E3925" s="76" t="n"/>
      <c r="F3925" s="77" t="n"/>
      <c r="G3925" s="75" t="n"/>
      <c r="H3925" s="75">
        <f>IF(ISBLANK(E3925),"",IF(OR(D3925="Butterfly",D3925="Butterfly ",D3925="Iron Fly", D3925="Iron Fly "),LEN(E3925)-LEN(SUBSTITUTE(E3925,"/",""))+2,LEN(E3925)-LEN(SUBSTITUTE(E3925,"/",""))+1))</f>
        <v/>
      </c>
      <c r="I3925" s="78">
        <f>IF(ISBLANK(G3925),"",IF(D3925="Stock","0",Key!$A$3*H3925*G3925))</f>
        <v/>
      </c>
      <c r="J3925" s="78">
        <f>IF(ISBLANK(E3925),"",IF(ISNUMBER(SEARCH("/",E3925)), IF(LEN(E3925)-LEN(SUBSTITUTE(E3925,"/",""))=1,(RIGHT(E3925,LEN(E3925)-FIND("/",E3925)))-(LEFT(E3925,FIND("/",E3925)-1)),(MID(E3925, SEARCH("/",E3925) + 1, SEARCH("/",E3925, SEARCH("/",E3925)+1) - SEARCH("/",E3925) - 1))-(LEFT(E3925,FIND("/",E3925)-1))), "NA"))</f>
        <v/>
      </c>
      <c r="K3925" s="79">
        <f>IF(A3925&lt;&gt;"", IF(ISBLANK(L3925), TODAY(), K3925), "")</f>
        <v/>
      </c>
      <c r="L3925" s="78" t="n"/>
      <c r="M3925" s="78">
        <f>IF(ISBLANK(L3925),"",IF(D3925="Stock",IF(C3925="Buy",L3925*G3925,IF(C3925="Sell",(L3925*G3925)-I3925, X)),IF(C3925="Buy",(L3925*G3925*100)+I3925,IF(C3925="Sell",(L3925*G3925*100)-I3925, X))))</f>
        <v/>
      </c>
      <c r="N3925" s="78">
        <f>IF(ISBLANK(L3925),"",IF(AND(C3925="Sell",D3925="Stock"),M3925,IF(ISBLANK(L3925),"",IF(C3925="Buy",M3925, IF(AND(C3925="Sell",J3925="NA"),(E3925*G3925*100*0.1)+I3925, IF(C3925="Sell",(J3925-L3925)*(100*G3925)+I3925))))))</f>
        <v/>
      </c>
      <c r="O3925" s="75" t="n"/>
      <c r="P3925" s="75" t="n"/>
      <c r="Q3925" s="75">
        <f>IF(ISBLANK(P3925),"",IF(D3925="Stock",P3925*G3925,IF(P3925=0,"0",G3925*P3925*100-(G3925*$AF$14))))</f>
        <v/>
      </c>
      <c r="R3925" s="79">
        <f>IF(P3925&lt;&gt;"", TODAY(), "")</f>
        <v/>
      </c>
      <c r="S3925" s="78">
        <f>IF(AND(K3925&lt;&gt;"", R3925&lt;&gt;""), R3925-K3925, "")</f>
        <v/>
      </c>
      <c r="T3925" s="78" t="n"/>
      <c r="U3925" s="92">
        <f>IF(ISBLANK(P3925),"",IF(C3925="Buy",Q3925-M3925+T3925, IF(C3925="Sell",M3925-Q3925-T3925, X)))</f>
        <v/>
      </c>
      <c r="V3925" s="81">
        <f>IF(ISBLANK(P3925),"",U3925/N3925)</f>
        <v/>
      </c>
      <c r="W3925" s="81">
        <f>IF(ISBLANK(P3925),"",IF(S3925=0,(365/0.5)*V3925,(365/S3925)*V3925))</f>
        <v/>
      </c>
      <c r="X3925" s="75" t="n"/>
      <c r="Y3925" s="77" t="n"/>
      <c r="Z3925" s="77" t="n"/>
      <c r="AA3925" s="75" t="n"/>
      <c r="AB3925" s="75" t="n"/>
      <c r="AC3925" s="6" t="n"/>
      <c r="AD3925" s="75" t="n"/>
      <c r="AE3925" s="75" t="n"/>
      <c r="AF3925" s="75" t="n"/>
    </row>
    <row r="3926" ht="15.75" customHeight="1" s="133">
      <c r="A3926" s="75" t="n"/>
      <c r="B3926" s="75" t="n"/>
      <c r="C3926" s="75" t="n"/>
      <c r="D3926" s="75" t="n"/>
      <c r="E3926" s="76" t="n"/>
      <c r="F3926" s="77" t="n"/>
      <c r="G3926" s="75" t="n"/>
      <c r="H3926" s="75">
        <f>IF(ISBLANK(E3926),"",IF(OR(D3926="Butterfly",D3926="Butterfly ",D3926="Iron Fly", D3926="Iron Fly "),LEN(E3926)-LEN(SUBSTITUTE(E3926,"/",""))+2,LEN(E3926)-LEN(SUBSTITUTE(E3926,"/",""))+1))</f>
        <v/>
      </c>
      <c r="I3926" s="78">
        <f>IF(ISBLANK(G3926),"",IF(D3926="Stock","0",Key!$A$3*H3926*G3926))</f>
        <v/>
      </c>
      <c r="J3926" s="78">
        <f>IF(ISBLANK(E3926),"",IF(ISNUMBER(SEARCH("/",E3926)), IF(LEN(E3926)-LEN(SUBSTITUTE(E3926,"/",""))=1,(RIGHT(E3926,LEN(E3926)-FIND("/",E3926)))-(LEFT(E3926,FIND("/",E3926)-1)),(MID(E3926, SEARCH("/",E3926) + 1, SEARCH("/",E3926, SEARCH("/",E3926)+1) - SEARCH("/",E3926) - 1))-(LEFT(E3926,FIND("/",E3926)-1))), "NA"))</f>
        <v/>
      </c>
      <c r="K3926" s="79">
        <f>IF(A3926&lt;&gt;"", IF(ISBLANK(L3926), TODAY(), K3926), "")</f>
        <v/>
      </c>
      <c r="L3926" s="78" t="n"/>
      <c r="M3926" s="78">
        <f>IF(ISBLANK(L3926),"",IF(D3926="Stock",IF(C3926="Buy",L3926*G3926,IF(C3926="Sell",(L3926*G3926)-I3926, X)),IF(C3926="Buy",(L3926*G3926*100)+I3926,IF(C3926="Sell",(L3926*G3926*100)-I3926, X))))</f>
        <v/>
      </c>
      <c r="N3926" s="78">
        <f>IF(ISBLANK(L3926),"",IF(AND(C3926="Sell",D3926="Stock"),M3926,IF(ISBLANK(L3926),"",IF(C3926="Buy",M3926, IF(AND(C3926="Sell",J3926="NA"),(E3926*G3926*100*0.1)+I3926, IF(C3926="Sell",(J3926-L3926)*(100*G3926)+I3926))))))</f>
        <v/>
      </c>
      <c r="O3926" s="75" t="n"/>
      <c r="P3926" s="75" t="n"/>
      <c r="Q3926" s="75">
        <f>IF(ISBLANK(P3926),"",IF(D3926="Stock",P3926*G3926,IF(P3926=0,"0",G3926*P3926*100-(G3926*$AF$14))))</f>
        <v/>
      </c>
      <c r="R3926" s="79">
        <f>IF(P3926&lt;&gt;"", TODAY(), "")</f>
        <v/>
      </c>
      <c r="S3926" s="78">
        <f>IF(AND(K3926&lt;&gt;"", R3926&lt;&gt;""), R3926-K3926, "")</f>
        <v/>
      </c>
      <c r="T3926" s="78" t="n"/>
      <c r="U3926" s="92">
        <f>IF(ISBLANK(P3926),"",IF(C3926="Buy",Q3926-M3926+T3926, IF(C3926="Sell",M3926-Q3926-T3926, X)))</f>
        <v/>
      </c>
      <c r="V3926" s="81">
        <f>IF(ISBLANK(P3926),"",U3926/N3926)</f>
        <v/>
      </c>
      <c r="W3926" s="81">
        <f>IF(ISBLANK(P3926),"",IF(S3926=0,(365/0.5)*V3926,(365/S3926)*V3926))</f>
        <v/>
      </c>
      <c r="X3926" s="75" t="n"/>
      <c r="Y3926" s="77" t="n"/>
      <c r="Z3926" s="77" t="n"/>
      <c r="AA3926" s="75" t="n"/>
      <c r="AB3926" s="75" t="n"/>
      <c r="AC3926" s="6" t="n"/>
      <c r="AD3926" s="75" t="n"/>
      <c r="AE3926" s="75" t="n"/>
      <c r="AF3926" s="75" t="n"/>
    </row>
    <row r="3927" ht="15.75" customHeight="1" s="133">
      <c r="A3927" s="75" t="n"/>
      <c r="B3927" s="75" t="n"/>
      <c r="C3927" s="75" t="n"/>
      <c r="D3927" s="75" t="n"/>
      <c r="E3927" s="76" t="n"/>
      <c r="F3927" s="77" t="n"/>
      <c r="G3927" s="75" t="n"/>
      <c r="H3927" s="75">
        <f>IF(ISBLANK(E3927),"",IF(OR(D3927="Butterfly",D3927="Butterfly ",D3927="Iron Fly", D3927="Iron Fly "),LEN(E3927)-LEN(SUBSTITUTE(E3927,"/",""))+2,LEN(E3927)-LEN(SUBSTITUTE(E3927,"/",""))+1))</f>
        <v/>
      </c>
      <c r="I3927" s="78">
        <f>IF(ISBLANK(G3927),"",IF(D3927="Stock","0",Key!$A$3*H3927*G3927))</f>
        <v/>
      </c>
      <c r="J3927" s="78">
        <f>IF(ISBLANK(E3927),"",IF(ISNUMBER(SEARCH("/",E3927)), IF(LEN(E3927)-LEN(SUBSTITUTE(E3927,"/",""))=1,(RIGHT(E3927,LEN(E3927)-FIND("/",E3927)))-(LEFT(E3927,FIND("/",E3927)-1)),(MID(E3927, SEARCH("/",E3927) + 1, SEARCH("/",E3927, SEARCH("/",E3927)+1) - SEARCH("/",E3927) - 1))-(LEFT(E3927,FIND("/",E3927)-1))), "NA"))</f>
        <v/>
      </c>
      <c r="K3927" s="79">
        <f>IF(A3927&lt;&gt;"", IF(ISBLANK(L3927), TODAY(), K3927), "")</f>
        <v/>
      </c>
      <c r="L3927" s="78" t="n"/>
      <c r="M3927" s="78">
        <f>IF(ISBLANK(L3927),"",IF(D3927="Stock",IF(C3927="Buy",L3927*G3927,IF(C3927="Sell",(L3927*G3927)-I3927, X)),IF(C3927="Buy",(L3927*G3927*100)+I3927,IF(C3927="Sell",(L3927*G3927*100)-I3927, X))))</f>
        <v/>
      </c>
      <c r="N3927" s="78">
        <f>IF(ISBLANK(L3927),"",IF(AND(C3927="Sell",D3927="Stock"),M3927,IF(ISBLANK(L3927),"",IF(C3927="Buy",M3927, IF(AND(C3927="Sell",J3927="NA"),(E3927*G3927*100*0.1)+I3927, IF(C3927="Sell",(J3927-L3927)*(100*G3927)+I3927))))))</f>
        <v/>
      </c>
      <c r="O3927" s="75" t="n"/>
      <c r="P3927" s="75" t="n"/>
      <c r="Q3927" s="75">
        <f>IF(ISBLANK(P3927),"",IF(D3927="Stock",P3927*G3927,IF(P3927=0,"0",G3927*P3927*100-(G3927*$AF$14))))</f>
        <v/>
      </c>
      <c r="R3927" s="79">
        <f>IF(P3927&lt;&gt;"", TODAY(), "")</f>
        <v/>
      </c>
      <c r="S3927" s="78">
        <f>IF(AND(K3927&lt;&gt;"", R3927&lt;&gt;""), R3927-K3927, "")</f>
        <v/>
      </c>
      <c r="T3927" s="78" t="n"/>
      <c r="U3927" s="92">
        <f>IF(ISBLANK(P3927),"",IF(C3927="Buy",Q3927-M3927+T3927, IF(C3927="Sell",M3927-Q3927-T3927, X)))</f>
        <v/>
      </c>
      <c r="V3927" s="81">
        <f>IF(ISBLANK(P3927),"",U3927/N3927)</f>
        <v/>
      </c>
      <c r="W3927" s="81">
        <f>IF(ISBLANK(P3927),"",IF(S3927=0,(365/0.5)*V3927,(365/S3927)*V3927))</f>
        <v/>
      </c>
      <c r="X3927" s="75" t="n"/>
      <c r="Y3927" s="77" t="n"/>
      <c r="Z3927" s="77" t="n"/>
      <c r="AA3927" s="75" t="n"/>
      <c r="AB3927" s="75" t="n"/>
      <c r="AC3927" s="6" t="n"/>
      <c r="AD3927" s="75" t="n"/>
      <c r="AE3927" s="75" t="n"/>
      <c r="AF3927" s="75" t="n"/>
    </row>
    <row r="3928" ht="15.75" customHeight="1" s="133">
      <c r="A3928" s="75" t="n"/>
      <c r="B3928" s="75" t="n"/>
      <c r="C3928" s="75" t="n"/>
      <c r="D3928" s="75" t="n"/>
      <c r="E3928" s="76" t="n"/>
      <c r="F3928" s="77" t="n"/>
      <c r="G3928" s="75" t="n"/>
      <c r="H3928" s="75">
        <f>IF(ISBLANK(E3928),"",IF(OR(D3928="Butterfly",D3928="Butterfly ",D3928="Iron Fly", D3928="Iron Fly "),LEN(E3928)-LEN(SUBSTITUTE(E3928,"/",""))+2,LEN(E3928)-LEN(SUBSTITUTE(E3928,"/",""))+1))</f>
        <v/>
      </c>
      <c r="I3928" s="78">
        <f>IF(ISBLANK(G3928),"",IF(D3928="Stock","0",Key!$A$3*H3928*G3928))</f>
        <v/>
      </c>
      <c r="J3928" s="78">
        <f>IF(ISBLANK(E3928),"",IF(ISNUMBER(SEARCH("/",E3928)), IF(LEN(E3928)-LEN(SUBSTITUTE(E3928,"/",""))=1,(RIGHT(E3928,LEN(E3928)-FIND("/",E3928)))-(LEFT(E3928,FIND("/",E3928)-1)),(MID(E3928, SEARCH("/",E3928) + 1, SEARCH("/",E3928, SEARCH("/",E3928)+1) - SEARCH("/",E3928) - 1))-(LEFT(E3928,FIND("/",E3928)-1))), "NA"))</f>
        <v/>
      </c>
      <c r="K3928" s="79">
        <f>IF(A3928&lt;&gt;"", IF(ISBLANK(L3928), TODAY(), K3928), "")</f>
        <v/>
      </c>
      <c r="L3928" s="78" t="n"/>
      <c r="M3928" s="78">
        <f>IF(ISBLANK(L3928),"",IF(D3928="Stock",IF(C3928="Buy",L3928*G3928,IF(C3928="Sell",(L3928*G3928)-I3928, X)),IF(C3928="Buy",(L3928*G3928*100)+I3928,IF(C3928="Sell",(L3928*G3928*100)-I3928, X))))</f>
        <v/>
      </c>
      <c r="N3928" s="78">
        <f>IF(ISBLANK(L3928),"",IF(AND(C3928="Sell",D3928="Stock"),M3928,IF(ISBLANK(L3928),"",IF(C3928="Buy",M3928, IF(AND(C3928="Sell",J3928="NA"),(E3928*G3928*100*0.1)+I3928, IF(C3928="Sell",(J3928-L3928)*(100*G3928)+I3928))))))</f>
        <v/>
      </c>
      <c r="O3928" s="75" t="n"/>
      <c r="P3928" s="75" t="n"/>
      <c r="Q3928" s="75">
        <f>IF(ISBLANK(P3928),"",IF(D3928="Stock",P3928*G3928,IF(P3928=0,"0",G3928*P3928*100-(G3928*$AF$14))))</f>
        <v/>
      </c>
      <c r="R3928" s="79">
        <f>IF(P3928&lt;&gt;"", TODAY(), "")</f>
        <v/>
      </c>
      <c r="S3928" s="78">
        <f>IF(AND(K3928&lt;&gt;"", R3928&lt;&gt;""), R3928-K3928, "")</f>
        <v/>
      </c>
      <c r="T3928" s="78" t="n"/>
      <c r="U3928" s="92">
        <f>IF(ISBLANK(P3928),"",IF(C3928="Buy",Q3928-M3928+T3928, IF(C3928="Sell",M3928-Q3928-T3928, X)))</f>
        <v/>
      </c>
      <c r="V3928" s="81">
        <f>IF(ISBLANK(P3928),"",U3928/N3928)</f>
        <v/>
      </c>
      <c r="W3928" s="81">
        <f>IF(ISBLANK(P3928),"",IF(S3928=0,(365/0.5)*V3928,(365/S3928)*V3928))</f>
        <v/>
      </c>
      <c r="X3928" s="75" t="n"/>
      <c r="Y3928" s="77" t="n"/>
      <c r="Z3928" s="77" t="n"/>
      <c r="AA3928" s="75" t="n"/>
      <c r="AB3928" s="75" t="n"/>
      <c r="AC3928" s="6" t="n"/>
      <c r="AD3928" s="75" t="n"/>
      <c r="AE3928" s="75" t="n"/>
      <c r="AF3928" s="75" t="n"/>
    </row>
    <row r="3929" ht="15.75" customHeight="1" s="133">
      <c r="A3929" s="75" t="n"/>
      <c r="B3929" s="75" t="n"/>
      <c r="C3929" s="75" t="n"/>
      <c r="D3929" s="75" t="n"/>
      <c r="E3929" s="76" t="n"/>
      <c r="F3929" s="77" t="n"/>
      <c r="G3929" s="75" t="n"/>
      <c r="H3929" s="75">
        <f>IF(ISBLANK(E3929),"",IF(OR(D3929="Butterfly",D3929="Butterfly ",D3929="Iron Fly", D3929="Iron Fly "),LEN(E3929)-LEN(SUBSTITUTE(E3929,"/",""))+2,LEN(E3929)-LEN(SUBSTITUTE(E3929,"/",""))+1))</f>
        <v/>
      </c>
      <c r="I3929" s="78">
        <f>IF(ISBLANK(G3929),"",IF(D3929="Stock","0",Key!$A$3*H3929*G3929))</f>
        <v/>
      </c>
      <c r="J3929" s="78">
        <f>IF(ISBLANK(E3929),"",IF(ISNUMBER(SEARCH("/",E3929)), IF(LEN(E3929)-LEN(SUBSTITUTE(E3929,"/",""))=1,(RIGHT(E3929,LEN(E3929)-FIND("/",E3929)))-(LEFT(E3929,FIND("/",E3929)-1)),(MID(E3929, SEARCH("/",E3929) + 1, SEARCH("/",E3929, SEARCH("/",E3929)+1) - SEARCH("/",E3929) - 1))-(LEFT(E3929,FIND("/",E3929)-1))), "NA"))</f>
        <v/>
      </c>
      <c r="K3929" s="79">
        <f>IF(A3929&lt;&gt;"", IF(ISBLANK(L3929), TODAY(), K3929), "")</f>
        <v/>
      </c>
      <c r="L3929" s="78" t="n"/>
      <c r="M3929" s="78">
        <f>IF(ISBLANK(L3929),"",IF(D3929="Stock",IF(C3929="Buy",L3929*G3929,IF(C3929="Sell",(L3929*G3929)-I3929, X)),IF(C3929="Buy",(L3929*G3929*100)+I3929,IF(C3929="Sell",(L3929*G3929*100)-I3929, X))))</f>
        <v/>
      </c>
      <c r="N3929" s="78">
        <f>IF(ISBLANK(L3929),"",IF(AND(C3929="Sell",D3929="Stock"),M3929,IF(ISBLANK(L3929),"",IF(C3929="Buy",M3929, IF(AND(C3929="Sell",J3929="NA"),(E3929*G3929*100*0.1)+I3929, IF(C3929="Sell",(J3929-L3929)*(100*G3929)+I3929))))))</f>
        <v/>
      </c>
      <c r="O3929" s="75" t="n"/>
      <c r="P3929" s="75" t="n"/>
      <c r="Q3929" s="75">
        <f>IF(ISBLANK(P3929),"",IF(D3929="Stock",P3929*G3929,IF(P3929=0,"0",G3929*P3929*100-(G3929*$AF$14))))</f>
        <v/>
      </c>
      <c r="R3929" s="79">
        <f>IF(P3929&lt;&gt;"", TODAY(), "")</f>
        <v/>
      </c>
      <c r="S3929" s="78">
        <f>IF(AND(K3929&lt;&gt;"", R3929&lt;&gt;""), R3929-K3929, "")</f>
        <v/>
      </c>
      <c r="T3929" s="78" t="n"/>
      <c r="U3929" s="92">
        <f>IF(ISBLANK(P3929),"",IF(C3929="Buy",Q3929-M3929+T3929, IF(C3929="Sell",M3929-Q3929-T3929, X)))</f>
        <v/>
      </c>
      <c r="V3929" s="81">
        <f>IF(ISBLANK(P3929),"",U3929/N3929)</f>
        <v/>
      </c>
      <c r="W3929" s="81">
        <f>IF(ISBLANK(P3929),"",IF(S3929=0,(365/0.5)*V3929,(365/S3929)*V3929))</f>
        <v/>
      </c>
      <c r="X3929" s="75" t="n"/>
      <c r="Y3929" s="77" t="n"/>
      <c r="Z3929" s="77" t="n"/>
      <c r="AA3929" s="75" t="n"/>
      <c r="AB3929" s="75" t="n"/>
      <c r="AC3929" s="6" t="n"/>
      <c r="AD3929" s="75" t="n"/>
      <c r="AE3929" s="75" t="n"/>
      <c r="AF3929" s="75" t="n"/>
    </row>
    <row r="3930" ht="15.75" customHeight="1" s="133">
      <c r="A3930" s="75" t="n"/>
      <c r="B3930" s="75" t="n"/>
      <c r="C3930" s="75" t="n"/>
      <c r="D3930" s="75" t="n"/>
      <c r="E3930" s="76" t="n"/>
      <c r="F3930" s="77" t="n"/>
      <c r="G3930" s="75" t="n"/>
      <c r="H3930" s="75">
        <f>IF(ISBLANK(E3930),"",IF(OR(D3930="Butterfly",D3930="Butterfly ",D3930="Iron Fly", D3930="Iron Fly "),LEN(E3930)-LEN(SUBSTITUTE(E3930,"/",""))+2,LEN(E3930)-LEN(SUBSTITUTE(E3930,"/",""))+1))</f>
        <v/>
      </c>
      <c r="I3930" s="78">
        <f>IF(ISBLANK(G3930),"",IF(D3930="Stock","0",Key!$A$3*H3930*G3930))</f>
        <v/>
      </c>
      <c r="J3930" s="78">
        <f>IF(ISBLANK(E3930),"",IF(ISNUMBER(SEARCH("/",E3930)), IF(LEN(E3930)-LEN(SUBSTITUTE(E3930,"/",""))=1,(RIGHT(E3930,LEN(E3930)-FIND("/",E3930)))-(LEFT(E3930,FIND("/",E3930)-1)),(MID(E3930, SEARCH("/",E3930) + 1, SEARCH("/",E3930, SEARCH("/",E3930)+1) - SEARCH("/",E3930) - 1))-(LEFT(E3930,FIND("/",E3930)-1))), "NA"))</f>
        <v/>
      </c>
      <c r="K3930" s="79">
        <f>IF(A3930&lt;&gt;"", IF(ISBLANK(L3930), TODAY(), K3930), "")</f>
        <v/>
      </c>
      <c r="L3930" s="78" t="n"/>
      <c r="M3930" s="78">
        <f>IF(ISBLANK(L3930),"",IF(D3930="Stock",IF(C3930="Buy",L3930*G3930,IF(C3930="Sell",(L3930*G3930)-I3930, X)),IF(C3930="Buy",(L3930*G3930*100)+I3930,IF(C3930="Sell",(L3930*G3930*100)-I3930, X))))</f>
        <v/>
      </c>
      <c r="N3930" s="78">
        <f>IF(ISBLANK(L3930),"",IF(AND(C3930="Sell",D3930="Stock"),M3930,IF(ISBLANK(L3930),"",IF(C3930="Buy",M3930, IF(AND(C3930="Sell",J3930="NA"),(E3930*G3930*100*0.1)+I3930, IF(C3930="Sell",(J3930-L3930)*(100*G3930)+I3930))))))</f>
        <v/>
      </c>
      <c r="O3930" s="75" t="n"/>
      <c r="P3930" s="75" t="n"/>
      <c r="Q3930" s="75">
        <f>IF(ISBLANK(P3930),"",IF(D3930="Stock",P3930*G3930,IF(P3930=0,"0",G3930*P3930*100-(G3930*$AF$14))))</f>
        <v/>
      </c>
      <c r="R3930" s="79">
        <f>IF(P3930&lt;&gt;"", TODAY(), "")</f>
        <v/>
      </c>
      <c r="S3930" s="78">
        <f>IF(AND(K3930&lt;&gt;"", R3930&lt;&gt;""), R3930-K3930, "")</f>
        <v/>
      </c>
      <c r="T3930" s="78" t="n"/>
      <c r="U3930" s="92">
        <f>IF(ISBLANK(P3930),"",IF(C3930="Buy",Q3930-M3930+T3930, IF(C3930="Sell",M3930-Q3930-T3930, X)))</f>
        <v/>
      </c>
      <c r="V3930" s="81">
        <f>IF(ISBLANK(P3930),"",U3930/N3930)</f>
        <v/>
      </c>
      <c r="W3930" s="81">
        <f>IF(ISBLANK(P3930),"",IF(S3930=0,(365/0.5)*V3930,(365/S3930)*V3930))</f>
        <v/>
      </c>
      <c r="X3930" s="75" t="n"/>
      <c r="Y3930" s="77" t="n"/>
      <c r="Z3930" s="77" t="n"/>
      <c r="AA3930" s="75" t="n"/>
      <c r="AB3930" s="75" t="n"/>
      <c r="AC3930" s="6" t="n"/>
      <c r="AD3930" s="75" t="n"/>
      <c r="AE3930" s="75" t="n"/>
      <c r="AF3930" s="75" t="n"/>
    </row>
    <row r="3931" ht="15.75" customHeight="1" s="133">
      <c r="A3931" s="75" t="n"/>
      <c r="B3931" s="75" t="n"/>
      <c r="C3931" s="75" t="n"/>
      <c r="D3931" s="75" t="n"/>
      <c r="E3931" s="76" t="n"/>
      <c r="F3931" s="77" t="n"/>
      <c r="G3931" s="75" t="n"/>
      <c r="H3931" s="75">
        <f>IF(ISBLANK(E3931),"",IF(OR(D3931="Butterfly",D3931="Butterfly ",D3931="Iron Fly", D3931="Iron Fly "),LEN(E3931)-LEN(SUBSTITUTE(E3931,"/",""))+2,LEN(E3931)-LEN(SUBSTITUTE(E3931,"/",""))+1))</f>
        <v/>
      </c>
      <c r="I3931" s="78">
        <f>IF(ISBLANK(G3931),"",IF(D3931="Stock","0",Key!$A$3*H3931*G3931))</f>
        <v/>
      </c>
      <c r="J3931" s="78">
        <f>IF(ISBLANK(E3931),"",IF(ISNUMBER(SEARCH("/",E3931)), IF(LEN(E3931)-LEN(SUBSTITUTE(E3931,"/",""))=1,(RIGHT(E3931,LEN(E3931)-FIND("/",E3931)))-(LEFT(E3931,FIND("/",E3931)-1)),(MID(E3931, SEARCH("/",E3931) + 1, SEARCH("/",E3931, SEARCH("/",E3931)+1) - SEARCH("/",E3931) - 1))-(LEFT(E3931,FIND("/",E3931)-1))), "NA"))</f>
        <v/>
      </c>
      <c r="K3931" s="79">
        <f>IF(A3931&lt;&gt;"", IF(ISBLANK(L3931), TODAY(), K3931), "")</f>
        <v/>
      </c>
      <c r="L3931" s="78" t="n"/>
      <c r="M3931" s="78">
        <f>IF(ISBLANK(L3931),"",IF(D3931="Stock",IF(C3931="Buy",L3931*G3931,IF(C3931="Sell",(L3931*G3931)-I3931, X)),IF(C3931="Buy",(L3931*G3931*100)+I3931,IF(C3931="Sell",(L3931*G3931*100)-I3931, X))))</f>
        <v/>
      </c>
      <c r="N3931" s="78">
        <f>IF(ISBLANK(L3931),"",IF(AND(C3931="Sell",D3931="Stock"),M3931,IF(ISBLANK(L3931),"",IF(C3931="Buy",M3931, IF(AND(C3931="Sell",J3931="NA"),(E3931*G3931*100*0.1)+I3931, IF(C3931="Sell",(J3931-L3931)*(100*G3931)+I3931))))))</f>
        <v/>
      </c>
      <c r="O3931" s="75" t="n"/>
      <c r="P3931" s="75" t="n"/>
      <c r="Q3931" s="75">
        <f>IF(ISBLANK(P3931),"",IF(D3931="Stock",P3931*G3931,IF(P3931=0,"0",G3931*P3931*100-(G3931*$AF$14))))</f>
        <v/>
      </c>
      <c r="R3931" s="79">
        <f>IF(P3931&lt;&gt;"", TODAY(), "")</f>
        <v/>
      </c>
      <c r="S3931" s="78">
        <f>IF(AND(K3931&lt;&gt;"", R3931&lt;&gt;""), R3931-K3931, "")</f>
        <v/>
      </c>
      <c r="T3931" s="78" t="n"/>
      <c r="U3931" s="92">
        <f>IF(ISBLANK(P3931),"",IF(C3931="Buy",Q3931-M3931+T3931, IF(C3931="Sell",M3931-Q3931-T3931, X)))</f>
        <v/>
      </c>
      <c r="V3931" s="81">
        <f>IF(ISBLANK(P3931),"",U3931/N3931)</f>
        <v/>
      </c>
      <c r="W3931" s="81">
        <f>IF(ISBLANK(P3931),"",IF(S3931=0,(365/0.5)*V3931,(365/S3931)*V3931))</f>
        <v/>
      </c>
      <c r="X3931" s="75" t="n"/>
      <c r="Y3931" s="77" t="n"/>
      <c r="Z3931" s="77" t="n"/>
      <c r="AA3931" s="75" t="n"/>
      <c r="AB3931" s="75" t="n"/>
      <c r="AC3931" s="6" t="n"/>
      <c r="AD3931" s="75" t="n"/>
      <c r="AE3931" s="75" t="n"/>
      <c r="AF3931" s="75" t="n"/>
    </row>
    <row r="3932" ht="15.75" customHeight="1" s="133">
      <c r="A3932" s="75" t="n"/>
      <c r="B3932" s="75" t="n"/>
      <c r="C3932" s="75" t="n"/>
      <c r="D3932" s="75" t="n"/>
      <c r="E3932" s="76" t="n"/>
      <c r="F3932" s="77" t="n"/>
      <c r="G3932" s="75" t="n"/>
      <c r="H3932" s="75">
        <f>IF(ISBLANK(E3932),"",IF(OR(D3932="Butterfly",D3932="Butterfly ",D3932="Iron Fly", D3932="Iron Fly "),LEN(E3932)-LEN(SUBSTITUTE(E3932,"/",""))+2,LEN(E3932)-LEN(SUBSTITUTE(E3932,"/",""))+1))</f>
        <v/>
      </c>
      <c r="I3932" s="78">
        <f>IF(ISBLANK(G3932),"",IF(D3932="Stock","0",Key!$A$3*H3932*G3932))</f>
        <v/>
      </c>
      <c r="J3932" s="78">
        <f>IF(ISBLANK(E3932),"",IF(ISNUMBER(SEARCH("/",E3932)), IF(LEN(E3932)-LEN(SUBSTITUTE(E3932,"/",""))=1,(RIGHT(E3932,LEN(E3932)-FIND("/",E3932)))-(LEFT(E3932,FIND("/",E3932)-1)),(MID(E3932, SEARCH("/",E3932) + 1, SEARCH("/",E3932, SEARCH("/",E3932)+1) - SEARCH("/",E3932) - 1))-(LEFT(E3932,FIND("/",E3932)-1))), "NA"))</f>
        <v/>
      </c>
      <c r="K3932" s="79">
        <f>IF(A3932&lt;&gt;"", IF(ISBLANK(L3932), TODAY(), K3932), "")</f>
        <v/>
      </c>
      <c r="L3932" s="78" t="n"/>
      <c r="M3932" s="78">
        <f>IF(ISBLANK(L3932),"",IF(D3932="Stock",IF(C3932="Buy",L3932*G3932,IF(C3932="Sell",(L3932*G3932)-I3932, X)),IF(C3932="Buy",(L3932*G3932*100)+I3932,IF(C3932="Sell",(L3932*G3932*100)-I3932, X))))</f>
        <v/>
      </c>
      <c r="N3932" s="78">
        <f>IF(ISBLANK(L3932),"",IF(AND(C3932="Sell",D3932="Stock"),M3932,IF(ISBLANK(L3932),"",IF(C3932="Buy",M3932, IF(AND(C3932="Sell",J3932="NA"),(E3932*G3932*100*0.1)+I3932, IF(C3932="Sell",(J3932-L3932)*(100*G3932)+I3932))))))</f>
        <v/>
      </c>
      <c r="O3932" s="75" t="n"/>
      <c r="P3932" s="75" t="n"/>
      <c r="Q3932" s="75">
        <f>IF(ISBLANK(P3932),"",IF(D3932="Stock",P3932*G3932,IF(P3932=0,"0",G3932*P3932*100-(G3932*$AF$14))))</f>
        <v/>
      </c>
      <c r="R3932" s="79">
        <f>IF(P3932&lt;&gt;"", TODAY(), "")</f>
        <v/>
      </c>
      <c r="S3932" s="78">
        <f>IF(AND(K3932&lt;&gt;"", R3932&lt;&gt;""), R3932-K3932, "")</f>
        <v/>
      </c>
      <c r="T3932" s="78" t="n"/>
      <c r="U3932" s="92">
        <f>IF(ISBLANK(P3932),"",IF(C3932="Buy",Q3932-M3932+T3932, IF(C3932="Sell",M3932-Q3932-T3932, X)))</f>
        <v/>
      </c>
      <c r="V3932" s="81">
        <f>IF(ISBLANK(P3932),"",U3932/N3932)</f>
        <v/>
      </c>
      <c r="W3932" s="81">
        <f>IF(ISBLANK(P3932),"",IF(S3932=0,(365/0.5)*V3932,(365/S3932)*V3932))</f>
        <v/>
      </c>
      <c r="X3932" s="75" t="n"/>
      <c r="Y3932" s="77" t="n"/>
      <c r="Z3932" s="77" t="n"/>
      <c r="AA3932" s="75" t="n"/>
      <c r="AB3932" s="75" t="n"/>
      <c r="AC3932" s="6" t="n"/>
      <c r="AD3932" s="75" t="n"/>
      <c r="AE3932" s="75" t="n"/>
      <c r="AF3932" s="75" t="n"/>
    </row>
    <row r="3933" ht="15.75" customHeight="1" s="133">
      <c r="A3933" s="75" t="n"/>
      <c r="B3933" s="75" t="n"/>
      <c r="C3933" s="75" t="n"/>
      <c r="D3933" s="75" t="n"/>
      <c r="E3933" s="76" t="n"/>
      <c r="F3933" s="77" t="n"/>
      <c r="G3933" s="75" t="n"/>
      <c r="H3933" s="75">
        <f>IF(ISBLANK(E3933),"",IF(OR(D3933="Butterfly",D3933="Butterfly ",D3933="Iron Fly", D3933="Iron Fly "),LEN(E3933)-LEN(SUBSTITUTE(E3933,"/",""))+2,LEN(E3933)-LEN(SUBSTITUTE(E3933,"/",""))+1))</f>
        <v/>
      </c>
      <c r="I3933" s="78">
        <f>IF(ISBLANK(G3933),"",IF(D3933="Stock","0",Key!$A$3*H3933*G3933))</f>
        <v/>
      </c>
      <c r="J3933" s="78">
        <f>IF(ISBLANK(E3933),"",IF(ISNUMBER(SEARCH("/",E3933)), IF(LEN(E3933)-LEN(SUBSTITUTE(E3933,"/",""))=1,(RIGHT(E3933,LEN(E3933)-FIND("/",E3933)))-(LEFT(E3933,FIND("/",E3933)-1)),(MID(E3933, SEARCH("/",E3933) + 1, SEARCH("/",E3933, SEARCH("/",E3933)+1) - SEARCH("/",E3933) - 1))-(LEFT(E3933,FIND("/",E3933)-1))), "NA"))</f>
        <v/>
      </c>
      <c r="K3933" s="79">
        <f>IF(A3933&lt;&gt;"", IF(ISBLANK(L3933), TODAY(), K3933), "")</f>
        <v/>
      </c>
      <c r="L3933" s="78" t="n"/>
      <c r="M3933" s="78">
        <f>IF(ISBLANK(L3933),"",IF(D3933="Stock",IF(C3933="Buy",L3933*G3933,IF(C3933="Sell",(L3933*G3933)-I3933, X)),IF(C3933="Buy",(L3933*G3933*100)+I3933,IF(C3933="Sell",(L3933*G3933*100)-I3933, X))))</f>
        <v/>
      </c>
      <c r="N3933" s="78">
        <f>IF(ISBLANK(L3933),"",IF(AND(C3933="Sell",D3933="Stock"),M3933,IF(ISBLANK(L3933),"",IF(C3933="Buy",M3933, IF(AND(C3933="Sell",J3933="NA"),(E3933*G3933*100*0.1)+I3933, IF(C3933="Sell",(J3933-L3933)*(100*G3933)+I3933))))))</f>
        <v/>
      </c>
      <c r="O3933" s="75" t="n"/>
      <c r="P3933" s="75" t="n"/>
      <c r="Q3933" s="75">
        <f>IF(ISBLANK(P3933),"",IF(D3933="Stock",P3933*G3933,IF(P3933=0,"0",G3933*P3933*100-(G3933*$AF$14))))</f>
        <v/>
      </c>
      <c r="R3933" s="79">
        <f>IF(P3933&lt;&gt;"", TODAY(), "")</f>
        <v/>
      </c>
      <c r="S3933" s="78">
        <f>IF(AND(K3933&lt;&gt;"", R3933&lt;&gt;""), R3933-K3933, "")</f>
        <v/>
      </c>
      <c r="T3933" s="78" t="n"/>
      <c r="U3933" s="92">
        <f>IF(ISBLANK(P3933),"",IF(C3933="Buy",Q3933-M3933+T3933, IF(C3933="Sell",M3933-Q3933-T3933, X)))</f>
        <v/>
      </c>
      <c r="V3933" s="81">
        <f>IF(ISBLANK(P3933),"",U3933/N3933)</f>
        <v/>
      </c>
      <c r="W3933" s="81">
        <f>IF(ISBLANK(P3933),"",IF(S3933=0,(365/0.5)*V3933,(365/S3933)*V3933))</f>
        <v/>
      </c>
      <c r="X3933" s="75" t="n"/>
      <c r="Y3933" s="77" t="n"/>
      <c r="Z3933" s="77" t="n"/>
      <c r="AA3933" s="75" t="n"/>
      <c r="AB3933" s="75" t="n"/>
      <c r="AC3933" s="6" t="n"/>
      <c r="AD3933" s="75" t="n"/>
      <c r="AE3933" s="75" t="n"/>
      <c r="AF3933" s="75" t="n"/>
    </row>
    <row r="3934" ht="15.75" customHeight="1" s="133">
      <c r="A3934" s="75" t="n"/>
      <c r="B3934" s="75" t="n"/>
      <c r="C3934" s="75" t="n"/>
      <c r="D3934" s="75" t="n"/>
      <c r="E3934" s="76" t="n"/>
      <c r="F3934" s="77" t="n"/>
      <c r="G3934" s="75" t="n"/>
      <c r="H3934" s="75">
        <f>IF(ISBLANK(E3934),"",IF(OR(D3934="Butterfly",D3934="Butterfly ",D3934="Iron Fly", D3934="Iron Fly "),LEN(E3934)-LEN(SUBSTITUTE(E3934,"/",""))+2,LEN(E3934)-LEN(SUBSTITUTE(E3934,"/",""))+1))</f>
        <v/>
      </c>
      <c r="I3934" s="78">
        <f>IF(ISBLANK(G3934),"",IF(D3934="Stock","0",Key!$A$3*H3934*G3934))</f>
        <v/>
      </c>
      <c r="J3934" s="78">
        <f>IF(ISBLANK(E3934),"",IF(ISNUMBER(SEARCH("/",E3934)), IF(LEN(E3934)-LEN(SUBSTITUTE(E3934,"/",""))=1,(RIGHT(E3934,LEN(E3934)-FIND("/",E3934)))-(LEFT(E3934,FIND("/",E3934)-1)),(MID(E3934, SEARCH("/",E3934) + 1, SEARCH("/",E3934, SEARCH("/",E3934)+1) - SEARCH("/",E3934) - 1))-(LEFT(E3934,FIND("/",E3934)-1))), "NA"))</f>
        <v/>
      </c>
      <c r="K3934" s="79">
        <f>IF(A3934&lt;&gt;"", IF(ISBLANK(L3934), TODAY(), K3934), "")</f>
        <v/>
      </c>
      <c r="L3934" s="78" t="n"/>
      <c r="M3934" s="78">
        <f>IF(ISBLANK(L3934),"",IF(D3934="Stock",IF(C3934="Buy",L3934*G3934,IF(C3934="Sell",(L3934*G3934)-I3934, X)),IF(C3934="Buy",(L3934*G3934*100)+I3934,IF(C3934="Sell",(L3934*G3934*100)-I3934, X))))</f>
        <v/>
      </c>
      <c r="N3934" s="78">
        <f>IF(ISBLANK(L3934),"",IF(AND(C3934="Sell",D3934="Stock"),M3934,IF(ISBLANK(L3934),"",IF(C3934="Buy",M3934, IF(AND(C3934="Sell",J3934="NA"),(E3934*G3934*100*0.1)+I3934, IF(C3934="Sell",(J3934-L3934)*(100*G3934)+I3934))))))</f>
        <v/>
      </c>
      <c r="O3934" s="75" t="n"/>
      <c r="P3934" s="75" t="n"/>
      <c r="Q3934" s="75">
        <f>IF(ISBLANK(P3934),"",IF(D3934="Stock",P3934*G3934,IF(P3934=0,"0",G3934*P3934*100-(G3934*$AF$14))))</f>
        <v/>
      </c>
      <c r="R3934" s="79">
        <f>IF(P3934&lt;&gt;"", TODAY(), "")</f>
        <v/>
      </c>
      <c r="S3934" s="78">
        <f>IF(AND(K3934&lt;&gt;"", R3934&lt;&gt;""), R3934-K3934, "")</f>
        <v/>
      </c>
      <c r="T3934" s="78" t="n"/>
      <c r="U3934" s="92">
        <f>IF(ISBLANK(P3934),"",IF(C3934="Buy",Q3934-M3934+T3934, IF(C3934="Sell",M3934-Q3934-T3934, X)))</f>
        <v/>
      </c>
      <c r="V3934" s="81">
        <f>IF(ISBLANK(P3934),"",U3934/N3934)</f>
        <v/>
      </c>
      <c r="W3934" s="81">
        <f>IF(ISBLANK(P3934),"",IF(S3934=0,(365/0.5)*V3934,(365/S3934)*V3934))</f>
        <v/>
      </c>
      <c r="X3934" s="75" t="n"/>
      <c r="Y3934" s="77" t="n"/>
      <c r="Z3934" s="77" t="n"/>
      <c r="AA3934" s="75" t="n"/>
      <c r="AB3934" s="75" t="n"/>
      <c r="AC3934" s="6" t="n"/>
      <c r="AD3934" s="75" t="n"/>
      <c r="AE3934" s="75" t="n"/>
      <c r="AF3934" s="75" t="n"/>
    </row>
    <row r="3935" ht="15.75" customHeight="1" s="133">
      <c r="A3935" s="75" t="n"/>
      <c r="B3935" s="75" t="n"/>
      <c r="C3935" s="75" t="n"/>
      <c r="D3935" s="75" t="n"/>
      <c r="E3935" s="76" t="n"/>
      <c r="F3935" s="77" t="n"/>
      <c r="G3935" s="75" t="n"/>
      <c r="H3935" s="75">
        <f>IF(ISBLANK(E3935),"",IF(OR(D3935="Butterfly",D3935="Butterfly ",D3935="Iron Fly", D3935="Iron Fly "),LEN(E3935)-LEN(SUBSTITUTE(E3935,"/",""))+2,LEN(E3935)-LEN(SUBSTITUTE(E3935,"/",""))+1))</f>
        <v/>
      </c>
      <c r="I3935" s="78">
        <f>IF(ISBLANK(G3935),"",IF(D3935="Stock","0",Key!$A$3*H3935*G3935))</f>
        <v/>
      </c>
      <c r="J3935" s="78">
        <f>IF(ISBLANK(E3935),"",IF(ISNUMBER(SEARCH("/",E3935)), IF(LEN(E3935)-LEN(SUBSTITUTE(E3935,"/",""))=1,(RIGHT(E3935,LEN(E3935)-FIND("/",E3935)))-(LEFT(E3935,FIND("/",E3935)-1)),(MID(E3935, SEARCH("/",E3935) + 1, SEARCH("/",E3935, SEARCH("/",E3935)+1) - SEARCH("/",E3935) - 1))-(LEFT(E3935,FIND("/",E3935)-1))), "NA"))</f>
        <v/>
      </c>
      <c r="K3935" s="79">
        <f>IF(A3935&lt;&gt;"", IF(ISBLANK(L3935), TODAY(), K3935), "")</f>
        <v/>
      </c>
      <c r="L3935" s="78" t="n"/>
      <c r="M3935" s="78">
        <f>IF(ISBLANK(L3935),"",IF(D3935="Stock",IF(C3935="Buy",L3935*G3935,IF(C3935="Sell",(L3935*G3935)-I3935, X)),IF(C3935="Buy",(L3935*G3935*100)+I3935,IF(C3935="Sell",(L3935*G3935*100)-I3935, X))))</f>
        <v/>
      </c>
      <c r="N3935" s="78">
        <f>IF(ISBLANK(L3935),"",IF(AND(C3935="Sell",D3935="Stock"),M3935,IF(ISBLANK(L3935),"",IF(C3935="Buy",M3935, IF(AND(C3935="Sell",J3935="NA"),(E3935*G3935*100*0.1)+I3935, IF(C3935="Sell",(J3935-L3935)*(100*G3935)+I3935))))))</f>
        <v/>
      </c>
      <c r="O3935" s="75" t="n"/>
      <c r="P3935" s="75" t="n"/>
      <c r="Q3935" s="75">
        <f>IF(ISBLANK(P3935),"",IF(D3935="Stock",P3935*G3935,IF(P3935=0,"0",G3935*P3935*100-(G3935*$AF$14))))</f>
        <v/>
      </c>
      <c r="R3935" s="79">
        <f>IF(P3935&lt;&gt;"", TODAY(), "")</f>
        <v/>
      </c>
      <c r="S3935" s="78">
        <f>IF(AND(K3935&lt;&gt;"", R3935&lt;&gt;""), R3935-K3935, "")</f>
        <v/>
      </c>
      <c r="T3935" s="78" t="n"/>
      <c r="U3935" s="92">
        <f>IF(ISBLANK(P3935),"",IF(C3935="Buy",Q3935-M3935+T3935, IF(C3935="Sell",M3935-Q3935-T3935, X)))</f>
        <v/>
      </c>
      <c r="V3935" s="81">
        <f>IF(ISBLANK(P3935),"",U3935/N3935)</f>
        <v/>
      </c>
      <c r="W3935" s="81">
        <f>IF(ISBLANK(P3935),"",IF(S3935=0,(365/0.5)*V3935,(365/S3935)*V3935))</f>
        <v/>
      </c>
      <c r="X3935" s="75" t="n"/>
      <c r="Y3935" s="77" t="n"/>
      <c r="Z3935" s="77" t="n"/>
      <c r="AA3935" s="75" t="n"/>
      <c r="AB3935" s="75" t="n"/>
      <c r="AC3935" s="6" t="n"/>
      <c r="AD3935" s="75" t="n"/>
      <c r="AE3935" s="75" t="n"/>
      <c r="AF3935" s="75" t="n"/>
    </row>
    <row r="3936" ht="15.75" customHeight="1" s="133">
      <c r="A3936" s="75" t="n"/>
      <c r="B3936" s="75" t="n"/>
      <c r="C3936" s="75" t="n"/>
      <c r="D3936" s="75" t="n"/>
      <c r="E3936" s="76" t="n"/>
      <c r="F3936" s="77" t="n"/>
      <c r="G3936" s="75" t="n"/>
      <c r="H3936" s="75">
        <f>IF(ISBLANK(E3936),"",IF(OR(D3936="Butterfly",D3936="Butterfly ",D3936="Iron Fly", D3936="Iron Fly "),LEN(E3936)-LEN(SUBSTITUTE(E3936,"/",""))+2,LEN(E3936)-LEN(SUBSTITUTE(E3936,"/",""))+1))</f>
        <v/>
      </c>
      <c r="I3936" s="78">
        <f>IF(ISBLANK(G3936),"",IF(D3936="Stock","0",Key!$A$3*H3936*G3936))</f>
        <v/>
      </c>
      <c r="J3936" s="78">
        <f>IF(ISBLANK(E3936),"",IF(ISNUMBER(SEARCH("/",E3936)), IF(LEN(E3936)-LEN(SUBSTITUTE(E3936,"/",""))=1,(RIGHT(E3936,LEN(E3936)-FIND("/",E3936)))-(LEFT(E3936,FIND("/",E3936)-1)),(MID(E3936, SEARCH("/",E3936) + 1, SEARCH("/",E3936, SEARCH("/",E3936)+1) - SEARCH("/",E3936) - 1))-(LEFT(E3936,FIND("/",E3936)-1))), "NA"))</f>
        <v/>
      </c>
      <c r="K3936" s="79">
        <f>IF(A3936&lt;&gt;"", IF(ISBLANK(L3936), TODAY(), K3936), "")</f>
        <v/>
      </c>
      <c r="L3936" s="78" t="n"/>
      <c r="M3936" s="78">
        <f>IF(ISBLANK(L3936),"",IF(D3936="Stock",IF(C3936="Buy",L3936*G3936,IF(C3936="Sell",(L3936*G3936)-I3936, X)),IF(C3936="Buy",(L3936*G3936*100)+I3936,IF(C3936="Sell",(L3936*G3936*100)-I3936, X))))</f>
        <v/>
      </c>
      <c r="N3936" s="78">
        <f>IF(ISBLANK(L3936),"",IF(AND(C3936="Sell",D3936="Stock"),M3936,IF(ISBLANK(L3936),"",IF(C3936="Buy",M3936, IF(AND(C3936="Sell",J3936="NA"),(E3936*G3936*100*0.1)+I3936, IF(C3936="Sell",(J3936-L3936)*(100*G3936)+I3936))))))</f>
        <v/>
      </c>
      <c r="O3936" s="75" t="n"/>
      <c r="P3936" s="75" t="n"/>
      <c r="Q3936" s="75">
        <f>IF(ISBLANK(P3936),"",IF(D3936="Stock",P3936*G3936,IF(P3936=0,"0",G3936*P3936*100-(G3936*$AF$14))))</f>
        <v/>
      </c>
      <c r="R3936" s="79">
        <f>IF(P3936&lt;&gt;"", TODAY(), "")</f>
        <v/>
      </c>
      <c r="S3936" s="78">
        <f>IF(AND(K3936&lt;&gt;"", R3936&lt;&gt;""), R3936-K3936, "")</f>
        <v/>
      </c>
      <c r="T3936" s="78" t="n"/>
      <c r="U3936" s="92">
        <f>IF(ISBLANK(P3936),"",IF(C3936="Buy",Q3936-M3936+T3936, IF(C3936="Sell",M3936-Q3936-T3936, X)))</f>
        <v/>
      </c>
      <c r="V3936" s="81">
        <f>IF(ISBLANK(P3936),"",U3936/N3936)</f>
        <v/>
      </c>
      <c r="W3936" s="81">
        <f>IF(ISBLANK(P3936),"",IF(S3936=0,(365/0.5)*V3936,(365/S3936)*V3936))</f>
        <v/>
      </c>
      <c r="X3936" s="75" t="n"/>
      <c r="Y3936" s="77" t="n"/>
      <c r="Z3936" s="77" t="n"/>
      <c r="AA3936" s="75" t="n"/>
      <c r="AB3936" s="75" t="n"/>
      <c r="AC3936" s="6" t="n"/>
      <c r="AD3936" s="75" t="n"/>
      <c r="AE3936" s="75" t="n"/>
      <c r="AF3936" s="75" t="n"/>
    </row>
    <row r="3937" ht="15.75" customHeight="1" s="133">
      <c r="A3937" s="75" t="n"/>
      <c r="B3937" s="75" t="n"/>
      <c r="C3937" s="75" t="n"/>
      <c r="D3937" s="75" t="n"/>
      <c r="E3937" s="76" t="n"/>
      <c r="F3937" s="77" t="n"/>
      <c r="G3937" s="75" t="n"/>
      <c r="H3937" s="75">
        <f>IF(ISBLANK(E3937),"",IF(OR(D3937="Butterfly",D3937="Butterfly ",D3937="Iron Fly", D3937="Iron Fly "),LEN(E3937)-LEN(SUBSTITUTE(E3937,"/",""))+2,LEN(E3937)-LEN(SUBSTITUTE(E3937,"/",""))+1))</f>
        <v/>
      </c>
      <c r="I3937" s="78">
        <f>IF(ISBLANK(G3937),"",IF(D3937="Stock","0",Key!$A$3*H3937*G3937))</f>
        <v/>
      </c>
      <c r="J3937" s="78">
        <f>IF(ISBLANK(E3937),"",IF(ISNUMBER(SEARCH("/",E3937)), IF(LEN(E3937)-LEN(SUBSTITUTE(E3937,"/",""))=1,(RIGHT(E3937,LEN(E3937)-FIND("/",E3937)))-(LEFT(E3937,FIND("/",E3937)-1)),(MID(E3937, SEARCH("/",E3937) + 1, SEARCH("/",E3937, SEARCH("/",E3937)+1) - SEARCH("/",E3937) - 1))-(LEFT(E3937,FIND("/",E3937)-1))), "NA"))</f>
        <v/>
      </c>
      <c r="K3937" s="79">
        <f>IF(A3937&lt;&gt;"", IF(ISBLANK(L3937), TODAY(), K3937), "")</f>
        <v/>
      </c>
      <c r="L3937" s="78" t="n"/>
      <c r="M3937" s="78">
        <f>IF(ISBLANK(L3937),"",IF(D3937="Stock",IF(C3937="Buy",L3937*G3937,IF(C3937="Sell",(L3937*G3937)-I3937, X)),IF(C3937="Buy",(L3937*G3937*100)+I3937,IF(C3937="Sell",(L3937*G3937*100)-I3937, X))))</f>
        <v/>
      </c>
      <c r="N3937" s="78">
        <f>IF(ISBLANK(L3937),"",IF(AND(C3937="Sell",D3937="Stock"),M3937,IF(ISBLANK(L3937),"",IF(C3937="Buy",M3937, IF(AND(C3937="Sell",J3937="NA"),(E3937*G3937*100*0.1)+I3937, IF(C3937="Sell",(J3937-L3937)*(100*G3937)+I3937))))))</f>
        <v/>
      </c>
      <c r="O3937" s="75" t="n"/>
      <c r="P3937" s="75" t="n"/>
      <c r="Q3937" s="75">
        <f>IF(ISBLANK(P3937),"",IF(D3937="Stock",P3937*G3937,IF(P3937=0,"0",G3937*P3937*100-(G3937*$AF$14))))</f>
        <v/>
      </c>
      <c r="R3937" s="79">
        <f>IF(P3937&lt;&gt;"", TODAY(), "")</f>
        <v/>
      </c>
      <c r="S3937" s="78">
        <f>IF(AND(K3937&lt;&gt;"", R3937&lt;&gt;""), R3937-K3937, "")</f>
        <v/>
      </c>
      <c r="T3937" s="78" t="n"/>
      <c r="U3937" s="92">
        <f>IF(ISBLANK(P3937),"",IF(C3937="Buy",Q3937-M3937+T3937, IF(C3937="Sell",M3937-Q3937-T3937, X)))</f>
        <v/>
      </c>
      <c r="V3937" s="81">
        <f>IF(ISBLANK(P3937),"",U3937/N3937)</f>
        <v/>
      </c>
      <c r="W3937" s="81">
        <f>IF(ISBLANK(P3937),"",IF(S3937=0,(365/0.5)*V3937,(365/S3937)*V3937))</f>
        <v/>
      </c>
      <c r="X3937" s="75" t="n"/>
      <c r="Y3937" s="77" t="n"/>
      <c r="Z3937" s="77" t="n"/>
      <c r="AA3937" s="75" t="n"/>
      <c r="AB3937" s="75" t="n"/>
      <c r="AC3937" s="6" t="n"/>
      <c r="AD3937" s="75" t="n"/>
      <c r="AE3937" s="75" t="n"/>
      <c r="AF3937" s="75" t="n"/>
    </row>
    <row r="3938" ht="15.75" customHeight="1" s="133">
      <c r="A3938" s="75" t="n"/>
      <c r="B3938" s="75" t="n"/>
      <c r="C3938" s="75" t="n"/>
      <c r="D3938" s="75" t="n"/>
      <c r="E3938" s="76" t="n"/>
      <c r="F3938" s="77" t="n"/>
      <c r="G3938" s="75" t="n"/>
      <c r="H3938" s="75">
        <f>IF(ISBLANK(E3938),"",IF(OR(D3938="Butterfly",D3938="Butterfly ",D3938="Iron Fly", D3938="Iron Fly "),LEN(E3938)-LEN(SUBSTITUTE(E3938,"/",""))+2,LEN(E3938)-LEN(SUBSTITUTE(E3938,"/",""))+1))</f>
        <v/>
      </c>
      <c r="I3938" s="78">
        <f>IF(ISBLANK(G3938),"",IF(D3938="Stock","0",Key!$A$3*H3938*G3938))</f>
        <v/>
      </c>
      <c r="J3938" s="78">
        <f>IF(ISBLANK(E3938),"",IF(ISNUMBER(SEARCH("/",E3938)), IF(LEN(E3938)-LEN(SUBSTITUTE(E3938,"/",""))=1,(RIGHT(E3938,LEN(E3938)-FIND("/",E3938)))-(LEFT(E3938,FIND("/",E3938)-1)),(MID(E3938, SEARCH("/",E3938) + 1, SEARCH("/",E3938, SEARCH("/",E3938)+1) - SEARCH("/",E3938) - 1))-(LEFT(E3938,FIND("/",E3938)-1))), "NA"))</f>
        <v/>
      </c>
      <c r="K3938" s="79">
        <f>IF(A3938&lt;&gt;"", IF(ISBLANK(L3938), TODAY(), K3938), "")</f>
        <v/>
      </c>
      <c r="L3938" s="78" t="n"/>
      <c r="M3938" s="78">
        <f>IF(ISBLANK(L3938),"",IF(D3938="Stock",IF(C3938="Buy",L3938*G3938,IF(C3938="Sell",(L3938*G3938)-I3938, X)),IF(C3938="Buy",(L3938*G3938*100)+I3938,IF(C3938="Sell",(L3938*G3938*100)-I3938, X))))</f>
        <v/>
      </c>
      <c r="N3938" s="78">
        <f>IF(ISBLANK(L3938),"",IF(AND(C3938="Sell",D3938="Stock"),M3938,IF(ISBLANK(L3938),"",IF(C3938="Buy",M3938, IF(AND(C3938="Sell",J3938="NA"),(E3938*G3938*100*0.1)+I3938, IF(C3938="Sell",(J3938-L3938)*(100*G3938)+I3938))))))</f>
        <v/>
      </c>
      <c r="O3938" s="75" t="n"/>
      <c r="P3938" s="75" t="n"/>
      <c r="Q3938" s="75">
        <f>IF(ISBLANK(P3938),"",IF(D3938="Stock",P3938*G3938,IF(P3938=0,"0",G3938*P3938*100-(G3938*$AF$14))))</f>
        <v/>
      </c>
      <c r="R3938" s="79">
        <f>IF(P3938&lt;&gt;"", TODAY(), "")</f>
        <v/>
      </c>
      <c r="S3938" s="78">
        <f>IF(AND(K3938&lt;&gt;"", R3938&lt;&gt;""), R3938-K3938, "")</f>
        <v/>
      </c>
      <c r="T3938" s="78" t="n"/>
      <c r="U3938" s="92">
        <f>IF(ISBLANK(P3938),"",IF(C3938="Buy",Q3938-M3938+T3938, IF(C3938="Sell",M3938-Q3938-T3938, X)))</f>
        <v/>
      </c>
      <c r="V3938" s="81">
        <f>IF(ISBLANK(P3938),"",U3938/N3938)</f>
        <v/>
      </c>
      <c r="W3938" s="81">
        <f>IF(ISBLANK(P3938),"",IF(S3938=0,(365/0.5)*V3938,(365/S3938)*V3938))</f>
        <v/>
      </c>
      <c r="X3938" s="75" t="n"/>
      <c r="Y3938" s="77" t="n"/>
      <c r="Z3938" s="77" t="n"/>
      <c r="AA3938" s="75" t="n"/>
      <c r="AB3938" s="75" t="n"/>
      <c r="AC3938" s="6" t="n"/>
      <c r="AD3938" s="75" t="n"/>
      <c r="AE3938" s="75" t="n"/>
      <c r="AF3938" s="75" t="n"/>
    </row>
    <row r="3939" ht="15.75" customHeight="1" s="133">
      <c r="A3939" s="75" t="n"/>
      <c r="B3939" s="75" t="n"/>
      <c r="C3939" s="75" t="n"/>
      <c r="D3939" s="75" t="n"/>
      <c r="E3939" s="76" t="n"/>
      <c r="F3939" s="77" t="n"/>
      <c r="G3939" s="75" t="n"/>
      <c r="H3939" s="75">
        <f>IF(ISBLANK(E3939),"",IF(OR(D3939="Butterfly",D3939="Butterfly ",D3939="Iron Fly", D3939="Iron Fly "),LEN(E3939)-LEN(SUBSTITUTE(E3939,"/",""))+2,LEN(E3939)-LEN(SUBSTITUTE(E3939,"/",""))+1))</f>
        <v/>
      </c>
      <c r="I3939" s="78">
        <f>IF(ISBLANK(G3939),"",IF(D3939="Stock","0",Key!$A$3*H3939*G3939))</f>
        <v/>
      </c>
      <c r="J3939" s="78">
        <f>IF(ISBLANK(E3939),"",IF(ISNUMBER(SEARCH("/",E3939)), IF(LEN(E3939)-LEN(SUBSTITUTE(E3939,"/",""))=1,(RIGHT(E3939,LEN(E3939)-FIND("/",E3939)))-(LEFT(E3939,FIND("/",E3939)-1)),(MID(E3939, SEARCH("/",E3939) + 1, SEARCH("/",E3939, SEARCH("/",E3939)+1) - SEARCH("/",E3939) - 1))-(LEFT(E3939,FIND("/",E3939)-1))), "NA"))</f>
        <v/>
      </c>
      <c r="K3939" s="79">
        <f>IF(A3939&lt;&gt;"", IF(ISBLANK(L3939), TODAY(), K3939), "")</f>
        <v/>
      </c>
      <c r="L3939" s="78" t="n"/>
      <c r="M3939" s="78">
        <f>IF(ISBLANK(L3939),"",IF(D3939="Stock",IF(C3939="Buy",L3939*G3939,IF(C3939="Sell",(L3939*G3939)-I3939, X)),IF(C3939="Buy",(L3939*G3939*100)+I3939,IF(C3939="Sell",(L3939*G3939*100)-I3939, X))))</f>
        <v/>
      </c>
      <c r="N3939" s="78">
        <f>IF(ISBLANK(L3939),"",IF(AND(C3939="Sell",D3939="Stock"),M3939,IF(ISBLANK(L3939),"",IF(C3939="Buy",M3939, IF(AND(C3939="Sell",J3939="NA"),(E3939*G3939*100*0.1)+I3939, IF(C3939="Sell",(J3939-L3939)*(100*G3939)+I3939))))))</f>
        <v/>
      </c>
      <c r="O3939" s="75" t="n"/>
      <c r="P3939" s="75" t="n"/>
      <c r="Q3939" s="75">
        <f>IF(ISBLANK(P3939),"",IF(D3939="Stock",P3939*G3939,IF(P3939=0,"0",G3939*P3939*100-(G3939*$AF$14))))</f>
        <v/>
      </c>
      <c r="R3939" s="79">
        <f>IF(P3939&lt;&gt;"", TODAY(), "")</f>
        <v/>
      </c>
      <c r="S3939" s="78">
        <f>IF(AND(K3939&lt;&gt;"", R3939&lt;&gt;""), R3939-K3939, "")</f>
        <v/>
      </c>
      <c r="T3939" s="78" t="n"/>
      <c r="U3939" s="92">
        <f>IF(ISBLANK(P3939),"",IF(C3939="Buy",Q3939-M3939+T3939, IF(C3939="Sell",M3939-Q3939-T3939, X)))</f>
        <v/>
      </c>
      <c r="V3939" s="81">
        <f>IF(ISBLANK(P3939),"",U3939/N3939)</f>
        <v/>
      </c>
      <c r="W3939" s="81">
        <f>IF(ISBLANK(P3939),"",IF(S3939=0,(365/0.5)*V3939,(365/S3939)*V3939))</f>
        <v/>
      </c>
      <c r="X3939" s="75" t="n"/>
      <c r="Y3939" s="77" t="n"/>
      <c r="Z3939" s="77" t="n"/>
      <c r="AA3939" s="75" t="n"/>
      <c r="AB3939" s="75" t="n"/>
      <c r="AC3939" s="6" t="n"/>
      <c r="AD3939" s="75" t="n"/>
      <c r="AE3939" s="75" t="n"/>
      <c r="AF3939" s="75" t="n"/>
    </row>
    <row r="3940" ht="15.75" customHeight="1" s="133">
      <c r="A3940" s="75" t="n"/>
      <c r="B3940" s="75" t="n"/>
      <c r="C3940" s="75" t="n"/>
      <c r="D3940" s="75" t="n"/>
      <c r="E3940" s="76" t="n"/>
      <c r="F3940" s="77" t="n"/>
      <c r="G3940" s="75" t="n"/>
      <c r="H3940" s="75">
        <f>IF(ISBLANK(E3940),"",IF(OR(D3940="Butterfly",D3940="Butterfly ",D3940="Iron Fly", D3940="Iron Fly "),LEN(E3940)-LEN(SUBSTITUTE(E3940,"/",""))+2,LEN(E3940)-LEN(SUBSTITUTE(E3940,"/",""))+1))</f>
        <v/>
      </c>
      <c r="I3940" s="78">
        <f>IF(ISBLANK(G3940),"",IF(D3940="Stock","0",Key!$A$3*H3940*G3940))</f>
        <v/>
      </c>
      <c r="J3940" s="78">
        <f>IF(ISBLANK(E3940),"",IF(ISNUMBER(SEARCH("/",E3940)), IF(LEN(E3940)-LEN(SUBSTITUTE(E3940,"/",""))=1,(RIGHT(E3940,LEN(E3940)-FIND("/",E3940)))-(LEFT(E3940,FIND("/",E3940)-1)),(MID(E3940, SEARCH("/",E3940) + 1, SEARCH("/",E3940, SEARCH("/",E3940)+1) - SEARCH("/",E3940) - 1))-(LEFT(E3940,FIND("/",E3940)-1))), "NA"))</f>
        <v/>
      </c>
      <c r="K3940" s="79">
        <f>IF(A3940&lt;&gt;"", IF(ISBLANK(L3940), TODAY(), K3940), "")</f>
        <v/>
      </c>
      <c r="L3940" s="78" t="n"/>
      <c r="M3940" s="78">
        <f>IF(ISBLANK(L3940),"",IF(D3940="Stock",IF(C3940="Buy",L3940*G3940,IF(C3940="Sell",(L3940*G3940)-I3940, X)),IF(C3940="Buy",(L3940*G3940*100)+I3940,IF(C3940="Sell",(L3940*G3940*100)-I3940, X))))</f>
        <v/>
      </c>
      <c r="N3940" s="78">
        <f>IF(ISBLANK(L3940),"",IF(AND(C3940="Sell",D3940="Stock"),M3940,IF(ISBLANK(L3940),"",IF(C3940="Buy",M3940, IF(AND(C3940="Sell",J3940="NA"),(E3940*G3940*100*0.1)+I3940, IF(C3940="Sell",(J3940-L3940)*(100*G3940)+I3940))))))</f>
        <v/>
      </c>
      <c r="O3940" s="75" t="n"/>
      <c r="P3940" s="75" t="n"/>
      <c r="Q3940" s="75">
        <f>IF(ISBLANK(P3940),"",IF(D3940="Stock",P3940*G3940,IF(P3940=0,"0",G3940*P3940*100-(G3940*$AF$14))))</f>
        <v/>
      </c>
      <c r="R3940" s="79">
        <f>IF(P3940&lt;&gt;"", TODAY(), "")</f>
        <v/>
      </c>
      <c r="S3940" s="78">
        <f>IF(AND(K3940&lt;&gt;"", R3940&lt;&gt;""), R3940-K3940, "")</f>
        <v/>
      </c>
      <c r="T3940" s="78" t="n"/>
      <c r="U3940" s="92">
        <f>IF(ISBLANK(P3940),"",IF(C3940="Buy",Q3940-M3940+T3940, IF(C3940="Sell",M3940-Q3940-T3940, X)))</f>
        <v/>
      </c>
      <c r="V3940" s="81">
        <f>IF(ISBLANK(P3940),"",U3940/N3940)</f>
        <v/>
      </c>
      <c r="W3940" s="81">
        <f>IF(ISBLANK(P3940),"",IF(S3940=0,(365/0.5)*V3940,(365/S3940)*V3940))</f>
        <v/>
      </c>
      <c r="X3940" s="75" t="n"/>
      <c r="Y3940" s="77" t="n"/>
      <c r="Z3940" s="77" t="n"/>
      <c r="AA3940" s="75" t="n"/>
      <c r="AB3940" s="75" t="n"/>
      <c r="AC3940" s="6" t="n"/>
      <c r="AD3940" s="75" t="n"/>
      <c r="AE3940" s="75" t="n"/>
      <c r="AF3940" s="75" t="n"/>
    </row>
    <row r="3941" ht="15.75" customHeight="1" s="133">
      <c r="A3941" s="75" t="n"/>
      <c r="B3941" s="75" t="n"/>
      <c r="C3941" s="75" t="n"/>
      <c r="D3941" s="75" t="n"/>
      <c r="E3941" s="76" t="n"/>
      <c r="F3941" s="77" t="n"/>
      <c r="G3941" s="75" t="n"/>
      <c r="H3941" s="75">
        <f>IF(ISBLANK(E3941),"",IF(OR(D3941="Butterfly",D3941="Butterfly ",D3941="Iron Fly", D3941="Iron Fly "),LEN(E3941)-LEN(SUBSTITUTE(E3941,"/",""))+2,LEN(E3941)-LEN(SUBSTITUTE(E3941,"/",""))+1))</f>
        <v/>
      </c>
      <c r="I3941" s="78">
        <f>IF(ISBLANK(G3941),"",IF(D3941="Stock","0",Key!$A$3*H3941*G3941))</f>
        <v/>
      </c>
      <c r="J3941" s="78">
        <f>IF(ISBLANK(E3941),"",IF(ISNUMBER(SEARCH("/",E3941)), IF(LEN(E3941)-LEN(SUBSTITUTE(E3941,"/",""))=1,(RIGHT(E3941,LEN(E3941)-FIND("/",E3941)))-(LEFT(E3941,FIND("/",E3941)-1)),(MID(E3941, SEARCH("/",E3941) + 1, SEARCH("/",E3941, SEARCH("/",E3941)+1) - SEARCH("/",E3941) - 1))-(LEFT(E3941,FIND("/",E3941)-1))), "NA"))</f>
        <v/>
      </c>
      <c r="K3941" s="79">
        <f>IF(A3941&lt;&gt;"", IF(ISBLANK(L3941), TODAY(), K3941), "")</f>
        <v/>
      </c>
      <c r="L3941" s="78" t="n"/>
      <c r="M3941" s="78">
        <f>IF(ISBLANK(L3941),"",IF(D3941="Stock",IF(C3941="Buy",L3941*G3941,IF(C3941="Sell",(L3941*G3941)-I3941, X)),IF(C3941="Buy",(L3941*G3941*100)+I3941,IF(C3941="Sell",(L3941*G3941*100)-I3941, X))))</f>
        <v/>
      </c>
      <c r="N3941" s="78">
        <f>IF(ISBLANK(L3941),"",IF(AND(C3941="Sell",D3941="Stock"),M3941,IF(ISBLANK(L3941),"",IF(C3941="Buy",M3941, IF(AND(C3941="Sell",J3941="NA"),(E3941*G3941*100*0.1)+I3941, IF(C3941="Sell",(J3941-L3941)*(100*G3941)+I3941))))))</f>
        <v/>
      </c>
      <c r="O3941" s="75" t="n"/>
      <c r="P3941" s="75" t="n"/>
      <c r="Q3941" s="75">
        <f>IF(ISBLANK(P3941),"",IF(D3941="Stock",P3941*G3941,IF(P3941=0,"0",G3941*P3941*100-(G3941*$AF$14))))</f>
        <v/>
      </c>
      <c r="R3941" s="79">
        <f>IF(P3941&lt;&gt;"", TODAY(), "")</f>
        <v/>
      </c>
      <c r="S3941" s="78">
        <f>IF(AND(K3941&lt;&gt;"", R3941&lt;&gt;""), R3941-K3941, "")</f>
        <v/>
      </c>
      <c r="T3941" s="78" t="n"/>
      <c r="U3941" s="92">
        <f>IF(ISBLANK(P3941),"",IF(C3941="Buy",Q3941-M3941+T3941, IF(C3941="Sell",M3941-Q3941-T3941, X)))</f>
        <v/>
      </c>
      <c r="V3941" s="81">
        <f>IF(ISBLANK(P3941),"",U3941/N3941)</f>
        <v/>
      </c>
      <c r="W3941" s="81">
        <f>IF(ISBLANK(P3941),"",IF(S3941=0,(365/0.5)*V3941,(365/S3941)*V3941))</f>
        <v/>
      </c>
      <c r="X3941" s="75" t="n"/>
      <c r="Y3941" s="77" t="n"/>
      <c r="Z3941" s="77" t="n"/>
      <c r="AA3941" s="75" t="n"/>
      <c r="AB3941" s="75" t="n"/>
      <c r="AC3941" s="6" t="n"/>
      <c r="AD3941" s="75" t="n"/>
      <c r="AE3941" s="75" t="n"/>
      <c r="AF3941" s="75" t="n"/>
    </row>
    <row r="3942" ht="15.75" customHeight="1" s="133">
      <c r="A3942" s="75" t="n"/>
      <c r="B3942" s="75" t="n"/>
      <c r="C3942" s="75" t="n"/>
      <c r="D3942" s="75" t="n"/>
      <c r="E3942" s="76" t="n"/>
      <c r="F3942" s="77" t="n"/>
      <c r="G3942" s="75" t="n"/>
      <c r="H3942" s="75">
        <f>IF(ISBLANK(E3942),"",IF(OR(D3942="Butterfly",D3942="Butterfly ",D3942="Iron Fly", D3942="Iron Fly "),LEN(E3942)-LEN(SUBSTITUTE(E3942,"/",""))+2,LEN(E3942)-LEN(SUBSTITUTE(E3942,"/",""))+1))</f>
        <v/>
      </c>
      <c r="I3942" s="78">
        <f>IF(ISBLANK(G3942),"",IF(D3942="Stock","0",Key!$A$3*H3942*G3942))</f>
        <v/>
      </c>
      <c r="J3942" s="78">
        <f>IF(ISBLANK(E3942),"",IF(ISNUMBER(SEARCH("/",E3942)), IF(LEN(E3942)-LEN(SUBSTITUTE(E3942,"/",""))=1,(RIGHT(E3942,LEN(E3942)-FIND("/",E3942)))-(LEFT(E3942,FIND("/",E3942)-1)),(MID(E3942, SEARCH("/",E3942) + 1, SEARCH("/",E3942, SEARCH("/",E3942)+1) - SEARCH("/",E3942) - 1))-(LEFT(E3942,FIND("/",E3942)-1))), "NA"))</f>
        <v/>
      </c>
      <c r="K3942" s="79">
        <f>IF(A3942&lt;&gt;"", IF(ISBLANK(L3942), TODAY(), K3942), "")</f>
        <v/>
      </c>
      <c r="L3942" s="78" t="n"/>
      <c r="M3942" s="78">
        <f>IF(ISBLANK(L3942),"",IF(D3942="Stock",IF(C3942="Buy",L3942*G3942,IF(C3942="Sell",(L3942*G3942)-I3942, X)),IF(C3942="Buy",(L3942*G3942*100)+I3942,IF(C3942="Sell",(L3942*G3942*100)-I3942, X))))</f>
        <v/>
      </c>
      <c r="N3942" s="78">
        <f>IF(ISBLANK(L3942),"",IF(AND(C3942="Sell",D3942="Stock"),M3942,IF(ISBLANK(L3942),"",IF(C3942="Buy",M3942, IF(AND(C3942="Sell",J3942="NA"),(E3942*G3942*100*0.1)+I3942, IF(C3942="Sell",(J3942-L3942)*(100*G3942)+I3942))))))</f>
        <v/>
      </c>
      <c r="O3942" s="75" t="n"/>
      <c r="P3942" s="75" t="n"/>
      <c r="Q3942" s="75">
        <f>IF(ISBLANK(P3942),"",IF(D3942="Stock",P3942*G3942,IF(P3942=0,"0",G3942*P3942*100-(G3942*$AF$14))))</f>
        <v/>
      </c>
      <c r="R3942" s="79">
        <f>IF(P3942&lt;&gt;"", TODAY(), "")</f>
        <v/>
      </c>
      <c r="S3942" s="78">
        <f>IF(AND(K3942&lt;&gt;"", R3942&lt;&gt;""), R3942-K3942, "")</f>
        <v/>
      </c>
      <c r="T3942" s="78" t="n"/>
      <c r="U3942" s="92">
        <f>IF(ISBLANK(P3942),"",IF(C3942="Buy",Q3942-M3942+T3942, IF(C3942="Sell",M3942-Q3942-T3942, X)))</f>
        <v/>
      </c>
      <c r="V3942" s="81">
        <f>IF(ISBLANK(P3942),"",U3942/N3942)</f>
        <v/>
      </c>
      <c r="W3942" s="81">
        <f>IF(ISBLANK(P3942),"",IF(S3942=0,(365/0.5)*V3942,(365/S3942)*V3942))</f>
        <v/>
      </c>
      <c r="X3942" s="75" t="n"/>
      <c r="Y3942" s="77" t="n"/>
      <c r="Z3942" s="77" t="n"/>
      <c r="AA3942" s="75" t="n"/>
      <c r="AB3942" s="75" t="n"/>
      <c r="AC3942" s="6" t="n"/>
      <c r="AD3942" s="75" t="n"/>
      <c r="AE3942" s="75" t="n"/>
      <c r="AF3942" s="75" t="n"/>
    </row>
    <row r="3943" ht="15.75" customHeight="1" s="133">
      <c r="A3943" s="75" t="n"/>
      <c r="B3943" s="75" t="n"/>
      <c r="C3943" s="75" t="n"/>
      <c r="D3943" s="75" t="n"/>
      <c r="E3943" s="76" t="n"/>
      <c r="F3943" s="77" t="n"/>
      <c r="G3943" s="75" t="n"/>
      <c r="H3943" s="75">
        <f>IF(ISBLANK(E3943),"",IF(OR(D3943="Butterfly",D3943="Butterfly ",D3943="Iron Fly", D3943="Iron Fly "),LEN(E3943)-LEN(SUBSTITUTE(E3943,"/",""))+2,LEN(E3943)-LEN(SUBSTITUTE(E3943,"/",""))+1))</f>
        <v/>
      </c>
      <c r="I3943" s="78">
        <f>IF(ISBLANK(G3943),"",IF(D3943="Stock","0",Key!$A$3*H3943*G3943))</f>
        <v/>
      </c>
      <c r="J3943" s="78">
        <f>IF(ISBLANK(E3943),"",IF(ISNUMBER(SEARCH("/",E3943)), IF(LEN(E3943)-LEN(SUBSTITUTE(E3943,"/",""))=1,(RIGHT(E3943,LEN(E3943)-FIND("/",E3943)))-(LEFT(E3943,FIND("/",E3943)-1)),(MID(E3943, SEARCH("/",E3943) + 1, SEARCH("/",E3943, SEARCH("/",E3943)+1) - SEARCH("/",E3943) - 1))-(LEFT(E3943,FIND("/",E3943)-1))), "NA"))</f>
        <v/>
      </c>
      <c r="K3943" s="79">
        <f>IF(A3943&lt;&gt;"", IF(ISBLANK(L3943), TODAY(), K3943), "")</f>
        <v/>
      </c>
      <c r="L3943" s="78" t="n"/>
      <c r="M3943" s="78">
        <f>IF(ISBLANK(L3943),"",IF(D3943="Stock",IF(C3943="Buy",L3943*G3943,IF(C3943="Sell",(L3943*G3943)-I3943, X)),IF(C3943="Buy",(L3943*G3943*100)+I3943,IF(C3943="Sell",(L3943*G3943*100)-I3943, X))))</f>
        <v/>
      </c>
      <c r="N3943" s="78">
        <f>IF(ISBLANK(L3943),"",IF(AND(C3943="Sell",D3943="Stock"),M3943,IF(ISBLANK(L3943),"",IF(C3943="Buy",M3943, IF(AND(C3943="Sell",J3943="NA"),(E3943*G3943*100*0.1)+I3943, IF(C3943="Sell",(J3943-L3943)*(100*G3943)+I3943))))))</f>
        <v/>
      </c>
      <c r="O3943" s="75" t="n"/>
      <c r="P3943" s="75" t="n"/>
      <c r="Q3943" s="75">
        <f>IF(ISBLANK(P3943),"",IF(D3943="Stock",P3943*G3943,IF(P3943=0,"0",G3943*P3943*100-(G3943*$AF$14))))</f>
        <v/>
      </c>
      <c r="R3943" s="79">
        <f>IF(P3943&lt;&gt;"", TODAY(), "")</f>
        <v/>
      </c>
      <c r="S3943" s="78">
        <f>IF(AND(K3943&lt;&gt;"", R3943&lt;&gt;""), R3943-K3943, "")</f>
        <v/>
      </c>
      <c r="T3943" s="78" t="n"/>
      <c r="U3943" s="92">
        <f>IF(ISBLANK(P3943),"",IF(C3943="Buy",Q3943-M3943+T3943, IF(C3943="Sell",M3943-Q3943-T3943, X)))</f>
        <v/>
      </c>
      <c r="V3943" s="81">
        <f>IF(ISBLANK(P3943),"",U3943/N3943)</f>
        <v/>
      </c>
      <c r="W3943" s="81">
        <f>IF(ISBLANK(P3943),"",IF(S3943=0,(365/0.5)*V3943,(365/S3943)*V3943))</f>
        <v/>
      </c>
      <c r="X3943" s="75" t="n"/>
      <c r="Y3943" s="77" t="n"/>
      <c r="Z3943" s="77" t="n"/>
      <c r="AA3943" s="75" t="n"/>
      <c r="AB3943" s="75" t="n"/>
      <c r="AC3943" s="6" t="n"/>
      <c r="AD3943" s="75" t="n"/>
      <c r="AE3943" s="75" t="n"/>
      <c r="AF3943" s="75" t="n"/>
    </row>
    <row r="3944" ht="15.75" customHeight="1" s="133">
      <c r="A3944" s="75" t="n"/>
      <c r="B3944" s="75" t="n"/>
      <c r="C3944" s="75" t="n"/>
      <c r="D3944" s="75" t="n"/>
      <c r="E3944" s="76" t="n"/>
      <c r="F3944" s="77" t="n"/>
      <c r="G3944" s="75" t="n"/>
      <c r="H3944" s="75">
        <f>IF(ISBLANK(E3944),"",IF(OR(D3944="Butterfly",D3944="Butterfly ",D3944="Iron Fly", D3944="Iron Fly "),LEN(E3944)-LEN(SUBSTITUTE(E3944,"/",""))+2,LEN(E3944)-LEN(SUBSTITUTE(E3944,"/",""))+1))</f>
        <v/>
      </c>
      <c r="I3944" s="78">
        <f>IF(ISBLANK(G3944),"",IF(D3944="Stock","0",Key!$A$3*H3944*G3944))</f>
        <v/>
      </c>
      <c r="J3944" s="78">
        <f>IF(ISBLANK(E3944),"",IF(ISNUMBER(SEARCH("/",E3944)), IF(LEN(E3944)-LEN(SUBSTITUTE(E3944,"/",""))=1,(RIGHT(E3944,LEN(E3944)-FIND("/",E3944)))-(LEFT(E3944,FIND("/",E3944)-1)),(MID(E3944, SEARCH("/",E3944) + 1, SEARCH("/",E3944, SEARCH("/",E3944)+1) - SEARCH("/",E3944) - 1))-(LEFT(E3944,FIND("/",E3944)-1))), "NA"))</f>
        <v/>
      </c>
      <c r="K3944" s="79">
        <f>IF(A3944&lt;&gt;"", IF(ISBLANK(L3944), TODAY(), K3944), "")</f>
        <v/>
      </c>
      <c r="L3944" s="78" t="n"/>
      <c r="M3944" s="78">
        <f>IF(ISBLANK(L3944),"",IF(D3944="Stock",IF(C3944="Buy",L3944*G3944,IF(C3944="Sell",(L3944*G3944)-I3944, X)),IF(C3944="Buy",(L3944*G3944*100)+I3944,IF(C3944="Sell",(L3944*G3944*100)-I3944, X))))</f>
        <v/>
      </c>
      <c r="N3944" s="78">
        <f>IF(ISBLANK(L3944),"",IF(AND(C3944="Sell",D3944="Stock"),M3944,IF(ISBLANK(L3944),"",IF(C3944="Buy",M3944, IF(AND(C3944="Sell",J3944="NA"),(E3944*G3944*100*0.1)+I3944, IF(C3944="Sell",(J3944-L3944)*(100*G3944)+I3944))))))</f>
        <v/>
      </c>
      <c r="O3944" s="75" t="n"/>
      <c r="P3944" s="75" t="n"/>
      <c r="Q3944" s="75">
        <f>IF(ISBLANK(P3944),"",IF(D3944="Stock",P3944*G3944,IF(P3944=0,"0",G3944*P3944*100-(G3944*$AF$14))))</f>
        <v/>
      </c>
      <c r="R3944" s="79">
        <f>IF(P3944&lt;&gt;"", TODAY(), "")</f>
        <v/>
      </c>
      <c r="S3944" s="78">
        <f>IF(AND(K3944&lt;&gt;"", R3944&lt;&gt;""), R3944-K3944, "")</f>
        <v/>
      </c>
      <c r="T3944" s="78" t="n"/>
      <c r="U3944" s="92">
        <f>IF(ISBLANK(P3944),"",IF(C3944="Buy",Q3944-M3944+T3944, IF(C3944="Sell",M3944-Q3944-T3944, X)))</f>
        <v/>
      </c>
      <c r="V3944" s="81">
        <f>IF(ISBLANK(P3944),"",U3944/N3944)</f>
        <v/>
      </c>
      <c r="W3944" s="81">
        <f>IF(ISBLANK(P3944),"",IF(S3944=0,(365/0.5)*V3944,(365/S3944)*V3944))</f>
        <v/>
      </c>
      <c r="X3944" s="75" t="n"/>
      <c r="Y3944" s="77" t="n"/>
      <c r="Z3944" s="77" t="n"/>
      <c r="AA3944" s="75" t="n"/>
      <c r="AB3944" s="75" t="n"/>
      <c r="AC3944" s="6" t="n"/>
      <c r="AD3944" s="75" t="n"/>
      <c r="AE3944" s="75" t="n"/>
      <c r="AF3944" s="75" t="n"/>
    </row>
    <row r="3945" ht="15.75" customHeight="1" s="133">
      <c r="A3945" s="75" t="n"/>
      <c r="B3945" s="75" t="n"/>
      <c r="C3945" s="75" t="n"/>
      <c r="D3945" s="75" t="n"/>
      <c r="E3945" s="76" t="n"/>
      <c r="F3945" s="77" t="n"/>
      <c r="G3945" s="75" t="n"/>
      <c r="H3945" s="75">
        <f>IF(ISBLANK(E3945),"",IF(OR(D3945="Butterfly",D3945="Butterfly ",D3945="Iron Fly", D3945="Iron Fly "),LEN(E3945)-LEN(SUBSTITUTE(E3945,"/",""))+2,LEN(E3945)-LEN(SUBSTITUTE(E3945,"/",""))+1))</f>
        <v/>
      </c>
      <c r="I3945" s="78">
        <f>IF(ISBLANK(G3945),"",IF(D3945="Stock","0",Key!$A$3*H3945*G3945))</f>
        <v/>
      </c>
      <c r="J3945" s="78">
        <f>IF(ISBLANK(E3945),"",IF(ISNUMBER(SEARCH("/",E3945)), IF(LEN(E3945)-LEN(SUBSTITUTE(E3945,"/",""))=1,(RIGHT(E3945,LEN(E3945)-FIND("/",E3945)))-(LEFT(E3945,FIND("/",E3945)-1)),(MID(E3945, SEARCH("/",E3945) + 1, SEARCH("/",E3945, SEARCH("/",E3945)+1) - SEARCH("/",E3945) - 1))-(LEFT(E3945,FIND("/",E3945)-1))), "NA"))</f>
        <v/>
      </c>
      <c r="K3945" s="79">
        <f>IF(A3945&lt;&gt;"", IF(ISBLANK(L3945), TODAY(), K3945), "")</f>
        <v/>
      </c>
      <c r="L3945" s="78" t="n"/>
      <c r="M3945" s="78">
        <f>IF(ISBLANK(L3945),"",IF(D3945="Stock",IF(C3945="Buy",L3945*G3945,IF(C3945="Sell",(L3945*G3945)-I3945, X)),IF(C3945="Buy",(L3945*G3945*100)+I3945,IF(C3945="Sell",(L3945*G3945*100)-I3945, X))))</f>
        <v/>
      </c>
      <c r="N3945" s="78">
        <f>IF(ISBLANK(L3945),"",IF(AND(C3945="Sell",D3945="Stock"),M3945,IF(ISBLANK(L3945),"",IF(C3945="Buy",M3945, IF(AND(C3945="Sell",J3945="NA"),(E3945*G3945*100*0.1)+I3945, IF(C3945="Sell",(J3945-L3945)*(100*G3945)+I3945))))))</f>
        <v/>
      </c>
      <c r="O3945" s="75" t="n"/>
      <c r="P3945" s="75" t="n"/>
      <c r="Q3945" s="75">
        <f>IF(ISBLANK(P3945),"",IF(D3945="Stock",P3945*G3945,IF(P3945=0,"0",G3945*P3945*100-(G3945*$AF$14))))</f>
        <v/>
      </c>
      <c r="R3945" s="79">
        <f>IF(P3945&lt;&gt;"", TODAY(), "")</f>
        <v/>
      </c>
      <c r="S3945" s="78">
        <f>IF(AND(K3945&lt;&gt;"", R3945&lt;&gt;""), R3945-K3945, "")</f>
        <v/>
      </c>
      <c r="T3945" s="78" t="n"/>
      <c r="U3945" s="92">
        <f>IF(ISBLANK(P3945),"",IF(C3945="Buy",Q3945-M3945+T3945, IF(C3945="Sell",M3945-Q3945-T3945, X)))</f>
        <v/>
      </c>
      <c r="V3945" s="81">
        <f>IF(ISBLANK(P3945),"",U3945/N3945)</f>
        <v/>
      </c>
      <c r="W3945" s="81">
        <f>IF(ISBLANK(P3945),"",IF(S3945=0,(365/0.5)*V3945,(365/S3945)*V3945))</f>
        <v/>
      </c>
      <c r="X3945" s="75" t="n"/>
      <c r="Y3945" s="77" t="n"/>
      <c r="Z3945" s="77" t="n"/>
      <c r="AA3945" s="75" t="n"/>
      <c r="AB3945" s="75" t="n"/>
      <c r="AC3945" s="6" t="n"/>
      <c r="AD3945" s="75" t="n"/>
      <c r="AE3945" s="75" t="n"/>
      <c r="AF3945" s="75" t="n"/>
    </row>
    <row r="3946" ht="15.75" customHeight="1" s="133">
      <c r="A3946" s="75" t="n"/>
      <c r="B3946" s="75" t="n"/>
      <c r="C3946" s="75" t="n"/>
      <c r="D3946" s="75" t="n"/>
      <c r="E3946" s="76" t="n"/>
      <c r="F3946" s="77" t="n"/>
      <c r="G3946" s="75" t="n"/>
      <c r="H3946" s="75">
        <f>IF(ISBLANK(E3946),"",IF(OR(D3946="Butterfly",D3946="Butterfly ",D3946="Iron Fly", D3946="Iron Fly "),LEN(E3946)-LEN(SUBSTITUTE(E3946,"/",""))+2,LEN(E3946)-LEN(SUBSTITUTE(E3946,"/",""))+1))</f>
        <v/>
      </c>
      <c r="I3946" s="78">
        <f>IF(ISBLANK(G3946),"",IF(D3946="Stock","0",Key!$A$3*H3946*G3946))</f>
        <v/>
      </c>
      <c r="J3946" s="78">
        <f>IF(ISBLANK(E3946),"",IF(ISNUMBER(SEARCH("/",E3946)), IF(LEN(E3946)-LEN(SUBSTITUTE(E3946,"/",""))=1,(RIGHT(E3946,LEN(E3946)-FIND("/",E3946)))-(LEFT(E3946,FIND("/",E3946)-1)),(MID(E3946, SEARCH("/",E3946) + 1, SEARCH("/",E3946, SEARCH("/",E3946)+1) - SEARCH("/",E3946) - 1))-(LEFT(E3946,FIND("/",E3946)-1))), "NA"))</f>
        <v/>
      </c>
      <c r="K3946" s="79">
        <f>IF(A3946&lt;&gt;"", IF(ISBLANK(L3946), TODAY(), K3946), "")</f>
        <v/>
      </c>
      <c r="L3946" s="78" t="n"/>
      <c r="M3946" s="78">
        <f>IF(ISBLANK(L3946),"",IF(D3946="Stock",IF(C3946="Buy",L3946*G3946,IF(C3946="Sell",(L3946*G3946)-I3946, X)),IF(C3946="Buy",(L3946*G3946*100)+I3946,IF(C3946="Sell",(L3946*G3946*100)-I3946, X))))</f>
        <v/>
      </c>
      <c r="N3946" s="78">
        <f>IF(ISBLANK(L3946),"",IF(AND(C3946="Sell",D3946="Stock"),M3946,IF(ISBLANK(L3946),"",IF(C3946="Buy",M3946, IF(AND(C3946="Sell",J3946="NA"),(E3946*G3946*100*0.1)+I3946, IF(C3946="Sell",(J3946-L3946)*(100*G3946)+I3946))))))</f>
        <v/>
      </c>
      <c r="O3946" s="75" t="n"/>
      <c r="P3946" s="75" t="n"/>
      <c r="Q3946" s="75">
        <f>IF(ISBLANK(P3946),"",IF(D3946="Stock",P3946*G3946,IF(P3946=0,"0",G3946*P3946*100-(G3946*$AF$14))))</f>
        <v/>
      </c>
      <c r="R3946" s="79">
        <f>IF(P3946&lt;&gt;"", TODAY(), "")</f>
        <v/>
      </c>
      <c r="S3946" s="78">
        <f>IF(AND(K3946&lt;&gt;"", R3946&lt;&gt;""), R3946-K3946, "")</f>
        <v/>
      </c>
      <c r="T3946" s="78" t="n"/>
      <c r="U3946" s="92">
        <f>IF(ISBLANK(P3946),"",IF(C3946="Buy",Q3946-M3946+T3946, IF(C3946="Sell",M3946-Q3946-T3946, X)))</f>
        <v/>
      </c>
      <c r="V3946" s="81">
        <f>IF(ISBLANK(P3946),"",U3946/N3946)</f>
        <v/>
      </c>
      <c r="W3946" s="81">
        <f>IF(ISBLANK(P3946),"",IF(S3946=0,(365/0.5)*V3946,(365/S3946)*V3946))</f>
        <v/>
      </c>
      <c r="X3946" s="75" t="n"/>
      <c r="Y3946" s="77" t="n"/>
      <c r="Z3946" s="77" t="n"/>
      <c r="AA3946" s="75" t="n"/>
      <c r="AB3946" s="75" t="n"/>
      <c r="AC3946" s="6" t="n"/>
      <c r="AD3946" s="75" t="n"/>
      <c r="AE3946" s="75" t="n"/>
      <c r="AF3946" s="75" t="n"/>
    </row>
    <row r="3947" ht="15.75" customHeight="1" s="133">
      <c r="A3947" s="75" t="n"/>
      <c r="B3947" s="75" t="n"/>
      <c r="C3947" s="75" t="n"/>
      <c r="D3947" s="75" t="n"/>
      <c r="E3947" s="76" t="n"/>
      <c r="F3947" s="77" t="n"/>
      <c r="G3947" s="75" t="n"/>
      <c r="H3947" s="75">
        <f>IF(ISBLANK(E3947),"",IF(OR(D3947="Butterfly",D3947="Butterfly ",D3947="Iron Fly", D3947="Iron Fly "),LEN(E3947)-LEN(SUBSTITUTE(E3947,"/",""))+2,LEN(E3947)-LEN(SUBSTITUTE(E3947,"/",""))+1))</f>
        <v/>
      </c>
      <c r="I3947" s="78">
        <f>IF(ISBLANK(G3947),"",IF(D3947="Stock","0",Key!$A$3*H3947*G3947))</f>
        <v/>
      </c>
      <c r="J3947" s="78">
        <f>IF(ISBLANK(E3947),"",IF(ISNUMBER(SEARCH("/",E3947)), IF(LEN(E3947)-LEN(SUBSTITUTE(E3947,"/",""))=1,(RIGHT(E3947,LEN(E3947)-FIND("/",E3947)))-(LEFT(E3947,FIND("/",E3947)-1)),(MID(E3947, SEARCH("/",E3947) + 1, SEARCH("/",E3947, SEARCH("/",E3947)+1) - SEARCH("/",E3947) - 1))-(LEFT(E3947,FIND("/",E3947)-1))), "NA"))</f>
        <v/>
      </c>
      <c r="K3947" s="79">
        <f>IF(A3947&lt;&gt;"", IF(ISBLANK(L3947), TODAY(), K3947), "")</f>
        <v/>
      </c>
      <c r="L3947" s="78" t="n"/>
      <c r="M3947" s="78">
        <f>IF(ISBLANK(L3947),"",IF(D3947="Stock",IF(C3947="Buy",L3947*G3947,IF(C3947="Sell",(L3947*G3947)-I3947, X)),IF(C3947="Buy",(L3947*G3947*100)+I3947,IF(C3947="Sell",(L3947*G3947*100)-I3947, X))))</f>
        <v/>
      </c>
      <c r="N3947" s="78">
        <f>IF(ISBLANK(L3947),"",IF(AND(C3947="Sell",D3947="Stock"),M3947,IF(ISBLANK(L3947),"",IF(C3947="Buy",M3947, IF(AND(C3947="Sell",J3947="NA"),(E3947*G3947*100*0.1)+I3947, IF(C3947="Sell",(J3947-L3947)*(100*G3947)+I3947))))))</f>
        <v/>
      </c>
      <c r="O3947" s="75" t="n"/>
      <c r="P3947" s="75" t="n"/>
      <c r="Q3947" s="75">
        <f>IF(ISBLANK(P3947),"",IF(D3947="Stock",P3947*G3947,IF(P3947=0,"0",G3947*P3947*100-(G3947*$AF$14))))</f>
        <v/>
      </c>
      <c r="R3947" s="79">
        <f>IF(P3947&lt;&gt;"", TODAY(), "")</f>
        <v/>
      </c>
      <c r="S3947" s="78">
        <f>IF(AND(K3947&lt;&gt;"", R3947&lt;&gt;""), R3947-K3947, "")</f>
        <v/>
      </c>
      <c r="T3947" s="78" t="n"/>
      <c r="U3947" s="92">
        <f>IF(ISBLANK(P3947),"",IF(C3947="Buy",Q3947-M3947+T3947, IF(C3947="Sell",M3947-Q3947-T3947, X)))</f>
        <v/>
      </c>
      <c r="V3947" s="81">
        <f>IF(ISBLANK(P3947),"",U3947/N3947)</f>
        <v/>
      </c>
      <c r="W3947" s="81">
        <f>IF(ISBLANK(P3947),"",IF(S3947=0,(365/0.5)*V3947,(365/S3947)*V3947))</f>
        <v/>
      </c>
      <c r="X3947" s="75" t="n"/>
      <c r="Y3947" s="77" t="n"/>
      <c r="Z3947" s="77" t="n"/>
      <c r="AA3947" s="75" t="n"/>
      <c r="AB3947" s="75" t="n"/>
      <c r="AC3947" s="6" t="n"/>
      <c r="AD3947" s="75" t="n"/>
      <c r="AE3947" s="75" t="n"/>
      <c r="AF3947" s="75" t="n"/>
    </row>
    <row r="3948" ht="15.75" customHeight="1" s="133">
      <c r="A3948" s="75" t="n"/>
      <c r="B3948" s="75" t="n"/>
      <c r="C3948" s="75" t="n"/>
      <c r="D3948" s="75" t="n"/>
      <c r="E3948" s="76" t="n"/>
      <c r="F3948" s="77" t="n"/>
      <c r="G3948" s="75" t="n"/>
      <c r="H3948" s="75">
        <f>IF(ISBLANK(E3948),"",IF(OR(D3948="Butterfly",D3948="Butterfly ",D3948="Iron Fly", D3948="Iron Fly "),LEN(E3948)-LEN(SUBSTITUTE(E3948,"/",""))+2,LEN(E3948)-LEN(SUBSTITUTE(E3948,"/",""))+1))</f>
        <v/>
      </c>
      <c r="I3948" s="78">
        <f>IF(ISBLANK(G3948),"",IF(D3948="Stock","0",Key!$A$3*H3948*G3948))</f>
        <v/>
      </c>
      <c r="J3948" s="78">
        <f>IF(ISBLANK(E3948),"",IF(ISNUMBER(SEARCH("/",E3948)), IF(LEN(E3948)-LEN(SUBSTITUTE(E3948,"/",""))=1,(RIGHT(E3948,LEN(E3948)-FIND("/",E3948)))-(LEFT(E3948,FIND("/",E3948)-1)),(MID(E3948, SEARCH("/",E3948) + 1, SEARCH("/",E3948, SEARCH("/",E3948)+1) - SEARCH("/",E3948) - 1))-(LEFT(E3948,FIND("/",E3948)-1))), "NA"))</f>
        <v/>
      </c>
      <c r="K3948" s="79">
        <f>IF(A3948&lt;&gt;"", IF(ISBLANK(L3948), TODAY(), K3948), "")</f>
        <v/>
      </c>
      <c r="L3948" s="78" t="n"/>
      <c r="M3948" s="78">
        <f>IF(ISBLANK(L3948),"",IF(D3948="Stock",IF(C3948="Buy",L3948*G3948,IF(C3948="Sell",(L3948*G3948)-I3948, X)),IF(C3948="Buy",(L3948*G3948*100)+I3948,IF(C3948="Sell",(L3948*G3948*100)-I3948, X))))</f>
        <v/>
      </c>
      <c r="N3948" s="78">
        <f>IF(ISBLANK(L3948),"",IF(AND(C3948="Sell",D3948="Stock"),M3948,IF(ISBLANK(L3948),"",IF(C3948="Buy",M3948, IF(AND(C3948="Sell",J3948="NA"),(E3948*G3948*100*0.1)+I3948, IF(C3948="Sell",(J3948-L3948)*(100*G3948)+I3948))))))</f>
        <v/>
      </c>
      <c r="O3948" s="75" t="n"/>
      <c r="P3948" s="75" t="n"/>
      <c r="Q3948" s="75">
        <f>IF(ISBLANK(P3948),"",IF(D3948="Stock",P3948*G3948,IF(P3948=0,"0",G3948*P3948*100-(G3948*$AF$14))))</f>
        <v/>
      </c>
      <c r="R3948" s="79">
        <f>IF(P3948&lt;&gt;"", TODAY(), "")</f>
        <v/>
      </c>
      <c r="S3948" s="78">
        <f>IF(AND(K3948&lt;&gt;"", R3948&lt;&gt;""), R3948-K3948, "")</f>
        <v/>
      </c>
      <c r="T3948" s="78" t="n"/>
      <c r="U3948" s="92">
        <f>IF(ISBLANK(P3948),"",IF(C3948="Buy",Q3948-M3948+T3948, IF(C3948="Sell",M3948-Q3948-T3948, X)))</f>
        <v/>
      </c>
      <c r="V3948" s="81">
        <f>IF(ISBLANK(P3948),"",U3948/N3948)</f>
        <v/>
      </c>
      <c r="W3948" s="81">
        <f>IF(ISBLANK(P3948),"",IF(S3948=0,(365/0.5)*V3948,(365/S3948)*V3948))</f>
        <v/>
      </c>
      <c r="X3948" s="75" t="n"/>
      <c r="Y3948" s="77" t="n"/>
      <c r="Z3948" s="77" t="n"/>
      <c r="AA3948" s="75" t="n"/>
      <c r="AB3948" s="75" t="n"/>
      <c r="AC3948" s="6" t="n"/>
      <c r="AD3948" s="75" t="n"/>
      <c r="AE3948" s="75" t="n"/>
      <c r="AF3948" s="75" t="n"/>
    </row>
    <row r="3949" ht="15.75" customHeight="1" s="133">
      <c r="A3949" s="75" t="n"/>
      <c r="B3949" s="75" t="n"/>
      <c r="C3949" s="75" t="n"/>
      <c r="D3949" s="75" t="n"/>
      <c r="E3949" s="76" t="n"/>
      <c r="F3949" s="77" t="n"/>
      <c r="G3949" s="75" t="n"/>
      <c r="H3949" s="75">
        <f>IF(ISBLANK(E3949),"",IF(OR(D3949="Butterfly",D3949="Butterfly ",D3949="Iron Fly", D3949="Iron Fly "),LEN(E3949)-LEN(SUBSTITUTE(E3949,"/",""))+2,LEN(E3949)-LEN(SUBSTITUTE(E3949,"/",""))+1))</f>
        <v/>
      </c>
      <c r="I3949" s="78">
        <f>IF(ISBLANK(G3949),"",IF(D3949="Stock","0",Key!$A$3*H3949*G3949))</f>
        <v/>
      </c>
      <c r="J3949" s="78">
        <f>IF(ISBLANK(E3949),"",IF(ISNUMBER(SEARCH("/",E3949)), IF(LEN(E3949)-LEN(SUBSTITUTE(E3949,"/",""))=1,(RIGHT(E3949,LEN(E3949)-FIND("/",E3949)))-(LEFT(E3949,FIND("/",E3949)-1)),(MID(E3949, SEARCH("/",E3949) + 1, SEARCH("/",E3949, SEARCH("/",E3949)+1) - SEARCH("/",E3949) - 1))-(LEFT(E3949,FIND("/",E3949)-1))), "NA"))</f>
        <v/>
      </c>
      <c r="K3949" s="79">
        <f>IF(A3949&lt;&gt;"", IF(ISBLANK(L3949), TODAY(), K3949), "")</f>
        <v/>
      </c>
      <c r="L3949" s="78" t="n"/>
      <c r="M3949" s="78">
        <f>IF(ISBLANK(L3949),"",IF(D3949="Stock",IF(C3949="Buy",L3949*G3949,IF(C3949="Sell",(L3949*G3949)-I3949, X)),IF(C3949="Buy",(L3949*G3949*100)+I3949,IF(C3949="Sell",(L3949*G3949*100)-I3949, X))))</f>
        <v/>
      </c>
      <c r="N3949" s="78">
        <f>IF(ISBLANK(L3949),"",IF(AND(C3949="Sell",D3949="Stock"),M3949,IF(ISBLANK(L3949),"",IF(C3949="Buy",M3949, IF(AND(C3949="Sell",J3949="NA"),(E3949*G3949*100*0.1)+I3949, IF(C3949="Sell",(J3949-L3949)*(100*G3949)+I3949))))))</f>
        <v/>
      </c>
      <c r="O3949" s="75" t="n"/>
      <c r="P3949" s="75" t="n"/>
      <c r="Q3949" s="75">
        <f>IF(ISBLANK(P3949),"",IF(D3949="Stock",P3949*G3949,IF(P3949=0,"0",G3949*P3949*100-(G3949*$AF$14))))</f>
        <v/>
      </c>
      <c r="R3949" s="79">
        <f>IF(P3949&lt;&gt;"", TODAY(), "")</f>
        <v/>
      </c>
      <c r="S3949" s="78">
        <f>IF(AND(K3949&lt;&gt;"", R3949&lt;&gt;""), R3949-K3949, "")</f>
        <v/>
      </c>
      <c r="T3949" s="78" t="n"/>
      <c r="U3949" s="92">
        <f>IF(ISBLANK(P3949),"",IF(C3949="Buy",Q3949-M3949+T3949, IF(C3949="Sell",M3949-Q3949-T3949, X)))</f>
        <v/>
      </c>
      <c r="V3949" s="81">
        <f>IF(ISBLANK(P3949),"",U3949/N3949)</f>
        <v/>
      </c>
      <c r="W3949" s="81">
        <f>IF(ISBLANK(P3949),"",IF(S3949=0,(365/0.5)*V3949,(365/S3949)*V3949))</f>
        <v/>
      </c>
      <c r="X3949" s="75" t="n"/>
      <c r="Y3949" s="77" t="n"/>
      <c r="Z3949" s="77" t="n"/>
      <c r="AA3949" s="75" t="n"/>
      <c r="AB3949" s="75" t="n"/>
      <c r="AC3949" s="6" t="n"/>
      <c r="AD3949" s="75" t="n"/>
      <c r="AE3949" s="75" t="n"/>
      <c r="AF3949" s="75" t="n"/>
    </row>
    <row r="3950" ht="15.75" customHeight="1" s="133">
      <c r="A3950" s="75" t="n"/>
      <c r="B3950" s="75" t="n"/>
      <c r="C3950" s="75" t="n"/>
      <c r="D3950" s="75" t="n"/>
      <c r="E3950" s="76" t="n"/>
      <c r="F3950" s="77" t="n"/>
      <c r="G3950" s="75" t="n"/>
      <c r="H3950" s="75">
        <f>IF(ISBLANK(E3950),"",IF(OR(D3950="Butterfly",D3950="Butterfly ",D3950="Iron Fly", D3950="Iron Fly "),LEN(E3950)-LEN(SUBSTITUTE(E3950,"/",""))+2,LEN(E3950)-LEN(SUBSTITUTE(E3950,"/",""))+1))</f>
        <v/>
      </c>
      <c r="I3950" s="78">
        <f>IF(ISBLANK(G3950),"",IF(D3950="Stock","0",Key!$A$3*H3950*G3950))</f>
        <v/>
      </c>
      <c r="J3950" s="78">
        <f>IF(ISBLANK(E3950),"",IF(ISNUMBER(SEARCH("/",E3950)), IF(LEN(E3950)-LEN(SUBSTITUTE(E3950,"/",""))=1,(RIGHT(E3950,LEN(E3950)-FIND("/",E3950)))-(LEFT(E3950,FIND("/",E3950)-1)),(MID(E3950, SEARCH("/",E3950) + 1, SEARCH("/",E3950, SEARCH("/",E3950)+1) - SEARCH("/",E3950) - 1))-(LEFT(E3950,FIND("/",E3950)-1))), "NA"))</f>
        <v/>
      </c>
      <c r="K3950" s="79">
        <f>IF(A3950&lt;&gt;"", IF(ISBLANK(L3950), TODAY(), K3950), "")</f>
        <v/>
      </c>
      <c r="L3950" s="78" t="n"/>
      <c r="M3950" s="78">
        <f>IF(ISBLANK(L3950),"",IF(D3950="Stock",IF(C3950="Buy",L3950*G3950,IF(C3950="Sell",(L3950*G3950)-I3950, X)),IF(C3950="Buy",(L3950*G3950*100)+I3950,IF(C3950="Sell",(L3950*G3950*100)-I3950, X))))</f>
        <v/>
      </c>
      <c r="N3950" s="78">
        <f>IF(ISBLANK(L3950),"",IF(AND(C3950="Sell",D3950="Stock"),M3950,IF(ISBLANK(L3950),"",IF(C3950="Buy",M3950, IF(AND(C3950="Sell",J3950="NA"),(E3950*G3950*100*0.1)+I3950, IF(C3950="Sell",(J3950-L3950)*(100*G3950)+I3950))))))</f>
        <v/>
      </c>
      <c r="O3950" s="75" t="n"/>
      <c r="P3950" s="75" t="n"/>
      <c r="Q3950" s="75">
        <f>IF(ISBLANK(P3950),"",IF(D3950="Stock",P3950*G3950,IF(P3950=0,"0",G3950*P3950*100-(G3950*$AF$14))))</f>
        <v/>
      </c>
      <c r="R3950" s="79">
        <f>IF(P3950&lt;&gt;"", TODAY(), "")</f>
        <v/>
      </c>
      <c r="S3950" s="78">
        <f>IF(AND(K3950&lt;&gt;"", R3950&lt;&gt;""), R3950-K3950, "")</f>
        <v/>
      </c>
      <c r="T3950" s="78" t="n"/>
      <c r="U3950" s="92">
        <f>IF(ISBLANK(P3950),"",IF(C3950="Buy",Q3950-M3950+T3950, IF(C3950="Sell",M3950-Q3950-T3950, X)))</f>
        <v/>
      </c>
      <c r="V3950" s="81">
        <f>IF(ISBLANK(P3950),"",U3950/N3950)</f>
        <v/>
      </c>
      <c r="W3950" s="81">
        <f>IF(ISBLANK(P3950),"",IF(S3950=0,(365/0.5)*V3950,(365/S3950)*V3950))</f>
        <v/>
      </c>
      <c r="X3950" s="75" t="n"/>
      <c r="Y3950" s="77" t="n"/>
      <c r="Z3950" s="77" t="n"/>
      <c r="AA3950" s="75" t="n"/>
      <c r="AB3950" s="75" t="n"/>
      <c r="AC3950" s="6" t="n"/>
      <c r="AD3950" s="75" t="n"/>
      <c r="AE3950" s="75" t="n"/>
      <c r="AF3950" s="75" t="n"/>
    </row>
    <row r="3951" ht="15.75" customHeight="1" s="133">
      <c r="A3951" s="75" t="n"/>
      <c r="B3951" s="75" t="n"/>
      <c r="C3951" s="75" t="n"/>
      <c r="D3951" s="75" t="n"/>
      <c r="E3951" s="76" t="n"/>
      <c r="F3951" s="77" t="n"/>
      <c r="G3951" s="75" t="n"/>
      <c r="H3951" s="75">
        <f>IF(ISBLANK(E3951),"",IF(OR(D3951="Butterfly",D3951="Butterfly ",D3951="Iron Fly", D3951="Iron Fly "),LEN(E3951)-LEN(SUBSTITUTE(E3951,"/",""))+2,LEN(E3951)-LEN(SUBSTITUTE(E3951,"/",""))+1))</f>
        <v/>
      </c>
      <c r="I3951" s="78">
        <f>IF(ISBLANK(G3951),"",IF(D3951="Stock","0",Key!$A$3*H3951*G3951))</f>
        <v/>
      </c>
      <c r="J3951" s="78">
        <f>IF(ISBLANK(E3951),"",IF(ISNUMBER(SEARCH("/",E3951)), IF(LEN(E3951)-LEN(SUBSTITUTE(E3951,"/",""))=1,(RIGHT(E3951,LEN(E3951)-FIND("/",E3951)))-(LEFT(E3951,FIND("/",E3951)-1)),(MID(E3951, SEARCH("/",E3951) + 1, SEARCH("/",E3951, SEARCH("/",E3951)+1) - SEARCH("/",E3951) - 1))-(LEFT(E3951,FIND("/",E3951)-1))), "NA"))</f>
        <v/>
      </c>
      <c r="K3951" s="79">
        <f>IF(A3951&lt;&gt;"", IF(ISBLANK(L3951), TODAY(), K3951), "")</f>
        <v/>
      </c>
      <c r="L3951" s="78" t="n"/>
      <c r="M3951" s="78">
        <f>IF(ISBLANK(L3951),"",IF(D3951="Stock",IF(C3951="Buy",L3951*G3951,IF(C3951="Sell",(L3951*G3951)-I3951, X)),IF(C3951="Buy",(L3951*G3951*100)+I3951,IF(C3951="Sell",(L3951*G3951*100)-I3951, X))))</f>
        <v/>
      </c>
      <c r="N3951" s="78">
        <f>IF(ISBLANK(L3951),"",IF(AND(C3951="Sell",D3951="Stock"),M3951,IF(ISBLANK(L3951),"",IF(C3951="Buy",M3951, IF(AND(C3951="Sell",J3951="NA"),(E3951*G3951*100*0.1)+I3951, IF(C3951="Sell",(J3951-L3951)*(100*G3951)+I3951))))))</f>
        <v/>
      </c>
      <c r="O3951" s="75" t="n"/>
      <c r="P3951" s="75" t="n"/>
      <c r="Q3951" s="75">
        <f>IF(ISBLANK(P3951),"",IF(D3951="Stock",P3951*G3951,IF(P3951=0,"0",G3951*P3951*100-(G3951*$AF$14))))</f>
        <v/>
      </c>
      <c r="R3951" s="79">
        <f>IF(P3951&lt;&gt;"", TODAY(), "")</f>
        <v/>
      </c>
      <c r="S3951" s="78">
        <f>IF(AND(K3951&lt;&gt;"", R3951&lt;&gt;""), R3951-K3951, "")</f>
        <v/>
      </c>
      <c r="T3951" s="78" t="n"/>
      <c r="U3951" s="92">
        <f>IF(ISBLANK(P3951),"",IF(C3951="Buy",Q3951-M3951+T3951, IF(C3951="Sell",M3951-Q3951-T3951, X)))</f>
        <v/>
      </c>
      <c r="V3951" s="81">
        <f>IF(ISBLANK(P3951),"",U3951/N3951)</f>
        <v/>
      </c>
      <c r="W3951" s="81">
        <f>IF(ISBLANK(P3951),"",IF(S3951=0,(365/0.5)*V3951,(365/S3951)*V3951))</f>
        <v/>
      </c>
      <c r="X3951" s="75" t="n"/>
      <c r="Y3951" s="77" t="n"/>
      <c r="Z3951" s="77" t="n"/>
      <c r="AA3951" s="75" t="n"/>
      <c r="AB3951" s="75" t="n"/>
      <c r="AC3951" s="6" t="n"/>
      <c r="AD3951" s="75" t="n"/>
      <c r="AE3951" s="75" t="n"/>
      <c r="AF3951" s="75" t="n"/>
    </row>
    <row r="3952" ht="15.75" customHeight="1" s="133">
      <c r="A3952" s="75" t="n"/>
      <c r="B3952" s="75" t="n"/>
      <c r="C3952" s="75" t="n"/>
      <c r="D3952" s="75" t="n"/>
      <c r="E3952" s="76" t="n"/>
      <c r="F3952" s="77" t="n"/>
      <c r="G3952" s="75" t="n"/>
      <c r="H3952" s="75">
        <f>IF(ISBLANK(E3952),"",IF(OR(D3952="Butterfly",D3952="Butterfly ",D3952="Iron Fly", D3952="Iron Fly "),LEN(E3952)-LEN(SUBSTITUTE(E3952,"/",""))+2,LEN(E3952)-LEN(SUBSTITUTE(E3952,"/",""))+1))</f>
        <v/>
      </c>
      <c r="I3952" s="78">
        <f>IF(ISBLANK(G3952),"",IF(D3952="Stock","0",Key!$A$3*H3952*G3952))</f>
        <v/>
      </c>
      <c r="J3952" s="78">
        <f>IF(ISBLANK(E3952),"",IF(ISNUMBER(SEARCH("/",E3952)), IF(LEN(E3952)-LEN(SUBSTITUTE(E3952,"/",""))=1,(RIGHT(E3952,LEN(E3952)-FIND("/",E3952)))-(LEFT(E3952,FIND("/",E3952)-1)),(MID(E3952, SEARCH("/",E3952) + 1, SEARCH("/",E3952, SEARCH("/",E3952)+1) - SEARCH("/",E3952) - 1))-(LEFT(E3952,FIND("/",E3952)-1))), "NA"))</f>
        <v/>
      </c>
      <c r="K3952" s="79">
        <f>IF(A3952&lt;&gt;"", IF(ISBLANK(L3952), TODAY(), K3952), "")</f>
        <v/>
      </c>
      <c r="L3952" s="78" t="n"/>
      <c r="M3952" s="78">
        <f>IF(ISBLANK(L3952),"",IF(D3952="Stock",IF(C3952="Buy",L3952*G3952,IF(C3952="Sell",(L3952*G3952)-I3952, X)),IF(C3952="Buy",(L3952*G3952*100)+I3952,IF(C3952="Sell",(L3952*G3952*100)-I3952, X))))</f>
        <v/>
      </c>
      <c r="N3952" s="78">
        <f>IF(ISBLANK(L3952),"",IF(AND(C3952="Sell",D3952="Stock"),M3952,IF(ISBLANK(L3952),"",IF(C3952="Buy",M3952, IF(AND(C3952="Sell",J3952="NA"),(E3952*G3952*100*0.1)+I3952, IF(C3952="Sell",(J3952-L3952)*(100*G3952)+I3952))))))</f>
        <v/>
      </c>
      <c r="O3952" s="75" t="n"/>
      <c r="P3952" s="75" t="n"/>
      <c r="Q3952" s="75">
        <f>IF(ISBLANK(P3952),"",IF(D3952="Stock",P3952*G3952,IF(P3952=0,"0",G3952*P3952*100-(G3952*$AF$14))))</f>
        <v/>
      </c>
      <c r="R3952" s="79">
        <f>IF(P3952&lt;&gt;"", TODAY(), "")</f>
        <v/>
      </c>
      <c r="S3952" s="78">
        <f>IF(AND(K3952&lt;&gt;"", R3952&lt;&gt;""), R3952-K3952, "")</f>
        <v/>
      </c>
      <c r="T3952" s="78" t="n"/>
      <c r="U3952" s="92">
        <f>IF(ISBLANK(P3952),"",IF(C3952="Buy",Q3952-M3952+T3952, IF(C3952="Sell",M3952-Q3952-T3952, X)))</f>
        <v/>
      </c>
      <c r="V3952" s="81">
        <f>IF(ISBLANK(P3952),"",U3952/N3952)</f>
        <v/>
      </c>
      <c r="W3952" s="81">
        <f>IF(ISBLANK(P3952),"",IF(S3952=0,(365/0.5)*V3952,(365/S3952)*V3952))</f>
        <v/>
      </c>
      <c r="X3952" s="75" t="n"/>
      <c r="Y3952" s="77" t="n"/>
      <c r="Z3952" s="77" t="n"/>
      <c r="AA3952" s="75" t="n"/>
      <c r="AB3952" s="75" t="n"/>
      <c r="AC3952" s="6" t="n"/>
      <c r="AD3952" s="75" t="n"/>
      <c r="AE3952" s="75" t="n"/>
      <c r="AF3952" s="75" t="n"/>
    </row>
    <row r="3953" ht="15.75" customHeight="1" s="133">
      <c r="A3953" s="75" t="n"/>
      <c r="B3953" s="75" t="n"/>
      <c r="C3953" s="75" t="n"/>
      <c r="D3953" s="75" t="n"/>
      <c r="E3953" s="76" t="n"/>
      <c r="F3953" s="77" t="n"/>
      <c r="G3953" s="75" t="n"/>
      <c r="H3953" s="75">
        <f>IF(ISBLANK(E3953),"",IF(OR(D3953="Butterfly",D3953="Butterfly ",D3953="Iron Fly", D3953="Iron Fly "),LEN(E3953)-LEN(SUBSTITUTE(E3953,"/",""))+2,LEN(E3953)-LEN(SUBSTITUTE(E3953,"/",""))+1))</f>
        <v/>
      </c>
      <c r="I3953" s="78">
        <f>IF(ISBLANK(G3953),"",IF(D3953="Stock","0",Key!$A$3*H3953*G3953))</f>
        <v/>
      </c>
      <c r="J3953" s="78">
        <f>IF(ISBLANK(E3953),"",IF(ISNUMBER(SEARCH("/",E3953)), IF(LEN(E3953)-LEN(SUBSTITUTE(E3953,"/",""))=1,(RIGHT(E3953,LEN(E3953)-FIND("/",E3953)))-(LEFT(E3953,FIND("/",E3953)-1)),(MID(E3953, SEARCH("/",E3953) + 1, SEARCH("/",E3953, SEARCH("/",E3953)+1) - SEARCH("/",E3953) - 1))-(LEFT(E3953,FIND("/",E3953)-1))), "NA"))</f>
        <v/>
      </c>
      <c r="K3953" s="79">
        <f>IF(A3953&lt;&gt;"", IF(ISBLANK(L3953), TODAY(), K3953), "")</f>
        <v/>
      </c>
      <c r="L3953" s="78" t="n"/>
      <c r="M3953" s="78">
        <f>IF(ISBLANK(L3953),"",IF(D3953="Stock",IF(C3953="Buy",L3953*G3953,IF(C3953="Sell",(L3953*G3953)-I3953, X)),IF(C3953="Buy",(L3953*G3953*100)+I3953,IF(C3953="Sell",(L3953*G3953*100)-I3953, X))))</f>
        <v/>
      </c>
      <c r="N3953" s="78">
        <f>IF(ISBLANK(L3953),"",IF(AND(C3953="Sell",D3953="Stock"),M3953,IF(ISBLANK(L3953),"",IF(C3953="Buy",M3953, IF(AND(C3953="Sell",J3953="NA"),(E3953*G3953*100*0.1)+I3953, IF(C3953="Sell",(J3953-L3953)*(100*G3953)+I3953))))))</f>
        <v/>
      </c>
      <c r="O3953" s="75" t="n"/>
      <c r="P3953" s="75" t="n"/>
      <c r="Q3953" s="75">
        <f>IF(ISBLANK(P3953),"",IF(D3953="Stock",P3953*G3953,IF(P3953=0,"0",G3953*P3953*100-(G3953*$AF$14))))</f>
        <v/>
      </c>
      <c r="R3953" s="79">
        <f>IF(P3953&lt;&gt;"", TODAY(), "")</f>
        <v/>
      </c>
      <c r="S3953" s="78">
        <f>IF(AND(K3953&lt;&gt;"", R3953&lt;&gt;""), R3953-K3953, "")</f>
        <v/>
      </c>
      <c r="T3953" s="78" t="n"/>
      <c r="U3953" s="92">
        <f>IF(ISBLANK(P3953),"",IF(C3953="Buy",Q3953-M3953+T3953, IF(C3953="Sell",M3953-Q3953-T3953, X)))</f>
        <v/>
      </c>
      <c r="V3953" s="81">
        <f>IF(ISBLANK(P3953),"",U3953/N3953)</f>
        <v/>
      </c>
      <c r="W3953" s="81">
        <f>IF(ISBLANK(P3953),"",IF(S3953=0,(365/0.5)*V3953,(365/S3953)*V3953))</f>
        <v/>
      </c>
      <c r="X3953" s="75" t="n"/>
      <c r="Y3953" s="77" t="n"/>
      <c r="Z3953" s="77" t="n"/>
      <c r="AA3953" s="75" t="n"/>
      <c r="AB3953" s="75" t="n"/>
      <c r="AC3953" s="6" t="n"/>
      <c r="AD3953" s="75" t="n"/>
      <c r="AE3953" s="75" t="n"/>
      <c r="AF3953" s="75" t="n"/>
    </row>
    <row r="3954" ht="15.75" customHeight="1" s="133">
      <c r="A3954" s="75" t="n"/>
      <c r="B3954" s="75" t="n"/>
      <c r="C3954" s="75" t="n"/>
      <c r="D3954" s="75" t="n"/>
      <c r="E3954" s="76" t="n"/>
      <c r="F3954" s="77" t="n"/>
      <c r="G3954" s="75" t="n"/>
      <c r="H3954" s="75">
        <f>IF(ISBLANK(E3954),"",IF(OR(D3954="Butterfly",D3954="Butterfly ",D3954="Iron Fly", D3954="Iron Fly "),LEN(E3954)-LEN(SUBSTITUTE(E3954,"/",""))+2,LEN(E3954)-LEN(SUBSTITUTE(E3954,"/",""))+1))</f>
        <v/>
      </c>
      <c r="I3954" s="78">
        <f>IF(ISBLANK(G3954),"",IF(D3954="Stock","0",Key!$A$3*H3954*G3954))</f>
        <v/>
      </c>
      <c r="J3954" s="78">
        <f>IF(ISBLANK(E3954),"",IF(ISNUMBER(SEARCH("/",E3954)), IF(LEN(E3954)-LEN(SUBSTITUTE(E3954,"/",""))=1,(RIGHT(E3954,LEN(E3954)-FIND("/",E3954)))-(LEFT(E3954,FIND("/",E3954)-1)),(MID(E3954, SEARCH("/",E3954) + 1, SEARCH("/",E3954, SEARCH("/",E3954)+1) - SEARCH("/",E3954) - 1))-(LEFT(E3954,FIND("/",E3954)-1))), "NA"))</f>
        <v/>
      </c>
      <c r="K3954" s="79">
        <f>IF(A3954&lt;&gt;"", IF(ISBLANK(L3954), TODAY(), K3954), "")</f>
        <v/>
      </c>
      <c r="L3954" s="78" t="n"/>
      <c r="M3954" s="78">
        <f>IF(ISBLANK(L3954),"",IF(D3954="Stock",IF(C3954="Buy",L3954*G3954,IF(C3954="Sell",(L3954*G3954)-I3954, X)),IF(C3954="Buy",(L3954*G3954*100)+I3954,IF(C3954="Sell",(L3954*G3954*100)-I3954, X))))</f>
        <v/>
      </c>
      <c r="N3954" s="78">
        <f>IF(ISBLANK(L3954),"",IF(AND(C3954="Sell",D3954="Stock"),M3954,IF(ISBLANK(L3954),"",IF(C3954="Buy",M3954, IF(AND(C3954="Sell",J3954="NA"),(E3954*G3954*100*0.1)+I3954, IF(C3954="Sell",(J3954-L3954)*(100*G3954)+I3954))))))</f>
        <v/>
      </c>
      <c r="O3954" s="75" t="n"/>
      <c r="P3954" s="75" t="n"/>
      <c r="Q3954" s="75">
        <f>IF(ISBLANK(P3954),"",IF(D3954="Stock",P3954*G3954,IF(P3954=0,"0",G3954*P3954*100-(G3954*$AF$14))))</f>
        <v/>
      </c>
      <c r="R3954" s="79">
        <f>IF(P3954&lt;&gt;"", TODAY(), "")</f>
        <v/>
      </c>
      <c r="S3954" s="78">
        <f>IF(AND(K3954&lt;&gt;"", R3954&lt;&gt;""), R3954-K3954, "")</f>
        <v/>
      </c>
      <c r="T3954" s="78" t="n"/>
      <c r="U3954" s="92">
        <f>IF(ISBLANK(P3954),"",IF(C3954="Buy",Q3954-M3954+T3954, IF(C3954="Sell",M3954-Q3954-T3954, X)))</f>
        <v/>
      </c>
      <c r="V3954" s="81">
        <f>IF(ISBLANK(P3954),"",U3954/N3954)</f>
        <v/>
      </c>
      <c r="W3954" s="81">
        <f>IF(ISBLANK(P3954),"",IF(S3954=0,(365/0.5)*V3954,(365/S3954)*V3954))</f>
        <v/>
      </c>
      <c r="X3954" s="75" t="n"/>
      <c r="Y3954" s="77" t="n"/>
      <c r="Z3954" s="77" t="n"/>
      <c r="AA3954" s="75" t="n"/>
      <c r="AB3954" s="75" t="n"/>
      <c r="AC3954" s="6" t="n"/>
      <c r="AD3954" s="75" t="n"/>
      <c r="AE3954" s="75" t="n"/>
      <c r="AF3954" s="75" t="n"/>
    </row>
    <row r="3955" ht="15.75" customHeight="1" s="133">
      <c r="A3955" s="75" t="n"/>
      <c r="B3955" s="75" t="n"/>
      <c r="C3955" s="75" t="n"/>
      <c r="D3955" s="75" t="n"/>
      <c r="E3955" s="76" t="n"/>
      <c r="F3955" s="77" t="n"/>
      <c r="G3955" s="75" t="n"/>
      <c r="H3955" s="75">
        <f>IF(ISBLANK(E3955),"",IF(OR(D3955="Butterfly",D3955="Butterfly ",D3955="Iron Fly", D3955="Iron Fly "),LEN(E3955)-LEN(SUBSTITUTE(E3955,"/",""))+2,LEN(E3955)-LEN(SUBSTITUTE(E3955,"/",""))+1))</f>
        <v/>
      </c>
      <c r="I3955" s="78">
        <f>IF(ISBLANK(G3955),"",IF(D3955="Stock","0",Key!$A$3*H3955*G3955))</f>
        <v/>
      </c>
      <c r="J3955" s="78">
        <f>IF(ISBLANK(E3955),"",IF(ISNUMBER(SEARCH("/",E3955)), IF(LEN(E3955)-LEN(SUBSTITUTE(E3955,"/",""))=1,(RIGHT(E3955,LEN(E3955)-FIND("/",E3955)))-(LEFT(E3955,FIND("/",E3955)-1)),(MID(E3955, SEARCH("/",E3955) + 1, SEARCH("/",E3955, SEARCH("/",E3955)+1) - SEARCH("/",E3955) - 1))-(LEFT(E3955,FIND("/",E3955)-1))), "NA"))</f>
        <v/>
      </c>
      <c r="K3955" s="79">
        <f>IF(A3955&lt;&gt;"", IF(ISBLANK(L3955), TODAY(), K3955), "")</f>
        <v/>
      </c>
      <c r="L3955" s="78" t="n"/>
      <c r="M3955" s="78">
        <f>IF(ISBLANK(L3955),"",IF(D3955="Stock",IF(C3955="Buy",L3955*G3955,IF(C3955="Sell",(L3955*G3955)-I3955, X)),IF(C3955="Buy",(L3955*G3955*100)+I3955,IF(C3955="Sell",(L3955*G3955*100)-I3955, X))))</f>
        <v/>
      </c>
      <c r="N3955" s="78">
        <f>IF(ISBLANK(L3955),"",IF(AND(C3955="Sell",D3955="Stock"),M3955,IF(ISBLANK(L3955),"",IF(C3955="Buy",M3955, IF(AND(C3955="Sell",J3955="NA"),(E3955*G3955*100*0.1)+I3955, IF(C3955="Sell",(J3955-L3955)*(100*G3955)+I3955))))))</f>
        <v/>
      </c>
      <c r="O3955" s="75" t="n"/>
      <c r="P3955" s="75" t="n"/>
      <c r="Q3955" s="75">
        <f>IF(ISBLANK(P3955),"",IF(D3955="Stock",P3955*G3955,IF(P3955=0,"0",G3955*P3955*100-(G3955*$AF$14))))</f>
        <v/>
      </c>
      <c r="R3955" s="79">
        <f>IF(P3955&lt;&gt;"", TODAY(), "")</f>
        <v/>
      </c>
      <c r="S3955" s="78">
        <f>IF(AND(K3955&lt;&gt;"", R3955&lt;&gt;""), R3955-K3955, "")</f>
        <v/>
      </c>
      <c r="T3955" s="78" t="n"/>
      <c r="U3955" s="92">
        <f>IF(ISBLANK(P3955),"",IF(C3955="Buy",Q3955-M3955+T3955, IF(C3955="Sell",M3955-Q3955-T3955, X)))</f>
        <v/>
      </c>
      <c r="V3955" s="81">
        <f>IF(ISBLANK(P3955),"",U3955/N3955)</f>
        <v/>
      </c>
      <c r="W3955" s="81">
        <f>IF(ISBLANK(P3955),"",IF(S3955=0,(365/0.5)*V3955,(365/S3955)*V3955))</f>
        <v/>
      </c>
      <c r="X3955" s="75" t="n"/>
      <c r="Y3955" s="77" t="n"/>
      <c r="Z3955" s="77" t="n"/>
      <c r="AA3955" s="75" t="n"/>
      <c r="AB3955" s="75" t="n"/>
      <c r="AC3955" s="6" t="n"/>
      <c r="AD3955" s="75" t="n"/>
      <c r="AE3955" s="75" t="n"/>
      <c r="AF3955" s="75" t="n"/>
    </row>
    <row r="3956" ht="15.75" customHeight="1" s="133">
      <c r="A3956" s="75" t="n"/>
      <c r="B3956" s="75" t="n"/>
      <c r="C3956" s="75" t="n"/>
      <c r="D3956" s="75" t="n"/>
      <c r="E3956" s="76" t="n"/>
      <c r="F3956" s="77" t="n"/>
      <c r="G3956" s="75" t="n"/>
      <c r="H3956" s="75">
        <f>IF(ISBLANK(E3956),"",IF(OR(D3956="Butterfly",D3956="Butterfly ",D3956="Iron Fly", D3956="Iron Fly "),LEN(E3956)-LEN(SUBSTITUTE(E3956,"/",""))+2,LEN(E3956)-LEN(SUBSTITUTE(E3956,"/",""))+1))</f>
        <v/>
      </c>
      <c r="I3956" s="78">
        <f>IF(ISBLANK(G3956),"",IF(D3956="Stock","0",Key!$A$3*H3956*G3956))</f>
        <v/>
      </c>
      <c r="J3956" s="78">
        <f>IF(ISBLANK(E3956),"",IF(ISNUMBER(SEARCH("/",E3956)), IF(LEN(E3956)-LEN(SUBSTITUTE(E3956,"/",""))=1,(RIGHT(E3956,LEN(E3956)-FIND("/",E3956)))-(LEFT(E3956,FIND("/",E3956)-1)),(MID(E3956, SEARCH("/",E3956) + 1, SEARCH("/",E3956, SEARCH("/",E3956)+1) - SEARCH("/",E3956) - 1))-(LEFT(E3956,FIND("/",E3956)-1))), "NA"))</f>
        <v/>
      </c>
      <c r="K3956" s="79">
        <f>IF(A3956&lt;&gt;"", IF(ISBLANK(L3956), TODAY(), K3956), "")</f>
        <v/>
      </c>
      <c r="L3956" s="78" t="n"/>
      <c r="M3956" s="78">
        <f>IF(ISBLANK(L3956),"",IF(D3956="Stock",IF(C3956="Buy",L3956*G3956,IF(C3956="Sell",(L3956*G3956)-I3956, X)),IF(C3956="Buy",(L3956*G3956*100)+I3956,IF(C3956="Sell",(L3956*G3956*100)-I3956, X))))</f>
        <v/>
      </c>
      <c r="N3956" s="78">
        <f>IF(ISBLANK(L3956),"",IF(AND(C3956="Sell",D3956="Stock"),M3956,IF(ISBLANK(L3956),"",IF(C3956="Buy",M3956, IF(AND(C3956="Sell",J3956="NA"),(E3956*G3956*100*0.1)+I3956, IF(C3956="Sell",(J3956-L3956)*(100*G3956)+I3956))))))</f>
        <v/>
      </c>
      <c r="O3956" s="75" t="n"/>
      <c r="P3956" s="75" t="n"/>
      <c r="Q3956" s="75">
        <f>IF(ISBLANK(P3956),"",IF(D3956="Stock",P3956*G3956,IF(P3956=0,"0",G3956*P3956*100-(G3956*$AF$14))))</f>
        <v/>
      </c>
      <c r="R3956" s="79">
        <f>IF(P3956&lt;&gt;"", TODAY(), "")</f>
        <v/>
      </c>
      <c r="S3956" s="78">
        <f>IF(AND(K3956&lt;&gt;"", R3956&lt;&gt;""), R3956-K3956, "")</f>
        <v/>
      </c>
      <c r="T3956" s="78" t="n"/>
      <c r="U3956" s="92">
        <f>IF(ISBLANK(P3956),"",IF(C3956="Buy",Q3956-M3956+T3956, IF(C3956="Sell",M3956-Q3956-T3956, X)))</f>
        <v/>
      </c>
      <c r="V3956" s="81">
        <f>IF(ISBLANK(P3956),"",U3956/N3956)</f>
        <v/>
      </c>
      <c r="W3956" s="81">
        <f>IF(ISBLANK(P3956),"",IF(S3956=0,(365/0.5)*V3956,(365/S3956)*V3956))</f>
        <v/>
      </c>
      <c r="X3956" s="75" t="n"/>
      <c r="Y3956" s="77" t="n"/>
      <c r="Z3956" s="77" t="n"/>
      <c r="AA3956" s="75" t="n"/>
      <c r="AB3956" s="75" t="n"/>
      <c r="AC3956" s="6" t="n"/>
      <c r="AD3956" s="75" t="n"/>
      <c r="AE3956" s="75" t="n"/>
      <c r="AF3956" s="75" t="n"/>
    </row>
    <row r="3957" ht="15.75" customHeight="1" s="133">
      <c r="A3957" s="75" t="n"/>
      <c r="B3957" s="75" t="n"/>
      <c r="C3957" s="75" t="n"/>
      <c r="D3957" s="75" t="n"/>
      <c r="E3957" s="76" t="n"/>
      <c r="F3957" s="77" t="n"/>
      <c r="G3957" s="75" t="n"/>
      <c r="H3957" s="75">
        <f>IF(ISBLANK(E3957),"",IF(OR(D3957="Butterfly",D3957="Butterfly ",D3957="Iron Fly", D3957="Iron Fly "),LEN(E3957)-LEN(SUBSTITUTE(E3957,"/",""))+2,LEN(E3957)-LEN(SUBSTITUTE(E3957,"/",""))+1))</f>
        <v/>
      </c>
      <c r="I3957" s="78">
        <f>IF(ISBLANK(G3957),"",IF(D3957="Stock","0",Key!$A$3*H3957*G3957))</f>
        <v/>
      </c>
      <c r="J3957" s="78">
        <f>IF(ISBLANK(E3957),"",IF(ISNUMBER(SEARCH("/",E3957)), IF(LEN(E3957)-LEN(SUBSTITUTE(E3957,"/",""))=1,(RIGHT(E3957,LEN(E3957)-FIND("/",E3957)))-(LEFT(E3957,FIND("/",E3957)-1)),(MID(E3957, SEARCH("/",E3957) + 1, SEARCH("/",E3957, SEARCH("/",E3957)+1) - SEARCH("/",E3957) - 1))-(LEFT(E3957,FIND("/",E3957)-1))), "NA"))</f>
        <v/>
      </c>
      <c r="K3957" s="79">
        <f>IF(A3957&lt;&gt;"", IF(ISBLANK(L3957), TODAY(), K3957), "")</f>
        <v/>
      </c>
      <c r="L3957" s="78" t="n"/>
      <c r="M3957" s="78">
        <f>IF(ISBLANK(L3957),"",IF(D3957="Stock",IF(C3957="Buy",L3957*G3957,IF(C3957="Sell",(L3957*G3957)-I3957, X)),IF(C3957="Buy",(L3957*G3957*100)+I3957,IF(C3957="Sell",(L3957*G3957*100)-I3957, X))))</f>
        <v/>
      </c>
      <c r="N3957" s="78">
        <f>IF(ISBLANK(L3957),"",IF(AND(C3957="Sell",D3957="Stock"),M3957,IF(ISBLANK(L3957),"",IF(C3957="Buy",M3957, IF(AND(C3957="Sell",J3957="NA"),(E3957*G3957*100*0.1)+I3957, IF(C3957="Sell",(J3957-L3957)*(100*G3957)+I3957))))))</f>
        <v/>
      </c>
      <c r="O3957" s="75" t="n"/>
      <c r="P3957" s="75" t="n"/>
      <c r="Q3957" s="75">
        <f>IF(ISBLANK(P3957),"",IF(D3957="Stock",P3957*G3957,IF(P3957=0,"0",G3957*P3957*100-(G3957*$AF$14))))</f>
        <v/>
      </c>
      <c r="R3957" s="79">
        <f>IF(P3957&lt;&gt;"", TODAY(), "")</f>
        <v/>
      </c>
      <c r="S3957" s="78">
        <f>IF(AND(K3957&lt;&gt;"", R3957&lt;&gt;""), R3957-K3957, "")</f>
        <v/>
      </c>
      <c r="T3957" s="78" t="n"/>
      <c r="U3957" s="92">
        <f>IF(ISBLANK(P3957),"",IF(C3957="Buy",Q3957-M3957+T3957, IF(C3957="Sell",M3957-Q3957-T3957, X)))</f>
        <v/>
      </c>
      <c r="V3957" s="81">
        <f>IF(ISBLANK(P3957),"",U3957/N3957)</f>
        <v/>
      </c>
      <c r="W3957" s="81">
        <f>IF(ISBLANK(P3957),"",IF(S3957=0,(365/0.5)*V3957,(365/S3957)*V3957))</f>
        <v/>
      </c>
      <c r="X3957" s="75" t="n"/>
      <c r="Y3957" s="77" t="n"/>
      <c r="Z3957" s="77" t="n"/>
      <c r="AA3957" s="75" t="n"/>
      <c r="AB3957" s="75" t="n"/>
      <c r="AC3957" s="6" t="n"/>
      <c r="AD3957" s="75" t="n"/>
      <c r="AE3957" s="75" t="n"/>
      <c r="AF3957" s="75" t="n"/>
    </row>
    <row r="3958" ht="15.75" customHeight="1" s="133">
      <c r="A3958" s="75" t="n"/>
      <c r="B3958" s="75" t="n"/>
      <c r="C3958" s="75" t="n"/>
      <c r="D3958" s="75" t="n"/>
      <c r="E3958" s="76" t="n"/>
      <c r="F3958" s="77" t="n"/>
      <c r="G3958" s="75" t="n"/>
      <c r="H3958" s="75">
        <f>IF(ISBLANK(E3958),"",IF(OR(D3958="Butterfly",D3958="Butterfly ",D3958="Iron Fly", D3958="Iron Fly "),LEN(E3958)-LEN(SUBSTITUTE(E3958,"/",""))+2,LEN(E3958)-LEN(SUBSTITUTE(E3958,"/",""))+1))</f>
        <v/>
      </c>
      <c r="I3958" s="78">
        <f>IF(ISBLANK(G3958),"",IF(D3958="Stock","0",Key!$A$3*H3958*G3958))</f>
        <v/>
      </c>
      <c r="J3958" s="78">
        <f>IF(ISBLANK(E3958),"",IF(ISNUMBER(SEARCH("/",E3958)), IF(LEN(E3958)-LEN(SUBSTITUTE(E3958,"/",""))=1,(RIGHT(E3958,LEN(E3958)-FIND("/",E3958)))-(LEFT(E3958,FIND("/",E3958)-1)),(MID(E3958, SEARCH("/",E3958) + 1, SEARCH("/",E3958, SEARCH("/",E3958)+1) - SEARCH("/",E3958) - 1))-(LEFT(E3958,FIND("/",E3958)-1))), "NA"))</f>
        <v/>
      </c>
      <c r="K3958" s="79">
        <f>IF(A3958&lt;&gt;"", IF(ISBLANK(L3958), TODAY(), K3958), "")</f>
        <v/>
      </c>
      <c r="L3958" s="78" t="n"/>
      <c r="M3958" s="78">
        <f>IF(ISBLANK(L3958),"",IF(D3958="Stock",IF(C3958="Buy",L3958*G3958,IF(C3958="Sell",(L3958*G3958)-I3958, X)),IF(C3958="Buy",(L3958*G3958*100)+I3958,IF(C3958="Sell",(L3958*G3958*100)-I3958, X))))</f>
        <v/>
      </c>
      <c r="N3958" s="78">
        <f>IF(ISBLANK(L3958),"",IF(AND(C3958="Sell",D3958="Stock"),M3958,IF(ISBLANK(L3958),"",IF(C3958="Buy",M3958, IF(AND(C3958="Sell",J3958="NA"),(E3958*G3958*100*0.1)+I3958, IF(C3958="Sell",(J3958-L3958)*(100*G3958)+I3958))))))</f>
        <v/>
      </c>
      <c r="O3958" s="75" t="n"/>
      <c r="P3958" s="75" t="n"/>
      <c r="Q3958" s="75">
        <f>IF(ISBLANK(P3958),"",IF(D3958="Stock",P3958*G3958,IF(P3958=0,"0",G3958*P3958*100-(G3958*$AF$14))))</f>
        <v/>
      </c>
      <c r="R3958" s="79">
        <f>IF(P3958&lt;&gt;"", TODAY(), "")</f>
        <v/>
      </c>
      <c r="S3958" s="78">
        <f>IF(AND(K3958&lt;&gt;"", R3958&lt;&gt;""), R3958-K3958, "")</f>
        <v/>
      </c>
      <c r="T3958" s="78" t="n"/>
      <c r="U3958" s="92">
        <f>IF(ISBLANK(P3958),"",IF(C3958="Buy",Q3958-M3958+T3958, IF(C3958="Sell",M3958-Q3958-T3958, X)))</f>
        <v/>
      </c>
      <c r="V3958" s="81">
        <f>IF(ISBLANK(P3958),"",U3958/N3958)</f>
        <v/>
      </c>
      <c r="W3958" s="81">
        <f>IF(ISBLANK(P3958),"",IF(S3958=0,(365/0.5)*V3958,(365/S3958)*V3958))</f>
        <v/>
      </c>
      <c r="X3958" s="75" t="n"/>
      <c r="Y3958" s="77" t="n"/>
      <c r="Z3958" s="77" t="n"/>
      <c r="AA3958" s="75" t="n"/>
      <c r="AB3958" s="75" t="n"/>
      <c r="AC3958" s="6" t="n"/>
      <c r="AD3958" s="75" t="n"/>
      <c r="AE3958" s="75" t="n"/>
      <c r="AF3958" s="75" t="n"/>
    </row>
    <row r="3959" ht="15.75" customHeight="1" s="133">
      <c r="A3959" s="75" t="n"/>
      <c r="B3959" s="75" t="n"/>
      <c r="C3959" s="75" t="n"/>
      <c r="D3959" s="75" t="n"/>
      <c r="E3959" s="76" t="n"/>
      <c r="F3959" s="77" t="n"/>
      <c r="G3959" s="75" t="n"/>
      <c r="H3959" s="75">
        <f>IF(ISBLANK(E3959),"",IF(OR(D3959="Butterfly",D3959="Butterfly ",D3959="Iron Fly", D3959="Iron Fly "),LEN(E3959)-LEN(SUBSTITUTE(E3959,"/",""))+2,LEN(E3959)-LEN(SUBSTITUTE(E3959,"/",""))+1))</f>
        <v/>
      </c>
      <c r="I3959" s="78">
        <f>IF(ISBLANK(G3959),"",IF(D3959="Stock","0",Key!$A$3*H3959*G3959))</f>
        <v/>
      </c>
      <c r="J3959" s="78">
        <f>IF(ISBLANK(E3959),"",IF(ISNUMBER(SEARCH("/",E3959)), IF(LEN(E3959)-LEN(SUBSTITUTE(E3959,"/",""))=1,(RIGHT(E3959,LEN(E3959)-FIND("/",E3959)))-(LEFT(E3959,FIND("/",E3959)-1)),(MID(E3959, SEARCH("/",E3959) + 1, SEARCH("/",E3959, SEARCH("/",E3959)+1) - SEARCH("/",E3959) - 1))-(LEFT(E3959,FIND("/",E3959)-1))), "NA"))</f>
        <v/>
      </c>
      <c r="K3959" s="79">
        <f>IF(A3959&lt;&gt;"", IF(ISBLANK(L3959), TODAY(), K3959), "")</f>
        <v/>
      </c>
      <c r="L3959" s="78" t="n"/>
      <c r="M3959" s="78">
        <f>IF(ISBLANK(L3959),"",IF(D3959="Stock",IF(C3959="Buy",L3959*G3959,IF(C3959="Sell",(L3959*G3959)-I3959, X)),IF(C3959="Buy",(L3959*G3959*100)+I3959,IF(C3959="Sell",(L3959*G3959*100)-I3959, X))))</f>
        <v/>
      </c>
      <c r="N3959" s="78">
        <f>IF(ISBLANK(L3959),"",IF(AND(C3959="Sell",D3959="Stock"),M3959,IF(ISBLANK(L3959),"",IF(C3959="Buy",M3959, IF(AND(C3959="Sell",J3959="NA"),(E3959*G3959*100*0.1)+I3959, IF(C3959="Sell",(J3959-L3959)*(100*G3959)+I3959))))))</f>
        <v/>
      </c>
      <c r="O3959" s="75" t="n"/>
      <c r="P3959" s="75" t="n"/>
      <c r="Q3959" s="75">
        <f>IF(ISBLANK(P3959),"",IF(D3959="Stock",P3959*G3959,IF(P3959=0,"0",G3959*P3959*100-(G3959*$AF$14))))</f>
        <v/>
      </c>
      <c r="R3959" s="79">
        <f>IF(P3959&lt;&gt;"", TODAY(), "")</f>
        <v/>
      </c>
      <c r="S3959" s="78">
        <f>IF(AND(K3959&lt;&gt;"", R3959&lt;&gt;""), R3959-K3959, "")</f>
        <v/>
      </c>
      <c r="T3959" s="78" t="n"/>
      <c r="U3959" s="92">
        <f>IF(ISBLANK(P3959),"",IF(C3959="Buy",Q3959-M3959+T3959, IF(C3959="Sell",M3959-Q3959-T3959, X)))</f>
        <v/>
      </c>
      <c r="V3959" s="81">
        <f>IF(ISBLANK(P3959),"",U3959/N3959)</f>
        <v/>
      </c>
      <c r="W3959" s="81">
        <f>IF(ISBLANK(P3959),"",IF(S3959=0,(365/0.5)*V3959,(365/S3959)*V3959))</f>
        <v/>
      </c>
      <c r="X3959" s="75" t="n"/>
      <c r="Y3959" s="77" t="n"/>
      <c r="Z3959" s="77" t="n"/>
      <c r="AA3959" s="75" t="n"/>
      <c r="AB3959" s="75" t="n"/>
      <c r="AC3959" s="6" t="n"/>
      <c r="AD3959" s="75" t="n"/>
      <c r="AE3959" s="75" t="n"/>
      <c r="AF3959" s="75" t="n"/>
    </row>
    <row r="3960" ht="15.75" customHeight="1" s="133">
      <c r="A3960" s="75" t="n"/>
      <c r="B3960" s="75" t="n"/>
      <c r="C3960" s="75" t="n"/>
      <c r="D3960" s="75" t="n"/>
      <c r="E3960" s="76" t="n"/>
      <c r="F3960" s="77" t="n"/>
      <c r="G3960" s="75" t="n"/>
      <c r="H3960" s="75">
        <f>IF(ISBLANK(E3960),"",IF(OR(D3960="Butterfly",D3960="Butterfly ",D3960="Iron Fly", D3960="Iron Fly "),LEN(E3960)-LEN(SUBSTITUTE(E3960,"/",""))+2,LEN(E3960)-LEN(SUBSTITUTE(E3960,"/",""))+1))</f>
        <v/>
      </c>
      <c r="I3960" s="78">
        <f>IF(ISBLANK(G3960),"",IF(D3960="Stock","0",Key!$A$3*H3960*G3960))</f>
        <v/>
      </c>
      <c r="J3960" s="78">
        <f>IF(ISBLANK(E3960),"",IF(ISNUMBER(SEARCH("/",E3960)), IF(LEN(E3960)-LEN(SUBSTITUTE(E3960,"/",""))=1,(RIGHT(E3960,LEN(E3960)-FIND("/",E3960)))-(LEFT(E3960,FIND("/",E3960)-1)),(MID(E3960, SEARCH("/",E3960) + 1, SEARCH("/",E3960, SEARCH("/",E3960)+1) - SEARCH("/",E3960) - 1))-(LEFT(E3960,FIND("/",E3960)-1))), "NA"))</f>
        <v/>
      </c>
      <c r="K3960" s="79">
        <f>IF(A3960&lt;&gt;"", IF(ISBLANK(L3960), TODAY(), K3960), "")</f>
        <v/>
      </c>
      <c r="L3960" s="78" t="n"/>
      <c r="M3960" s="78">
        <f>IF(ISBLANK(L3960),"",IF(D3960="Stock",IF(C3960="Buy",L3960*G3960,IF(C3960="Sell",(L3960*G3960)-I3960, X)),IF(C3960="Buy",(L3960*G3960*100)+I3960,IF(C3960="Sell",(L3960*G3960*100)-I3960, X))))</f>
        <v/>
      </c>
      <c r="N3960" s="78">
        <f>IF(ISBLANK(L3960),"",IF(AND(C3960="Sell",D3960="Stock"),M3960,IF(ISBLANK(L3960),"",IF(C3960="Buy",M3960, IF(AND(C3960="Sell",J3960="NA"),(E3960*G3960*100*0.1)+I3960, IF(C3960="Sell",(J3960-L3960)*(100*G3960)+I3960))))))</f>
        <v/>
      </c>
      <c r="O3960" s="75" t="n"/>
      <c r="P3960" s="75" t="n"/>
      <c r="Q3960" s="75">
        <f>IF(ISBLANK(P3960),"",IF(D3960="Stock",P3960*G3960,IF(P3960=0,"0",G3960*P3960*100-(G3960*$AF$14))))</f>
        <v/>
      </c>
      <c r="R3960" s="79">
        <f>IF(P3960&lt;&gt;"", TODAY(), "")</f>
        <v/>
      </c>
      <c r="S3960" s="78">
        <f>IF(AND(K3960&lt;&gt;"", R3960&lt;&gt;""), R3960-K3960, "")</f>
        <v/>
      </c>
      <c r="T3960" s="78" t="n"/>
      <c r="U3960" s="92">
        <f>IF(ISBLANK(P3960),"",IF(C3960="Buy",Q3960-M3960+T3960, IF(C3960="Sell",M3960-Q3960-T3960, X)))</f>
        <v/>
      </c>
      <c r="V3960" s="81">
        <f>IF(ISBLANK(P3960),"",U3960/N3960)</f>
        <v/>
      </c>
      <c r="W3960" s="81">
        <f>IF(ISBLANK(P3960),"",IF(S3960=0,(365/0.5)*V3960,(365/S3960)*V3960))</f>
        <v/>
      </c>
      <c r="X3960" s="75" t="n"/>
      <c r="Y3960" s="77" t="n"/>
      <c r="Z3960" s="77" t="n"/>
      <c r="AA3960" s="75" t="n"/>
      <c r="AB3960" s="75" t="n"/>
      <c r="AC3960" s="6" t="n"/>
      <c r="AD3960" s="75" t="n"/>
      <c r="AE3960" s="75" t="n"/>
      <c r="AF3960" s="75" t="n"/>
    </row>
    <row r="3961" ht="15.75" customHeight="1" s="133">
      <c r="A3961" s="75" t="n"/>
      <c r="B3961" s="75" t="n"/>
      <c r="C3961" s="75" t="n"/>
      <c r="D3961" s="75" t="n"/>
      <c r="E3961" s="76" t="n"/>
      <c r="F3961" s="77" t="n"/>
      <c r="G3961" s="75" t="n"/>
      <c r="H3961" s="75">
        <f>IF(ISBLANK(E3961),"",IF(OR(D3961="Butterfly",D3961="Butterfly ",D3961="Iron Fly", D3961="Iron Fly "),LEN(E3961)-LEN(SUBSTITUTE(E3961,"/",""))+2,LEN(E3961)-LEN(SUBSTITUTE(E3961,"/",""))+1))</f>
        <v/>
      </c>
      <c r="I3961" s="78">
        <f>IF(ISBLANK(G3961),"",IF(D3961="Stock","0",Key!$A$3*H3961*G3961))</f>
        <v/>
      </c>
      <c r="J3961" s="78">
        <f>IF(ISBLANK(E3961),"",IF(ISNUMBER(SEARCH("/",E3961)), IF(LEN(E3961)-LEN(SUBSTITUTE(E3961,"/",""))=1,(RIGHT(E3961,LEN(E3961)-FIND("/",E3961)))-(LEFT(E3961,FIND("/",E3961)-1)),(MID(E3961, SEARCH("/",E3961) + 1, SEARCH("/",E3961, SEARCH("/",E3961)+1) - SEARCH("/",E3961) - 1))-(LEFT(E3961,FIND("/",E3961)-1))), "NA"))</f>
        <v/>
      </c>
      <c r="K3961" s="79">
        <f>IF(A3961&lt;&gt;"", IF(ISBLANK(L3961), TODAY(), K3961), "")</f>
        <v/>
      </c>
      <c r="L3961" s="78" t="n"/>
      <c r="M3961" s="78">
        <f>IF(ISBLANK(L3961),"",IF(D3961="Stock",IF(C3961="Buy",L3961*G3961,IF(C3961="Sell",(L3961*G3961)-I3961, X)),IF(C3961="Buy",(L3961*G3961*100)+I3961,IF(C3961="Sell",(L3961*G3961*100)-I3961, X))))</f>
        <v/>
      </c>
      <c r="N3961" s="78">
        <f>IF(ISBLANK(L3961),"",IF(AND(C3961="Sell",D3961="Stock"),M3961,IF(ISBLANK(L3961),"",IF(C3961="Buy",M3961, IF(AND(C3961="Sell",J3961="NA"),(E3961*G3961*100*0.1)+I3961, IF(C3961="Sell",(J3961-L3961)*(100*G3961)+I3961))))))</f>
        <v/>
      </c>
      <c r="O3961" s="75" t="n"/>
      <c r="P3961" s="75" t="n"/>
      <c r="Q3961" s="75">
        <f>IF(ISBLANK(P3961),"",IF(D3961="Stock",P3961*G3961,IF(P3961=0,"0",G3961*P3961*100-(G3961*$AF$14))))</f>
        <v/>
      </c>
      <c r="R3961" s="79">
        <f>IF(P3961&lt;&gt;"", TODAY(), "")</f>
        <v/>
      </c>
      <c r="S3961" s="78">
        <f>IF(AND(K3961&lt;&gt;"", R3961&lt;&gt;""), R3961-K3961, "")</f>
        <v/>
      </c>
      <c r="T3961" s="78" t="n"/>
      <c r="U3961" s="92">
        <f>IF(ISBLANK(P3961),"",IF(C3961="Buy",Q3961-M3961+T3961, IF(C3961="Sell",M3961-Q3961-T3961, X)))</f>
        <v/>
      </c>
      <c r="V3961" s="81">
        <f>IF(ISBLANK(P3961),"",U3961/N3961)</f>
        <v/>
      </c>
      <c r="W3961" s="81">
        <f>IF(ISBLANK(P3961),"",IF(S3961=0,(365/0.5)*V3961,(365/S3961)*V3961))</f>
        <v/>
      </c>
      <c r="X3961" s="75" t="n"/>
      <c r="Y3961" s="77" t="n"/>
      <c r="Z3961" s="77" t="n"/>
      <c r="AA3961" s="75" t="n"/>
      <c r="AB3961" s="75" t="n"/>
      <c r="AC3961" s="6" t="n"/>
      <c r="AD3961" s="75" t="n"/>
      <c r="AE3961" s="75" t="n"/>
      <c r="AF3961" s="75" t="n"/>
    </row>
    <row r="3962" ht="15.75" customHeight="1" s="133">
      <c r="A3962" s="75" t="n"/>
      <c r="B3962" s="75" t="n"/>
      <c r="C3962" s="75" t="n"/>
      <c r="D3962" s="75" t="n"/>
      <c r="E3962" s="76" t="n"/>
      <c r="F3962" s="77" t="n"/>
      <c r="G3962" s="75" t="n"/>
      <c r="H3962" s="75">
        <f>IF(ISBLANK(E3962),"",IF(OR(D3962="Butterfly",D3962="Butterfly ",D3962="Iron Fly", D3962="Iron Fly "),LEN(E3962)-LEN(SUBSTITUTE(E3962,"/",""))+2,LEN(E3962)-LEN(SUBSTITUTE(E3962,"/",""))+1))</f>
        <v/>
      </c>
      <c r="I3962" s="78">
        <f>IF(ISBLANK(G3962),"",IF(D3962="Stock","0",Key!$A$3*H3962*G3962))</f>
        <v/>
      </c>
      <c r="J3962" s="78">
        <f>IF(ISBLANK(E3962),"",IF(ISNUMBER(SEARCH("/",E3962)), IF(LEN(E3962)-LEN(SUBSTITUTE(E3962,"/",""))=1,(RIGHT(E3962,LEN(E3962)-FIND("/",E3962)))-(LEFT(E3962,FIND("/",E3962)-1)),(MID(E3962, SEARCH("/",E3962) + 1, SEARCH("/",E3962, SEARCH("/",E3962)+1) - SEARCH("/",E3962) - 1))-(LEFT(E3962,FIND("/",E3962)-1))), "NA"))</f>
        <v/>
      </c>
      <c r="K3962" s="79">
        <f>IF(A3962&lt;&gt;"", IF(ISBLANK(L3962), TODAY(), K3962), "")</f>
        <v/>
      </c>
      <c r="L3962" s="78" t="n"/>
      <c r="M3962" s="78">
        <f>IF(ISBLANK(L3962),"",IF(D3962="Stock",IF(C3962="Buy",L3962*G3962,IF(C3962="Sell",(L3962*G3962)-I3962, X)),IF(C3962="Buy",(L3962*G3962*100)+I3962,IF(C3962="Sell",(L3962*G3962*100)-I3962, X))))</f>
        <v/>
      </c>
      <c r="N3962" s="78">
        <f>IF(ISBLANK(L3962),"",IF(AND(C3962="Sell",D3962="Stock"),M3962,IF(ISBLANK(L3962),"",IF(C3962="Buy",M3962, IF(AND(C3962="Sell",J3962="NA"),(E3962*G3962*100*0.1)+I3962, IF(C3962="Sell",(J3962-L3962)*(100*G3962)+I3962))))))</f>
        <v/>
      </c>
      <c r="O3962" s="75" t="n"/>
      <c r="P3962" s="75" t="n"/>
      <c r="Q3962" s="75">
        <f>IF(ISBLANK(P3962),"",IF(D3962="Stock",P3962*G3962,IF(P3962=0,"0",G3962*P3962*100-(G3962*$AF$14))))</f>
        <v/>
      </c>
      <c r="R3962" s="79">
        <f>IF(P3962&lt;&gt;"", TODAY(), "")</f>
        <v/>
      </c>
      <c r="S3962" s="78">
        <f>IF(AND(K3962&lt;&gt;"", R3962&lt;&gt;""), R3962-K3962, "")</f>
        <v/>
      </c>
      <c r="T3962" s="78" t="n"/>
      <c r="U3962" s="92">
        <f>IF(ISBLANK(P3962),"",IF(C3962="Buy",Q3962-M3962+T3962, IF(C3962="Sell",M3962-Q3962-T3962, X)))</f>
        <v/>
      </c>
      <c r="V3962" s="81">
        <f>IF(ISBLANK(P3962),"",U3962/N3962)</f>
        <v/>
      </c>
      <c r="W3962" s="81">
        <f>IF(ISBLANK(P3962),"",IF(S3962=0,(365/0.5)*V3962,(365/S3962)*V3962))</f>
        <v/>
      </c>
      <c r="X3962" s="75" t="n"/>
      <c r="Y3962" s="77" t="n"/>
      <c r="Z3962" s="77" t="n"/>
      <c r="AA3962" s="75" t="n"/>
      <c r="AB3962" s="75" t="n"/>
      <c r="AC3962" s="6" t="n"/>
      <c r="AD3962" s="75" t="n"/>
      <c r="AE3962" s="75" t="n"/>
      <c r="AF3962" s="75" t="n"/>
    </row>
    <row r="3963" ht="15.75" customHeight="1" s="133">
      <c r="A3963" s="75" t="n"/>
      <c r="B3963" s="75" t="n"/>
      <c r="C3963" s="75" t="n"/>
      <c r="D3963" s="75" t="n"/>
      <c r="E3963" s="76" t="n"/>
      <c r="F3963" s="77" t="n"/>
      <c r="G3963" s="75" t="n"/>
      <c r="H3963" s="75">
        <f>IF(ISBLANK(E3963),"",IF(OR(D3963="Butterfly",D3963="Butterfly ",D3963="Iron Fly", D3963="Iron Fly "),LEN(E3963)-LEN(SUBSTITUTE(E3963,"/",""))+2,LEN(E3963)-LEN(SUBSTITUTE(E3963,"/",""))+1))</f>
        <v/>
      </c>
      <c r="I3963" s="78">
        <f>IF(ISBLANK(G3963),"",IF(D3963="Stock","0",Key!$A$3*H3963*G3963))</f>
        <v/>
      </c>
      <c r="J3963" s="78">
        <f>IF(ISBLANK(E3963),"",IF(ISNUMBER(SEARCH("/",E3963)), IF(LEN(E3963)-LEN(SUBSTITUTE(E3963,"/",""))=1,(RIGHT(E3963,LEN(E3963)-FIND("/",E3963)))-(LEFT(E3963,FIND("/",E3963)-1)),(MID(E3963, SEARCH("/",E3963) + 1, SEARCH("/",E3963, SEARCH("/",E3963)+1) - SEARCH("/",E3963) - 1))-(LEFT(E3963,FIND("/",E3963)-1))), "NA"))</f>
        <v/>
      </c>
      <c r="K3963" s="79">
        <f>IF(A3963&lt;&gt;"", IF(ISBLANK(L3963), TODAY(), K3963), "")</f>
        <v/>
      </c>
      <c r="L3963" s="78" t="n"/>
      <c r="M3963" s="78">
        <f>IF(ISBLANK(L3963),"",IF(D3963="Stock",IF(C3963="Buy",L3963*G3963,IF(C3963="Sell",(L3963*G3963)-I3963, X)),IF(C3963="Buy",(L3963*G3963*100)+I3963,IF(C3963="Sell",(L3963*G3963*100)-I3963, X))))</f>
        <v/>
      </c>
      <c r="N3963" s="78">
        <f>IF(ISBLANK(L3963),"",IF(AND(C3963="Sell",D3963="Stock"),M3963,IF(ISBLANK(L3963),"",IF(C3963="Buy",M3963, IF(AND(C3963="Sell",J3963="NA"),(E3963*G3963*100*0.1)+I3963, IF(C3963="Sell",(J3963-L3963)*(100*G3963)+I3963))))))</f>
        <v/>
      </c>
      <c r="O3963" s="75" t="n"/>
      <c r="P3963" s="75" t="n"/>
      <c r="Q3963" s="75">
        <f>IF(ISBLANK(P3963),"",IF(D3963="Stock",P3963*G3963,IF(P3963=0,"0",G3963*P3963*100-(G3963*$AF$14))))</f>
        <v/>
      </c>
      <c r="R3963" s="79">
        <f>IF(P3963&lt;&gt;"", TODAY(), "")</f>
        <v/>
      </c>
      <c r="S3963" s="78">
        <f>IF(AND(K3963&lt;&gt;"", R3963&lt;&gt;""), R3963-K3963, "")</f>
        <v/>
      </c>
      <c r="T3963" s="78" t="n"/>
      <c r="U3963" s="92">
        <f>IF(ISBLANK(P3963),"",IF(C3963="Buy",Q3963-M3963+T3963, IF(C3963="Sell",M3963-Q3963-T3963, X)))</f>
        <v/>
      </c>
      <c r="V3963" s="81">
        <f>IF(ISBLANK(P3963),"",U3963/N3963)</f>
        <v/>
      </c>
      <c r="W3963" s="81">
        <f>IF(ISBLANK(P3963),"",IF(S3963=0,(365/0.5)*V3963,(365/S3963)*V3963))</f>
        <v/>
      </c>
      <c r="X3963" s="75" t="n"/>
      <c r="Y3963" s="77" t="n"/>
      <c r="Z3963" s="77" t="n"/>
      <c r="AA3963" s="75" t="n"/>
      <c r="AB3963" s="75" t="n"/>
      <c r="AC3963" s="6" t="n"/>
      <c r="AD3963" s="75" t="n"/>
      <c r="AE3963" s="75" t="n"/>
      <c r="AF3963" s="75" t="n"/>
    </row>
    <row r="3964" ht="15.75" customHeight="1" s="133">
      <c r="A3964" s="75" t="n"/>
      <c r="B3964" s="75" t="n"/>
      <c r="C3964" s="75" t="n"/>
      <c r="D3964" s="75" t="n"/>
      <c r="E3964" s="76" t="n"/>
      <c r="F3964" s="77" t="n"/>
      <c r="G3964" s="75" t="n"/>
      <c r="H3964" s="75">
        <f>IF(ISBLANK(E3964),"",IF(OR(D3964="Butterfly",D3964="Butterfly ",D3964="Iron Fly", D3964="Iron Fly "),LEN(E3964)-LEN(SUBSTITUTE(E3964,"/",""))+2,LEN(E3964)-LEN(SUBSTITUTE(E3964,"/",""))+1))</f>
        <v/>
      </c>
      <c r="I3964" s="78">
        <f>IF(ISBLANK(G3964),"",IF(D3964="Stock","0",Key!$A$3*H3964*G3964))</f>
        <v/>
      </c>
      <c r="J3964" s="78">
        <f>IF(ISBLANK(E3964),"",IF(ISNUMBER(SEARCH("/",E3964)), IF(LEN(E3964)-LEN(SUBSTITUTE(E3964,"/",""))=1,(RIGHT(E3964,LEN(E3964)-FIND("/",E3964)))-(LEFT(E3964,FIND("/",E3964)-1)),(MID(E3964, SEARCH("/",E3964) + 1, SEARCH("/",E3964, SEARCH("/",E3964)+1) - SEARCH("/",E3964) - 1))-(LEFT(E3964,FIND("/",E3964)-1))), "NA"))</f>
        <v/>
      </c>
      <c r="K3964" s="79">
        <f>IF(A3964&lt;&gt;"", IF(ISBLANK(L3964), TODAY(), K3964), "")</f>
        <v/>
      </c>
      <c r="L3964" s="78" t="n"/>
      <c r="M3964" s="78">
        <f>IF(ISBLANK(L3964),"",IF(D3964="Stock",IF(C3964="Buy",L3964*G3964,IF(C3964="Sell",(L3964*G3964)-I3964, X)),IF(C3964="Buy",(L3964*G3964*100)+I3964,IF(C3964="Sell",(L3964*G3964*100)-I3964, X))))</f>
        <v/>
      </c>
      <c r="N3964" s="78">
        <f>IF(ISBLANK(L3964),"",IF(AND(C3964="Sell",D3964="Stock"),M3964,IF(ISBLANK(L3964),"",IF(C3964="Buy",M3964, IF(AND(C3964="Sell",J3964="NA"),(E3964*G3964*100*0.1)+I3964, IF(C3964="Sell",(J3964-L3964)*(100*G3964)+I3964))))))</f>
        <v/>
      </c>
      <c r="O3964" s="75" t="n"/>
      <c r="P3964" s="75" t="n"/>
      <c r="Q3964" s="75">
        <f>IF(ISBLANK(P3964),"",IF(D3964="Stock",P3964*G3964,IF(P3964=0,"0",G3964*P3964*100-(G3964*$AF$14))))</f>
        <v/>
      </c>
      <c r="R3964" s="79">
        <f>IF(P3964&lt;&gt;"", TODAY(), "")</f>
        <v/>
      </c>
      <c r="S3964" s="78">
        <f>IF(AND(K3964&lt;&gt;"", R3964&lt;&gt;""), R3964-K3964, "")</f>
        <v/>
      </c>
      <c r="T3964" s="78" t="n"/>
      <c r="U3964" s="92">
        <f>IF(ISBLANK(P3964),"",IF(C3964="Buy",Q3964-M3964+T3964, IF(C3964="Sell",M3964-Q3964-T3964, X)))</f>
        <v/>
      </c>
      <c r="V3964" s="81">
        <f>IF(ISBLANK(P3964),"",U3964/N3964)</f>
        <v/>
      </c>
      <c r="W3964" s="81">
        <f>IF(ISBLANK(P3964),"",IF(S3964=0,(365/0.5)*V3964,(365/S3964)*V3964))</f>
        <v/>
      </c>
      <c r="X3964" s="75" t="n"/>
      <c r="Y3964" s="77" t="n"/>
      <c r="Z3964" s="77" t="n"/>
      <c r="AA3964" s="75" t="n"/>
      <c r="AB3964" s="75" t="n"/>
      <c r="AC3964" s="6" t="n"/>
      <c r="AD3964" s="75" t="n"/>
      <c r="AE3964" s="75" t="n"/>
      <c r="AF3964" s="75" t="n"/>
    </row>
    <row r="3965" ht="15.75" customHeight="1" s="133">
      <c r="A3965" s="75" t="n"/>
      <c r="B3965" s="75" t="n"/>
      <c r="C3965" s="75" t="n"/>
      <c r="D3965" s="75" t="n"/>
      <c r="E3965" s="76" t="n"/>
      <c r="F3965" s="77" t="n"/>
      <c r="G3965" s="75" t="n"/>
      <c r="H3965" s="75">
        <f>IF(ISBLANK(E3965),"",IF(OR(D3965="Butterfly",D3965="Butterfly ",D3965="Iron Fly", D3965="Iron Fly "),LEN(E3965)-LEN(SUBSTITUTE(E3965,"/",""))+2,LEN(E3965)-LEN(SUBSTITUTE(E3965,"/",""))+1))</f>
        <v/>
      </c>
      <c r="I3965" s="78">
        <f>IF(ISBLANK(G3965),"",IF(D3965="Stock","0",Key!$A$3*H3965*G3965))</f>
        <v/>
      </c>
      <c r="J3965" s="78">
        <f>IF(ISBLANK(E3965),"",IF(ISNUMBER(SEARCH("/",E3965)), IF(LEN(E3965)-LEN(SUBSTITUTE(E3965,"/",""))=1,(RIGHT(E3965,LEN(E3965)-FIND("/",E3965)))-(LEFT(E3965,FIND("/",E3965)-1)),(MID(E3965, SEARCH("/",E3965) + 1, SEARCH("/",E3965, SEARCH("/",E3965)+1) - SEARCH("/",E3965) - 1))-(LEFT(E3965,FIND("/",E3965)-1))), "NA"))</f>
        <v/>
      </c>
      <c r="K3965" s="79">
        <f>IF(A3965&lt;&gt;"", IF(ISBLANK(L3965), TODAY(), K3965), "")</f>
        <v/>
      </c>
      <c r="L3965" s="78" t="n"/>
      <c r="M3965" s="78">
        <f>IF(ISBLANK(L3965),"",IF(D3965="Stock",IF(C3965="Buy",L3965*G3965,IF(C3965="Sell",(L3965*G3965)-I3965, X)),IF(C3965="Buy",(L3965*G3965*100)+I3965,IF(C3965="Sell",(L3965*G3965*100)-I3965, X))))</f>
        <v/>
      </c>
      <c r="N3965" s="78">
        <f>IF(ISBLANK(L3965),"",IF(AND(C3965="Sell",D3965="Stock"),M3965,IF(ISBLANK(L3965),"",IF(C3965="Buy",M3965, IF(AND(C3965="Sell",J3965="NA"),(E3965*G3965*100*0.1)+I3965, IF(C3965="Sell",(J3965-L3965)*(100*G3965)+I3965))))))</f>
        <v/>
      </c>
      <c r="O3965" s="75" t="n"/>
      <c r="P3965" s="75" t="n"/>
      <c r="Q3965" s="75">
        <f>IF(ISBLANK(P3965),"",IF(D3965="Stock",P3965*G3965,IF(P3965=0,"0",G3965*P3965*100-(G3965*$AF$14))))</f>
        <v/>
      </c>
      <c r="R3965" s="79">
        <f>IF(P3965&lt;&gt;"", TODAY(), "")</f>
        <v/>
      </c>
      <c r="S3965" s="78">
        <f>IF(AND(K3965&lt;&gt;"", R3965&lt;&gt;""), R3965-K3965, "")</f>
        <v/>
      </c>
      <c r="T3965" s="78" t="n"/>
      <c r="U3965" s="92">
        <f>IF(ISBLANK(P3965),"",IF(C3965="Buy",Q3965-M3965+T3965, IF(C3965="Sell",M3965-Q3965-T3965, X)))</f>
        <v/>
      </c>
      <c r="V3965" s="81">
        <f>IF(ISBLANK(P3965),"",U3965/N3965)</f>
        <v/>
      </c>
      <c r="W3965" s="81">
        <f>IF(ISBLANK(P3965),"",IF(S3965=0,(365/0.5)*V3965,(365/S3965)*V3965))</f>
        <v/>
      </c>
      <c r="X3965" s="75" t="n"/>
      <c r="Y3965" s="77" t="n"/>
      <c r="Z3965" s="77" t="n"/>
      <c r="AA3965" s="75" t="n"/>
      <c r="AB3965" s="75" t="n"/>
      <c r="AC3965" s="6" t="n"/>
      <c r="AD3965" s="75" t="n"/>
      <c r="AE3965" s="75" t="n"/>
      <c r="AF3965" s="75" t="n"/>
    </row>
    <row r="3966" ht="15.75" customHeight="1" s="133">
      <c r="A3966" s="75" t="n"/>
      <c r="B3966" s="75" t="n"/>
      <c r="C3966" s="75" t="n"/>
      <c r="D3966" s="75" t="n"/>
      <c r="E3966" s="76" t="n"/>
      <c r="F3966" s="77" t="n"/>
      <c r="G3966" s="75" t="n"/>
      <c r="H3966" s="75">
        <f>IF(ISBLANK(E3966),"",IF(OR(D3966="Butterfly",D3966="Butterfly ",D3966="Iron Fly", D3966="Iron Fly "),LEN(E3966)-LEN(SUBSTITUTE(E3966,"/",""))+2,LEN(E3966)-LEN(SUBSTITUTE(E3966,"/",""))+1))</f>
        <v/>
      </c>
      <c r="I3966" s="78">
        <f>IF(ISBLANK(G3966),"",IF(D3966="Stock","0",Key!$A$3*H3966*G3966))</f>
        <v/>
      </c>
      <c r="J3966" s="78">
        <f>IF(ISBLANK(E3966),"",IF(ISNUMBER(SEARCH("/",E3966)), IF(LEN(E3966)-LEN(SUBSTITUTE(E3966,"/",""))=1,(RIGHT(E3966,LEN(E3966)-FIND("/",E3966)))-(LEFT(E3966,FIND("/",E3966)-1)),(MID(E3966, SEARCH("/",E3966) + 1, SEARCH("/",E3966, SEARCH("/",E3966)+1) - SEARCH("/",E3966) - 1))-(LEFT(E3966,FIND("/",E3966)-1))), "NA"))</f>
        <v/>
      </c>
      <c r="K3966" s="79">
        <f>IF(A3966&lt;&gt;"", IF(ISBLANK(L3966), TODAY(), K3966), "")</f>
        <v/>
      </c>
      <c r="L3966" s="78" t="n"/>
      <c r="M3966" s="78">
        <f>IF(ISBLANK(L3966),"",IF(D3966="Stock",IF(C3966="Buy",L3966*G3966,IF(C3966="Sell",(L3966*G3966)-I3966, X)),IF(C3966="Buy",(L3966*G3966*100)+I3966,IF(C3966="Sell",(L3966*G3966*100)-I3966, X))))</f>
        <v/>
      </c>
      <c r="N3966" s="78">
        <f>IF(ISBLANK(L3966),"",IF(AND(C3966="Sell",D3966="Stock"),M3966,IF(ISBLANK(L3966),"",IF(C3966="Buy",M3966, IF(AND(C3966="Sell",J3966="NA"),(E3966*G3966*100*0.1)+I3966, IF(C3966="Sell",(J3966-L3966)*(100*G3966)+I3966))))))</f>
        <v/>
      </c>
      <c r="O3966" s="75" t="n"/>
      <c r="P3966" s="75" t="n"/>
      <c r="Q3966" s="75">
        <f>IF(ISBLANK(P3966),"",IF(D3966="Stock",P3966*G3966,IF(P3966=0,"0",G3966*P3966*100-(G3966*$AF$14))))</f>
        <v/>
      </c>
      <c r="R3966" s="79">
        <f>IF(P3966&lt;&gt;"", TODAY(), "")</f>
        <v/>
      </c>
      <c r="S3966" s="78">
        <f>IF(AND(K3966&lt;&gt;"", R3966&lt;&gt;""), R3966-K3966, "")</f>
        <v/>
      </c>
      <c r="T3966" s="78" t="n"/>
      <c r="U3966" s="92">
        <f>IF(ISBLANK(P3966),"",IF(C3966="Buy",Q3966-M3966+T3966, IF(C3966="Sell",M3966-Q3966-T3966, X)))</f>
        <v/>
      </c>
      <c r="V3966" s="81">
        <f>IF(ISBLANK(P3966),"",U3966/N3966)</f>
        <v/>
      </c>
      <c r="W3966" s="81">
        <f>IF(ISBLANK(P3966),"",IF(S3966=0,(365/0.5)*V3966,(365/S3966)*V3966))</f>
        <v/>
      </c>
      <c r="X3966" s="75" t="n"/>
      <c r="Y3966" s="77" t="n"/>
      <c r="Z3966" s="77" t="n"/>
      <c r="AA3966" s="75" t="n"/>
      <c r="AB3966" s="75" t="n"/>
      <c r="AC3966" s="6" t="n"/>
      <c r="AD3966" s="75" t="n"/>
      <c r="AE3966" s="75" t="n"/>
      <c r="AF3966" s="75" t="n"/>
    </row>
    <row r="3967" ht="15.75" customHeight="1" s="133">
      <c r="A3967" s="75" t="n"/>
      <c r="B3967" s="75" t="n"/>
      <c r="C3967" s="75" t="n"/>
      <c r="D3967" s="75" t="n"/>
      <c r="E3967" s="76" t="n"/>
      <c r="F3967" s="77" t="n"/>
      <c r="G3967" s="75" t="n"/>
      <c r="H3967" s="75">
        <f>IF(ISBLANK(E3967),"",IF(OR(D3967="Butterfly",D3967="Butterfly ",D3967="Iron Fly", D3967="Iron Fly "),LEN(E3967)-LEN(SUBSTITUTE(E3967,"/",""))+2,LEN(E3967)-LEN(SUBSTITUTE(E3967,"/",""))+1))</f>
        <v/>
      </c>
      <c r="I3967" s="78">
        <f>IF(ISBLANK(G3967),"",IF(D3967="Stock","0",Key!$A$3*H3967*G3967))</f>
        <v/>
      </c>
      <c r="J3967" s="78">
        <f>IF(ISBLANK(E3967),"",IF(ISNUMBER(SEARCH("/",E3967)), IF(LEN(E3967)-LEN(SUBSTITUTE(E3967,"/",""))=1,(RIGHT(E3967,LEN(E3967)-FIND("/",E3967)))-(LEFT(E3967,FIND("/",E3967)-1)),(MID(E3967, SEARCH("/",E3967) + 1, SEARCH("/",E3967, SEARCH("/",E3967)+1) - SEARCH("/",E3967) - 1))-(LEFT(E3967,FIND("/",E3967)-1))), "NA"))</f>
        <v/>
      </c>
      <c r="K3967" s="79">
        <f>IF(A3967&lt;&gt;"", IF(ISBLANK(L3967), TODAY(), K3967), "")</f>
        <v/>
      </c>
      <c r="L3967" s="78" t="n"/>
      <c r="M3967" s="78">
        <f>IF(ISBLANK(L3967),"",IF(D3967="Stock",IF(C3967="Buy",L3967*G3967,IF(C3967="Sell",(L3967*G3967)-I3967, X)),IF(C3967="Buy",(L3967*G3967*100)+I3967,IF(C3967="Sell",(L3967*G3967*100)-I3967, X))))</f>
        <v/>
      </c>
      <c r="N3967" s="78">
        <f>IF(ISBLANK(L3967),"",IF(AND(C3967="Sell",D3967="Stock"),M3967,IF(ISBLANK(L3967),"",IF(C3967="Buy",M3967, IF(AND(C3967="Sell",J3967="NA"),(E3967*G3967*100*0.1)+I3967, IF(C3967="Sell",(J3967-L3967)*(100*G3967)+I3967))))))</f>
        <v/>
      </c>
      <c r="O3967" s="75" t="n"/>
      <c r="P3967" s="75" t="n"/>
      <c r="Q3967" s="75">
        <f>IF(ISBLANK(P3967),"",IF(D3967="Stock",P3967*G3967,IF(P3967=0,"0",G3967*P3967*100-(G3967*$AF$14))))</f>
        <v/>
      </c>
      <c r="R3967" s="79">
        <f>IF(P3967&lt;&gt;"", TODAY(), "")</f>
        <v/>
      </c>
      <c r="S3967" s="78">
        <f>IF(AND(K3967&lt;&gt;"", R3967&lt;&gt;""), R3967-K3967, "")</f>
        <v/>
      </c>
      <c r="T3967" s="78" t="n"/>
      <c r="U3967" s="92">
        <f>IF(ISBLANK(P3967),"",IF(C3967="Buy",Q3967-M3967+T3967, IF(C3967="Sell",M3967-Q3967-T3967, X)))</f>
        <v/>
      </c>
      <c r="V3967" s="81">
        <f>IF(ISBLANK(P3967),"",U3967/N3967)</f>
        <v/>
      </c>
      <c r="W3967" s="81">
        <f>IF(ISBLANK(P3967),"",IF(S3967=0,(365/0.5)*V3967,(365/S3967)*V3967))</f>
        <v/>
      </c>
      <c r="X3967" s="75" t="n"/>
      <c r="Y3967" s="77" t="n"/>
      <c r="Z3967" s="77" t="n"/>
      <c r="AA3967" s="75" t="n"/>
      <c r="AB3967" s="75" t="n"/>
      <c r="AC3967" s="6" t="n"/>
      <c r="AD3967" s="75" t="n"/>
      <c r="AE3967" s="75" t="n"/>
      <c r="AF3967" s="75" t="n"/>
    </row>
    <row r="3968" ht="15.75" customHeight="1" s="133">
      <c r="A3968" s="75" t="n"/>
      <c r="B3968" s="75" t="n"/>
      <c r="C3968" s="75" t="n"/>
      <c r="D3968" s="75" t="n"/>
      <c r="E3968" s="76" t="n"/>
      <c r="F3968" s="77" t="n"/>
      <c r="G3968" s="75" t="n"/>
      <c r="H3968" s="75">
        <f>IF(ISBLANK(E3968),"",IF(OR(D3968="Butterfly",D3968="Butterfly ",D3968="Iron Fly", D3968="Iron Fly "),LEN(E3968)-LEN(SUBSTITUTE(E3968,"/",""))+2,LEN(E3968)-LEN(SUBSTITUTE(E3968,"/",""))+1))</f>
        <v/>
      </c>
      <c r="I3968" s="78">
        <f>IF(ISBLANK(G3968),"",IF(D3968="Stock","0",Key!$A$3*H3968*G3968))</f>
        <v/>
      </c>
      <c r="J3968" s="78">
        <f>IF(ISBLANK(E3968),"",IF(ISNUMBER(SEARCH("/",E3968)), IF(LEN(E3968)-LEN(SUBSTITUTE(E3968,"/",""))=1,(RIGHT(E3968,LEN(E3968)-FIND("/",E3968)))-(LEFT(E3968,FIND("/",E3968)-1)),(MID(E3968, SEARCH("/",E3968) + 1, SEARCH("/",E3968, SEARCH("/",E3968)+1) - SEARCH("/",E3968) - 1))-(LEFT(E3968,FIND("/",E3968)-1))), "NA"))</f>
        <v/>
      </c>
      <c r="K3968" s="79">
        <f>IF(A3968&lt;&gt;"", IF(ISBLANK(L3968), TODAY(), K3968), "")</f>
        <v/>
      </c>
      <c r="L3968" s="78" t="n"/>
      <c r="M3968" s="78">
        <f>IF(ISBLANK(L3968),"",IF(D3968="Stock",IF(C3968="Buy",L3968*G3968,IF(C3968="Sell",(L3968*G3968)-I3968, X)),IF(C3968="Buy",(L3968*G3968*100)+I3968,IF(C3968="Sell",(L3968*G3968*100)-I3968, X))))</f>
        <v/>
      </c>
      <c r="N3968" s="78">
        <f>IF(ISBLANK(L3968),"",IF(AND(C3968="Sell",D3968="Stock"),M3968,IF(ISBLANK(L3968),"",IF(C3968="Buy",M3968, IF(AND(C3968="Sell",J3968="NA"),(E3968*G3968*100*0.1)+I3968, IF(C3968="Sell",(J3968-L3968)*(100*G3968)+I3968))))))</f>
        <v/>
      </c>
      <c r="O3968" s="75" t="n"/>
      <c r="P3968" s="75" t="n"/>
      <c r="Q3968" s="75">
        <f>IF(ISBLANK(P3968),"",IF(D3968="Stock",P3968*G3968,IF(P3968=0,"0",G3968*P3968*100-(G3968*$AF$14))))</f>
        <v/>
      </c>
      <c r="R3968" s="79">
        <f>IF(P3968&lt;&gt;"", TODAY(), "")</f>
        <v/>
      </c>
      <c r="S3968" s="78">
        <f>IF(AND(K3968&lt;&gt;"", R3968&lt;&gt;""), R3968-K3968, "")</f>
        <v/>
      </c>
      <c r="T3968" s="78" t="n"/>
      <c r="U3968" s="92">
        <f>IF(ISBLANK(P3968),"",IF(C3968="Buy",Q3968-M3968+T3968, IF(C3968="Sell",M3968-Q3968-T3968, X)))</f>
        <v/>
      </c>
      <c r="V3968" s="81">
        <f>IF(ISBLANK(P3968),"",U3968/N3968)</f>
        <v/>
      </c>
      <c r="W3968" s="81">
        <f>IF(ISBLANK(P3968),"",IF(S3968=0,(365/0.5)*V3968,(365/S3968)*V3968))</f>
        <v/>
      </c>
      <c r="X3968" s="75" t="n"/>
      <c r="Y3968" s="77" t="n"/>
      <c r="Z3968" s="77" t="n"/>
      <c r="AA3968" s="75" t="n"/>
      <c r="AB3968" s="75" t="n"/>
      <c r="AC3968" s="6" t="n"/>
      <c r="AD3968" s="75" t="n"/>
      <c r="AE3968" s="75" t="n"/>
      <c r="AF3968" s="75" t="n"/>
    </row>
    <row r="3969" ht="15.75" customHeight="1" s="133">
      <c r="A3969" s="75" t="n"/>
      <c r="B3969" s="75" t="n"/>
      <c r="C3969" s="75" t="n"/>
      <c r="D3969" s="75" t="n"/>
      <c r="E3969" s="76" t="n"/>
      <c r="F3969" s="77" t="n"/>
      <c r="G3969" s="75" t="n"/>
      <c r="H3969" s="75">
        <f>IF(ISBLANK(E3969),"",IF(OR(D3969="Butterfly",D3969="Butterfly ",D3969="Iron Fly", D3969="Iron Fly "),LEN(E3969)-LEN(SUBSTITUTE(E3969,"/",""))+2,LEN(E3969)-LEN(SUBSTITUTE(E3969,"/",""))+1))</f>
        <v/>
      </c>
      <c r="I3969" s="78">
        <f>IF(ISBLANK(G3969),"",IF(D3969="Stock","0",Key!$A$3*H3969*G3969))</f>
        <v/>
      </c>
      <c r="J3969" s="78">
        <f>IF(ISBLANK(E3969),"",IF(ISNUMBER(SEARCH("/",E3969)), IF(LEN(E3969)-LEN(SUBSTITUTE(E3969,"/",""))=1,(RIGHT(E3969,LEN(E3969)-FIND("/",E3969)))-(LEFT(E3969,FIND("/",E3969)-1)),(MID(E3969, SEARCH("/",E3969) + 1, SEARCH("/",E3969, SEARCH("/",E3969)+1) - SEARCH("/",E3969) - 1))-(LEFT(E3969,FIND("/",E3969)-1))), "NA"))</f>
        <v/>
      </c>
      <c r="K3969" s="79">
        <f>IF(A3969&lt;&gt;"", IF(ISBLANK(L3969), TODAY(), K3969), "")</f>
        <v/>
      </c>
      <c r="L3969" s="78" t="n"/>
      <c r="M3969" s="78">
        <f>IF(ISBLANK(L3969),"",IF(D3969="Stock",IF(C3969="Buy",L3969*G3969,IF(C3969="Sell",(L3969*G3969)-I3969, X)),IF(C3969="Buy",(L3969*G3969*100)+I3969,IF(C3969="Sell",(L3969*G3969*100)-I3969, X))))</f>
        <v/>
      </c>
      <c r="N3969" s="78">
        <f>IF(ISBLANK(L3969),"",IF(AND(C3969="Sell",D3969="Stock"),M3969,IF(ISBLANK(L3969),"",IF(C3969="Buy",M3969, IF(AND(C3969="Sell",J3969="NA"),(E3969*G3969*100*0.1)+I3969, IF(C3969="Sell",(J3969-L3969)*(100*G3969)+I3969))))))</f>
        <v/>
      </c>
      <c r="O3969" s="75" t="n"/>
      <c r="P3969" s="75" t="n"/>
      <c r="Q3969" s="75">
        <f>IF(ISBLANK(P3969),"",IF(D3969="Stock",P3969*G3969,IF(P3969=0,"0",G3969*P3969*100-(G3969*$AF$14))))</f>
        <v/>
      </c>
      <c r="R3969" s="79">
        <f>IF(P3969&lt;&gt;"", TODAY(), "")</f>
        <v/>
      </c>
      <c r="S3969" s="78">
        <f>IF(AND(K3969&lt;&gt;"", R3969&lt;&gt;""), R3969-K3969, "")</f>
        <v/>
      </c>
      <c r="T3969" s="78" t="n"/>
      <c r="U3969" s="92">
        <f>IF(ISBLANK(P3969),"",IF(C3969="Buy",Q3969-M3969+T3969, IF(C3969="Sell",M3969-Q3969-T3969, X)))</f>
        <v/>
      </c>
      <c r="V3969" s="81">
        <f>IF(ISBLANK(P3969),"",U3969/N3969)</f>
        <v/>
      </c>
      <c r="W3969" s="81">
        <f>IF(ISBLANK(P3969),"",IF(S3969=0,(365/0.5)*V3969,(365/S3969)*V3969))</f>
        <v/>
      </c>
      <c r="X3969" s="75" t="n"/>
      <c r="Y3969" s="77" t="n"/>
      <c r="Z3969" s="77" t="n"/>
      <c r="AA3969" s="75" t="n"/>
      <c r="AB3969" s="75" t="n"/>
      <c r="AC3969" s="6" t="n"/>
      <c r="AD3969" s="75" t="n"/>
      <c r="AE3969" s="75" t="n"/>
      <c r="AF3969" s="75" t="n"/>
    </row>
    <row r="3970" ht="15.75" customHeight="1" s="133">
      <c r="A3970" s="75" t="n"/>
      <c r="B3970" s="75" t="n"/>
      <c r="C3970" s="75" t="n"/>
      <c r="D3970" s="75" t="n"/>
      <c r="E3970" s="76" t="n"/>
      <c r="F3970" s="77" t="n"/>
      <c r="G3970" s="75" t="n"/>
      <c r="H3970" s="75">
        <f>IF(ISBLANK(E3970),"",IF(OR(D3970="Butterfly",D3970="Butterfly ",D3970="Iron Fly", D3970="Iron Fly "),LEN(E3970)-LEN(SUBSTITUTE(E3970,"/",""))+2,LEN(E3970)-LEN(SUBSTITUTE(E3970,"/",""))+1))</f>
        <v/>
      </c>
      <c r="I3970" s="78">
        <f>IF(ISBLANK(G3970),"",IF(D3970="Stock","0",Key!$A$3*H3970*G3970))</f>
        <v/>
      </c>
      <c r="J3970" s="78">
        <f>IF(ISBLANK(E3970),"",IF(ISNUMBER(SEARCH("/",E3970)), IF(LEN(E3970)-LEN(SUBSTITUTE(E3970,"/",""))=1,(RIGHT(E3970,LEN(E3970)-FIND("/",E3970)))-(LEFT(E3970,FIND("/",E3970)-1)),(MID(E3970, SEARCH("/",E3970) + 1, SEARCH("/",E3970, SEARCH("/",E3970)+1) - SEARCH("/",E3970) - 1))-(LEFT(E3970,FIND("/",E3970)-1))), "NA"))</f>
        <v/>
      </c>
      <c r="K3970" s="79">
        <f>IF(A3970&lt;&gt;"", IF(ISBLANK(L3970), TODAY(), K3970), "")</f>
        <v/>
      </c>
      <c r="L3970" s="78" t="n"/>
      <c r="M3970" s="78">
        <f>IF(ISBLANK(L3970),"",IF(D3970="Stock",IF(C3970="Buy",L3970*G3970,IF(C3970="Sell",(L3970*G3970)-I3970, X)),IF(C3970="Buy",(L3970*G3970*100)+I3970,IF(C3970="Sell",(L3970*G3970*100)-I3970, X))))</f>
        <v/>
      </c>
      <c r="N3970" s="78">
        <f>IF(ISBLANK(L3970),"",IF(AND(C3970="Sell",D3970="Stock"),M3970,IF(ISBLANK(L3970),"",IF(C3970="Buy",M3970, IF(AND(C3970="Sell",J3970="NA"),(E3970*G3970*100*0.1)+I3970, IF(C3970="Sell",(J3970-L3970)*(100*G3970)+I3970))))))</f>
        <v/>
      </c>
      <c r="O3970" s="75" t="n"/>
      <c r="P3970" s="75" t="n"/>
      <c r="Q3970" s="75">
        <f>IF(ISBLANK(P3970),"",IF(D3970="Stock",P3970*G3970,IF(P3970=0,"0",G3970*P3970*100-(G3970*$AF$14))))</f>
        <v/>
      </c>
      <c r="R3970" s="79">
        <f>IF(P3970&lt;&gt;"", TODAY(), "")</f>
        <v/>
      </c>
      <c r="S3970" s="78">
        <f>IF(AND(K3970&lt;&gt;"", R3970&lt;&gt;""), R3970-K3970, "")</f>
        <v/>
      </c>
      <c r="T3970" s="78" t="n"/>
      <c r="U3970" s="92">
        <f>IF(ISBLANK(P3970),"",IF(C3970="Buy",Q3970-M3970+T3970, IF(C3970="Sell",M3970-Q3970-T3970, X)))</f>
        <v/>
      </c>
      <c r="V3970" s="81">
        <f>IF(ISBLANK(P3970),"",U3970/N3970)</f>
        <v/>
      </c>
      <c r="W3970" s="81">
        <f>IF(ISBLANK(P3970),"",IF(S3970=0,(365/0.5)*V3970,(365/S3970)*V3970))</f>
        <v/>
      </c>
      <c r="X3970" s="75" t="n"/>
      <c r="Y3970" s="77" t="n"/>
      <c r="Z3970" s="77" t="n"/>
      <c r="AA3970" s="75" t="n"/>
      <c r="AB3970" s="75" t="n"/>
      <c r="AC3970" s="6" t="n"/>
      <c r="AD3970" s="75" t="n"/>
      <c r="AE3970" s="75" t="n"/>
      <c r="AF3970" s="75" t="n"/>
    </row>
    <row r="3971" ht="15.75" customHeight="1" s="133">
      <c r="A3971" s="75" t="n"/>
      <c r="B3971" s="75" t="n"/>
      <c r="C3971" s="75" t="n"/>
      <c r="D3971" s="75" t="n"/>
      <c r="E3971" s="76" t="n"/>
      <c r="F3971" s="77" t="n"/>
      <c r="G3971" s="75" t="n"/>
      <c r="H3971" s="75">
        <f>IF(ISBLANK(E3971),"",IF(OR(D3971="Butterfly",D3971="Butterfly ",D3971="Iron Fly", D3971="Iron Fly "),LEN(E3971)-LEN(SUBSTITUTE(E3971,"/",""))+2,LEN(E3971)-LEN(SUBSTITUTE(E3971,"/",""))+1))</f>
        <v/>
      </c>
      <c r="I3971" s="78">
        <f>IF(ISBLANK(G3971),"",IF(D3971="Stock","0",Key!$A$3*H3971*G3971))</f>
        <v/>
      </c>
      <c r="J3971" s="78">
        <f>IF(ISBLANK(E3971),"",IF(ISNUMBER(SEARCH("/",E3971)), IF(LEN(E3971)-LEN(SUBSTITUTE(E3971,"/",""))=1,(RIGHT(E3971,LEN(E3971)-FIND("/",E3971)))-(LEFT(E3971,FIND("/",E3971)-1)),(MID(E3971, SEARCH("/",E3971) + 1, SEARCH("/",E3971, SEARCH("/",E3971)+1) - SEARCH("/",E3971) - 1))-(LEFT(E3971,FIND("/",E3971)-1))), "NA"))</f>
        <v/>
      </c>
      <c r="K3971" s="79">
        <f>IF(A3971&lt;&gt;"", IF(ISBLANK(L3971), TODAY(), K3971), "")</f>
        <v/>
      </c>
      <c r="L3971" s="78" t="n"/>
      <c r="M3971" s="78">
        <f>IF(ISBLANK(L3971),"",IF(D3971="Stock",IF(C3971="Buy",L3971*G3971,IF(C3971="Sell",(L3971*G3971)-I3971, X)),IF(C3971="Buy",(L3971*G3971*100)+I3971,IF(C3971="Sell",(L3971*G3971*100)-I3971, X))))</f>
        <v/>
      </c>
      <c r="N3971" s="78">
        <f>IF(ISBLANK(L3971),"",IF(AND(C3971="Sell",D3971="Stock"),M3971,IF(ISBLANK(L3971),"",IF(C3971="Buy",M3971, IF(AND(C3971="Sell",J3971="NA"),(E3971*G3971*100*0.1)+I3971, IF(C3971="Sell",(J3971-L3971)*(100*G3971)+I3971))))))</f>
        <v/>
      </c>
      <c r="O3971" s="75" t="n"/>
      <c r="P3971" s="75" t="n"/>
      <c r="Q3971" s="75">
        <f>IF(ISBLANK(P3971),"",IF(D3971="Stock",P3971*G3971,IF(P3971=0,"0",G3971*P3971*100-(G3971*$AF$14))))</f>
        <v/>
      </c>
      <c r="R3971" s="79">
        <f>IF(P3971&lt;&gt;"", TODAY(), "")</f>
        <v/>
      </c>
      <c r="S3971" s="78">
        <f>IF(AND(K3971&lt;&gt;"", R3971&lt;&gt;""), R3971-K3971, "")</f>
        <v/>
      </c>
      <c r="T3971" s="78" t="n"/>
      <c r="U3971" s="92">
        <f>IF(ISBLANK(P3971),"",IF(C3971="Buy",Q3971-M3971+T3971, IF(C3971="Sell",M3971-Q3971-T3971, X)))</f>
        <v/>
      </c>
      <c r="V3971" s="81">
        <f>IF(ISBLANK(P3971),"",U3971/N3971)</f>
        <v/>
      </c>
      <c r="W3971" s="81">
        <f>IF(ISBLANK(P3971),"",IF(S3971=0,(365/0.5)*V3971,(365/S3971)*V3971))</f>
        <v/>
      </c>
      <c r="X3971" s="75" t="n"/>
      <c r="Y3971" s="77" t="n"/>
      <c r="Z3971" s="77" t="n"/>
      <c r="AA3971" s="75" t="n"/>
      <c r="AB3971" s="75" t="n"/>
      <c r="AC3971" s="6" t="n"/>
      <c r="AD3971" s="75" t="n"/>
      <c r="AE3971" s="75" t="n"/>
      <c r="AF3971" s="75" t="n"/>
    </row>
    <row r="3972" ht="15.75" customHeight="1" s="133">
      <c r="A3972" s="75" t="n"/>
      <c r="B3972" s="75" t="n"/>
      <c r="C3972" s="75" t="n"/>
      <c r="D3972" s="75" t="n"/>
      <c r="E3972" s="76" t="n"/>
      <c r="F3972" s="77" t="n"/>
      <c r="G3972" s="75" t="n"/>
      <c r="H3972" s="75">
        <f>IF(ISBLANK(E3972),"",IF(OR(D3972="Butterfly",D3972="Butterfly ",D3972="Iron Fly", D3972="Iron Fly "),LEN(E3972)-LEN(SUBSTITUTE(E3972,"/",""))+2,LEN(E3972)-LEN(SUBSTITUTE(E3972,"/",""))+1))</f>
        <v/>
      </c>
      <c r="I3972" s="78">
        <f>IF(ISBLANK(G3972),"",IF(D3972="Stock","0",Key!$A$3*H3972*G3972))</f>
        <v/>
      </c>
      <c r="J3972" s="78">
        <f>IF(ISBLANK(E3972),"",IF(ISNUMBER(SEARCH("/",E3972)), IF(LEN(E3972)-LEN(SUBSTITUTE(E3972,"/",""))=1,(RIGHT(E3972,LEN(E3972)-FIND("/",E3972)))-(LEFT(E3972,FIND("/",E3972)-1)),(MID(E3972, SEARCH("/",E3972) + 1, SEARCH("/",E3972, SEARCH("/",E3972)+1) - SEARCH("/",E3972) - 1))-(LEFT(E3972,FIND("/",E3972)-1))), "NA"))</f>
        <v/>
      </c>
      <c r="K3972" s="79">
        <f>IF(A3972&lt;&gt;"", IF(ISBLANK(L3972), TODAY(), K3972), "")</f>
        <v/>
      </c>
      <c r="L3972" s="78" t="n"/>
      <c r="M3972" s="78">
        <f>IF(ISBLANK(L3972),"",IF(D3972="Stock",IF(C3972="Buy",L3972*G3972,IF(C3972="Sell",(L3972*G3972)-I3972, X)),IF(C3972="Buy",(L3972*G3972*100)+I3972,IF(C3972="Sell",(L3972*G3972*100)-I3972, X))))</f>
        <v/>
      </c>
      <c r="N3972" s="78">
        <f>IF(ISBLANK(L3972),"",IF(AND(C3972="Sell",D3972="Stock"),M3972,IF(ISBLANK(L3972),"",IF(C3972="Buy",M3972, IF(AND(C3972="Sell",J3972="NA"),(E3972*G3972*100*0.1)+I3972, IF(C3972="Sell",(J3972-L3972)*(100*G3972)+I3972))))))</f>
        <v/>
      </c>
      <c r="O3972" s="75" t="n"/>
      <c r="P3972" s="75" t="n"/>
      <c r="Q3972" s="75">
        <f>IF(ISBLANK(P3972),"",IF(D3972="Stock",P3972*G3972,IF(P3972=0,"0",G3972*P3972*100-(G3972*$AF$14))))</f>
        <v/>
      </c>
      <c r="R3972" s="79">
        <f>IF(P3972&lt;&gt;"", TODAY(), "")</f>
        <v/>
      </c>
      <c r="S3972" s="78">
        <f>IF(AND(K3972&lt;&gt;"", R3972&lt;&gt;""), R3972-K3972, "")</f>
        <v/>
      </c>
      <c r="T3972" s="78" t="n"/>
      <c r="U3972" s="92">
        <f>IF(ISBLANK(P3972),"",IF(C3972="Buy",Q3972-M3972+T3972, IF(C3972="Sell",M3972-Q3972-T3972, X)))</f>
        <v/>
      </c>
      <c r="V3972" s="81">
        <f>IF(ISBLANK(P3972),"",U3972/N3972)</f>
        <v/>
      </c>
      <c r="W3972" s="81">
        <f>IF(ISBLANK(P3972),"",IF(S3972=0,(365/0.5)*V3972,(365/S3972)*V3972))</f>
        <v/>
      </c>
      <c r="X3972" s="75" t="n"/>
      <c r="Y3972" s="77" t="n"/>
      <c r="Z3972" s="77" t="n"/>
      <c r="AA3972" s="75" t="n"/>
      <c r="AB3972" s="75" t="n"/>
      <c r="AC3972" s="6" t="n"/>
      <c r="AD3972" s="75" t="n"/>
      <c r="AE3972" s="75" t="n"/>
      <c r="AF3972" s="75" t="n"/>
    </row>
    <row r="3973" ht="15.75" customHeight="1" s="133">
      <c r="A3973" s="75" t="n"/>
      <c r="B3973" s="75" t="n"/>
      <c r="C3973" s="75" t="n"/>
      <c r="D3973" s="75" t="n"/>
      <c r="E3973" s="76" t="n"/>
      <c r="F3973" s="77" t="n"/>
      <c r="G3973" s="75" t="n"/>
      <c r="H3973" s="75">
        <f>IF(ISBLANK(E3973),"",IF(OR(D3973="Butterfly",D3973="Butterfly ",D3973="Iron Fly", D3973="Iron Fly "),LEN(E3973)-LEN(SUBSTITUTE(E3973,"/",""))+2,LEN(E3973)-LEN(SUBSTITUTE(E3973,"/",""))+1))</f>
        <v/>
      </c>
      <c r="I3973" s="78">
        <f>IF(ISBLANK(G3973),"",IF(D3973="Stock","0",Key!$A$3*H3973*G3973))</f>
        <v/>
      </c>
      <c r="J3973" s="78">
        <f>IF(ISBLANK(E3973),"",IF(ISNUMBER(SEARCH("/",E3973)), IF(LEN(E3973)-LEN(SUBSTITUTE(E3973,"/",""))=1,(RIGHT(E3973,LEN(E3973)-FIND("/",E3973)))-(LEFT(E3973,FIND("/",E3973)-1)),(MID(E3973, SEARCH("/",E3973) + 1, SEARCH("/",E3973, SEARCH("/",E3973)+1) - SEARCH("/",E3973) - 1))-(LEFT(E3973,FIND("/",E3973)-1))), "NA"))</f>
        <v/>
      </c>
      <c r="K3973" s="79">
        <f>IF(A3973&lt;&gt;"", IF(ISBLANK(L3973), TODAY(), K3973), "")</f>
        <v/>
      </c>
      <c r="L3973" s="78" t="n"/>
      <c r="M3973" s="78">
        <f>IF(ISBLANK(L3973),"",IF(D3973="Stock",IF(C3973="Buy",L3973*G3973,IF(C3973="Sell",(L3973*G3973)-I3973, X)),IF(C3973="Buy",(L3973*G3973*100)+I3973,IF(C3973="Sell",(L3973*G3973*100)-I3973, X))))</f>
        <v/>
      </c>
      <c r="N3973" s="78">
        <f>IF(ISBLANK(L3973),"",IF(AND(C3973="Sell",D3973="Stock"),M3973,IF(ISBLANK(L3973),"",IF(C3973="Buy",M3973, IF(AND(C3973="Sell",J3973="NA"),(E3973*G3973*100*0.1)+I3973, IF(C3973="Sell",(J3973-L3973)*(100*G3973)+I3973))))))</f>
        <v/>
      </c>
      <c r="O3973" s="75" t="n"/>
      <c r="P3973" s="75" t="n"/>
      <c r="Q3973" s="75">
        <f>IF(ISBLANK(P3973),"",IF(D3973="Stock",P3973*G3973,IF(P3973=0,"0",G3973*P3973*100-(G3973*$AF$14))))</f>
        <v/>
      </c>
      <c r="R3973" s="79">
        <f>IF(P3973&lt;&gt;"", TODAY(), "")</f>
        <v/>
      </c>
      <c r="S3973" s="78">
        <f>IF(AND(K3973&lt;&gt;"", R3973&lt;&gt;""), R3973-K3973, "")</f>
        <v/>
      </c>
      <c r="T3973" s="78" t="n"/>
      <c r="U3973" s="92">
        <f>IF(ISBLANK(P3973),"",IF(C3973="Buy",Q3973-M3973+T3973, IF(C3973="Sell",M3973-Q3973-T3973, X)))</f>
        <v/>
      </c>
      <c r="V3973" s="81">
        <f>IF(ISBLANK(P3973),"",U3973/N3973)</f>
        <v/>
      </c>
      <c r="W3973" s="81">
        <f>IF(ISBLANK(P3973),"",IF(S3973=0,(365/0.5)*V3973,(365/S3973)*V3973))</f>
        <v/>
      </c>
      <c r="X3973" s="75" t="n"/>
      <c r="Y3973" s="77" t="n"/>
      <c r="Z3973" s="77" t="n"/>
      <c r="AA3973" s="75" t="n"/>
      <c r="AB3973" s="75" t="n"/>
      <c r="AC3973" s="6" t="n"/>
      <c r="AD3973" s="75" t="n"/>
      <c r="AE3973" s="75" t="n"/>
      <c r="AF3973" s="75" t="n"/>
    </row>
    <row r="3974" ht="15.75" customHeight="1" s="133">
      <c r="A3974" s="75" t="n"/>
      <c r="B3974" s="75" t="n"/>
      <c r="C3974" s="75" t="n"/>
      <c r="D3974" s="75" t="n"/>
      <c r="E3974" s="76" t="n"/>
      <c r="F3974" s="77" t="n"/>
      <c r="G3974" s="75" t="n"/>
      <c r="H3974" s="75">
        <f>IF(ISBLANK(E3974),"",IF(OR(D3974="Butterfly",D3974="Butterfly ",D3974="Iron Fly", D3974="Iron Fly "),LEN(E3974)-LEN(SUBSTITUTE(E3974,"/",""))+2,LEN(E3974)-LEN(SUBSTITUTE(E3974,"/",""))+1))</f>
        <v/>
      </c>
      <c r="I3974" s="78">
        <f>IF(ISBLANK(G3974),"",IF(D3974="Stock","0",Key!$A$3*H3974*G3974))</f>
        <v/>
      </c>
      <c r="J3974" s="78">
        <f>IF(ISBLANK(E3974),"",IF(ISNUMBER(SEARCH("/",E3974)), IF(LEN(E3974)-LEN(SUBSTITUTE(E3974,"/",""))=1,(RIGHT(E3974,LEN(E3974)-FIND("/",E3974)))-(LEFT(E3974,FIND("/",E3974)-1)),(MID(E3974, SEARCH("/",E3974) + 1, SEARCH("/",E3974, SEARCH("/",E3974)+1) - SEARCH("/",E3974) - 1))-(LEFT(E3974,FIND("/",E3974)-1))), "NA"))</f>
        <v/>
      </c>
      <c r="K3974" s="79">
        <f>IF(A3974&lt;&gt;"", IF(ISBLANK(L3974), TODAY(), K3974), "")</f>
        <v/>
      </c>
      <c r="L3974" s="78" t="n"/>
      <c r="M3974" s="78">
        <f>IF(ISBLANK(L3974),"",IF(D3974="Stock",IF(C3974="Buy",L3974*G3974,IF(C3974="Sell",(L3974*G3974)-I3974, X)),IF(C3974="Buy",(L3974*G3974*100)+I3974,IF(C3974="Sell",(L3974*G3974*100)-I3974, X))))</f>
        <v/>
      </c>
      <c r="N3974" s="78">
        <f>IF(ISBLANK(L3974),"",IF(AND(C3974="Sell",D3974="Stock"),M3974,IF(ISBLANK(L3974),"",IF(C3974="Buy",M3974, IF(AND(C3974="Sell",J3974="NA"),(E3974*G3974*100*0.1)+I3974, IF(C3974="Sell",(J3974-L3974)*(100*G3974)+I3974))))))</f>
        <v/>
      </c>
      <c r="O3974" s="75" t="n"/>
      <c r="P3974" s="75" t="n"/>
      <c r="Q3974" s="75">
        <f>IF(ISBLANK(P3974),"",IF(D3974="Stock",P3974*G3974,IF(P3974=0,"0",G3974*P3974*100-(G3974*$AF$14))))</f>
        <v/>
      </c>
      <c r="R3974" s="79">
        <f>IF(P3974&lt;&gt;"", TODAY(), "")</f>
        <v/>
      </c>
      <c r="S3974" s="78">
        <f>IF(AND(K3974&lt;&gt;"", R3974&lt;&gt;""), R3974-K3974, "")</f>
        <v/>
      </c>
      <c r="T3974" s="78" t="n"/>
      <c r="U3974" s="92">
        <f>IF(ISBLANK(P3974),"",IF(C3974="Buy",Q3974-M3974+T3974, IF(C3974="Sell",M3974-Q3974-T3974, X)))</f>
        <v/>
      </c>
      <c r="V3974" s="81">
        <f>IF(ISBLANK(P3974),"",U3974/N3974)</f>
        <v/>
      </c>
      <c r="W3974" s="81">
        <f>IF(ISBLANK(P3974),"",IF(S3974=0,(365/0.5)*V3974,(365/S3974)*V3974))</f>
        <v/>
      </c>
      <c r="X3974" s="75" t="n"/>
      <c r="Y3974" s="77" t="n"/>
      <c r="Z3974" s="77" t="n"/>
      <c r="AA3974" s="75" t="n"/>
      <c r="AB3974" s="75" t="n"/>
      <c r="AC3974" s="6" t="n"/>
      <c r="AD3974" s="75" t="n"/>
      <c r="AE3974" s="75" t="n"/>
      <c r="AF3974" s="75" t="n"/>
    </row>
    <row r="3975" ht="15.75" customHeight="1" s="133">
      <c r="A3975" s="75" t="n"/>
      <c r="B3975" s="75" t="n"/>
      <c r="C3975" s="75" t="n"/>
      <c r="D3975" s="75" t="n"/>
      <c r="E3975" s="76" t="n"/>
      <c r="F3975" s="77" t="n"/>
      <c r="G3975" s="75" t="n"/>
      <c r="H3975" s="75">
        <f>IF(ISBLANK(E3975),"",IF(OR(D3975="Butterfly",D3975="Butterfly ",D3975="Iron Fly", D3975="Iron Fly "),LEN(E3975)-LEN(SUBSTITUTE(E3975,"/",""))+2,LEN(E3975)-LEN(SUBSTITUTE(E3975,"/",""))+1))</f>
        <v/>
      </c>
      <c r="I3975" s="78">
        <f>IF(ISBLANK(G3975),"",IF(D3975="Stock","0",Key!$A$3*H3975*G3975))</f>
        <v/>
      </c>
      <c r="J3975" s="78">
        <f>IF(ISBLANK(E3975),"",IF(ISNUMBER(SEARCH("/",E3975)), IF(LEN(E3975)-LEN(SUBSTITUTE(E3975,"/",""))=1,(RIGHT(E3975,LEN(E3975)-FIND("/",E3975)))-(LEFT(E3975,FIND("/",E3975)-1)),(MID(E3975, SEARCH("/",E3975) + 1, SEARCH("/",E3975, SEARCH("/",E3975)+1) - SEARCH("/",E3975) - 1))-(LEFT(E3975,FIND("/",E3975)-1))), "NA"))</f>
        <v/>
      </c>
      <c r="K3975" s="79">
        <f>IF(A3975&lt;&gt;"", IF(ISBLANK(L3975), TODAY(), K3975), "")</f>
        <v/>
      </c>
      <c r="L3975" s="78" t="n"/>
      <c r="M3975" s="78">
        <f>IF(ISBLANK(L3975),"",IF(D3975="Stock",IF(C3975="Buy",L3975*G3975,IF(C3975="Sell",(L3975*G3975)-I3975, X)),IF(C3975="Buy",(L3975*G3975*100)+I3975,IF(C3975="Sell",(L3975*G3975*100)-I3975, X))))</f>
        <v/>
      </c>
      <c r="N3975" s="78">
        <f>IF(ISBLANK(L3975),"",IF(AND(C3975="Sell",D3975="Stock"),M3975,IF(ISBLANK(L3975),"",IF(C3975="Buy",M3975, IF(AND(C3975="Sell",J3975="NA"),(E3975*G3975*100*0.1)+I3975, IF(C3975="Sell",(J3975-L3975)*(100*G3975)+I3975))))))</f>
        <v/>
      </c>
      <c r="O3975" s="75" t="n"/>
      <c r="P3975" s="75" t="n"/>
      <c r="Q3975" s="75">
        <f>IF(ISBLANK(P3975),"",IF(D3975="Stock",P3975*G3975,IF(P3975=0,"0",G3975*P3975*100-(G3975*$AF$14))))</f>
        <v/>
      </c>
      <c r="R3975" s="79">
        <f>IF(P3975&lt;&gt;"", TODAY(), "")</f>
        <v/>
      </c>
      <c r="S3975" s="78">
        <f>IF(AND(K3975&lt;&gt;"", R3975&lt;&gt;""), R3975-K3975, "")</f>
        <v/>
      </c>
      <c r="T3975" s="78" t="n"/>
      <c r="U3975" s="92">
        <f>IF(ISBLANK(P3975),"",IF(C3975="Buy",Q3975-M3975+T3975, IF(C3975="Sell",M3975-Q3975-T3975, X)))</f>
        <v/>
      </c>
      <c r="V3975" s="81">
        <f>IF(ISBLANK(P3975),"",U3975/N3975)</f>
        <v/>
      </c>
      <c r="W3975" s="81">
        <f>IF(ISBLANK(P3975),"",IF(S3975=0,(365/0.5)*V3975,(365/S3975)*V3975))</f>
        <v/>
      </c>
      <c r="X3975" s="75" t="n"/>
      <c r="Y3975" s="77" t="n"/>
      <c r="Z3975" s="77" t="n"/>
      <c r="AA3975" s="75" t="n"/>
      <c r="AB3975" s="75" t="n"/>
      <c r="AC3975" s="6" t="n"/>
      <c r="AD3975" s="75" t="n"/>
      <c r="AE3975" s="75" t="n"/>
      <c r="AF3975" s="75" t="n"/>
    </row>
    <row r="3976" ht="15.75" customHeight="1" s="133">
      <c r="A3976" s="75" t="n"/>
      <c r="B3976" s="75" t="n"/>
      <c r="C3976" s="75" t="n"/>
      <c r="D3976" s="75" t="n"/>
      <c r="E3976" s="76" t="n"/>
      <c r="F3976" s="77" t="n"/>
      <c r="G3976" s="75" t="n"/>
      <c r="H3976" s="75">
        <f>IF(ISBLANK(E3976),"",IF(OR(D3976="Butterfly",D3976="Butterfly ",D3976="Iron Fly", D3976="Iron Fly "),LEN(E3976)-LEN(SUBSTITUTE(E3976,"/",""))+2,LEN(E3976)-LEN(SUBSTITUTE(E3976,"/",""))+1))</f>
        <v/>
      </c>
      <c r="I3976" s="78">
        <f>IF(ISBLANK(G3976),"",IF(D3976="Stock","0",Key!$A$3*H3976*G3976))</f>
        <v/>
      </c>
      <c r="J3976" s="78">
        <f>IF(ISBLANK(E3976),"",IF(ISNUMBER(SEARCH("/",E3976)), IF(LEN(E3976)-LEN(SUBSTITUTE(E3976,"/",""))=1,(RIGHT(E3976,LEN(E3976)-FIND("/",E3976)))-(LEFT(E3976,FIND("/",E3976)-1)),(MID(E3976, SEARCH("/",E3976) + 1, SEARCH("/",E3976, SEARCH("/",E3976)+1) - SEARCH("/",E3976) - 1))-(LEFT(E3976,FIND("/",E3976)-1))), "NA"))</f>
        <v/>
      </c>
      <c r="K3976" s="79">
        <f>IF(A3976&lt;&gt;"", IF(ISBLANK(L3976), TODAY(), K3976), "")</f>
        <v/>
      </c>
      <c r="L3976" s="78" t="n"/>
      <c r="M3976" s="78">
        <f>IF(ISBLANK(L3976),"",IF(D3976="Stock",IF(C3976="Buy",L3976*G3976,IF(C3976="Sell",(L3976*G3976)-I3976, X)),IF(C3976="Buy",(L3976*G3976*100)+I3976,IF(C3976="Sell",(L3976*G3976*100)-I3976, X))))</f>
        <v/>
      </c>
      <c r="N3976" s="78">
        <f>IF(ISBLANK(L3976),"",IF(AND(C3976="Sell",D3976="Stock"),M3976,IF(ISBLANK(L3976),"",IF(C3976="Buy",M3976, IF(AND(C3976="Sell",J3976="NA"),(E3976*G3976*100*0.1)+I3976, IF(C3976="Sell",(J3976-L3976)*(100*G3976)+I3976))))))</f>
        <v/>
      </c>
      <c r="O3976" s="75" t="n"/>
      <c r="P3976" s="75" t="n"/>
      <c r="Q3976" s="75">
        <f>IF(ISBLANK(P3976),"",IF(D3976="Stock",P3976*G3976,IF(P3976=0,"0",G3976*P3976*100-(G3976*$AF$14))))</f>
        <v/>
      </c>
      <c r="R3976" s="79">
        <f>IF(P3976&lt;&gt;"", TODAY(), "")</f>
        <v/>
      </c>
      <c r="S3976" s="78">
        <f>IF(AND(K3976&lt;&gt;"", R3976&lt;&gt;""), R3976-K3976, "")</f>
        <v/>
      </c>
      <c r="T3976" s="78" t="n"/>
      <c r="U3976" s="92">
        <f>IF(ISBLANK(P3976),"",IF(C3976="Buy",Q3976-M3976+T3976, IF(C3976="Sell",M3976-Q3976-T3976, X)))</f>
        <v/>
      </c>
      <c r="V3976" s="81">
        <f>IF(ISBLANK(P3976),"",U3976/N3976)</f>
        <v/>
      </c>
      <c r="W3976" s="81">
        <f>IF(ISBLANK(P3976),"",IF(S3976=0,(365/0.5)*V3976,(365/S3976)*V3976))</f>
        <v/>
      </c>
      <c r="X3976" s="75" t="n"/>
      <c r="Y3976" s="77" t="n"/>
      <c r="Z3976" s="77" t="n"/>
      <c r="AA3976" s="75" t="n"/>
      <c r="AB3976" s="75" t="n"/>
      <c r="AC3976" s="6" t="n"/>
      <c r="AD3976" s="75" t="n"/>
      <c r="AE3976" s="75" t="n"/>
      <c r="AF3976" s="75" t="n"/>
    </row>
    <row r="3977" ht="15.75" customHeight="1" s="133">
      <c r="A3977" s="75" t="n"/>
      <c r="B3977" s="75" t="n"/>
      <c r="C3977" s="75" t="n"/>
      <c r="D3977" s="75" t="n"/>
      <c r="E3977" s="76" t="n"/>
      <c r="F3977" s="77" t="n"/>
      <c r="G3977" s="75" t="n"/>
      <c r="H3977" s="75">
        <f>IF(ISBLANK(E3977),"",IF(OR(D3977="Butterfly",D3977="Butterfly ",D3977="Iron Fly", D3977="Iron Fly "),LEN(E3977)-LEN(SUBSTITUTE(E3977,"/",""))+2,LEN(E3977)-LEN(SUBSTITUTE(E3977,"/",""))+1))</f>
        <v/>
      </c>
      <c r="I3977" s="78">
        <f>IF(ISBLANK(G3977),"",IF(D3977="Stock","0",Key!$A$3*H3977*G3977))</f>
        <v/>
      </c>
      <c r="J3977" s="78">
        <f>IF(ISBLANK(E3977),"",IF(ISNUMBER(SEARCH("/",E3977)), IF(LEN(E3977)-LEN(SUBSTITUTE(E3977,"/",""))=1,(RIGHT(E3977,LEN(E3977)-FIND("/",E3977)))-(LEFT(E3977,FIND("/",E3977)-1)),(MID(E3977, SEARCH("/",E3977) + 1, SEARCH("/",E3977, SEARCH("/",E3977)+1) - SEARCH("/",E3977) - 1))-(LEFT(E3977,FIND("/",E3977)-1))), "NA"))</f>
        <v/>
      </c>
      <c r="K3977" s="79">
        <f>IF(A3977&lt;&gt;"", IF(ISBLANK(L3977), TODAY(), K3977), "")</f>
        <v/>
      </c>
      <c r="L3977" s="78" t="n"/>
      <c r="M3977" s="78">
        <f>IF(ISBLANK(L3977),"",IF(D3977="Stock",IF(C3977="Buy",L3977*G3977,IF(C3977="Sell",(L3977*G3977)-I3977, X)),IF(C3977="Buy",(L3977*G3977*100)+I3977,IF(C3977="Sell",(L3977*G3977*100)-I3977, X))))</f>
        <v/>
      </c>
      <c r="N3977" s="78">
        <f>IF(ISBLANK(L3977),"",IF(AND(C3977="Sell",D3977="Stock"),M3977,IF(ISBLANK(L3977),"",IF(C3977="Buy",M3977, IF(AND(C3977="Sell",J3977="NA"),(E3977*G3977*100*0.1)+I3977, IF(C3977="Sell",(J3977-L3977)*(100*G3977)+I3977))))))</f>
        <v/>
      </c>
      <c r="O3977" s="75" t="n"/>
      <c r="P3977" s="75" t="n"/>
      <c r="Q3977" s="75">
        <f>IF(ISBLANK(P3977),"",IF(D3977="Stock",P3977*G3977,IF(P3977=0,"0",G3977*P3977*100-(G3977*$AF$14))))</f>
        <v/>
      </c>
      <c r="R3977" s="79">
        <f>IF(P3977&lt;&gt;"", TODAY(), "")</f>
        <v/>
      </c>
      <c r="S3977" s="78">
        <f>IF(AND(K3977&lt;&gt;"", R3977&lt;&gt;""), R3977-K3977, "")</f>
        <v/>
      </c>
      <c r="T3977" s="78" t="n"/>
      <c r="U3977" s="92">
        <f>IF(ISBLANK(P3977),"",IF(C3977="Buy",Q3977-M3977+T3977, IF(C3977="Sell",M3977-Q3977-T3977, X)))</f>
        <v/>
      </c>
      <c r="V3977" s="81">
        <f>IF(ISBLANK(P3977),"",U3977/N3977)</f>
        <v/>
      </c>
      <c r="W3977" s="81">
        <f>IF(ISBLANK(P3977),"",IF(S3977=0,(365/0.5)*V3977,(365/S3977)*V3977))</f>
        <v/>
      </c>
      <c r="X3977" s="75" t="n"/>
      <c r="Y3977" s="77" t="n"/>
      <c r="Z3977" s="77" t="n"/>
      <c r="AA3977" s="75" t="n"/>
      <c r="AB3977" s="75" t="n"/>
      <c r="AC3977" s="6" t="n"/>
      <c r="AD3977" s="75" t="n"/>
      <c r="AE3977" s="75" t="n"/>
      <c r="AF3977" s="75" t="n"/>
    </row>
    <row r="3978" ht="15.75" customHeight="1" s="133">
      <c r="A3978" s="75" t="n"/>
      <c r="B3978" s="75" t="n"/>
      <c r="C3978" s="75" t="n"/>
      <c r="D3978" s="75" t="n"/>
      <c r="E3978" s="76" t="n"/>
      <c r="F3978" s="77" t="n"/>
      <c r="G3978" s="75" t="n"/>
      <c r="H3978" s="75">
        <f>IF(ISBLANK(E3978),"",IF(OR(D3978="Butterfly",D3978="Butterfly ",D3978="Iron Fly", D3978="Iron Fly "),LEN(E3978)-LEN(SUBSTITUTE(E3978,"/",""))+2,LEN(E3978)-LEN(SUBSTITUTE(E3978,"/",""))+1))</f>
        <v/>
      </c>
      <c r="I3978" s="78">
        <f>IF(ISBLANK(G3978),"",IF(D3978="Stock","0",Key!$A$3*H3978*G3978))</f>
        <v/>
      </c>
      <c r="J3978" s="78">
        <f>IF(ISBLANK(E3978),"",IF(ISNUMBER(SEARCH("/",E3978)), IF(LEN(E3978)-LEN(SUBSTITUTE(E3978,"/",""))=1,(RIGHT(E3978,LEN(E3978)-FIND("/",E3978)))-(LEFT(E3978,FIND("/",E3978)-1)),(MID(E3978, SEARCH("/",E3978) + 1, SEARCH("/",E3978, SEARCH("/",E3978)+1) - SEARCH("/",E3978) - 1))-(LEFT(E3978,FIND("/",E3978)-1))), "NA"))</f>
        <v/>
      </c>
      <c r="K3978" s="79">
        <f>IF(A3978&lt;&gt;"", IF(ISBLANK(L3978), TODAY(), K3978), "")</f>
        <v/>
      </c>
      <c r="L3978" s="78" t="n"/>
      <c r="M3978" s="78">
        <f>IF(ISBLANK(L3978),"",IF(D3978="Stock",IF(C3978="Buy",L3978*G3978,IF(C3978="Sell",(L3978*G3978)-I3978, X)),IF(C3978="Buy",(L3978*G3978*100)+I3978,IF(C3978="Sell",(L3978*G3978*100)-I3978, X))))</f>
        <v/>
      </c>
      <c r="N3978" s="78">
        <f>IF(ISBLANK(L3978),"",IF(AND(C3978="Sell",D3978="Stock"),M3978,IF(ISBLANK(L3978),"",IF(C3978="Buy",M3978, IF(AND(C3978="Sell",J3978="NA"),(E3978*G3978*100*0.1)+I3978, IF(C3978="Sell",(J3978-L3978)*(100*G3978)+I3978))))))</f>
        <v/>
      </c>
      <c r="O3978" s="75" t="n"/>
      <c r="P3978" s="75" t="n"/>
      <c r="Q3978" s="75">
        <f>IF(ISBLANK(P3978),"",IF(D3978="Stock",P3978*G3978,IF(P3978=0,"0",G3978*P3978*100-(G3978*$AF$14))))</f>
        <v/>
      </c>
      <c r="R3978" s="79">
        <f>IF(P3978&lt;&gt;"", TODAY(), "")</f>
        <v/>
      </c>
      <c r="S3978" s="78">
        <f>IF(AND(K3978&lt;&gt;"", R3978&lt;&gt;""), R3978-K3978, "")</f>
        <v/>
      </c>
      <c r="T3978" s="78" t="n"/>
      <c r="U3978" s="92">
        <f>IF(ISBLANK(P3978),"",IF(C3978="Buy",Q3978-M3978+T3978, IF(C3978="Sell",M3978-Q3978-T3978, X)))</f>
        <v/>
      </c>
      <c r="V3978" s="81">
        <f>IF(ISBLANK(P3978),"",U3978/N3978)</f>
        <v/>
      </c>
      <c r="W3978" s="81">
        <f>IF(ISBLANK(P3978),"",IF(S3978=0,(365/0.5)*V3978,(365/S3978)*V3978))</f>
        <v/>
      </c>
      <c r="X3978" s="75" t="n"/>
      <c r="Y3978" s="77" t="n"/>
      <c r="Z3978" s="77" t="n"/>
      <c r="AA3978" s="75" t="n"/>
      <c r="AB3978" s="75" t="n"/>
      <c r="AC3978" s="6" t="n"/>
      <c r="AD3978" s="75" t="n"/>
      <c r="AE3978" s="75" t="n"/>
      <c r="AF3978" s="75" t="n"/>
    </row>
    <row r="3979" ht="15.75" customHeight="1" s="133">
      <c r="A3979" s="75" t="n"/>
      <c r="B3979" s="75" t="n"/>
      <c r="C3979" s="75" t="n"/>
      <c r="D3979" s="75" t="n"/>
      <c r="E3979" s="76" t="n"/>
      <c r="F3979" s="77" t="n"/>
      <c r="G3979" s="75" t="n"/>
      <c r="H3979" s="75">
        <f>IF(ISBLANK(E3979),"",IF(OR(D3979="Butterfly",D3979="Butterfly ",D3979="Iron Fly", D3979="Iron Fly "),LEN(E3979)-LEN(SUBSTITUTE(E3979,"/",""))+2,LEN(E3979)-LEN(SUBSTITUTE(E3979,"/",""))+1))</f>
        <v/>
      </c>
      <c r="I3979" s="78">
        <f>IF(ISBLANK(G3979),"",IF(D3979="Stock","0",Key!$A$3*H3979*G3979))</f>
        <v/>
      </c>
      <c r="J3979" s="78">
        <f>IF(ISBLANK(E3979),"",IF(ISNUMBER(SEARCH("/",E3979)), IF(LEN(E3979)-LEN(SUBSTITUTE(E3979,"/",""))=1,(RIGHT(E3979,LEN(E3979)-FIND("/",E3979)))-(LEFT(E3979,FIND("/",E3979)-1)),(MID(E3979, SEARCH("/",E3979) + 1, SEARCH("/",E3979, SEARCH("/",E3979)+1) - SEARCH("/",E3979) - 1))-(LEFT(E3979,FIND("/",E3979)-1))), "NA"))</f>
        <v/>
      </c>
      <c r="K3979" s="79">
        <f>IF(A3979&lt;&gt;"", IF(ISBLANK(L3979), TODAY(), K3979), "")</f>
        <v/>
      </c>
      <c r="L3979" s="78" t="n"/>
      <c r="M3979" s="78">
        <f>IF(ISBLANK(L3979),"",IF(D3979="Stock",IF(C3979="Buy",L3979*G3979,IF(C3979="Sell",(L3979*G3979)-I3979, X)),IF(C3979="Buy",(L3979*G3979*100)+I3979,IF(C3979="Sell",(L3979*G3979*100)-I3979, X))))</f>
        <v/>
      </c>
      <c r="N3979" s="78">
        <f>IF(ISBLANK(L3979),"",IF(AND(C3979="Sell",D3979="Stock"),M3979,IF(ISBLANK(L3979),"",IF(C3979="Buy",M3979, IF(AND(C3979="Sell",J3979="NA"),(E3979*G3979*100*0.1)+I3979, IF(C3979="Sell",(J3979-L3979)*(100*G3979)+I3979))))))</f>
        <v/>
      </c>
      <c r="O3979" s="75" t="n"/>
      <c r="P3979" s="75" t="n"/>
      <c r="Q3979" s="75">
        <f>IF(ISBLANK(P3979),"",IF(D3979="Stock",P3979*G3979,IF(P3979=0,"0",G3979*P3979*100-(G3979*$AF$14))))</f>
        <v/>
      </c>
      <c r="R3979" s="79">
        <f>IF(P3979&lt;&gt;"", TODAY(), "")</f>
        <v/>
      </c>
      <c r="S3979" s="78">
        <f>IF(AND(K3979&lt;&gt;"", R3979&lt;&gt;""), R3979-K3979, "")</f>
        <v/>
      </c>
      <c r="T3979" s="78" t="n"/>
      <c r="U3979" s="92">
        <f>IF(ISBLANK(P3979),"",IF(C3979="Buy",Q3979-M3979+T3979, IF(C3979="Sell",M3979-Q3979-T3979, X)))</f>
        <v/>
      </c>
      <c r="V3979" s="81">
        <f>IF(ISBLANK(P3979),"",U3979/N3979)</f>
        <v/>
      </c>
      <c r="W3979" s="81">
        <f>IF(ISBLANK(P3979),"",IF(S3979=0,(365/0.5)*V3979,(365/S3979)*V3979))</f>
        <v/>
      </c>
      <c r="X3979" s="75" t="n"/>
      <c r="Y3979" s="77" t="n"/>
      <c r="Z3979" s="77" t="n"/>
      <c r="AA3979" s="75" t="n"/>
      <c r="AB3979" s="75" t="n"/>
      <c r="AC3979" s="6" t="n"/>
      <c r="AD3979" s="75" t="n"/>
      <c r="AE3979" s="75" t="n"/>
      <c r="AF3979" s="75" t="n"/>
    </row>
    <row r="3980" ht="15.75" customHeight="1" s="133">
      <c r="A3980" s="75" t="n"/>
      <c r="B3980" s="75" t="n"/>
      <c r="C3980" s="75" t="n"/>
      <c r="D3980" s="75" t="n"/>
      <c r="E3980" s="76" t="n"/>
      <c r="F3980" s="77" t="n"/>
      <c r="G3980" s="75" t="n"/>
      <c r="H3980" s="75">
        <f>IF(ISBLANK(E3980),"",IF(OR(D3980="Butterfly",D3980="Butterfly ",D3980="Iron Fly", D3980="Iron Fly "),LEN(E3980)-LEN(SUBSTITUTE(E3980,"/",""))+2,LEN(E3980)-LEN(SUBSTITUTE(E3980,"/",""))+1))</f>
        <v/>
      </c>
      <c r="I3980" s="78">
        <f>IF(ISBLANK(G3980),"",IF(D3980="Stock","0",Key!$A$3*H3980*G3980))</f>
        <v/>
      </c>
      <c r="J3980" s="78">
        <f>IF(ISBLANK(E3980),"",IF(ISNUMBER(SEARCH("/",E3980)), IF(LEN(E3980)-LEN(SUBSTITUTE(E3980,"/",""))=1,(RIGHT(E3980,LEN(E3980)-FIND("/",E3980)))-(LEFT(E3980,FIND("/",E3980)-1)),(MID(E3980, SEARCH("/",E3980) + 1, SEARCH("/",E3980, SEARCH("/",E3980)+1) - SEARCH("/",E3980) - 1))-(LEFT(E3980,FIND("/",E3980)-1))), "NA"))</f>
        <v/>
      </c>
      <c r="K3980" s="79">
        <f>IF(A3980&lt;&gt;"", IF(ISBLANK(L3980), TODAY(), K3980), "")</f>
        <v/>
      </c>
      <c r="L3980" s="78" t="n"/>
      <c r="M3980" s="78">
        <f>IF(ISBLANK(L3980),"",IF(D3980="Stock",IF(C3980="Buy",L3980*G3980,IF(C3980="Sell",(L3980*G3980)-I3980, X)),IF(C3980="Buy",(L3980*G3980*100)+I3980,IF(C3980="Sell",(L3980*G3980*100)-I3980, X))))</f>
        <v/>
      </c>
      <c r="N3980" s="78">
        <f>IF(ISBLANK(L3980),"",IF(AND(C3980="Sell",D3980="Stock"),M3980,IF(ISBLANK(L3980),"",IF(C3980="Buy",M3980, IF(AND(C3980="Sell",J3980="NA"),(E3980*G3980*100*0.1)+I3980, IF(C3980="Sell",(J3980-L3980)*(100*G3980)+I3980))))))</f>
        <v/>
      </c>
      <c r="O3980" s="75" t="n"/>
      <c r="P3980" s="75" t="n"/>
      <c r="Q3980" s="75">
        <f>IF(ISBLANK(P3980),"",IF(D3980="Stock",P3980*G3980,IF(P3980=0,"0",G3980*P3980*100-(G3980*$AF$14))))</f>
        <v/>
      </c>
      <c r="R3980" s="79">
        <f>IF(P3980&lt;&gt;"", TODAY(), "")</f>
        <v/>
      </c>
      <c r="S3980" s="78">
        <f>IF(AND(K3980&lt;&gt;"", R3980&lt;&gt;""), R3980-K3980, "")</f>
        <v/>
      </c>
      <c r="T3980" s="78" t="n"/>
      <c r="U3980" s="92">
        <f>IF(ISBLANK(P3980),"",IF(C3980="Buy",Q3980-M3980+T3980, IF(C3980="Sell",M3980-Q3980-T3980, X)))</f>
        <v/>
      </c>
      <c r="V3980" s="81">
        <f>IF(ISBLANK(P3980),"",U3980/N3980)</f>
        <v/>
      </c>
      <c r="W3980" s="81">
        <f>IF(ISBLANK(P3980),"",IF(S3980=0,(365/0.5)*V3980,(365/S3980)*V3980))</f>
        <v/>
      </c>
      <c r="X3980" s="75" t="n"/>
      <c r="Y3980" s="77" t="n"/>
      <c r="Z3980" s="77" t="n"/>
      <c r="AA3980" s="75" t="n"/>
      <c r="AB3980" s="75" t="n"/>
      <c r="AC3980" s="6" t="n"/>
      <c r="AD3980" s="75" t="n"/>
      <c r="AE3980" s="75" t="n"/>
      <c r="AF3980" s="75" t="n"/>
    </row>
    <row r="3981" ht="15.75" customHeight="1" s="133">
      <c r="A3981" s="75" t="n"/>
      <c r="B3981" s="75" t="n"/>
      <c r="C3981" s="75" t="n"/>
      <c r="D3981" s="75" t="n"/>
      <c r="E3981" s="76" t="n"/>
      <c r="F3981" s="77" t="n"/>
      <c r="G3981" s="75" t="n"/>
      <c r="H3981" s="75">
        <f>IF(ISBLANK(E3981),"",IF(OR(D3981="Butterfly",D3981="Butterfly ",D3981="Iron Fly", D3981="Iron Fly "),LEN(E3981)-LEN(SUBSTITUTE(E3981,"/",""))+2,LEN(E3981)-LEN(SUBSTITUTE(E3981,"/",""))+1))</f>
        <v/>
      </c>
      <c r="I3981" s="78">
        <f>IF(ISBLANK(G3981),"",IF(D3981="Stock","0",Key!$A$3*H3981*G3981))</f>
        <v/>
      </c>
      <c r="J3981" s="78">
        <f>IF(ISBLANK(E3981),"",IF(ISNUMBER(SEARCH("/",E3981)), IF(LEN(E3981)-LEN(SUBSTITUTE(E3981,"/",""))=1,(RIGHT(E3981,LEN(E3981)-FIND("/",E3981)))-(LEFT(E3981,FIND("/",E3981)-1)),(MID(E3981, SEARCH("/",E3981) + 1, SEARCH("/",E3981, SEARCH("/",E3981)+1) - SEARCH("/",E3981) - 1))-(LEFT(E3981,FIND("/",E3981)-1))), "NA"))</f>
        <v/>
      </c>
      <c r="K3981" s="79">
        <f>IF(A3981&lt;&gt;"", IF(ISBLANK(L3981), TODAY(), K3981), "")</f>
        <v/>
      </c>
      <c r="L3981" s="78" t="n"/>
      <c r="M3981" s="78">
        <f>IF(ISBLANK(L3981),"",IF(D3981="Stock",IF(C3981="Buy",L3981*G3981,IF(C3981="Sell",(L3981*G3981)-I3981, X)),IF(C3981="Buy",(L3981*G3981*100)+I3981,IF(C3981="Sell",(L3981*G3981*100)-I3981, X))))</f>
        <v/>
      </c>
      <c r="N3981" s="78">
        <f>IF(ISBLANK(L3981),"",IF(AND(C3981="Sell",D3981="Stock"),M3981,IF(ISBLANK(L3981),"",IF(C3981="Buy",M3981, IF(AND(C3981="Sell",J3981="NA"),(E3981*G3981*100*0.1)+I3981, IF(C3981="Sell",(J3981-L3981)*(100*G3981)+I3981))))))</f>
        <v/>
      </c>
      <c r="O3981" s="75" t="n"/>
      <c r="P3981" s="75" t="n"/>
      <c r="Q3981" s="75">
        <f>IF(ISBLANK(P3981),"",IF(D3981="Stock",P3981*G3981,IF(P3981=0,"0",G3981*P3981*100-(G3981*$AF$14))))</f>
        <v/>
      </c>
      <c r="R3981" s="79">
        <f>IF(P3981&lt;&gt;"", TODAY(), "")</f>
        <v/>
      </c>
      <c r="S3981" s="78">
        <f>IF(AND(K3981&lt;&gt;"", R3981&lt;&gt;""), R3981-K3981, "")</f>
        <v/>
      </c>
      <c r="T3981" s="78" t="n"/>
      <c r="U3981" s="92">
        <f>IF(ISBLANK(P3981),"",IF(C3981="Buy",Q3981-M3981+T3981, IF(C3981="Sell",M3981-Q3981-T3981, X)))</f>
        <v/>
      </c>
      <c r="V3981" s="81">
        <f>IF(ISBLANK(P3981),"",U3981/N3981)</f>
        <v/>
      </c>
      <c r="W3981" s="81">
        <f>IF(ISBLANK(P3981),"",IF(S3981=0,(365/0.5)*V3981,(365/S3981)*V3981))</f>
        <v/>
      </c>
      <c r="X3981" s="75" t="n"/>
      <c r="Y3981" s="77" t="n"/>
      <c r="Z3981" s="77" t="n"/>
      <c r="AA3981" s="75" t="n"/>
      <c r="AB3981" s="75" t="n"/>
      <c r="AC3981" s="6" t="n"/>
      <c r="AD3981" s="75" t="n"/>
      <c r="AE3981" s="75" t="n"/>
      <c r="AF3981" s="75" t="n"/>
    </row>
    <row r="3982" ht="15.75" customHeight="1" s="133">
      <c r="A3982" s="75" t="n"/>
      <c r="B3982" s="75" t="n"/>
      <c r="C3982" s="75" t="n"/>
      <c r="D3982" s="75" t="n"/>
      <c r="E3982" s="76" t="n"/>
      <c r="F3982" s="77" t="n"/>
      <c r="G3982" s="75" t="n"/>
      <c r="H3982" s="75">
        <f>IF(ISBLANK(E3982),"",IF(OR(D3982="Butterfly",D3982="Butterfly ",D3982="Iron Fly", D3982="Iron Fly "),LEN(E3982)-LEN(SUBSTITUTE(E3982,"/",""))+2,LEN(E3982)-LEN(SUBSTITUTE(E3982,"/",""))+1))</f>
        <v/>
      </c>
      <c r="I3982" s="78">
        <f>IF(ISBLANK(G3982),"",IF(D3982="Stock","0",Key!$A$3*H3982*G3982))</f>
        <v/>
      </c>
      <c r="J3982" s="78">
        <f>IF(ISBLANK(E3982),"",IF(ISNUMBER(SEARCH("/",E3982)), IF(LEN(E3982)-LEN(SUBSTITUTE(E3982,"/",""))=1,(RIGHT(E3982,LEN(E3982)-FIND("/",E3982)))-(LEFT(E3982,FIND("/",E3982)-1)),(MID(E3982, SEARCH("/",E3982) + 1, SEARCH("/",E3982, SEARCH("/",E3982)+1) - SEARCH("/",E3982) - 1))-(LEFT(E3982,FIND("/",E3982)-1))), "NA"))</f>
        <v/>
      </c>
      <c r="K3982" s="79">
        <f>IF(A3982&lt;&gt;"", IF(ISBLANK(L3982), TODAY(), K3982), "")</f>
        <v/>
      </c>
      <c r="L3982" s="78" t="n"/>
      <c r="M3982" s="78">
        <f>IF(ISBLANK(L3982),"",IF(D3982="Stock",IF(C3982="Buy",L3982*G3982,IF(C3982="Sell",(L3982*G3982)-I3982, X)),IF(C3982="Buy",(L3982*G3982*100)+I3982,IF(C3982="Sell",(L3982*G3982*100)-I3982, X))))</f>
        <v/>
      </c>
      <c r="N3982" s="78">
        <f>IF(ISBLANK(L3982),"",IF(AND(C3982="Sell",D3982="Stock"),M3982,IF(ISBLANK(L3982),"",IF(C3982="Buy",M3982, IF(AND(C3982="Sell",J3982="NA"),(E3982*G3982*100*0.1)+I3982, IF(C3982="Sell",(J3982-L3982)*(100*G3982)+I3982))))))</f>
        <v/>
      </c>
      <c r="O3982" s="75" t="n"/>
      <c r="P3982" s="75" t="n"/>
      <c r="Q3982" s="75">
        <f>IF(ISBLANK(P3982),"",IF(D3982="Stock",P3982*G3982,IF(P3982=0,"0",G3982*P3982*100-(G3982*$AF$14))))</f>
        <v/>
      </c>
      <c r="R3982" s="79">
        <f>IF(P3982&lt;&gt;"", TODAY(), "")</f>
        <v/>
      </c>
      <c r="S3982" s="78">
        <f>IF(AND(K3982&lt;&gt;"", R3982&lt;&gt;""), R3982-K3982, "")</f>
        <v/>
      </c>
      <c r="T3982" s="78" t="n"/>
      <c r="U3982" s="92">
        <f>IF(ISBLANK(P3982),"",IF(C3982="Buy",Q3982-M3982+T3982, IF(C3982="Sell",M3982-Q3982-T3982, X)))</f>
        <v/>
      </c>
      <c r="V3982" s="81">
        <f>IF(ISBLANK(P3982),"",U3982/N3982)</f>
        <v/>
      </c>
      <c r="W3982" s="81">
        <f>IF(ISBLANK(P3982),"",IF(S3982=0,(365/0.5)*V3982,(365/S3982)*V3982))</f>
        <v/>
      </c>
      <c r="X3982" s="75" t="n"/>
      <c r="Y3982" s="77" t="n"/>
      <c r="Z3982" s="77" t="n"/>
      <c r="AA3982" s="75" t="n"/>
      <c r="AB3982" s="75" t="n"/>
      <c r="AC3982" s="6" t="n"/>
      <c r="AD3982" s="75" t="n"/>
      <c r="AE3982" s="75" t="n"/>
      <c r="AF3982" s="75" t="n"/>
    </row>
    <row r="3983" ht="15.75" customHeight="1" s="133">
      <c r="A3983" s="75" t="n"/>
      <c r="B3983" s="75" t="n"/>
      <c r="C3983" s="75" t="n"/>
      <c r="D3983" s="75" t="n"/>
      <c r="E3983" s="76" t="n"/>
      <c r="F3983" s="77" t="n"/>
      <c r="G3983" s="75" t="n"/>
      <c r="H3983" s="75">
        <f>IF(ISBLANK(E3983),"",IF(OR(D3983="Butterfly",D3983="Butterfly ",D3983="Iron Fly", D3983="Iron Fly "),LEN(E3983)-LEN(SUBSTITUTE(E3983,"/",""))+2,LEN(E3983)-LEN(SUBSTITUTE(E3983,"/",""))+1))</f>
        <v/>
      </c>
      <c r="I3983" s="78">
        <f>IF(ISBLANK(G3983),"",IF(D3983="Stock","0",Key!$A$3*H3983*G3983))</f>
        <v/>
      </c>
      <c r="J3983" s="78">
        <f>IF(ISBLANK(E3983),"",IF(ISNUMBER(SEARCH("/",E3983)), IF(LEN(E3983)-LEN(SUBSTITUTE(E3983,"/",""))=1,(RIGHT(E3983,LEN(E3983)-FIND("/",E3983)))-(LEFT(E3983,FIND("/",E3983)-1)),(MID(E3983, SEARCH("/",E3983) + 1, SEARCH("/",E3983, SEARCH("/",E3983)+1) - SEARCH("/",E3983) - 1))-(LEFT(E3983,FIND("/",E3983)-1))), "NA"))</f>
        <v/>
      </c>
      <c r="K3983" s="79">
        <f>IF(A3983&lt;&gt;"", IF(ISBLANK(L3983), TODAY(), K3983), "")</f>
        <v/>
      </c>
      <c r="L3983" s="78" t="n"/>
      <c r="M3983" s="78">
        <f>IF(ISBLANK(L3983),"",IF(D3983="Stock",IF(C3983="Buy",L3983*G3983,IF(C3983="Sell",(L3983*G3983)-I3983, X)),IF(C3983="Buy",(L3983*G3983*100)+I3983,IF(C3983="Sell",(L3983*G3983*100)-I3983, X))))</f>
        <v/>
      </c>
      <c r="N3983" s="78">
        <f>IF(ISBLANK(L3983),"",IF(AND(C3983="Sell",D3983="Stock"),M3983,IF(ISBLANK(L3983),"",IF(C3983="Buy",M3983, IF(AND(C3983="Sell",J3983="NA"),(E3983*G3983*100*0.1)+I3983, IF(C3983="Sell",(J3983-L3983)*(100*G3983)+I3983))))))</f>
        <v/>
      </c>
      <c r="O3983" s="75" t="n"/>
      <c r="P3983" s="75" t="n"/>
      <c r="Q3983" s="75">
        <f>IF(ISBLANK(P3983),"",IF(D3983="Stock",P3983*G3983,IF(P3983=0,"0",G3983*P3983*100-(G3983*$AF$14))))</f>
        <v/>
      </c>
      <c r="R3983" s="79">
        <f>IF(P3983&lt;&gt;"", TODAY(), "")</f>
        <v/>
      </c>
      <c r="S3983" s="78">
        <f>IF(AND(K3983&lt;&gt;"", R3983&lt;&gt;""), R3983-K3983, "")</f>
        <v/>
      </c>
      <c r="T3983" s="78" t="n"/>
      <c r="U3983" s="92">
        <f>IF(ISBLANK(P3983),"",IF(C3983="Buy",Q3983-M3983+T3983, IF(C3983="Sell",M3983-Q3983-T3983, X)))</f>
        <v/>
      </c>
      <c r="V3983" s="81">
        <f>IF(ISBLANK(P3983),"",U3983/N3983)</f>
        <v/>
      </c>
      <c r="W3983" s="81">
        <f>IF(ISBLANK(P3983),"",IF(S3983=0,(365/0.5)*V3983,(365/S3983)*V3983))</f>
        <v/>
      </c>
      <c r="X3983" s="75" t="n"/>
      <c r="Y3983" s="77" t="n"/>
      <c r="Z3983" s="77" t="n"/>
      <c r="AA3983" s="75" t="n"/>
      <c r="AB3983" s="75" t="n"/>
      <c r="AC3983" s="6" t="n"/>
      <c r="AD3983" s="75" t="n"/>
      <c r="AE3983" s="75" t="n"/>
      <c r="AF3983" s="75" t="n"/>
    </row>
    <row r="3984" ht="15.75" customHeight="1" s="133">
      <c r="A3984" s="75" t="n"/>
      <c r="B3984" s="75" t="n"/>
      <c r="C3984" s="75" t="n"/>
      <c r="D3984" s="75" t="n"/>
      <c r="E3984" s="76" t="n"/>
      <c r="F3984" s="77" t="n"/>
      <c r="G3984" s="75" t="n"/>
      <c r="H3984" s="75">
        <f>IF(ISBLANK(E3984),"",IF(OR(D3984="Butterfly",D3984="Butterfly ",D3984="Iron Fly", D3984="Iron Fly "),LEN(E3984)-LEN(SUBSTITUTE(E3984,"/",""))+2,LEN(E3984)-LEN(SUBSTITUTE(E3984,"/",""))+1))</f>
        <v/>
      </c>
      <c r="I3984" s="78">
        <f>IF(ISBLANK(G3984),"",IF(D3984="Stock","0",Key!$A$3*H3984*G3984))</f>
        <v/>
      </c>
      <c r="J3984" s="78">
        <f>IF(ISBLANK(E3984),"",IF(ISNUMBER(SEARCH("/",E3984)), IF(LEN(E3984)-LEN(SUBSTITUTE(E3984,"/",""))=1,(RIGHT(E3984,LEN(E3984)-FIND("/",E3984)))-(LEFT(E3984,FIND("/",E3984)-1)),(MID(E3984, SEARCH("/",E3984) + 1, SEARCH("/",E3984, SEARCH("/",E3984)+1) - SEARCH("/",E3984) - 1))-(LEFT(E3984,FIND("/",E3984)-1))), "NA"))</f>
        <v/>
      </c>
      <c r="K3984" s="79">
        <f>IF(A3984&lt;&gt;"", IF(ISBLANK(L3984), TODAY(), K3984), "")</f>
        <v/>
      </c>
      <c r="L3984" s="78" t="n"/>
      <c r="M3984" s="78">
        <f>IF(ISBLANK(L3984),"",IF(D3984="Stock",IF(C3984="Buy",L3984*G3984,IF(C3984="Sell",(L3984*G3984)-I3984, X)),IF(C3984="Buy",(L3984*G3984*100)+I3984,IF(C3984="Sell",(L3984*G3984*100)-I3984, X))))</f>
        <v/>
      </c>
      <c r="N3984" s="78">
        <f>IF(ISBLANK(L3984),"",IF(AND(C3984="Sell",D3984="Stock"),M3984,IF(ISBLANK(L3984),"",IF(C3984="Buy",M3984, IF(AND(C3984="Sell",J3984="NA"),(E3984*G3984*100*0.1)+I3984, IF(C3984="Sell",(J3984-L3984)*(100*G3984)+I3984))))))</f>
        <v/>
      </c>
      <c r="O3984" s="75" t="n"/>
      <c r="P3984" s="75" t="n"/>
      <c r="Q3984" s="75">
        <f>IF(ISBLANK(P3984),"",IF(D3984="Stock",P3984*G3984,IF(P3984=0,"0",G3984*P3984*100-(G3984*$AF$14))))</f>
        <v/>
      </c>
      <c r="R3984" s="79">
        <f>IF(P3984&lt;&gt;"", TODAY(), "")</f>
        <v/>
      </c>
      <c r="S3984" s="78">
        <f>IF(AND(K3984&lt;&gt;"", R3984&lt;&gt;""), R3984-K3984, "")</f>
        <v/>
      </c>
      <c r="T3984" s="78" t="n"/>
      <c r="U3984" s="92">
        <f>IF(ISBLANK(P3984),"",IF(C3984="Buy",Q3984-M3984+T3984, IF(C3984="Sell",M3984-Q3984-T3984, X)))</f>
        <v/>
      </c>
      <c r="V3984" s="81">
        <f>IF(ISBLANK(P3984),"",U3984/N3984)</f>
        <v/>
      </c>
      <c r="W3984" s="81">
        <f>IF(ISBLANK(P3984),"",IF(S3984=0,(365/0.5)*V3984,(365/S3984)*V3984))</f>
        <v/>
      </c>
      <c r="X3984" s="75" t="n"/>
      <c r="Y3984" s="77" t="n"/>
      <c r="Z3984" s="77" t="n"/>
      <c r="AA3984" s="75" t="n"/>
      <c r="AB3984" s="75" t="n"/>
      <c r="AC3984" s="6" t="n"/>
      <c r="AD3984" s="75" t="n"/>
      <c r="AE3984" s="75" t="n"/>
      <c r="AF3984" s="75" t="n"/>
    </row>
    <row r="3985" ht="15.75" customHeight="1" s="133">
      <c r="A3985" s="75" t="n"/>
      <c r="B3985" s="75" t="n"/>
      <c r="C3985" s="75" t="n"/>
      <c r="D3985" s="75" t="n"/>
      <c r="E3985" s="76" t="n"/>
      <c r="F3985" s="77" t="n"/>
      <c r="G3985" s="75" t="n"/>
      <c r="H3985" s="75">
        <f>IF(ISBLANK(E3985),"",IF(OR(D3985="Butterfly",D3985="Butterfly ",D3985="Iron Fly", D3985="Iron Fly "),LEN(E3985)-LEN(SUBSTITUTE(E3985,"/",""))+2,LEN(E3985)-LEN(SUBSTITUTE(E3985,"/",""))+1))</f>
        <v/>
      </c>
      <c r="I3985" s="78">
        <f>IF(ISBLANK(G3985),"",IF(D3985="Stock","0",Key!$A$3*H3985*G3985))</f>
        <v/>
      </c>
      <c r="J3985" s="78">
        <f>IF(ISBLANK(E3985),"",IF(ISNUMBER(SEARCH("/",E3985)), IF(LEN(E3985)-LEN(SUBSTITUTE(E3985,"/",""))=1,(RIGHT(E3985,LEN(E3985)-FIND("/",E3985)))-(LEFT(E3985,FIND("/",E3985)-1)),(MID(E3985, SEARCH("/",E3985) + 1, SEARCH("/",E3985, SEARCH("/",E3985)+1) - SEARCH("/",E3985) - 1))-(LEFT(E3985,FIND("/",E3985)-1))), "NA"))</f>
        <v/>
      </c>
      <c r="K3985" s="79">
        <f>IF(A3985&lt;&gt;"", IF(ISBLANK(L3985), TODAY(), K3985), "")</f>
        <v/>
      </c>
      <c r="L3985" s="78" t="n"/>
      <c r="M3985" s="78">
        <f>IF(ISBLANK(L3985),"",IF(D3985="Stock",IF(C3985="Buy",L3985*G3985,IF(C3985="Sell",(L3985*G3985)-I3985, X)),IF(C3985="Buy",(L3985*G3985*100)+I3985,IF(C3985="Sell",(L3985*G3985*100)-I3985, X))))</f>
        <v/>
      </c>
      <c r="N3985" s="78">
        <f>IF(ISBLANK(L3985),"",IF(AND(C3985="Sell",D3985="Stock"),M3985,IF(ISBLANK(L3985),"",IF(C3985="Buy",M3985, IF(AND(C3985="Sell",J3985="NA"),(E3985*G3985*100*0.1)+I3985, IF(C3985="Sell",(J3985-L3985)*(100*G3985)+I3985))))))</f>
        <v/>
      </c>
      <c r="O3985" s="75" t="n"/>
      <c r="P3985" s="75" t="n"/>
      <c r="Q3985" s="75">
        <f>IF(ISBLANK(P3985),"",IF(D3985="Stock",P3985*G3985,IF(P3985=0,"0",G3985*P3985*100-(G3985*$AF$14))))</f>
        <v/>
      </c>
      <c r="R3985" s="79">
        <f>IF(P3985&lt;&gt;"", TODAY(), "")</f>
        <v/>
      </c>
      <c r="S3985" s="78">
        <f>IF(AND(K3985&lt;&gt;"", R3985&lt;&gt;""), R3985-K3985, "")</f>
        <v/>
      </c>
      <c r="T3985" s="78" t="n"/>
      <c r="U3985" s="92">
        <f>IF(ISBLANK(P3985),"",IF(C3985="Buy",Q3985-M3985+T3985, IF(C3985="Sell",M3985-Q3985-T3985, X)))</f>
        <v/>
      </c>
      <c r="V3985" s="81">
        <f>IF(ISBLANK(P3985),"",U3985/N3985)</f>
        <v/>
      </c>
      <c r="W3985" s="81">
        <f>IF(ISBLANK(P3985),"",IF(S3985=0,(365/0.5)*V3985,(365/S3985)*V3985))</f>
        <v/>
      </c>
      <c r="X3985" s="75" t="n"/>
      <c r="Y3985" s="77" t="n"/>
      <c r="Z3985" s="77" t="n"/>
      <c r="AA3985" s="75" t="n"/>
      <c r="AB3985" s="75" t="n"/>
      <c r="AC3985" s="6" t="n"/>
      <c r="AD3985" s="75" t="n"/>
      <c r="AE3985" s="75" t="n"/>
      <c r="AF3985" s="75" t="n"/>
    </row>
    <row r="3986" ht="15.75" customHeight="1" s="133">
      <c r="A3986" s="75" t="n"/>
      <c r="B3986" s="75" t="n"/>
      <c r="C3986" s="75" t="n"/>
      <c r="D3986" s="75" t="n"/>
      <c r="E3986" s="76" t="n"/>
      <c r="F3986" s="77" t="n"/>
      <c r="G3986" s="75" t="n"/>
      <c r="H3986" s="75">
        <f>IF(ISBLANK(E3986),"",IF(OR(D3986="Butterfly",D3986="Butterfly ",D3986="Iron Fly", D3986="Iron Fly "),LEN(E3986)-LEN(SUBSTITUTE(E3986,"/",""))+2,LEN(E3986)-LEN(SUBSTITUTE(E3986,"/",""))+1))</f>
        <v/>
      </c>
      <c r="I3986" s="78">
        <f>IF(ISBLANK(G3986),"",IF(D3986="Stock","0",Key!$A$3*H3986*G3986))</f>
        <v/>
      </c>
      <c r="J3986" s="78">
        <f>IF(ISBLANK(E3986),"",IF(ISNUMBER(SEARCH("/",E3986)), IF(LEN(E3986)-LEN(SUBSTITUTE(E3986,"/",""))=1,(RIGHT(E3986,LEN(E3986)-FIND("/",E3986)))-(LEFT(E3986,FIND("/",E3986)-1)),(MID(E3986, SEARCH("/",E3986) + 1, SEARCH("/",E3986, SEARCH("/",E3986)+1) - SEARCH("/",E3986) - 1))-(LEFT(E3986,FIND("/",E3986)-1))), "NA"))</f>
        <v/>
      </c>
      <c r="K3986" s="79">
        <f>IF(A3986&lt;&gt;"", IF(ISBLANK(L3986), TODAY(), K3986), "")</f>
        <v/>
      </c>
      <c r="L3986" s="78" t="n"/>
      <c r="M3986" s="78">
        <f>IF(ISBLANK(L3986),"",IF(D3986="Stock",IF(C3986="Buy",L3986*G3986,IF(C3986="Sell",(L3986*G3986)-I3986, X)),IF(C3986="Buy",(L3986*G3986*100)+I3986,IF(C3986="Sell",(L3986*G3986*100)-I3986, X))))</f>
        <v/>
      </c>
      <c r="N3986" s="78">
        <f>IF(ISBLANK(L3986),"",IF(AND(C3986="Sell",D3986="Stock"),M3986,IF(ISBLANK(L3986),"",IF(C3986="Buy",M3986, IF(AND(C3986="Sell",J3986="NA"),(E3986*G3986*100*0.1)+I3986, IF(C3986="Sell",(J3986-L3986)*(100*G3986)+I3986))))))</f>
        <v/>
      </c>
      <c r="O3986" s="75" t="n"/>
      <c r="P3986" s="75" t="n"/>
      <c r="Q3986" s="75">
        <f>IF(ISBLANK(P3986),"",IF(D3986="Stock",P3986*G3986,IF(P3986=0,"0",G3986*P3986*100-(G3986*$AF$14))))</f>
        <v/>
      </c>
      <c r="R3986" s="79">
        <f>IF(P3986&lt;&gt;"", TODAY(), "")</f>
        <v/>
      </c>
      <c r="S3986" s="78">
        <f>IF(AND(K3986&lt;&gt;"", R3986&lt;&gt;""), R3986-K3986, "")</f>
        <v/>
      </c>
      <c r="T3986" s="78" t="n"/>
      <c r="U3986" s="92">
        <f>IF(ISBLANK(P3986),"",IF(C3986="Buy",Q3986-M3986+T3986, IF(C3986="Sell",M3986-Q3986-T3986, X)))</f>
        <v/>
      </c>
      <c r="V3986" s="81">
        <f>IF(ISBLANK(P3986),"",U3986/N3986)</f>
        <v/>
      </c>
      <c r="W3986" s="81">
        <f>IF(ISBLANK(P3986),"",IF(S3986=0,(365/0.5)*V3986,(365/S3986)*V3986))</f>
        <v/>
      </c>
      <c r="X3986" s="75" t="n"/>
      <c r="Y3986" s="77" t="n"/>
      <c r="Z3986" s="77" t="n"/>
      <c r="AA3986" s="75" t="n"/>
      <c r="AB3986" s="75" t="n"/>
      <c r="AC3986" s="6" t="n"/>
      <c r="AD3986" s="75" t="n"/>
      <c r="AE3986" s="75" t="n"/>
      <c r="AF3986" s="75" t="n"/>
    </row>
    <row r="3987" ht="15.75" customHeight="1" s="133">
      <c r="A3987" s="75" t="n"/>
      <c r="B3987" s="75" t="n"/>
      <c r="C3987" s="75" t="n"/>
      <c r="D3987" s="75" t="n"/>
      <c r="E3987" s="76" t="n"/>
      <c r="F3987" s="77" t="n"/>
      <c r="G3987" s="75" t="n"/>
      <c r="H3987" s="75">
        <f>IF(ISBLANK(E3987),"",IF(OR(D3987="Butterfly",D3987="Butterfly ",D3987="Iron Fly", D3987="Iron Fly "),LEN(E3987)-LEN(SUBSTITUTE(E3987,"/",""))+2,LEN(E3987)-LEN(SUBSTITUTE(E3987,"/",""))+1))</f>
        <v/>
      </c>
      <c r="I3987" s="78">
        <f>IF(ISBLANK(G3987),"",IF(D3987="Stock","0",Key!$A$3*H3987*G3987))</f>
        <v/>
      </c>
      <c r="J3987" s="78">
        <f>IF(ISBLANK(E3987),"",IF(ISNUMBER(SEARCH("/",E3987)), IF(LEN(E3987)-LEN(SUBSTITUTE(E3987,"/",""))=1,(RIGHT(E3987,LEN(E3987)-FIND("/",E3987)))-(LEFT(E3987,FIND("/",E3987)-1)),(MID(E3987, SEARCH("/",E3987) + 1, SEARCH("/",E3987, SEARCH("/",E3987)+1) - SEARCH("/",E3987) - 1))-(LEFT(E3987,FIND("/",E3987)-1))), "NA"))</f>
        <v/>
      </c>
      <c r="K3987" s="79">
        <f>IF(A3987&lt;&gt;"", IF(ISBLANK(L3987), TODAY(), K3987), "")</f>
        <v/>
      </c>
      <c r="L3987" s="78" t="n"/>
      <c r="M3987" s="78">
        <f>IF(ISBLANK(L3987),"",IF(D3987="Stock",IF(C3987="Buy",L3987*G3987,IF(C3987="Sell",(L3987*G3987)-I3987, X)),IF(C3987="Buy",(L3987*G3987*100)+I3987,IF(C3987="Sell",(L3987*G3987*100)-I3987, X))))</f>
        <v/>
      </c>
      <c r="N3987" s="78">
        <f>IF(ISBLANK(L3987),"",IF(AND(C3987="Sell",D3987="Stock"),M3987,IF(ISBLANK(L3987),"",IF(C3987="Buy",M3987, IF(AND(C3987="Sell",J3987="NA"),(E3987*G3987*100*0.1)+I3987, IF(C3987="Sell",(J3987-L3987)*(100*G3987)+I3987))))))</f>
        <v/>
      </c>
      <c r="O3987" s="75" t="n"/>
      <c r="P3987" s="75" t="n"/>
      <c r="Q3987" s="75">
        <f>IF(ISBLANK(P3987),"",IF(D3987="Stock",P3987*G3987,IF(P3987=0,"0",G3987*P3987*100-(G3987*$AF$14))))</f>
        <v/>
      </c>
      <c r="R3987" s="79">
        <f>IF(P3987&lt;&gt;"", TODAY(), "")</f>
        <v/>
      </c>
      <c r="S3987" s="78">
        <f>IF(AND(K3987&lt;&gt;"", R3987&lt;&gt;""), R3987-K3987, "")</f>
        <v/>
      </c>
      <c r="T3987" s="78" t="n"/>
      <c r="U3987" s="92">
        <f>IF(ISBLANK(P3987),"",IF(C3987="Buy",Q3987-M3987+T3987, IF(C3987="Sell",M3987-Q3987-T3987, X)))</f>
        <v/>
      </c>
      <c r="V3987" s="81">
        <f>IF(ISBLANK(P3987),"",U3987/N3987)</f>
        <v/>
      </c>
      <c r="W3987" s="81">
        <f>IF(ISBLANK(P3987),"",IF(S3987=0,(365/0.5)*V3987,(365/S3987)*V3987))</f>
        <v/>
      </c>
      <c r="X3987" s="75" t="n"/>
      <c r="Y3987" s="77" t="n"/>
      <c r="Z3987" s="77" t="n"/>
      <c r="AA3987" s="75" t="n"/>
      <c r="AB3987" s="75" t="n"/>
      <c r="AC3987" s="6" t="n"/>
      <c r="AD3987" s="75" t="n"/>
      <c r="AE3987" s="75" t="n"/>
      <c r="AF3987" s="75" t="n"/>
    </row>
    <row r="3988" ht="15.75" customHeight="1" s="133">
      <c r="A3988" s="75" t="n"/>
      <c r="B3988" s="75" t="n"/>
      <c r="C3988" s="75" t="n"/>
      <c r="D3988" s="75" t="n"/>
      <c r="E3988" s="76" t="n"/>
      <c r="F3988" s="77" t="n"/>
      <c r="G3988" s="75" t="n"/>
      <c r="H3988" s="75">
        <f>IF(ISBLANK(E3988),"",IF(OR(D3988="Butterfly",D3988="Butterfly ",D3988="Iron Fly", D3988="Iron Fly "),LEN(E3988)-LEN(SUBSTITUTE(E3988,"/",""))+2,LEN(E3988)-LEN(SUBSTITUTE(E3988,"/",""))+1))</f>
        <v/>
      </c>
      <c r="I3988" s="78">
        <f>IF(ISBLANK(G3988),"",IF(D3988="Stock","0",Key!$A$3*H3988*G3988))</f>
        <v/>
      </c>
      <c r="J3988" s="78">
        <f>IF(ISBLANK(E3988),"",IF(ISNUMBER(SEARCH("/",E3988)), IF(LEN(E3988)-LEN(SUBSTITUTE(E3988,"/",""))=1,(RIGHT(E3988,LEN(E3988)-FIND("/",E3988)))-(LEFT(E3988,FIND("/",E3988)-1)),(MID(E3988, SEARCH("/",E3988) + 1, SEARCH("/",E3988, SEARCH("/",E3988)+1) - SEARCH("/",E3988) - 1))-(LEFT(E3988,FIND("/",E3988)-1))), "NA"))</f>
        <v/>
      </c>
      <c r="K3988" s="79">
        <f>IF(A3988&lt;&gt;"", IF(ISBLANK(L3988), TODAY(), K3988), "")</f>
        <v/>
      </c>
      <c r="L3988" s="78" t="n"/>
      <c r="M3988" s="78">
        <f>IF(ISBLANK(L3988),"",IF(D3988="Stock",IF(C3988="Buy",L3988*G3988,IF(C3988="Sell",(L3988*G3988)-I3988, X)),IF(C3988="Buy",(L3988*G3988*100)+I3988,IF(C3988="Sell",(L3988*G3988*100)-I3988, X))))</f>
        <v/>
      </c>
      <c r="N3988" s="78">
        <f>IF(ISBLANK(L3988),"",IF(AND(C3988="Sell",D3988="Stock"),M3988,IF(ISBLANK(L3988),"",IF(C3988="Buy",M3988, IF(AND(C3988="Sell",J3988="NA"),(E3988*G3988*100*0.1)+I3988, IF(C3988="Sell",(J3988-L3988)*(100*G3988)+I3988))))))</f>
        <v/>
      </c>
      <c r="O3988" s="75" t="n"/>
      <c r="P3988" s="75" t="n"/>
      <c r="Q3988" s="75">
        <f>IF(ISBLANK(P3988),"",IF(D3988="Stock",P3988*G3988,IF(P3988=0,"0",G3988*P3988*100-(G3988*$AF$14))))</f>
        <v/>
      </c>
      <c r="R3988" s="79">
        <f>IF(P3988&lt;&gt;"", TODAY(), "")</f>
        <v/>
      </c>
      <c r="S3988" s="78">
        <f>IF(AND(K3988&lt;&gt;"", R3988&lt;&gt;""), R3988-K3988, "")</f>
        <v/>
      </c>
      <c r="T3988" s="78" t="n"/>
      <c r="U3988" s="92">
        <f>IF(ISBLANK(P3988),"",IF(C3988="Buy",Q3988-M3988+T3988, IF(C3988="Sell",M3988-Q3988-T3988, X)))</f>
        <v/>
      </c>
      <c r="V3988" s="81">
        <f>IF(ISBLANK(P3988),"",U3988/N3988)</f>
        <v/>
      </c>
      <c r="W3988" s="81">
        <f>IF(ISBLANK(P3988),"",IF(S3988=0,(365/0.5)*V3988,(365/S3988)*V3988))</f>
        <v/>
      </c>
      <c r="X3988" s="75" t="n"/>
      <c r="Y3988" s="77" t="n"/>
      <c r="Z3988" s="77" t="n"/>
      <c r="AA3988" s="75" t="n"/>
      <c r="AB3988" s="75" t="n"/>
      <c r="AC3988" s="6" t="n"/>
      <c r="AD3988" s="75" t="n"/>
      <c r="AE3988" s="75" t="n"/>
      <c r="AF3988" s="75" t="n"/>
    </row>
    <row r="3989" ht="15.75" customHeight="1" s="133">
      <c r="A3989" s="75" t="n"/>
      <c r="B3989" s="75" t="n"/>
      <c r="C3989" s="75" t="n"/>
      <c r="D3989" s="75" t="n"/>
      <c r="E3989" s="76" t="n"/>
      <c r="F3989" s="77" t="n"/>
      <c r="G3989" s="75" t="n"/>
      <c r="H3989" s="75">
        <f>IF(ISBLANK(E3989),"",IF(OR(D3989="Butterfly",D3989="Butterfly ",D3989="Iron Fly", D3989="Iron Fly "),LEN(E3989)-LEN(SUBSTITUTE(E3989,"/",""))+2,LEN(E3989)-LEN(SUBSTITUTE(E3989,"/",""))+1))</f>
        <v/>
      </c>
      <c r="I3989" s="78">
        <f>IF(ISBLANK(G3989),"",IF(D3989="Stock","0",Key!$A$3*H3989*G3989))</f>
        <v/>
      </c>
      <c r="J3989" s="78">
        <f>IF(ISBLANK(E3989),"",IF(ISNUMBER(SEARCH("/",E3989)), IF(LEN(E3989)-LEN(SUBSTITUTE(E3989,"/",""))=1,(RIGHT(E3989,LEN(E3989)-FIND("/",E3989)))-(LEFT(E3989,FIND("/",E3989)-1)),(MID(E3989, SEARCH("/",E3989) + 1, SEARCH("/",E3989, SEARCH("/",E3989)+1) - SEARCH("/",E3989) - 1))-(LEFT(E3989,FIND("/",E3989)-1))), "NA"))</f>
        <v/>
      </c>
      <c r="K3989" s="79">
        <f>IF(A3989&lt;&gt;"", IF(ISBLANK(L3989), TODAY(), K3989), "")</f>
        <v/>
      </c>
      <c r="L3989" s="78" t="n"/>
      <c r="M3989" s="78">
        <f>IF(ISBLANK(L3989),"",IF(D3989="Stock",IF(C3989="Buy",L3989*G3989,IF(C3989="Sell",(L3989*G3989)-I3989, X)),IF(C3989="Buy",(L3989*G3989*100)+I3989,IF(C3989="Sell",(L3989*G3989*100)-I3989, X))))</f>
        <v/>
      </c>
      <c r="N3989" s="78">
        <f>IF(ISBLANK(L3989),"",IF(AND(C3989="Sell",D3989="Stock"),M3989,IF(ISBLANK(L3989),"",IF(C3989="Buy",M3989, IF(AND(C3989="Sell",J3989="NA"),(E3989*G3989*100*0.1)+I3989, IF(C3989="Sell",(J3989-L3989)*(100*G3989)+I3989))))))</f>
        <v/>
      </c>
      <c r="O3989" s="75" t="n"/>
      <c r="P3989" s="75" t="n"/>
      <c r="Q3989" s="75">
        <f>IF(ISBLANK(P3989),"",IF(D3989="Stock",P3989*G3989,IF(P3989=0,"0",G3989*P3989*100-(G3989*$AF$14))))</f>
        <v/>
      </c>
      <c r="R3989" s="79">
        <f>IF(P3989&lt;&gt;"", TODAY(), "")</f>
        <v/>
      </c>
      <c r="S3989" s="78">
        <f>IF(AND(K3989&lt;&gt;"", R3989&lt;&gt;""), R3989-K3989, "")</f>
        <v/>
      </c>
      <c r="T3989" s="78" t="n"/>
      <c r="U3989" s="92">
        <f>IF(ISBLANK(P3989),"",IF(C3989="Buy",Q3989-M3989+T3989, IF(C3989="Sell",M3989-Q3989-T3989, X)))</f>
        <v/>
      </c>
      <c r="V3989" s="81">
        <f>IF(ISBLANK(P3989),"",U3989/N3989)</f>
        <v/>
      </c>
      <c r="W3989" s="81">
        <f>IF(ISBLANK(P3989),"",IF(S3989=0,(365/0.5)*V3989,(365/S3989)*V3989))</f>
        <v/>
      </c>
      <c r="X3989" s="75" t="n"/>
      <c r="Y3989" s="77" t="n"/>
      <c r="Z3989" s="77" t="n"/>
      <c r="AA3989" s="75" t="n"/>
      <c r="AB3989" s="75" t="n"/>
      <c r="AC3989" s="6" t="n"/>
      <c r="AD3989" s="75" t="n"/>
      <c r="AE3989" s="75" t="n"/>
      <c r="AF3989" s="75" t="n"/>
    </row>
    <row r="3990" ht="15.75" customHeight="1" s="133">
      <c r="A3990" s="75" t="n"/>
      <c r="B3990" s="75" t="n"/>
      <c r="C3990" s="75" t="n"/>
      <c r="D3990" s="75" t="n"/>
      <c r="E3990" s="76" t="n"/>
      <c r="F3990" s="77" t="n"/>
      <c r="G3990" s="75" t="n"/>
      <c r="H3990" s="75">
        <f>IF(ISBLANK(E3990),"",IF(OR(D3990="Butterfly",D3990="Butterfly ",D3990="Iron Fly", D3990="Iron Fly "),LEN(E3990)-LEN(SUBSTITUTE(E3990,"/",""))+2,LEN(E3990)-LEN(SUBSTITUTE(E3990,"/",""))+1))</f>
        <v/>
      </c>
      <c r="I3990" s="78">
        <f>IF(ISBLANK(G3990),"",IF(D3990="Stock","0",Key!$A$3*H3990*G3990))</f>
        <v/>
      </c>
      <c r="J3990" s="78">
        <f>IF(ISBLANK(E3990),"",IF(ISNUMBER(SEARCH("/",E3990)), IF(LEN(E3990)-LEN(SUBSTITUTE(E3990,"/",""))=1,(RIGHT(E3990,LEN(E3990)-FIND("/",E3990)))-(LEFT(E3990,FIND("/",E3990)-1)),(MID(E3990, SEARCH("/",E3990) + 1, SEARCH("/",E3990, SEARCH("/",E3990)+1) - SEARCH("/",E3990) - 1))-(LEFT(E3990,FIND("/",E3990)-1))), "NA"))</f>
        <v/>
      </c>
      <c r="K3990" s="79">
        <f>IF(A3990&lt;&gt;"", IF(ISBLANK(L3990), TODAY(), K3990), "")</f>
        <v/>
      </c>
      <c r="L3990" s="78" t="n"/>
      <c r="M3990" s="78">
        <f>IF(ISBLANK(L3990),"",IF(D3990="Stock",IF(C3990="Buy",L3990*G3990,IF(C3990="Sell",(L3990*G3990)-I3990, X)),IF(C3990="Buy",(L3990*G3990*100)+I3990,IF(C3990="Sell",(L3990*G3990*100)-I3990, X))))</f>
        <v/>
      </c>
      <c r="N3990" s="78">
        <f>IF(ISBLANK(L3990),"",IF(AND(C3990="Sell",D3990="Stock"),M3990,IF(ISBLANK(L3990),"",IF(C3990="Buy",M3990, IF(AND(C3990="Sell",J3990="NA"),(E3990*G3990*100*0.1)+I3990, IF(C3990="Sell",(J3990-L3990)*(100*G3990)+I3990))))))</f>
        <v/>
      </c>
      <c r="O3990" s="75" t="n"/>
      <c r="P3990" s="75" t="n"/>
      <c r="Q3990" s="75">
        <f>IF(ISBLANK(P3990),"",IF(D3990="Stock",P3990*G3990,IF(P3990=0,"0",G3990*P3990*100-(G3990*$AF$14))))</f>
        <v/>
      </c>
      <c r="R3990" s="79">
        <f>IF(P3990&lt;&gt;"", TODAY(), "")</f>
        <v/>
      </c>
      <c r="S3990" s="78">
        <f>IF(AND(K3990&lt;&gt;"", R3990&lt;&gt;""), R3990-K3990, "")</f>
        <v/>
      </c>
      <c r="T3990" s="78" t="n"/>
      <c r="U3990" s="92">
        <f>IF(ISBLANK(P3990),"",IF(C3990="Buy",Q3990-M3990+T3990, IF(C3990="Sell",M3990-Q3990-T3990, X)))</f>
        <v/>
      </c>
      <c r="V3990" s="81">
        <f>IF(ISBLANK(P3990),"",U3990/N3990)</f>
        <v/>
      </c>
      <c r="W3990" s="81">
        <f>IF(ISBLANK(P3990),"",IF(S3990=0,(365/0.5)*V3990,(365/S3990)*V3990))</f>
        <v/>
      </c>
      <c r="X3990" s="75" t="n"/>
      <c r="Y3990" s="77" t="n"/>
      <c r="Z3990" s="77" t="n"/>
      <c r="AA3990" s="75" t="n"/>
      <c r="AB3990" s="75" t="n"/>
      <c r="AC3990" s="6" t="n"/>
      <c r="AD3990" s="75" t="n"/>
      <c r="AE3990" s="75" t="n"/>
      <c r="AF3990" s="75" t="n"/>
    </row>
    <row r="3991" ht="15.75" customHeight="1" s="133">
      <c r="A3991" s="75" t="n"/>
      <c r="B3991" s="75" t="n"/>
      <c r="C3991" s="75" t="n"/>
      <c r="D3991" s="75" t="n"/>
      <c r="E3991" s="76" t="n"/>
      <c r="F3991" s="77" t="n"/>
      <c r="G3991" s="75" t="n"/>
      <c r="H3991" s="75">
        <f>IF(ISBLANK(E3991),"",IF(OR(D3991="Butterfly",D3991="Butterfly ",D3991="Iron Fly", D3991="Iron Fly "),LEN(E3991)-LEN(SUBSTITUTE(E3991,"/",""))+2,LEN(E3991)-LEN(SUBSTITUTE(E3991,"/",""))+1))</f>
        <v/>
      </c>
      <c r="I3991" s="78">
        <f>IF(ISBLANK(G3991),"",IF(D3991="Stock","0",Key!$A$3*H3991*G3991))</f>
        <v/>
      </c>
      <c r="J3991" s="78">
        <f>IF(ISBLANK(E3991),"",IF(ISNUMBER(SEARCH("/",E3991)), IF(LEN(E3991)-LEN(SUBSTITUTE(E3991,"/",""))=1,(RIGHT(E3991,LEN(E3991)-FIND("/",E3991)))-(LEFT(E3991,FIND("/",E3991)-1)),(MID(E3991, SEARCH("/",E3991) + 1, SEARCH("/",E3991, SEARCH("/",E3991)+1) - SEARCH("/",E3991) - 1))-(LEFT(E3991,FIND("/",E3991)-1))), "NA"))</f>
        <v/>
      </c>
      <c r="K3991" s="79">
        <f>IF(A3991&lt;&gt;"", IF(ISBLANK(L3991), TODAY(), K3991), "")</f>
        <v/>
      </c>
      <c r="L3991" s="78" t="n"/>
      <c r="M3991" s="78">
        <f>IF(ISBLANK(L3991),"",IF(D3991="Stock",IF(C3991="Buy",L3991*G3991,IF(C3991="Sell",(L3991*G3991)-I3991, X)),IF(C3991="Buy",(L3991*G3991*100)+I3991,IF(C3991="Sell",(L3991*G3991*100)-I3991, X))))</f>
        <v/>
      </c>
      <c r="N3991" s="78">
        <f>IF(ISBLANK(L3991),"",IF(AND(C3991="Sell",D3991="Stock"),M3991,IF(ISBLANK(L3991),"",IF(C3991="Buy",M3991, IF(AND(C3991="Sell",J3991="NA"),(E3991*G3991*100*0.1)+I3991, IF(C3991="Sell",(J3991-L3991)*(100*G3991)+I3991))))))</f>
        <v/>
      </c>
      <c r="O3991" s="75" t="n"/>
      <c r="P3991" s="75" t="n"/>
      <c r="Q3991" s="75">
        <f>IF(ISBLANK(P3991),"",IF(D3991="Stock",P3991*G3991,IF(P3991=0,"0",G3991*P3991*100-(G3991*$AF$14))))</f>
        <v/>
      </c>
      <c r="R3991" s="79">
        <f>IF(P3991&lt;&gt;"", TODAY(), "")</f>
        <v/>
      </c>
      <c r="S3991" s="78">
        <f>IF(AND(K3991&lt;&gt;"", R3991&lt;&gt;""), R3991-K3991, "")</f>
        <v/>
      </c>
      <c r="T3991" s="78" t="n"/>
      <c r="U3991" s="92">
        <f>IF(ISBLANK(P3991),"",IF(C3991="Buy",Q3991-M3991+T3991, IF(C3991="Sell",M3991-Q3991-T3991, X)))</f>
        <v/>
      </c>
      <c r="V3991" s="81">
        <f>IF(ISBLANK(P3991),"",U3991/N3991)</f>
        <v/>
      </c>
      <c r="W3991" s="81">
        <f>IF(ISBLANK(P3991),"",IF(S3991=0,(365/0.5)*V3991,(365/S3991)*V3991))</f>
        <v/>
      </c>
      <c r="X3991" s="75" t="n"/>
      <c r="Y3991" s="77" t="n"/>
      <c r="Z3991" s="77" t="n"/>
      <c r="AA3991" s="75" t="n"/>
      <c r="AB3991" s="75" t="n"/>
      <c r="AC3991" s="6" t="n"/>
      <c r="AD3991" s="75" t="n"/>
      <c r="AE3991" s="75" t="n"/>
      <c r="AF3991" s="75" t="n"/>
    </row>
    <row r="3992" ht="15.75" customHeight="1" s="133">
      <c r="A3992" s="75" t="n"/>
      <c r="B3992" s="75" t="n"/>
      <c r="C3992" s="75" t="n"/>
      <c r="D3992" s="75" t="n"/>
      <c r="E3992" s="76" t="n"/>
      <c r="F3992" s="77" t="n"/>
      <c r="G3992" s="75" t="n"/>
      <c r="H3992" s="75">
        <f>IF(ISBLANK(E3992),"",IF(OR(D3992="Butterfly",D3992="Butterfly ",D3992="Iron Fly", D3992="Iron Fly "),LEN(E3992)-LEN(SUBSTITUTE(E3992,"/",""))+2,LEN(E3992)-LEN(SUBSTITUTE(E3992,"/",""))+1))</f>
        <v/>
      </c>
      <c r="I3992" s="78">
        <f>IF(ISBLANK(G3992),"",IF(D3992="Stock","0",Key!$A$3*H3992*G3992))</f>
        <v/>
      </c>
      <c r="J3992" s="78">
        <f>IF(ISBLANK(E3992),"",IF(ISNUMBER(SEARCH("/",E3992)), IF(LEN(E3992)-LEN(SUBSTITUTE(E3992,"/",""))=1,(RIGHT(E3992,LEN(E3992)-FIND("/",E3992)))-(LEFT(E3992,FIND("/",E3992)-1)),(MID(E3992, SEARCH("/",E3992) + 1, SEARCH("/",E3992, SEARCH("/",E3992)+1) - SEARCH("/",E3992) - 1))-(LEFT(E3992,FIND("/",E3992)-1))), "NA"))</f>
        <v/>
      </c>
      <c r="K3992" s="79">
        <f>IF(A3992&lt;&gt;"", IF(ISBLANK(L3992), TODAY(), K3992), "")</f>
        <v/>
      </c>
      <c r="L3992" s="78" t="n"/>
      <c r="M3992" s="78">
        <f>IF(ISBLANK(L3992),"",IF(D3992="Stock",IF(C3992="Buy",L3992*G3992,IF(C3992="Sell",(L3992*G3992)-I3992, X)),IF(C3992="Buy",(L3992*G3992*100)+I3992,IF(C3992="Sell",(L3992*G3992*100)-I3992, X))))</f>
        <v/>
      </c>
      <c r="N3992" s="78">
        <f>IF(ISBLANK(L3992),"",IF(AND(C3992="Sell",D3992="Stock"),M3992,IF(ISBLANK(L3992),"",IF(C3992="Buy",M3992, IF(AND(C3992="Sell",J3992="NA"),(E3992*G3992*100*0.1)+I3992, IF(C3992="Sell",(J3992-L3992)*(100*G3992)+I3992))))))</f>
        <v/>
      </c>
      <c r="O3992" s="75" t="n"/>
      <c r="P3992" s="75" t="n"/>
      <c r="Q3992" s="75">
        <f>IF(ISBLANK(P3992),"",IF(D3992="Stock",P3992*G3992,IF(P3992=0,"0",G3992*P3992*100-(G3992*$AF$14))))</f>
        <v/>
      </c>
      <c r="R3992" s="79">
        <f>IF(P3992&lt;&gt;"", TODAY(), "")</f>
        <v/>
      </c>
      <c r="S3992" s="78">
        <f>IF(AND(K3992&lt;&gt;"", R3992&lt;&gt;""), R3992-K3992, "")</f>
        <v/>
      </c>
      <c r="T3992" s="78" t="n"/>
      <c r="U3992" s="92">
        <f>IF(ISBLANK(P3992),"",IF(C3992="Buy",Q3992-M3992+T3992, IF(C3992="Sell",M3992-Q3992-T3992, X)))</f>
        <v/>
      </c>
      <c r="V3992" s="81">
        <f>IF(ISBLANK(P3992),"",U3992/N3992)</f>
        <v/>
      </c>
      <c r="W3992" s="81">
        <f>IF(ISBLANK(P3992),"",IF(S3992=0,(365/0.5)*V3992,(365/S3992)*V3992))</f>
        <v/>
      </c>
      <c r="X3992" s="75" t="n"/>
      <c r="Y3992" s="77" t="n"/>
      <c r="Z3992" s="77" t="n"/>
      <c r="AA3992" s="75" t="n"/>
      <c r="AB3992" s="75" t="n"/>
      <c r="AC3992" s="6" t="n"/>
      <c r="AD3992" s="75" t="n"/>
      <c r="AE3992" s="75" t="n"/>
      <c r="AF3992" s="75" t="n"/>
    </row>
    <row r="3993" ht="15.75" customHeight="1" s="133">
      <c r="A3993" s="75" t="n"/>
      <c r="B3993" s="75" t="n"/>
      <c r="C3993" s="75" t="n"/>
      <c r="D3993" s="75" t="n"/>
      <c r="E3993" s="76" t="n"/>
      <c r="F3993" s="77" t="n"/>
      <c r="G3993" s="75" t="n"/>
      <c r="H3993" s="75">
        <f>IF(ISBLANK(E3993),"",IF(OR(D3993="Butterfly",D3993="Butterfly ",D3993="Iron Fly", D3993="Iron Fly "),LEN(E3993)-LEN(SUBSTITUTE(E3993,"/",""))+2,LEN(E3993)-LEN(SUBSTITUTE(E3993,"/",""))+1))</f>
        <v/>
      </c>
      <c r="I3993" s="78">
        <f>IF(ISBLANK(G3993),"",IF(D3993="Stock","0",Key!$A$3*H3993*G3993))</f>
        <v/>
      </c>
      <c r="J3993" s="78">
        <f>IF(ISBLANK(E3993),"",IF(ISNUMBER(SEARCH("/",E3993)), IF(LEN(E3993)-LEN(SUBSTITUTE(E3993,"/",""))=1,(RIGHT(E3993,LEN(E3993)-FIND("/",E3993)))-(LEFT(E3993,FIND("/",E3993)-1)),(MID(E3993, SEARCH("/",E3993) + 1, SEARCH("/",E3993, SEARCH("/",E3993)+1) - SEARCH("/",E3993) - 1))-(LEFT(E3993,FIND("/",E3993)-1))), "NA"))</f>
        <v/>
      </c>
      <c r="K3993" s="79">
        <f>IF(A3993&lt;&gt;"", IF(ISBLANK(L3993), TODAY(), K3993), "")</f>
        <v/>
      </c>
      <c r="L3993" s="78" t="n"/>
      <c r="M3993" s="78">
        <f>IF(ISBLANK(L3993),"",IF(D3993="Stock",IF(C3993="Buy",L3993*G3993,IF(C3993="Sell",(L3993*G3993)-I3993, X)),IF(C3993="Buy",(L3993*G3993*100)+I3993,IF(C3993="Sell",(L3993*G3993*100)-I3993, X))))</f>
        <v/>
      </c>
      <c r="N3993" s="78">
        <f>IF(ISBLANK(L3993),"",IF(AND(C3993="Sell",D3993="Stock"),M3993,IF(ISBLANK(L3993),"",IF(C3993="Buy",M3993, IF(AND(C3993="Sell",J3993="NA"),(E3993*G3993*100*0.1)+I3993, IF(C3993="Sell",(J3993-L3993)*(100*G3993)+I3993))))))</f>
        <v/>
      </c>
      <c r="O3993" s="75" t="n"/>
      <c r="P3993" s="75" t="n"/>
      <c r="Q3993" s="75">
        <f>IF(ISBLANK(P3993),"",IF(D3993="Stock",P3993*G3993,IF(P3993=0,"0",G3993*P3993*100-(G3993*$AF$14))))</f>
        <v/>
      </c>
      <c r="R3993" s="79">
        <f>IF(P3993&lt;&gt;"", TODAY(), "")</f>
        <v/>
      </c>
      <c r="S3993" s="78">
        <f>IF(AND(K3993&lt;&gt;"", R3993&lt;&gt;""), R3993-K3993, "")</f>
        <v/>
      </c>
      <c r="T3993" s="78" t="n"/>
      <c r="U3993" s="92">
        <f>IF(ISBLANK(P3993),"",IF(C3993="Buy",Q3993-M3993+T3993, IF(C3993="Sell",M3993-Q3993-T3993, X)))</f>
        <v/>
      </c>
      <c r="V3993" s="81">
        <f>IF(ISBLANK(P3993),"",U3993/N3993)</f>
        <v/>
      </c>
      <c r="W3993" s="81">
        <f>IF(ISBLANK(P3993),"",IF(S3993=0,(365/0.5)*V3993,(365/S3993)*V3993))</f>
        <v/>
      </c>
      <c r="X3993" s="75" t="n"/>
      <c r="Y3993" s="77" t="n"/>
      <c r="Z3993" s="77" t="n"/>
      <c r="AA3993" s="75" t="n"/>
      <c r="AB3993" s="75" t="n"/>
      <c r="AC3993" s="6" t="n"/>
      <c r="AD3993" s="75" t="n"/>
      <c r="AE3993" s="75" t="n"/>
      <c r="AF3993" s="75" t="n"/>
    </row>
    <row r="3994" ht="15.75" customHeight="1" s="133">
      <c r="A3994" s="75" t="n"/>
      <c r="B3994" s="75" t="n"/>
      <c r="C3994" s="75" t="n"/>
      <c r="D3994" s="75" t="n"/>
      <c r="E3994" s="76" t="n"/>
      <c r="F3994" s="77" t="n"/>
      <c r="G3994" s="75" t="n"/>
      <c r="H3994" s="75">
        <f>IF(ISBLANK(E3994),"",IF(OR(D3994="Butterfly",D3994="Butterfly ",D3994="Iron Fly", D3994="Iron Fly "),LEN(E3994)-LEN(SUBSTITUTE(E3994,"/",""))+2,LEN(E3994)-LEN(SUBSTITUTE(E3994,"/",""))+1))</f>
        <v/>
      </c>
      <c r="I3994" s="78">
        <f>IF(ISBLANK(G3994),"",IF(D3994="Stock","0",Key!$A$3*H3994*G3994))</f>
        <v/>
      </c>
      <c r="J3994" s="78">
        <f>IF(ISBLANK(E3994),"",IF(ISNUMBER(SEARCH("/",E3994)), IF(LEN(E3994)-LEN(SUBSTITUTE(E3994,"/",""))=1,(RIGHT(E3994,LEN(E3994)-FIND("/",E3994)))-(LEFT(E3994,FIND("/",E3994)-1)),(MID(E3994, SEARCH("/",E3994) + 1, SEARCH("/",E3994, SEARCH("/",E3994)+1) - SEARCH("/",E3994) - 1))-(LEFT(E3994,FIND("/",E3994)-1))), "NA"))</f>
        <v/>
      </c>
      <c r="K3994" s="79">
        <f>IF(A3994&lt;&gt;"", IF(ISBLANK(L3994), TODAY(), K3994), "")</f>
        <v/>
      </c>
      <c r="L3994" s="78" t="n"/>
      <c r="M3994" s="78">
        <f>IF(ISBLANK(L3994),"",IF(D3994="Stock",IF(C3994="Buy",L3994*G3994,IF(C3994="Sell",(L3994*G3994)-I3994, X)),IF(C3994="Buy",(L3994*G3994*100)+I3994,IF(C3994="Sell",(L3994*G3994*100)-I3994, X))))</f>
        <v/>
      </c>
      <c r="N3994" s="78">
        <f>IF(ISBLANK(L3994),"",IF(AND(C3994="Sell",D3994="Stock"),M3994,IF(ISBLANK(L3994),"",IF(C3994="Buy",M3994, IF(AND(C3994="Sell",J3994="NA"),(E3994*G3994*100*0.1)+I3994, IF(C3994="Sell",(J3994-L3994)*(100*G3994)+I3994))))))</f>
        <v/>
      </c>
      <c r="O3994" s="75" t="n"/>
      <c r="P3994" s="75" t="n"/>
      <c r="Q3994" s="75">
        <f>IF(ISBLANK(P3994),"",IF(D3994="Stock",P3994*G3994,IF(P3994=0,"0",G3994*P3994*100-(G3994*$AF$14))))</f>
        <v/>
      </c>
      <c r="R3994" s="79">
        <f>IF(P3994&lt;&gt;"", TODAY(), "")</f>
        <v/>
      </c>
      <c r="S3994" s="78">
        <f>IF(AND(K3994&lt;&gt;"", R3994&lt;&gt;""), R3994-K3994, "")</f>
        <v/>
      </c>
      <c r="T3994" s="78" t="n"/>
      <c r="U3994" s="92">
        <f>IF(ISBLANK(P3994),"",IF(C3994="Buy",Q3994-M3994+T3994, IF(C3994="Sell",M3994-Q3994-T3994, X)))</f>
        <v/>
      </c>
      <c r="V3994" s="81">
        <f>IF(ISBLANK(P3994),"",U3994/N3994)</f>
        <v/>
      </c>
      <c r="W3994" s="81">
        <f>IF(ISBLANK(P3994),"",IF(S3994=0,(365/0.5)*V3994,(365/S3994)*V3994))</f>
        <v/>
      </c>
      <c r="X3994" s="75" t="n"/>
      <c r="Y3994" s="77" t="n"/>
      <c r="Z3994" s="77" t="n"/>
      <c r="AA3994" s="75" t="n"/>
      <c r="AB3994" s="75" t="n"/>
      <c r="AC3994" s="6" t="n"/>
      <c r="AD3994" s="75" t="n"/>
      <c r="AE3994" s="75" t="n"/>
      <c r="AF3994" s="75" t="n"/>
    </row>
    <row r="3995" ht="15.75" customHeight="1" s="133">
      <c r="A3995" s="75" t="n"/>
      <c r="B3995" s="75" t="n"/>
      <c r="C3995" s="75" t="n"/>
      <c r="D3995" s="75" t="n"/>
      <c r="E3995" s="76" t="n"/>
      <c r="F3995" s="77" t="n"/>
      <c r="G3995" s="75" t="n"/>
      <c r="H3995" s="75">
        <f>IF(ISBLANK(E3995),"",IF(OR(D3995="Butterfly",D3995="Butterfly ",D3995="Iron Fly", D3995="Iron Fly "),LEN(E3995)-LEN(SUBSTITUTE(E3995,"/",""))+2,LEN(E3995)-LEN(SUBSTITUTE(E3995,"/",""))+1))</f>
        <v/>
      </c>
      <c r="I3995" s="78">
        <f>IF(ISBLANK(G3995),"",IF(D3995="Stock","0",Key!$A$3*H3995*G3995))</f>
        <v/>
      </c>
      <c r="J3995" s="78">
        <f>IF(ISBLANK(E3995),"",IF(ISNUMBER(SEARCH("/",E3995)), IF(LEN(E3995)-LEN(SUBSTITUTE(E3995,"/",""))=1,(RIGHT(E3995,LEN(E3995)-FIND("/",E3995)))-(LEFT(E3995,FIND("/",E3995)-1)),(MID(E3995, SEARCH("/",E3995) + 1, SEARCH("/",E3995, SEARCH("/",E3995)+1) - SEARCH("/",E3995) - 1))-(LEFT(E3995,FIND("/",E3995)-1))), "NA"))</f>
        <v/>
      </c>
      <c r="K3995" s="79">
        <f>IF(A3995&lt;&gt;"", IF(ISBLANK(L3995), TODAY(), K3995), "")</f>
        <v/>
      </c>
      <c r="L3995" s="78" t="n"/>
      <c r="M3995" s="78">
        <f>IF(ISBLANK(L3995),"",IF(D3995="Stock",IF(C3995="Buy",L3995*G3995,IF(C3995="Sell",(L3995*G3995)-I3995, X)),IF(C3995="Buy",(L3995*G3995*100)+I3995,IF(C3995="Sell",(L3995*G3995*100)-I3995, X))))</f>
        <v/>
      </c>
      <c r="N3995" s="78">
        <f>IF(ISBLANK(L3995),"",IF(AND(C3995="Sell",D3995="Stock"),M3995,IF(ISBLANK(L3995),"",IF(C3995="Buy",M3995, IF(AND(C3995="Sell",J3995="NA"),(E3995*G3995*100*0.1)+I3995, IF(C3995="Sell",(J3995-L3995)*(100*G3995)+I3995))))))</f>
        <v/>
      </c>
      <c r="O3995" s="75" t="n"/>
      <c r="P3995" s="75" t="n"/>
      <c r="Q3995" s="75">
        <f>IF(ISBLANK(P3995),"",IF(D3995="Stock",P3995*G3995,IF(P3995=0,"0",G3995*P3995*100-(G3995*$AF$14))))</f>
        <v/>
      </c>
      <c r="R3995" s="79">
        <f>IF(P3995&lt;&gt;"", TODAY(), "")</f>
        <v/>
      </c>
      <c r="S3995" s="78">
        <f>IF(AND(K3995&lt;&gt;"", R3995&lt;&gt;""), R3995-K3995, "")</f>
        <v/>
      </c>
      <c r="T3995" s="78" t="n"/>
      <c r="U3995" s="92">
        <f>IF(ISBLANK(P3995),"",IF(C3995="Buy",Q3995-M3995+T3995, IF(C3995="Sell",M3995-Q3995-T3995, X)))</f>
        <v/>
      </c>
      <c r="V3995" s="81">
        <f>IF(ISBLANK(P3995),"",U3995/N3995)</f>
        <v/>
      </c>
      <c r="W3995" s="81">
        <f>IF(ISBLANK(P3995),"",IF(S3995=0,(365/0.5)*V3995,(365/S3995)*V3995))</f>
        <v/>
      </c>
      <c r="X3995" s="75" t="n"/>
      <c r="Y3995" s="77" t="n"/>
      <c r="Z3995" s="77" t="n"/>
      <c r="AA3995" s="75" t="n"/>
      <c r="AB3995" s="75" t="n"/>
      <c r="AC3995" s="6" t="n"/>
      <c r="AD3995" s="75" t="n"/>
      <c r="AE3995" s="75" t="n"/>
      <c r="AF3995" s="75" t="n"/>
    </row>
    <row r="3996" ht="15.75" customHeight="1" s="133">
      <c r="A3996" s="75" t="n"/>
      <c r="B3996" s="75" t="n"/>
      <c r="C3996" s="75" t="n"/>
      <c r="D3996" s="75" t="n"/>
      <c r="E3996" s="76" t="n"/>
      <c r="F3996" s="77" t="n"/>
      <c r="G3996" s="75" t="n"/>
      <c r="H3996" s="75">
        <f>IF(ISBLANK(E3996),"",IF(OR(D3996="Butterfly",D3996="Butterfly ",D3996="Iron Fly", D3996="Iron Fly "),LEN(E3996)-LEN(SUBSTITUTE(E3996,"/",""))+2,LEN(E3996)-LEN(SUBSTITUTE(E3996,"/",""))+1))</f>
        <v/>
      </c>
      <c r="I3996" s="78">
        <f>IF(ISBLANK(G3996),"",IF(D3996="Stock","0",Key!$A$3*H3996*G3996))</f>
        <v/>
      </c>
      <c r="J3996" s="78">
        <f>IF(ISBLANK(E3996),"",IF(ISNUMBER(SEARCH("/",E3996)), IF(LEN(E3996)-LEN(SUBSTITUTE(E3996,"/",""))=1,(RIGHT(E3996,LEN(E3996)-FIND("/",E3996)))-(LEFT(E3996,FIND("/",E3996)-1)),(MID(E3996, SEARCH("/",E3996) + 1, SEARCH("/",E3996, SEARCH("/",E3996)+1) - SEARCH("/",E3996) - 1))-(LEFT(E3996,FIND("/",E3996)-1))), "NA"))</f>
        <v/>
      </c>
      <c r="K3996" s="79">
        <f>IF(A3996&lt;&gt;"", IF(ISBLANK(L3996), TODAY(), K3996), "")</f>
        <v/>
      </c>
      <c r="L3996" s="78" t="n"/>
      <c r="M3996" s="78">
        <f>IF(ISBLANK(L3996),"",IF(D3996="Stock",IF(C3996="Buy",L3996*G3996,IF(C3996="Sell",(L3996*G3996)-I3996, X)),IF(C3996="Buy",(L3996*G3996*100)+I3996,IF(C3996="Sell",(L3996*G3996*100)-I3996, X))))</f>
        <v/>
      </c>
      <c r="N3996" s="78">
        <f>IF(ISBLANK(L3996),"",IF(AND(C3996="Sell",D3996="Stock"),M3996,IF(ISBLANK(L3996),"",IF(C3996="Buy",M3996, IF(AND(C3996="Sell",J3996="NA"),(E3996*G3996*100*0.1)+I3996, IF(C3996="Sell",(J3996-L3996)*(100*G3996)+I3996))))))</f>
        <v/>
      </c>
      <c r="O3996" s="75" t="n"/>
      <c r="P3996" s="75" t="n"/>
      <c r="Q3996" s="75">
        <f>IF(ISBLANK(P3996),"",IF(D3996="Stock",P3996*G3996,IF(P3996=0,"0",G3996*P3996*100-(G3996*$AF$14))))</f>
        <v/>
      </c>
      <c r="R3996" s="79">
        <f>IF(P3996&lt;&gt;"", TODAY(), "")</f>
        <v/>
      </c>
      <c r="S3996" s="78">
        <f>IF(AND(K3996&lt;&gt;"", R3996&lt;&gt;""), R3996-K3996, "")</f>
        <v/>
      </c>
      <c r="T3996" s="78" t="n"/>
      <c r="U3996" s="92">
        <f>IF(ISBLANK(P3996),"",IF(C3996="Buy",Q3996-M3996+T3996, IF(C3996="Sell",M3996-Q3996-T3996, X)))</f>
        <v/>
      </c>
      <c r="V3996" s="81">
        <f>IF(ISBLANK(P3996),"",U3996/N3996)</f>
        <v/>
      </c>
      <c r="W3996" s="81">
        <f>IF(ISBLANK(P3996),"",IF(S3996=0,(365/0.5)*V3996,(365/S3996)*V3996))</f>
        <v/>
      </c>
      <c r="X3996" s="75" t="n"/>
      <c r="Y3996" s="77" t="n"/>
      <c r="Z3996" s="77" t="n"/>
      <c r="AA3996" s="75" t="n"/>
      <c r="AB3996" s="75" t="n"/>
      <c r="AC3996" s="6" t="n"/>
      <c r="AD3996" s="75" t="n"/>
      <c r="AE3996" s="75" t="n"/>
      <c r="AF3996" s="75" t="n"/>
    </row>
    <row r="3997" ht="15.75" customHeight="1" s="133">
      <c r="A3997" s="75" t="n"/>
      <c r="B3997" s="75" t="n"/>
      <c r="C3997" s="75" t="n"/>
      <c r="D3997" s="75" t="n"/>
      <c r="E3997" s="76" t="n"/>
      <c r="F3997" s="77" t="n"/>
      <c r="G3997" s="75" t="n"/>
      <c r="H3997" s="75">
        <f>IF(ISBLANK(E3997),"",IF(OR(D3997="Butterfly",D3997="Butterfly ",D3997="Iron Fly", D3997="Iron Fly "),LEN(E3997)-LEN(SUBSTITUTE(E3997,"/",""))+2,LEN(E3997)-LEN(SUBSTITUTE(E3997,"/",""))+1))</f>
        <v/>
      </c>
      <c r="I3997" s="78">
        <f>IF(ISBLANK(G3997),"",IF(D3997="Stock","0",Key!$A$3*H3997*G3997))</f>
        <v/>
      </c>
      <c r="J3997" s="78">
        <f>IF(ISBLANK(E3997),"",IF(ISNUMBER(SEARCH("/",E3997)), IF(LEN(E3997)-LEN(SUBSTITUTE(E3997,"/",""))=1,(RIGHT(E3997,LEN(E3997)-FIND("/",E3997)))-(LEFT(E3997,FIND("/",E3997)-1)),(MID(E3997, SEARCH("/",E3997) + 1, SEARCH("/",E3997, SEARCH("/",E3997)+1) - SEARCH("/",E3997) - 1))-(LEFT(E3997,FIND("/",E3997)-1))), "NA"))</f>
        <v/>
      </c>
      <c r="K3997" s="79">
        <f>IF(A3997&lt;&gt;"", IF(ISBLANK(L3997), TODAY(), K3997), "")</f>
        <v/>
      </c>
      <c r="L3997" s="78" t="n"/>
      <c r="M3997" s="78">
        <f>IF(ISBLANK(L3997),"",IF(D3997="Stock",IF(C3997="Buy",L3997*G3997,IF(C3997="Sell",(L3997*G3997)-I3997, X)),IF(C3997="Buy",(L3997*G3997*100)+I3997,IF(C3997="Sell",(L3997*G3997*100)-I3997, X))))</f>
        <v/>
      </c>
      <c r="N3997" s="78">
        <f>IF(ISBLANK(L3997),"",IF(AND(C3997="Sell",D3997="Stock"),M3997,IF(ISBLANK(L3997),"",IF(C3997="Buy",M3997, IF(AND(C3997="Sell",J3997="NA"),(E3997*G3997*100*0.1)+I3997, IF(C3997="Sell",(J3997-L3997)*(100*G3997)+I3997))))))</f>
        <v/>
      </c>
      <c r="O3997" s="75" t="n"/>
      <c r="P3997" s="75" t="n"/>
      <c r="Q3997" s="75">
        <f>IF(ISBLANK(P3997),"",IF(D3997="Stock",P3997*G3997,IF(P3997=0,"0",G3997*P3997*100-(G3997*$AF$14))))</f>
        <v/>
      </c>
      <c r="R3997" s="79">
        <f>IF(P3997&lt;&gt;"", TODAY(), "")</f>
        <v/>
      </c>
      <c r="S3997" s="78">
        <f>IF(AND(K3997&lt;&gt;"", R3997&lt;&gt;""), R3997-K3997, "")</f>
        <v/>
      </c>
      <c r="T3997" s="78" t="n"/>
      <c r="U3997" s="92">
        <f>IF(ISBLANK(P3997),"",IF(C3997="Buy",Q3997-M3997+T3997, IF(C3997="Sell",M3997-Q3997-T3997, X)))</f>
        <v/>
      </c>
      <c r="V3997" s="81">
        <f>IF(ISBLANK(P3997),"",U3997/N3997)</f>
        <v/>
      </c>
      <c r="W3997" s="81">
        <f>IF(ISBLANK(P3997),"",IF(S3997=0,(365/0.5)*V3997,(365/S3997)*V3997))</f>
        <v/>
      </c>
      <c r="X3997" s="75" t="n"/>
      <c r="Y3997" s="77" t="n"/>
      <c r="Z3997" s="77" t="n"/>
      <c r="AA3997" s="75" t="n"/>
      <c r="AB3997" s="75" t="n"/>
      <c r="AC3997" s="6" t="n"/>
      <c r="AD3997" s="75" t="n"/>
      <c r="AE3997" s="75" t="n"/>
      <c r="AF3997" s="75" t="n"/>
    </row>
    <row r="3998" ht="15.75" customHeight="1" s="133">
      <c r="A3998" s="75" t="n"/>
      <c r="B3998" s="75" t="n"/>
      <c r="C3998" s="75" t="n"/>
      <c r="D3998" s="75" t="n"/>
      <c r="E3998" s="76" t="n"/>
      <c r="F3998" s="77" t="n"/>
      <c r="G3998" s="75" t="n"/>
      <c r="H3998" s="75">
        <f>IF(ISBLANK(E3998),"",IF(OR(D3998="Butterfly",D3998="Butterfly ",D3998="Iron Fly", D3998="Iron Fly "),LEN(E3998)-LEN(SUBSTITUTE(E3998,"/",""))+2,LEN(E3998)-LEN(SUBSTITUTE(E3998,"/",""))+1))</f>
        <v/>
      </c>
      <c r="I3998" s="78">
        <f>IF(ISBLANK(G3998),"",IF(D3998="Stock","0",Key!$A$3*H3998*G3998))</f>
        <v/>
      </c>
      <c r="J3998" s="78">
        <f>IF(ISBLANK(E3998),"",IF(ISNUMBER(SEARCH("/",E3998)), IF(LEN(E3998)-LEN(SUBSTITUTE(E3998,"/",""))=1,(RIGHT(E3998,LEN(E3998)-FIND("/",E3998)))-(LEFT(E3998,FIND("/",E3998)-1)),(MID(E3998, SEARCH("/",E3998) + 1, SEARCH("/",E3998, SEARCH("/",E3998)+1) - SEARCH("/",E3998) - 1))-(LEFT(E3998,FIND("/",E3998)-1))), "NA"))</f>
        <v/>
      </c>
      <c r="K3998" s="79">
        <f>IF(A3998&lt;&gt;"", IF(ISBLANK(L3998), TODAY(), K3998), "")</f>
        <v/>
      </c>
      <c r="L3998" s="78" t="n"/>
      <c r="M3998" s="78">
        <f>IF(ISBLANK(L3998),"",IF(D3998="Stock",IF(C3998="Buy",L3998*G3998,IF(C3998="Sell",(L3998*G3998)-I3998, X)),IF(C3998="Buy",(L3998*G3998*100)+I3998,IF(C3998="Sell",(L3998*G3998*100)-I3998, X))))</f>
        <v/>
      </c>
      <c r="N3998" s="78">
        <f>IF(ISBLANK(L3998),"",IF(AND(C3998="Sell",D3998="Stock"),M3998,IF(ISBLANK(L3998),"",IF(C3998="Buy",M3998, IF(AND(C3998="Sell",J3998="NA"),(E3998*G3998*100*0.1)+I3998, IF(C3998="Sell",(J3998-L3998)*(100*G3998)+I3998))))))</f>
        <v/>
      </c>
      <c r="O3998" s="75" t="n"/>
      <c r="P3998" s="75" t="n"/>
      <c r="Q3998" s="75">
        <f>IF(ISBLANK(P3998),"",IF(D3998="Stock",P3998*G3998,IF(P3998=0,"0",G3998*P3998*100-(G3998*$AF$14))))</f>
        <v/>
      </c>
      <c r="R3998" s="79">
        <f>IF(P3998&lt;&gt;"", TODAY(), "")</f>
        <v/>
      </c>
      <c r="S3998" s="78">
        <f>IF(AND(K3998&lt;&gt;"", R3998&lt;&gt;""), R3998-K3998, "")</f>
        <v/>
      </c>
      <c r="T3998" s="78" t="n"/>
      <c r="U3998" s="92">
        <f>IF(ISBLANK(P3998),"",IF(C3998="Buy",Q3998-M3998+T3998, IF(C3998="Sell",M3998-Q3998-T3998, X)))</f>
        <v/>
      </c>
      <c r="V3998" s="81">
        <f>IF(ISBLANK(P3998),"",U3998/N3998)</f>
        <v/>
      </c>
      <c r="W3998" s="81">
        <f>IF(ISBLANK(P3998),"",IF(S3998=0,(365/0.5)*V3998,(365/S3998)*V3998))</f>
        <v/>
      </c>
      <c r="X3998" s="75" t="n"/>
      <c r="Y3998" s="77" t="n"/>
      <c r="Z3998" s="77" t="n"/>
      <c r="AA3998" s="75" t="n"/>
      <c r="AB3998" s="75" t="n"/>
      <c r="AC3998" s="6" t="n"/>
      <c r="AD3998" s="75" t="n"/>
      <c r="AE3998" s="75" t="n"/>
      <c r="AF3998" s="75" t="n"/>
    </row>
    <row r="3999" ht="15.75" customHeight="1" s="133">
      <c r="A3999" s="75" t="n"/>
      <c r="B3999" s="75" t="n"/>
      <c r="C3999" s="75" t="n"/>
      <c r="D3999" s="75" t="n"/>
      <c r="E3999" s="76" t="n"/>
      <c r="F3999" s="77" t="n"/>
      <c r="G3999" s="75" t="n"/>
      <c r="H3999" s="75">
        <f>IF(ISBLANK(E3999),"",IF(OR(D3999="Butterfly",D3999="Butterfly ",D3999="Iron Fly", D3999="Iron Fly "),LEN(E3999)-LEN(SUBSTITUTE(E3999,"/",""))+2,LEN(E3999)-LEN(SUBSTITUTE(E3999,"/",""))+1))</f>
        <v/>
      </c>
      <c r="I3999" s="78">
        <f>IF(ISBLANK(G3999),"",IF(D3999="Stock","0",Key!$A$3*H3999*G3999))</f>
        <v/>
      </c>
      <c r="J3999" s="78">
        <f>IF(ISBLANK(E3999),"",IF(ISNUMBER(SEARCH("/",E3999)), IF(LEN(E3999)-LEN(SUBSTITUTE(E3999,"/",""))=1,(RIGHT(E3999,LEN(E3999)-FIND("/",E3999)))-(LEFT(E3999,FIND("/",E3999)-1)),(MID(E3999, SEARCH("/",E3999) + 1, SEARCH("/",E3999, SEARCH("/",E3999)+1) - SEARCH("/",E3999) - 1))-(LEFT(E3999,FIND("/",E3999)-1))), "NA"))</f>
        <v/>
      </c>
      <c r="K3999" s="79">
        <f>IF(A3999&lt;&gt;"", IF(ISBLANK(L3999), TODAY(), K3999), "")</f>
        <v/>
      </c>
      <c r="L3999" s="78" t="n"/>
      <c r="M3999" s="78">
        <f>IF(ISBLANK(L3999),"",IF(D3999="Stock",IF(C3999="Buy",L3999*G3999,IF(C3999="Sell",(L3999*G3999)-I3999, X)),IF(C3999="Buy",(L3999*G3999*100)+I3999,IF(C3999="Sell",(L3999*G3999*100)-I3999, X))))</f>
        <v/>
      </c>
      <c r="N3999" s="78">
        <f>IF(ISBLANK(L3999),"",IF(AND(C3999="Sell",D3999="Stock"),M3999,IF(ISBLANK(L3999),"",IF(C3999="Buy",M3999, IF(AND(C3999="Sell",J3999="NA"),(E3999*G3999*100*0.1)+I3999, IF(C3999="Sell",(J3999-L3999)*(100*G3999)+I3999))))))</f>
        <v/>
      </c>
      <c r="O3999" s="75" t="n"/>
      <c r="P3999" s="75" t="n"/>
      <c r="Q3999" s="75">
        <f>IF(ISBLANK(P3999),"",IF(D3999="Stock",P3999*G3999,IF(P3999=0,"0",G3999*P3999*100-(G3999*$AF$14))))</f>
        <v/>
      </c>
      <c r="R3999" s="79">
        <f>IF(P3999&lt;&gt;"", TODAY(), "")</f>
        <v/>
      </c>
      <c r="S3999" s="78">
        <f>IF(AND(K3999&lt;&gt;"", R3999&lt;&gt;""), R3999-K3999, "")</f>
        <v/>
      </c>
      <c r="T3999" s="78" t="n"/>
      <c r="U3999" s="92">
        <f>IF(ISBLANK(P3999),"",IF(C3999="Buy",Q3999-M3999+T3999, IF(C3999="Sell",M3999-Q3999-T3999, X)))</f>
        <v/>
      </c>
      <c r="V3999" s="81">
        <f>IF(ISBLANK(P3999),"",U3999/N3999)</f>
        <v/>
      </c>
      <c r="W3999" s="81">
        <f>IF(ISBLANK(P3999),"",IF(S3999=0,(365/0.5)*V3999,(365/S3999)*V3999))</f>
        <v/>
      </c>
      <c r="X3999" s="75" t="n"/>
      <c r="Y3999" s="77" t="n"/>
      <c r="Z3999" s="77" t="n"/>
      <c r="AA3999" s="75" t="n"/>
      <c r="AB3999" s="75" t="n"/>
      <c r="AC3999" s="6" t="n"/>
      <c r="AD3999" s="75" t="n"/>
      <c r="AE3999" s="75" t="n"/>
      <c r="AF3999" s="75" t="n"/>
    </row>
    <row r="4000" ht="15.75" customHeight="1" s="133">
      <c r="A4000" s="75" t="n"/>
      <c r="B4000" s="75" t="n"/>
      <c r="C4000" s="75" t="n"/>
      <c r="D4000" s="75" t="n"/>
      <c r="E4000" s="76" t="n"/>
      <c r="F4000" s="77" t="n"/>
      <c r="G4000" s="75" t="n"/>
      <c r="H4000" s="75">
        <f>IF(ISBLANK(E4000),"",IF(OR(D4000="Butterfly",D4000="Butterfly ",D4000="Iron Fly", D4000="Iron Fly "),LEN(E4000)-LEN(SUBSTITUTE(E4000,"/",""))+2,LEN(E4000)-LEN(SUBSTITUTE(E4000,"/",""))+1))</f>
        <v/>
      </c>
      <c r="I4000" s="78">
        <f>IF(ISBLANK(G4000),"",IF(D4000="Stock","0",Key!$A$3*H4000*G4000))</f>
        <v/>
      </c>
      <c r="J4000" s="78">
        <f>IF(ISBLANK(E4000),"",IF(ISNUMBER(SEARCH("/",E4000)), IF(LEN(E4000)-LEN(SUBSTITUTE(E4000,"/",""))=1,(RIGHT(E4000,LEN(E4000)-FIND("/",E4000)))-(LEFT(E4000,FIND("/",E4000)-1)),(MID(E4000, SEARCH("/",E4000) + 1, SEARCH("/",E4000, SEARCH("/",E4000)+1) - SEARCH("/",E4000) - 1))-(LEFT(E4000,FIND("/",E4000)-1))), "NA"))</f>
        <v/>
      </c>
      <c r="K4000" s="79">
        <f>IF(A4000&lt;&gt;"", IF(ISBLANK(L4000), TODAY(), K4000), "")</f>
        <v/>
      </c>
      <c r="L4000" s="78" t="n"/>
      <c r="M4000" s="78">
        <f>IF(ISBLANK(L4000),"",IF(D4000="Stock",IF(C4000="Buy",L4000*G4000,IF(C4000="Sell",(L4000*G4000)-I4000, X)),IF(C4000="Buy",(L4000*G4000*100)+I4000,IF(C4000="Sell",(L4000*G4000*100)-I4000, X))))</f>
        <v/>
      </c>
      <c r="N4000" s="78">
        <f>IF(ISBLANK(L4000),"",IF(AND(C4000="Sell",D4000="Stock"),M4000,IF(ISBLANK(L4000),"",IF(C4000="Buy",M4000, IF(AND(C4000="Sell",J4000="NA"),(E4000*G4000*100*0.1)+I4000, IF(C4000="Sell",(J4000-L4000)*(100*G4000)+I4000))))))</f>
        <v/>
      </c>
      <c r="O4000" s="75" t="n"/>
      <c r="P4000" s="75" t="n"/>
      <c r="Q4000" s="75">
        <f>IF(ISBLANK(P4000),"",IF(D4000="Stock",P4000*G4000,IF(P4000=0,"0",G4000*P4000*100-(G4000*$AF$14))))</f>
        <v/>
      </c>
      <c r="R4000" s="79">
        <f>IF(P4000&lt;&gt;"", TODAY(), "")</f>
        <v/>
      </c>
      <c r="S4000" s="78">
        <f>IF(AND(K4000&lt;&gt;"", R4000&lt;&gt;""), R4000-K4000, "")</f>
        <v/>
      </c>
      <c r="T4000" s="78" t="n"/>
      <c r="U4000" s="92">
        <f>IF(ISBLANK(P4000),"",IF(C4000="Buy",Q4000-M4000+T4000, IF(C4000="Sell",M4000-Q4000-T4000, X)))</f>
        <v/>
      </c>
      <c r="V4000" s="81">
        <f>IF(ISBLANK(P4000),"",U4000/N4000)</f>
        <v/>
      </c>
      <c r="W4000" s="81">
        <f>IF(ISBLANK(P4000),"",IF(S4000=0,(365/0.5)*V4000,(365/S4000)*V4000))</f>
        <v/>
      </c>
      <c r="X4000" s="75" t="n"/>
      <c r="Y4000" s="77" t="n"/>
      <c r="Z4000" s="77" t="n"/>
      <c r="AA4000" s="75" t="n"/>
      <c r="AB4000" s="75" t="n"/>
      <c r="AC4000" s="6" t="n"/>
      <c r="AD4000" s="75" t="n"/>
      <c r="AE4000" s="75" t="n"/>
      <c r="AF4000" s="75" t="n"/>
    </row>
    <row r="4001" ht="15.75" customHeight="1" s="133">
      <c r="A4001" s="75" t="n"/>
      <c r="B4001" s="75" t="n"/>
      <c r="C4001" s="75" t="n"/>
      <c r="D4001" s="75" t="n"/>
      <c r="E4001" s="76" t="n"/>
      <c r="F4001" s="77" t="n"/>
      <c r="G4001" s="75" t="n"/>
      <c r="H4001" s="75">
        <f>IF(ISBLANK(E4001),"",IF(OR(D4001="Butterfly",D4001="Butterfly ",D4001="Iron Fly", D4001="Iron Fly "),LEN(E4001)-LEN(SUBSTITUTE(E4001,"/",""))+2,LEN(E4001)-LEN(SUBSTITUTE(E4001,"/",""))+1))</f>
        <v/>
      </c>
      <c r="I4001" s="78">
        <f>IF(ISBLANK(G4001),"",IF(D4001="Stock","0",Key!$A$3*H4001*G4001))</f>
        <v/>
      </c>
      <c r="J4001" s="78">
        <f>IF(ISBLANK(E4001),"",IF(ISNUMBER(SEARCH("/",E4001)), IF(LEN(E4001)-LEN(SUBSTITUTE(E4001,"/",""))=1,(RIGHT(E4001,LEN(E4001)-FIND("/",E4001)))-(LEFT(E4001,FIND("/",E4001)-1)),(MID(E4001, SEARCH("/",E4001) + 1, SEARCH("/",E4001, SEARCH("/",E4001)+1) - SEARCH("/",E4001) - 1))-(LEFT(E4001,FIND("/",E4001)-1))), "NA"))</f>
        <v/>
      </c>
      <c r="K4001" s="79">
        <f>IF(A4001&lt;&gt;"", IF(ISBLANK(L4001), TODAY(), K4001), "")</f>
        <v/>
      </c>
      <c r="L4001" s="78" t="n"/>
      <c r="M4001" s="78">
        <f>IF(ISBLANK(L4001),"",IF(D4001="Stock",IF(C4001="Buy",L4001*G4001,IF(C4001="Sell",(L4001*G4001)-I4001, X)),IF(C4001="Buy",(L4001*G4001*100)+I4001,IF(C4001="Sell",(L4001*G4001*100)-I4001, X))))</f>
        <v/>
      </c>
      <c r="N4001" s="78">
        <f>IF(ISBLANK(L4001),"",IF(AND(C4001="Sell",D4001="Stock"),M4001,IF(ISBLANK(L4001),"",IF(C4001="Buy",M4001, IF(AND(C4001="Sell",J4001="NA"),(E4001*G4001*100*0.1)+I4001, IF(C4001="Sell",(J4001-L4001)*(100*G4001)+I4001))))))</f>
        <v/>
      </c>
      <c r="O4001" s="75" t="n"/>
      <c r="P4001" s="75" t="n"/>
      <c r="Q4001" s="75">
        <f>IF(ISBLANK(P4001),"",IF(D4001="Stock",P4001*G4001,IF(P4001=0,"0",G4001*P4001*100-(G4001*$AF$14))))</f>
        <v/>
      </c>
      <c r="R4001" s="79">
        <f>IF(P4001&lt;&gt;"", TODAY(), "")</f>
        <v/>
      </c>
      <c r="S4001" s="78">
        <f>IF(AND(K4001&lt;&gt;"", R4001&lt;&gt;""), R4001-K4001, "")</f>
        <v/>
      </c>
      <c r="T4001" s="78" t="n"/>
      <c r="U4001" s="92">
        <f>IF(ISBLANK(P4001),"",IF(C4001="Buy",Q4001-M4001+T4001, IF(C4001="Sell",M4001-Q4001-T4001, X)))</f>
        <v/>
      </c>
      <c r="V4001" s="81">
        <f>IF(ISBLANK(P4001),"",U4001/N4001)</f>
        <v/>
      </c>
      <c r="W4001" s="81">
        <f>IF(ISBLANK(P4001),"",IF(S4001=0,(365/0.5)*V4001,(365/S4001)*V4001))</f>
        <v/>
      </c>
      <c r="X4001" s="75" t="n"/>
      <c r="Y4001" s="77" t="n"/>
      <c r="Z4001" s="77" t="n"/>
      <c r="AA4001" s="75" t="n"/>
      <c r="AB4001" s="75" t="n"/>
      <c r="AC4001" s="6" t="n"/>
      <c r="AD4001" s="75" t="n"/>
      <c r="AE4001" s="75" t="n"/>
      <c r="AF4001" s="75" t="n"/>
    </row>
    <row r="4002" ht="15.75" customHeight="1" s="133">
      <c r="A4002" s="75" t="n"/>
      <c r="B4002" s="75" t="n"/>
      <c r="C4002" s="75" t="n"/>
      <c r="D4002" s="75" t="n"/>
      <c r="E4002" s="76" t="n"/>
      <c r="F4002" s="77" t="n"/>
      <c r="G4002" s="75" t="n"/>
      <c r="H4002" s="75">
        <f>IF(ISBLANK(E4002),"",IF(OR(D4002="Butterfly",D4002="Butterfly ",D4002="Iron Fly", D4002="Iron Fly "),LEN(E4002)-LEN(SUBSTITUTE(E4002,"/",""))+2,LEN(E4002)-LEN(SUBSTITUTE(E4002,"/",""))+1))</f>
        <v/>
      </c>
      <c r="I4002" s="78">
        <f>IF(ISBLANK(G4002),"",IF(D4002="Stock","0",Key!$A$3*H4002*G4002))</f>
        <v/>
      </c>
      <c r="J4002" s="78">
        <f>IF(ISBLANK(E4002),"",IF(ISNUMBER(SEARCH("/",E4002)), IF(LEN(E4002)-LEN(SUBSTITUTE(E4002,"/",""))=1,(RIGHT(E4002,LEN(E4002)-FIND("/",E4002)))-(LEFT(E4002,FIND("/",E4002)-1)),(MID(E4002, SEARCH("/",E4002) + 1, SEARCH("/",E4002, SEARCH("/",E4002)+1) - SEARCH("/",E4002) - 1))-(LEFT(E4002,FIND("/",E4002)-1))), "NA"))</f>
        <v/>
      </c>
      <c r="K4002" s="79">
        <f>IF(A4002&lt;&gt;"", IF(ISBLANK(L4002), TODAY(), K4002), "")</f>
        <v/>
      </c>
      <c r="L4002" s="78" t="n"/>
      <c r="M4002" s="78">
        <f>IF(ISBLANK(L4002),"",IF(D4002="Stock",IF(C4002="Buy",L4002*G4002,IF(C4002="Sell",(L4002*G4002)-I4002, X)),IF(C4002="Buy",(L4002*G4002*100)+I4002,IF(C4002="Sell",(L4002*G4002*100)-I4002, X))))</f>
        <v/>
      </c>
      <c r="N4002" s="78">
        <f>IF(ISBLANK(L4002),"",IF(AND(C4002="Sell",D4002="Stock"),M4002,IF(ISBLANK(L4002),"",IF(C4002="Buy",M4002, IF(AND(C4002="Sell",J4002="NA"),(E4002*G4002*100*0.1)+I4002, IF(C4002="Sell",(J4002-L4002)*(100*G4002)+I4002))))))</f>
        <v/>
      </c>
      <c r="O4002" s="75" t="n"/>
      <c r="P4002" s="75" t="n"/>
      <c r="Q4002" s="75">
        <f>IF(ISBLANK(P4002),"",IF(D4002="Stock",P4002*G4002,IF(P4002=0,"0",G4002*P4002*100-(G4002*$AF$14))))</f>
        <v/>
      </c>
      <c r="R4002" s="79">
        <f>IF(P4002&lt;&gt;"", TODAY(), "")</f>
        <v/>
      </c>
      <c r="S4002" s="78">
        <f>IF(AND(K4002&lt;&gt;"", R4002&lt;&gt;""), R4002-K4002, "")</f>
        <v/>
      </c>
      <c r="T4002" s="78" t="n"/>
      <c r="U4002" s="92">
        <f>IF(ISBLANK(P4002),"",IF(C4002="Buy",Q4002-M4002+T4002, IF(C4002="Sell",M4002-Q4002-T4002, X)))</f>
        <v/>
      </c>
      <c r="V4002" s="81">
        <f>IF(ISBLANK(P4002),"",U4002/N4002)</f>
        <v/>
      </c>
      <c r="W4002" s="81">
        <f>IF(ISBLANK(P4002),"",IF(S4002=0,(365/0.5)*V4002,(365/S4002)*V4002))</f>
        <v/>
      </c>
      <c r="X4002" s="75" t="n"/>
      <c r="Y4002" s="77" t="n"/>
      <c r="Z4002" s="77" t="n"/>
      <c r="AA4002" s="75" t="n"/>
      <c r="AB4002" s="75" t="n"/>
      <c r="AC4002" s="6" t="n"/>
      <c r="AD4002" s="75" t="n"/>
      <c r="AE4002" s="75" t="n"/>
      <c r="AF4002" s="75" t="n"/>
    </row>
    <row r="4003" ht="15.75" customHeight="1" s="133">
      <c r="A4003" s="75" t="n"/>
      <c r="B4003" s="75" t="n"/>
      <c r="C4003" s="75" t="n"/>
      <c r="D4003" s="75" t="n"/>
      <c r="E4003" s="76" t="n"/>
      <c r="F4003" s="77" t="n"/>
      <c r="G4003" s="75" t="n"/>
      <c r="H4003" s="75">
        <f>IF(ISBLANK(E4003),"",IF(OR(D4003="Butterfly",D4003="Butterfly ",D4003="Iron Fly", D4003="Iron Fly "),LEN(E4003)-LEN(SUBSTITUTE(E4003,"/",""))+2,LEN(E4003)-LEN(SUBSTITUTE(E4003,"/",""))+1))</f>
        <v/>
      </c>
      <c r="I4003" s="78">
        <f>IF(ISBLANK(G4003),"",IF(D4003="Stock","0",Key!$A$3*H4003*G4003))</f>
        <v/>
      </c>
      <c r="J4003" s="78">
        <f>IF(ISBLANK(E4003),"",IF(ISNUMBER(SEARCH("/",E4003)), IF(LEN(E4003)-LEN(SUBSTITUTE(E4003,"/",""))=1,(RIGHT(E4003,LEN(E4003)-FIND("/",E4003)))-(LEFT(E4003,FIND("/",E4003)-1)),(MID(E4003, SEARCH("/",E4003) + 1, SEARCH("/",E4003, SEARCH("/",E4003)+1) - SEARCH("/",E4003) - 1))-(LEFT(E4003,FIND("/",E4003)-1))), "NA"))</f>
        <v/>
      </c>
      <c r="K4003" s="79">
        <f>IF(A4003&lt;&gt;"", IF(ISBLANK(L4003), TODAY(), K4003), "")</f>
        <v/>
      </c>
      <c r="L4003" s="78" t="n"/>
      <c r="M4003" s="78">
        <f>IF(ISBLANK(L4003),"",IF(D4003="Stock",IF(C4003="Buy",L4003*G4003,IF(C4003="Sell",(L4003*G4003)-I4003, X)),IF(C4003="Buy",(L4003*G4003*100)+I4003,IF(C4003="Sell",(L4003*G4003*100)-I4003, X))))</f>
        <v/>
      </c>
      <c r="N4003" s="78">
        <f>IF(ISBLANK(L4003),"",IF(AND(C4003="Sell",D4003="Stock"),M4003,IF(ISBLANK(L4003),"",IF(C4003="Buy",M4003, IF(AND(C4003="Sell",J4003="NA"),(E4003*G4003*100*0.1)+I4003, IF(C4003="Sell",(J4003-L4003)*(100*G4003)+I4003))))))</f>
        <v/>
      </c>
      <c r="O4003" s="75" t="n"/>
      <c r="P4003" s="75" t="n"/>
      <c r="Q4003" s="75">
        <f>IF(ISBLANK(P4003),"",IF(D4003="Stock",P4003*G4003,IF(P4003=0,"0",G4003*P4003*100-(G4003*$AF$14))))</f>
        <v/>
      </c>
      <c r="R4003" s="79">
        <f>IF(P4003&lt;&gt;"", TODAY(), "")</f>
        <v/>
      </c>
      <c r="S4003" s="78">
        <f>IF(AND(K4003&lt;&gt;"", R4003&lt;&gt;""), R4003-K4003, "")</f>
        <v/>
      </c>
      <c r="T4003" s="78" t="n"/>
      <c r="U4003" s="92">
        <f>IF(ISBLANK(P4003),"",IF(C4003="Buy",Q4003-M4003+T4003, IF(C4003="Sell",M4003-Q4003-T4003, X)))</f>
        <v/>
      </c>
      <c r="V4003" s="81">
        <f>IF(ISBLANK(P4003),"",U4003/N4003)</f>
        <v/>
      </c>
      <c r="W4003" s="81">
        <f>IF(ISBLANK(P4003),"",IF(S4003=0,(365/0.5)*V4003,(365/S4003)*V4003))</f>
        <v/>
      </c>
      <c r="X4003" s="75" t="n"/>
      <c r="Y4003" s="77" t="n"/>
      <c r="Z4003" s="77" t="n"/>
      <c r="AA4003" s="75" t="n"/>
      <c r="AB4003" s="75" t="n"/>
      <c r="AC4003" s="6" t="n"/>
      <c r="AD4003" s="75" t="n"/>
      <c r="AE4003" s="75" t="n"/>
      <c r="AF4003" s="75" t="n"/>
    </row>
    <row r="4004" ht="15.75" customHeight="1" s="133">
      <c r="A4004" s="75" t="n"/>
      <c r="B4004" s="75" t="n"/>
      <c r="C4004" s="75" t="n"/>
      <c r="D4004" s="75" t="n"/>
      <c r="E4004" s="76" t="n"/>
      <c r="F4004" s="77" t="n"/>
      <c r="G4004" s="75" t="n"/>
      <c r="H4004" s="75">
        <f>IF(ISBLANK(E4004),"",IF(OR(D4004="Butterfly",D4004="Butterfly ",D4004="Iron Fly", D4004="Iron Fly "),LEN(E4004)-LEN(SUBSTITUTE(E4004,"/",""))+2,LEN(E4004)-LEN(SUBSTITUTE(E4004,"/",""))+1))</f>
        <v/>
      </c>
      <c r="I4004" s="78">
        <f>IF(ISBLANK(G4004),"",IF(D4004="Stock","0",Key!$A$3*H4004*G4004))</f>
        <v/>
      </c>
      <c r="J4004" s="78">
        <f>IF(ISBLANK(E4004),"",IF(ISNUMBER(SEARCH("/",E4004)), IF(LEN(E4004)-LEN(SUBSTITUTE(E4004,"/",""))=1,(RIGHT(E4004,LEN(E4004)-FIND("/",E4004)))-(LEFT(E4004,FIND("/",E4004)-1)),(MID(E4004, SEARCH("/",E4004) + 1, SEARCH("/",E4004, SEARCH("/",E4004)+1) - SEARCH("/",E4004) - 1))-(LEFT(E4004,FIND("/",E4004)-1))), "NA"))</f>
        <v/>
      </c>
      <c r="K4004" s="79">
        <f>IF(A4004&lt;&gt;"", IF(ISBLANK(L4004), TODAY(), K4004), "")</f>
        <v/>
      </c>
      <c r="L4004" s="78" t="n"/>
      <c r="M4004" s="78">
        <f>IF(ISBLANK(L4004),"",IF(D4004="Stock",IF(C4004="Buy",L4004*G4004,IF(C4004="Sell",(L4004*G4004)-I4004, X)),IF(C4004="Buy",(L4004*G4004*100)+I4004,IF(C4004="Sell",(L4004*G4004*100)-I4004, X))))</f>
        <v/>
      </c>
      <c r="N4004" s="78">
        <f>IF(ISBLANK(L4004),"",IF(AND(C4004="Sell",D4004="Stock"),M4004,IF(ISBLANK(L4004),"",IF(C4004="Buy",M4004, IF(AND(C4004="Sell",J4004="NA"),(E4004*G4004*100*0.1)+I4004, IF(C4004="Sell",(J4004-L4004)*(100*G4004)+I4004))))))</f>
        <v/>
      </c>
      <c r="O4004" s="75" t="n"/>
      <c r="P4004" s="75" t="n"/>
      <c r="Q4004" s="75">
        <f>IF(ISBLANK(P4004),"",IF(D4004="Stock",P4004*G4004,IF(P4004=0,"0",G4004*P4004*100-(G4004*$AF$14))))</f>
        <v/>
      </c>
      <c r="R4004" s="79">
        <f>IF(P4004&lt;&gt;"", TODAY(), "")</f>
        <v/>
      </c>
      <c r="S4004" s="78">
        <f>IF(AND(K4004&lt;&gt;"", R4004&lt;&gt;""), R4004-K4004, "")</f>
        <v/>
      </c>
      <c r="T4004" s="78" t="n"/>
      <c r="U4004" s="92">
        <f>IF(ISBLANK(P4004),"",IF(C4004="Buy",Q4004-M4004+T4004, IF(C4004="Sell",M4004-Q4004-T4004, X)))</f>
        <v/>
      </c>
      <c r="V4004" s="81">
        <f>IF(ISBLANK(P4004),"",U4004/N4004)</f>
        <v/>
      </c>
      <c r="W4004" s="81">
        <f>IF(ISBLANK(P4004),"",IF(S4004=0,(365/0.5)*V4004,(365/S4004)*V4004))</f>
        <v/>
      </c>
      <c r="X4004" s="75" t="n"/>
      <c r="Y4004" s="77" t="n"/>
      <c r="Z4004" s="77" t="n"/>
      <c r="AA4004" s="75" t="n"/>
      <c r="AB4004" s="75" t="n"/>
      <c r="AC4004" s="6" t="n"/>
      <c r="AD4004" s="75" t="n"/>
      <c r="AE4004" s="75" t="n"/>
      <c r="AF4004" s="75" t="n"/>
    </row>
    <row r="4005" ht="15.75" customHeight="1" s="133">
      <c r="A4005" s="75" t="n"/>
      <c r="B4005" s="75" t="n"/>
      <c r="C4005" s="75" t="n"/>
      <c r="D4005" s="75" t="n"/>
      <c r="E4005" s="76" t="n"/>
      <c r="F4005" s="77" t="n"/>
      <c r="G4005" s="75" t="n"/>
      <c r="H4005" s="75">
        <f>IF(ISBLANK(E4005),"",IF(OR(D4005="Butterfly",D4005="Butterfly ",D4005="Iron Fly", D4005="Iron Fly "),LEN(E4005)-LEN(SUBSTITUTE(E4005,"/",""))+2,LEN(E4005)-LEN(SUBSTITUTE(E4005,"/",""))+1))</f>
        <v/>
      </c>
      <c r="I4005" s="78">
        <f>IF(ISBLANK(G4005),"",IF(D4005="Stock","0",Key!$A$3*H4005*G4005))</f>
        <v/>
      </c>
      <c r="J4005" s="78">
        <f>IF(ISBLANK(E4005),"",IF(ISNUMBER(SEARCH("/",E4005)), IF(LEN(E4005)-LEN(SUBSTITUTE(E4005,"/",""))=1,(RIGHT(E4005,LEN(E4005)-FIND("/",E4005)))-(LEFT(E4005,FIND("/",E4005)-1)),(MID(E4005, SEARCH("/",E4005) + 1, SEARCH("/",E4005, SEARCH("/",E4005)+1) - SEARCH("/",E4005) - 1))-(LEFT(E4005,FIND("/",E4005)-1))), "NA"))</f>
        <v/>
      </c>
      <c r="K4005" s="79">
        <f>IF(A4005&lt;&gt;"", IF(ISBLANK(L4005), TODAY(), K4005), "")</f>
        <v/>
      </c>
      <c r="L4005" s="78" t="n"/>
      <c r="M4005" s="78">
        <f>IF(ISBLANK(L4005),"",IF(D4005="Stock",IF(C4005="Buy",L4005*G4005,IF(C4005="Sell",(L4005*G4005)-I4005, X)),IF(C4005="Buy",(L4005*G4005*100)+I4005,IF(C4005="Sell",(L4005*G4005*100)-I4005, X))))</f>
        <v/>
      </c>
      <c r="N4005" s="78">
        <f>IF(ISBLANK(L4005),"",IF(AND(C4005="Sell",D4005="Stock"),M4005,IF(ISBLANK(L4005),"",IF(C4005="Buy",M4005, IF(AND(C4005="Sell",J4005="NA"),(E4005*G4005*100*0.1)+I4005, IF(C4005="Sell",(J4005-L4005)*(100*G4005)+I4005))))))</f>
        <v/>
      </c>
      <c r="O4005" s="75" t="n"/>
      <c r="P4005" s="75" t="n"/>
      <c r="Q4005" s="75">
        <f>IF(ISBLANK(P4005),"",IF(D4005="Stock",P4005*G4005,IF(P4005=0,"0",G4005*P4005*100-(G4005*$AF$14))))</f>
        <v/>
      </c>
      <c r="R4005" s="79">
        <f>IF(P4005&lt;&gt;"", TODAY(), "")</f>
        <v/>
      </c>
      <c r="S4005" s="78">
        <f>IF(AND(K4005&lt;&gt;"", R4005&lt;&gt;""), R4005-K4005, "")</f>
        <v/>
      </c>
      <c r="T4005" s="78" t="n"/>
      <c r="U4005" s="92">
        <f>IF(ISBLANK(P4005),"",IF(C4005="Buy",Q4005-M4005+T4005, IF(C4005="Sell",M4005-Q4005-T4005, X)))</f>
        <v/>
      </c>
      <c r="V4005" s="81">
        <f>IF(ISBLANK(P4005),"",U4005/N4005)</f>
        <v/>
      </c>
      <c r="W4005" s="81">
        <f>IF(ISBLANK(P4005),"",IF(S4005=0,(365/0.5)*V4005,(365/S4005)*V4005))</f>
        <v/>
      </c>
      <c r="X4005" s="75" t="n"/>
      <c r="Y4005" s="77" t="n"/>
      <c r="Z4005" s="77" t="n"/>
      <c r="AA4005" s="75" t="n"/>
      <c r="AB4005" s="75" t="n"/>
      <c r="AC4005" s="6" t="n"/>
      <c r="AD4005" s="75" t="n"/>
      <c r="AE4005" s="75" t="n"/>
      <c r="AF4005" s="75" t="n"/>
    </row>
    <row r="4006" ht="15.75" customHeight="1" s="133">
      <c r="A4006" s="75" t="n"/>
      <c r="B4006" s="75" t="n"/>
      <c r="C4006" s="75" t="n"/>
      <c r="D4006" s="75" t="n"/>
      <c r="E4006" s="76" t="n"/>
      <c r="F4006" s="77" t="n"/>
      <c r="G4006" s="75" t="n"/>
      <c r="H4006" s="75">
        <f>IF(ISBLANK(E4006),"",IF(OR(D4006="Butterfly",D4006="Butterfly ",D4006="Iron Fly", D4006="Iron Fly "),LEN(E4006)-LEN(SUBSTITUTE(E4006,"/",""))+2,LEN(E4006)-LEN(SUBSTITUTE(E4006,"/",""))+1))</f>
        <v/>
      </c>
      <c r="I4006" s="78">
        <f>IF(ISBLANK(G4006),"",IF(D4006="Stock","0",Key!$A$3*H4006*G4006))</f>
        <v/>
      </c>
      <c r="J4006" s="78">
        <f>IF(ISBLANK(E4006),"",IF(ISNUMBER(SEARCH("/",E4006)), IF(LEN(E4006)-LEN(SUBSTITUTE(E4006,"/",""))=1,(RIGHT(E4006,LEN(E4006)-FIND("/",E4006)))-(LEFT(E4006,FIND("/",E4006)-1)),(MID(E4006, SEARCH("/",E4006) + 1, SEARCH("/",E4006, SEARCH("/",E4006)+1) - SEARCH("/",E4006) - 1))-(LEFT(E4006,FIND("/",E4006)-1))), "NA"))</f>
        <v/>
      </c>
      <c r="K4006" s="79">
        <f>IF(A4006&lt;&gt;"", IF(ISBLANK(L4006), TODAY(), K4006), "")</f>
        <v/>
      </c>
      <c r="L4006" s="78" t="n"/>
      <c r="M4006" s="78">
        <f>IF(ISBLANK(L4006),"",IF(D4006="Stock",IF(C4006="Buy",L4006*G4006,IF(C4006="Sell",(L4006*G4006)-I4006, X)),IF(C4006="Buy",(L4006*G4006*100)+I4006,IF(C4006="Sell",(L4006*G4006*100)-I4006, X))))</f>
        <v/>
      </c>
      <c r="N4006" s="78">
        <f>IF(ISBLANK(L4006),"",IF(AND(C4006="Sell",D4006="Stock"),M4006,IF(ISBLANK(L4006),"",IF(C4006="Buy",M4006, IF(AND(C4006="Sell",J4006="NA"),(E4006*G4006*100*0.1)+I4006, IF(C4006="Sell",(J4006-L4006)*(100*G4006)+I4006))))))</f>
        <v/>
      </c>
      <c r="O4006" s="75" t="n"/>
      <c r="P4006" s="75" t="n"/>
      <c r="Q4006" s="75">
        <f>IF(ISBLANK(P4006),"",IF(D4006="Stock",P4006*G4006,IF(P4006=0,"0",G4006*P4006*100-(G4006*$AF$14))))</f>
        <v/>
      </c>
      <c r="R4006" s="79">
        <f>IF(P4006&lt;&gt;"", TODAY(), "")</f>
        <v/>
      </c>
      <c r="S4006" s="78">
        <f>IF(AND(K4006&lt;&gt;"", R4006&lt;&gt;""), R4006-K4006, "")</f>
        <v/>
      </c>
      <c r="T4006" s="78" t="n"/>
      <c r="U4006" s="92">
        <f>IF(ISBLANK(P4006),"",IF(C4006="Buy",Q4006-M4006+T4006, IF(C4006="Sell",M4006-Q4006-T4006, X)))</f>
        <v/>
      </c>
      <c r="V4006" s="81">
        <f>IF(ISBLANK(P4006),"",U4006/N4006)</f>
        <v/>
      </c>
      <c r="W4006" s="81">
        <f>IF(ISBLANK(P4006),"",IF(S4006=0,(365/0.5)*V4006,(365/S4006)*V4006))</f>
        <v/>
      </c>
      <c r="X4006" s="75" t="n"/>
      <c r="Y4006" s="77" t="n"/>
      <c r="Z4006" s="77" t="n"/>
      <c r="AA4006" s="75" t="n"/>
      <c r="AB4006" s="75" t="n"/>
      <c r="AC4006" s="6" t="n"/>
      <c r="AD4006" s="75" t="n"/>
      <c r="AE4006" s="75" t="n"/>
      <c r="AF4006" s="75" t="n"/>
    </row>
    <row r="4007" ht="15.75" customHeight="1" s="133">
      <c r="A4007" s="75" t="n"/>
      <c r="B4007" s="75" t="n"/>
      <c r="C4007" s="75" t="n"/>
      <c r="D4007" s="75" t="n"/>
      <c r="E4007" s="76" t="n"/>
      <c r="F4007" s="77" t="n"/>
      <c r="G4007" s="75" t="n"/>
      <c r="H4007" s="75">
        <f>IF(ISBLANK(E4007),"",IF(OR(D4007="Butterfly",D4007="Butterfly ",D4007="Iron Fly", D4007="Iron Fly "),LEN(E4007)-LEN(SUBSTITUTE(E4007,"/",""))+2,LEN(E4007)-LEN(SUBSTITUTE(E4007,"/",""))+1))</f>
        <v/>
      </c>
      <c r="I4007" s="78">
        <f>IF(ISBLANK(G4007),"",IF(D4007="Stock","0",Key!$A$3*H4007*G4007))</f>
        <v/>
      </c>
      <c r="J4007" s="78">
        <f>IF(ISBLANK(E4007),"",IF(ISNUMBER(SEARCH("/",E4007)), IF(LEN(E4007)-LEN(SUBSTITUTE(E4007,"/",""))=1,(RIGHT(E4007,LEN(E4007)-FIND("/",E4007)))-(LEFT(E4007,FIND("/",E4007)-1)),(MID(E4007, SEARCH("/",E4007) + 1, SEARCH("/",E4007, SEARCH("/",E4007)+1) - SEARCH("/",E4007) - 1))-(LEFT(E4007,FIND("/",E4007)-1))), "NA"))</f>
        <v/>
      </c>
      <c r="K4007" s="79">
        <f>IF(A4007&lt;&gt;"", IF(ISBLANK(L4007), TODAY(), K4007), "")</f>
        <v/>
      </c>
      <c r="L4007" s="78" t="n"/>
      <c r="M4007" s="78">
        <f>IF(ISBLANK(L4007),"",IF(D4007="Stock",IF(C4007="Buy",L4007*G4007,IF(C4007="Sell",(L4007*G4007)-I4007, X)),IF(C4007="Buy",(L4007*G4007*100)+I4007,IF(C4007="Sell",(L4007*G4007*100)-I4007, X))))</f>
        <v/>
      </c>
      <c r="N4007" s="78">
        <f>IF(ISBLANK(L4007),"",IF(AND(C4007="Sell",D4007="Stock"),M4007,IF(ISBLANK(L4007),"",IF(C4007="Buy",M4007, IF(AND(C4007="Sell",J4007="NA"),(E4007*G4007*100*0.1)+I4007, IF(C4007="Sell",(J4007-L4007)*(100*G4007)+I4007))))))</f>
        <v/>
      </c>
      <c r="O4007" s="75" t="n"/>
      <c r="P4007" s="75" t="n"/>
      <c r="Q4007" s="75">
        <f>IF(ISBLANK(P4007),"",IF(D4007="Stock",P4007*G4007,IF(P4007=0,"0",G4007*P4007*100-(G4007*$AF$14))))</f>
        <v/>
      </c>
      <c r="R4007" s="79">
        <f>IF(P4007&lt;&gt;"", TODAY(), "")</f>
        <v/>
      </c>
      <c r="S4007" s="78">
        <f>IF(AND(K4007&lt;&gt;"", R4007&lt;&gt;""), R4007-K4007, "")</f>
        <v/>
      </c>
      <c r="T4007" s="78" t="n"/>
      <c r="U4007" s="92">
        <f>IF(ISBLANK(P4007),"",IF(C4007="Buy",Q4007-M4007+T4007, IF(C4007="Sell",M4007-Q4007-T4007, X)))</f>
        <v/>
      </c>
      <c r="V4007" s="81">
        <f>IF(ISBLANK(P4007),"",U4007/N4007)</f>
        <v/>
      </c>
      <c r="W4007" s="81">
        <f>IF(ISBLANK(P4007),"",IF(S4007=0,(365/0.5)*V4007,(365/S4007)*V4007))</f>
        <v/>
      </c>
      <c r="X4007" s="75" t="n"/>
      <c r="Y4007" s="77" t="n"/>
      <c r="Z4007" s="77" t="n"/>
      <c r="AA4007" s="75" t="n"/>
      <c r="AB4007" s="75" t="n"/>
      <c r="AC4007" s="6" t="n"/>
      <c r="AD4007" s="75" t="n"/>
      <c r="AE4007" s="75" t="n"/>
      <c r="AF4007" s="75" t="n"/>
    </row>
    <row r="4008" ht="15.75" customHeight="1" s="133">
      <c r="A4008" s="75" t="n"/>
      <c r="B4008" s="75" t="n"/>
      <c r="C4008" s="75" t="n"/>
      <c r="D4008" s="75" t="n"/>
      <c r="E4008" s="76" t="n"/>
      <c r="F4008" s="77" t="n"/>
      <c r="G4008" s="75" t="n"/>
      <c r="H4008" s="75">
        <f>IF(ISBLANK(E4008),"",IF(OR(D4008="Butterfly",D4008="Butterfly ",D4008="Iron Fly", D4008="Iron Fly "),LEN(E4008)-LEN(SUBSTITUTE(E4008,"/",""))+2,LEN(E4008)-LEN(SUBSTITUTE(E4008,"/",""))+1))</f>
        <v/>
      </c>
      <c r="I4008" s="78">
        <f>IF(ISBLANK(G4008),"",IF(D4008="Stock","0",Key!$A$3*H4008*G4008))</f>
        <v/>
      </c>
      <c r="J4008" s="78">
        <f>IF(ISBLANK(E4008),"",IF(ISNUMBER(SEARCH("/",E4008)), IF(LEN(E4008)-LEN(SUBSTITUTE(E4008,"/",""))=1,(RIGHT(E4008,LEN(E4008)-FIND("/",E4008)))-(LEFT(E4008,FIND("/",E4008)-1)),(MID(E4008, SEARCH("/",E4008) + 1, SEARCH("/",E4008, SEARCH("/",E4008)+1) - SEARCH("/",E4008) - 1))-(LEFT(E4008,FIND("/",E4008)-1))), "NA"))</f>
        <v/>
      </c>
      <c r="K4008" s="79">
        <f>IF(A4008&lt;&gt;"", IF(ISBLANK(L4008), TODAY(), K4008), "")</f>
        <v/>
      </c>
      <c r="L4008" s="78" t="n"/>
      <c r="M4008" s="78">
        <f>IF(ISBLANK(L4008),"",IF(D4008="Stock",IF(C4008="Buy",L4008*G4008,IF(C4008="Sell",(L4008*G4008)-I4008, X)),IF(C4008="Buy",(L4008*G4008*100)+I4008,IF(C4008="Sell",(L4008*G4008*100)-I4008, X))))</f>
        <v/>
      </c>
      <c r="N4008" s="78">
        <f>IF(ISBLANK(L4008),"",IF(AND(C4008="Sell",D4008="Stock"),M4008,IF(ISBLANK(L4008),"",IF(C4008="Buy",M4008, IF(AND(C4008="Sell",J4008="NA"),(E4008*G4008*100*0.1)+I4008, IF(C4008="Sell",(J4008-L4008)*(100*G4008)+I4008))))))</f>
        <v/>
      </c>
      <c r="O4008" s="75" t="n"/>
      <c r="P4008" s="75" t="n"/>
      <c r="Q4008" s="75">
        <f>IF(ISBLANK(P4008),"",IF(D4008="Stock",P4008*G4008,IF(P4008=0,"0",G4008*P4008*100-(G4008*$AF$14))))</f>
        <v/>
      </c>
      <c r="R4008" s="79">
        <f>IF(P4008&lt;&gt;"", TODAY(), "")</f>
        <v/>
      </c>
      <c r="S4008" s="78">
        <f>IF(AND(K4008&lt;&gt;"", R4008&lt;&gt;""), R4008-K4008, "")</f>
        <v/>
      </c>
      <c r="T4008" s="78" t="n"/>
      <c r="U4008" s="92">
        <f>IF(ISBLANK(P4008),"",IF(C4008="Buy",Q4008-M4008+T4008, IF(C4008="Sell",M4008-Q4008-T4008, X)))</f>
        <v/>
      </c>
      <c r="V4008" s="81">
        <f>IF(ISBLANK(P4008),"",U4008/N4008)</f>
        <v/>
      </c>
      <c r="W4008" s="81">
        <f>IF(ISBLANK(P4008),"",IF(S4008=0,(365/0.5)*V4008,(365/S4008)*V4008))</f>
        <v/>
      </c>
      <c r="X4008" s="75" t="n"/>
      <c r="Y4008" s="77" t="n"/>
      <c r="Z4008" s="77" t="n"/>
      <c r="AA4008" s="75" t="n"/>
      <c r="AB4008" s="75" t="n"/>
      <c r="AC4008" s="6" t="n"/>
      <c r="AD4008" s="75" t="n"/>
      <c r="AE4008" s="75" t="n"/>
      <c r="AF4008" s="75" t="n"/>
    </row>
    <row r="4009" ht="15.75" customHeight="1" s="133">
      <c r="A4009" s="75" t="n"/>
      <c r="B4009" s="75" t="n"/>
      <c r="C4009" s="75" t="n"/>
      <c r="D4009" s="75" t="n"/>
      <c r="E4009" s="76" t="n"/>
      <c r="F4009" s="77" t="n"/>
      <c r="G4009" s="75" t="n"/>
      <c r="H4009" s="75">
        <f>IF(ISBLANK(E4009),"",IF(OR(D4009="Butterfly",D4009="Butterfly ",D4009="Iron Fly", D4009="Iron Fly "),LEN(E4009)-LEN(SUBSTITUTE(E4009,"/",""))+2,LEN(E4009)-LEN(SUBSTITUTE(E4009,"/",""))+1))</f>
        <v/>
      </c>
      <c r="I4009" s="78">
        <f>IF(ISBLANK(G4009),"",IF(D4009="Stock","0",Key!$A$3*H4009*G4009))</f>
        <v/>
      </c>
      <c r="J4009" s="78">
        <f>IF(ISBLANK(E4009),"",IF(ISNUMBER(SEARCH("/",E4009)), IF(LEN(E4009)-LEN(SUBSTITUTE(E4009,"/",""))=1,(RIGHT(E4009,LEN(E4009)-FIND("/",E4009)))-(LEFT(E4009,FIND("/",E4009)-1)),(MID(E4009, SEARCH("/",E4009) + 1, SEARCH("/",E4009, SEARCH("/",E4009)+1) - SEARCH("/",E4009) - 1))-(LEFT(E4009,FIND("/",E4009)-1))), "NA"))</f>
        <v/>
      </c>
      <c r="K4009" s="79">
        <f>IF(A4009&lt;&gt;"", IF(ISBLANK(L4009), TODAY(), K4009), "")</f>
        <v/>
      </c>
      <c r="L4009" s="78" t="n"/>
      <c r="M4009" s="78">
        <f>IF(ISBLANK(L4009),"",IF(D4009="Stock",IF(C4009="Buy",L4009*G4009,IF(C4009="Sell",(L4009*G4009)-I4009, X)),IF(C4009="Buy",(L4009*G4009*100)+I4009,IF(C4009="Sell",(L4009*G4009*100)-I4009, X))))</f>
        <v/>
      </c>
      <c r="N4009" s="78">
        <f>IF(ISBLANK(L4009),"",IF(AND(C4009="Sell",D4009="Stock"),M4009,IF(ISBLANK(L4009),"",IF(C4009="Buy",M4009, IF(AND(C4009="Sell",J4009="NA"),(E4009*G4009*100*0.1)+I4009, IF(C4009="Sell",(J4009-L4009)*(100*G4009)+I4009))))))</f>
        <v/>
      </c>
      <c r="O4009" s="75" t="n"/>
      <c r="P4009" s="75" t="n"/>
      <c r="Q4009" s="75">
        <f>IF(ISBLANK(P4009),"",IF(D4009="Stock",P4009*G4009,IF(P4009=0,"0",G4009*P4009*100-(G4009*$AF$14))))</f>
        <v/>
      </c>
      <c r="R4009" s="79">
        <f>IF(P4009&lt;&gt;"", TODAY(), "")</f>
        <v/>
      </c>
      <c r="S4009" s="78">
        <f>IF(AND(K4009&lt;&gt;"", R4009&lt;&gt;""), R4009-K4009, "")</f>
        <v/>
      </c>
      <c r="T4009" s="78" t="n"/>
      <c r="U4009" s="92">
        <f>IF(ISBLANK(P4009),"",IF(C4009="Buy",Q4009-M4009+T4009, IF(C4009="Sell",M4009-Q4009-T4009, X)))</f>
        <v/>
      </c>
      <c r="V4009" s="81">
        <f>IF(ISBLANK(P4009),"",U4009/N4009)</f>
        <v/>
      </c>
      <c r="W4009" s="81">
        <f>IF(ISBLANK(P4009),"",IF(S4009=0,(365/0.5)*V4009,(365/S4009)*V4009))</f>
        <v/>
      </c>
      <c r="X4009" s="75" t="n"/>
      <c r="Y4009" s="77" t="n"/>
      <c r="Z4009" s="77" t="n"/>
      <c r="AA4009" s="75" t="n"/>
      <c r="AB4009" s="75" t="n"/>
      <c r="AC4009" s="6" t="n"/>
      <c r="AD4009" s="75" t="n"/>
      <c r="AE4009" s="75" t="n"/>
      <c r="AF4009" s="75" t="n"/>
    </row>
    <row r="4010" ht="15.75" customHeight="1" s="133">
      <c r="A4010" s="75" t="n"/>
      <c r="B4010" s="75" t="n"/>
      <c r="C4010" s="75" t="n"/>
      <c r="D4010" s="75" t="n"/>
      <c r="E4010" s="76" t="n"/>
      <c r="F4010" s="77" t="n"/>
      <c r="G4010" s="75" t="n"/>
      <c r="H4010" s="75">
        <f>IF(ISBLANK(E4010),"",IF(OR(D4010="Butterfly",D4010="Butterfly ",D4010="Iron Fly", D4010="Iron Fly "),LEN(E4010)-LEN(SUBSTITUTE(E4010,"/",""))+2,LEN(E4010)-LEN(SUBSTITUTE(E4010,"/",""))+1))</f>
        <v/>
      </c>
      <c r="I4010" s="78">
        <f>IF(ISBLANK(G4010),"",IF(D4010="Stock","0",Key!$A$3*H4010*G4010))</f>
        <v/>
      </c>
      <c r="J4010" s="78">
        <f>IF(ISBLANK(E4010),"",IF(ISNUMBER(SEARCH("/",E4010)), IF(LEN(E4010)-LEN(SUBSTITUTE(E4010,"/",""))=1,(RIGHT(E4010,LEN(E4010)-FIND("/",E4010)))-(LEFT(E4010,FIND("/",E4010)-1)),(MID(E4010, SEARCH("/",E4010) + 1, SEARCH("/",E4010, SEARCH("/",E4010)+1) - SEARCH("/",E4010) - 1))-(LEFT(E4010,FIND("/",E4010)-1))), "NA"))</f>
        <v/>
      </c>
      <c r="K4010" s="79">
        <f>IF(A4010&lt;&gt;"", IF(ISBLANK(L4010), TODAY(), K4010), "")</f>
        <v/>
      </c>
      <c r="L4010" s="78" t="n"/>
      <c r="M4010" s="78">
        <f>IF(ISBLANK(L4010),"",IF(D4010="Stock",IF(C4010="Buy",L4010*G4010,IF(C4010="Sell",(L4010*G4010)-I4010, X)),IF(C4010="Buy",(L4010*G4010*100)+I4010,IF(C4010="Sell",(L4010*G4010*100)-I4010, X))))</f>
        <v/>
      </c>
      <c r="N4010" s="78">
        <f>IF(ISBLANK(L4010),"",IF(AND(C4010="Sell",D4010="Stock"),M4010,IF(ISBLANK(L4010),"",IF(C4010="Buy",M4010, IF(AND(C4010="Sell",J4010="NA"),(E4010*G4010*100*0.1)+I4010, IF(C4010="Sell",(J4010-L4010)*(100*G4010)+I4010))))))</f>
        <v/>
      </c>
      <c r="O4010" s="75" t="n"/>
      <c r="P4010" s="75" t="n"/>
      <c r="Q4010" s="75">
        <f>IF(ISBLANK(P4010),"",IF(D4010="Stock",P4010*G4010,IF(P4010=0,"0",G4010*P4010*100-(G4010*$AF$14))))</f>
        <v/>
      </c>
      <c r="R4010" s="79">
        <f>IF(P4010&lt;&gt;"", TODAY(), "")</f>
        <v/>
      </c>
      <c r="S4010" s="78">
        <f>IF(AND(K4010&lt;&gt;"", R4010&lt;&gt;""), R4010-K4010, "")</f>
        <v/>
      </c>
      <c r="T4010" s="78" t="n"/>
      <c r="U4010" s="92">
        <f>IF(ISBLANK(P4010),"",IF(C4010="Buy",Q4010-M4010+T4010, IF(C4010="Sell",M4010-Q4010-T4010, X)))</f>
        <v/>
      </c>
      <c r="V4010" s="81">
        <f>IF(ISBLANK(P4010),"",U4010/N4010)</f>
        <v/>
      </c>
      <c r="W4010" s="81">
        <f>IF(ISBLANK(P4010),"",IF(S4010=0,(365/0.5)*V4010,(365/S4010)*V4010))</f>
        <v/>
      </c>
      <c r="X4010" s="75" t="n"/>
      <c r="Y4010" s="77" t="n"/>
      <c r="Z4010" s="77" t="n"/>
      <c r="AA4010" s="75" t="n"/>
      <c r="AB4010" s="75" t="n"/>
      <c r="AC4010" s="6" t="n"/>
      <c r="AD4010" s="75" t="n"/>
      <c r="AE4010" s="75" t="n"/>
      <c r="AF4010" s="75" t="n"/>
    </row>
    <row r="4011" ht="15.75" customHeight="1" s="133">
      <c r="A4011" s="75" t="n"/>
      <c r="B4011" s="75" t="n"/>
      <c r="C4011" s="75" t="n"/>
      <c r="D4011" s="75" t="n"/>
      <c r="E4011" s="76" t="n"/>
      <c r="F4011" s="77" t="n"/>
      <c r="G4011" s="75" t="n"/>
      <c r="H4011" s="75">
        <f>IF(ISBLANK(E4011),"",IF(OR(D4011="Butterfly",D4011="Butterfly ",D4011="Iron Fly", D4011="Iron Fly "),LEN(E4011)-LEN(SUBSTITUTE(E4011,"/",""))+2,LEN(E4011)-LEN(SUBSTITUTE(E4011,"/",""))+1))</f>
        <v/>
      </c>
      <c r="I4011" s="78">
        <f>IF(ISBLANK(G4011),"",IF(D4011="Stock","0",Key!$A$3*H4011*G4011))</f>
        <v/>
      </c>
      <c r="J4011" s="78">
        <f>IF(ISBLANK(E4011),"",IF(ISNUMBER(SEARCH("/",E4011)), IF(LEN(E4011)-LEN(SUBSTITUTE(E4011,"/",""))=1,(RIGHT(E4011,LEN(E4011)-FIND("/",E4011)))-(LEFT(E4011,FIND("/",E4011)-1)),(MID(E4011, SEARCH("/",E4011) + 1, SEARCH("/",E4011, SEARCH("/",E4011)+1) - SEARCH("/",E4011) - 1))-(LEFT(E4011,FIND("/",E4011)-1))), "NA"))</f>
        <v/>
      </c>
      <c r="K4011" s="79">
        <f>IF(A4011&lt;&gt;"", IF(ISBLANK(L4011), TODAY(), K4011), "")</f>
        <v/>
      </c>
      <c r="L4011" s="78" t="n"/>
      <c r="M4011" s="78">
        <f>IF(ISBLANK(L4011),"",IF(D4011="Stock",IF(C4011="Buy",L4011*G4011,IF(C4011="Sell",(L4011*G4011)-I4011, X)),IF(C4011="Buy",(L4011*G4011*100)+I4011,IF(C4011="Sell",(L4011*G4011*100)-I4011, X))))</f>
        <v/>
      </c>
      <c r="N4011" s="78">
        <f>IF(ISBLANK(L4011),"",IF(AND(C4011="Sell",D4011="Stock"),M4011,IF(ISBLANK(L4011),"",IF(C4011="Buy",M4011, IF(AND(C4011="Sell",J4011="NA"),(E4011*G4011*100*0.1)+I4011, IF(C4011="Sell",(J4011-L4011)*(100*G4011)+I4011))))))</f>
        <v/>
      </c>
      <c r="O4011" s="75" t="n"/>
      <c r="P4011" s="75" t="n"/>
      <c r="Q4011" s="75">
        <f>IF(ISBLANK(P4011),"",IF(D4011="Stock",P4011*G4011,IF(P4011=0,"0",G4011*P4011*100-(G4011*$AF$14))))</f>
        <v/>
      </c>
      <c r="R4011" s="79">
        <f>IF(P4011&lt;&gt;"", TODAY(), "")</f>
        <v/>
      </c>
      <c r="S4011" s="78">
        <f>IF(AND(K4011&lt;&gt;"", R4011&lt;&gt;""), R4011-K4011, "")</f>
        <v/>
      </c>
      <c r="T4011" s="78" t="n"/>
      <c r="U4011" s="92">
        <f>IF(ISBLANK(P4011),"",IF(C4011="Buy",Q4011-M4011+T4011, IF(C4011="Sell",M4011-Q4011-T4011, X)))</f>
        <v/>
      </c>
      <c r="V4011" s="81">
        <f>IF(ISBLANK(P4011),"",U4011/N4011)</f>
        <v/>
      </c>
      <c r="W4011" s="81">
        <f>IF(ISBLANK(P4011),"",IF(S4011=0,(365/0.5)*V4011,(365/S4011)*V4011))</f>
        <v/>
      </c>
      <c r="X4011" s="75" t="n"/>
      <c r="Y4011" s="77" t="n"/>
      <c r="Z4011" s="77" t="n"/>
      <c r="AA4011" s="75" t="n"/>
      <c r="AB4011" s="75" t="n"/>
      <c r="AC4011" s="6" t="n"/>
      <c r="AD4011" s="75" t="n"/>
      <c r="AE4011" s="75" t="n"/>
      <c r="AF4011" s="75" t="n"/>
    </row>
    <row r="4012" ht="15.75" customHeight="1" s="133">
      <c r="A4012" s="75" t="n"/>
      <c r="B4012" s="75" t="n"/>
      <c r="C4012" s="75" t="n"/>
      <c r="D4012" s="75" t="n"/>
      <c r="E4012" s="76" t="n"/>
      <c r="F4012" s="77" t="n"/>
      <c r="G4012" s="75" t="n"/>
      <c r="H4012" s="75">
        <f>IF(ISBLANK(E4012),"",IF(OR(D4012="Butterfly",D4012="Butterfly ",D4012="Iron Fly", D4012="Iron Fly "),LEN(E4012)-LEN(SUBSTITUTE(E4012,"/",""))+2,LEN(E4012)-LEN(SUBSTITUTE(E4012,"/",""))+1))</f>
        <v/>
      </c>
      <c r="I4012" s="78">
        <f>IF(ISBLANK(G4012),"",IF(D4012="Stock","0",Key!$A$3*H4012*G4012))</f>
        <v/>
      </c>
      <c r="J4012" s="78">
        <f>IF(ISBLANK(E4012),"",IF(ISNUMBER(SEARCH("/",E4012)), IF(LEN(E4012)-LEN(SUBSTITUTE(E4012,"/",""))=1,(RIGHT(E4012,LEN(E4012)-FIND("/",E4012)))-(LEFT(E4012,FIND("/",E4012)-1)),(MID(E4012, SEARCH("/",E4012) + 1, SEARCH("/",E4012, SEARCH("/",E4012)+1) - SEARCH("/",E4012) - 1))-(LEFT(E4012,FIND("/",E4012)-1))), "NA"))</f>
        <v/>
      </c>
      <c r="K4012" s="79">
        <f>IF(A4012&lt;&gt;"", IF(ISBLANK(L4012), TODAY(), K4012), "")</f>
        <v/>
      </c>
      <c r="L4012" s="78" t="n"/>
      <c r="M4012" s="78">
        <f>IF(ISBLANK(L4012),"",IF(D4012="Stock",IF(C4012="Buy",L4012*G4012,IF(C4012="Sell",(L4012*G4012)-I4012, X)),IF(C4012="Buy",(L4012*G4012*100)+I4012,IF(C4012="Sell",(L4012*G4012*100)-I4012, X))))</f>
        <v/>
      </c>
      <c r="N4012" s="78">
        <f>IF(ISBLANK(L4012),"",IF(AND(C4012="Sell",D4012="Stock"),M4012,IF(ISBLANK(L4012),"",IF(C4012="Buy",M4012, IF(AND(C4012="Sell",J4012="NA"),(E4012*G4012*100*0.1)+I4012, IF(C4012="Sell",(J4012-L4012)*(100*G4012)+I4012))))))</f>
        <v/>
      </c>
      <c r="O4012" s="75" t="n"/>
      <c r="P4012" s="75" t="n"/>
      <c r="Q4012" s="75">
        <f>IF(ISBLANK(P4012),"",IF(D4012="Stock",P4012*G4012,IF(P4012=0,"0",G4012*P4012*100-(G4012*$AF$14))))</f>
        <v/>
      </c>
      <c r="R4012" s="79">
        <f>IF(P4012&lt;&gt;"", TODAY(), "")</f>
        <v/>
      </c>
      <c r="S4012" s="78">
        <f>IF(AND(K4012&lt;&gt;"", R4012&lt;&gt;""), R4012-K4012, "")</f>
        <v/>
      </c>
      <c r="T4012" s="78" t="n"/>
      <c r="U4012" s="92">
        <f>IF(ISBLANK(P4012),"",IF(C4012="Buy",Q4012-M4012+T4012, IF(C4012="Sell",M4012-Q4012-T4012, X)))</f>
        <v/>
      </c>
      <c r="V4012" s="81">
        <f>IF(ISBLANK(P4012),"",U4012/N4012)</f>
        <v/>
      </c>
      <c r="W4012" s="81">
        <f>IF(ISBLANK(P4012),"",IF(S4012=0,(365/0.5)*V4012,(365/S4012)*V4012))</f>
        <v/>
      </c>
      <c r="X4012" s="75" t="n"/>
      <c r="Y4012" s="77" t="n"/>
      <c r="Z4012" s="77" t="n"/>
      <c r="AA4012" s="75" t="n"/>
      <c r="AB4012" s="75" t="n"/>
      <c r="AC4012" s="6" t="n"/>
      <c r="AD4012" s="75" t="n"/>
      <c r="AE4012" s="75" t="n"/>
      <c r="AF4012" s="75" t="n"/>
    </row>
    <row r="4013" ht="15.75" customHeight="1" s="133">
      <c r="A4013" s="75" t="n"/>
      <c r="B4013" s="75" t="n"/>
      <c r="C4013" s="75" t="n"/>
      <c r="D4013" s="75" t="n"/>
      <c r="E4013" s="76" t="n"/>
      <c r="F4013" s="77" t="n"/>
      <c r="G4013" s="75" t="n"/>
      <c r="H4013" s="75">
        <f>IF(ISBLANK(E4013),"",IF(OR(D4013="Butterfly",D4013="Butterfly ",D4013="Iron Fly", D4013="Iron Fly "),LEN(E4013)-LEN(SUBSTITUTE(E4013,"/",""))+2,LEN(E4013)-LEN(SUBSTITUTE(E4013,"/",""))+1))</f>
        <v/>
      </c>
      <c r="I4013" s="78">
        <f>IF(ISBLANK(G4013),"",IF(D4013="Stock","0",Key!$A$3*H4013*G4013))</f>
        <v/>
      </c>
      <c r="J4013" s="78">
        <f>IF(ISBLANK(E4013),"",IF(ISNUMBER(SEARCH("/",E4013)), IF(LEN(E4013)-LEN(SUBSTITUTE(E4013,"/",""))=1,(RIGHT(E4013,LEN(E4013)-FIND("/",E4013)))-(LEFT(E4013,FIND("/",E4013)-1)),(MID(E4013, SEARCH("/",E4013) + 1, SEARCH("/",E4013, SEARCH("/",E4013)+1) - SEARCH("/",E4013) - 1))-(LEFT(E4013,FIND("/",E4013)-1))), "NA"))</f>
        <v/>
      </c>
      <c r="K4013" s="79">
        <f>IF(A4013&lt;&gt;"", IF(ISBLANK(L4013), TODAY(), K4013), "")</f>
        <v/>
      </c>
      <c r="L4013" s="78" t="n"/>
      <c r="M4013" s="78">
        <f>IF(ISBLANK(L4013),"",IF(D4013="Stock",IF(C4013="Buy",L4013*G4013,IF(C4013="Sell",(L4013*G4013)-I4013, X)),IF(C4013="Buy",(L4013*G4013*100)+I4013,IF(C4013="Sell",(L4013*G4013*100)-I4013, X))))</f>
        <v/>
      </c>
      <c r="N4013" s="78">
        <f>IF(ISBLANK(L4013),"",IF(AND(C4013="Sell",D4013="Stock"),M4013,IF(ISBLANK(L4013),"",IF(C4013="Buy",M4013, IF(AND(C4013="Sell",J4013="NA"),(E4013*G4013*100*0.1)+I4013, IF(C4013="Sell",(J4013-L4013)*(100*G4013)+I4013))))))</f>
        <v/>
      </c>
      <c r="O4013" s="75" t="n"/>
      <c r="P4013" s="75" t="n"/>
      <c r="Q4013" s="75">
        <f>IF(ISBLANK(P4013),"",IF(D4013="Stock",P4013*G4013,IF(P4013=0,"0",G4013*P4013*100-(G4013*$AF$14))))</f>
        <v/>
      </c>
      <c r="R4013" s="79">
        <f>IF(P4013&lt;&gt;"", TODAY(), "")</f>
        <v/>
      </c>
      <c r="S4013" s="78">
        <f>IF(AND(K4013&lt;&gt;"", R4013&lt;&gt;""), R4013-K4013, "")</f>
        <v/>
      </c>
      <c r="T4013" s="78" t="n"/>
      <c r="U4013" s="92">
        <f>IF(ISBLANK(P4013),"",IF(C4013="Buy",Q4013-M4013+T4013, IF(C4013="Sell",M4013-Q4013-T4013, X)))</f>
        <v/>
      </c>
      <c r="V4013" s="81">
        <f>IF(ISBLANK(P4013),"",U4013/N4013)</f>
        <v/>
      </c>
      <c r="W4013" s="81">
        <f>IF(ISBLANK(P4013),"",IF(S4013=0,(365/0.5)*V4013,(365/S4013)*V4013))</f>
        <v/>
      </c>
      <c r="X4013" s="75" t="n"/>
      <c r="Y4013" s="77" t="n"/>
      <c r="Z4013" s="77" t="n"/>
      <c r="AA4013" s="75" t="n"/>
      <c r="AB4013" s="75" t="n"/>
      <c r="AC4013" s="6" t="n"/>
      <c r="AD4013" s="75" t="n"/>
      <c r="AE4013" s="75" t="n"/>
      <c r="AF4013" s="75" t="n"/>
    </row>
    <row r="4014" ht="15.75" customHeight="1" s="133">
      <c r="A4014" s="75" t="n"/>
      <c r="B4014" s="75" t="n"/>
      <c r="C4014" s="75" t="n"/>
      <c r="D4014" s="75" t="n"/>
      <c r="E4014" s="76" t="n"/>
      <c r="F4014" s="77" t="n"/>
      <c r="G4014" s="75" t="n"/>
      <c r="H4014" s="75">
        <f>IF(ISBLANK(E4014),"",IF(OR(D4014="Butterfly",D4014="Butterfly ",D4014="Iron Fly", D4014="Iron Fly "),LEN(E4014)-LEN(SUBSTITUTE(E4014,"/",""))+2,LEN(E4014)-LEN(SUBSTITUTE(E4014,"/",""))+1))</f>
        <v/>
      </c>
      <c r="I4014" s="78">
        <f>IF(ISBLANK(G4014),"",IF(D4014="Stock","0",Key!$A$3*H4014*G4014))</f>
        <v/>
      </c>
      <c r="J4014" s="78">
        <f>IF(ISBLANK(E4014),"",IF(ISNUMBER(SEARCH("/",E4014)), IF(LEN(E4014)-LEN(SUBSTITUTE(E4014,"/",""))=1,(RIGHT(E4014,LEN(E4014)-FIND("/",E4014)))-(LEFT(E4014,FIND("/",E4014)-1)),(MID(E4014, SEARCH("/",E4014) + 1, SEARCH("/",E4014, SEARCH("/",E4014)+1) - SEARCH("/",E4014) - 1))-(LEFT(E4014,FIND("/",E4014)-1))), "NA"))</f>
        <v/>
      </c>
      <c r="K4014" s="79">
        <f>IF(A4014&lt;&gt;"", IF(ISBLANK(L4014), TODAY(), K4014), "")</f>
        <v/>
      </c>
      <c r="L4014" s="78" t="n"/>
      <c r="M4014" s="78">
        <f>IF(ISBLANK(L4014),"",IF(D4014="Stock",IF(C4014="Buy",L4014*G4014,IF(C4014="Sell",(L4014*G4014)-I4014, X)),IF(C4014="Buy",(L4014*G4014*100)+I4014,IF(C4014="Sell",(L4014*G4014*100)-I4014, X))))</f>
        <v/>
      </c>
      <c r="N4014" s="78">
        <f>IF(ISBLANK(L4014),"",IF(AND(C4014="Sell",D4014="Stock"),M4014,IF(ISBLANK(L4014),"",IF(C4014="Buy",M4014, IF(AND(C4014="Sell",J4014="NA"),(E4014*G4014*100*0.1)+I4014, IF(C4014="Sell",(J4014-L4014)*(100*G4014)+I4014))))))</f>
        <v/>
      </c>
      <c r="O4014" s="75" t="n"/>
      <c r="P4014" s="75" t="n"/>
      <c r="Q4014" s="75">
        <f>IF(ISBLANK(P4014),"",IF(D4014="Stock",P4014*G4014,IF(P4014=0,"0",G4014*P4014*100-(G4014*$AF$14))))</f>
        <v/>
      </c>
      <c r="R4014" s="79">
        <f>IF(P4014&lt;&gt;"", TODAY(), "")</f>
        <v/>
      </c>
      <c r="S4014" s="78">
        <f>IF(AND(K4014&lt;&gt;"", R4014&lt;&gt;""), R4014-K4014, "")</f>
        <v/>
      </c>
      <c r="T4014" s="78" t="n"/>
      <c r="U4014" s="92">
        <f>IF(ISBLANK(P4014),"",IF(C4014="Buy",Q4014-M4014+T4014, IF(C4014="Sell",M4014-Q4014-T4014, X)))</f>
        <v/>
      </c>
      <c r="V4014" s="81">
        <f>IF(ISBLANK(P4014),"",U4014/N4014)</f>
        <v/>
      </c>
      <c r="W4014" s="81">
        <f>IF(ISBLANK(P4014),"",IF(S4014=0,(365/0.5)*V4014,(365/S4014)*V4014))</f>
        <v/>
      </c>
      <c r="X4014" s="75" t="n"/>
      <c r="Y4014" s="77" t="n"/>
      <c r="Z4014" s="77" t="n"/>
      <c r="AA4014" s="75" t="n"/>
      <c r="AB4014" s="75" t="n"/>
      <c r="AC4014" s="6" t="n"/>
      <c r="AD4014" s="75" t="n"/>
      <c r="AE4014" s="75" t="n"/>
      <c r="AF4014" s="75" t="n"/>
    </row>
    <row r="4015" ht="15.75" customHeight="1" s="133">
      <c r="A4015" s="75" t="n"/>
      <c r="B4015" s="75" t="n"/>
      <c r="C4015" s="75" t="n"/>
      <c r="D4015" s="75" t="n"/>
      <c r="E4015" s="76" t="n"/>
      <c r="F4015" s="77" t="n"/>
      <c r="G4015" s="75" t="n"/>
      <c r="H4015" s="75">
        <f>IF(ISBLANK(E4015),"",IF(OR(D4015="Butterfly",D4015="Butterfly ",D4015="Iron Fly", D4015="Iron Fly "),LEN(E4015)-LEN(SUBSTITUTE(E4015,"/",""))+2,LEN(E4015)-LEN(SUBSTITUTE(E4015,"/",""))+1))</f>
        <v/>
      </c>
      <c r="I4015" s="78">
        <f>IF(ISBLANK(G4015),"",IF(D4015="Stock","0",Key!$A$3*H4015*G4015))</f>
        <v/>
      </c>
      <c r="J4015" s="78">
        <f>IF(ISBLANK(E4015),"",IF(ISNUMBER(SEARCH("/",E4015)), IF(LEN(E4015)-LEN(SUBSTITUTE(E4015,"/",""))=1,(RIGHT(E4015,LEN(E4015)-FIND("/",E4015)))-(LEFT(E4015,FIND("/",E4015)-1)),(MID(E4015, SEARCH("/",E4015) + 1, SEARCH("/",E4015, SEARCH("/",E4015)+1) - SEARCH("/",E4015) - 1))-(LEFT(E4015,FIND("/",E4015)-1))), "NA"))</f>
        <v/>
      </c>
      <c r="K4015" s="79">
        <f>IF(A4015&lt;&gt;"", IF(ISBLANK(L4015), TODAY(), K4015), "")</f>
        <v/>
      </c>
      <c r="L4015" s="78" t="n"/>
      <c r="M4015" s="78">
        <f>IF(ISBLANK(L4015),"",IF(D4015="Stock",IF(C4015="Buy",L4015*G4015,IF(C4015="Sell",(L4015*G4015)-I4015, X)),IF(C4015="Buy",(L4015*G4015*100)+I4015,IF(C4015="Sell",(L4015*G4015*100)-I4015, X))))</f>
        <v/>
      </c>
      <c r="N4015" s="78">
        <f>IF(ISBLANK(L4015),"",IF(AND(C4015="Sell",D4015="Stock"),M4015,IF(ISBLANK(L4015),"",IF(C4015="Buy",M4015, IF(AND(C4015="Sell",J4015="NA"),(E4015*G4015*100*0.1)+I4015, IF(C4015="Sell",(J4015-L4015)*(100*G4015)+I4015))))))</f>
        <v/>
      </c>
      <c r="O4015" s="75" t="n"/>
      <c r="P4015" s="75" t="n"/>
      <c r="Q4015" s="75">
        <f>IF(ISBLANK(P4015),"",IF(D4015="Stock",P4015*G4015,IF(P4015=0,"0",G4015*P4015*100-(G4015*$AF$14))))</f>
        <v/>
      </c>
      <c r="R4015" s="79">
        <f>IF(P4015&lt;&gt;"", TODAY(), "")</f>
        <v/>
      </c>
      <c r="S4015" s="78">
        <f>IF(AND(K4015&lt;&gt;"", R4015&lt;&gt;""), R4015-K4015, "")</f>
        <v/>
      </c>
      <c r="T4015" s="78" t="n"/>
      <c r="U4015" s="92">
        <f>IF(ISBLANK(P4015),"",IF(C4015="Buy",Q4015-M4015+T4015, IF(C4015="Sell",M4015-Q4015-T4015, X)))</f>
        <v/>
      </c>
      <c r="V4015" s="81">
        <f>IF(ISBLANK(P4015),"",U4015/N4015)</f>
        <v/>
      </c>
      <c r="W4015" s="81">
        <f>IF(ISBLANK(P4015),"",IF(S4015=0,(365/0.5)*V4015,(365/S4015)*V4015))</f>
        <v/>
      </c>
      <c r="X4015" s="75" t="n"/>
      <c r="Y4015" s="77" t="n"/>
      <c r="Z4015" s="77" t="n"/>
      <c r="AA4015" s="75" t="n"/>
      <c r="AB4015" s="75" t="n"/>
      <c r="AC4015" s="6" t="n"/>
      <c r="AD4015" s="75" t="n"/>
      <c r="AE4015" s="75" t="n"/>
      <c r="AF4015" s="75" t="n"/>
    </row>
    <row r="4016" ht="15.75" customHeight="1" s="133">
      <c r="A4016" s="75" t="n"/>
      <c r="B4016" s="75" t="n"/>
      <c r="C4016" s="75" t="n"/>
      <c r="D4016" s="75" t="n"/>
      <c r="E4016" s="76" t="n"/>
      <c r="F4016" s="77" t="n"/>
      <c r="G4016" s="75" t="n"/>
      <c r="H4016" s="75">
        <f>IF(ISBLANK(E4016),"",IF(OR(D4016="Butterfly",D4016="Butterfly ",D4016="Iron Fly", D4016="Iron Fly "),LEN(E4016)-LEN(SUBSTITUTE(E4016,"/",""))+2,LEN(E4016)-LEN(SUBSTITUTE(E4016,"/",""))+1))</f>
        <v/>
      </c>
      <c r="I4016" s="78">
        <f>IF(ISBLANK(G4016),"",IF(D4016="Stock","0",Key!$A$3*H4016*G4016))</f>
        <v/>
      </c>
      <c r="J4016" s="78">
        <f>IF(ISBLANK(E4016),"",IF(ISNUMBER(SEARCH("/",E4016)), IF(LEN(E4016)-LEN(SUBSTITUTE(E4016,"/",""))=1,(RIGHT(E4016,LEN(E4016)-FIND("/",E4016)))-(LEFT(E4016,FIND("/",E4016)-1)),(MID(E4016, SEARCH("/",E4016) + 1, SEARCH("/",E4016, SEARCH("/",E4016)+1) - SEARCH("/",E4016) - 1))-(LEFT(E4016,FIND("/",E4016)-1))), "NA"))</f>
        <v/>
      </c>
      <c r="K4016" s="79">
        <f>IF(A4016&lt;&gt;"", IF(ISBLANK(L4016), TODAY(), K4016), "")</f>
        <v/>
      </c>
      <c r="L4016" s="78" t="n"/>
      <c r="M4016" s="78">
        <f>IF(ISBLANK(L4016),"",IF(D4016="Stock",IF(C4016="Buy",L4016*G4016,IF(C4016="Sell",(L4016*G4016)-I4016, X)),IF(C4016="Buy",(L4016*G4016*100)+I4016,IF(C4016="Sell",(L4016*G4016*100)-I4016, X))))</f>
        <v/>
      </c>
      <c r="N4016" s="78">
        <f>IF(ISBLANK(L4016),"",IF(AND(C4016="Sell",D4016="Stock"),M4016,IF(ISBLANK(L4016),"",IF(C4016="Buy",M4016, IF(AND(C4016="Sell",J4016="NA"),(E4016*G4016*100*0.1)+I4016, IF(C4016="Sell",(J4016-L4016)*(100*G4016)+I4016))))))</f>
        <v/>
      </c>
      <c r="O4016" s="75" t="n"/>
      <c r="P4016" s="75" t="n"/>
      <c r="Q4016" s="75">
        <f>IF(ISBLANK(P4016),"",IF(D4016="Stock",P4016*G4016,IF(P4016=0,"0",G4016*P4016*100-(G4016*$AF$14))))</f>
        <v/>
      </c>
      <c r="R4016" s="79">
        <f>IF(P4016&lt;&gt;"", TODAY(), "")</f>
        <v/>
      </c>
      <c r="S4016" s="78">
        <f>IF(AND(K4016&lt;&gt;"", R4016&lt;&gt;""), R4016-K4016, "")</f>
        <v/>
      </c>
      <c r="T4016" s="78" t="n"/>
      <c r="U4016" s="92">
        <f>IF(ISBLANK(P4016),"",IF(C4016="Buy",Q4016-M4016+T4016, IF(C4016="Sell",M4016-Q4016-T4016, X)))</f>
        <v/>
      </c>
      <c r="V4016" s="81">
        <f>IF(ISBLANK(P4016),"",U4016/N4016)</f>
        <v/>
      </c>
      <c r="W4016" s="81">
        <f>IF(ISBLANK(P4016),"",IF(S4016=0,(365/0.5)*V4016,(365/S4016)*V4016))</f>
        <v/>
      </c>
      <c r="X4016" s="75" t="n"/>
      <c r="Y4016" s="77" t="n"/>
      <c r="Z4016" s="77" t="n"/>
      <c r="AA4016" s="75" t="n"/>
      <c r="AB4016" s="75" t="n"/>
      <c r="AC4016" s="6" t="n"/>
      <c r="AD4016" s="75" t="n"/>
      <c r="AE4016" s="75" t="n"/>
      <c r="AF4016" s="75" t="n"/>
    </row>
    <row r="4017" ht="15.75" customHeight="1" s="133">
      <c r="A4017" s="75" t="n"/>
      <c r="B4017" s="75" t="n"/>
      <c r="C4017" s="75" t="n"/>
      <c r="D4017" s="75" t="n"/>
      <c r="E4017" s="76" t="n"/>
      <c r="F4017" s="77" t="n"/>
      <c r="G4017" s="75" t="n"/>
      <c r="H4017" s="75">
        <f>IF(ISBLANK(E4017),"",IF(OR(D4017="Butterfly",D4017="Butterfly ",D4017="Iron Fly", D4017="Iron Fly "),LEN(E4017)-LEN(SUBSTITUTE(E4017,"/",""))+2,LEN(E4017)-LEN(SUBSTITUTE(E4017,"/",""))+1))</f>
        <v/>
      </c>
      <c r="I4017" s="78">
        <f>IF(ISBLANK(G4017),"",IF(D4017="Stock","0",Key!$A$3*H4017*G4017))</f>
        <v/>
      </c>
      <c r="J4017" s="78">
        <f>IF(ISBLANK(E4017),"",IF(ISNUMBER(SEARCH("/",E4017)), IF(LEN(E4017)-LEN(SUBSTITUTE(E4017,"/",""))=1,(RIGHT(E4017,LEN(E4017)-FIND("/",E4017)))-(LEFT(E4017,FIND("/",E4017)-1)),(MID(E4017, SEARCH("/",E4017) + 1, SEARCH("/",E4017, SEARCH("/",E4017)+1) - SEARCH("/",E4017) - 1))-(LEFT(E4017,FIND("/",E4017)-1))), "NA"))</f>
        <v/>
      </c>
      <c r="K4017" s="79">
        <f>IF(A4017&lt;&gt;"", IF(ISBLANK(L4017), TODAY(), K4017), "")</f>
        <v/>
      </c>
      <c r="L4017" s="78" t="n"/>
      <c r="M4017" s="78">
        <f>IF(ISBLANK(L4017),"",IF(D4017="Stock",IF(C4017="Buy",L4017*G4017,IF(C4017="Sell",(L4017*G4017)-I4017, X)),IF(C4017="Buy",(L4017*G4017*100)+I4017,IF(C4017="Sell",(L4017*G4017*100)-I4017, X))))</f>
        <v/>
      </c>
      <c r="N4017" s="78">
        <f>IF(ISBLANK(L4017),"",IF(AND(C4017="Sell",D4017="Stock"),M4017,IF(ISBLANK(L4017),"",IF(C4017="Buy",M4017, IF(AND(C4017="Sell",J4017="NA"),(E4017*G4017*100*0.1)+I4017, IF(C4017="Sell",(J4017-L4017)*(100*G4017)+I4017))))))</f>
        <v/>
      </c>
      <c r="O4017" s="75" t="n"/>
      <c r="P4017" s="75" t="n"/>
      <c r="Q4017" s="75">
        <f>IF(ISBLANK(P4017),"",IF(D4017="Stock",P4017*G4017,IF(P4017=0,"0",G4017*P4017*100-(G4017*$AF$14))))</f>
        <v/>
      </c>
      <c r="R4017" s="79">
        <f>IF(P4017&lt;&gt;"", TODAY(), "")</f>
        <v/>
      </c>
      <c r="S4017" s="78">
        <f>IF(AND(K4017&lt;&gt;"", R4017&lt;&gt;""), R4017-K4017, "")</f>
        <v/>
      </c>
      <c r="T4017" s="78" t="n"/>
      <c r="U4017" s="92">
        <f>IF(ISBLANK(P4017),"",IF(C4017="Buy",Q4017-M4017+T4017, IF(C4017="Sell",M4017-Q4017-T4017, X)))</f>
        <v/>
      </c>
      <c r="V4017" s="81">
        <f>IF(ISBLANK(P4017),"",U4017/N4017)</f>
        <v/>
      </c>
      <c r="W4017" s="81">
        <f>IF(ISBLANK(P4017),"",IF(S4017=0,(365/0.5)*V4017,(365/S4017)*V4017))</f>
        <v/>
      </c>
      <c r="X4017" s="75" t="n"/>
      <c r="Y4017" s="77" t="n"/>
      <c r="Z4017" s="77" t="n"/>
      <c r="AA4017" s="75" t="n"/>
      <c r="AB4017" s="75" t="n"/>
      <c r="AC4017" s="6" t="n"/>
      <c r="AD4017" s="75" t="n"/>
      <c r="AE4017" s="75" t="n"/>
      <c r="AF4017" s="75" t="n"/>
    </row>
    <row r="4018" ht="15.75" customHeight="1" s="133">
      <c r="A4018" s="75" t="n"/>
      <c r="B4018" s="75" t="n"/>
      <c r="C4018" s="75" t="n"/>
      <c r="D4018" s="75" t="n"/>
      <c r="E4018" s="76" t="n"/>
      <c r="F4018" s="77" t="n"/>
      <c r="G4018" s="75" t="n"/>
      <c r="H4018" s="75">
        <f>IF(ISBLANK(E4018),"",IF(OR(D4018="Butterfly",D4018="Butterfly ",D4018="Iron Fly", D4018="Iron Fly "),LEN(E4018)-LEN(SUBSTITUTE(E4018,"/",""))+2,LEN(E4018)-LEN(SUBSTITUTE(E4018,"/",""))+1))</f>
        <v/>
      </c>
      <c r="I4018" s="78">
        <f>IF(ISBLANK(G4018),"",IF(D4018="Stock","0",Key!$A$3*H4018*G4018))</f>
        <v/>
      </c>
      <c r="J4018" s="78">
        <f>IF(ISBLANK(E4018),"",IF(ISNUMBER(SEARCH("/",E4018)), IF(LEN(E4018)-LEN(SUBSTITUTE(E4018,"/",""))=1,(RIGHT(E4018,LEN(E4018)-FIND("/",E4018)))-(LEFT(E4018,FIND("/",E4018)-1)),(MID(E4018, SEARCH("/",E4018) + 1, SEARCH("/",E4018, SEARCH("/",E4018)+1) - SEARCH("/",E4018) - 1))-(LEFT(E4018,FIND("/",E4018)-1))), "NA"))</f>
        <v/>
      </c>
      <c r="K4018" s="79">
        <f>IF(A4018&lt;&gt;"", IF(ISBLANK(L4018), TODAY(), K4018), "")</f>
        <v/>
      </c>
      <c r="L4018" s="78" t="n"/>
      <c r="M4018" s="78">
        <f>IF(ISBLANK(L4018),"",IF(D4018="Stock",IF(C4018="Buy",L4018*G4018,IF(C4018="Sell",(L4018*G4018)-I4018, X)),IF(C4018="Buy",(L4018*G4018*100)+I4018,IF(C4018="Sell",(L4018*G4018*100)-I4018, X))))</f>
        <v/>
      </c>
      <c r="N4018" s="78">
        <f>IF(ISBLANK(L4018),"",IF(AND(C4018="Sell",D4018="Stock"),M4018,IF(ISBLANK(L4018),"",IF(C4018="Buy",M4018, IF(AND(C4018="Sell",J4018="NA"),(E4018*G4018*100*0.1)+I4018, IF(C4018="Sell",(J4018-L4018)*(100*G4018)+I4018))))))</f>
        <v/>
      </c>
      <c r="O4018" s="75" t="n"/>
      <c r="P4018" s="75" t="n"/>
      <c r="Q4018" s="75">
        <f>IF(ISBLANK(P4018),"",IF(D4018="Stock",P4018*G4018,IF(P4018=0,"0",G4018*P4018*100-(G4018*$AF$14))))</f>
        <v/>
      </c>
      <c r="R4018" s="79">
        <f>IF(P4018&lt;&gt;"", TODAY(), "")</f>
        <v/>
      </c>
      <c r="S4018" s="78">
        <f>IF(AND(K4018&lt;&gt;"", R4018&lt;&gt;""), R4018-K4018, "")</f>
        <v/>
      </c>
      <c r="T4018" s="78" t="n"/>
      <c r="U4018" s="92">
        <f>IF(ISBLANK(P4018),"",IF(C4018="Buy",Q4018-M4018+T4018, IF(C4018="Sell",M4018-Q4018-T4018, X)))</f>
        <v/>
      </c>
      <c r="V4018" s="81">
        <f>IF(ISBLANK(P4018),"",U4018/N4018)</f>
        <v/>
      </c>
      <c r="W4018" s="81">
        <f>IF(ISBLANK(P4018),"",IF(S4018=0,(365/0.5)*V4018,(365/S4018)*V4018))</f>
        <v/>
      </c>
      <c r="X4018" s="75" t="n"/>
      <c r="Y4018" s="77" t="n"/>
      <c r="Z4018" s="77" t="n"/>
      <c r="AA4018" s="75" t="n"/>
      <c r="AB4018" s="75" t="n"/>
      <c r="AC4018" s="6" t="n"/>
      <c r="AD4018" s="75" t="n"/>
      <c r="AE4018" s="75" t="n"/>
      <c r="AF4018" s="75" t="n"/>
    </row>
    <row r="4019" ht="15.75" customHeight="1" s="133">
      <c r="A4019" s="75" t="n"/>
      <c r="B4019" s="75" t="n"/>
      <c r="C4019" s="75" t="n"/>
      <c r="D4019" s="75" t="n"/>
      <c r="E4019" s="76" t="n"/>
      <c r="F4019" s="77" t="n"/>
      <c r="G4019" s="75" t="n"/>
      <c r="H4019" s="75">
        <f>IF(ISBLANK(E4019),"",IF(OR(D4019="Butterfly",D4019="Butterfly ",D4019="Iron Fly", D4019="Iron Fly "),LEN(E4019)-LEN(SUBSTITUTE(E4019,"/",""))+2,LEN(E4019)-LEN(SUBSTITUTE(E4019,"/",""))+1))</f>
        <v/>
      </c>
      <c r="I4019" s="78">
        <f>IF(ISBLANK(G4019),"",IF(D4019="Stock","0",Key!$A$3*H4019*G4019))</f>
        <v/>
      </c>
      <c r="J4019" s="78">
        <f>IF(ISBLANK(E4019),"",IF(ISNUMBER(SEARCH("/",E4019)), IF(LEN(E4019)-LEN(SUBSTITUTE(E4019,"/",""))=1,(RIGHT(E4019,LEN(E4019)-FIND("/",E4019)))-(LEFT(E4019,FIND("/",E4019)-1)),(MID(E4019, SEARCH("/",E4019) + 1, SEARCH("/",E4019, SEARCH("/",E4019)+1) - SEARCH("/",E4019) - 1))-(LEFT(E4019,FIND("/",E4019)-1))), "NA"))</f>
        <v/>
      </c>
      <c r="K4019" s="79">
        <f>IF(A4019&lt;&gt;"", IF(ISBLANK(L4019), TODAY(), K4019), "")</f>
        <v/>
      </c>
      <c r="L4019" s="78" t="n"/>
      <c r="M4019" s="78">
        <f>IF(ISBLANK(L4019),"",IF(D4019="Stock",IF(C4019="Buy",L4019*G4019,IF(C4019="Sell",(L4019*G4019)-I4019, X)),IF(C4019="Buy",(L4019*G4019*100)+I4019,IF(C4019="Sell",(L4019*G4019*100)-I4019, X))))</f>
        <v/>
      </c>
      <c r="N4019" s="78">
        <f>IF(ISBLANK(L4019),"",IF(AND(C4019="Sell",D4019="Stock"),M4019,IF(ISBLANK(L4019),"",IF(C4019="Buy",M4019, IF(AND(C4019="Sell",J4019="NA"),(E4019*G4019*100*0.1)+I4019, IF(C4019="Sell",(J4019-L4019)*(100*G4019)+I4019))))))</f>
        <v/>
      </c>
      <c r="O4019" s="75" t="n"/>
      <c r="P4019" s="75" t="n"/>
      <c r="Q4019" s="75">
        <f>IF(ISBLANK(P4019),"",IF(D4019="Stock",P4019*G4019,IF(P4019=0,"0",G4019*P4019*100-(G4019*$AF$14))))</f>
        <v/>
      </c>
      <c r="R4019" s="79">
        <f>IF(P4019&lt;&gt;"", TODAY(), "")</f>
        <v/>
      </c>
      <c r="S4019" s="78">
        <f>IF(AND(K4019&lt;&gt;"", R4019&lt;&gt;""), R4019-K4019, "")</f>
        <v/>
      </c>
      <c r="T4019" s="78" t="n"/>
      <c r="U4019" s="92">
        <f>IF(ISBLANK(P4019),"",IF(C4019="Buy",Q4019-M4019+T4019, IF(C4019="Sell",M4019-Q4019-T4019, X)))</f>
        <v/>
      </c>
      <c r="V4019" s="81">
        <f>IF(ISBLANK(P4019),"",U4019/N4019)</f>
        <v/>
      </c>
      <c r="W4019" s="81">
        <f>IF(ISBLANK(P4019),"",IF(S4019=0,(365/0.5)*V4019,(365/S4019)*V4019))</f>
        <v/>
      </c>
      <c r="X4019" s="75" t="n"/>
      <c r="Y4019" s="77" t="n"/>
      <c r="Z4019" s="77" t="n"/>
      <c r="AA4019" s="75" t="n"/>
      <c r="AB4019" s="75" t="n"/>
      <c r="AC4019" s="6" t="n"/>
      <c r="AD4019" s="75" t="n"/>
      <c r="AE4019" s="75" t="n"/>
      <c r="AF4019" s="75" t="n"/>
    </row>
    <row r="4020" ht="15.75" customHeight="1" s="133">
      <c r="A4020" s="75" t="n"/>
      <c r="B4020" s="75" t="n"/>
      <c r="C4020" s="75" t="n"/>
      <c r="D4020" s="75" t="n"/>
      <c r="E4020" s="76" t="n"/>
      <c r="F4020" s="77" t="n"/>
      <c r="G4020" s="75" t="n"/>
      <c r="H4020" s="75">
        <f>IF(ISBLANK(E4020),"",IF(OR(D4020="Butterfly",D4020="Butterfly ",D4020="Iron Fly", D4020="Iron Fly "),LEN(E4020)-LEN(SUBSTITUTE(E4020,"/",""))+2,LEN(E4020)-LEN(SUBSTITUTE(E4020,"/",""))+1))</f>
        <v/>
      </c>
      <c r="I4020" s="78">
        <f>IF(ISBLANK(G4020),"",IF(D4020="Stock","0",Key!$A$3*H4020*G4020))</f>
        <v/>
      </c>
      <c r="J4020" s="78">
        <f>IF(ISBLANK(E4020),"",IF(ISNUMBER(SEARCH("/",E4020)), IF(LEN(E4020)-LEN(SUBSTITUTE(E4020,"/",""))=1,(RIGHT(E4020,LEN(E4020)-FIND("/",E4020)))-(LEFT(E4020,FIND("/",E4020)-1)),(MID(E4020, SEARCH("/",E4020) + 1, SEARCH("/",E4020, SEARCH("/",E4020)+1) - SEARCH("/",E4020) - 1))-(LEFT(E4020,FIND("/",E4020)-1))), "NA"))</f>
        <v/>
      </c>
      <c r="K4020" s="79">
        <f>IF(A4020&lt;&gt;"", IF(ISBLANK(L4020), TODAY(), K4020), "")</f>
        <v/>
      </c>
      <c r="L4020" s="78" t="n"/>
      <c r="M4020" s="78">
        <f>IF(ISBLANK(L4020),"",IF(D4020="Stock",IF(C4020="Buy",L4020*G4020,IF(C4020="Sell",(L4020*G4020)-I4020, X)),IF(C4020="Buy",(L4020*G4020*100)+I4020,IF(C4020="Sell",(L4020*G4020*100)-I4020, X))))</f>
        <v/>
      </c>
      <c r="N4020" s="78">
        <f>IF(ISBLANK(L4020),"",IF(AND(C4020="Sell",D4020="Stock"),M4020,IF(ISBLANK(L4020),"",IF(C4020="Buy",M4020, IF(AND(C4020="Sell",J4020="NA"),(E4020*G4020*100*0.1)+I4020, IF(C4020="Sell",(J4020-L4020)*(100*G4020)+I4020))))))</f>
        <v/>
      </c>
      <c r="O4020" s="75" t="n"/>
      <c r="P4020" s="75" t="n"/>
      <c r="Q4020" s="75">
        <f>IF(ISBLANK(P4020),"",IF(D4020="Stock",P4020*G4020,IF(P4020=0,"0",G4020*P4020*100-(G4020*$AF$14))))</f>
        <v/>
      </c>
      <c r="R4020" s="79">
        <f>IF(P4020&lt;&gt;"", TODAY(), "")</f>
        <v/>
      </c>
      <c r="S4020" s="78">
        <f>IF(AND(K4020&lt;&gt;"", R4020&lt;&gt;""), R4020-K4020, "")</f>
        <v/>
      </c>
      <c r="T4020" s="78" t="n"/>
      <c r="U4020" s="92">
        <f>IF(ISBLANK(P4020),"",IF(C4020="Buy",Q4020-M4020+T4020, IF(C4020="Sell",M4020-Q4020-T4020, X)))</f>
        <v/>
      </c>
      <c r="V4020" s="81">
        <f>IF(ISBLANK(P4020),"",U4020/N4020)</f>
        <v/>
      </c>
      <c r="W4020" s="81">
        <f>IF(ISBLANK(P4020),"",IF(S4020=0,(365/0.5)*V4020,(365/S4020)*V4020))</f>
        <v/>
      </c>
      <c r="X4020" s="75" t="n"/>
      <c r="Y4020" s="77" t="n"/>
      <c r="Z4020" s="77" t="n"/>
      <c r="AA4020" s="75" t="n"/>
      <c r="AB4020" s="75" t="n"/>
      <c r="AC4020" s="6" t="n"/>
      <c r="AD4020" s="75" t="n"/>
      <c r="AE4020" s="75" t="n"/>
      <c r="AF4020" s="75" t="n"/>
    </row>
    <row r="4021" ht="15.75" customHeight="1" s="133">
      <c r="A4021" s="75" t="n"/>
      <c r="B4021" s="75" t="n"/>
      <c r="C4021" s="75" t="n"/>
      <c r="D4021" s="75" t="n"/>
      <c r="E4021" s="76" t="n"/>
      <c r="F4021" s="77" t="n"/>
      <c r="G4021" s="75" t="n"/>
      <c r="H4021" s="75">
        <f>IF(ISBLANK(E4021),"",IF(OR(D4021="Butterfly",D4021="Butterfly ",D4021="Iron Fly", D4021="Iron Fly "),LEN(E4021)-LEN(SUBSTITUTE(E4021,"/",""))+2,LEN(E4021)-LEN(SUBSTITUTE(E4021,"/",""))+1))</f>
        <v/>
      </c>
      <c r="I4021" s="78">
        <f>IF(ISBLANK(G4021),"",IF(D4021="Stock","0",Key!$A$3*H4021*G4021))</f>
        <v/>
      </c>
      <c r="J4021" s="78">
        <f>IF(ISBLANK(E4021),"",IF(ISNUMBER(SEARCH("/",E4021)), IF(LEN(E4021)-LEN(SUBSTITUTE(E4021,"/",""))=1,(RIGHT(E4021,LEN(E4021)-FIND("/",E4021)))-(LEFT(E4021,FIND("/",E4021)-1)),(MID(E4021, SEARCH("/",E4021) + 1, SEARCH("/",E4021, SEARCH("/",E4021)+1) - SEARCH("/",E4021) - 1))-(LEFT(E4021,FIND("/",E4021)-1))), "NA"))</f>
        <v/>
      </c>
      <c r="K4021" s="79">
        <f>IF(A4021&lt;&gt;"", IF(ISBLANK(L4021), TODAY(), K4021), "")</f>
        <v/>
      </c>
      <c r="L4021" s="78" t="n"/>
      <c r="M4021" s="78">
        <f>IF(ISBLANK(L4021),"",IF(D4021="Stock",IF(C4021="Buy",L4021*G4021,IF(C4021="Sell",(L4021*G4021)-I4021, X)),IF(C4021="Buy",(L4021*G4021*100)+I4021,IF(C4021="Sell",(L4021*G4021*100)-I4021, X))))</f>
        <v/>
      </c>
      <c r="N4021" s="78">
        <f>IF(ISBLANK(L4021),"",IF(AND(C4021="Sell",D4021="Stock"),M4021,IF(ISBLANK(L4021),"",IF(C4021="Buy",M4021, IF(AND(C4021="Sell",J4021="NA"),(E4021*G4021*100*0.1)+I4021, IF(C4021="Sell",(J4021-L4021)*(100*G4021)+I4021))))))</f>
        <v/>
      </c>
      <c r="O4021" s="75" t="n"/>
      <c r="P4021" s="75" t="n"/>
      <c r="Q4021" s="75">
        <f>IF(ISBLANK(P4021),"",IF(D4021="Stock",P4021*G4021,IF(P4021=0,"0",G4021*P4021*100-(G4021*$AF$14))))</f>
        <v/>
      </c>
      <c r="R4021" s="79">
        <f>IF(P4021&lt;&gt;"", TODAY(), "")</f>
        <v/>
      </c>
      <c r="S4021" s="78">
        <f>IF(AND(K4021&lt;&gt;"", R4021&lt;&gt;""), R4021-K4021, "")</f>
        <v/>
      </c>
      <c r="T4021" s="78" t="n"/>
      <c r="U4021" s="92">
        <f>IF(ISBLANK(P4021),"",IF(C4021="Buy",Q4021-M4021+T4021, IF(C4021="Sell",M4021-Q4021-T4021, X)))</f>
        <v/>
      </c>
      <c r="V4021" s="81">
        <f>IF(ISBLANK(P4021),"",U4021/N4021)</f>
        <v/>
      </c>
      <c r="W4021" s="81">
        <f>IF(ISBLANK(P4021),"",IF(S4021=0,(365/0.5)*V4021,(365/S4021)*V4021))</f>
        <v/>
      </c>
      <c r="X4021" s="75" t="n"/>
      <c r="Y4021" s="77" t="n"/>
      <c r="Z4021" s="77" t="n"/>
      <c r="AA4021" s="75" t="n"/>
      <c r="AB4021" s="75" t="n"/>
      <c r="AC4021" s="6" t="n"/>
      <c r="AD4021" s="75" t="n"/>
      <c r="AE4021" s="75" t="n"/>
      <c r="AF4021" s="75" t="n"/>
    </row>
    <row r="4022" ht="15.75" customHeight="1" s="133">
      <c r="A4022" s="75" t="n"/>
      <c r="B4022" s="75" t="n"/>
      <c r="C4022" s="75" t="n"/>
      <c r="D4022" s="75" t="n"/>
      <c r="E4022" s="76" t="n"/>
      <c r="F4022" s="77" t="n"/>
      <c r="G4022" s="75" t="n"/>
      <c r="H4022" s="75">
        <f>IF(ISBLANK(E4022),"",IF(OR(D4022="Butterfly",D4022="Butterfly ",D4022="Iron Fly", D4022="Iron Fly "),LEN(E4022)-LEN(SUBSTITUTE(E4022,"/",""))+2,LEN(E4022)-LEN(SUBSTITUTE(E4022,"/",""))+1))</f>
        <v/>
      </c>
      <c r="I4022" s="78">
        <f>IF(ISBLANK(G4022),"",IF(D4022="Stock","0",Key!$A$3*H4022*G4022))</f>
        <v/>
      </c>
      <c r="J4022" s="78">
        <f>IF(ISBLANK(E4022),"",IF(ISNUMBER(SEARCH("/",E4022)), IF(LEN(E4022)-LEN(SUBSTITUTE(E4022,"/",""))=1,(RIGHT(E4022,LEN(E4022)-FIND("/",E4022)))-(LEFT(E4022,FIND("/",E4022)-1)),(MID(E4022, SEARCH("/",E4022) + 1, SEARCH("/",E4022, SEARCH("/",E4022)+1) - SEARCH("/",E4022) - 1))-(LEFT(E4022,FIND("/",E4022)-1))), "NA"))</f>
        <v/>
      </c>
      <c r="K4022" s="79">
        <f>IF(A4022&lt;&gt;"", IF(ISBLANK(L4022), TODAY(), K4022), "")</f>
        <v/>
      </c>
      <c r="L4022" s="78" t="n"/>
      <c r="M4022" s="78">
        <f>IF(ISBLANK(L4022),"",IF(D4022="Stock",IF(C4022="Buy",L4022*G4022,IF(C4022="Sell",(L4022*G4022)-I4022, X)),IF(C4022="Buy",(L4022*G4022*100)+I4022,IF(C4022="Sell",(L4022*G4022*100)-I4022, X))))</f>
        <v/>
      </c>
      <c r="N4022" s="78">
        <f>IF(ISBLANK(L4022),"",IF(AND(C4022="Sell",D4022="Stock"),M4022,IF(ISBLANK(L4022),"",IF(C4022="Buy",M4022, IF(AND(C4022="Sell",J4022="NA"),(E4022*G4022*100*0.1)+I4022, IF(C4022="Sell",(J4022-L4022)*(100*G4022)+I4022))))))</f>
        <v/>
      </c>
      <c r="O4022" s="75" t="n"/>
      <c r="P4022" s="75" t="n"/>
      <c r="Q4022" s="75">
        <f>IF(ISBLANK(P4022),"",IF(D4022="Stock",P4022*G4022,IF(P4022=0,"0",G4022*P4022*100-(G4022*$AF$14))))</f>
        <v/>
      </c>
      <c r="R4022" s="79">
        <f>IF(P4022&lt;&gt;"", TODAY(), "")</f>
        <v/>
      </c>
      <c r="S4022" s="78">
        <f>IF(AND(K4022&lt;&gt;"", R4022&lt;&gt;""), R4022-K4022, "")</f>
        <v/>
      </c>
      <c r="T4022" s="78" t="n"/>
      <c r="U4022" s="92">
        <f>IF(ISBLANK(P4022),"",IF(C4022="Buy",Q4022-M4022+T4022, IF(C4022="Sell",M4022-Q4022-T4022, X)))</f>
        <v/>
      </c>
      <c r="V4022" s="81">
        <f>IF(ISBLANK(P4022),"",U4022/N4022)</f>
        <v/>
      </c>
      <c r="W4022" s="81">
        <f>IF(ISBLANK(P4022),"",IF(S4022=0,(365/0.5)*V4022,(365/S4022)*V4022))</f>
        <v/>
      </c>
      <c r="X4022" s="75" t="n"/>
      <c r="Y4022" s="77" t="n"/>
      <c r="Z4022" s="77" t="n"/>
      <c r="AA4022" s="75" t="n"/>
      <c r="AB4022" s="75" t="n"/>
      <c r="AC4022" s="6" t="n"/>
      <c r="AD4022" s="75" t="n"/>
      <c r="AE4022" s="75" t="n"/>
      <c r="AF4022" s="75" t="n"/>
    </row>
    <row r="4023" ht="15.75" customHeight="1" s="133">
      <c r="A4023" s="75" t="n"/>
      <c r="B4023" s="75" t="n"/>
      <c r="C4023" s="75" t="n"/>
      <c r="D4023" s="75" t="n"/>
      <c r="E4023" s="76" t="n"/>
      <c r="F4023" s="77" t="n"/>
      <c r="G4023" s="75" t="n"/>
      <c r="H4023" s="75">
        <f>IF(ISBLANK(E4023),"",IF(OR(D4023="Butterfly",D4023="Butterfly ",D4023="Iron Fly", D4023="Iron Fly "),LEN(E4023)-LEN(SUBSTITUTE(E4023,"/",""))+2,LEN(E4023)-LEN(SUBSTITUTE(E4023,"/",""))+1))</f>
        <v/>
      </c>
      <c r="I4023" s="78">
        <f>IF(ISBLANK(G4023),"",IF(D4023="Stock","0",Key!$A$3*H4023*G4023))</f>
        <v/>
      </c>
      <c r="J4023" s="78">
        <f>IF(ISBLANK(E4023),"",IF(ISNUMBER(SEARCH("/",E4023)), IF(LEN(E4023)-LEN(SUBSTITUTE(E4023,"/",""))=1,(RIGHT(E4023,LEN(E4023)-FIND("/",E4023)))-(LEFT(E4023,FIND("/",E4023)-1)),(MID(E4023, SEARCH("/",E4023) + 1, SEARCH("/",E4023, SEARCH("/",E4023)+1) - SEARCH("/",E4023) - 1))-(LEFT(E4023,FIND("/",E4023)-1))), "NA"))</f>
        <v/>
      </c>
      <c r="K4023" s="79">
        <f>IF(A4023&lt;&gt;"", IF(ISBLANK(L4023), TODAY(), K4023), "")</f>
        <v/>
      </c>
      <c r="L4023" s="78" t="n"/>
      <c r="M4023" s="78">
        <f>IF(ISBLANK(L4023),"",IF(D4023="Stock",IF(C4023="Buy",L4023*G4023,IF(C4023="Sell",(L4023*G4023)-I4023, X)),IF(C4023="Buy",(L4023*G4023*100)+I4023,IF(C4023="Sell",(L4023*G4023*100)-I4023, X))))</f>
        <v/>
      </c>
      <c r="N4023" s="78">
        <f>IF(ISBLANK(L4023),"",IF(AND(C4023="Sell",D4023="Stock"),M4023,IF(ISBLANK(L4023),"",IF(C4023="Buy",M4023, IF(AND(C4023="Sell",J4023="NA"),(E4023*G4023*100*0.1)+I4023, IF(C4023="Sell",(J4023-L4023)*(100*G4023)+I4023))))))</f>
        <v/>
      </c>
      <c r="O4023" s="75" t="n"/>
      <c r="P4023" s="75" t="n"/>
      <c r="Q4023" s="75">
        <f>IF(ISBLANK(P4023),"",IF(D4023="Stock",P4023*G4023,IF(P4023=0,"0",G4023*P4023*100-(G4023*$AF$14))))</f>
        <v/>
      </c>
      <c r="R4023" s="79">
        <f>IF(P4023&lt;&gt;"", TODAY(), "")</f>
        <v/>
      </c>
      <c r="S4023" s="78">
        <f>IF(AND(K4023&lt;&gt;"", R4023&lt;&gt;""), R4023-K4023, "")</f>
        <v/>
      </c>
      <c r="T4023" s="78" t="n"/>
      <c r="U4023" s="92">
        <f>IF(ISBLANK(P4023),"",IF(C4023="Buy",Q4023-M4023+T4023, IF(C4023="Sell",M4023-Q4023-T4023, X)))</f>
        <v/>
      </c>
      <c r="V4023" s="81">
        <f>IF(ISBLANK(P4023),"",U4023/N4023)</f>
        <v/>
      </c>
      <c r="W4023" s="81">
        <f>IF(ISBLANK(P4023),"",IF(S4023=0,(365/0.5)*V4023,(365/S4023)*V4023))</f>
        <v/>
      </c>
      <c r="X4023" s="75" t="n"/>
      <c r="Y4023" s="77" t="n"/>
      <c r="Z4023" s="77" t="n"/>
      <c r="AA4023" s="75" t="n"/>
      <c r="AB4023" s="75" t="n"/>
      <c r="AC4023" s="6" t="n"/>
      <c r="AD4023" s="75" t="n"/>
      <c r="AE4023" s="75" t="n"/>
      <c r="AF4023" s="75" t="n"/>
    </row>
    <row r="4024" ht="15.75" customHeight="1" s="133">
      <c r="A4024" s="75" t="n"/>
      <c r="B4024" s="75" t="n"/>
      <c r="C4024" s="75" t="n"/>
      <c r="D4024" s="75" t="n"/>
      <c r="E4024" s="76" t="n"/>
      <c r="F4024" s="77" t="n"/>
      <c r="G4024" s="75" t="n"/>
      <c r="H4024" s="75">
        <f>IF(ISBLANK(E4024),"",IF(OR(D4024="Butterfly",D4024="Butterfly ",D4024="Iron Fly", D4024="Iron Fly "),LEN(E4024)-LEN(SUBSTITUTE(E4024,"/",""))+2,LEN(E4024)-LEN(SUBSTITUTE(E4024,"/",""))+1))</f>
        <v/>
      </c>
      <c r="I4024" s="78">
        <f>IF(ISBLANK(G4024),"",IF(D4024="Stock","0",Key!$A$3*H4024*G4024))</f>
        <v/>
      </c>
      <c r="J4024" s="78">
        <f>IF(ISBLANK(E4024),"",IF(ISNUMBER(SEARCH("/",E4024)), IF(LEN(E4024)-LEN(SUBSTITUTE(E4024,"/",""))=1,(RIGHT(E4024,LEN(E4024)-FIND("/",E4024)))-(LEFT(E4024,FIND("/",E4024)-1)),(MID(E4024, SEARCH("/",E4024) + 1, SEARCH("/",E4024, SEARCH("/",E4024)+1) - SEARCH("/",E4024) - 1))-(LEFT(E4024,FIND("/",E4024)-1))), "NA"))</f>
        <v/>
      </c>
      <c r="K4024" s="79">
        <f>IF(A4024&lt;&gt;"", IF(ISBLANK(L4024), TODAY(), K4024), "")</f>
        <v/>
      </c>
      <c r="L4024" s="78" t="n"/>
      <c r="M4024" s="78">
        <f>IF(ISBLANK(L4024),"",IF(D4024="Stock",IF(C4024="Buy",L4024*G4024,IF(C4024="Sell",(L4024*G4024)-I4024, X)),IF(C4024="Buy",(L4024*G4024*100)+I4024,IF(C4024="Sell",(L4024*G4024*100)-I4024, X))))</f>
        <v/>
      </c>
      <c r="N4024" s="78">
        <f>IF(ISBLANK(L4024),"",IF(AND(C4024="Sell",D4024="Stock"),M4024,IF(ISBLANK(L4024),"",IF(C4024="Buy",M4024, IF(AND(C4024="Sell",J4024="NA"),(E4024*G4024*100*0.1)+I4024, IF(C4024="Sell",(J4024-L4024)*(100*G4024)+I4024))))))</f>
        <v/>
      </c>
      <c r="O4024" s="75" t="n"/>
      <c r="P4024" s="75" t="n"/>
      <c r="Q4024" s="75">
        <f>IF(ISBLANK(P4024),"",IF(D4024="Stock",P4024*G4024,IF(P4024=0,"0",G4024*P4024*100-(G4024*$AF$14))))</f>
        <v/>
      </c>
      <c r="R4024" s="79">
        <f>IF(P4024&lt;&gt;"", TODAY(), "")</f>
        <v/>
      </c>
      <c r="S4024" s="78">
        <f>IF(AND(K4024&lt;&gt;"", R4024&lt;&gt;""), R4024-K4024, "")</f>
        <v/>
      </c>
      <c r="T4024" s="78" t="n"/>
      <c r="U4024" s="92">
        <f>IF(ISBLANK(P4024),"",IF(C4024="Buy",Q4024-M4024+T4024, IF(C4024="Sell",M4024-Q4024-T4024, X)))</f>
        <v/>
      </c>
      <c r="V4024" s="81">
        <f>IF(ISBLANK(P4024),"",U4024/N4024)</f>
        <v/>
      </c>
      <c r="W4024" s="81">
        <f>IF(ISBLANK(P4024),"",IF(S4024=0,(365/0.5)*V4024,(365/S4024)*V4024))</f>
        <v/>
      </c>
      <c r="X4024" s="75" t="n"/>
      <c r="Y4024" s="77" t="n"/>
      <c r="Z4024" s="77" t="n"/>
      <c r="AA4024" s="75" t="n"/>
      <c r="AB4024" s="75" t="n"/>
      <c r="AC4024" s="6" t="n"/>
      <c r="AD4024" s="75" t="n"/>
      <c r="AE4024" s="75" t="n"/>
      <c r="AF4024" s="75" t="n"/>
    </row>
    <row r="4025" ht="15.75" customHeight="1" s="133">
      <c r="A4025" s="75" t="n"/>
      <c r="B4025" s="75" t="n"/>
      <c r="C4025" s="75" t="n"/>
      <c r="D4025" s="75" t="n"/>
      <c r="E4025" s="76" t="n"/>
      <c r="F4025" s="77" t="n"/>
      <c r="G4025" s="75" t="n"/>
      <c r="H4025" s="75">
        <f>IF(ISBLANK(E4025),"",IF(OR(D4025="Butterfly",D4025="Butterfly ",D4025="Iron Fly", D4025="Iron Fly "),LEN(E4025)-LEN(SUBSTITUTE(E4025,"/",""))+2,LEN(E4025)-LEN(SUBSTITUTE(E4025,"/",""))+1))</f>
        <v/>
      </c>
      <c r="I4025" s="78">
        <f>IF(ISBLANK(G4025),"",IF(D4025="Stock","0",Key!$A$3*H4025*G4025))</f>
        <v/>
      </c>
      <c r="J4025" s="78">
        <f>IF(ISBLANK(E4025),"",IF(ISNUMBER(SEARCH("/",E4025)), IF(LEN(E4025)-LEN(SUBSTITUTE(E4025,"/",""))=1,(RIGHT(E4025,LEN(E4025)-FIND("/",E4025)))-(LEFT(E4025,FIND("/",E4025)-1)),(MID(E4025, SEARCH("/",E4025) + 1, SEARCH("/",E4025, SEARCH("/",E4025)+1) - SEARCH("/",E4025) - 1))-(LEFT(E4025,FIND("/",E4025)-1))), "NA"))</f>
        <v/>
      </c>
      <c r="K4025" s="79">
        <f>IF(A4025&lt;&gt;"", IF(ISBLANK(L4025), TODAY(), K4025), "")</f>
        <v/>
      </c>
      <c r="L4025" s="78" t="n"/>
      <c r="M4025" s="78">
        <f>IF(ISBLANK(L4025),"",IF(D4025="Stock",IF(C4025="Buy",L4025*G4025,IF(C4025="Sell",(L4025*G4025)-I4025, X)),IF(C4025="Buy",(L4025*G4025*100)+I4025,IF(C4025="Sell",(L4025*G4025*100)-I4025, X))))</f>
        <v/>
      </c>
      <c r="N4025" s="78">
        <f>IF(ISBLANK(L4025),"",IF(AND(C4025="Sell",D4025="Stock"),M4025,IF(ISBLANK(L4025),"",IF(C4025="Buy",M4025, IF(AND(C4025="Sell",J4025="NA"),(E4025*G4025*100*0.1)+I4025, IF(C4025="Sell",(J4025-L4025)*(100*G4025)+I4025))))))</f>
        <v/>
      </c>
      <c r="O4025" s="75" t="n"/>
      <c r="P4025" s="75" t="n"/>
      <c r="Q4025" s="75">
        <f>IF(ISBLANK(P4025),"",IF(D4025="Stock",P4025*G4025,IF(P4025=0,"0",G4025*P4025*100-(G4025*$AF$14))))</f>
        <v/>
      </c>
      <c r="R4025" s="79">
        <f>IF(P4025&lt;&gt;"", TODAY(), "")</f>
        <v/>
      </c>
      <c r="S4025" s="78">
        <f>IF(AND(K4025&lt;&gt;"", R4025&lt;&gt;""), R4025-K4025, "")</f>
        <v/>
      </c>
      <c r="T4025" s="78" t="n"/>
      <c r="U4025" s="92">
        <f>IF(ISBLANK(P4025),"",IF(C4025="Buy",Q4025-M4025+T4025, IF(C4025="Sell",M4025-Q4025-T4025, X)))</f>
        <v/>
      </c>
      <c r="V4025" s="81">
        <f>IF(ISBLANK(P4025),"",U4025/N4025)</f>
        <v/>
      </c>
      <c r="W4025" s="81">
        <f>IF(ISBLANK(P4025),"",IF(S4025=0,(365/0.5)*V4025,(365/S4025)*V4025))</f>
        <v/>
      </c>
      <c r="X4025" s="75" t="n"/>
      <c r="Y4025" s="77" t="n"/>
      <c r="Z4025" s="77" t="n"/>
      <c r="AA4025" s="75" t="n"/>
      <c r="AB4025" s="75" t="n"/>
      <c r="AC4025" s="6" t="n"/>
      <c r="AD4025" s="75" t="n"/>
      <c r="AE4025" s="75" t="n"/>
      <c r="AF4025" s="75" t="n"/>
    </row>
    <row r="4026" ht="15.75" customHeight="1" s="133">
      <c r="A4026" s="75" t="n"/>
      <c r="B4026" s="75" t="n"/>
      <c r="C4026" s="75" t="n"/>
      <c r="D4026" s="75" t="n"/>
      <c r="E4026" s="76" t="n"/>
      <c r="F4026" s="77" t="n"/>
      <c r="G4026" s="75" t="n"/>
      <c r="H4026" s="75">
        <f>IF(ISBLANK(E4026),"",IF(OR(D4026="Butterfly",D4026="Butterfly ",D4026="Iron Fly", D4026="Iron Fly "),LEN(E4026)-LEN(SUBSTITUTE(E4026,"/",""))+2,LEN(E4026)-LEN(SUBSTITUTE(E4026,"/",""))+1))</f>
        <v/>
      </c>
      <c r="I4026" s="78">
        <f>IF(ISBLANK(G4026),"",IF(D4026="Stock","0",Key!$A$3*H4026*G4026))</f>
        <v/>
      </c>
      <c r="J4026" s="78">
        <f>IF(ISBLANK(E4026),"",IF(ISNUMBER(SEARCH("/",E4026)), IF(LEN(E4026)-LEN(SUBSTITUTE(E4026,"/",""))=1,(RIGHT(E4026,LEN(E4026)-FIND("/",E4026)))-(LEFT(E4026,FIND("/",E4026)-1)),(MID(E4026, SEARCH("/",E4026) + 1, SEARCH("/",E4026, SEARCH("/",E4026)+1) - SEARCH("/",E4026) - 1))-(LEFT(E4026,FIND("/",E4026)-1))), "NA"))</f>
        <v/>
      </c>
      <c r="K4026" s="79">
        <f>IF(A4026&lt;&gt;"", IF(ISBLANK(L4026), TODAY(), K4026), "")</f>
        <v/>
      </c>
      <c r="L4026" s="78" t="n"/>
      <c r="M4026" s="78">
        <f>IF(ISBLANK(L4026),"",IF(D4026="Stock",IF(C4026="Buy",L4026*G4026,IF(C4026="Sell",(L4026*G4026)-I4026, X)),IF(C4026="Buy",(L4026*G4026*100)+I4026,IF(C4026="Sell",(L4026*G4026*100)-I4026, X))))</f>
        <v/>
      </c>
      <c r="N4026" s="78">
        <f>IF(ISBLANK(L4026),"",IF(AND(C4026="Sell",D4026="Stock"),M4026,IF(ISBLANK(L4026),"",IF(C4026="Buy",M4026, IF(AND(C4026="Sell",J4026="NA"),(E4026*G4026*100*0.1)+I4026, IF(C4026="Sell",(J4026-L4026)*(100*G4026)+I4026))))))</f>
        <v/>
      </c>
      <c r="O4026" s="75" t="n"/>
      <c r="P4026" s="75" t="n"/>
      <c r="Q4026" s="75">
        <f>IF(ISBLANK(P4026),"",IF(D4026="Stock",P4026*G4026,IF(P4026=0,"0",G4026*P4026*100-(G4026*$AF$14))))</f>
        <v/>
      </c>
      <c r="R4026" s="79">
        <f>IF(P4026&lt;&gt;"", TODAY(), "")</f>
        <v/>
      </c>
      <c r="S4026" s="78">
        <f>IF(AND(K4026&lt;&gt;"", R4026&lt;&gt;""), R4026-K4026, "")</f>
        <v/>
      </c>
      <c r="T4026" s="78" t="n"/>
      <c r="U4026" s="92">
        <f>IF(ISBLANK(P4026),"",IF(C4026="Buy",Q4026-M4026+T4026, IF(C4026="Sell",M4026-Q4026-T4026, X)))</f>
        <v/>
      </c>
      <c r="V4026" s="81">
        <f>IF(ISBLANK(P4026),"",U4026/N4026)</f>
        <v/>
      </c>
      <c r="W4026" s="81">
        <f>IF(ISBLANK(P4026),"",IF(S4026=0,(365/0.5)*V4026,(365/S4026)*V4026))</f>
        <v/>
      </c>
      <c r="X4026" s="75" t="n"/>
      <c r="Y4026" s="77" t="n"/>
      <c r="Z4026" s="77" t="n"/>
      <c r="AA4026" s="75" t="n"/>
      <c r="AB4026" s="75" t="n"/>
      <c r="AC4026" s="6" t="n"/>
      <c r="AD4026" s="75" t="n"/>
      <c r="AE4026" s="75" t="n"/>
      <c r="AF4026" s="75" t="n"/>
    </row>
    <row r="4027" ht="15.75" customHeight="1" s="133">
      <c r="A4027" s="75" t="n"/>
      <c r="B4027" s="75" t="n"/>
      <c r="C4027" s="75" t="n"/>
      <c r="D4027" s="75" t="n"/>
      <c r="E4027" s="76" t="n"/>
      <c r="F4027" s="77" t="n"/>
      <c r="G4027" s="75" t="n"/>
      <c r="H4027" s="75">
        <f>IF(ISBLANK(E4027),"",IF(OR(D4027="Butterfly",D4027="Butterfly ",D4027="Iron Fly", D4027="Iron Fly "),LEN(E4027)-LEN(SUBSTITUTE(E4027,"/",""))+2,LEN(E4027)-LEN(SUBSTITUTE(E4027,"/",""))+1))</f>
        <v/>
      </c>
      <c r="I4027" s="78">
        <f>IF(ISBLANK(G4027),"",IF(D4027="Stock","0",Key!$A$3*H4027*G4027))</f>
        <v/>
      </c>
      <c r="J4027" s="78">
        <f>IF(ISBLANK(E4027),"",IF(ISNUMBER(SEARCH("/",E4027)), IF(LEN(E4027)-LEN(SUBSTITUTE(E4027,"/",""))=1,(RIGHT(E4027,LEN(E4027)-FIND("/",E4027)))-(LEFT(E4027,FIND("/",E4027)-1)),(MID(E4027, SEARCH("/",E4027) + 1, SEARCH("/",E4027, SEARCH("/",E4027)+1) - SEARCH("/",E4027) - 1))-(LEFT(E4027,FIND("/",E4027)-1))), "NA"))</f>
        <v/>
      </c>
      <c r="K4027" s="79">
        <f>IF(A4027&lt;&gt;"", IF(ISBLANK(L4027), TODAY(), K4027), "")</f>
        <v/>
      </c>
      <c r="L4027" s="78" t="n"/>
      <c r="M4027" s="78">
        <f>IF(ISBLANK(L4027),"",IF(D4027="Stock",IF(C4027="Buy",L4027*G4027,IF(C4027="Sell",(L4027*G4027)-I4027, X)),IF(C4027="Buy",(L4027*G4027*100)+I4027,IF(C4027="Sell",(L4027*G4027*100)-I4027, X))))</f>
        <v/>
      </c>
      <c r="N4027" s="78">
        <f>IF(ISBLANK(L4027),"",IF(AND(C4027="Sell",D4027="Stock"),M4027,IF(ISBLANK(L4027),"",IF(C4027="Buy",M4027, IF(AND(C4027="Sell",J4027="NA"),(E4027*G4027*100*0.1)+I4027, IF(C4027="Sell",(J4027-L4027)*(100*G4027)+I4027))))))</f>
        <v/>
      </c>
      <c r="O4027" s="75" t="n"/>
      <c r="P4027" s="75" t="n"/>
      <c r="Q4027" s="75">
        <f>IF(ISBLANK(P4027),"",IF(D4027="Stock",P4027*G4027,IF(P4027=0,"0",G4027*P4027*100-(G4027*$AF$14))))</f>
        <v/>
      </c>
      <c r="R4027" s="79">
        <f>IF(P4027&lt;&gt;"", TODAY(), "")</f>
        <v/>
      </c>
      <c r="S4027" s="78">
        <f>IF(AND(K4027&lt;&gt;"", R4027&lt;&gt;""), R4027-K4027, "")</f>
        <v/>
      </c>
      <c r="T4027" s="78" t="n"/>
      <c r="U4027" s="92">
        <f>IF(ISBLANK(P4027),"",IF(C4027="Buy",Q4027-M4027+T4027, IF(C4027="Sell",M4027-Q4027-T4027, X)))</f>
        <v/>
      </c>
      <c r="V4027" s="81">
        <f>IF(ISBLANK(P4027),"",U4027/N4027)</f>
        <v/>
      </c>
      <c r="W4027" s="81">
        <f>IF(ISBLANK(P4027),"",IF(S4027=0,(365/0.5)*V4027,(365/S4027)*V4027))</f>
        <v/>
      </c>
      <c r="X4027" s="75" t="n"/>
      <c r="Y4027" s="77" t="n"/>
      <c r="Z4027" s="77" t="n"/>
      <c r="AA4027" s="75" t="n"/>
      <c r="AB4027" s="75" t="n"/>
      <c r="AC4027" s="6" t="n"/>
      <c r="AD4027" s="75" t="n"/>
      <c r="AE4027" s="75" t="n"/>
      <c r="AF4027" s="75" t="n"/>
    </row>
    <row r="4028" ht="15.75" customHeight="1" s="133">
      <c r="A4028" s="75" t="n"/>
      <c r="B4028" s="75" t="n"/>
      <c r="C4028" s="75" t="n"/>
      <c r="D4028" s="75" t="n"/>
      <c r="E4028" s="76" t="n"/>
      <c r="F4028" s="77" t="n"/>
      <c r="G4028" s="75" t="n"/>
      <c r="H4028" s="75">
        <f>IF(ISBLANK(E4028),"",IF(OR(D4028="Butterfly",D4028="Butterfly ",D4028="Iron Fly", D4028="Iron Fly "),LEN(E4028)-LEN(SUBSTITUTE(E4028,"/",""))+2,LEN(E4028)-LEN(SUBSTITUTE(E4028,"/",""))+1))</f>
        <v/>
      </c>
      <c r="I4028" s="78">
        <f>IF(ISBLANK(G4028),"",IF(D4028="Stock","0",Key!$A$3*H4028*G4028))</f>
        <v/>
      </c>
      <c r="J4028" s="78">
        <f>IF(ISBLANK(E4028),"",IF(ISNUMBER(SEARCH("/",E4028)), IF(LEN(E4028)-LEN(SUBSTITUTE(E4028,"/",""))=1,(RIGHT(E4028,LEN(E4028)-FIND("/",E4028)))-(LEFT(E4028,FIND("/",E4028)-1)),(MID(E4028, SEARCH("/",E4028) + 1, SEARCH("/",E4028, SEARCH("/",E4028)+1) - SEARCH("/",E4028) - 1))-(LEFT(E4028,FIND("/",E4028)-1))), "NA"))</f>
        <v/>
      </c>
      <c r="K4028" s="79">
        <f>IF(A4028&lt;&gt;"", IF(ISBLANK(L4028), TODAY(), K4028), "")</f>
        <v/>
      </c>
      <c r="L4028" s="78" t="n"/>
      <c r="M4028" s="78">
        <f>IF(ISBLANK(L4028),"",IF(D4028="Stock",IF(C4028="Buy",L4028*G4028,IF(C4028="Sell",(L4028*G4028)-I4028, X)),IF(C4028="Buy",(L4028*G4028*100)+I4028,IF(C4028="Sell",(L4028*G4028*100)-I4028, X))))</f>
        <v/>
      </c>
      <c r="N4028" s="78">
        <f>IF(ISBLANK(L4028),"",IF(AND(C4028="Sell",D4028="Stock"),M4028,IF(ISBLANK(L4028),"",IF(C4028="Buy",M4028, IF(AND(C4028="Sell",J4028="NA"),(E4028*G4028*100*0.1)+I4028, IF(C4028="Sell",(J4028-L4028)*(100*G4028)+I4028))))))</f>
        <v/>
      </c>
      <c r="O4028" s="75" t="n"/>
      <c r="P4028" s="75" t="n"/>
      <c r="Q4028" s="75">
        <f>IF(ISBLANK(P4028),"",IF(D4028="Stock",P4028*G4028,IF(P4028=0,"0",G4028*P4028*100-(G4028*$AF$14))))</f>
        <v/>
      </c>
      <c r="R4028" s="79">
        <f>IF(P4028&lt;&gt;"", TODAY(), "")</f>
        <v/>
      </c>
      <c r="S4028" s="78">
        <f>IF(AND(K4028&lt;&gt;"", R4028&lt;&gt;""), R4028-K4028, "")</f>
        <v/>
      </c>
      <c r="T4028" s="78" t="n"/>
      <c r="U4028" s="92">
        <f>IF(ISBLANK(P4028),"",IF(C4028="Buy",Q4028-M4028+T4028, IF(C4028="Sell",M4028-Q4028-T4028, X)))</f>
        <v/>
      </c>
      <c r="V4028" s="81">
        <f>IF(ISBLANK(P4028),"",U4028/N4028)</f>
        <v/>
      </c>
      <c r="W4028" s="81">
        <f>IF(ISBLANK(P4028),"",IF(S4028=0,(365/0.5)*V4028,(365/S4028)*V4028))</f>
        <v/>
      </c>
      <c r="X4028" s="75" t="n"/>
      <c r="Y4028" s="77" t="n"/>
      <c r="Z4028" s="77" t="n"/>
      <c r="AA4028" s="75" t="n"/>
      <c r="AB4028" s="75" t="n"/>
      <c r="AC4028" s="6" t="n"/>
      <c r="AD4028" s="75" t="n"/>
      <c r="AE4028" s="75" t="n"/>
      <c r="AF4028" s="75" t="n"/>
    </row>
    <row r="4029" ht="15.75" customHeight="1" s="133">
      <c r="A4029" s="75" t="n"/>
      <c r="B4029" s="75" t="n"/>
      <c r="C4029" s="75" t="n"/>
      <c r="D4029" s="75" t="n"/>
      <c r="E4029" s="76" t="n"/>
      <c r="F4029" s="77" t="n"/>
      <c r="G4029" s="75" t="n"/>
      <c r="H4029" s="75">
        <f>IF(ISBLANK(E4029),"",IF(OR(D4029="Butterfly",D4029="Butterfly ",D4029="Iron Fly", D4029="Iron Fly "),LEN(E4029)-LEN(SUBSTITUTE(E4029,"/",""))+2,LEN(E4029)-LEN(SUBSTITUTE(E4029,"/",""))+1))</f>
        <v/>
      </c>
      <c r="I4029" s="78">
        <f>IF(ISBLANK(G4029),"",IF(D4029="Stock","0",Key!$A$3*H4029*G4029))</f>
        <v/>
      </c>
      <c r="J4029" s="78">
        <f>IF(ISBLANK(E4029),"",IF(ISNUMBER(SEARCH("/",E4029)), IF(LEN(E4029)-LEN(SUBSTITUTE(E4029,"/",""))=1,(RIGHT(E4029,LEN(E4029)-FIND("/",E4029)))-(LEFT(E4029,FIND("/",E4029)-1)),(MID(E4029, SEARCH("/",E4029) + 1, SEARCH("/",E4029, SEARCH("/",E4029)+1) - SEARCH("/",E4029) - 1))-(LEFT(E4029,FIND("/",E4029)-1))), "NA"))</f>
        <v/>
      </c>
      <c r="K4029" s="79">
        <f>IF(A4029&lt;&gt;"", IF(ISBLANK(L4029), TODAY(), K4029), "")</f>
        <v/>
      </c>
      <c r="L4029" s="78" t="n"/>
      <c r="M4029" s="78">
        <f>IF(ISBLANK(L4029),"",IF(D4029="Stock",IF(C4029="Buy",L4029*G4029,IF(C4029="Sell",(L4029*G4029)-I4029, X)),IF(C4029="Buy",(L4029*G4029*100)+I4029,IF(C4029="Sell",(L4029*G4029*100)-I4029, X))))</f>
        <v/>
      </c>
      <c r="N4029" s="78">
        <f>IF(ISBLANK(L4029),"",IF(AND(C4029="Sell",D4029="Stock"),M4029,IF(ISBLANK(L4029),"",IF(C4029="Buy",M4029, IF(AND(C4029="Sell",J4029="NA"),(E4029*G4029*100*0.1)+I4029, IF(C4029="Sell",(J4029-L4029)*(100*G4029)+I4029))))))</f>
        <v/>
      </c>
      <c r="O4029" s="75" t="n"/>
      <c r="P4029" s="75" t="n"/>
      <c r="Q4029" s="75">
        <f>IF(ISBLANK(P4029),"",IF(D4029="Stock",P4029*G4029,IF(P4029=0,"0",G4029*P4029*100-(G4029*$AF$14))))</f>
        <v/>
      </c>
      <c r="R4029" s="79">
        <f>IF(P4029&lt;&gt;"", TODAY(), "")</f>
        <v/>
      </c>
      <c r="S4029" s="78">
        <f>IF(AND(K4029&lt;&gt;"", R4029&lt;&gt;""), R4029-K4029, "")</f>
        <v/>
      </c>
      <c r="T4029" s="78" t="n"/>
      <c r="U4029" s="92">
        <f>IF(ISBLANK(P4029),"",IF(C4029="Buy",Q4029-M4029+T4029, IF(C4029="Sell",M4029-Q4029-T4029, X)))</f>
        <v/>
      </c>
      <c r="V4029" s="81">
        <f>IF(ISBLANK(P4029),"",U4029/N4029)</f>
        <v/>
      </c>
      <c r="W4029" s="81">
        <f>IF(ISBLANK(P4029),"",IF(S4029=0,(365/0.5)*V4029,(365/S4029)*V4029))</f>
        <v/>
      </c>
      <c r="X4029" s="75" t="n"/>
      <c r="Y4029" s="77" t="n"/>
      <c r="Z4029" s="77" t="n"/>
      <c r="AA4029" s="75" t="n"/>
      <c r="AB4029" s="75" t="n"/>
      <c r="AC4029" s="6" t="n"/>
      <c r="AD4029" s="75" t="n"/>
      <c r="AE4029" s="75" t="n"/>
      <c r="AF4029" s="75" t="n"/>
    </row>
    <row r="4030" ht="15.75" customHeight="1" s="133">
      <c r="A4030" s="75" t="n"/>
      <c r="B4030" s="75" t="n"/>
      <c r="C4030" s="75" t="n"/>
      <c r="D4030" s="75" t="n"/>
      <c r="E4030" s="76" t="n"/>
      <c r="F4030" s="77" t="n"/>
      <c r="G4030" s="75" t="n"/>
      <c r="H4030" s="75">
        <f>IF(ISBLANK(E4030),"",IF(OR(D4030="Butterfly",D4030="Butterfly ",D4030="Iron Fly", D4030="Iron Fly "),LEN(E4030)-LEN(SUBSTITUTE(E4030,"/",""))+2,LEN(E4030)-LEN(SUBSTITUTE(E4030,"/",""))+1))</f>
        <v/>
      </c>
      <c r="I4030" s="78">
        <f>IF(ISBLANK(G4030),"",IF(D4030="Stock","0",Key!$A$3*H4030*G4030))</f>
        <v/>
      </c>
      <c r="J4030" s="78">
        <f>IF(ISBLANK(E4030),"",IF(ISNUMBER(SEARCH("/",E4030)), IF(LEN(E4030)-LEN(SUBSTITUTE(E4030,"/",""))=1,(RIGHT(E4030,LEN(E4030)-FIND("/",E4030)))-(LEFT(E4030,FIND("/",E4030)-1)),(MID(E4030, SEARCH("/",E4030) + 1, SEARCH("/",E4030, SEARCH("/",E4030)+1) - SEARCH("/",E4030) - 1))-(LEFT(E4030,FIND("/",E4030)-1))), "NA"))</f>
        <v/>
      </c>
      <c r="K4030" s="79">
        <f>IF(A4030&lt;&gt;"", IF(ISBLANK(L4030), TODAY(), K4030), "")</f>
        <v/>
      </c>
      <c r="L4030" s="78" t="n"/>
      <c r="M4030" s="78">
        <f>IF(ISBLANK(L4030),"",IF(D4030="Stock",IF(C4030="Buy",L4030*G4030,IF(C4030="Sell",(L4030*G4030)-I4030, X)),IF(C4030="Buy",(L4030*G4030*100)+I4030,IF(C4030="Sell",(L4030*G4030*100)-I4030, X))))</f>
        <v/>
      </c>
      <c r="N4030" s="78">
        <f>IF(ISBLANK(L4030),"",IF(AND(C4030="Sell",D4030="Stock"),M4030,IF(ISBLANK(L4030),"",IF(C4030="Buy",M4030, IF(AND(C4030="Sell",J4030="NA"),(E4030*G4030*100*0.1)+I4030, IF(C4030="Sell",(J4030-L4030)*(100*G4030)+I4030))))))</f>
        <v/>
      </c>
      <c r="O4030" s="75" t="n"/>
      <c r="P4030" s="75" t="n"/>
      <c r="Q4030" s="75">
        <f>IF(ISBLANK(P4030),"",IF(D4030="Stock",P4030*G4030,IF(P4030=0,"0",G4030*P4030*100-(G4030*$AF$14))))</f>
        <v/>
      </c>
      <c r="R4030" s="79">
        <f>IF(P4030&lt;&gt;"", TODAY(), "")</f>
        <v/>
      </c>
      <c r="S4030" s="78">
        <f>IF(AND(K4030&lt;&gt;"", R4030&lt;&gt;""), R4030-K4030, "")</f>
        <v/>
      </c>
      <c r="T4030" s="78" t="n"/>
      <c r="U4030" s="92">
        <f>IF(ISBLANK(P4030),"",IF(C4030="Buy",Q4030-M4030+T4030, IF(C4030="Sell",M4030-Q4030-T4030, X)))</f>
        <v/>
      </c>
      <c r="V4030" s="81">
        <f>IF(ISBLANK(P4030),"",U4030/N4030)</f>
        <v/>
      </c>
      <c r="W4030" s="81">
        <f>IF(ISBLANK(P4030),"",IF(S4030=0,(365/0.5)*V4030,(365/S4030)*V4030))</f>
        <v/>
      </c>
      <c r="X4030" s="75" t="n"/>
      <c r="Y4030" s="77" t="n"/>
      <c r="Z4030" s="77" t="n"/>
      <c r="AA4030" s="75" t="n"/>
      <c r="AB4030" s="75" t="n"/>
      <c r="AC4030" s="6" t="n"/>
      <c r="AD4030" s="75" t="n"/>
      <c r="AE4030" s="75" t="n"/>
      <c r="AF4030" s="75" t="n"/>
    </row>
    <row r="4031" ht="15.75" customHeight="1" s="133">
      <c r="A4031" s="75" t="n"/>
      <c r="B4031" s="75" t="n"/>
      <c r="C4031" s="75" t="n"/>
      <c r="D4031" s="75" t="n"/>
      <c r="E4031" s="76" t="n"/>
      <c r="F4031" s="77" t="n"/>
      <c r="G4031" s="75" t="n"/>
      <c r="H4031" s="75">
        <f>IF(ISBLANK(E4031),"",IF(OR(D4031="Butterfly",D4031="Butterfly ",D4031="Iron Fly", D4031="Iron Fly "),LEN(E4031)-LEN(SUBSTITUTE(E4031,"/",""))+2,LEN(E4031)-LEN(SUBSTITUTE(E4031,"/",""))+1))</f>
        <v/>
      </c>
      <c r="I4031" s="78">
        <f>IF(ISBLANK(G4031),"",IF(D4031="Stock","0",Key!$A$3*H4031*G4031))</f>
        <v/>
      </c>
      <c r="J4031" s="78">
        <f>IF(ISBLANK(E4031),"",IF(ISNUMBER(SEARCH("/",E4031)), IF(LEN(E4031)-LEN(SUBSTITUTE(E4031,"/",""))=1,(RIGHT(E4031,LEN(E4031)-FIND("/",E4031)))-(LEFT(E4031,FIND("/",E4031)-1)),(MID(E4031, SEARCH("/",E4031) + 1, SEARCH("/",E4031, SEARCH("/",E4031)+1) - SEARCH("/",E4031) - 1))-(LEFT(E4031,FIND("/",E4031)-1))), "NA"))</f>
        <v/>
      </c>
      <c r="K4031" s="79">
        <f>IF(A4031&lt;&gt;"", IF(ISBLANK(L4031), TODAY(), K4031), "")</f>
        <v/>
      </c>
      <c r="L4031" s="78" t="n"/>
      <c r="M4031" s="78">
        <f>IF(ISBLANK(L4031),"",IF(D4031="Stock",IF(C4031="Buy",L4031*G4031,IF(C4031="Sell",(L4031*G4031)-I4031, X)),IF(C4031="Buy",(L4031*G4031*100)+I4031,IF(C4031="Sell",(L4031*G4031*100)-I4031, X))))</f>
        <v/>
      </c>
      <c r="N4031" s="78">
        <f>IF(ISBLANK(L4031),"",IF(AND(C4031="Sell",D4031="Stock"),M4031,IF(ISBLANK(L4031),"",IF(C4031="Buy",M4031, IF(AND(C4031="Sell",J4031="NA"),(E4031*G4031*100*0.1)+I4031, IF(C4031="Sell",(J4031-L4031)*(100*G4031)+I4031))))))</f>
        <v/>
      </c>
      <c r="O4031" s="75" t="n"/>
      <c r="P4031" s="75" t="n"/>
      <c r="Q4031" s="75">
        <f>IF(ISBLANK(P4031),"",IF(D4031="Stock",P4031*G4031,IF(P4031=0,"0",G4031*P4031*100-(G4031*$AF$14))))</f>
        <v/>
      </c>
      <c r="R4031" s="79">
        <f>IF(P4031&lt;&gt;"", TODAY(), "")</f>
        <v/>
      </c>
      <c r="S4031" s="78">
        <f>IF(AND(K4031&lt;&gt;"", R4031&lt;&gt;""), R4031-K4031, "")</f>
        <v/>
      </c>
      <c r="T4031" s="78" t="n"/>
      <c r="U4031" s="92">
        <f>IF(ISBLANK(P4031),"",IF(C4031="Buy",Q4031-M4031+T4031, IF(C4031="Sell",M4031-Q4031-T4031, X)))</f>
        <v/>
      </c>
      <c r="V4031" s="81">
        <f>IF(ISBLANK(P4031),"",U4031/N4031)</f>
        <v/>
      </c>
      <c r="W4031" s="81">
        <f>IF(ISBLANK(P4031),"",IF(S4031=0,(365/0.5)*V4031,(365/S4031)*V4031))</f>
        <v/>
      </c>
      <c r="X4031" s="75" t="n"/>
      <c r="Y4031" s="77" t="n"/>
      <c r="Z4031" s="77" t="n"/>
      <c r="AA4031" s="75" t="n"/>
      <c r="AB4031" s="75" t="n"/>
      <c r="AC4031" s="6" t="n"/>
      <c r="AD4031" s="75" t="n"/>
      <c r="AE4031" s="75" t="n"/>
      <c r="AF4031" s="75" t="n"/>
    </row>
    <row r="4032" ht="15.75" customHeight="1" s="133">
      <c r="A4032" s="75" t="n"/>
      <c r="B4032" s="75" t="n"/>
      <c r="C4032" s="75" t="n"/>
      <c r="D4032" s="75" t="n"/>
      <c r="E4032" s="76" t="n"/>
      <c r="F4032" s="77" t="n"/>
      <c r="G4032" s="75" t="n"/>
      <c r="H4032" s="75">
        <f>IF(ISBLANK(E4032),"",IF(OR(D4032="Butterfly",D4032="Butterfly ",D4032="Iron Fly", D4032="Iron Fly "),LEN(E4032)-LEN(SUBSTITUTE(E4032,"/",""))+2,LEN(E4032)-LEN(SUBSTITUTE(E4032,"/",""))+1))</f>
        <v/>
      </c>
      <c r="I4032" s="78">
        <f>IF(ISBLANK(G4032),"",IF(D4032="Stock","0",Key!$A$3*H4032*G4032))</f>
        <v/>
      </c>
      <c r="J4032" s="78">
        <f>IF(ISBLANK(E4032),"",IF(ISNUMBER(SEARCH("/",E4032)), IF(LEN(E4032)-LEN(SUBSTITUTE(E4032,"/",""))=1,(RIGHT(E4032,LEN(E4032)-FIND("/",E4032)))-(LEFT(E4032,FIND("/",E4032)-1)),(MID(E4032, SEARCH("/",E4032) + 1, SEARCH("/",E4032, SEARCH("/",E4032)+1) - SEARCH("/",E4032) - 1))-(LEFT(E4032,FIND("/",E4032)-1))), "NA"))</f>
        <v/>
      </c>
      <c r="K4032" s="79">
        <f>IF(A4032&lt;&gt;"", IF(ISBLANK(L4032), TODAY(), K4032), "")</f>
        <v/>
      </c>
      <c r="L4032" s="78" t="n"/>
      <c r="M4032" s="78">
        <f>IF(ISBLANK(L4032),"",IF(D4032="Stock",IF(C4032="Buy",L4032*G4032,IF(C4032="Sell",(L4032*G4032)-I4032, X)),IF(C4032="Buy",(L4032*G4032*100)+I4032,IF(C4032="Sell",(L4032*G4032*100)-I4032, X))))</f>
        <v/>
      </c>
      <c r="N4032" s="78">
        <f>IF(ISBLANK(L4032),"",IF(AND(C4032="Sell",D4032="Stock"),M4032,IF(ISBLANK(L4032),"",IF(C4032="Buy",M4032, IF(AND(C4032="Sell",J4032="NA"),(E4032*G4032*100*0.1)+I4032, IF(C4032="Sell",(J4032-L4032)*(100*G4032)+I4032))))))</f>
        <v/>
      </c>
      <c r="O4032" s="75" t="n"/>
      <c r="P4032" s="75" t="n"/>
      <c r="Q4032" s="75">
        <f>IF(ISBLANK(P4032),"",IF(D4032="Stock",P4032*G4032,IF(P4032=0,"0",G4032*P4032*100-(G4032*$AF$14))))</f>
        <v/>
      </c>
      <c r="R4032" s="79">
        <f>IF(P4032&lt;&gt;"", TODAY(), "")</f>
        <v/>
      </c>
      <c r="S4032" s="78">
        <f>IF(AND(K4032&lt;&gt;"", R4032&lt;&gt;""), R4032-K4032, "")</f>
        <v/>
      </c>
      <c r="T4032" s="78" t="n"/>
      <c r="U4032" s="92">
        <f>IF(ISBLANK(P4032),"",IF(C4032="Buy",Q4032-M4032+T4032, IF(C4032="Sell",M4032-Q4032-T4032, X)))</f>
        <v/>
      </c>
      <c r="V4032" s="81">
        <f>IF(ISBLANK(P4032),"",U4032/N4032)</f>
        <v/>
      </c>
      <c r="W4032" s="81">
        <f>IF(ISBLANK(P4032),"",IF(S4032=0,(365/0.5)*V4032,(365/S4032)*V4032))</f>
        <v/>
      </c>
      <c r="X4032" s="75" t="n"/>
      <c r="Y4032" s="77" t="n"/>
      <c r="Z4032" s="77" t="n"/>
      <c r="AA4032" s="75" t="n"/>
      <c r="AB4032" s="75" t="n"/>
      <c r="AC4032" s="6" t="n"/>
      <c r="AD4032" s="75" t="n"/>
      <c r="AE4032" s="75" t="n"/>
      <c r="AF4032" s="75" t="n"/>
    </row>
    <row r="4033" ht="15.75" customHeight="1" s="133">
      <c r="A4033" s="75" t="n"/>
      <c r="B4033" s="75" t="n"/>
      <c r="C4033" s="75" t="n"/>
      <c r="D4033" s="75" t="n"/>
      <c r="E4033" s="76" t="n"/>
      <c r="F4033" s="77" t="n"/>
      <c r="G4033" s="75" t="n"/>
      <c r="H4033" s="75">
        <f>IF(ISBLANK(E4033),"",IF(OR(D4033="Butterfly",D4033="Butterfly ",D4033="Iron Fly", D4033="Iron Fly "),LEN(E4033)-LEN(SUBSTITUTE(E4033,"/",""))+2,LEN(E4033)-LEN(SUBSTITUTE(E4033,"/",""))+1))</f>
        <v/>
      </c>
      <c r="I4033" s="78">
        <f>IF(ISBLANK(G4033),"",IF(D4033="Stock","0",Key!$A$3*H4033*G4033))</f>
        <v/>
      </c>
      <c r="J4033" s="78">
        <f>IF(ISBLANK(E4033),"",IF(ISNUMBER(SEARCH("/",E4033)), IF(LEN(E4033)-LEN(SUBSTITUTE(E4033,"/",""))=1,(RIGHT(E4033,LEN(E4033)-FIND("/",E4033)))-(LEFT(E4033,FIND("/",E4033)-1)),(MID(E4033, SEARCH("/",E4033) + 1, SEARCH("/",E4033, SEARCH("/",E4033)+1) - SEARCH("/",E4033) - 1))-(LEFT(E4033,FIND("/",E4033)-1))), "NA"))</f>
        <v/>
      </c>
      <c r="K4033" s="79">
        <f>IF(A4033&lt;&gt;"", IF(ISBLANK(L4033), TODAY(), K4033), "")</f>
        <v/>
      </c>
      <c r="L4033" s="78" t="n"/>
      <c r="M4033" s="78">
        <f>IF(ISBLANK(L4033),"",IF(D4033="Stock",IF(C4033="Buy",L4033*G4033,IF(C4033="Sell",(L4033*G4033)-I4033, X)),IF(C4033="Buy",(L4033*G4033*100)+I4033,IF(C4033="Sell",(L4033*G4033*100)-I4033, X))))</f>
        <v/>
      </c>
      <c r="N4033" s="78">
        <f>IF(ISBLANK(L4033),"",IF(AND(C4033="Sell",D4033="Stock"),M4033,IF(ISBLANK(L4033),"",IF(C4033="Buy",M4033, IF(AND(C4033="Sell",J4033="NA"),(E4033*G4033*100*0.1)+I4033, IF(C4033="Sell",(J4033-L4033)*(100*G4033)+I4033))))))</f>
        <v/>
      </c>
      <c r="O4033" s="75" t="n"/>
      <c r="P4033" s="75" t="n"/>
      <c r="Q4033" s="75">
        <f>IF(ISBLANK(P4033),"",IF(D4033="Stock",P4033*G4033,IF(P4033=0,"0",G4033*P4033*100-(G4033*$AF$14))))</f>
        <v/>
      </c>
      <c r="R4033" s="79">
        <f>IF(P4033&lt;&gt;"", TODAY(), "")</f>
        <v/>
      </c>
      <c r="S4033" s="78">
        <f>IF(AND(K4033&lt;&gt;"", R4033&lt;&gt;""), R4033-K4033, "")</f>
        <v/>
      </c>
      <c r="T4033" s="78" t="n"/>
      <c r="U4033" s="92">
        <f>IF(ISBLANK(P4033),"",IF(C4033="Buy",Q4033-M4033+T4033, IF(C4033="Sell",M4033-Q4033-T4033, X)))</f>
        <v/>
      </c>
      <c r="V4033" s="81">
        <f>IF(ISBLANK(P4033),"",U4033/N4033)</f>
        <v/>
      </c>
      <c r="W4033" s="81">
        <f>IF(ISBLANK(P4033),"",IF(S4033=0,(365/0.5)*V4033,(365/S4033)*V4033))</f>
        <v/>
      </c>
      <c r="X4033" s="75" t="n"/>
      <c r="Y4033" s="77" t="n"/>
      <c r="Z4033" s="77" t="n"/>
      <c r="AA4033" s="75" t="n"/>
      <c r="AB4033" s="75" t="n"/>
      <c r="AC4033" s="6" t="n"/>
      <c r="AD4033" s="75" t="n"/>
      <c r="AE4033" s="75" t="n"/>
      <c r="AF4033" s="75" t="n"/>
    </row>
    <row r="4034" ht="15.75" customHeight="1" s="133">
      <c r="A4034" s="75" t="n"/>
      <c r="B4034" s="75" t="n"/>
      <c r="C4034" s="75" t="n"/>
      <c r="D4034" s="75" t="n"/>
      <c r="E4034" s="76" t="n"/>
      <c r="F4034" s="77" t="n"/>
      <c r="G4034" s="75" t="n"/>
      <c r="H4034" s="75">
        <f>IF(ISBLANK(E4034),"",IF(OR(D4034="Butterfly",D4034="Butterfly ",D4034="Iron Fly", D4034="Iron Fly "),LEN(E4034)-LEN(SUBSTITUTE(E4034,"/",""))+2,LEN(E4034)-LEN(SUBSTITUTE(E4034,"/",""))+1))</f>
        <v/>
      </c>
      <c r="I4034" s="78">
        <f>IF(ISBLANK(G4034),"",IF(D4034="Stock","0",Key!$A$3*H4034*G4034))</f>
        <v/>
      </c>
      <c r="J4034" s="78">
        <f>IF(ISBLANK(E4034),"",IF(ISNUMBER(SEARCH("/",E4034)), IF(LEN(E4034)-LEN(SUBSTITUTE(E4034,"/",""))=1,(RIGHT(E4034,LEN(E4034)-FIND("/",E4034)))-(LEFT(E4034,FIND("/",E4034)-1)),(MID(E4034, SEARCH("/",E4034) + 1, SEARCH("/",E4034, SEARCH("/",E4034)+1) - SEARCH("/",E4034) - 1))-(LEFT(E4034,FIND("/",E4034)-1))), "NA"))</f>
        <v/>
      </c>
      <c r="K4034" s="79">
        <f>IF(A4034&lt;&gt;"", IF(ISBLANK(L4034), TODAY(), K4034), "")</f>
        <v/>
      </c>
      <c r="L4034" s="78" t="n"/>
      <c r="M4034" s="78">
        <f>IF(ISBLANK(L4034),"",IF(D4034="Stock",IF(C4034="Buy",L4034*G4034,IF(C4034="Sell",(L4034*G4034)-I4034, X)),IF(C4034="Buy",(L4034*G4034*100)+I4034,IF(C4034="Sell",(L4034*G4034*100)-I4034, X))))</f>
        <v/>
      </c>
      <c r="N4034" s="78">
        <f>IF(ISBLANK(L4034),"",IF(AND(C4034="Sell",D4034="Stock"),M4034,IF(ISBLANK(L4034),"",IF(C4034="Buy",M4034, IF(AND(C4034="Sell",J4034="NA"),(E4034*G4034*100*0.1)+I4034, IF(C4034="Sell",(J4034-L4034)*(100*G4034)+I4034))))))</f>
        <v/>
      </c>
      <c r="O4034" s="75" t="n"/>
      <c r="P4034" s="75" t="n"/>
      <c r="Q4034" s="75">
        <f>IF(ISBLANK(P4034),"",IF(D4034="Stock",P4034*G4034,IF(P4034=0,"0",G4034*P4034*100-(G4034*$AF$14))))</f>
        <v/>
      </c>
      <c r="R4034" s="79">
        <f>IF(P4034&lt;&gt;"", TODAY(), "")</f>
        <v/>
      </c>
      <c r="S4034" s="78">
        <f>IF(AND(K4034&lt;&gt;"", R4034&lt;&gt;""), R4034-K4034, "")</f>
        <v/>
      </c>
      <c r="T4034" s="78" t="n"/>
      <c r="U4034" s="92">
        <f>IF(ISBLANK(P4034),"",IF(C4034="Buy",Q4034-M4034+T4034, IF(C4034="Sell",M4034-Q4034-T4034, X)))</f>
        <v/>
      </c>
      <c r="V4034" s="81">
        <f>IF(ISBLANK(P4034),"",U4034/N4034)</f>
        <v/>
      </c>
      <c r="W4034" s="81">
        <f>IF(ISBLANK(P4034),"",IF(S4034=0,(365/0.5)*V4034,(365/S4034)*V4034))</f>
        <v/>
      </c>
      <c r="X4034" s="75" t="n"/>
      <c r="Y4034" s="77" t="n"/>
      <c r="Z4034" s="77" t="n"/>
      <c r="AA4034" s="75" t="n"/>
      <c r="AB4034" s="75" t="n"/>
      <c r="AC4034" s="6" t="n"/>
      <c r="AD4034" s="75" t="n"/>
      <c r="AE4034" s="75" t="n"/>
      <c r="AF4034" s="75" t="n"/>
    </row>
    <row r="4035" ht="15.75" customHeight="1" s="133">
      <c r="A4035" s="75" t="n"/>
      <c r="B4035" s="75" t="n"/>
      <c r="C4035" s="75" t="n"/>
      <c r="D4035" s="75" t="n"/>
      <c r="E4035" s="76" t="n"/>
      <c r="F4035" s="77" t="n"/>
      <c r="G4035" s="75" t="n"/>
      <c r="H4035" s="75">
        <f>IF(ISBLANK(E4035),"",IF(OR(D4035="Butterfly",D4035="Butterfly ",D4035="Iron Fly", D4035="Iron Fly "),LEN(E4035)-LEN(SUBSTITUTE(E4035,"/",""))+2,LEN(E4035)-LEN(SUBSTITUTE(E4035,"/",""))+1))</f>
        <v/>
      </c>
      <c r="I4035" s="78">
        <f>IF(ISBLANK(G4035),"",IF(D4035="Stock","0",Key!$A$3*H4035*G4035))</f>
        <v/>
      </c>
      <c r="J4035" s="78">
        <f>IF(ISBLANK(E4035),"",IF(ISNUMBER(SEARCH("/",E4035)), IF(LEN(E4035)-LEN(SUBSTITUTE(E4035,"/",""))=1,(RIGHT(E4035,LEN(E4035)-FIND("/",E4035)))-(LEFT(E4035,FIND("/",E4035)-1)),(MID(E4035, SEARCH("/",E4035) + 1, SEARCH("/",E4035, SEARCH("/",E4035)+1) - SEARCH("/",E4035) - 1))-(LEFT(E4035,FIND("/",E4035)-1))), "NA"))</f>
        <v/>
      </c>
      <c r="K4035" s="79">
        <f>IF(A4035&lt;&gt;"", IF(ISBLANK(L4035), TODAY(), K4035), "")</f>
        <v/>
      </c>
      <c r="L4035" s="78" t="n"/>
      <c r="M4035" s="78">
        <f>IF(ISBLANK(L4035),"",IF(D4035="Stock",IF(C4035="Buy",L4035*G4035,IF(C4035="Sell",(L4035*G4035)-I4035, X)),IF(C4035="Buy",(L4035*G4035*100)+I4035,IF(C4035="Sell",(L4035*G4035*100)-I4035, X))))</f>
        <v/>
      </c>
      <c r="N4035" s="78">
        <f>IF(ISBLANK(L4035),"",IF(AND(C4035="Sell",D4035="Stock"),M4035,IF(ISBLANK(L4035),"",IF(C4035="Buy",M4035, IF(AND(C4035="Sell",J4035="NA"),(E4035*G4035*100*0.1)+I4035, IF(C4035="Sell",(J4035-L4035)*(100*G4035)+I4035))))))</f>
        <v/>
      </c>
      <c r="O4035" s="75" t="n"/>
      <c r="P4035" s="75" t="n"/>
      <c r="Q4035" s="75">
        <f>IF(ISBLANK(P4035),"",IF(D4035="Stock",P4035*G4035,IF(P4035=0,"0",G4035*P4035*100-(G4035*$AF$14))))</f>
        <v/>
      </c>
      <c r="R4035" s="79">
        <f>IF(P4035&lt;&gt;"", TODAY(), "")</f>
        <v/>
      </c>
      <c r="S4035" s="78">
        <f>IF(AND(K4035&lt;&gt;"", R4035&lt;&gt;""), R4035-K4035, "")</f>
        <v/>
      </c>
      <c r="T4035" s="78" t="n"/>
      <c r="U4035" s="92">
        <f>IF(ISBLANK(P4035),"",IF(C4035="Buy",Q4035-M4035+T4035, IF(C4035="Sell",M4035-Q4035-T4035, X)))</f>
        <v/>
      </c>
      <c r="V4035" s="81">
        <f>IF(ISBLANK(P4035),"",U4035/N4035)</f>
        <v/>
      </c>
      <c r="W4035" s="81">
        <f>IF(ISBLANK(P4035),"",IF(S4035=0,(365/0.5)*V4035,(365/S4035)*V4035))</f>
        <v/>
      </c>
      <c r="X4035" s="75" t="n"/>
      <c r="Y4035" s="77" t="n"/>
      <c r="Z4035" s="77" t="n"/>
      <c r="AA4035" s="75" t="n"/>
      <c r="AB4035" s="75" t="n"/>
      <c r="AC4035" s="6" t="n"/>
      <c r="AD4035" s="75" t="n"/>
      <c r="AE4035" s="75" t="n"/>
      <c r="AF4035" s="75" t="n"/>
    </row>
    <row r="4036" ht="15.75" customHeight="1" s="133">
      <c r="A4036" s="75" t="n"/>
      <c r="B4036" s="75" t="n"/>
      <c r="C4036" s="75" t="n"/>
      <c r="D4036" s="75" t="n"/>
      <c r="E4036" s="76" t="n"/>
      <c r="F4036" s="77" t="n"/>
      <c r="G4036" s="75" t="n"/>
      <c r="H4036" s="75">
        <f>IF(ISBLANK(E4036),"",IF(OR(D4036="Butterfly",D4036="Butterfly ",D4036="Iron Fly", D4036="Iron Fly "),LEN(E4036)-LEN(SUBSTITUTE(E4036,"/",""))+2,LEN(E4036)-LEN(SUBSTITUTE(E4036,"/",""))+1))</f>
        <v/>
      </c>
      <c r="I4036" s="78">
        <f>IF(ISBLANK(G4036),"",IF(D4036="Stock","0",Key!$A$3*H4036*G4036))</f>
        <v/>
      </c>
      <c r="J4036" s="78">
        <f>IF(ISBLANK(E4036),"",IF(ISNUMBER(SEARCH("/",E4036)), IF(LEN(E4036)-LEN(SUBSTITUTE(E4036,"/",""))=1,(RIGHT(E4036,LEN(E4036)-FIND("/",E4036)))-(LEFT(E4036,FIND("/",E4036)-1)),(MID(E4036, SEARCH("/",E4036) + 1, SEARCH("/",E4036, SEARCH("/",E4036)+1) - SEARCH("/",E4036) - 1))-(LEFT(E4036,FIND("/",E4036)-1))), "NA"))</f>
        <v/>
      </c>
      <c r="K4036" s="79">
        <f>IF(A4036&lt;&gt;"", IF(ISBLANK(L4036), TODAY(), K4036), "")</f>
        <v/>
      </c>
      <c r="L4036" s="78" t="n"/>
      <c r="M4036" s="78">
        <f>IF(ISBLANK(L4036),"",IF(D4036="Stock",IF(C4036="Buy",L4036*G4036,IF(C4036="Sell",(L4036*G4036)-I4036, X)),IF(C4036="Buy",(L4036*G4036*100)+I4036,IF(C4036="Sell",(L4036*G4036*100)-I4036, X))))</f>
        <v/>
      </c>
      <c r="N4036" s="78">
        <f>IF(ISBLANK(L4036),"",IF(AND(C4036="Sell",D4036="Stock"),M4036,IF(ISBLANK(L4036),"",IF(C4036="Buy",M4036, IF(AND(C4036="Sell",J4036="NA"),(E4036*G4036*100*0.1)+I4036, IF(C4036="Sell",(J4036-L4036)*(100*G4036)+I4036))))))</f>
        <v/>
      </c>
      <c r="O4036" s="75" t="n"/>
      <c r="P4036" s="75" t="n"/>
      <c r="Q4036" s="75">
        <f>IF(ISBLANK(P4036),"",IF(D4036="Stock",P4036*G4036,IF(P4036=0,"0",G4036*P4036*100-(G4036*$AF$14))))</f>
        <v/>
      </c>
      <c r="R4036" s="79">
        <f>IF(P4036&lt;&gt;"", TODAY(), "")</f>
        <v/>
      </c>
      <c r="S4036" s="78">
        <f>IF(AND(K4036&lt;&gt;"", R4036&lt;&gt;""), R4036-K4036, "")</f>
        <v/>
      </c>
      <c r="T4036" s="78" t="n"/>
      <c r="U4036" s="92">
        <f>IF(ISBLANK(P4036),"",IF(C4036="Buy",Q4036-M4036+T4036, IF(C4036="Sell",M4036-Q4036-T4036, X)))</f>
        <v/>
      </c>
      <c r="V4036" s="81">
        <f>IF(ISBLANK(P4036),"",U4036/N4036)</f>
        <v/>
      </c>
      <c r="W4036" s="81">
        <f>IF(ISBLANK(P4036),"",IF(S4036=0,(365/0.5)*V4036,(365/S4036)*V4036))</f>
        <v/>
      </c>
      <c r="X4036" s="75" t="n"/>
      <c r="Y4036" s="77" t="n"/>
      <c r="Z4036" s="77" t="n"/>
      <c r="AA4036" s="75" t="n"/>
      <c r="AB4036" s="75" t="n"/>
      <c r="AC4036" s="6" t="n"/>
      <c r="AD4036" s="75" t="n"/>
      <c r="AE4036" s="75" t="n"/>
      <c r="AF4036" s="75" t="n"/>
    </row>
    <row r="4037" ht="15.75" customHeight="1" s="133">
      <c r="A4037" s="75" t="n"/>
      <c r="B4037" s="75" t="n"/>
      <c r="C4037" s="75" t="n"/>
      <c r="D4037" s="75" t="n"/>
      <c r="E4037" s="76" t="n"/>
      <c r="F4037" s="77" t="n"/>
      <c r="G4037" s="75" t="n"/>
      <c r="H4037" s="75">
        <f>IF(ISBLANK(E4037),"",IF(OR(D4037="Butterfly",D4037="Butterfly ",D4037="Iron Fly", D4037="Iron Fly "),LEN(E4037)-LEN(SUBSTITUTE(E4037,"/",""))+2,LEN(E4037)-LEN(SUBSTITUTE(E4037,"/",""))+1))</f>
        <v/>
      </c>
      <c r="I4037" s="78">
        <f>IF(ISBLANK(G4037),"",IF(D4037="Stock","0",Key!$A$3*H4037*G4037))</f>
        <v/>
      </c>
      <c r="J4037" s="78">
        <f>IF(ISBLANK(E4037),"",IF(ISNUMBER(SEARCH("/",E4037)), IF(LEN(E4037)-LEN(SUBSTITUTE(E4037,"/",""))=1,(RIGHT(E4037,LEN(E4037)-FIND("/",E4037)))-(LEFT(E4037,FIND("/",E4037)-1)),(MID(E4037, SEARCH("/",E4037) + 1, SEARCH("/",E4037, SEARCH("/",E4037)+1) - SEARCH("/",E4037) - 1))-(LEFT(E4037,FIND("/",E4037)-1))), "NA"))</f>
        <v/>
      </c>
      <c r="K4037" s="79">
        <f>IF(A4037&lt;&gt;"", IF(ISBLANK(L4037), TODAY(), K4037), "")</f>
        <v/>
      </c>
      <c r="L4037" s="78" t="n"/>
      <c r="M4037" s="78">
        <f>IF(ISBLANK(L4037),"",IF(D4037="Stock",IF(C4037="Buy",L4037*G4037,IF(C4037="Sell",(L4037*G4037)-I4037, X)),IF(C4037="Buy",(L4037*G4037*100)+I4037,IF(C4037="Sell",(L4037*G4037*100)-I4037, X))))</f>
        <v/>
      </c>
      <c r="N4037" s="78">
        <f>IF(ISBLANK(L4037),"",IF(AND(C4037="Sell",D4037="Stock"),M4037,IF(ISBLANK(L4037),"",IF(C4037="Buy",M4037, IF(AND(C4037="Sell",J4037="NA"),(E4037*G4037*100*0.1)+I4037, IF(C4037="Sell",(J4037-L4037)*(100*G4037)+I4037))))))</f>
        <v/>
      </c>
      <c r="O4037" s="75" t="n"/>
      <c r="P4037" s="75" t="n"/>
      <c r="Q4037" s="75">
        <f>IF(ISBLANK(P4037),"",IF(D4037="Stock",P4037*G4037,IF(P4037=0,"0",G4037*P4037*100-(G4037*$AF$14))))</f>
        <v/>
      </c>
      <c r="R4037" s="79">
        <f>IF(P4037&lt;&gt;"", TODAY(), "")</f>
        <v/>
      </c>
      <c r="S4037" s="78">
        <f>IF(AND(K4037&lt;&gt;"", R4037&lt;&gt;""), R4037-K4037, "")</f>
        <v/>
      </c>
      <c r="T4037" s="78" t="n"/>
      <c r="U4037" s="92">
        <f>IF(ISBLANK(P4037),"",IF(C4037="Buy",Q4037-M4037+T4037, IF(C4037="Sell",M4037-Q4037-T4037, X)))</f>
        <v/>
      </c>
      <c r="V4037" s="81">
        <f>IF(ISBLANK(P4037),"",U4037/N4037)</f>
        <v/>
      </c>
      <c r="W4037" s="81">
        <f>IF(ISBLANK(P4037),"",IF(S4037=0,(365/0.5)*V4037,(365/S4037)*V4037))</f>
        <v/>
      </c>
      <c r="X4037" s="75" t="n"/>
      <c r="Y4037" s="77" t="n"/>
      <c r="Z4037" s="77" t="n"/>
      <c r="AA4037" s="75" t="n"/>
      <c r="AB4037" s="75" t="n"/>
      <c r="AC4037" s="6" t="n"/>
      <c r="AD4037" s="75" t="n"/>
      <c r="AE4037" s="75" t="n"/>
      <c r="AF4037" s="75" t="n"/>
    </row>
    <row r="4038" ht="15.75" customHeight="1" s="133">
      <c r="A4038" s="75" t="n"/>
      <c r="B4038" s="75" t="n"/>
      <c r="C4038" s="75" t="n"/>
      <c r="D4038" s="75" t="n"/>
      <c r="E4038" s="76" t="n"/>
      <c r="F4038" s="77" t="n"/>
      <c r="G4038" s="75" t="n"/>
      <c r="H4038" s="75">
        <f>IF(ISBLANK(E4038),"",IF(OR(D4038="Butterfly",D4038="Butterfly ",D4038="Iron Fly", D4038="Iron Fly "),LEN(E4038)-LEN(SUBSTITUTE(E4038,"/",""))+2,LEN(E4038)-LEN(SUBSTITUTE(E4038,"/",""))+1))</f>
        <v/>
      </c>
      <c r="I4038" s="78">
        <f>IF(ISBLANK(G4038),"",IF(D4038="Stock","0",Key!$A$3*H4038*G4038))</f>
        <v/>
      </c>
      <c r="J4038" s="78">
        <f>IF(ISBLANK(E4038),"",IF(ISNUMBER(SEARCH("/",E4038)), IF(LEN(E4038)-LEN(SUBSTITUTE(E4038,"/",""))=1,(RIGHT(E4038,LEN(E4038)-FIND("/",E4038)))-(LEFT(E4038,FIND("/",E4038)-1)),(MID(E4038, SEARCH("/",E4038) + 1, SEARCH("/",E4038, SEARCH("/",E4038)+1) - SEARCH("/",E4038) - 1))-(LEFT(E4038,FIND("/",E4038)-1))), "NA"))</f>
        <v/>
      </c>
      <c r="K4038" s="79">
        <f>IF(A4038&lt;&gt;"", IF(ISBLANK(L4038), TODAY(), K4038), "")</f>
        <v/>
      </c>
      <c r="L4038" s="78" t="n"/>
      <c r="M4038" s="78">
        <f>IF(ISBLANK(L4038),"",IF(D4038="Stock",IF(C4038="Buy",L4038*G4038,IF(C4038="Sell",(L4038*G4038)-I4038, X)),IF(C4038="Buy",(L4038*G4038*100)+I4038,IF(C4038="Sell",(L4038*G4038*100)-I4038, X))))</f>
        <v/>
      </c>
      <c r="N4038" s="78">
        <f>IF(ISBLANK(L4038),"",IF(AND(C4038="Sell",D4038="Stock"),M4038,IF(ISBLANK(L4038),"",IF(C4038="Buy",M4038, IF(AND(C4038="Sell",J4038="NA"),(E4038*G4038*100*0.1)+I4038, IF(C4038="Sell",(J4038-L4038)*(100*G4038)+I4038))))))</f>
        <v/>
      </c>
      <c r="O4038" s="75" t="n"/>
      <c r="P4038" s="75" t="n"/>
      <c r="Q4038" s="75">
        <f>IF(ISBLANK(P4038),"",IF(D4038="Stock",P4038*G4038,IF(P4038=0,"0",G4038*P4038*100-(G4038*$AF$14))))</f>
        <v/>
      </c>
      <c r="R4038" s="79">
        <f>IF(P4038&lt;&gt;"", TODAY(), "")</f>
        <v/>
      </c>
      <c r="S4038" s="78">
        <f>IF(AND(K4038&lt;&gt;"", R4038&lt;&gt;""), R4038-K4038, "")</f>
        <v/>
      </c>
      <c r="T4038" s="78" t="n"/>
      <c r="U4038" s="92">
        <f>IF(ISBLANK(P4038),"",IF(C4038="Buy",Q4038-M4038+T4038, IF(C4038="Sell",M4038-Q4038-T4038, X)))</f>
        <v/>
      </c>
      <c r="V4038" s="81">
        <f>IF(ISBLANK(P4038),"",U4038/N4038)</f>
        <v/>
      </c>
      <c r="W4038" s="81">
        <f>IF(ISBLANK(P4038),"",IF(S4038=0,(365/0.5)*V4038,(365/S4038)*V4038))</f>
        <v/>
      </c>
      <c r="X4038" s="75" t="n"/>
      <c r="Y4038" s="77" t="n"/>
      <c r="Z4038" s="77" t="n"/>
      <c r="AA4038" s="75" t="n"/>
      <c r="AB4038" s="75" t="n"/>
      <c r="AC4038" s="6" t="n"/>
      <c r="AD4038" s="75" t="n"/>
      <c r="AE4038" s="75" t="n"/>
      <c r="AF4038" s="75" t="n"/>
    </row>
    <row r="4039" ht="15.75" customHeight="1" s="133">
      <c r="A4039" s="75" t="n"/>
      <c r="B4039" s="75" t="n"/>
      <c r="C4039" s="75" t="n"/>
      <c r="D4039" s="75" t="n"/>
      <c r="E4039" s="76" t="n"/>
      <c r="F4039" s="77" t="n"/>
      <c r="G4039" s="75" t="n"/>
      <c r="H4039" s="75">
        <f>IF(ISBLANK(E4039),"",IF(OR(D4039="Butterfly",D4039="Butterfly ",D4039="Iron Fly", D4039="Iron Fly "),LEN(E4039)-LEN(SUBSTITUTE(E4039,"/",""))+2,LEN(E4039)-LEN(SUBSTITUTE(E4039,"/",""))+1))</f>
        <v/>
      </c>
      <c r="I4039" s="78">
        <f>IF(ISBLANK(G4039),"",IF(D4039="Stock","0",Key!$A$3*H4039*G4039))</f>
        <v/>
      </c>
      <c r="J4039" s="78">
        <f>IF(ISBLANK(E4039),"",IF(ISNUMBER(SEARCH("/",E4039)), IF(LEN(E4039)-LEN(SUBSTITUTE(E4039,"/",""))=1,(RIGHT(E4039,LEN(E4039)-FIND("/",E4039)))-(LEFT(E4039,FIND("/",E4039)-1)),(MID(E4039, SEARCH("/",E4039) + 1, SEARCH("/",E4039, SEARCH("/",E4039)+1) - SEARCH("/",E4039) - 1))-(LEFT(E4039,FIND("/",E4039)-1))), "NA"))</f>
        <v/>
      </c>
      <c r="K4039" s="79">
        <f>IF(A4039&lt;&gt;"", IF(ISBLANK(L4039), TODAY(), K4039), "")</f>
        <v/>
      </c>
      <c r="L4039" s="78" t="n"/>
      <c r="M4039" s="78">
        <f>IF(ISBLANK(L4039),"",IF(D4039="Stock",IF(C4039="Buy",L4039*G4039,IF(C4039="Sell",(L4039*G4039)-I4039, X)),IF(C4039="Buy",(L4039*G4039*100)+I4039,IF(C4039="Sell",(L4039*G4039*100)-I4039, X))))</f>
        <v/>
      </c>
      <c r="N4039" s="78">
        <f>IF(ISBLANK(L4039),"",IF(AND(C4039="Sell",D4039="Stock"),M4039,IF(ISBLANK(L4039),"",IF(C4039="Buy",M4039, IF(AND(C4039="Sell",J4039="NA"),(E4039*G4039*100*0.1)+I4039, IF(C4039="Sell",(J4039-L4039)*(100*G4039)+I4039))))))</f>
        <v/>
      </c>
      <c r="O4039" s="75" t="n"/>
      <c r="P4039" s="75" t="n"/>
      <c r="Q4039" s="75">
        <f>IF(ISBLANK(P4039),"",IF(D4039="Stock",P4039*G4039,IF(P4039=0,"0",G4039*P4039*100-(G4039*$AF$14))))</f>
        <v/>
      </c>
      <c r="R4039" s="79">
        <f>IF(P4039&lt;&gt;"", TODAY(), "")</f>
        <v/>
      </c>
      <c r="S4039" s="78">
        <f>IF(AND(K4039&lt;&gt;"", R4039&lt;&gt;""), R4039-K4039, "")</f>
        <v/>
      </c>
      <c r="T4039" s="78" t="n"/>
      <c r="U4039" s="92">
        <f>IF(ISBLANK(P4039),"",IF(C4039="Buy",Q4039-M4039+T4039, IF(C4039="Sell",M4039-Q4039-T4039, X)))</f>
        <v/>
      </c>
      <c r="V4039" s="81">
        <f>IF(ISBLANK(P4039),"",U4039/N4039)</f>
        <v/>
      </c>
      <c r="W4039" s="81">
        <f>IF(ISBLANK(P4039),"",IF(S4039=0,(365/0.5)*V4039,(365/S4039)*V4039))</f>
        <v/>
      </c>
      <c r="X4039" s="75" t="n"/>
      <c r="Y4039" s="77" t="n"/>
      <c r="Z4039" s="77" t="n"/>
      <c r="AA4039" s="75" t="n"/>
      <c r="AB4039" s="75" t="n"/>
      <c r="AC4039" s="6" t="n"/>
      <c r="AD4039" s="75" t="n"/>
      <c r="AE4039" s="75" t="n"/>
      <c r="AF4039" s="75" t="n"/>
    </row>
    <row r="4040" ht="15.75" customHeight="1" s="133">
      <c r="A4040" s="75" t="n"/>
      <c r="B4040" s="75" t="n"/>
      <c r="C4040" s="75" t="n"/>
      <c r="D4040" s="75" t="n"/>
      <c r="E4040" s="76" t="n"/>
      <c r="F4040" s="77" t="n"/>
      <c r="G4040" s="75" t="n"/>
      <c r="H4040" s="75">
        <f>IF(ISBLANK(E4040),"",IF(OR(D4040="Butterfly",D4040="Butterfly ",D4040="Iron Fly", D4040="Iron Fly "),LEN(E4040)-LEN(SUBSTITUTE(E4040,"/",""))+2,LEN(E4040)-LEN(SUBSTITUTE(E4040,"/",""))+1))</f>
        <v/>
      </c>
      <c r="I4040" s="78">
        <f>IF(ISBLANK(G4040),"",IF(D4040="Stock","0",Key!$A$3*H4040*G4040))</f>
        <v/>
      </c>
      <c r="J4040" s="78">
        <f>IF(ISBLANK(E4040),"",IF(ISNUMBER(SEARCH("/",E4040)), IF(LEN(E4040)-LEN(SUBSTITUTE(E4040,"/",""))=1,(RIGHT(E4040,LEN(E4040)-FIND("/",E4040)))-(LEFT(E4040,FIND("/",E4040)-1)),(MID(E4040, SEARCH("/",E4040) + 1, SEARCH("/",E4040, SEARCH("/",E4040)+1) - SEARCH("/",E4040) - 1))-(LEFT(E4040,FIND("/",E4040)-1))), "NA"))</f>
        <v/>
      </c>
      <c r="K4040" s="79">
        <f>IF(A4040&lt;&gt;"", IF(ISBLANK(L4040), TODAY(), K4040), "")</f>
        <v/>
      </c>
      <c r="L4040" s="78" t="n"/>
      <c r="M4040" s="78">
        <f>IF(ISBLANK(L4040),"",IF(D4040="Stock",IF(C4040="Buy",L4040*G4040,IF(C4040="Sell",(L4040*G4040)-I4040, X)),IF(C4040="Buy",(L4040*G4040*100)+I4040,IF(C4040="Sell",(L4040*G4040*100)-I4040, X))))</f>
        <v/>
      </c>
      <c r="N4040" s="78">
        <f>IF(ISBLANK(L4040),"",IF(AND(C4040="Sell",D4040="Stock"),M4040,IF(ISBLANK(L4040),"",IF(C4040="Buy",M4040, IF(AND(C4040="Sell",J4040="NA"),(E4040*G4040*100*0.1)+I4040, IF(C4040="Sell",(J4040-L4040)*(100*G4040)+I4040))))))</f>
        <v/>
      </c>
      <c r="O4040" s="75" t="n"/>
      <c r="P4040" s="75" t="n"/>
      <c r="Q4040" s="75">
        <f>IF(ISBLANK(P4040),"",IF(D4040="Stock",P4040*G4040,IF(P4040=0,"0",G4040*P4040*100-(G4040*$AF$14))))</f>
        <v/>
      </c>
      <c r="R4040" s="79">
        <f>IF(P4040&lt;&gt;"", TODAY(), "")</f>
        <v/>
      </c>
      <c r="S4040" s="78">
        <f>IF(AND(K4040&lt;&gt;"", R4040&lt;&gt;""), R4040-K4040, "")</f>
        <v/>
      </c>
      <c r="T4040" s="78" t="n"/>
      <c r="U4040" s="92">
        <f>IF(ISBLANK(P4040),"",IF(C4040="Buy",Q4040-M4040+T4040, IF(C4040="Sell",M4040-Q4040-T4040, X)))</f>
        <v/>
      </c>
      <c r="V4040" s="81">
        <f>IF(ISBLANK(P4040),"",U4040/N4040)</f>
        <v/>
      </c>
      <c r="W4040" s="81">
        <f>IF(ISBLANK(P4040),"",IF(S4040=0,(365/0.5)*V4040,(365/S4040)*V4040))</f>
        <v/>
      </c>
      <c r="X4040" s="75" t="n"/>
      <c r="Y4040" s="77" t="n"/>
      <c r="Z4040" s="77" t="n"/>
      <c r="AA4040" s="75" t="n"/>
      <c r="AB4040" s="75" t="n"/>
      <c r="AC4040" s="6" t="n"/>
      <c r="AD4040" s="75" t="n"/>
      <c r="AE4040" s="75" t="n"/>
      <c r="AF4040" s="75" t="n"/>
    </row>
    <row r="4041" ht="15.75" customHeight="1" s="133">
      <c r="A4041" s="75" t="n"/>
      <c r="B4041" s="75" t="n"/>
      <c r="C4041" s="75" t="n"/>
      <c r="D4041" s="75" t="n"/>
      <c r="E4041" s="76" t="n"/>
      <c r="F4041" s="77" t="n"/>
      <c r="G4041" s="75" t="n"/>
      <c r="H4041" s="75">
        <f>IF(ISBLANK(E4041),"",IF(OR(D4041="Butterfly",D4041="Butterfly ",D4041="Iron Fly", D4041="Iron Fly "),LEN(E4041)-LEN(SUBSTITUTE(E4041,"/",""))+2,LEN(E4041)-LEN(SUBSTITUTE(E4041,"/",""))+1))</f>
        <v/>
      </c>
      <c r="I4041" s="78">
        <f>IF(ISBLANK(G4041),"",IF(D4041="Stock","0",Key!$A$3*H4041*G4041))</f>
        <v/>
      </c>
      <c r="J4041" s="78">
        <f>IF(ISBLANK(E4041),"",IF(ISNUMBER(SEARCH("/",E4041)), IF(LEN(E4041)-LEN(SUBSTITUTE(E4041,"/",""))=1,(RIGHT(E4041,LEN(E4041)-FIND("/",E4041)))-(LEFT(E4041,FIND("/",E4041)-1)),(MID(E4041, SEARCH("/",E4041) + 1, SEARCH("/",E4041, SEARCH("/",E4041)+1) - SEARCH("/",E4041) - 1))-(LEFT(E4041,FIND("/",E4041)-1))), "NA"))</f>
        <v/>
      </c>
      <c r="K4041" s="79">
        <f>IF(A4041&lt;&gt;"", IF(ISBLANK(L4041), TODAY(), K4041), "")</f>
        <v/>
      </c>
      <c r="L4041" s="78" t="n"/>
      <c r="M4041" s="78">
        <f>IF(ISBLANK(L4041),"",IF(D4041="Stock",IF(C4041="Buy",L4041*G4041,IF(C4041="Sell",(L4041*G4041)-I4041, X)),IF(C4041="Buy",(L4041*G4041*100)+I4041,IF(C4041="Sell",(L4041*G4041*100)-I4041, X))))</f>
        <v/>
      </c>
      <c r="N4041" s="78">
        <f>IF(ISBLANK(L4041),"",IF(AND(C4041="Sell",D4041="Stock"),M4041,IF(ISBLANK(L4041),"",IF(C4041="Buy",M4041, IF(AND(C4041="Sell",J4041="NA"),(E4041*G4041*100*0.1)+I4041, IF(C4041="Sell",(J4041-L4041)*(100*G4041)+I4041))))))</f>
        <v/>
      </c>
      <c r="O4041" s="75" t="n"/>
      <c r="P4041" s="75" t="n"/>
      <c r="Q4041" s="75">
        <f>IF(ISBLANK(P4041),"",IF(D4041="Stock",P4041*G4041,IF(P4041=0,"0",G4041*P4041*100-(G4041*$AF$14))))</f>
        <v/>
      </c>
      <c r="R4041" s="79">
        <f>IF(P4041&lt;&gt;"", TODAY(), "")</f>
        <v/>
      </c>
      <c r="S4041" s="78">
        <f>IF(AND(K4041&lt;&gt;"", R4041&lt;&gt;""), R4041-K4041, "")</f>
        <v/>
      </c>
      <c r="T4041" s="78" t="n"/>
      <c r="U4041" s="92">
        <f>IF(ISBLANK(P4041),"",IF(C4041="Buy",Q4041-M4041+T4041, IF(C4041="Sell",M4041-Q4041-T4041, X)))</f>
        <v/>
      </c>
      <c r="V4041" s="81">
        <f>IF(ISBLANK(P4041),"",U4041/N4041)</f>
        <v/>
      </c>
      <c r="W4041" s="81">
        <f>IF(ISBLANK(P4041),"",IF(S4041=0,(365/0.5)*V4041,(365/S4041)*V4041))</f>
        <v/>
      </c>
      <c r="X4041" s="75" t="n"/>
      <c r="Y4041" s="77" t="n"/>
      <c r="Z4041" s="77" t="n"/>
      <c r="AA4041" s="75" t="n"/>
      <c r="AB4041" s="75" t="n"/>
      <c r="AC4041" s="6" t="n"/>
      <c r="AD4041" s="75" t="n"/>
      <c r="AE4041" s="75" t="n"/>
      <c r="AF4041" s="75" t="n"/>
    </row>
    <row r="4042" ht="15.75" customHeight="1" s="133">
      <c r="A4042" s="75" t="n"/>
      <c r="B4042" s="75" t="n"/>
      <c r="C4042" s="75" t="n"/>
      <c r="D4042" s="75" t="n"/>
      <c r="E4042" s="76" t="n"/>
      <c r="F4042" s="77" t="n"/>
      <c r="G4042" s="75" t="n"/>
      <c r="H4042" s="75">
        <f>IF(ISBLANK(E4042),"",IF(OR(D4042="Butterfly",D4042="Butterfly ",D4042="Iron Fly", D4042="Iron Fly "),LEN(E4042)-LEN(SUBSTITUTE(E4042,"/",""))+2,LEN(E4042)-LEN(SUBSTITUTE(E4042,"/",""))+1))</f>
        <v/>
      </c>
      <c r="I4042" s="78">
        <f>IF(ISBLANK(G4042),"",IF(D4042="Stock","0",Key!$A$3*H4042*G4042))</f>
        <v/>
      </c>
      <c r="J4042" s="78">
        <f>IF(ISBLANK(E4042),"",IF(ISNUMBER(SEARCH("/",E4042)), IF(LEN(E4042)-LEN(SUBSTITUTE(E4042,"/",""))=1,(RIGHT(E4042,LEN(E4042)-FIND("/",E4042)))-(LEFT(E4042,FIND("/",E4042)-1)),(MID(E4042, SEARCH("/",E4042) + 1, SEARCH("/",E4042, SEARCH("/",E4042)+1) - SEARCH("/",E4042) - 1))-(LEFT(E4042,FIND("/",E4042)-1))), "NA"))</f>
        <v/>
      </c>
      <c r="K4042" s="79">
        <f>IF(A4042&lt;&gt;"", IF(ISBLANK(L4042), TODAY(), K4042), "")</f>
        <v/>
      </c>
      <c r="L4042" s="78" t="n"/>
      <c r="M4042" s="78">
        <f>IF(ISBLANK(L4042),"",IF(D4042="Stock",IF(C4042="Buy",L4042*G4042,IF(C4042="Sell",(L4042*G4042)-I4042, X)),IF(C4042="Buy",(L4042*G4042*100)+I4042,IF(C4042="Sell",(L4042*G4042*100)-I4042, X))))</f>
        <v/>
      </c>
      <c r="N4042" s="78">
        <f>IF(ISBLANK(L4042),"",IF(AND(C4042="Sell",D4042="Stock"),M4042,IF(ISBLANK(L4042),"",IF(C4042="Buy",M4042, IF(AND(C4042="Sell",J4042="NA"),(E4042*G4042*100*0.1)+I4042, IF(C4042="Sell",(J4042-L4042)*(100*G4042)+I4042))))))</f>
        <v/>
      </c>
      <c r="O4042" s="75" t="n"/>
      <c r="P4042" s="75" t="n"/>
      <c r="Q4042" s="75">
        <f>IF(ISBLANK(P4042),"",IF(D4042="Stock",P4042*G4042,IF(P4042=0,"0",G4042*P4042*100-(G4042*$AF$14))))</f>
        <v/>
      </c>
      <c r="R4042" s="79">
        <f>IF(P4042&lt;&gt;"", TODAY(), "")</f>
        <v/>
      </c>
      <c r="S4042" s="78">
        <f>IF(AND(K4042&lt;&gt;"", R4042&lt;&gt;""), R4042-K4042, "")</f>
        <v/>
      </c>
      <c r="T4042" s="78" t="n"/>
      <c r="U4042" s="92">
        <f>IF(ISBLANK(P4042),"",IF(C4042="Buy",Q4042-M4042+T4042, IF(C4042="Sell",M4042-Q4042-T4042, X)))</f>
        <v/>
      </c>
      <c r="V4042" s="81">
        <f>IF(ISBLANK(P4042),"",U4042/N4042)</f>
        <v/>
      </c>
      <c r="W4042" s="81">
        <f>IF(ISBLANK(P4042),"",IF(S4042=0,(365/0.5)*V4042,(365/S4042)*V4042))</f>
        <v/>
      </c>
      <c r="X4042" s="75" t="n"/>
      <c r="Y4042" s="77" t="n"/>
      <c r="Z4042" s="77" t="n"/>
      <c r="AA4042" s="75" t="n"/>
      <c r="AB4042" s="75" t="n"/>
      <c r="AC4042" s="6" t="n"/>
      <c r="AD4042" s="75" t="n"/>
      <c r="AE4042" s="75" t="n"/>
      <c r="AF4042" s="75" t="n"/>
    </row>
    <row r="4043" ht="15.75" customHeight="1" s="133">
      <c r="A4043" s="75" t="n"/>
      <c r="B4043" s="75" t="n"/>
      <c r="C4043" s="75" t="n"/>
      <c r="D4043" s="75" t="n"/>
      <c r="E4043" s="76" t="n"/>
      <c r="F4043" s="77" t="n"/>
      <c r="G4043" s="75" t="n"/>
      <c r="H4043" s="75">
        <f>IF(ISBLANK(E4043),"",IF(OR(D4043="Butterfly",D4043="Butterfly ",D4043="Iron Fly", D4043="Iron Fly "),LEN(E4043)-LEN(SUBSTITUTE(E4043,"/",""))+2,LEN(E4043)-LEN(SUBSTITUTE(E4043,"/",""))+1))</f>
        <v/>
      </c>
      <c r="I4043" s="78">
        <f>IF(ISBLANK(G4043),"",IF(D4043="Stock","0",Key!$A$3*H4043*G4043))</f>
        <v/>
      </c>
      <c r="J4043" s="78">
        <f>IF(ISBLANK(E4043),"",IF(ISNUMBER(SEARCH("/",E4043)), IF(LEN(E4043)-LEN(SUBSTITUTE(E4043,"/",""))=1,(RIGHT(E4043,LEN(E4043)-FIND("/",E4043)))-(LEFT(E4043,FIND("/",E4043)-1)),(MID(E4043, SEARCH("/",E4043) + 1, SEARCH("/",E4043, SEARCH("/",E4043)+1) - SEARCH("/",E4043) - 1))-(LEFT(E4043,FIND("/",E4043)-1))), "NA"))</f>
        <v/>
      </c>
      <c r="K4043" s="79">
        <f>IF(A4043&lt;&gt;"", IF(ISBLANK(L4043), TODAY(), K4043), "")</f>
        <v/>
      </c>
      <c r="L4043" s="78" t="n"/>
      <c r="M4043" s="78">
        <f>IF(ISBLANK(L4043),"",IF(D4043="Stock",IF(C4043="Buy",L4043*G4043,IF(C4043="Sell",(L4043*G4043)-I4043, X)),IF(C4043="Buy",(L4043*G4043*100)+I4043,IF(C4043="Sell",(L4043*G4043*100)-I4043, X))))</f>
        <v/>
      </c>
      <c r="N4043" s="78">
        <f>IF(ISBLANK(L4043),"",IF(AND(C4043="Sell",D4043="Stock"),M4043,IF(ISBLANK(L4043),"",IF(C4043="Buy",M4043, IF(AND(C4043="Sell",J4043="NA"),(E4043*G4043*100*0.1)+I4043, IF(C4043="Sell",(J4043-L4043)*(100*G4043)+I4043))))))</f>
        <v/>
      </c>
      <c r="O4043" s="75" t="n"/>
      <c r="P4043" s="75" t="n"/>
      <c r="Q4043" s="75">
        <f>IF(ISBLANK(P4043),"",IF(D4043="Stock",P4043*G4043,IF(P4043=0,"0",G4043*P4043*100-(G4043*$AF$14))))</f>
        <v/>
      </c>
      <c r="R4043" s="79">
        <f>IF(P4043&lt;&gt;"", TODAY(), "")</f>
        <v/>
      </c>
      <c r="S4043" s="78">
        <f>IF(AND(K4043&lt;&gt;"", R4043&lt;&gt;""), R4043-K4043, "")</f>
        <v/>
      </c>
      <c r="T4043" s="78" t="n"/>
      <c r="U4043" s="92">
        <f>IF(ISBLANK(P4043),"",IF(C4043="Buy",Q4043-M4043+T4043, IF(C4043="Sell",M4043-Q4043-T4043, X)))</f>
        <v/>
      </c>
      <c r="V4043" s="81">
        <f>IF(ISBLANK(P4043),"",U4043/N4043)</f>
        <v/>
      </c>
      <c r="W4043" s="81">
        <f>IF(ISBLANK(P4043),"",IF(S4043=0,(365/0.5)*V4043,(365/S4043)*V4043))</f>
        <v/>
      </c>
      <c r="X4043" s="75" t="n"/>
      <c r="Y4043" s="77" t="n"/>
      <c r="Z4043" s="77" t="n"/>
      <c r="AA4043" s="75" t="n"/>
      <c r="AB4043" s="75" t="n"/>
      <c r="AC4043" s="6" t="n"/>
      <c r="AD4043" s="75" t="n"/>
      <c r="AE4043" s="75" t="n"/>
      <c r="AF4043" s="75" t="n"/>
    </row>
    <row r="4044" ht="15.75" customHeight="1" s="133">
      <c r="A4044" s="75" t="n"/>
      <c r="B4044" s="75" t="n"/>
      <c r="C4044" s="75" t="n"/>
      <c r="D4044" s="75" t="n"/>
      <c r="E4044" s="76" t="n"/>
      <c r="F4044" s="77" t="n"/>
      <c r="G4044" s="75" t="n"/>
      <c r="H4044" s="75">
        <f>IF(ISBLANK(E4044),"",IF(OR(D4044="Butterfly",D4044="Butterfly ",D4044="Iron Fly", D4044="Iron Fly "),LEN(E4044)-LEN(SUBSTITUTE(E4044,"/",""))+2,LEN(E4044)-LEN(SUBSTITUTE(E4044,"/",""))+1))</f>
        <v/>
      </c>
      <c r="I4044" s="78">
        <f>IF(ISBLANK(G4044),"",IF(D4044="Stock","0",Key!$A$3*H4044*G4044))</f>
        <v/>
      </c>
      <c r="J4044" s="78">
        <f>IF(ISBLANK(E4044),"",IF(ISNUMBER(SEARCH("/",E4044)), IF(LEN(E4044)-LEN(SUBSTITUTE(E4044,"/",""))=1,(RIGHT(E4044,LEN(E4044)-FIND("/",E4044)))-(LEFT(E4044,FIND("/",E4044)-1)),(MID(E4044, SEARCH("/",E4044) + 1, SEARCH("/",E4044, SEARCH("/",E4044)+1) - SEARCH("/",E4044) - 1))-(LEFT(E4044,FIND("/",E4044)-1))), "NA"))</f>
        <v/>
      </c>
      <c r="K4044" s="79">
        <f>IF(A4044&lt;&gt;"", IF(ISBLANK(L4044), TODAY(), K4044), "")</f>
        <v/>
      </c>
      <c r="L4044" s="78" t="n"/>
      <c r="M4044" s="78">
        <f>IF(ISBLANK(L4044),"",IF(D4044="Stock",IF(C4044="Buy",L4044*G4044,IF(C4044="Sell",(L4044*G4044)-I4044, X)),IF(C4044="Buy",(L4044*G4044*100)+I4044,IF(C4044="Sell",(L4044*G4044*100)-I4044, X))))</f>
        <v/>
      </c>
      <c r="N4044" s="78">
        <f>IF(ISBLANK(L4044),"",IF(AND(C4044="Sell",D4044="Stock"),M4044,IF(ISBLANK(L4044),"",IF(C4044="Buy",M4044, IF(AND(C4044="Sell",J4044="NA"),(E4044*G4044*100*0.1)+I4044, IF(C4044="Sell",(J4044-L4044)*(100*G4044)+I4044))))))</f>
        <v/>
      </c>
      <c r="O4044" s="75" t="n"/>
      <c r="P4044" s="75" t="n"/>
      <c r="Q4044" s="75">
        <f>IF(ISBLANK(P4044),"",IF(D4044="Stock",P4044*G4044,IF(P4044=0,"0",G4044*P4044*100-(G4044*$AF$14))))</f>
        <v/>
      </c>
      <c r="R4044" s="79">
        <f>IF(P4044&lt;&gt;"", TODAY(), "")</f>
        <v/>
      </c>
      <c r="S4044" s="78">
        <f>IF(AND(K4044&lt;&gt;"", R4044&lt;&gt;""), R4044-K4044, "")</f>
        <v/>
      </c>
      <c r="T4044" s="78" t="n"/>
      <c r="U4044" s="92">
        <f>IF(ISBLANK(P4044),"",IF(C4044="Buy",Q4044-M4044+T4044, IF(C4044="Sell",M4044-Q4044-T4044, X)))</f>
        <v/>
      </c>
      <c r="V4044" s="81">
        <f>IF(ISBLANK(P4044),"",U4044/N4044)</f>
        <v/>
      </c>
      <c r="W4044" s="81">
        <f>IF(ISBLANK(P4044),"",IF(S4044=0,(365/0.5)*V4044,(365/S4044)*V4044))</f>
        <v/>
      </c>
      <c r="X4044" s="75" t="n"/>
      <c r="Y4044" s="77" t="n"/>
      <c r="Z4044" s="77" t="n"/>
      <c r="AA4044" s="75" t="n"/>
      <c r="AB4044" s="75" t="n"/>
      <c r="AC4044" s="6" t="n"/>
      <c r="AD4044" s="75" t="n"/>
      <c r="AE4044" s="75" t="n"/>
      <c r="AF4044" s="75" t="n"/>
    </row>
    <row r="4045" ht="15.75" customHeight="1" s="133">
      <c r="A4045" s="75" t="n"/>
      <c r="B4045" s="75" t="n"/>
      <c r="C4045" s="75" t="n"/>
      <c r="D4045" s="75" t="n"/>
      <c r="E4045" s="76" t="n"/>
      <c r="F4045" s="77" t="n"/>
      <c r="G4045" s="75" t="n"/>
      <c r="H4045" s="75">
        <f>IF(ISBLANK(E4045),"",IF(OR(D4045="Butterfly",D4045="Butterfly ",D4045="Iron Fly", D4045="Iron Fly "),LEN(E4045)-LEN(SUBSTITUTE(E4045,"/",""))+2,LEN(E4045)-LEN(SUBSTITUTE(E4045,"/",""))+1))</f>
        <v/>
      </c>
      <c r="I4045" s="78">
        <f>IF(ISBLANK(G4045),"",IF(D4045="Stock","0",Key!$A$3*H4045*G4045))</f>
        <v/>
      </c>
      <c r="J4045" s="78">
        <f>IF(ISBLANK(E4045),"",IF(ISNUMBER(SEARCH("/",E4045)), IF(LEN(E4045)-LEN(SUBSTITUTE(E4045,"/",""))=1,(RIGHT(E4045,LEN(E4045)-FIND("/",E4045)))-(LEFT(E4045,FIND("/",E4045)-1)),(MID(E4045, SEARCH("/",E4045) + 1, SEARCH("/",E4045, SEARCH("/",E4045)+1) - SEARCH("/",E4045) - 1))-(LEFT(E4045,FIND("/",E4045)-1))), "NA"))</f>
        <v/>
      </c>
      <c r="K4045" s="79">
        <f>IF(A4045&lt;&gt;"", IF(ISBLANK(L4045), TODAY(), K4045), "")</f>
        <v/>
      </c>
      <c r="L4045" s="78" t="n"/>
      <c r="M4045" s="78">
        <f>IF(ISBLANK(L4045),"",IF(D4045="Stock",IF(C4045="Buy",L4045*G4045,IF(C4045="Sell",(L4045*G4045)-I4045, X)),IF(C4045="Buy",(L4045*G4045*100)+I4045,IF(C4045="Sell",(L4045*G4045*100)-I4045, X))))</f>
        <v/>
      </c>
      <c r="N4045" s="78">
        <f>IF(ISBLANK(L4045),"",IF(AND(C4045="Sell",D4045="Stock"),M4045,IF(ISBLANK(L4045),"",IF(C4045="Buy",M4045, IF(AND(C4045="Sell",J4045="NA"),(E4045*G4045*100*0.1)+I4045, IF(C4045="Sell",(J4045-L4045)*(100*G4045)+I4045))))))</f>
        <v/>
      </c>
      <c r="O4045" s="75" t="n"/>
      <c r="P4045" s="75" t="n"/>
      <c r="Q4045" s="75">
        <f>IF(ISBLANK(P4045),"",IF(D4045="Stock",P4045*G4045,IF(P4045=0,"0",G4045*P4045*100-(G4045*$AF$14))))</f>
        <v/>
      </c>
      <c r="R4045" s="79">
        <f>IF(P4045&lt;&gt;"", TODAY(), "")</f>
        <v/>
      </c>
      <c r="S4045" s="78">
        <f>IF(AND(K4045&lt;&gt;"", R4045&lt;&gt;""), R4045-K4045, "")</f>
        <v/>
      </c>
      <c r="T4045" s="78" t="n"/>
      <c r="U4045" s="92">
        <f>IF(ISBLANK(P4045),"",IF(C4045="Buy",Q4045-M4045+T4045, IF(C4045="Sell",M4045-Q4045-T4045, X)))</f>
        <v/>
      </c>
      <c r="V4045" s="81">
        <f>IF(ISBLANK(P4045),"",U4045/N4045)</f>
        <v/>
      </c>
      <c r="W4045" s="81">
        <f>IF(ISBLANK(P4045),"",IF(S4045=0,(365/0.5)*V4045,(365/S4045)*V4045))</f>
        <v/>
      </c>
      <c r="X4045" s="75" t="n"/>
      <c r="Y4045" s="77" t="n"/>
      <c r="Z4045" s="77" t="n"/>
      <c r="AA4045" s="75" t="n"/>
      <c r="AB4045" s="75" t="n"/>
      <c r="AC4045" s="6" t="n"/>
      <c r="AD4045" s="75" t="n"/>
      <c r="AE4045" s="75" t="n"/>
      <c r="AF4045" s="75" t="n"/>
    </row>
    <row r="4046" ht="15.75" customHeight="1" s="133">
      <c r="A4046" s="75" t="n"/>
      <c r="B4046" s="75" t="n"/>
      <c r="C4046" s="75" t="n"/>
      <c r="D4046" s="75" t="n"/>
      <c r="E4046" s="76" t="n"/>
      <c r="F4046" s="77" t="n"/>
      <c r="G4046" s="75" t="n"/>
      <c r="H4046" s="75">
        <f>IF(ISBLANK(E4046),"",IF(OR(D4046="Butterfly",D4046="Butterfly ",D4046="Iron Fly", D4046="Iron Fly "),LEN(E4046)-LEN(SUBSTITUTE(E4046,"/",""))+2,LEN(E4046)-LEN(SUBSTITUTE(E4046,"/",""))+1))</f>
        <v/>
      </c>
      <c r="I4046" s="78">
        <f>IF(ISBLANK(G4046),"",IF(D4046="Stock","0",Key!$A$3*H4046*G4046))</f>
        <v/>
      </c>
      <c r="J4046" s="78">
        <f>IF(ISBLANK(E4046),"",IF(ISNUMBER(SEARCH("/",E4046)), IF(LEN(E4046)-LEN(SUBSTITUTE(E4046,"/",""))=1,(RIGHT(E4046,LEN(E4046)-FIND("/",E4046)))-(LEFT(E4046,FIND("/",E4046)-1)),(MID(E4046, SEARCH("/",E4046) + 1, SEARCH("/",E4046, SEARCH("/",E4046)+1) - SEARCH("/",E4046) - 1))-(LEFT(E4046,FIND("/",E4046)-1))), "NA"))</f>
        <v/>
      </c>
      <c r="K4046" s="79">
        <f>IF(A4046&lt;&gt;"", IF(ISBLANK(L4046), TODAY(), K4046), "")</f>
        <v/>
      </c>
      <c r="L4046" s="78" t="n"/>
      <c r="M4046" s="78">
        <f>IF(ISBLANK(L4046),"",IF(D4046="Stock",IF(C4046="Buy",L4046*G4046,IF(C4046="Sell",(L4046*G4046)-I4046, X)),IF(C4046="Buy",(L4046*G4046*100)+I4046,IF(C4046="Sell",(L4046*G4046*100)-I4046, X))))</f>
        <v/>
      </c>
      <c r="N4046" s="78">
        <f>IF(ISBLANK(L4046),"",IF(AND(C4046="Sell",D4046="Stock"),M4046,IF(ISBLANK(L4046),"",IF(C4046="Buy",M4046, IF(AND(C4046="Sell",J4046="NA"),(E4046*G4046*100*0.1)+I4046, IF(C4046="Sell",(J4046-L4046)*(100*G4046)+I4046))))))</f>
        <v/>
      </c>
      <c r="O4046" s="75" t="n"/>
      <c r="P4046" s="75" t="n"/>
      <c r="Q4046" s="75">
        <f>IF(ISBLANK(P4046),"",IF(D4046="Stock",P4046*G4046,IF(P4046=0,"0",G4046*P4046*100-(G4046*$AF$14))))</f>
        <v/>
      </c>
      <c r="R4046" s="79">
        <f>IF(P4046&lt;&gt;"", TODAY(), "")</f>
        <v/>
      </c>
      <c r="S4046" s="78">
        <f>IF(AND(K4046&lt;&gt;"", R4046&lt;&gt;""), R4046-K4046, "")</f>
        <v/>
      </c>
      <c r="T4046" s="78" t="n"/>
      <c r="U4046" s="92">
        <f>IF(ISBLANK(P4046),"",IF(C4046="Buy",Q4046-M4046+T4046, IF(C4046="Sell",M4046-Q4046-T4046, X)))</f>
        <v/>
      </c>
      <c r="V4046" s="81">
        <f>IF(ISBLANK(P4046),"",U4046/N4046)</f>
        <v/>
      </c>
      <c r="W4046" s="81">
        <f>IF(ISBLANK(P4046),"",IF(S4046=0,(365/0.5)*V4046,(365/S4046)*V4046))</f>
        <v/>
      </c>
      <c r="X4046" s="75" t="n"/>
      <c r="Y4046" s="77" t="n"/>
      <c r="Z4046" s="77" t="n"/>
      <c r="AA4046" s="75" t="n"/>
      <c r="AB4046" s="75" t="n"/>
      <c r="AC4046" s="6" t="n"/>
      <c r="AD4046" s="75" t="n"/>
      <c r="AE4046" s="75" t="n"/>
      <c r="AF4046" s="75" t="n"/>
    </row>
    <row r="4047" ht="15.75" customHeight="1" s="133">
      <c r="A4047" s="75" t="n"/>
      <c r="B4047" s="75" t="n"/>
      <c r="C4047" s="75" t="n"/>
      <c r="D4047" s="75" t="n"/>
      <c r="E4047" s="76" t="n"/>
      <c r="F4047" s="77" t="n"/>
      <c r="G4047" s="75" t="n"/>
      <c r="H4047" s="75">
        <f>IF(ISBLANK(E4047),"",IF(OR(D4047="Butterfly",D4047="Butterfly ",D4047="Iron Fly", D4047="Iron Fly "),LEN(E4047)-LEN(SUBSTITUTE(E4047,"/",""))+2,LEN(E4047)-LEN(SUBSTITUTE(E4047,"/",""))+1))</f>
        <v/>
      </c>
      <c r="I4047" s="78">
        <f>IF(ISBLANK(G4047),"",IF(D4047="Stock","0",Key!$A$3*H4047*G4047))</f>
        <v/>
      </c>
      <c r="J4047" s="78">
        <f>IF(ISBLANK(E4047),"",IF(ISNUMBER(SEARCH("/",E4047)), IF(LEN(E4047)-LEN(SUBSTITUTE(E4047,"/",""))=1,(RIGHT(E4047,LEN(E4047)-FIND("/",E4047)))-(LEFT(E4047,FIND("/",E4047)-1)),(MID(E4047, SEARCH("/",E4047) + 1, SEARCH("/",E4047, SEARCH("/",E4047)+1) - SEARCH("/",E4047) - 1))-(LEFT(E4047,FIND("/",E4047)-1))), "NA"))</f>
        <v/>
      </c>
      <c r="K4047" s="79">
        <f>IF(A4047&lt;&gt;"", IF(ISBLANK(L4047), TODAY(), K4047), "")</f>
        <v/>
      </c>
      <c r="L4047" s="78" t="n"/>
      <c r="M4047" s="78">
        <f>IF(ISBLANK(L4047),"",IF(D4047="Stock",IF(C4047="Buy",L4047*G4047,IF(C4047="Sell",(L4047*G4047)-I4047, X)),IF(C4047="Buy",(L4047*G4047*100)+I4047,IF(C4047="Sell",(L4047*G4047*100)-I4047, X))))</f>
        <v/>
      </c>
      <c r="N4047" s="78">
        <f>IF(ISBLANK(L4047),"",IF(AND(C4047="Sell",D4047="Stock"),M4047,IF(ISBLANK(L4047),"",IF(C4047="Buy",M4047, IF(AND(C4047="Sell",J4047="NA"),(E4047*G4047*100*0.1)+I4047, IF(C4047="Sell",(J4047-L4047)*(100*G4047)+I4047))))))</f>
        <v/>
      </c>
      <c r="O4047" s="75" t="n"/>
      <c r="P4047" s="75" t="n"/>
      <c r="Q4047" s="75">
        <f>IF(ISBLANK(P4047),"",IF(D4047="Stock",P4047*G4047,IF(P4047=0,"0",G4047*P4047*100-(G4047*$AF$14))))</f>
        <v/>
      </c>
      <c r="R4047" s="79">
        <f>IF(P4047&lt;&gt;"", TODAY(), "")</f>
        <v/>
      </c>
      <c r="S4047" s="78">
        <f>IF(AND(K4047&lt;&gt;"", R4047&lt;&gt;""), R4047-K4047, "")</f>
        <v/>
      </c>
      <c r="T4047" s="78" t="n"/>
      <c r="U4047" s="92">
        <f>IF(ISBLANK(P4047),"",IF(C4047="Buy",Q4047-M4047+T4047, IF(C4047="Sell",M4047-Q4047-T4047, X)))</f>
        <v/>
      </c>
      <c r="V4047" s="81">
        <f>IF(ISBLANK(P4047),"",U4047/N4047)</f>
        <v/>
      </c>
      <c r="W4047" s="81">
        <f>IF(ISBLANK(P4047),"",IF(S4047=0,(365/0.5)*V4047,(365/S4047)*V4047))</f>
        <v/>
      </c>
      <c r="X4047" s="75" t="n"/>
      <c r="Y4047" s="77" t="n"/>
      <c r="Z4047" s="77" t="n"/>
      <c r="AA4047" s="75" t="n"/>
      <c r="AB4047" s="75" t="n"/>
      <c r="AC4047" s="6" t="n"/>
      <c r="AD4047" s="75" t="n"/>
      <c r="AE4047" s="75" t="n"/>
      <c r="AF4047" s="75" t="n"/>
    </row>
    <row r="4048" ht="15.75" customHeight="1" s="133">
      <c r="A4048" s="75" t="n"/>
      <c r="B4048" s="75" t="n"/>
      <c r="C4048" s="75" t="n"/>
      <c r="D4048" s="75" t="n"/>
      <c r="E4048" s="76" t="n"/>
      <c r="F4048" s="77" t="n"/>
      <c r="G4048" s="75" t="n"/>
      <c r="H4048" s="75">
        <f>IF(ISBLANK(E4048),"",IF(OR(D4048="Butterfly",D4048="Butterfly ",D4048="Iron Fly", D4048="Iron Fly "),LEN(E4048)-LEN(SUBSTITUTE(E4048,"/",""))+2,LEN(E4048)-LEN(SUBSTITUTE(E4048,"/",""))+1))</f>
        <v/>
      </c>
      <c r="I4048" s="78">
        <f>IF(ISBLANK(G4048),"",IF(D4048="Stock","0",Key!$A$3*H4048*G4048))</f>
        <v/>
      </c>
      <c r="J4048" s="78">
        <f>IF(ISBLANK(E4048),"",IF(ISNUMBER(SEARCH("/",E4048)), IF(LEN(E4048)-LEN(SUBSTITUTE(E4048,"/",""))=1,(RIGHT(E4048,LEN(E4048)-FIND("/",E4048)))-(LEFT(E4048,FIND("/",E4048)-1)),(MID(E4048, SEARCH("/",E4048) + 1, SEARCH("/",E4048, SEARCH("/",E4048)+1) - SEARCH("/",E4048) - 1))-(LEFT(E4048,FIND("/",E4048)-1))), "NA"))</f>
        <v/>
      </c>
      <c r="K4048" s="79">
        <f>IF(A4048&lt;&gt;"", IF(ISBLANK(L4048), TODAY(), K4048), "")</f>
        <v/>
      </c>
      <c r="L4048" s="78" t="n"/>
      <c r="M4048" s="78">
        <f>IF(ISBLANK(L4048),"",IF(D4048="Stock",IF(C4048="Buy",L4048*G4048,IF(C4048="Sell",(L4048*G4048)-I4048, X)),IF(C4048="Buy",(L4048*G4048*100)+I4048,IF(C4048="Sell",(L4048*G4048*100)-I4048, X))))</f>
        <v/>
      </c>
      <c r="N4048" s="78">
        <f>IF(ISBLANK(L4048),"",IF(AND(C4048="Sell",D4048="Stock"),M4048,IF(ISBLANK(L4048),"",IF(C4048="Buy",M4048, IF(AND(C4048="Sell",J4048="NA"),(E4048*G4048*100*0.1)+I4048, IF(C4048="Sell",(J4048-L4048)*(100*G4048)+I4048))))))</f>
        <v/>
      </c>
      <c r="O4048" s="75" t="n"/>
      <c r="P4048" s="75" t="n"/>
      <c r="Q4048" s="75">
        <f>IF(ISBLANK(P4048),"",IF(D4048="Stock",P4048*G4048,IF(P4048=0,"0",G4048*P4048*100-(G4048*$AF$14))))</f>
        <v/>
      </c>
      <c r="R4048" s="79">
        <f>IF(P4048&lt;&gt;"", TODAY(), "")</f>
        <v/>
      </c>
      <c r="S4048" s="78">
        <f>IF(AND(K4048&lt;&gt;"", R4048&lt;&gt;""), R4048-K4048, "")</f>
        <v/>
      </c>
      <c r="T4048" s="78" t="n"/>
      <c r="U4048" s="92">
        <f>IF(ISBLANK(P4048),"",IF(C4048="Buy",Q4048-M4048+T4048, IF(C4048="Sell",M4048-Q4048-T4048, X)))</f>
        <v/>
      </c>
      <c r="V4048" s="81">
        <f>IF(ISBLANK(P4048),"",U4048/N4048)</f>
        <v/>
      </c>
      <c r="W4048" s="81">
        <f>IF(ISBLANK(P4048),"",IF(S4048=0,(365/0.5)*V4048,(365/S4048)*V4048))</f>
        <v/>
      </c>
      <c r="X4048" s="75" t="n"/>
      <c r="Y4048" s="77" t="n"/>
      <c r="Z4048" s="77" t="n"/>
      <c r="AA4048" s="75" t="n"/>
      <c r="AB4048" s="75" t="n"/>
      <c r="AC4048" s="6" t="n"/>
      <c r="AD4048" s="75" t="n"/>
      <c r="AE4048" s="75" t="n"/>
      <c r="AF4048" s="75" t="n"/>
    </row>
    <row r="4049" ht="15.75" customHeight="1" s="133">
      <c r="A4049" s="75" t="n"/>
      <c r="B4049" s="75" t="n"/>
      <c r="C4049" s="75" t="n"/>
      <c r="D4049" s="75" t="n"/>
      <c r="E4049" s="76" t="n"/>
      <c r="F4049" s="77" t="n"/>
      <c r="G4049" s="75" t="n"/>
      <c r="H4049" s="75">
        <f>IF(ISBLANK(E4049),"",IF(OR(D4049="Butterfly",D4049="Butterfly ",D4049="Iron Fly", D4049="Iron Fly "),LEN(E4049)-LEN(SUBSTITUTE(E4049,"/",""))+2,LEN(E4049)-LEN(SUBSTITUTE(E4049,"/",""))+1))</f>
        <v/>
      </c>
      <c r="I4049" s="78">
        <f>IF(ISBLANK(G4049),"",IF(D4049="Stock","0",Key!$A$3*H4049*G4049))</f>
        <v/>
      </c>
      <c r="J4049" s="78">
        <f>IF(ISBLANK(E4049),"",IF(ISNUMBER(SEARCH("/",E4049)), IF(LEN(E4049)-LEN(SUBSTITUTE(E4049,"/",""))=1,(RIGHT(E4049,LEN(E4049)-FIND("/",E4049)))-(LEFT(E4049,FIND("/",E4049)-1)),(MID(E4049, SEARCH("/",E4049) + 1, SEARCH("/",E4049, SEARCH("/",E4049)+1) - SEARCH("/",E4049) - 1))-(LEFT(E4049,FIND("/",E4049)-1))), "NA"))</f>
        <v/>
      </c>
      <c r="K4049" s="79">
        <f>IF(A4049&lt;&gt;"", IF(ISBLANK(L4049), TODAY(), K4049), "")</f>
        <v/>
      </c>
      <c r="L4049" s="78" t="n"/>
      <c r="M4049" s="78">
        <f>IF(ISBLANK(L4049),"",IF(D4049="Stock",IF(C4049="Buy",L4049*G4049,IF(C4049="Sell",(L4049*G4049)-I4049, X)),IF(C4049="Buy",(L4049*G4049*100)+I4049,IF(C4049="Sell",(L4049*G4049*100)-I4049, X))))</f>
        <v/>
      </c>
      <c r="N4049" s="78">
        <f>IF(ISBLANK(L4049),"",IF(AND(C4049="Sell",D4049="Stock"),M4049,IF(ISBLANK(L4049),"",IF(C4049="Buy",M4049, IF(AND(C4049="Sell",J4049="NA"),(E4049*G4049*100*0.1)+I4049, IF(C4049="Sell",(J4049-L4049)*(100*G4049)+I4049))))))</f>
        <v/>
      </c>
      <c r="O4049" s="75" t="n"/>
      <c r="P4049" s="75" t="n"/>
      <c r="Q4049" s="75">
        <f>IF(ISBLANK(P4049),"",IF(D4049="Stock",P4049*G4049,IF(P4049=0,"0",G4049*P4049*100-(G4049*$AF$14))))</f>
        <v/>
      </c>
      <c r="R4049" s="79">
        <f>IF(P4049&lt;&gt;"", TODAY(), "")</f>
        <v/>
      </c>
      <c r="S4049" s="78">
        <f>IF(AND(K4049&lt;&gt;"", R4049&lt;&gt;""), R4049-K4049, "")</f>
        <v/>
      </c>
      <c r="T4049" s="78" t="n"/>
      <c r="U4049" s="92">
        <f>IF(ISBLANK(P4049),"",IF(C4049="Buy",Q4049-M4049+T4049, IF(C4049="Sell",M4049-Q4049-T4049, X)))</f>
        <v/>
      </c>
      <c r="V4049" s="81">
        <f>IF(ISBLANK(P4049),"",U4049/N4049)</f>
        <v/>
      </c>
      <c r="W4049" s="81">
        <f>IF(ISBLANK(P4049),"",IF(S4049=0,(365/0.5)*V4049,(365/S4049)*V4049))</f>
        <v/>
      </c>
      <c r="X4049" s="75" t="n"/>
      <c r="Y4049" s="77" t="n"/>
      <c r="Z4049" s="77" t="n"/>
      <c r="AA4049" s="75" t="n"/>
      <c r="AB4049" s="75" t="n"/>
      <c r="AC4049" s="6" t="n"/>
      <c r="AD4049" s="75" t="n"/>
      <c r="AE4049" s="75" t="n"/>
      <c r="AF4049" s="75" t="n"/>
    </row>
    <row r="4050" ht="15.75" customHeight="1" s="133">
      <c r="A4050" s="75" t="n"/>
      <c r="B4050" s="75" t="n"/>
      <c r="C4050" s="75" t="n"/>
      <c r="D4050" s="75" t="n"/>
      <c r="E4050" s="76" t="n"/>
      <c r="F4050" s="77" t="n"/>
      <c r="G4050" s="75" t="n"/>
      <c r="H4050" s="75">
        <f>IF(ISBLANK(E4050),"",IF(OR(D4050="Butterfly",D4050="Butterfly ",D4050="Iron Fly", D4050="Iron Fly "),LEN(E4050)-LEN(SUBSTITUTE(E4050,"/",""))+2,LEN(E4050)-LEN(SUBSTITUTE(E4050,"/",""))+1))</f>
        <v/>
      </c>
      <c r="I4050" s="78">
        <f>IF(ISBLANK(G4050),"",IF(D4050="Stock","0",Key!$A$3*H4050*G4050))</f>
        <v/>
      </c>
      <c r="J4050" s="78">
        <f>IF(ISBLANK(E4050),"",IF(ISNUMBER(SEARCH("/",E4050)), IF(LEN(E4050)-LEN(SUBSTITUTE(E4050,"/",""))=1,(RIGHT(E4050,LEN(E4050)-FIND("/",E4050)))-(LEFT(E4050,FIND("/",E4050)-1)),(MID(E4050, SEARCH("/",E4050) + 1, SEARCH("/",E4050, SEARCH("/",E4050)+1) - SEARCH("/",E4050) - 1))-(LEFT(E4050,FIND("/",E4050)-1))), "NA"))</f>
        <v/>
      </c>
      <c r="K4050" s="79">
        <f>IF(A4050&lt;&gt;"", IF(ISBLANK(L4050), TODAY(), K4050), "")</f>
        <v/>
      </c>
      <c r="L4050" s="78" t="n"/>
      <c r="M4050" s="78">
        <f>IF(ISBLANK(L4050),"",IF(D4050="Stock",IF(C4050="Buy",L4050*G4050,IF(C4050="Sell",(L4050*G4050)-I4050, X)),IF(C4050="Buy",(L4050*G4050*100)+I4050,IF(C4050="Sell",(L4050*G4050*100)-I4050, X))))</f>
        <v/>
      </c>
      <c r="N4050" s="78">
        <f>IF(ISBLANK(L4050),"",IF(AND(C4050="Sell",D4050="Stock"),M4050,IF(ISBLANK(L4050),"",IF(C4050="Buy",M4050, IF(AND(C4050="Sell",J4050="NA"),(E4050*G4050*100*0.1)+I4050, IF(C4050="Sell",(J4050-L4050)*(100*G4050)+I4050))))))</f>
        <v/>
      </c>
      <c r="O4050" s="75" t="n"/>
      <c r="P4050" s="75" t="n"/>
      <c r="Q4050" s="75">
        <f>IF(ISBLANK(P4050),"",IF(D4050="Stock",P4050*G4050,IF(P4050=0,"0",G4050*P4050*100-(G4050*$AF$14))))</f>
        <v/>
      </c>
      <c r="R4050" s="79">
        <f>IF(P4050&lt;&gt;"", TODAY(), "")</f>
        <v/>
      </c>
      <c r="S4050" s="78">
        <f>IF(AND(K4050&lt;&gt;"", R4050&lt;&gt;""), R4050-K4050, "")</f>
        <v/>
      </c>
      <c r="T4050" s="78" t="n"/>
      <c r="U4050" s="92">
        <f>IF(ISBLANK(P4050),"",IF(C4050="Buy",Q4050-M4050+T4050, IF(C4050="Sell",M4050-Q4050-T4050, X)))</f>
        <v/>
      </c>
      <c r="V4050" s="81">
        <f>IF(ISBLANK(P4050),"",U4050/N4050)</f>
        <v/>
      </c>
      <c r="W4050" s="81">
        <f>IF(ISBLANK(P4050),"",IF(S4050=0,(365/0.5)*V4050,(365/S4050)*V4050))</f>
        <v/>
      </c>
      <c r="X4050" s="75" t="n"/>
      <c r="Y4050" s="77" t="n"/>
      <c r="Z4050" s="77" t="n"/>
      <c r="AA4050" s="75" t="n"/>
      <c r="AB4050" s="75" t="n"/>
      <c r="AC4050" s="6" t="n"/>
      <c r="AD4050" s="75" t="n"/>
      <c r="AE4050" s="75" t="n"/>
      <c r="AF4050" s="75" t="n"/>
    </row>
    <row r="4051" ht="15.75" customHeight="1" s="133">
      <c r="A4051" s="75" t="n"/>
      <c r="B4051" s="75" t="n"/>
      <c r="C4051" s="75" t="n"/>
      <c r="D4051" s="75" t="n"/>
      <c r="E4051" s="76" t="n"/>
      <c r="F4051" s="77" t="n"/>
      <c r="G4051" s="75" t="n"/>
      <c r="H4051" s="75">
        <f>IF(ISBLANK(E4051),"",IF(OR(D4051="Butterfly",D4051="Butterfly ",D4051="Iron Fly", D4051="Iron Fly "),LEN(E4051)-LEN(SUBSTITUTE(E4051,"/",""))+2,LEN(E4051)-LEN(SUBSTITUTE(E4051,"/",""))+1))</f>
        <v/>
      </c>
      <c r="I4051" s="78">
        <f>IF(ISBLANK(G4051),"",IF(D4051="Stock","0",Key!$A$3*H4051*G4051))</f>
        <v/>
      </c>
      <c r="J4051" s="78">
        <f>IF(ISBLANK(E4051),"",IF(ISNUMBER(SEARCH("/",E4051)), IF(LEN(E4051)-LEN(SUBSTITUTE(E4051,"/",""))=1,(RIGHT(E4051,LEN(E4051)-FIND("/",E4051)))-(LEFT(E4051,FIND("/",E4051)-1)),(MID(E4051, SEARCH("/",E4051) + 1, SEARCH("/",E4051, SEARCH("/",E4051)+1) - SEARCH("/",E4051) - 1))-(LEFT(E4051,FIND("/",E4051)-1))), "NA"))</f>
        <v/>
      </c>
      <c r="K4051" s="79">
        <f>IF(A4051&lt;&gt;"", IF(ISBLANK(L4051), TODAY(), K4051), "")</f>
        <v/>
      </c>
      <c r="L4051" s="78" t="n"/>
      <c r="M4051" s="78">
        <f>IF(ISBLANK(L4051),"",IF(D4051="Stock",IF(C4051="Buy",L4051*G4051,IF(C4051="Sell",(L4051*G4051)-I4051, X)),IF(C4051="Buy",(L4051*G4051*100)+I4051,IF(C4051="Sell",(L4051*G4051*100)-I4051, X))))</f>
        <v/>
      </c>
      <c r="N4051" s="78">
        <f>IF(ISBLANK(L4051),"",IF(AND(C4051="Sell",D4051="Stock"),M4051,IF(ISBLANK(L4051),"",IF(C4051="Buy",M4051, IF(AND(C4051="Sell",J4051="NA"),(E4051*G4051*100*0.1)+I4051, IF(C4051="Sell",(J4051-L4051)*(100*G4051)+I4051))))))</f>
        <v/>
      </c>
      <c r="O4051" s="75" t="n"/>
      <c r="P4051" s="75" t="n"/>
      <c r="Q4051" s="75">
        <f>IF(ISBLANK(P4051),"",IF(D4051="Stock",P4051*G4051,IF(P4051=0,"0",G4051*P4051*100-(G4051*$AF$14))))</f>
        <v/>
      </c>
      <c r="R4051" s="79">
        <f>IF(P4051&lt;&gt;"", TODAY(), "")</f>
        <v/>
      </c>
      <c r="S4051" s="78">
        <f>IF(AND(K4051&lt;&gt;"", R4051&lt;&gt;""), R4051-K4051, "")</f>
        <v/>
      </c>
      <c r="T4051" s="78" t="n"/>
      <c r="U4051" s="92">
        <f>IF(ISBLANK(P4051),"",IF(C4051="Buy",Q4051-M4051+T4051, IF(C4051="Sell",M4051-Q4051-T4051, X)))</f>
        <v/>
      </c>
      <c r="V4051" s="81">
        <f>IF(ISBLANK(P4051),"",U4051/N4051)</f>
        <v/>
      </c>
      <c r="W4051" s="81">
        <f>IF(ISBLANK(P4051),"",IF(S4051=0,(365/0.5)*V4051,(365/S4051)*V4051))</f>
        <v/>
      </c>
      <c r="X4051" s="75" t="n"/>
      <c r="Y4051" s="77" t="n"/>
      <c r="Z4051" s="77" t="n"/>
      <c r="AA4051" s="75" t="n"/>
      <c r="AB4051" s="75" t="n"/>
      <c r="AC4051" s="6" t="n"/>
      <c r="AD4051" s="75" t="n"/>
      <c r="AE4051" s="75" t="n"/>
      <c r="AF4051" s="75" t="n"/>
    </row>
    <row r="4052" ht="15.75" customHeight="1" s="133">
      <c r="A4052" s="75" t="n"/>
      <c r="B4052" s="75" t="n"/>
      <c r="C4052" s="75" t="n"/>
      <c r="D4052" s="75" t="n"/>
      <c r="E4052" s="76" t="n"/>
      <c r="F4052" s="77" t="n"/>
      <c r="G4052" s="75" t="n"/>
      <c r="H4052" s="75">
        <f>IF(ISBLANK(E4052),"",IF(OR(D4052="Butterfly",D4052="Butterfly ",D4052="Iron Fly", D4052="Iron Fly "),LEN(E4052)-LEN(SUBSTITUTE(E4052,"/",""))+2,LEN(E4052)-LEN(SUBSTITUTE(E4052,"/",""))+1))</f>
        <v/>
      </c>
      <c r="I4052" s="78">
        <f>IF(ISBLANK(G4052),"",IF(D4052="Stock","0",Key!$A$3*H4052*G4052))</f>
        <v/>
      </c>
      <c r="J4052" s="78">
        <f>IF(ISBLANK(E4052),"",IF(ISNUMBER(SEARCH("/",E4052)), IF(LEN(E4052)-LEN(SUBSTITUTE(E4052,"/",""))=1,(RIGHT(E4052,LEN(E4052)-FIND("/",E4052)))-(LEFT(E4052,FIND("/",E4052)-1)),(MID(E4052, SEARCH("/",E4052) + 1, SEARCH("/",E4052, SEARCH("/",E4052)+1) - SEARCH("/",E4052) - 1))-(LEFT(E4052,FIND("/",E4052)-1))), "NA"))</f>
        <v/>
      </c>
      <c r="K4052" s="79">
        <f>IF(A4052&lt;&gt;"", IF(ISBLANK(L4052), TODAY(), K4052), "")</f>
        <v/>
      </c>
      <c r="L4052" s="78" t="n"/>
      <c r="M4052" s="78">
        <f>IF(ISBLANK(L4052),"",IF(D4052="Stock",IF(C4052="Buy",L4052*G4052,IF(C4052="Sell",(L4052*G4052)-I4052, X)),IF(C4052="Buy",(L4052*G4052*100)+I4052,IF(C4052="Sell",(L4052*G4052*100)-I4052, X))))</f>
        <v/>
      </c>
      <c r="N4052" s="78">
        <f>IF(ISBLANK(L4052),"",IF(AND(C4052="Sell",D4052="Stock"),M4052,IF(ISBLANK(L4052),"",IF(C4052="Buy",M4052, IF(AND(C4052="Sell",J4052="NA"),(E4052*G4052*100*0.1)+I4052, IF(C4052="Sell",(J4052-L4052)*(100*G4052)+I4052))))))</f>
        <v/>
      </c>
      <c r="O4052" s="75" t="n"/>
      <c r="P4052" s="75" t="n"/>
      <c r="Q4052" s="75">
        <f>IF(ISBLANK(P4052),"",IF(D4052="Stock",P4052*G4052,IF(P4052=0,"0",G4052*P4052*100-(G4052*$AF$14))))</f>
        <v/>
      </c>
      <c r="R4052" s="79">
        <f>IF(P4052&lt;&gt;"", TODAY(), "")</f>
        <v/>
      </c>
      <c r="S4052" s="78">
        <f>IF(AND(K4052&lt;&gt;"", R4052&lt;&gt;""), R4052-K4052, "")</f>
        <v/>
      </c>
      <c r="T4052" s="78" t="n"/>
      <c r="U4052" s="92">
        <f>IF(ISBLANK(P4052),"",IF(C4052="Buy",Q4052-M4052+T4052, IF(C4052="Sell",M4052-Q4052-T4052, X)))</f>
        <v/>
      </c>
      <c r="V4052" s="81">
        <f>IF(ISBLANK(P4052),"",U4052/N4052)</f>
        <v/>
      </c>
      <c r="W4052" s="81">
        <f>IF(ISBLANK(P4052),"",IF(S4052=0,(365/0.5)*V4052,(365/S4052)*V4052))</f>
        <v/>
      </c>
      <c r="X4052" s="75" t="n"/>
      <c r="Y4052" s="77" t="n"/>
      <c r="Z4052" s="77" t="n"/>
      <c r="AA4052" s="75" t="n"/>
      <c r="AB4052" s="75" t="n"/>
      <c r="AC4052" s="6" t="n"/>
      <c r="AD4052" s="75" t="n"/>
      <c r="AE4052" s="75" t="n"/>
      <c r="AF4052" s="75" t="n"/>
    </row>
    <row r="4053" ht="15.75" customHeight="1" s="133">
      <c r="A4053" s="75" t="n"/>
      <c r="B4053" s="75" t="n"/>
      <c r="C4053" s="75" t="n"/>
      <c r="D4053" s="75" t="n"/>
      <c r="E4053" s="76" t="n"/>
      <c r="F4053" s="77" t="n"/>
      <c r="G4053" s="75" t="n"/>
      <c r="H4053" s="75">
        <f>IF(ISBLANK(E4053),"",IF(OR(D4053="Butterfly",D4053="Butterfly ",D4053="Iron Fly", D4053="Iron Fly "),LEN(E4053)-LEN(SUBSTITUTE(E4053,"/",""))+2,LEN(E4053)-LEN(SUBSTITUTE(E4053,"/",""))+1))</f>
        <v/>
      </c>
      <c r="I4053" s="78">
        <f>IF(ISBLANK(G4053),"",IF(D4053="Stock","0",Key!$A$3*H4053*G4053))</f>
        <v/>
      </c>
      <c r="J4053" s="78">
        <f>IF(ISBLANK(E4053),"",IF(ISNUMBER(SEARCH("/",E4053)), IF(LEN(E4053)-LEN(SUBSTITUTE(E4053,"/",""))=1,(RIGHT(E4053,LEN(E4053)-FIND("/",E4053)))-(LEFT(E4053,FIND("/",E4053)-1)),(MID(E4053, SEARCH("/",E4053) + 1, SEARCH("/",E4053, SEARCH("/",E4053)+1) - SEARCH("/",E4053) - 1))-(LEFT(E4053,FIND("/",E4053)-1))), "NA"))</f>
        <v/>
      </c>
      <c r="K4053" s="79">
        <f>IF(A4053&lt;&gt;"", IF(ISBLANK(L4053), TODAY(), K4053), "")</f>
        <v/>
      </c>
      <c r="L4053" s="78" t="n"/>
      <c r="M4053" s="78">
        <f>IF(ISBLANK(L4053),"",IF(D4053="Stock",IF(C4053="Buy",L4053*G4053,IF(C4053="Sell",(L4053*G4053)-I4053, X)),IF(C4053="Buy",(L4053*G4053*100)+I4053,IF(C4053="Sell",(L4053*G4053*100)-I4053, X))))</f>
        <v/>
      </c>
      <c r="N4053" s="78">
        <f>IF(ISBLANK(L4053),"",IF(AND(C4053="Sell",D4053="Stock"),M4053,IF(ISBLANK(L4053),"",IF(C4053="Buy",M4053, IF(AND(C4053="Sell",J4053="NA"),(E4053*G4053*100*0.1)+I4053, IF(C4053="Sell",(J4053-L4053)*(100*G4053)+I4053))))))</f>
        <v/>
      </c>
      <c r="O4053" s="75" t="n"/>
      <c r="P4053" s="75" t="n"/>
      <c r="Q4053" s="75">
        <f>IF(ISBLANK(P4053),"",IF(D4053="Stock",P4053*G4053,IF(P4053=0,"0",G4053*P4053*100-(G4053*$AF$14))))</f>
        <v/>
      </c>
      <c r="R4053" s="79">
        <f>IF(P4053&lt;&gt;"", TODAY(), "")</f>
        <v/>
      </c>
      <c r="S4053" s="78">
        <f>IF(AND(K4053&lt;&gt;"", R4053&lt;&gt;""), R4053-K4053, "")</f>
        <v/>
      </c>
      <c r="T4053" s="78" t="n"/>
      <c r="U4053" s="92">
        <f>IF(ISBLANK(P4053),"",IF(C4053="Buy",Q4053-M4053+T4053, IF(C4053="Sell",M4053-Q4053-T4053, X)))</f>
        <v/>
      </c>
      <c r="V4053" s="81">
        <f>IF(ISBLANK(P4053),"",U4053/N4053)</f>
        <v/>
      </c>
      <c r="W4053" s="81">
        <f>IF(ISBLANK(P4053),"",IF(S4053=0,(365/0.5)*V4053,(365/S4053)*V4053))</f>
        <v/>
      </c>
      <c r="X4053" s="75" t="n"/>
      <c r="Y4053" s="77" t="n"/>
      <c r="Z4053" s="77" t="n"/>
      <c r="AA4053" s="75" t="n"/>
      <c r="AB4053" s="75" t="n"/>
      <c r="AC4053" s="6" t="n"/>
      <c r="AD4053" s="75" t="n"/>
      <c r="AE4053" s="75" t="n"/>
      <c r="AF4053" s="75" t="n"/>
    </row>
    <row r="4054" ht="15.75" customHeight="1" s="133">
      <c r="A4054" s="75" t="n"/>
      <c r="B4054" s="75" t="n"/>
      <c r="C4054" s="75" t="n"/>
      <c r="D4054" s="75" t="n"/>
      <c r="E4054" s="76" t="n"/>
      <c r="F4054" s="77" t="n"/>
      <c r="G4054" s="75" t="n"/>
      <c r="H4054" s="75">
        <f>IF(ISBLANK(E4054),"",IF(OR(D4054="Butterfly",D4054="Butterfly ",D4054="Iron Fly", D4054="Iron Fly "),LEN(E4054)-LEN(SUBSTITUTE(E4054,"/",""))+2,LEN(E4054)-LEN(SUBSTITUTE(E4054,"/",""))+1))</f>
        <v/>
      </c>
      <c r="I4054" s="78">
        <f>IF(ISBLANK(G4054),"",IF(D4054="Stock","0",Key!$A$3*H4054*G4054))</f>
        <v/>
      </c>
      <c r="J4054" s="78">
        <f>IF(ISBLANK(E4054),"",IF(ISNUMBER(SEARCH("/",E4054)), IF(LEN(E4054)-LEN(SUBSTITUTE(E4054,"/",""))=1,(RIGHT(E4054,LEN(E4054)-FIND("/",E4054)))-(LEFT(E4054,FIND("/",E4054)-1)),(MID(E4054, SEARCH("/",E4054) + 1, SEARCH("/",E4054, SEARCH("/",E4054)+1) - SEARCH("/",E4054) - 1))-(LEFT(E4054,FIND("/",E4054)-1))), "NA"))</f>
        <v/>
      </c>
      <c r="K4054" s="79">
        <f>IF(A4054&lt;&gt;"", IF(ISBLANK(L4054), TODAY(), K4054), "")</f>
        <v/>
      </c>
      <c r="L4054" s="78" t="n"/>
      <c r="M4054" s="78">
        <f>IF(ISBLANK(L4054),"",IF(D4054="Stock",IF(C4054="Buy",L4054*G4054,IF(C4054="Sell",(L4054*G4054)-I4054, X)),IF(C4054="Buy",(L4054*G4054*100)+I4054,IF(C4054="Sell",(L4054*G4054*100)-I4054, X))))</f>
        <v/>
      </c>
      <c r="N4054" s="78">
        <f>IF(ISBLANK(L4054),"",IF(AND(C4054="Sell",D4054="Stock"),M4054,IF(ISBLANK(L4054),"",IF(C4054="Buy",M4054, IF(AND(C4054="Sell",J4054="NA"),(E4054*G4054*100*0.1)+I4054, IF(C4054="Sell",(J4054-L4054)*(100*G4054)+I4054))))))</f>
        <v/>
      </c>
      <c r="O4054" s="75" t="n"/>
      <c r="P4054" s="75" t="n"/>
      <c r="Q4054" s="75">
        <f>IF(ISBLANK(P4054),"",IF(D4054="Stock",P4054*G4054,IF(P4054=0,"0",G4054*P4054*100-(G4054*$AF$14))))</f>
        <v/>
      </c>
      <c r="R4054" s="79">
        <f>IF(P4054&lt;&gt;"", TODAY(), "")</f>
        <v/>
      </c>
      <c r="S4054" s="78">
        <f>IF(AND(K4054&lt;&gt;"", R4054&lt;&gt;""), R4054-K4054, "")</f>
        <v/>
      </c>
      <c r="T4054" s="78" t="n"/>
      <c r="U4054" s="92">
        <f>IF(ISBLANK(P4054),"",IF(C4054="Buy",Q4054-M4054+T4054, IF(C4054="Sell",M4054-Q4054-T4054, X)))</f>
        <v/>
      </c>
      <c r="V4054" s="81">
        <f>IF(ISBLANK(P4054),"",U4054/N4054)</f>
        <v/>
      </c>
      <c r="W4054" s="81">
        <f>IF(ISBLANK(P4054),"",IF(S4054=0,(365/0.5)*V4054,(365/S4054)*V4054))</f>
        <v/>
      </c>
      <c r="X4054" s="75" t="n"/>
      <c r="Y4054" s="77" t="n"/>
      <c r="Z4054" s="77" t="n"/>
      <c r="AA4054" s="75" t="n"/>
      <c r="AB4054" s="75" t="n"/>
      <c r="AC4054" s="6" t="n"/>
      <c r="AD4054" s="75" t="n"/>
      <c r="AE4054" s="75" t="n"/>
      <c r="AF4054" s="75" t="n"/>
    </row>
    <row r="4055" ht="15.75" customHeight="1" s="133">
      <c r="A4055" s="75" t="n"/>
      <c r="B4055" s="75" t="n"/>
      <c r="C4055" s="75" t="n"/>
      <c r="D4055" s="75" t="n"/>
      <c r="E4055" s="76" t="n"/>
      <c r="F4055" s="77" t="n"/>
      <c r="G4055" s="75" t="n"/>
      <c r="H4055" s="75">
        <f>IF(ISBLANK(E4055),"",IF(OR(D4055="Butterfly",D4055="Butterfly ",D4055="Iron Fly", D4055="Iron Fly "),LEN(E4055)-LEN(SUBSTITUTE(E4055,"/",""))+2,LEN(E4055)-LEN(SUBSTITUTE(E4055,"/",""))+1))</f>
        <v/>
      </c>
      <c r="I4055" s="78">
        <f>IF(ISBLANK(G4055),"",IF(D4055="Stock","0",Key!$A$3*H4055*G4055))</f>
        <v/>
      </c>
      <c r="J4055" s="78">
        <f>IF(ISBLANK(E4055),"",IF(ISNUMBER(SEARCH("/",E4055)), IF(LEN(E4055)-LEN(SUBSTITUTE(E4055,"/",""))=1,(RIGHT(E4055,LEN(E4055)-FIND("/",E4055)))-(LEFT(E4055,FIND("/",E4055)-1)),(MID(E4055, SEARCH("/",E4055) + 1, SEARCH("/",E4055, SEARCH("/",E4055)+1) - SEARCH("/",E4055) - 1))-(LEFT(E4055,FIND("/",E4055)-1))), "NA"))</f>
        <v/>
      </c>
      <c r="K4055" s="79">
        <f>IF(A4055&lt;&gt;"", IF(ISBLANK(L4055), TODAY(), K4055), "")</f>
        <v/>
      </c>
      <c r="L4055" s="78" t="n"/>
      <c r="M4055" s="78">
        <f>IF(ISBLANK(L4055),"",IF(D4055="Stock",IF(C4055="Buy",L4055*G4055,IF(C4055="Sell",(L4055*G4055)-I4055, X)),IF(C4055="Buy",(L4055*G4055*100)+I4055,IF(C4055="Sell",(L4055*G4055*100)-I4055, X))))</f>
        <v/>
      </c>
      <c r="N4055" s="78">
        <f>IF(ISBLANK(L4055),"",IF(AND(C4055="Sell",D4055="Stock"),M4055,IF(ISBLANK(L4055),"",IF(C4055="Buy",M4055, IF(AND(C4055="Sell",J4055="NA"),(E4055*G4055*100*0.1)+I4055, IF(C4055="Sell",(J4055-L4055)*(100*G4055)+I4055))))))</f>
        <v/>
      </c>
      <c r="O4055" s="75" t="n"/>
      <c r="P4055" s="75" t="n"/>
      <c r="Q4055" s="75">
        <f>IF(ISBLANK(P4055),"",IF(D4055="Stock",P4055*G4055,IF(P4055=0,"0",G4055*P4055*100-(G4055*$AF$14))))</f>
        <v/>
      </c>
      <c r="R4055" s="79">
        <f>IF(P4055&lt;&gt;"", TODAY(), "")</f>
        <v/>
      </c>
      <c r="S4055" s="78">
        <f>IF(AND(K4055&lt;&gt;"", R4055&lt;&gt;""), R4055-K4055, "")</f>
        <v/>
      </c>
      <c r="T4055" s="78" t="n"/>
      <c r="U4055" s="92">
        <f>IF(ISBLANK(P4055),"",IF(C4055="Buy",Q4055-M4055+T4055, IF(C4055="Sell",M4055-Q4055-T4055, X)))</f>
        <v/>
      </c>
      <c r="V4055" s="81">
        <f>IF(ISBLANK(P4055),"",U4055/N4055)</f>
        <v/>
      </c>
      <c r="W4055" s="81">
        <f>IF(ISBLANK(P4055),"",IF(S4055=0,(365/0.5)*V4055,(365/S4055)*V4055))</f>
        <v/>
      </c>
      <c r="X4055" s="75" t="n"/>
      <c r="Y4055" s="77" t="n"/>
      <c r="Z4055" s="77" t="n"/>
      <c r="AA4055" s="75" t="n"/>
      <c r="AB4055" s="75" t="n"/>
      <c r="AC4055" s="6" t="n"/>
      <c r="AD4055" s="75" t="n"/>
      <c r="AE4055" s="75" t="n"/>
      <c r="AF4055" s="75" t="n"/>
    </row>
    <row r="4056" ht="15.75" customHeight="1" s="133">
      <c r="A4056" s="75" t="n"/>
      <c r="B4056" s="75" t="n"/>
      <c r="C4056" s="75" t="n"/>
      <c r="D4056" s="75" t="n"/>
      <c r="E4056" s="76" t="n"/>
      <c r="F4056" s="77" t="n"/>
      <c r="G4056" s="75" t="n"/>
      <c r="H4056" s="75">
        <f>IF(ISBLANK(E4056),"",IF(OR(D4056="Butterfly",D4056="Butterfly ",D4056="Iron Fly", D4056="Iron Fly "),LEN(E4056)-LEN(SUBSTITUTE(E4056,"/",""))+2,LEN(E4056)-LEN(SUBSTITUTE(E4056,"/",""))+1))</f>
        <v/>
      </c>
      <c r="I4056" s="78">
        <f>IF(ISBLANK(G4056),"",IF(D4056="Stock","0",Key!$A$3*H4056*G4056))</f>
        <v/>
      </c>
      <c r="J4056" s="78">
        <f>IF(ISBLANK(E4056),"",IF(ISNUMBER(SEARCH("/",E4056)), IF(LEN(E4056)-LEN(SUBSTITUTE(E4056,"/",""))=1,(RIGHT(E4056,LEN(E4056)-FIND("/",E4056)))-(LEFT(E4056,FIND("/",E4056)-1)),(MID(E4056, SEARCH("/",E4056) + 1, SEARCH("/",E4056, SEARCH("/",E4056)+1) - SEARCH("/",E4056) - 1))-(LEFT(E4056,FIND("/",E4056)-1))), "NA"))</f>
        <v/>
      </c>
      <c r="K4056" s="79">
        <f>IF(A4056&lt;&gt;"", IF(ISBLANK(L4056), TODAY(), K4056), "")</f>
        <v/>
      </c>
      <c r="L4056" s="78" t="n"/>
      <c r="M4056" s="78">
        <f>IF(ISBLANK(L4056),"",IF(D4056="Stock",IF(C4056="Buy",L4056*G4056,IF(C4056="Sell",(L4056*G4056)-I4056, X)),IF(C4056="Buy",(L4056*G4056*100)+I4056,IF(C4056="Sell",(L4056*G4056*100)-I4056, X))))</f>
        <v/>
      </c>
      <c r="N4056" s="78">
        <f>IF(ISBLANK(L4056),"",IF(AND(C4056="Sell",D4056="Stock"),M4056,IF(ISBLANK(L4056),"",IF(C4056="Buy",M4056, IF(AND(C4056="Sell",J4056="NA"),(E4056*G4056*100*0.1)+I4056, IF(C4056="Sell",(J4056-L4056)*(100*G4056)+I4056))))))</f>
        <v/>
      </c>
      <c r="O4056" s="75" t="n"/>
      <c r="P4056" s="75" t="n"/>
      <c r="Q4056" s="75">
        <f>IF(ISBLANK(P4056),"",IF(D4056="Stock",P4056*G4056,IF(P4056=0,"0",G4056*P4056*100-(G4056*$AF$14))))</f>
        <v/>
      </c>
      <c r="R4056" s="79">
        <f>IF(P4056&lt;&gt;"", TODAY(), "")</f>
        <v/>
      </c>
      <c r="S4056" s="78">
        <f>IF(AND(K4056&lt;&gt;"", R4056&lt;&gt;""), R4056-K4056, "")</f>
        <v/>
      </c>
      <c r="T4056" s="78" t="n"/>
      <c r="U4056" s="92">
        <f>IF(ISBLANK(P4056),"",IF(C4056="Buy",Q4056-M4056+T4056, IF(C4056="Sell",M4056-Q4056-T4056, X)))</f>
        <v/>
      </c>
      <c r="V4056" s="81">
        <f>IF(ISBLANK(P4056),"",U4056/N4056)</f>
        <v/>
      </c>
      <c r="W4056" s="81">
        <f>IF(ISBLANK(P4056),"",IF(S4056=0,(365/0.5)*V4056,(365/S4056)*V4056))</f>
        <v/>
      </c>
      <c r="X4056" s="75" t="n"/>
      <c r="Y4056" s="77" t="n"/>
      <c r="Z4056" s="77" t="n"/>
      <c r="AA4056" s="75" t="n"/>
      <c r="AB4056" s="75" t="n"/>
      <c r="AC4056" s="6" t="n"/>
      <c r="AD4056" s="75" t="n"/>
      <c r="AE4056" s="75" t="n"/>
      <c r="AF4056" s="75" t="n"/>
    </row>
    <row r="4057" ht="15.75" customHeight="1" s="133">
      <c r="A4057" s="75" t="n"/>
      <c r="B4057" s="75" t="n"/>
      <c r="C4057" s="75" t="n"/>
      <c r="D4057" s="75" t="n"/>
      <c r="E4057" s="76" t="n"/>
      <c r="F4057" s="77" t="n"/>
      <c r="G4057" s="75" t="n"/>
      <c r="H4057" s="75">
        <f>IF(ISBLANK(E4057),"",IF(OR(D4057="Butterfly",D4057="Butterfly ",D4057="Iron Fly", D4057="Iron Fly "),LEN(E4057)-LEN(SUBSTITUTE(E4057,"/",""))+2,LEN(E4057)-LEN(SUBSTITUTE(E4057,"/",""))+1))</f>
        <v/>
      </c>
      <c r="I4057" s="78">
        <f>IF(ISBLANK(G4057),"",IF(D4057="Stock","0",Key!$A$3*H4057*G4057))</f>
        <v/>
      </c>
      <c r="J4057" s="78">
        <f>IF(ISBLANK(E4057),"",IF(ISNUMBER(SEARCH("/",E4057)), IF(LEN(E4057)-LEN(SUBSTITUTE(E4057,"/",""))=1,(RIGHT(E4057,LEN(E4057)-FIND("/",E4057)))-(LEFT(E4057,FIND("/",E4057)-1)),(MID(E4057, SEARCH("/",E4057) + 1, SEARCH("/",E4057, SEARCH("/",E4057)+1) - SEARCH("/",E4057) - 1))-(LEFT(E4057,FIND("/",E4057)-1))), "NA"))</f>
        <v/>
      </c>
      <c r="K4057" s="79">
        <f>IF(A4057&lt;&gt;"", IF(ISBLANK(L4057), TODAY(), K4057), "")</f>
        <v/>
      </c>
      <c r="L4057" s="78" t="n"/>
      <c r="M4057" s="78">
        <f>IF(ISBLANK(L4057),"",IF(D4057="Stock",IF(C4057="Buy",L4057*G4057,IF(C4057="Sell",(L4057*G4057)-I4057, X)),IF(C4057="Buy",(L4057*G4057*100)+I4057,IF(C4057="Sell",(L4057*G4057*100)-I4057, X))))</f>
        <v/>
      </c>
      <c r="N4057" s="78">
        <f>IF(ISBLANK(L4057),"",IF(AND(C4057="Sell",D4057="Stock"),M4057,IF(ISBLANK(L4057),"",IF(C4057="Buy",M4057, IF(AND(C4057="Sell",J4057="NA"),(E4057*G4057*100*0.1)+I4057, IF(C4057="Sell",(J4057-L4057)*(100*G4057)+I4057))))))</f>
        <v/>
      </c>
      <c r="O4057" s="75" t="n"/>
      <c r="P4057" s="75" t="n"/>
      <c r="Q4057" s="75">
        <f>IF(ISBLANK(P4057),"",IF(D4057="Stock",P4057*G4057,IF(P4057=0,"0",G4057*P4057*100-(G4057*$AF$14))))</f>
        <v/>
      </c>
      <c r="R4057" s="79">
        <f>IF(P4057&lt;&gt;"", TODAY(), "")</f>
        <v/>
      </c>
      <c r="S4057" s="78">
        <f>IF(AND(K4057&lt;&gt;"", R4057&lt;&gt;""), R4057-K4057, "")</f>
        <v/>
      </c>
      <c r="T4057" s="78" t="n"/>
      <c r="U4057" s="92">
        <f>IF(ISBLANK(P4057),"",IF(C4057="Buy",Q4057-M4057+T4057, IF(C4057="Sell",M4057-Q4057-T4057, X)))</f>
        <v/>
      </c>
      <c r="V4057" s="81">
        <f>IF(ISBLANK(P4057),"",U4057/N4057)</f>
        <v/>
      </c>
      <c r="W4057" s="81">
        <f>IF(ISBLANK(P4057),"",IF(S4057=0,(365/0.5)*V4057,(365/S4057)*V4057))</f>
        <v/>
      </c>
      <c r="X4057" s="75" t="n"/>
      <c r="Y4057" s="77" t="n"/>
      <c r="Z4057" s="77" t="n"/>
      <c r="AA4057" s="75" t="n"/>
      <c r="AB4057" s="75" t="n"/>
      <c r="AC4057" s="6" t="n"/>
      <c r="AD4057" s="75" t="n"/>
      <c r="AE4057" s="75" t="n"/>
      <c r="AF4057" s="75" t="n"/>
    </row>
    <row r="4058" ht="15.75" customHeight="1" s="133">
      <c r="A4058" s="75" t="n"/>
      <c r="B4058" s="75" t="n"/>
      <c r="C4058" s="75" t="n"/>
      <c r="D4058" s="75" t="n"/>
      <c r="E4058" s="76" t="n"/>
      <c r="F4058" s="77" t="n"/>
      <c r="G4058" s="75" t="n"/>
      <c r="H4058" s="75">
        <f>IF(ISBLANK(E4058),"",IF(OR(D4058="Butterfly",D4058="Butterfly ",D4058="Iron Fly", D4058="Iron Fly "),LEN(E4058)-LEN(SUBSTITUTE(E4058,"/",""))+2,LEN(E4058)-LEN(SUBSTITUTE(E4058,"/",""))+1))</f>
        <v/>
      </c>
      <c r="I4058" s="78">
        <f>IF(ISBLANK(G4058),"",IF(D4058="Stock","0",Key!$A$3*H4058*G4058))</f>
        <v/>
      </c>
      <c r="J4058" s="78">
        <f>IF(ISBLANK(E4058),"",IF(ISNUMBER(SEARCH("/",E4058)), IF(LEN(E4058)-LEN(SUBSTITUTE(E4058,"/",""))=1,(RIGHT(E4058,LEN(E4058)-FIND("/",E4058)))-(LEFT(E4058,FIND("/",E4058)-1)),(MID(E4058, SEARCH("/",E4058) + 1, SEARCH("/",E4058, SEARCH("/",E4058)+1) - SEARCH("/",E4058) - 1))-(LEFT(E4058,FIND("/",E4058)-1))), "NA"))</f>
        <v/>
      </c>
      <c r="K4058" s="79">
        <f>IF(A4058&lt;&gt;"", IF(ISBLANK(L4058), TODAY(), K4058), "")</f>
        <v/>
      </c>
      <c r="L4058" s="78" t="n"/>
      <c r="M4058" s="78">
        <f>IF(ISBLANK(L4058),"",IF(D4058="Stock",IF(C4058="Buy",L4058*G4058,IF(C4058="Sell",(L4058*G4058)-I4058, X)),IF(C4058="Buy",(L4058*G4058*100)+I4058,IF(C4058="Sell",(L4058*G4058*100)-I4058, X))))</f>
        <v/>
      </c>
      <c r="N4058" s="78">
        <f>IF(ISBLANK(L4058),"",IF(AND(C4058="Sell",D4058="Stock"),M4058,IF(ISBLANK(L4058),"",IF(C4058="Buy",M4058, IF(AND(C4058="Sell",J4058="NA"),(E4058*G4058*100*0.1)+I4058, IF(C4058="Sell",(J4058-L4058)*(100*G4058)+I4058))))))</f>
        <v/>
      </c>
      <c r="O4058" s="75" t="n"/>
      <c r="P4058" s="75" t="n"/>
      <c r="Q4058" s="75">
        <f>IF(ISBLANK(P4058),"",IF(D4058="Stock",P4058*G4058,IF(P4058=0,"0",G4058*P4058*100-(G4058*$AF$14))))</f>
        <v/>
      </c>
      <c r="R4058" s="79">
        <f>IF(P4058&lt;&gt;"", TODAY(), "")</f>
        <v/>
      </c>
      <c r="S4058" s="78">
        <f>IF(AND(K4058&lt;&gt;"", R4058&lt;&gt;""), R4058-K4058, "")</f>
        <v/>
      </c>
      <c r="T4058" s="78" t="n"/>
      <c r="U4058" s="92">
        <f>IF(ISBLANK(P4058),"",IF(C4058="Buy",Q4058-M4058+T4058, IF(C4058="Sell",M4058-Q4058-T4058, X)))</f>
        <v/>
      </c>
      <c r="V4058" s="81">
        <f>IF(ISBLANK(P4058),"",U4058/N4058)</f>
        <v/>
      </c>
      <c r="W4058" s="81">
        <f>IF(ISBLANK(P4058),"",IF(S4058=0,(365/0.5)*V4058,(365/S4058)*V4058))</f>
        <v/>
      </c>
      <c r="X4058" s="75" t="n"/>
      <c r="Y4058" s="77" t="n"/>
      <c r="Z4058" s="77" t="n"/>
      <c r="AA4058" s="75" t="n"/>
      <c r="AB4058" s="75" t="n"/>
      <c r="AC4058" s="6" t="n"/>
      <c r="AD4058" s="75" t="n"/>
      <c r="AE4058" s="75" t="n"/>
      <c r="AF4058" s="75" t="n"/>
    </row>
    <row r="4059" ht="15.75" customHeight="1" s="133">
      <c r="A4059" s="75" t="n"/>
      <c r="B4059" s="75" t="n"/>
      <c r="C4059" s="75" t="n"/>
      <c r="D4059" s="75" t="n"/>
      <c r="E4059" s="76" t="n"/>
      <c r="F4059" s="77" t="n"/>
      <c r="G4059" s="75" t="n"/>
      <c r="H4059" s="75">
        <f>IF(ISBLANK(E4059),"",IF(OR(D4059="Butterfly",D4059="Butterfly ",D4059="Iron Fly", D4059="Iron Fly "),LEN(E4059)-LEN(SUBSTITUTE(E4059,"/",""))+2,LEN(E4059)-LEN(SUBSTITUTE(E4059,"/",""))+1))</f>
        <v/>
      </c>
      <c r="I4059" s="78">
        <f>IF(ISBLANK(G4059),"",IF(D4059="Stock","0",Key!$A$3*H4059*G4059))</f>
        <v/>
      </c>
      <c r="J4059" s="78">
        <f>IF(ISBLANK(E4059),"",IF(ISNUMBER(SEARCH("/",E4059)), IF(LEN(E4059)-LEN(SUBSTITUTE(E4059,"/",""))=1,(RIGHT(E4059,LEN(E4059)-FIND("/",E4059)))-(LEFT(E4059,FIND("/",E4059)-1)),(MID(E4059, SEARCH("/",E4059) + 1, SEARCH("/",E4059, SEARCH("/",E4059)+1) - SEARCH("/",E4059) - 1))-(LEFT(E4059,FIND("/",E4059)-1))), "NA"))</f>
        <v/>
      </c>
      <c r="K4059" s="79">
        <f>IF(A4059&lt;&gt;"", IF(ISBLANK(L4059), TODAY(), K4059), "")</f>
        <v/>
      </c>
      <c r="L4059" s="78" t="n"/>
      <c r="M4059" s="78">
        <f>IF(ISBLANK(L4059),"",IF(D4059="Stock",IF(C4059="Buy",L4059*G4059,IF(C4059="Sell",(L4059*G4059)-I4059, X)),IF(C4059="Buy",(L4059*G4059*100)+I4059,IF(C4059="Sell",(L4059*G4059*100)-I4059, X))))</f>
        <v/>
      </c>
      <c r="N4059" s="78">
        <f>IF(ISBLANK(L4059),"",IF(AND(C4059="Sell",D4059="Stock"),M4059,IF(ISBLANK(L4059),"",IF(C4059="Buy",M4059, IF(AND(C4059="Sell",J4059="NA"),(E4059*G4059*100*0.1)+I4059, IF(C4059="Sell",(J4059-L4059)*(100*G4059)+I4059))))))</f>
        <v/>
      </c>
      <c r="O4059" s="75" t="n"/>
      <c r="P4059" s="75" t="n"/>
      <c r="Q4059" s="75">
        <f>IF(ISBLANK(P4059),"",IF(D4059="Stock",P4059*G4059,IF(P4059=0,"0",G4059*P4059*100-(G4059*$AF$14))))</f>
        <v/>
      </c>
      <c r="R4059" s="79">
        <f>IF(P4059&lt;&gt;"", TODAY(), "")</f>
        <v/>
      </c>
      <c r="S4059" s="78">
        <f>IF(AND(K4059&lt;&gt;"", R4059&lt;&gt;""), R4059-K4059, "")</f>
        <v/>
      </c>
      <c r="T4059" s="78" t="n"/>
      <c r="U4059" s="92">
        <f>IF(ISBLANK(P4059),"",IF(C4059="Buy",Q4059-M4059+T4059, IF(C4059="Sell",M4059-Q4059-T4059, X)))</f>
        <v/>
      </c>
      <c r="V4059" s="81">
        <f>IF(ISBLANK(P4059),"",U4059/N4059)</f>
        <v/>
      </c>
      <c r="W4059" s="81">
        <f>IF(ISBLANK(P4059),"",IF(S4059=0,(365/0.5)*V4059,(365/S4059)*V4059))</f>
        <v/>
      </c>
      <c r="X4059" s="75" t="n"/>
      <c r="Y4059" s="77" t="n"/>
      <c r="Z4059" s="77" t="n"/>
      <c r="AA4059" s="75" t="n"/>
      <c r="AB4059" s="75" t="n"/>
      <c r="AC4059" s="6" t="n"/>
      <c r="AD4059" s="75" t="n"/>
      <c r="AE4059" s="75" t="n"/>
      <c r="AF4059" s="75" t="n"/>
    </row>
    <row r="4060" ht="15.75" customHeight="1" s="133">
      <c r="A4060" s="75" t="n"/>
      <c r="B4060" s="75" t="n"/>
      <c r="C4060" s="75" t="n"/>
      <c r="D4060" s="75" t="n"/>
      <c r="E4060" s="76" t="n"/>
      <c r="F4060" s="77" t="n"/>
      <c r="G4060" s="75" t="n"/>
      <c r="H4060" s="75">
        <f>IF(ISBLANK(E4060),"",IF(OR(D4060="Butterfly",D4060="Butterfly ",D4060="Iron Fly", D4060="Iron Fly "),LEN(E4060)-LEN(SUBSTITUTE(E4060,"/",""))+2,LEN(E4060)-LEN(SUBSTITUTE(E4060,"/",""))+1))</f>
        <v/>
      </c>
      <c r="I4060" s="78">
        <f>IF(ISBLANK(G4060),"",IF(D4060="Stock","0",Key!$A$3*H4060*G4060))</f>
        <v/>
      </c>
      <c r="J4060" s="78">
        <f>IF(ISBLANK(E4060),"",IF(ISNUMBER(SEARCH("/",E4060)), IF(LEN(E4060)-LEN(SUBSTITUTE(E4060,"/",""))=1,(RIGHT(E4060,LEN(E4060)-FIND("/",E4060)))-(LEFT(E4060,FIND("/",E4060)-1)),(MID(E4060, SEARCH("/",E4060) + 1, SEARCH("/",E4060, SEARCH("/",E4060)+1) - SEARCH("/",E4060) - 1))-(LEFT(E4060,FIND("/",E4060)-1))), "NA"))</f>
        <v/>
      </c>
      <c r="K4060" s="79">
        <f>IF(A4060&lt;&gt;"", IF(ISBLANK(L4060), TODAY(), K4060), "")</f>
        <v/>
      </c>
      <c r="L4060" s="78" t="n"/>
      <c r="M4060" s="78">
        <f>IF(ISBLANK(L4060),"",IF(D4060="Stock",IF(C4060="Buy",L4060*G4060,IF(C4060="Sell",(L4060*G4060)-I4060, X)),IF(C4060="Buy",(L4060*G4060*100)+I4060,IF(C4060="Sell",(L4060*G4060*100)-I4060, X))))</f>
        <v/>
      </c>
      <c r="N4060" s="78">
        <f>IF(ISBLANK(L4060),"",IF(AND(C4060="Sell",D4060="Stock"),M4060,IF(ISBLANK(L4060),"",IF(C4060="Buy",M4060, IF(AND(C4060="Sell",J4060="NA"),(E4060*G4060*100*0.1)+I4060, IF(C4060="Sell",(J4060-L4060)*(100*G4060)+I4060))))))</f>
        <v/>
      </c>
      <c r="O4060" s="75" t="n"/>
      <c r="P4060" s="75" t="n"/>
      <c r="Q4060" s="75">
        <f>IF(ISBLANK(P4060),"",IF(D4060="Stock",P4060*G4060,IF(P4060=0,"0",G4060*P4060*100-(G4060*$AF$14))))</f>
        <v/>
      </c>
      <c r="R4060" s="79">
        <f>IF(P4060&lt;&gt;"", TODAY(), "")</f>
        <v/>
      </c>
      <c r="S4060" s="78">
        <f>IF(AND(K4060&lt;&gt;"", R4060&lt;&gt;""), R4060-K4060, "")</f>
        <v/>
      </c>
      <c r="T4060" s="78" t="n"/>
      <c r="U4060" s="92">
        <f>IF(ISBLANK(P4060),"",IF(C4060="Buy",Q4060-M4060+T4060, IF(C4060="Sell",M4060-Q4060-T4060, X)))</f>
        <v/>
      </c>
      <c r="V4060" s="81">
        <f>IF(ISBLANK(P4060),"",U4060/N4060)</f>
        <v/>
      </c>
      <c r="W4060" s="81">
        <f>IF(ISBLANK(P4060),"",IF(S4060=0,(365/0.5)*V4060,(365/S4060)*V4060))</f>
        <v/>
      </c>
      <c r="X4060" s="75" t="n"/>
      <c r="Y4060" s="77" t="n"/>
      <c r="Z4060" s="77" t="n"/>
      <c r="AA4060" s="75" t="n"/>
      <c r="AB4060" s="75" t="n"/>
      <c r="AC4060" s="6" t="n"/>
      <c r="AD4060" s="75" t="n"/>
      <c r="AE4060" s="75" t="n"/>
      <c r="AF4060" s="75" t="n"/>
    </row>
    <row r="4061" ht="15.75" customHeight="1" s="133">
      <c r="A4061" s="75" t="n"/>
      <c r="B4061" s="75" t="n"/>
      <c r="C4061" s="75" t="n"/>
      <c r="D4061" s="75" t="n"/>
      <c r="E4061" s="76" t="n"/>
      <c r="F4061" s="77" t="n"/>
      <c r="G4061" s="75" t="n"/>
      <c r="H4061" s="75">
        <f>IF(ISBLANK(E4061),"",IF(OR(D4061="Butterfly",D4061="Butterfly ",D4061="Iron Fly", D4061="Iron Fly "),LEN(E4061)-LEN(SUBSTITUTE(E4061,"/",""))+2,LEN(E4061)-LEN(SUBSTITUTE(E4061,"/",""))+1))</f>
        <v/>
      </c>
      <c r="I4061" s="78">
        <f>IF(ISBLANK(G4061),"",IF(D4061="Stock","0",Key!$A$3*H4061*G4061))</f>
        <v/>
      </c>
      <c r="J4061" s="78">
        <f>IF(ISBLANK(E4061),"",IF(ISNUMBER(SEARCH("/",E4061)), IF(LEN(E4061)-LEN(SUBSTITUTE(E4061,"/",""))=1,(RIGHT(E4061,LEN(E4061)-FIND("/",E4061)))-(LEFT(E4061,FIND("/",E4061)-1)),(MID(E4061, SEARCH("/",E4061) + 1, SEARCH("/",E4061, SEARCH("/",E4061)+1) - SEARCH("/",E4061) - 1))-(LEFT(E4061,FIND("/",E4061)-1))), "NA"))</f>
        <v/>
      </c>
      <c r="K4061" s="79">
        <f>IF(A4061&lt;&gt;"", IF(ISBLANK(L4061), TODAY(), K4061), "")</f>
        <v/>
      </c>
      <c r="L4061" s="78" t="n"/>
      <c r="M4061" s="78">
        <f>IF(ISBLANK(L4061),"",IF(D4061="Stock",IF(C4061="Buy",L4061*G4061,IF(C4061="Sell",(L4061*G4061)-I4061, X)),IF(C4061="Buy",(L4061*G4061*100)+I4061,IF(C4061="Sell",(L4061*G4061*100)-I4061, X))))</f>
        <v/>
      </c>
      <c r="N4061" s="78">
        <f>IF(ISBLANK(L4061),"",IF(AND(C4061="Sell",D4061="Stock"),M4061,IF(ISBLANK(L4061),"",IF(C4061="Buy",M4061, IF(AND(C4061="Sell",J4061="NA"),(E4061*G4061*100*0.1)+I4061, IF(C4061="Sell",(J4061-L4061)*(100*G4061)+I4061))))))</f>
        <v/>
      </c>
      <c r="O4061" s="75" t="n"/>
      <c r="P4061" s="75" t="n"/>
      <c r="Q4061" s="75">
        <f>IF(ISBLANK(P4061),"",IF(D4061="Stock",P4061*G4061,IF(P4061=0,"0",G4061*P4061*100-(G4061*$AF$14))))</f>
        <v/>
      </c>
      <c r="R4061" s="79">
        <f>IF(P4061&lt;&gt;"", TODAY(), "")</f>
        <v/>
      </c>
      <c r="S4061" s="78">
        <f>IF(AND(K4061&lt;&gt;"", R4061&lt;&gt;""), R4061-K4061, "")</f>
        <v/>
      </c>
      <c r="T4061" s="78" t="n"/>
      <c r="U4061" s="92">
        <f>IF(ISBLANK(P4061),"",IF(C4061="Buy",Q4061-M4061+T4061, IF(C4061="Sell",M4061-Q4061-T4061, X)))</f>
        <v/>
      </c>
      <c r="V4061" s="81">
        <f>IF(ISBLANK(P4061),"",U4061/N4061)</f>
        <v/>
      </c>
      <c r="W4061" s="81">
        <f>IF(ISBLANK(P4061),"",IF(S4061=0,(365/0.5)*V4061,(365/S4061)*V4061))</f>
        <v/>
      </c>
      <c r="X4061" s="75" t="n"/>
      <c r="Y4061" s="77" t="n"/>
      <c r="Z4061" s="77" t="n"/>
      <c r="AA4061" s="75" t="n"/>
      <c r="AB4061" s="75" t="n"/>
      <c r="AC4061" s="6" t="n"/>
      <c r="AD4061" s="75" t="n"/>
      <c r="AE4061" s="75" t="n"/>
      <c r="AF4061" s="75" t="n"/>
    </row>
    <row r="4062" ht="15.75" customHeight="1" s="133">
      <c r="A4062" s="75" t="n"/>
      <c r="B4062" s="75" t="n"/>
      <c r="C4062" s="75" t="n"/>
      <c r="D4062" s="75" t="n"/>
      <c r="E4062" s="76" t="n"/>
      <c r="F4062" s="77" t="n"/>
      <c r="G4062" s="75" t="n"/>
      <c r="H4062" s="75">
        <f>IF(ISBLANK(E4062),"",IF(OR(D4062="Butterfly",D4062="Butterfly ",D4062="Iron Fly", D4062="Iron Fly "),LEN(E4062)-LEN(SUBSTITUTE(E4062,"/",""))+2,LEN(E4062)-LEN(SUBSTITUTE(E4062,"/",""))+1))</f>
        <v/>
      </c>
      <c r="I4062" s="78">
        <f>IF(ISBLANK(G4062),"",IF(D4062="Stock","0",Key!$A$3*H4062*G4062))</f>
        <v/>
      </c>
      <c r="J4062" s="78">
        <f>IF(ISBLANK(E4062),"",IF(ISNUMBER(SEARCH("/",E4062)), IF(LEN(E4062)-LEN(SUBSTITUTE(E4062,"/",""))=1,(RIGHT(E4062,LEN(E4062)-FIND("/",E4062)))-(LEFT(E4062,FIND("/",E4062)-1)),(MID(E4062, SEARCH("/",E4062) + 1, SEARCH("/",E4062, SEARCH("/",E4062)+1) - SEARCH("/",E4062) - 1))-(LEFT(E4062,FIND("/",E4062)-1))), "NA"))</f>
        <v/>
      </c>
      <c r="K4062" s="79">
        <f>IF(A4062&lt;&gt;"", IF(ISBLANK(L4062), TODAY(), K4062), "")</f>
        <v/>
      </c>
      <c r="L4062" s="78" t="n"/>
      <c r="M4062" s="78">
        <f>IF(ISBLANK(L4062),"",IF(D4062="Stock",IF(C4062="Buy",L4062*G4062,IF(C4062="Sell",(L4062*G4062)-I4062, X)),IF(C4062="Buy",(L4062*G4062*100)+I4062,IF(C4062="Sell",(L4062*G4062*100)-I4062, X))))</f>
        <v/>
      </c>
      <c r="N4062" s="78">
        <f>IF(ISBLANK(L4062),"",IF(AND(C4062="Sell",D4062="Stock"),M4062,IF(ISBLANK(L4062),"",IF(C4062="Buy",M4062, IF(AND(C4062="Sell",J4062="NA"),(E4062*G4062*100*0.1)+I4062, IF(C4062="Sell",(J4062-L4062)*(100*G4062)+I4062))))))</f>
        <v/>
      </c>
      <c r="O4062" s="75" t="n"/>
      <c r="P4062" s="75" t="n"/>
      <c r="Q4062" s="75">
        <f>IF(ISBLANK(P4062),"",IF(D4062="Stock",P4062*G4062,IF(P4062=0,"0",G4062*P4062*100-(G4062*$AF$14))))</f>
        <v/>
      </c>
      <c r="R4062" s="79">
        <f>IF(P4062&lt;&gt;"", TODAY(), "")</f>
        <v/>
      </c>
      <c r="S4062" s="78">
        <f>IF(AND(K4062&lt;&gt;"", R4062&lt;&gt;""), R4062-K4062, "")</f>
        <v/>
      </c>
      <c r="T4062" s="78" t="n"/>
      <c r="U4062" s="92">
        <f>IF(ISBLANK(P4062),"",IF(C4062="Buy",Q4062-M4062+T4062, IF(C4062="Sell",M4062-Q4062-T4062, X)))</f>
        <v/>
      </c>
      <c r="V4062" s="81">
        <f>IF(ISBLANK(P4062),"",U4062/N4062)</f>
        <v/>
      </c>
      <c r="W4062" s="81">
        <f>IF(ISBLANK(P4062),"",IF(S4062=0,(365/0.5)*V4062,(365/S4062)*V4062))</f>
        <v/>
      </c>
      <c r="X4062" s="75" t="n"/>
      <c r="Y4062" s="77" t="n"/>
      <c r="Z4062" s="77" t="n"/>
      <c r="AA4062" s="75" t="n"/>
      <c r="AB4062" s="75" t="n"/>
      <c r="AC4062" s="6" t="n"/>
      <c r="AD4062" s="75" t="n"/>
      <c r="AE4062" s="75" t="n"/>
      <c r="AF4062" s="75" t="n"/>
    </row>
    <row r="4063" ht="15.75" customHeight="1" s="133">
      <c r="A4063" s="75" t="n"/>
      <c r="B4063" s="75" t="n"/>
      <c r="C4063" s="75" t="n"/>
      <c r="D4063" s="75" t="n"/>
      <c r="E4063" s="76" t="n"/>
      <c r="F4063" s="77" t="n"/>
      <c r="G4063" s="75" t="n"/>
      <c r="H4063" s="75">
        <f>IF(ISBLANK(E4063),"",IF(OR(D4063="Butterfly",D4063="Butterfly ",D4063="Iron Fly", D4063="Iron Fly "),LEN(E4063)-LEN(SUBSTITUTE(E4063,"/",""))+2,LEN(E4063)-LEN(SUBSTITUTE(E4063,"/",""))+1))</f>
        <v/>
      </c>
      <c r="I4063" s="78">
        <f>IF(ISBLANK(G4063),"",IF(D4063="Stock","0",Key!$A$3*H4063*G4063))</f>
        <v/>
      </c>
      <c r="J4063" s="78">
        <f>IF(ISBLANK(E4063),"",IF(ISNUMBER(SEARCH("/",E4063)), IF(LEN(E4063)-LEN(SUBSTITUTE(E4063,"/",""))=1,(RIGHT(E4063,LEN(E4063)-FIND("/",E4063)))-(LEFT(E4063,FIND("/",E4063)-1)),(MID(E4063, SEARCH("/",E4063) + 1, SEARCH("/",E4063, SEARCH("/",E4063)+1) - SEARCH("/",E4063) - 1))-(LEFT(E4063,FIND("/",E4063)-1))), "NA"))</f>
        <v/>
      </c>
      <c r="K4063" s="79">
        <f>IF(A4063&lt;&gt;"", IF(ISBLANK(L4063), TODAY(), K4063), "")</f>
        <v/>
      </c>
      <c r="L4063" s="78" t="n"/>
      <c r="M4063" s="78">
        <f>IF(ISBLANK(L4063),"",IF(D4063="Stock",IF(C4063="Buy",L4063*G4063,IF(C4063="Sell",(L4063*G4063)-I4063, X)),IF(C4063="Buy",(L4063*G4063*100)+I4063,IF(C4063="Sell",(L4063*G4063*100)-I4063, X))))</f>
        <v/>
      </c>
      <c r="N4063" s="78">
        <f>IF(ISBLANK(L4063),"",IF(AND(C4063="Sell",D4063="Stock"),M4063,IF(ISBLANK(L4063),"",IF(C4063="Buy",M4063, IF(AND(C4063="Sell",J4063="NA"),(E4063*G4063*100*0.1)+I4063, IF(C4063="Sell",(J4063-L4063)*(100*G4063)+I4063))))))</f>
        <v/>
      </c>
      <c r="O4063" s="75" t="n"/>
      <c r="P4063" s="75" t="n"/>
      <c r="Q4063" s="75">
        <f>IF(ISBLANK(P4063),"",IF(D4063="Stock",P4063*G4063,IF(P4063=0,"0",G4063*P4063*100-(G4063*$AF$14))))</f>
        <v/>
      </c>
      <c r="R4063" s="79">
        <f>IF(P4063&lt;&gt;"", TODAY(), "")</f>
        <v/>
      </c>
      <c r="S4063" s="78">
        <f>IF(AND(K4063&lt;&gt;"", R4063&lt;&gt;""), R4063-K4063, "")</f>
        <v/>
      </c>
      <c r="T4063" s="78" t="n"/>
      <c r="U4063" s="92">
        <f>IF(ISBLANK(P4063),"",IF(C4063="Buy",Q4063-M4063+T4063, IF(C4063="Sell",M4063-Q4063-T4063, X)))</f>
        <v/>
      </c>
      <c r="V4063" s="81">
        <f>IF(ISBLANK(P4063),"",U4063/N4063)</f>
        <v/>
      </c>
      <c r="W4063" s="81">
        <f>IF(ISBLANK(P4063),"",IF(S4063=0,(365/0.5)*V4063,(365/S4063)*V4063))</f>
        <v/>
      </c>
      <c r="X4063" s="75" t="n"/>
      <c r="Y4063" s="77" t="n"/>
      <c r="Z4063" s="77" t="n"/>
      <c r="AA4063" s="75" t="n"/>
      <c r="AB4063" s="75" t="n"/>
      <c r="AC4063" s="6" t="n"/>
      <c r="AD4063" s="75" t="n"/>
      <c r="AE4063" s="75" t="n"/>
      <c r="AF4063" s="75" t="n"/>
    </row>
    <row r="4064" ht="15.75" customHeight="1" s="133">
      <c r="A4064" s="75" t="n"/>
      <c r="B4064" s="75" t="n"/>
      <c r="C4064" s="75" t="n"/>
      <c r="D4064" s="75" t="n"/>
      <c r="E4064" s="76" t="n"/>
      <c r="F4064" s="77" t="n"/>
      <c r="G4064" s="75" t="n"/>
      <c r="H4064" s="75">
        <f>IF(ISBLANK(E4064),"",IF(OR(D4064="Butterfly",D4064="Butterfly ",D4064="Iron Fly", D4064="Iron Fly "),LEN(E4064)-LEN(SUBSTITUTE(E4064,"/",""))+2,LEN(E4064)-LEN(SUBSTITUTE(E4064,"/",""))+1))</f>
        <v/>
      </c>
      <c r="I4064" s="78">
        <f>IF(ISBLANK(G4064),"",IF(D4064="Stock","0",Key!$A$3*H4064*G4064))</f>
        <v/>
      </c>
      <c r="J4064" s="78">
        <f>IF(ISBLANK(E4064),"",IF(ISNUMBER(SEARCH("/",E4064)), IF(LEN(E4064)-LEN(SUBSTITUTE(E4064,"/",""))=1,(RIGHT(E4064,LEN(E4064)-FIND("/",E4064)))-(LEFT(E4064,FIND("/",E4064)-1)),(MID(E4064, SEARCH("/",E4064) + 1, SEARCH("/",E4064, SEARCH("/",E4064)+1) - SEARCH("/",E4064) - 1))-(LEFT(E4064,FIND("/",E4064)-1))), "NA"))</f>
        <v/>
      </c>
      <c r="K4064" s="79">
        <f>IF(A4064&lt;&gt;"", IF(ISBLANK(L4064), TODAY(), K4064), "")</f>
        <v/>
      </c>
      <c r="L4064" s="78" t="n"/>
      <c r="M4064" s="78">
        <f>IF(ISBLANK(L4064),"",IF(D4064="Stock",IF(C4064="Buy",L4064*G4064,IF(C4064="Sell",(L4064*G4064)-I4064, X)),IF(C4064="Buy",(L4064*G4064*100)+I4064,IF(C4064="Sell",(L4064*G4064*100)-I4064, X))))</f>
        <v/>
      </c>
      <c r="N4064" s="78">
        <f>IF(ISBLANK(L4064),"",IF(AND(C4064="Sell",D4064="Stock"),M4064,IF(ISBLANK(L4064),"",IF(C4064="Buy",M4064, IF(AND(C4064="Sell",J4064="NA"),(E4064*G4064*100*0.1)+I4064, IF(C4064="Sell",(J4064-L4064)*(100*G4064)+I4064))))))</f>
        <v/>
      </c>
      <c r="O4064" s="75" t="n"/>
      <c r="P4064" s="75" t="n"/>
      <c r="Q4064" s="75">
        <f>IF(ISBLANK(P4064),"",IF(D4064="Stock",P4064*G4064,IF(P4064=0,"0",G4064*P4064*100-(G4064*$AF$14))))</f>
        <v/>
      </c>
      <c r="R4064" s="79">
        <f>IF(P4064&lt;&gt;"", TODAY(), "")</f>
        <v/>
      </c>
      <c r="S4064" s="78">
        <f>IF(AND(K4064&lt;&gt;"", R4064&lt;&gt;""), R4064-K4064, "")</f>
        <v/>
      </c>
      <c r="T4064" s="78" t="n"/>
      <c r="U4064" s="92">
        <f>IF(ISBLANK(P4064),"",IF(C4064="Buy",Q4064-M4064+T4064, IF(C4064="Sell",M4064-Q4064-T4064, X)))</f>
        <v/>
      </c>
      <c r="V4064" s="81">
        <f>IF(ISBLANK(P4064),"",U4064/N4064)</f>
        <v/>
      </c>
      <c r="W4064" s="81">
        <f>IF(ISBLANK(P4064),"",IF(S4064=0,(365/0.5)*V4064,(365/S4064)*V4064))</f>
        <v/>
      </c>
      <c r="X4064" s="75" t="n"/>
      <c r="Y4064" s="77" t="n"/>
      <c r="Z4064" s="77" t="n"/>
      <c r="AA4064" s="75" t="n"/>
      <c r="AB4064" s="75" t="n"/>
      <c r="AC4064" s="6" t="n"/>
      <c r="AD4064" s="75" t="n"/>
      <c r="AE4064" s="75" t="n"/>
      <c r="AF4064" s="75" t="n"/>
    </row>
    <row r="4065" ht="15.75" customHeight="1" s="133">
      <c r="A4065" s="75" t="n"/>
      <c r="B4065" s="75" t="n"/>
      <c r="C4065" s="75" t="n"/>
      <c r="D4065" s="75" t="n"/>
      <c r="E4065" s="76" t="n"/>
      <c r="F4065" s="77" t="n"/>
      <c r="G4065" s="75" t="n"/>
      <c r="H4065" s="75">
        <f>IF(ISBLANK(E4065),"",IF(OR(D4065="Butterfly",D4065="Butterfly ",D4065="Iron Fly", D4065="Iron Fly "),LEN(E4065)-LEN(SUBSTITUTE(E4065,"/",""))+2,LEN(E4065)-LEN(SUBSTITUTE(E4065,"/",""))+1))</f>
        <v/>
      </c>
      <c r="I4065" s="78">
        <f>IF(ISBLANK(G4065),"",IF(D4065="Stock","0",Key!$A$3*H4065*G4065))</f>
        <v/>
      </c>
      <c r="J4065" s="78">
        <f>IF(ISBLANK(E4065),"",IF(ISNUMBER(SEARCH("/",E4065)), IF(LEN(E4065)-LEN(SUBSTITUTE(E4065,"/",""))=1,(RIGHT(E4065,LEN(E4065)-FIND("/",E4065)))-(LEFT(E4065,FIND("/",E4065)-1)),(MID(E4065, SEARCH("/",E4065) + 1, SEARCH("/",E4065, SEARCH("/",E4065)+1) - SEARCH("/",E4065) - 1))-(LEFT(E4065,FIND("/",E4065)-1))), "NA"))</f>
        <v/>
      </c>
      <c r="K4065" s="79">
        <f>IF(A4065&lt;&gt;"", IF(ISBLANK(L4065), TODAY(), K4065), "")</f>
        <v/>
      </c>
      <c r="L4065" s="78" t="n"/>
      <c r="M4065" s="78">
        <f>IF(ISBLANK(L4065),"",IF(D4065="Stock",IF(C4065="Buy",L4065*G4065,IF(C4065="Sell",(L4065*G4065)-I4065, X)),IF(C4065="Buy",(L4065*G4065*100)+I4065,IF(C4065="Sell",(L4065*G4065*100)-I4065, X))))</f>
        <v/>
      </c>
      <c r="N4065" s="78">
        <f>IF(ISBLANK(L4065),"",IF(AND(C4065="Sell",D4065="Stock"),M4065,IF(ISBLANK(L4065),"",IF(C4065="Buy",M4065, IF(AND(C4065="Sell",J4065="NA"),(E4065*G4065*100*0.1)+I4065, IF(C4065="Sell",(J4065-L4065)*(100*G4065)+I4065))))))</f>
        <v/>
      </c>
      <c r="O4065" s="75" t="n"/>
      <c r="P4065" s="75" t="n"/>
      <c r="Q4065" s="75">
        <f>IF(ISBLANK(P4065),"",IF(D4065="Stock",P4065*G4065,IF(P4065=0,"0",G4065*P4065*100-(G4065*$AF$14))))</f>
        <v/>
      </c>
      <c r="R4065" s="79">
        <f>IF(P4065&lt;&gt;"", TODAY(), "")</f>
        <v/>
      </c>
      <c r="S4065" s="78">
        <f>IF(AND(K4065&lt;&gt;"", R4065&lt;&gt;""), R4065-K4065, "")</f>
        <v/>
      </c>
      <c r="T4065" s="78" t="n"/>
      <c r="U4065" s="92">
        <f>IF(ISBLANK(P4065),"",IF(C4065="Buy",Q4065-M4065+T4065, IF(C4065="Sell",M4065-Q4065-T4065, X)))</f>
        <v/>
      </c>
      <c r="V4065" s="81">
        <f>IF(ISBLANK(P4065),"",U4065/N4065)</f>
        <v/>
      </c>
      <c r="W4065" s="81">
        <f>IF(ISBLANK(P4065),"",IF(S4065=0,(365/0.5)*V4065,(365/S4065)*V4065))</f>
        <v/>
      </c>
      <c r="X4065" s="75" t="n"/>
      <c r="Y4065" s="77" t="n"/>
      <c r="Z4065" s="77" t="n"/>
      <c r="AA4065" s="75" t="n"/>
      <c r="AB4065" s="75" t="n"/>
      <c r="AC4065" s="6" t="n"/>
      <c r="AD4065" s="75" t="n"/>
      <c r="AE4065" s="75" t="n"/>
      <c r="AF4065" s="75" t="n"/>
    </row>
    <row r="4066" ht="15.75" customHeight="1" s="133">
      <c r="A4066" s="75" t="n"/>
      <c r="B4066" s="75" t="n"/>
      <c r="C4066" s="75" t="n"/>
      <c r="D4066" s="75" t="n"/>
      <c r="E4066" s="76" t="n"/>
      <c r="F4066" s="77" t="n"/>
      <c r="G4066" s="75" t="n"/>
      <c r="H4066" s="75">
        <f>IF(ISBLANK(E4066),"",IF(OR(D4066="Butterfly",D4066="Butterfly ",D4066="Iron Fly", D4066="Iron Fly "),LEN(E4066)-LEN(SUBSTITUTE(E4066,"/",""))+2,LEN(E4066)-LEN(SUBSTITUTE(E4066,"/",""))+1))</f>
        <v/>
      </c>
      <c r="I4066" s="78">
        <f>IF(ISBLANK(G4066),"",IF(D4066="Stock","0",Key!$A$3*H4066*G4066))</f>
        <v/>
      </c>
      <c r="J4066" s="78">
        <f>IF(ISBLANK(E4066),"",IF(ISNUMBER(SEARCH("/",E4066)), IF(LEN(E4066)-LEN(SUBSTITUTE(E4066,"/",""))=1,(RIGHT(E4066,LEN(E4066)-FIND("/",E4066)))-(LEFT(E4066,FIND("/",E4066)-1)),(MID(E4066, SEARCH("/",E4066) + 1, SEARCH("/",E4066, SEARCH("/",E4066)+1) - SEARCH("/",E4066) - 1))-(LEFT(E4066,FIND("/",E4066)-1))), "NA"))</f>
        <v/>
      </c>
      <c r="K4066" s="79">
        <f>IF(A4066&lt;&gt;"", IF(ISBLANK(L4066), TODAY(), K4066), "")</f>
        <v/>
      </c>
      <c r="L4066" s="78" t="n"/>
      <c r="M4066" s="78">
        <f>IF(ISBLANK(L4066),"",IF(D4066="Stock",IF(C4066="Buy",L4066*G4066,IF(C4066="Sell",(L4066*G4066)-I4066, X)),IF(C4066="Buy",(L4066*G4066*100)+I4066,IF(C4066="Sell",(L4066*G4066*100)-I4066, X))))</f>
        <v/>
      </c>
      <c r="N4066" s="78">
        <f>IF(ISBLANK(L4066),"",IF(AND(C4066="Sell",D4066="Stock"),M4066,IF(ISBLANK(L4066),"",IF(C4066="Buy",M4066, IF(AND(C4066="Sell",J4066="NA"),(E4066*G4066*100*0.1)+I4066, IF(C4066="Sell",(J4066-L4066)*(100*G4066)+I4066))))))</f>
        <v/>
      </c>
      <c r="O4066" s="75" t="n"/>
      <c r="P4066" s="75" t="n"/>
      <c r="Q4066" s="75">
        <f>IF(ISBLANK(P4066),"",IF(D4066="Stock",P4066*G4066,IF(P4066=0,"0",G4066*P4066*100-(G4066*$AF$14))))</f>
        <v/>
      </c>
      <c r="R4066" s="79">
        <f>IF(P4066&lt;&gt;"", TODAY(), "")</f>
        <v/>
      </c>
      <c r="S4066" s="78">
        <f>IF(AND(K4066&lt;&gt;"", R4066&lt;&gt;""), R4066-K4066, "")</f>
        <v/>
      </c>
      <c r="T4066" s="78" t="n"/>
      <c r="U4066" s="92">
        <f>IF(ISBLANK(P4066),"",IF(C4066="Buy",Q4066-M4066+T4066, IF(C4066="Sell",M4066-Q4066-T4066, X)))</f>
        <v/>
      </c>
      <c r="V4066" s="81">
        <f>IF(ISBLANK(P4066),"",U4066/N4066)</f>
        <v/>
      </c>
      <c r="W4066" s="81">
        <f>IF(ISBLANK(P4066),"",IF(S4066=0,(365/0.5)*V4066,(365/S4066)*V4066))</f>
        <v/>
      </c>
      <c r="X4066" s="75" t="n"/>
      <c r="Y4066" s="77" t="n"/>
      <c r="Z4066" s="77" t="n"/>
      <c r="AA4066" s="75" t="n"/>
      <c r="AB4066" s="75" t="n"/>
      <c r="AC4066" s="6" t="n"/>
      <c r="AD4066" s="75" t="n"/>
      <c r="AE4066" s="75" t="n"/>
      <c r="AF4066" s="75" t="n"/>
    </row>
    <row r="4067" ht="15.75" customHeight="1" s="133">
      <c r="A4067" s="75" t="n"/>
      <c r="B4067" s="75" t="n"/>
      <c r="C4067" s="75" t="n"/>
      <c r="D4067" s="75" t="n"/>
      <c r="E4067" s="76" t="n"/>
      <c r="F4067" s="77" t="n"/>
      <c r="G4067" s="75" t="n"/>
      <c r="H4067" s="75">
        <f>IF(ISBLANK(E4067),"",IF(OR(D4067="Butterfly",D4067="Butterfly ",D4067="Iron Fly", D4067="Iron Fly "),LEN(E4067)-LEN(SUBSTITUTE(E4067,"/",""))+2,LEN(E4067)-LEN(SUBSTITUTE(E4067,"/",""))+1))</f>
        <v/>
      </c>
      <c r="I4067" s="78">
        <f>IF(ISBLANK(G4067),"",IF(D4067="Stock","0",Key!$A$3*H4067*G4067))</f>
        <v/>
      </c>
      <c r="J4067" s="78">
        <f>IF(ISBLANK(E4067),"",IF(ISNUMBER(SEARCH("/",E4067)), IF(LEN(E4067)-LEN(SUBSTITUTE(E4067,"/",""))=1,(RIGHT(E4067,LEN(E4067)-FIND("/",E4067)))-(LEFT(E4067,FIND("/",E4067)-1)),(MID(E4067, SEARCH("/",E4067) + 1, SEARCH("/",E4067, SEARCH("/",E4067)+1) - SEARCH("/",E4067) - 1))-(LEFT(E4067,FIND("/",E4067)-1))), "NA"))</f>
        <v/>
      </c>
      <c r="K4067" s="79">
        <f>IF(A4067&lt;&gt;"", IF(ISBLANK(L4067), TODAY(), K4067), "")</f>
        <v/>
      </c>
      <c r="L4067" s="78" t="n"/>
      <c r="M4067" s="78">
        <f>IF(ISBLANK(L4067),"",IF(D4067="Stock",IF(C4067="Buy",L4067*G4067,IF(C4067="Sell",(L4067*G4067)-I4067, X)),IF(C4067="Buy",(L4067*G4067*100)+I4067,IF(C4067="Sell",(L4067*G4067*100)-I4067, X))))</f>
        <v/>
      </c>
      <c r="N4067" s="78">
        <f>IF(ISBLANK(L4067),"",IF(AND(C4067="Sell",D4067="Stock"),M4067,IF(ISBLANK(L4067),"",IF(C4067="Buy",M4067, IF(AND(C4067="Sell",J4067="NA"),(E4067*G4067*100*0.1)+I4067, IF(C4067="Sell",(J4067-L4067)*(100*G4067)+I4067))))))</f>
        <v/>
      </c>
      <c r="O4067" s="75" t="n"/>
      <c r="P4067" s="75" t="n"/>
      <c r="Q4067" s="75">
        <f>IF(ISBLANK(P4067),"",IF(D4067="Stock",P4067*G4067,IF(P4067=0,"0",G4067*P4067*100-(G4067*$AF$14))))</f>
        <v/>
      </c>
      <c r="R4067" s="79">
        <f>IF(P4067&lt;&gt;"", TODAY(), "")</f>
        <v/>
      </c>
      <c r="S4067" s="78">
        <f>IF(AND(K4067&lt;&gt;"", R4067&lt;&gt;""), R4067-K4067, "")</f>
        <v/>
      </c>
      <c r="T4067" s="78" t="n"/>
      <c r="U4067" s="92">
        <f>IF(ISBLANK(P4067),"",IF(C4067="Buy",Q4067-M4067+T4067, IF(C4067="Sell",M4067-Q4067-T4067, X)))</f>
        <v/>
      </c>
      <c r="V4067" s="81">
        <f>IF(ISBLANK(P4067),"",U4067/N4067)</f>
        <v/>
      </c>
      <c r="W4067" s="81">
        <f>IF(ISBLANK(P4067),"",IF(S4067=0,(365/0.5)*V4067,(365/S4067)*V4067))</f>
        <v/>
      </c>
      <c r="X4067" s="75" t="n"/>
      <c r="Y4067" s="77" t="n"/>
      <c r="Z4067" s="77" t="n"/>
      <c r="AA4067" s="75" t="n"/>
      <c r="AB4067" s="75" t="n"/>
      <c r="AC4067" s="6" t="n"/>
      <c r="AD4067" s="75" t="n"/>
      <c r="AE4067" s="75" t="n"/>
      <c r="AF4067" s="75" t="n"/>
    </row>
    <row r="4068" ht="15.75" customHeight="1" s="133">
      <c r="A4068" s="75" t="n"/>
      <c r="B4068" s="75" t="n"/>
      <c r="C4068" s="75" t="n"/>
      <c r="D4068" s="75" t="n"/>
      <c r="E4068" s="76" t="n"/>
      <c r="F4068" s="77" t="n"/>
      <c r="G4068" s="75" t="n"/>
      <c r="H4068" s="75">
        <f>IF(ISBLANK(E4068),"",IF(OR(D4068="Butterfly",D4068="Butterfly ",D4068="Iron Fly", D4068="Iron Fly "),LEN(E4068)-LEN(SUBSTITUTE(E4068,"/",""))+2,LEN(E4068)-LEN(SUBSTITUTE(E4068,"/",""))+1))</f>
        <v/>
      </c>
      <c r="I4068" s="78">
        <f>IF(ISBLANK(G4068),"",IF(D4068="Stock","0",Key!$A$3*H4068*G4068))</f>
        <v/>
      </c>
      <c r="J4068" s="78">
        <f>IF(ISBLANK(E4068),"",IF(ISNUMBER(SEARCH("/",E4068)), IF(LEN(E4068)-LEN(SUBSTITUTE(E4068,"/",""))=1,(RIGHT(E4068,LEN(E4068)-FIND("/",E4068)))-(LEFT(E4068,FIND("/",E4068)-1)),(MID(E4068, SEARCH("/",E4068) + 1, SEARCH("/",E4068, SEARCH("/",E4068)+1) - SEARCH("/",E4068) - 1))-(LEFT(E4068,FIND("/",E4068)-1))), "NA"))</f>
        <v/>
      </c>
      <c r="K4068" s="79">
        <f>IF(A4068&lt;&gt;"", IF(ISBLANK(L4068), TODAY(), K4068), "")</f>
        <v/>
      </c>
      <c r="L4068" s="78" t="n"/>
      <c r="M4068" s="78">
        <f>IF(ISBLANK(L4068),"",IF(D4068="Stock",IF(C4068="Buy",L4068*G4068,IF(C4068="Sell",(L4068*G4068)-I4068, X)),IF(C4068="Buy",(L4068*G4068*100)+I4068,IF(C4068="Sell",(L4068*G4068*100)-I4068, X))))</f>
        <v/>
      </c>
      <c r="N4068" s="78">
        <f>IF(ISBLANK(L4068),"",IF(AND(C4068="Sell",D4068="Stock"),M4068,IF(ISBLANK(L4068),"",IF(C4068="Buy",M4068, IF(AND(C4068="Sell",J4068="NA"),(E4068*G4068*100*0.1)+I4068, IF(C4068="Sell",(J4068-L4068)*(100*G4068)+I4068))))))</f>
        <v/>
      </c>
      <c r="O4068" s="75" t="n"/>
      <c r="P4068" s="75" t="n"/>
      <c r="Q4068" s="75">
        <f>IF(ISBLANK(P4068),"",IF(D4068="Stock",P4068*G4068,IF(P4068=0,"0",G4068*P4068*100-(G4068*$AF$14))))</f>
        <v/>
      </c>
      <c r="R4068" s="79">
        <f>IF(P4068&lt;&gt;"", TODAY(), "")</f>
        <v/>
      </c>
      <c r="S4068" s="78">
        <f>IF(AND(K4068&lt;&gt;"", R4068&lt;&gt;""), R4068-K4068, "")</f>
        <v/>
      </c>
      <c r="T4068" s="78" t="n"/>
      <c r="U4068" s="92">
        <f>IF(ISBLANK(P4068),"",IF(C4068="Buy",Q4068-M4068+T4068, IF(C4068="Sell",M4068-Q4068-T4068, X)))</f>
        <v/>
      </c>
      <c r="V4068" s="81">
        <f>IF(ISBLANK(P4068),"",U4068/N4068)</f>
        <v/>
      </c>
      <c r="W4068" s="81">
        <f>IF(ISBLANK(P4068),"",IF(S4068=0,(365/0.5)*V4068,(365/S4068)*V4068))</f>
        <v/>
      </c>
      <c r="X4068" s="75" t="n"/>
      <c r="Y4068" s="77" t="n"/>
      <c r="Z4068" s="77" t="n"/>
      <c r="AA4068" s="75" t="n"/>
      <c r="AB4068" s="75" t="n"/>
      <c r="AC4068" s="6" t="n"/>
      <c r="AD4068" s="75" t="n"/>
      <c r="AE4068" s="75" t="n"/>
      <c r="AF4068" s="75" t="n"/>
    </row>
    <row r="4069" ht="15.75" customHeight="1" s="133">
      <c r="A4069" s="75" t="n"/>
      <c r="B4069" s="75" t="n"/>
      <c r="C4069" s="75" t="n"/>
      <c r="D4069" s="75" t="n"/>
      <c r="E4069" s="76" t="n"/>
      <c r="F4069" s="77" t="n"/>
      <c r="G4069" s="75" t="n"/>
      <c r="H4069" s="75">
        <f>IF(ISBLANK(E4069),"",IF(OR(D4069="Butterfly",D4069="Butterfly ",D4069="Iron Fly", D4069="Iron Fly "),LEN(E4069)-LEN(SUBSTITUTE(E4069,"/",""))+2,LEN(E4069)-LEN(SUBSTITUTE(E4069,"/",""))+1))</f>
        <v/>
      </c>
      <c r="I4069" s="78">
        <f>IF(ISBLANK(G4069),"",IF(D4069="Stock","0",Key!$A$3*H4069*G4069))</f>
        <v/>
      </c>
      <c r="J4069" s="78">
        <f>IF(ISBLANK(E4069),"",IF(ISNUMBER(SEARCH("/",E4069)), IF(LEN(E4069)-LEN(SUBSTITUTE(E4069,"/",""))=1,(RIGHT(E4069,LEN(E4069)-FIND("/",E4069)))-(LEFT(E4069,FIND("/",E4069)-1)),(MID(E4069, SEARCH("/",E4069) + 1, SEARCH("/",E4069, SEARCH("/",E4069)+1) - SEARCH("/",E4069) - 1))-(LEFT(E4069,FIND("/",E4069)-1))), "NA"))</f>
        <v/>
      </c>
      <c r="K4069" s="79">
        <f>IF(A4069&lt;&gt;"", IF(ISBLANK(L4069), TODAY(), K4069), "")</f>
        <v/>
      </c>
      <c r="L4069" s="78" t="n"/>
      <c r="M4069" s="78">
        <f>IF(ISBLANK(L4069),"",IF(D4069="Stock",IF(C4069="Buy",L4069*G4069,IF(C4069="Sell",(L4069*G4069)-I4069, X)),IF(C4069="Buy",(L4069*G4069*100)+I4069,IF(C4069="Sell",(L4069*G4069*100)-I4069, X))))</f>
        <v/>
      </c>
      <c r="N4069" s="78">
        <f>IF(ISBLANK(L4069),"",IF(AND(C4069="Sell",D4069="Stock"),M4069,IF(ISBLANK(L4069),"",IF(C4069="Buy",M4069, IF(AND(C4069="Sell",J4069="NA"),(E4069*G4069*100*0.1)+I4069, IF(C4069="Sell",(J4069-L4069)*(100*G4069)+I4069))))))</f>
        <v/>
      </c>
      <c r="O4069" s="75" t="n"/>
      <c r="P4069" s="75" t="n"/>
      <c r="Q4069" s="75">
        <f>IF(ISBLANK(P4069),"",IF(D4069="Stock",P4069*G4069,IF(P4069=0,"0",G4069*P4069*100-(G4069*$AF$14))))</f>
        <v/>
      </c>
      <c r="R4069" s="79">
        <f>IF(P4069&lt;&gt;"", TODAY(), "")</f>
        <v/>
      </c>
      <c r="S4069" s="78">
        <f>IF(AND(K4069&lt;&gt;"", R4069&lt;&gt;""), R4069-K4069, "")</f>
        <v/>
      </c>
      <c r="T4069" s="78" t="n"/>
      <c r="U4069" s="92">
        <f>IF(ISBLANK(P4069),"",IF(C4069="Buy",Q4069-M4069+T4069, IF(C4069="Sell",M4069-Q4069-T4069, X)))</f>
        <v/>
      </c>
      <c r="V4069" s="81">
        <f>IF(ISBLANK(P4069),"",U4069/N4069)</f>
        <v/>
      </c>
      <c r="W4069" s="81">
        <f>IF(ISBLANK(P4069),"",IF(S4069=0,(365/0.5)*V4069,(365/S4069)*V4069))</f>
        <v/>
      </c>
      <c r="X4069" s="75" t="n"/>
      <c r="Y4069" s="77" t="n"/>
      <c r="Z4069" s="77" t="n"/>
      <c r="AA4069" s="75" t="n"/>
      <c r="AB4069" s="75" t="n"/>
      <c r="AC4069" s="6" t="n"/>
      <c r="AD4069" s="75" t="n"/>
      <c r="AE4069" s="75" t="n"/>
      <c r="AF4069" s="75" t="n"/>
    </row>
    <row r="4070" ht="15.75" customHeight="1" s="133">
      <c r="A4070" s="75" t="n"/>
      <c r="B4070" s="75" t="n"/>
      <c r="C4070" s="75" t="n"/>
      <c r="D4070" s="75" t="n"/>
      <c r="E4070" s="76" t="n"/>
      <c r="F4070" s="77" t="n"/>
      <c r="G4070" s="75" t="n"/>
      <c r="H4070" s="75">
        <f>IF(ISBLANK(E4070),"",IF(OR(D4070="Butterfly",D4070="Butterfly ",D4070="Iron Fly", D4070="Iron Fly "),LEN(E4070)-LEN(SUBSTITUTE(E4070,"/",""))+2,LEN(E4070)-LEN(SUBSTITUTE(E4070,"/",""))+1))</f>
        <v/>
      </c>
      <c r="I4070" s="78">
        <f>IF(ISBLANK(G4070),"",IF(D4070="Stock","0",Key!$A$3*H4070*G4070))</f>
        <v/>
      </c>
      <c r="J4070" s="78">
        <f>IF(ISBLANK(E4070),"",IF(ISNUMBER(SEARCH("/",E4070)), IF(LEN(E4070)-LEN(SUBSTITUTE(E4070,"/",""))=1,(RIGHT(E4070,LEN(E4070)-FIND("/",E4070)))-(LEFT(E4070,FIND("/",E4070)-1)),(MID(E4070, SEARCH("/",E4070) + 1, SEARCH("/",E4070, SEARCH("/",E4070)+1) - SEARCH("/",E4070) - 1))-(LEFT(E4070,FIND("/",E4070)-1))), "NA"))</f>
        <v/>
      </c>
      <c r="K4070" s="79">
        <f>IF(A4070&lt;&gt;"", IF(ISBLANK(L4070), TODAY(), K4070), "")</f>
        <v/>
      </c>
      <c r="L4070" s="78" t="n"/>
      <c r="M4070" s="78">
        <f>IF(ISBLANK(L4070),"",IF(D4070="Stock",IF(C4070="Buy",L4070*G4070,IF(C4070="Sell",(L4070*G4070)-I4070, X)),IF(C4070="Buy",(L4070*G4070*100)+I4070,IF(C4070="Sell",(L4070*G4070*100)-I4070, X))))</f>
        <v/>
      </c>
      <c r="N4070" s="78">
        <f>IF(ISBLANK(L4070),"",IF(AND(C4070="Sell",D4070="Stock"),M4070,IF(ISBLANK(L4070),"",IF(C4070="Buy",M4070, IF(AND(C4070="Sell",J4070="NA"),(E4070*G4070*100*0.1)+I4070, IF(C4070="Sell",(J4070-L4070)*(100*G4070)+I4070))))))</f>
        <v/>
      </c>
      <c r="O4070" s="75" t="n"/>
      <c r="P4070" s="75" t="n"/>
      <c r="Q4070" s="75">
        <f>IF(ISBLANK(P4070),"",IF(D4070="Stock",P4070*G4070,IF(P4070=0,"0",G4070*P4070*100-(G4070*$AF$14))))</f>
        <v/>
      </c>
      <c r="R4070" s="79">
        <f>IF(P4070&lt;&gt;"", TODAY(), "")</f>
        <v/>
      </c>
      <c r="S4070" s="78">
        <f>IF(AND(K4070&lt;&gt;"", R4070&lt;&gt;""), R4070-K4070, "")</f>
        <v/>
      </c>
      <c r="T4070" s="78" t="n"/>
      <c r="U4070" s="92">
        <f>IF(ISBLANK(P4070),"",IF(C4070="Buy",Q4070-M4070+T4070, IF(C4070="Sell",M4070-Q4070-T4070, X)))</f>
        <v/>
      </c>
      <c r="V4070" s="81">
        <f>IF(ISBLANK(P4070),"",U4070/N4070)</f>
        <v/>
      </c>
      <c r="W4070" s="81">
        <f>IF(ISBLANK(P4070),"",IF(S4070=0,(365/0.5)*V4070,(365/S4070)*V4070))</f>
        <v/>
      </c>
      <c r="X4070" s="75" t="n"/>
      <c r="Y4070" s="77" t="n"/>
      <c r="Z4070" s="77" t="n"/>
      <c r="AA4070" s="75" t="n"/>
      <c r="AB4070" s="75" t="n"/>
      <c r="AC4070" s="6" t="n"/>
      <c r="AD4070" s="75" t="n"/>
      <c r="AE4070" s="75" t="n"/>
      <c r="AF4070" s="75" t="n"/>
    </row>
    <row r="4071" ht="15.75" customHeight="1" s="133">
      <c r="A4071" s="75" t="n"/>
      <c r="B4071" s="75" t="n"/>
      <c r="C4071" s="75" t="n"/>
      <c r="D4071" s="75" t="n"/>
      <c r="E4071" s="76" t="n"/>
      <c r="F4071" s="77" t="n"/>
      <c r="G4071" s="75" t="n"/>
      <c r="H4071" s="75">
        <f>IF(ISBLANK(E4071),"",IF(OR(D4071="Butterfly",D4071="Butterfly ",D4071="Iron Fly", D4071="Iron Fly "),LEN(E4071)-LEN(SUBSTITUTE(E4071,"/",""))+2,LEN(E4071)-LEN(SUBSTITUTE(E4071,"/",""))+1))</f>
        <v/>
      </c>
      <c r="I4071" s="78">
        <f>IF(ISBLANK(G4071),"",IF(D4071="Stock","0",Key!$A$3*H4071*G4071))</f>
        <v/>
      </c>
      <c r="J4071" s="78">
        <f>IF(ISBLANK(E4071),"",IF(ISNUMBER(SEARCH("/",E4071)), IF(LEN(E4071)-LEN(SUBSTITUTE(E4071,"/",""))=1,(RIGHT(E4071,LEN(E4071)-FIND("/",E4071)))-(LEFT(E4071,FIND("/",E4071)-1)),(MID(E4071, SEARCH("/",E4071) + 1, SEARCH("/",E4071, SEARCH("/",E4071)+1) - SEARCH("/",E4071) - 1))-(LEFT(E4071,FIND("/",E4071)-1))), "NA"))</f>
        <v/>
      </c>
      <c r="K4071" s="79">
        <f>IF(A4071&lt;&gt;"", IF(ISBLANK(L4071), TODAY(), K4071), "")</f>
        <v/>
      </c>
      <c r="L4071" s="78" t="n"/>
      <c r="M4071" s="78">
        <f>IF(ISBLANK(L4071),"",IF(D4071="Stock",IF(C4071="Buy",L4071*G4071,IF(C4071="Sell",(L4071*G4071)-I4071, X)),IF(C4071="Buy",(L4071*G4071*100)+I4071,IF(C4071="Sell",(L4071*G4071*100)-I4071, X))))</f>
        <v/>
      </c>
      <c r="N4071" s="78">
        <f>IF(ISBLANK(L4071),"",IF(AND(C4071="Sell",D4071="Stock"),M4071,IF(ISBLANK(L4071),"",IF(C4071="Buy",M4071, IF(AND(C4071="Sell",J4071="NA"),(E4071*G4071*100*0.1)+I4071, IF(C4071="Sell",(J4071-L4071)*(100*G4071)+I4071))))))</f>
        <v/>
      </c>
      <c r="O4071" s="75" t="n"/>
      <c r="P4071" s="75" t="n"/>
      <c r="Q4071" s="75">
        <f>IF(ISBLANK(P4071),"",IF(D4071="Stock",P4071*G4071,IF(P4071=0,"0",G4071*P4071*100-(G4071*$AF$14))))</f>
        <v/>
      </c>
      <c r="R4071" s="79">
        <f>IF(P4071&lt;&gt;"", TODAY(), "")</f>
        <v/>
      </c>
      <c r="S4071" s="78">
        <f>IF(AND(K4071&lt;&gt;"", R4071&lt;&gt;""), R4071-K4071, "")</f>
        <v/>
      </c>
      <c r="T4071" s="78" t="n"/>
      <c r="U4071" s="92">
        <f>IF(ISBLANK(P4071),"",IF(C4071="Buy",Q4071-M4071+T4071, IF(C4071="Sell",M4071-Q4071-T4071, X)))</f>
        <v/>
      </c>
      <c r="V4071" s="81">
        <f>IF(ISBLANK(P4071),"",U4071/N4071)</f>
        <v/>
      </c>
      <c r="W4071" s="81">
        <f>IF(ISBLANK(P4071),"",IF(S4071=0,(365/0.5)*V4071,(365/S4071)*V4071))</f>
        <v/>
      </c>
      <c r="X4071" s="75" t="n"/>
      <c r="Y4071" s="77" t="n"/>
      <c r="Z4071" s="77" t="n"/>
      <c r="AA4071" s="75" t="n"/>
      <c r="AB4071" s="75" t="n"/>
      <c r="AC4071" s="6" t="n"/>
      <c r="AD4071" s="75" t="n"/>
      <c r="AE4071" s="75" t="n"/>
      <c r="AF4071" s="75" t="n"/>
    </row>
    <row r="4072" ht="15.75" customHeight="1" s="133">
      <c r="A4072" s="75" t="n"/>
      <c r="B4072" s="75" t="n"/>
      <c r="C4072" s="75" t="n"/>
      <c r="D4072" s="75" t="n"/>
      <c r="E4072" s="76" t="n"/>
      <c r="F4072" s="77" t="n"/>
      <c r="G4072" s="75" t="n"/>
      <c r="H4072" s="75">
        <f>IF(ISBLANK(E4072),"",IF(OR(D4072="Butterfly",D4072="Butterfly ",D4072="Iron Fly", D4072="Iron Fly "),LEN(E4072)-LEN(SUBSTITUTE(E4072,"/",""))+2,LEN(E4072)-LEN(SUBSTITUTE(E4072,"/",""))+1))</f>
        <v/>
      </c>
      <c r="I4072" s="78">
        <f>IF(ISBLANK(G4072),"",IF(D4072="Stock","0",Key!$A$3*H4072*G4072))</f>
        <v/>
      </c>
      <c r="J4072" s="78">
        <f>IF(ISBLANK(E4072),"",IF(ISNUMBER(SEARCH("/",E4072)), IF(LEN(E4072)-LEN(SUBSTITUTE(E4072,"/",""))=1,(RIGHT(E4072,LEN(E4072)-FIND("/",E4072)))-(LEFT(E4072,FIND("/",E4072)-1)),(MID(E4072, SEARCH("/",E4072) + 1, SEARCH("/",E4072, SEARCH("/",E4072)+1) - SEARCH("/",E4072) - 1))-(LEFT(E4072,FIND("/",E4072)-1))), "NA"))</f>
        <v/>
      </c>
      <c r="K4072" s="79">
        <f>IF(A4072&lt;&gt;"", IF(ISBLANK(L4072), TODAY(), K4072), "")</f>
        <v/>
      </c>
      <c r="L4072" s="78" t="n"/>
      <c r="M4072" s="78">
        <f>IF(ISBLANK(L4072),"",IF(D4072="Stock",IF(C4072="Buy",L4072*G4072,IF(C4072="Sell",(L4072*G4072)-I4072, X)),IF(C4072="Buy",(L4072*G4072*100)+I4072,IF(C4072="Sell",(L4072*G4072*100)-I4072, X))))</f>
        <v/>
      </c>
      <c r="N4072" s="78">
        <f>IF(ISBLANK(L4072),"",IF(AND(C4072="Sell",D4072="Stock"),M4072,IF(ISBLANK(L4072),"",IF(C4072="Buy",M4072, IF(AND(C4072="Sell",J4072="NA"),(E4072*G4072*100*0.1)+I4072, IF(C4072="Sell",(J4072-L4072)*(100*G4072)+I4072))))))</f>
        <v/>
      </c>
      <c r="O4072" s="75" t="n"/>
      <c r="P4072" s="75" t="n"/>
      <c r="Q4072" s="75">
        <f>IF(ISBLANK(P4072),"",IF(D4072="Stock",P4072*G4072,IF(P4072=0,"0",G4072*P4072*100-(G4072*$AF$14))))</f>
        <v/>
      </c>
      <c r="R4072" s="79">
        <f>IF(P4072&lt;&gt;"", TODAY(), "")</f>
        <v/>
      </c>
      <c r="S4072" s="78">
        <f>IF(AND(K4072&lt;&gt;"", R4072&lt;&gt;""), R4072-K4072, "")</f>
        <v/>
      </c>
      <c r="T4072" s="78" t="n"/>
      <c r="U4072" s="92">
        <f>IF(ISBLANK(P4072),"",IF(C4072="Buy",Q4072-M4072+T4072, IF(C4072="Sell",M4072-Q4072-T4072, X)))</f>
        <v/>
      </c>
      <c r="V4072" s="81">
        <f>IF(ISBLANK(P4072),"",U4072/N4072)</f>
        <v/>
      </c>
      <c r="W4072" s="81">
        <f>IF(ISBLANK(P4072),"",IF(S4072=0,(365/0.5)*V4072,(365/S4072)*V4072))</f>
        <v/>
      </c>
      <c r="X4072" s="75" t="n"/>
      <c r="Y4072" s="77" t="n"/>
      <c r="Z4072" s="77" t="n"/>
      <c r="AA4072" s="75" t="n"/>
      <c r="AB4072" s="75" t="n"/>
      <c r="AC4072" s="6" t="n"/>
      <c r="AD4072" s="75" t="n"/>
      <c r="AE4072" s="75" t="n"/>
      <c r="AF4072" s="75" t="n"/>
    </row>
    <row r="4073" ht="15.75" customHeight="1" s="133">
      <c r="A4073" s="75" t="n"/>
      <c r="B4073" s="75" t="n"/>
      <c r="C4073" s="75" t="n"/>
      <c r="D4073" s="75" t="n"/>
      <c r="E4073" s="76" t="n"/>
      <c r="F4073" s="77" t="n"/>
      <c r="G4073" s="75" t="n"/>
      <c r="H4073" s="75">
        <f>IF(ISBLANK(E4073),"",IF(OR(D4073="Butterfly",D4073="Butterfly ",D4073="Iron Fly", D4073="Iron Fly "),LEN(E4073)-LEN(SUBSTITUTE(E4073,"/",""))+2,LEN(E4073)-LEN(SUBSTITUTE(E4073,"/",""))+1))</f>
        <v/>
      </c>
      <c r="I4073" s="78">
        <f>IF(ISBLANK(G4073),"",IF(D4073="Stock","0",Key!$A$3*H4073*G4073))</f>
        <v/>
      </c>
      <c r="J4073" s="78">
        <f>IF(ISBLANK(E4073),"",IF(ISNUMBER(SEARCH("/",E4073)), IF(LEN(E4073)-LEN(SUBSTITUTE(E4073,"/",""))=1,(RIGHT(E4073,LEN(E4073)-FIND("/",E4073)))-(LEFT(E4073,FIND("/",E4073)-1)),(MID(E4073, SEARCH("/",E4073) + 1, SEARCH("/",E4073, SEARCH("/",E4073)+1) - SEARCH("/",E4073) - 1))-(LEFT(E4073,FIND("/",E4073)-1))), "NA"))</f>
        <v/>
      </c>
      <c r="K4073" s="79">
        <f>IF(A4073&lt;&gt;"", IF(ISBLANK(L4073), TODAY(), K4073), "")</f>
        <v/>
      </c>
      <c r="L4073" s="78" t="n"/>
      <c r="M4073" s="78">
        <f>IF(ISBLANK(L4073),"",IF(D4073="Stock",IF(C4073="Buy",L4073*G4073,IF(C4073="Sell",(L4073*G4073)-I4073, X)),IF(C4073="Buy",(L4073*G4073*100)+I4073,IF(C4073="Sell",(L4073*G4073*100)-I4073, X))))</f>
        <v/>
      </c>
      <c r="N4073" s="78">
        <f>IF(ISBLANK(L4073),"",IF(AND(C4073="Sell",D4073="Stock"),M4073,IF(ISBLANK(L4073),"",IF(C4073="Buy",M4073, IF(AND(C4073="Sell",J4073="NA"),(E4073*G4073*100*0.1)+I4073, IF(C4073="Sell",(J4073-L4073)*(100*G4073)+I4073))))))</f>
        <v/>
      </c>
      <c r="O4073" s="75" t="n"/>
      <c r="P4073" s="75" t="n"/>
      <c r="Q4073" s="75">
        <f>IF(ISBLANK(P4073),"",IF(D4073="Stock",P4073*G4073,IF(P4073=0,"0",G4073*P4073*100-(G4073*$AF$14))))</f>
        <v/>
      </c>
      <c r="R4073" s="79">
        <f>IF(P4073&lt;&gt;"", TODAY(), "")</f>
        <v/>
      </c>
      <c r="S4073" s="78">
        <f>IF(AND(K4073&lt;&gt;"", R4073&lt;&gt;""), R4073-K4073, "")</f>
        <v/>
      </c>
      <c r="T4073" s="78" t="n"/>
      <c r="U4073" s="92">
        <f>IF(ISBLANK(P4073),"",IF(C4073="Buy",Q4073-M4073+T4073, IF(C4073="Sell",M4073-Q4073-T4073, X)))</f>
        <v/>
      </c>
      <c r="V4073" s="81">
        <f>IF(ISBLANK(P4073),"",U4073/N4073)</f>
        <v/>
      </c>
      <c r="W4073" s="81">
        <f>IF(ISBLANK(P4073),"",IF(S4073=0,(365/0.5)*V4073,(365/S4073)*V4073))</f>
        <v/>
      </c>
      <c r="X4073" s="75" t="n"/>
      <c r="Y4073" s="77" t="n"/>
      <c r="Z4073" s="77" t="n"/>
      <c r="AA4073" s="75" t="n"/>
      <c r="AB4073" s="75" t="n"/>
      <c r="AC4073" s="6" t="n"/>
      <c r="AD4073" s="75" t="n"/>
      <c r="AE4073" s="75" t="n"/>
      <c r="AF4073" s="75" t="n"/>
    </row>
    <row r="4074" ht="15.75" customHeight="1" s="133">
      <c r="A4074" s="75" t="n"/>
      <c r="B4074" s="75" t="n"/>
      <c r="C4074" s="75" t="n"/>
      <c r="D4074" s="75" t="n"/>
      <c r="E4074" s="76" t="n"/>
      <c r="F4074" s="77" t="n"/>
      <c r="G4074" s="75" t="n"/>
      <c r="H4074" s="75">
        <f>IF(ISBLANK(E4074),"",IF(OR(D4074="Butterfly",D4074="Butterfly ",D4074="Iron Fly", D4074="Iron Fly "),LEN(E4074)-LEN(SUBSTITUTE(E4074,"/",""))+2,LEN(E4074)-LEN(SUBSTITUTE(E4074,"/",""))+1))</f>
        <v/>
      </c>
      <c r="I4074" s="78">
        <f>IF(ISBLANK(G4074),"",IF(D4074="Stock","0",Key!$A$3*H4074*G4074))</f>
        <v/>
      </c>
      <c r="J4074" s="78">
        <f>IF(ISBLANK(E4074),"",IF(ISNUMBER(SEARCH("/",E4074)), IF(LEN(E4074)-LEN(SUBSTITUTE(E4074,"/",""))=1,(RIGHT(E4074,LEN(E4074)-FIND("/",E4074)))-(LEFT(E4074,FIND("/",E4074)-1)),(MID(E4074, SEARCH("/",E4074) + 1, SEARCH("/",E4074, SEARCH("/",E4074)+1) - SEARCH("/",E4074) - 1))-(LEFT(E4074,FIND("/",E4074)-1))), "NA"))</f>
        <v/>
      </c>
      <c r="K4074" s="79">
        <f>IF(A4074&lt;&gt;"", IF(ISBLANK(L4074), TODAY(), K4074), "")</f>
        <v/>
      </c>
      <c r="L4074" s="78" t="n"/>
      <c r="M4074" s="78">
        <f>IF(ISBLANK(L4074),"",IF(D4074="Stock",IF(C4074="Buy",L4074*G4074,IF(C4074="Sell",(L4074*G4074)-I4074, X)),IF(C4074="Buy",(L4074*G4074*100)+I4074,IF(C4074="Sell",(L4074*G4074*100)-I4074, X))))</f>
        <v/>
      </c>
      <c r="N4074" s="78">
        <f>IF(ISBLANK(L4074),"",IF(AND(C4074="Sell",D4074="Stock"),M4074,IF(ISBLANK(L4074),"",IF(C4074="Buy",M4074, IF(AND(C4074="Sell",J4074="NA"),(E4074*G4074*100*0.1)+I4074, IF(C4074="Sell",(J4074-L4074)*(100*G4074)+I4074))))))</f>
        <v/>
      </c>
      <c r="O4074" s="75" t="n"/>
      <c r="P4074" s="75" t="n"/>
      <c r="Q4074" s="75">
        <f>IF(ISBLANK(P4074),"",IF(D4074="Stock",P4074*G4074,IF(P4074=0,"0",G4074*P4074*100-(G4074*$AF$14))))</f>
        <v/>
      </c>
      <c r="R4074" s="79">
        <f>IF(P4074&lt;&gt;"", TODAY(), "")</f>
        <v/>
      </c>
      <c r="S4074" s="78">
        <f>IF(AND(K4074&lt;&gt;"", R4074&lt;&gt;""), R4074-K4074, "")</f>
        <v/>
      </c>
      <c r="T4074" s="78" t="n"/>
      <c r="U4074" s="92">
        <f>IF(ISBLANK(P4074),"",IF(C4074="Buy",Q4074-M4074+T4074, IF(C4074="Sell",M4074-Q4074-T4074, X)))</f>
        <v/>
      </c>
      <c r="V4074" s="81">
        <f>IF(ISBLANK(P4074),"",U4074/N4074)</f>
        <v/>
      </c>
      <c r="W4074" s="81">
        <f>IF(ISBLANK(P4074),"",IF(S4074=0,(365/0.5)*V4074,(365/S4074)*V4074))</f>
        <v/>
      </c>
      <c r="X4074" s="75" t="n"/>
      <c r="Y4074" s="77" t="n"/>
      <c r="Z4074" s="77" t="n"/>
      <c r="AA4074" s="75" t="n"/>
      <c r="AB4074" s="75" t="n"/>
      <c r="AC4074" s="6" t="n"/>
      <c r="AD4074" s="75" t="n"/>
      <c r="AE4074" s="75" t="n"/>
      <c r="AF4074" s="75" t="n"/>
    </row>
    <row r="4075" ht="15.75" customHeight="1" s="133">
      <c r="A4075" s="75" t="n"/>
      <c r="B4075" s="75" t="n"/>
      <c r="C4075" s="75" t="n"/>
      <c r="D4075" s="75" t="n"/>
      <c r="E4075" s="76" t="n"/>
      <c r="F4075" s="77" t="n"/>
      <c r="G4075" s="75" t="n"/>
      <c r="H4075" s="75">
        <f>IF(ISBLANK(E4075),"",IF(OR(D4075="Butterfly",D4075="Butterfly ",D4075="Iron Fly", D4075="Iron Fly "),LEN(E4075)-LEN(SUBSTITUTE(E4075,"/",""))+2,LEN(E4075)-LEN(SUBSTITUTE(E4075,"/",""))+1))</f>
        <v/>
      </c>
      <c r="I4075" s="78">
        <f>IF(ISBLANK(G4075),"",IF(D4075="Stock","0",Key!$A$3*H4075*G4075))</f>
        <v/>
      </c>
      <c r="J4075" s="78">
        <f>IF(ISBLANK(E4075),"",IF(ISNUMBER(SEARCH("/",E4075)), IF(LEN(E4075)-LEN(SUBSTITUTE(E4075,"/",""))=1,(RIGHT(E4075,LEN(E4075)-FIND("/",E4075)))-(LEFT(E4075,FIND("/",E4075)-1)),(MID(E4075, SEARCH("/",E4075) + 1, SEARCH("/",E4075, SEARCH("/",E4075)+1) - SEARCH("/",E4075) - 1))-(LEFT(E4075,FIND("/",E4075)-1))), "NA"))</f>
        <v/>
      </c>
      <c r="K4075" s="79">
        <f>IF(A4075&lt;&gt;"", IF(ISBLANK(L4075), TODAY(), K4075), "")</f>
        <v/>
      </c>
      <c r="L4075" s="78" t="n"/>
      <c r="M4075" s="78">
        <f>IF(ISBLANK(L4075),"",IF(D4075="Stock",IF(C4075="Buy",L4075*G4075,IF(C4075="Sell",(L4075*G4075)-I4075, X)),IF(C4075="Buy",(L4075*G4075*100)+I4075,IF(C4075="Sell",(L4075*G4075*100)-I4075, X))))</f>
        <v/>
      </c>
      <c r="N4075" s="78">
        <f>IF(ISBLANK(L4075),"",IF(AND(C4075="Sell",D4075="Stock"),M4075,IF(ISBLANK(L4075),"",IF(C4075="Buy",M4075, IF(AND(C4075="Sell",J4075="NA"),(E4075*G4075*100*0.1)+I4075, IF(C4075="Sell",(J4075-L4075)*(100*G4075)+I4075))))))</f>
        <v/>
      </c>
      <c r="O4075" s="75" t="n"/>
      <c r="P4075" s="75" t="n"/>
      <c r="Q4075" s="75">
        <f>IF(ISBLANK(P4075),"",IF(D4075="Stock",P4075*G4075,IF(P4075=0,"0",G4075*P4075*100-(G4075*$AF$14))))</f>
        <v/>
      </c>
      <c r="R4075" s="79">
        <f>IF(P4075&lt;&gt;"", TODAY(), "")</f>
        <v/>
      </c>
      <c r="S4075" s="78">
        <f>IF(AND(K4075&lt;&gt;"", R4075&lt;&gt;""), R4075-K4075, "")</f>
        <v/>
      </c>
      <c r="T4075" s="78" t="n"/>
      <c r="U4075" s="92">
        <f>IF(ISBLANK(P4075),"",IF(C4075="Buy",Q4075-M4075+T4075, IF(C4075="Sell",M4075-Q4075-T4075, X)))</f>
        <v/>
      </c>
      <c r="V4075" s="81">
        <f>IF(ISBLANK(P4075),"",U4075/N4075)</f>
        <v/>
      </c>
      <c r="W4075" s="81">
        <f>IF(ISBLANK(P4075),"",IF(S4075=0,(365/0.5)*V4075,(365/S4075)*V4075))</f>
        <v/>
      </c>
      <c r="X4075" s="75" t="n"/>
      <c r="Y4075" s="77" t="n"/>
      <c r="Z4075" s="77" t="n"/>
      <c r="AA4075" s="75" t="n"/>
      <c r="AB4075" s="75" t="n"/>
      <c r="AC4075" s="6" t="n"/>
      <c r="AD4075" s="75" t="n"/>
      <c r="AE4075" s="75" t="n"/>
      <c r="AF4075" s="75" t="n"/>
    </row>
    <row r="4076" ht="15.75" customHeight="1" s="133">
      <c r="A4076" s="75" t="n"/>
      <c r="B4076" s="75" t="n"/>
      <c r="C4076" s="75" t="n"/>
      <c r="D4076" s="75" t="n"/>
      <c r="E4076" s="76" t="n"/>
      <c r="F4076" s="77" t="n"/>
      <c r="G4076" s="75" t="n"/>
      <c r="H4076" s="75">
        <f>IF(ISBLANK(E4076),"",IF(OR(D4076="Butterfly",D4076="Butterfly ",D4076="Iron Fly", D4076="Iron Fly "),LEN(E4076)-LEN(SUBSTITUTE(E4076,"/",""))+2,LEN(E4076)-LEN(SUBSTITUTE(E4076,"/",""))+1))</f>
        <v/>
      </c>
      <c r="I4076" s="78">
        <f>IF(ISBLANK(G4076),"",IF(D4076="Stock","0",Key!$A$3*H4076*G4076))</f>
        <v/>
      </c>
      <c r="J4076" s="78">
        <f>IF(ISBLANK(E4076),"",IF(ISNUMBER(SEARCH("/",E4076)), IF(LEN(E4076)-LEN(SUBSTITUTE(E4076,"/",""))=1,(RIGHT(E4076,LEN(E4076)-FIND("/",E4076)))-(LEFT(E4076,FIND("/",E4076)-1)),(MID(E4076, SEARCH("/",E4076) + 1, SEARCH("/",E4076, SEARCH("/",E4076)+1) - SEARCH("/",E4076) - 1))-(LEFT(E4076,FIND("/",E4076)-1))), "NA"))</f>
        <v/>
      </c>
      <c r="K4076" s="79">
        <f>IF(A4076&lt;&gt;"", IF(ISBLANK(L4076), TODAY(), K4076), "")</f>
        <v/>
      </c>
      <c r="L4076" s="78" t="n"/>
      <c r="M4076" s="78">
        <f>IF(ISBLANK(L4076),"",IF(D4076="Stock",IF(C4076="Buy",L4076*G4076,IF(C4076="Sell",(L4076*G4076)-I4076, X)),IF(C4076="Buy",(L4076*G4076*100)+I4076,IF(C4076="Sell",(L4076*G4076*100)-I4076, X))))</f>
        <v/>
      </c>
      <c r="N4076" s="78">
        <f>IF(ISBLANK(L4076),"",IF(AND(C4076="Sell",D4076="Stock"),M4076,IF(ISBLANK(L4076),"",IF(C4076="Buy",M4076, IF(AND(C4076="Sell",J4076="NA"),(E4076*G4076*100*0.1)+I4076, IF(C4076="Sell",(J4076-L4076)*(100*G4076)+I4076))))))</f>
        <v/>
      </c>
      <c r="O4076" s="75" t="n"/>
      <c r="P4076" s="75" t="n"/>
      <c r="Q4076" s="75">
        <f>IF(ISBLANK(P4076),"",IF(D4076="Stock",P4076*G4076,IF(P4076=0,"0",G4076*P4076*100-(G4076*$AF$14))))</f>
        <v/>
      </c>
      <c r="R4076" s="79">
        <f>IF(P4076&lt;&gt;"", TODAY(), "")</f>
        <v/>
      </c>
      <c r="S4076" s="78">
        <f>IF(AND(K4076&lt;&gt;"", R4076&lt;&gt;""), R4076-K4076, "")</f>
        <v/>
      </c>
      <c r="T4076" s="78" t="n"/>
      <c r="U4076" s="92">
        <f>IF(ISBLANK(P4076),"",IF(C4076="Buy",Q4076-M4076+T4076, IF(C4076="Sell",M4076-Q4076-T4076, X)))</f>
        <v/>
      </c>
      <c r="V4076" s="81">
        <f>IF(ISBLANK(P4076),"",U4076/N4076)</f>
        <v/>
      </c>
      <c r="W4076" s="81">
        <f>IF(ISBLANK(P4076),"",IF(S4076=0,(365/0.5)*V4076,(365/S4076)*V4076))</f>
        <v/>
      </c>
      <c r="X4076" s="75" t="n"/>
      <c r="Y4076" s="77" t="n"/>
      <c r="Z4076" s="77" t="n"/>
      <c r="AA4076" s="75" t="n"/>
      <c r="AB4076" s="75" t="n"/>
      <c r="AC4076" s="6" t="n"/>
      <c r="AD4076" s="75" t="n"/>
      <c r="AE4076" s="75" t="n"/>
      <c r="AF4076" s="75" t="n"/>
    </row>
    <row r="4077" ht="15.75" customHeight="1" s="133">
      <c r="A4077" s="75" t="n"/>
      <c r="B4077" s="75" t="n"/>
      <c r="C4077" s="75" t="n"/>
      <c r="D4077" s="75" t="n"/>
      <c r="E4077" s="76" t="n"/>
      <c r="F4077" s="77" t="n"/>
      <c r="G4077" s="75" t="n"/>
      <c r="H4077" s="75">
        <f>IF(ISBLANK(E4077),"",IF(OR(D4077="Butterfly",D4077="Butterfly ",D4077="Iron Fly", D4077="Iron Fly "),LEN(E4077)-LEN(SUBSTITUTE(E4077,"/",""))+2,LEN(E4077)-LEN(SUBSTITUTE(E4077,"/",""))+1))</f>
        <v/>
      </c>
      <c r="I4077" s="78">
        <f>IF(ISBLANK(G4077),"",IF(D4077="Stock","0",Key!$A$3*H4077*G4077))</f>
        <v/>
      </c>
      <c r="J4077" s="78">
        <f>IF(ISBLANK(E4077),"",IF(ISNUMBER(SEARCH("/",E4077)), IF(LEN(E4077)-LEN(SUBSTITUTE(E4077,"/",""))=1,(RIGHT(E4077,LEN(E4077)-FIND("/",E4077)))-(LEFT(E4077,FIND("/",E4077)-1)),(MID(E4077, SEARCH("/",E4077) + 1, SEARCH("/",E4077, SEARCH("/",E4077)+1) - SEARCH("/",E4077) - 1))-(LEFT(E4077,FIND("/",E4077)-1))), "NA"))</f>
        <v/>
      </c>
      <c r="K4077" s="79">
        <f>IF(A4077&lt;&gt;"", IF(ISBLANK(L4077), TODAY(), K4077), "")</f>
        <v/>
      </c>
      <c r="L4077" s="78" t="n"/>
      <c r="M4077" s="78">
        <f>IF(ISBLANK(L4077),"",IF(D4077="Stock",IF(C4077="Buy",L4077*G4077,IF(C4077="Sell",(L4077*G4077)-I4077, X)),IF(C4077="Buy",(L4077*G4077*100)+I4077,IF(C4077="Sell",(L4077*G4077*100)-I4077, X))))</f>
        <v/>
      </c>
      <c r="N4077" s="78">
        <f>IF(ISBLANK(L4077),"",IF(AND(C4077="Sell",D4077="Stock"),M4077,IF(ISBLANK(L4077),"",IF(C4077="Buy",M4077, IF(AND(C4077="Sell",J4077="NA"),(E4077*G4077*100*0.1)+I4077, IF(C4077="Sell",(J4077-L4077)*(100*G4077)+I4077))))))</f>
        <v/>
      </c>
      <c r="O4077" s="75" t="n"/>
      <c r="P4077" s="75" t="n"/>
      <c r="Q4077" s="75">
        <f>IF(ISBLANK(P4077),"",IF(D4077="Stock",P4077*G4077,IF(P4077=0,"0",G4077*P4077*100-(G4077*$AF$14))))</f>
        <v/>
      </c>
      <c r="R4077" s="79">
        <f>IF(P4077&lt;&gt;"", TODAY(), "")</f>
        <v/>
      </c>
      <c r="S4077" s="78">
        <f>IF(AND(K4077&lt;&gt;"", R4077&lt;&gt;""), R4077-K4077, "")</f>
        <v/>
      </c>
      <c r="T4077" s="78" t="n"/>
      <c r="U4077" s="92">
        <f>IF(ISBLANK(P4077),"",IF(C4077="Buy",Q4077-M4077+T4077, IF(C4077="Sell",M4077-Q4077-T4077, X)))</f>
        <v/>
      </c>
      <c r="V4077" s="81">
        <f>IF(ISBLANK(P4077),"",U4077/N4077)</f>
        <v/>
      </c>
      <c r="W4077" s="81">
        <f>IF(ISBLANK(P4077),"",IF(S4077=0,(365/0.5)*V4077,(365/S4077)*V4077))</f>
        <v/>
      </c>
      <c r="X4077" s="75" t="n"/>
      <c r="Y4077" s="77" t="n"/>
      <c r="Z4077" s="77" t="n"/>
      <c r="AA4077" s="75" t="n"/>
      <c r="AB4077" s="75" t="n"/>
      <c r="AC4077" s="6" t="n"/>
      <c r="AD4077" s="75" t="n"/>
      <c r="AE4077" s="75" t="n"/>
      <c r="AF4077" s="75" t="n"/>
    </row>
    <row r="4078" ht="15.75" customHeight="1" s="133">
      <c r="A4078" s="75" t="n"/>
      <c r="B4078" s="75" t="n"/>
      <c r="C4078" s="75" t="n"/>
      <c r="D4078" s="75" t="n"/>
      <c r="E4078" s="76" t="n"/>
      <c r="F4078" s="77" t="n"/>
      <c r="G4078" s="75" t="n"/>
      <c r="H4078" s="75">
        <f>IF(ISBLANK(E4078),"",IF(OR(D4078="Butterfly",D4078="Butterfly ",D4078="Iron Fly", D4078="Iron Fly "),LEN(E4078)-LEN(SUBSTITUTE(E4078,"/",""))+2,LEN(E4078)-LEN(SUBSTITUTE(E4078,"/",""))+1))</f>
        <v/>
      </c>
      <c r="I4078" s="78">
        <f>IF(ISBLANK(G4078),"",IF(D4078="Stock","0",Key!$A$3*H4078*G4078))</f>
        <v/>
      </c>
      <c r="J4078" s="78">
        <f>IF(ISBLANK(E4078),"",IF(ISNUMBER(SEARCH("/",E4078)), IF(LEN(E4078)-LEN(SUBSTITUTE(E4078,"/",""))=1,(RIGHT(E4078,LEN(E4078)-FIND("/",E4078)))-(LEFT(E4078,FIND("/",E4078)-1)),(MID(E4078, SEARCH("/",E4078) + 1, SEARCH("/",E4078, SEARCH("/",E4078)+1) - SEARCH("/",E4078) - 1))-(LEFT(E4078,FIND("/",E4078)-1))), "NA"))</f>
        <v/>
      </c>
      <c r="K4078" s="79">
        <f>IF(A4078&lt;&gt;"", IF(ISBLANK(L4078), TODAY(), K4078), "")</f>
        <v/>
      </c>
      <c r="L4078" s="78" t="n"/>
      <c r="M4078" s="78">
        <f>IF(ISBLANK(L4078),"",IF(D4078="Stock",IF(C4078="Buy",L4078*G4078,IF(C4078="Sell",(L4078*G4078)-I4078, X)),IF(C4078="Buy",(L4078*G4078*100)+I4078,IF(C4078="Sell",(L4078*G4078*100)-I4078, X))))</f>
        <v/>
      </c>
      <c r="N4078" s="78">
        <f>IF(ISBLANK(L4078),"",IF(AND(C4078="Sell",D4078="Stock"),M4078,IF(ISBLANK(L4078),"",IF(C4078="Buy",M4078, IF(AND(C4078="Sell",J4078="NA"),(E4078*G4078*100*0.1)+I4078, IF(C4078="Sell",(J4078-L4078)*(100*G4078)+I4078))))))</f>
        <v/>
      </c>
      <c r="O4078" s="75" t="n"/>
      <c r="P4078" s="75" t="n"/>
      <c r="Q4078" s="75">
        <f>IF(ISBLANK(P4078),"",IF(D4078="Stock",P4078*G4078,IF(P4078=0,"0",G4078*P4078*100-(G4078*$AF$14))))</f>
        <v/>
      </c>
      <c r="R4078" s="79">
        <f>IF(P4078&lt;&gt;"", TODAY(), "")</f>
        <v/>
      </c>
      <c r="S4078" s="78">
        <f>IF(AND(K4078&lt;&gt;"", R4078&lt;&gt;""), R4078-K4078, "")</f>
        <v/>
      </c>
      <c r="T4078" s="78" t="n"/>
      <c r="U4078" s="92">
        <f>IF(ISBLANK(P4078),"",IF(C4078="Buy",Q4078-M4078+T4078, IF(C4078="Sell",M4078-Q4078-T4078, X)))</f>
        <v/>
      </c>
      <c r="V4078" s="81">
        <f>IF(ISBLANK(P4078),"",U4078/N4078)</f>
        <v/>
      </c>
      <c r="W4078" s="81">
        <f>IF(ISBLANK(P4078),"",IF(S4078=0,(365/0.5)*V4078,(365/S4078)*V4078))</f>
        <v/>
      </c>
      <c r="X4078" s="75" t="n"/>
      <c r="Y4078" s="77" t="n"/>
      <c r="Z4078" s="77" t="n"/>
      <c r="AA4078" s="75" t="n"/>
      <c r="AB4078" s="75" t="n"/>
      <c r="AC4078" s="6" t="n"/>
      <c r="AD4078" s="75" t="n"/>
      <c r="AE4078" s="75" t="n"/>
      <c r="AF4078" s="75" t="n"/>
    </row>
    <row r="4079" ht="15.75" customHeight="1" s="133">
      <c r="A4079" s="75" t="n"/>
      <c r="B4079" s="75" t="n"/>
      <c r="C4079" s="75" t="n"/>
      <c r="D4079" s="75" t="n"/>
      <c r="E4079" s="76" t="n"/>
      <c r="F4079" s="77" t="n"/>
      <c r="G4079" s="75" t="n"/>
      <c r="H4079" s="75">
        <f>IF(ISBLANK(E4079),"",IF(OR(D4079="Butterfly",D4079="Butterfly ",D4079="Iron Fly", D4079="Iron Fly "),LEN(E4079)-LEN(SUBSTITUTE(E4079,"/",""))+2,LEN(E4079)-LEN(SUBSTITUTE(E4079,"/",""))+1))</f>
        <v/>
      </c>
      <c r="I4079" s="78">
        <f>IF(ISBLANK(G4079),"",IF(D4079="Stock","0",Key!$A$3*H4079*G4079))</f>
        <v/>
      </c>
      <c r="J4079" s="78">
        <f>IF(ISBLANK(E4079),"",IF(ISNUMBER(SEARCH("/",E4079)), IF(LEN(E4079)-LEN(SUBSTITUTE(E4079,"/",""))=1,(RIGHT(E4079,LEN(E4079)-FIND("/",E4079)))-(LEFT(E4079,FIND("/",E4079)-1)),(MID(E4079, SEARCH("/",E4079) + 1, SEARCH("/",E4079, SEARCH("/",E4079)+1) - SEARCH("/",E4079) - 1))-(LEFT(E4079,FIND("/",E4079)-1))), "NA"))</f>
        <v/>
      </c>
      <c r="K4079" s="79">
        <f>IF(A4079&lt;&gt;"", IF(ISBLANK(L4079), TODAY(), K4079), "")</f>
        <v/>
      </c>
      <c r="L4079" s="78" t="n"/>
      <c r="M4079" s="78">
        <f>IF(ISBLANK(L4079),"",IF(D4079="Stock",IF(C4079="Buy",L4079*G4079,IF(C4079="Sell",(L4079*G4079)-I4079, X)),IF(C4079="Buy",(L4079*G4079*100)+I4079,IF(C4079="Sell",(L4079*G4079*100)-I4079, X))))</f>
        <v/>
      </c>
      <c r="N4079" s="78">
        <f>IF(ISBLANK(L4079),"",IF(AND(C4079="Sell",D4079="Stock"),M4079,IF(ISBLANK(L4079),"",IF(C4079="Buy",M4079, IF(AND(C4079="Sell",J4079="NA"),(E4079*G4079*100*0.1)+I4079, IF(C4079="Sell",(J4079-L4079)*(100*G4079)+I4079))))))</f>
        <v/>
      </c>
      <c r="O4079" s="75" t="n"/>
      <c r="P4079" s="75" t="n"/>
      <c r="Q4079" s="75">
        <f>IF(ISBLANK(P4079),"",IF(D4079="Stock",P4079*G4079,IF(P4079=0,"0",G4079*P4079*100-(G4079*$AF$14))))</f>
        <v/>
      </c>
      <c r="R4079" s="79">
        <f>IF(P4079&lt;&gt;"", TODAY(), "")</f>
        <v/>
      </c>
      <c r="S4079" s="78">
        <f>IF(AND(K4079&lt;&gt;"", R4079&lt;&gt;""), R4079-K4079, "")</f>
        <v/>
      </c>
      <c r="T4079" s="78" t="n"/>
      <c r="U4079" s="92">
        <f>IF(ISBLANK(P4079),"",IF(C4079="Buy",Q4079-M4079+T4079, IF(C4079="Sell",M4079-Q4079-T4079, X)))</f>
        <v/>
      </c>
      <c r="V4079" s="81">
        <f>IF(ISBLANK(P4079),"",U4079/N4079)</f>
        <v/>
      </c>
      <c r="W4079" s="81">
        <f>IF(ISBLANK(P4079),"",IF(S4079=0,(365/0.5)*V4079,(365/S4079)*V4079))</f>
        <v/>
      </c>
      <c r="X4079" s="75" t="n"/>
      <c r="Y4079" s="77" t="n"/>
      <c r="Z4079" s="77" t="n"/>
      <c r="AA4079" s="75" t="n"/>
      <c r="AB4079" s="75" t="n"/>
      <c r="AC4079" s="6" t="n"/>
      <c r="AD4079" s="75" t="n"/>
      <c r="AE4079" s="75" t="n"/>
      <c r="AF4079" s="75" t="n"/>
    </row>
    <row r="4080" ht="15.75" customHeight="1" s="133">
      <c r="A4080" s="75" t="n"/>
      <c r="B4080" s="75" t="n"/>
      <c r="C4080" s="75" t="n"/>
      <c r="D4080" s="75" t="n"/>
      <c r="E4080" s="76" t="n"/>
      <c r="F4080" s="77" t="n"/>
      <c r="G4080" s="75" t="n"/>
      <c r="H4080" s="75">
        <f>IF(ISBLANK(E4080),"",IF(OR(D4080="Butterfly",D4080="Butterfly ",D4080="Iron Fly", D4080="Iron Fly "),LEN(E4080)-LEN(SUBSTITUTE(E4080,"/",""))+2,LEN(E4080)-LEN(SUBSTITUTE(E4080,"/",""))+1))</f>
        <v/>
      </c>
      <c r="I4080" s="78">
        <f>IF(ISBLANK(G4080),"",IF(D4080="Stock","0",Key!$A$3*H4080*G4080))</f>
        <v/>
      </c>
      <c r="J4080" s="78">
        <f>IF(ISBLANK(E4080),"",IF(ISNUMBER(SEARCH("/",E4080)), IF(LEN(E4080)-LEN(SUBSTITUTE(E4080,"/",""))=1,(RIGHT(E4080,LEN(E4080)-FIND("/",E4080)))-(LEFT(E4080,FIND("/",E4080)-1)),(MID(E4080, SEARCH("/",E4080) + 1, SEARCH("/",E4080, SEARCH("/",E4080)+1) - SEARCH("/",E4080) - 1))-(LEFT(E4080,FIND("/",E4080)-1))), "NA"))</f>
        <v/>
      </c>
      <c r="K4080" s="79">
        <f>IF(A4080&lt;&gt;"", IF(ISBLANK(L4080), TODAY(), K4080), "")</f>
        <v/>
      </c>
      <c r="L4080" s="78" t="n"/>
      <c r="M4080" s="78">
        <f>IF(ISBLANK(L4080),"",IF(D4080="Stock",IF(C4080="Buy",L4080*G4080,IF(C4080="Sell",(L4080*G4080)-I4080, X)),IF(C4080="Buy",(L4080*G4080*100)+I4080,IF(C4080="Sell",(L4080*G4080*100)-I4080, X))))</f>
        <v/>
      </c>
      <c r="N4080" s="78">
        <f>IF(ISBLANK(L4080),"",IF(AND(C4080="Sell",D4080="Stock"),M4080,IF(ISBLANK(L4080),"",IF(C4080="Buy",M4080, IF(AND(C4080="Sell",J4080="NA"),(E4080*G4080*100*0.1)+I4080, IF(C4080="Sell",(J4080-L4080)*(100*G4080)+I4080))))))</f>
        <v/>
      </c>
      <c r="O4080" s="75" t="n"/>
      <c r="P4080" s="75" t="n"/>
      <c r="Q4080" s="75">
        <f>IF(ISBLANK(P4080),"",IF(D4080="Stock",P4080*G4080,IF(P4080=0,"0",G4080*P4080*100-(G4080*$AF$14))))</f>
        <v/>
      </c>
      <c r="R4080" s="79">
        <f>IF(P4080&lt;&gt;"", TODAY(), "")</f>
        <v/>
      </c>
      <c r="S4080" s="78">
        <f>IF(AND(K4080&lt;&gt;"", R4080&lt;&gt;""), R4080-K4080, "")</f>
        <v/>
      </c>
      <c r="T4080" s="78" t="n"/>
      <c r="U4080" s="92">
        <f>IF(ISBLANK(P4080),"",IF(C4080="Buy",Q4080-M4080+T4080, IF(C4080="Sell",M4080-Q4080-T4080, X)))</f>
        <v/>
      </c>
      <c r="V4080" s="81">
        <f>IF(ISBLANK(P4080),"",U4080/N4080)</f>
        <v/>
      </c>
      <c r="W4080" s="81">
        <f>IF(ISBLANK(P4080),"",IF(S4080=0,(365/0.5)*V4080,(365/S4080)*V4080))</f>
        <v/>
      </c>
      <c r="X4080" s="75" t="n"/>
      <c r="Y4080" s="77" t="n"/>
      <c r="Z4080" s="77" t="n"/>
      <c r="AA4080" s="75" t="n"/>
      <c r="AB4080" s="75" t="n"/>
      <c r="AC4080" s="6" t="n"/>
      <c r="AD4080" s="75" t="n"/>
      <c r="AE4080" s="75" t="n"/>
      <c r="AF4080" s="75" t="n"/>
    </row>
    <row r="4081" ht="15.75" customHeight="1" s="133">
      <c r="A4081" s="75" t="n"/>
      <c r="B4081" s="75" t="n"/>
      <c r="C4081" s="75" t="n"/>
      <c r="D4081" s="75" t="n"/>
      <c r="E4081" s="76" t="n"/>
      <c r="F4081" s="77" t="n"/>
      <c r="G4081" s="75" t="n"/>
      <c r="H4081" s="75">
        <f>IF(ISBLANK(E4081),"",IF(OR(D4081="Butterfly",D4081="Butterfly ",D4081="Iron Fly", D4081="Iron Fly "),LEN(E4081)-LEN(SUBSTITUTE(E4081,"/",""))+2,LEN(E4081)-LEN(SUBSTITUTE(E4081,"/",""))+1))</f>
        <v/>
      </c>
      <c r="I4081" s="78">
        <f>IF(ISBLANK(G4081),"",IF(D4081="Stock","0",Key!$A$3*H4081*G4081))</f>
        <v/>
      </c>
      <c r="J4081" s="78">
        <f>IF(ISBLANK(E4081),"",IF(ISNUMBER(SEARCH("/",E4081)), IF(LEN(E4081)-LEN(SUBSTITUTE(E4081,"/",""))=1,(RIGHT(E4081,LEN(E4081)-FIND("/",E4081)))-(LEFT(E4081,FIND("/",E4081)-1)),(MID(E4081, SEARCH("/",E4081) + 1, SEARCH("/",E4081, SEARCH("/",E4081)+1) - SEARCH("/",E4081) - 1))-(LEFT(E4081,FIND("/",E4081)-1))), "NA"))</f>
        <v/>
      </c>
      <c r="K4081" s="79">
        <f>IF(A4081&lt;&gt;"", IF(ISBLANK(L4081), TODAY(), K4081), "")</f>
        <v/>
      </c>
      <c r="L4081" s="78" t="n"/>
      <c r="M4081" s="78">
        <f>IF(ISBLANK(L4081),"",IF(D4081="Stock",IF(C4081="Buy",L4081*G4081,IF(C4081="Sell",(L4081*G4081)-I4081, X)),IF(C4081="Buy",(L4081*G4081*100)+I4081,IF(C4081="Sell",(L4081*G4081*100)-I4081, X))))</f>
        <v/>
      </c>
      <c r="N4081" s="78">
        <f>IF(ISBLANK(L4081),"",IF(AND(C4081="Sell",D4081="Stock"),M4081,IF(ISBLANK(L4081),"",IF(C4081="Buy",M4081, IF(AND(C4081="Sell",J4081="NA"),(E4081*G4081*100*0.1)+I4081, IF(C4081="Sell",(J4081-L4081)*(100*G4081)+I4081))))))</f>
        <v/>
      </c>
      <c r="O4081" s="75" t="n"/>
      <c r="P4081" s="75" t="n"/>
      <c r="Q4081" s="75">
        <f>IF(ISBLANK(P4081),"",IF(D4081="Stock",P4081*G4081,IF(P4081=0,"0",G4081*P4081*100-(G4081*$AF$14))))</f>
        <v/>
      </c>
      <c r="R4081" s="79">
        <f>IF(P4081&lt;&gt;"", TODAY(), "")</f>
        <v/>
      </c>
      <c r="S4081" s="78">
        <f>IF(AND(K4081&lt;&gt;"", R4081&lt;&gt;""), R4081-K4081, "")</f>
        <v/>
      </c>
      <c r="T4081" s="78" t="n"/>
      <c r="U4081" s="92">
        <f>IF(ISBLANK(P4081),"",IF(C4081="Buy",Q4081-M4081+T4081, IF(C4081="Sell",M4081-Q4081-T4081, X)))</f>
        <v/>
      </c>
      <c r="V4081" s="81">
        <f>IF(ISBLANK(P4081),"",U4081/N4081)</f>
        <v/>
      </c>
      <c r="W4081" s="81">
        <f>IF(ISBLANK(P4081),"",IF(S4081=0,(365/0.5)*V4081,(365/S4081)*V4081))</f>
        <v/>
      </c>
      <c r="X4081" s="75" t="n"/>
      <c r="Y4081" s="77" t="n"/>
      <c r="Z4081" s="77" t="n"/>
      <c r="AA4081" s="75" t="n"/>
      <c r="AB4081" s="75" t="n"/>
      <c r="AC4081" s="6" t="n"/>
      <c r="AD4081" s="75" t="n"/>
      <c r="AE4081" s="75" t="n"/>
      <c r="AF4081" s="75" t="n"/>
    </row>
    <row r="4082" ht="15.75" customHeight="1" s="133">
      <c r="A4082" s="75" t="n"/>
      <c r="B4082" s="75" t="n"/>
      <c r="C4082" s="75" t="n"/>
      <c r="D4082" s="75" t="n"/>
      <c r="E4082" s="76" t="n"/>
      <c r="F4082" s="77" t="n"/>
      <c r="G4082" s="75" t="n"/>
      <c r="H4082" s="75">
        <f>IF(ISBLANK(E4082),"",IF(OR(D4082="Butterfly",D4082="Butterfly ",D4082="Iron Fly", D4082="Iron Fly "),LEN(E4082)-LEN(SUBSTITUTE(E4082,"/",""))+2,LEN(E4082)-LEN(SUBSTITUTE(E4082,"/",""))+1))</f>
        <v/>
      </c>
      <c r="I4082" s="78">
        <f>IF(ISBLANK(G4082),"",IF(D4082="Stock","0",Key!$A$3*H4082*G4082))</f>
        <v/>
      </c>
      <c r="J4082" s="78">
        <f>IF(ISBLANK(E4082),"",IF(ISNUMBER(SEARCH("/",E4082)), IF(LEN(E4082)-LEN(SUBSTITUTE(E4082,"/",""))=1,(RIGHT(E4082,LEN(E4082)-FIND("/",E4082)))-(LEFT(E4082,FIND("/",E4082)-1)),(MID(E4082, SEARCH("/",E4082) + 1, SEARCH("/",E4082, SEARCH("/",E4082)+1) - SEARCH("/",E4082) - 1))-(LEFT(E4082,FIND("/",E4082)-1))), "NA"))</f>
        <v/>
      </c>
      <c r="K4082" s="79">
        <f>IF(A4082&lt;&gt;"", IF(ISBLANK(L4082), TODAY(), K4082), "")</f>
        <v/>
      </c>
      <c r="L4082" s="78" t="n"/>
      <c r="M4082" s="78">
        <f>IF(ISBLANK(L4082),"",IF(D4082="Stock",IF(C4082="Buy",L4082*G4082,IF(C4082="Sell",(L4082*G4082)-I4082, X)),IF(C4082="Buy",(L4082*G4082*100)+I4082,IF(C4082="Sell",(L4082*G4082*100)-I4082, X))))</f>
        <v/>
      </c>
      <c r="N4082" s="78">
        <f>IF(ISBLANK(L4082),"",IF(AND(C4082="Sell",D4082="Stock"),M4082,IF(ISBLANK(L4082),"",IF(C4082="Buy",M4082, IF(AND(C4082="Sell",J4082="NA"),(E4082*G4082*100*0.1)+I4082, IF(C4082="Sell",(J4082-L4082)*(100*G4082)+I4082))))))</f>
        <v/>
      </c>
      <c r="O4082" s="75" t="n"/>
      <c r="P4082" s="75" t="n"/>
      <c r="Q4082" s="75">
        <f>IF(ISBLANK(P4082),"",IF(D4082="Stock",P4082*G4082,IF(P4082=0,"0",G4082*P4082*100-(G4082*$AF$14))))</f>
        <v/>
      </c>
      <c r="R4082" s="79">
        <f>IF(P4082&lt;&gt;"", TODAY(), "")</f>
        <v/>
      </c>
      <c r="S4082" s="78">
        <f>IF(AND(K4082&lt;&gt;"", R4082&lt;&gt;""), R4082-K4082, "")</f>
        <v/>
      </c>
      <c r="T4082" s="78" t="n"/>
      <c r="U4082" s="92">
        <f>IF(ISBLANK(P4082),"",IF(C4082="Buy",Q4082-M4082+T4082, IF(C4082="Sell",M4082-Q4082-T4082, X)))</f>
        <v/>
      </c>
      <c r="V4082" s="81">
        <f>IF(ISBLANK(P4082),"",U4082/N4082)</f>
        <v/>
      </c>
      <c r="W4082" s="81">
        <f>IF(ISBLANK(P4082),"",IF(S4082=0,(365/0.5)*V4082,(365/S4082)*V4082))</f>
        <v/>
      </c>
      <c r="X4082" s="75" t="n"/>
      <c r="Y4082" s="77" t="n"/>
      <c r="Z4082" s="77" t="n"/>
      <c r="AA4082" s="75" t="n"/>
      <c r="AB4082" s="75" t="n"/>
      <c r="AC4082" s="6" t="n"/>
      <c r="AD4082" s="75" t="n"/>
      <c r="AE4082" s="75" t="n"/>
      <c r="AF4082" s="75" t="n"/>
    </row>
    <row r="4083" ht="15.75" customHeight="1" s="133">
      <c r="A4083" s="75" t="n"/>
      <c r="B4083" s="75" t="n"/>
      <c r="C4083" s="75" t="n"/>
      <c r="D4083" s="75" t="n"/>
      <c r="E4083" s="76" t="n"/>
      <c r="F4083" s="77" t="n"/>
      <c r="G4083" s="75" t="n"/>
      <c r="H4083" s="75">
        <f>IF(ISBLANK(E4083),"",IF(OR(D4083="Butterfly",D4083="Butterfly ",D4083="Iron Fly", D4083="Iron Fly "),LEN(E4083)-LEN(SUBSTITUTE(E4083,"/",""))+2,LEN(E4083)-LEN(SUBSTITUTE(E4083,"/",""))+1))</f>
        <v/>
      </c>
      <c r="I4083" s="78">
        <f>IF(ISBLANK(G4083),"",IF(D4083="Stock","0",Key!$A$3*H4083*G4083))</f>
        <v/>
      </c>
      <c r="J4083" s="78">
        <f>IF(ISBLANK(E4083),"",IF(ISNUMBER(SEARCH("/",E4083)), IF(LEN(E4083)-LEN(SUBSTITUTE(E4083,"/",""))=1,(RIGHT(E4083,LEN(E4083)-FIND("/",E4083)))-(LEFT(E4083,FIND("/",E4083)-1)),(MID(E4083, SEARCH("/",E4083) + 1, SEARCH("/",E4083, SEARCH("/",E4083)+1) - SEARCH("/",E4083) - 1))-(LEFT(E4083,FIND("/",E4083)-1))), "NA"))</f>
        <v/>
      </c>
      <c r="K4083" s="79">
        <f>IF(A4083&lt;&gt;"", IF(ISBLANK(L4083), TODAY(), K4083), "")</f>
        <v/>
      </c>
      <c r="L4083" s="78" t="n"/>
      <c r="M4083" s="78">
        <f>IF(ISBLANK(L4083),"",IF(D4083="Stock",IF(C4083="Buy",L4083*G4083,IF(C4083="Sell",(L4083*G4083)-I4083, X)),IF(C4083="Buy",(L4083*G4083*100)+I4083,IF(C4083="Sell",(L4083*G4083*100)-I4083, X))))</f>
        <v/>
      </c>
      <c r="N4083" s="78">
        <f>IF(ISBLANK(L4083),"",IF(AND(C4083="Sell",D4083="Stock"),M4083,IF(ISBLANK(L4083),"",IF(C4083="Buy",M4083, IF(AND(C4083="Sell",J4083="NA"),(E4083*G4083*100*0.1)+I4083, IF(C4083="Sell",(J4083-L4083)*(100*G4083)+I4083))))))</f>
        <v/>
      </c>
      <c r="O4083" s="75" t="n"/>
      <c r="P4083" s="75" t="n"/>
      <c r="Q4083" s="75">
        <f>IF(ISBLANK(P4083),"",IF(D4083="Stock",P4083*G4083,IF(P4083=0,"0",G4083*P4083*100-(G4083*$AF$14))))</f>
        <v/>
      </c>
      <c r="R4083" s="79">
        <f>IF(P4083&lt;&gt;"", TODAY(), "")</f>
        <v/>
      </c>
      <c r="S4083" s="78">
        <f>IF(AND(K4083&lt;&gt;"", R4083&lt;&gt;""), R4083-K4083, "")</f>
        <v/>
      </c>
      <c r="T4083" s="78" t="n"/>
      <c r="U4083" s="92">
        <f>IF(ISBLANK(P4083),"",IF(C4083="Buy",Q4083-M4083+T4083, IF(C4083="Sell",M4083-Q4083-T4083, X)))</f>
        <v/>
      </c>
      <c r="V4083" s="81">
        <f>IF(ISBLANK(P4083),"",U4083/N4083)</f>
        <v/>
      </c>
      <c r="W4083" s="81">
        <f>IF(ISBLANK(P4083),"",IF(S4083=0,(365/0.5)*V4083,(365/S4083)*V4083))</f>
        <v/>
      </c>
      <c r="X4083" s="75" t="n"/>
      <c r="Y4083" s="77" t="n"/>
      <c r="Z4083" s="77" t="n"/>
      <c r="AA4083" s="75" t="n"/>
      <c r="AB4083" s="75" t="n"/>
      <c r="AC4083" s="6" t="n"/>
      <c r="AD4083" s="75" t="n"/>
      <c r="AE4083" s="75" t="n"/>
      <c r="AF4083" s="75" t="n"/>
    </row>
    <row r="4084" ht="15.75" customHeight="1" s="133">
      <c r="A4084" s="75" t="n"/>
      <c r="B4084" s="75" t="n"/>
      <c r="C4084" s="75" t="n"/>
      <c r="D4084" s="75" t="n"/>
      <c r="E4084" s="76" t="n"/>
      <c r="F4084" s="77" t="n"/>
      <c r="G4084" s="75" t="n"/>
      <c r="H4084" s="75">
        <f>IF(ISBLANK(E4084),"",IF(OR(D4084="Butterfly",D4084="Butterfly ",D4084="Iron Fly", D4084="Iron Fly "),LEN(E4084)-LEN(SUBSTITUTE(E4084,"/",""))+2,LEN(E4084)-LEN(SUBSTITUTE(E4084,"/",""))+1))</f>
        <v/>
      </c>
      <c r="I4084" s="78">
        <f>IF(ISBLANK(G4084),"",IF(D4084="Stock","0",Key!$A$3*H4084*G4084))</f>
        <v/>
      </c>
      <c r="J4084" s="78">
        <f>IF(ISBLANK(E4084),"",IF(ISNUMBER(SEARCH("/",E4084)), IF(LEN(E4084)-LEN(SUBSTITUTE(E4084,"/",""))=1,(RIGHT(E4084,LEN(E4084)-FIND("/",E4084)))-(LEFT(E4084,FIND("/",E4084)-1)),(MID(E4084, SEARCH("/",E4084) + 1, SEARCH("/",E4084, SEARCH("/",E4084)+1) - SEARCH("/",E4084) - 1))-(LEFT(E4084,FIND("/",E4084)-1))), "NA"))</f>
        <v/>
      </c>
      <c r="K4084" s="79">
        <f>IF(A4084&lt;&gt;"", IF(ISBLANK(L4084), TODAY(), K4084), "")</f>
        <v/>
      </c>
      <c r="L4084" s="78" t="n"/>
      <c r="M4084" s="78">
        <f>IF(ISBLANK(L4084),"",IF(D4084="Stock",IF(C4084="Buy",L4084*G4084,IF(C4084="Sell",(L4084*G4084)-I4084, X)),IF(C4084="Buy",(L4084*G4084*100)+I4084,IF(C4084="Sell",(L4084*G4084*100)-I4084, X))))</f>
        <v/>
      </c>
      <c r="N4084" s="78">
        <f>IF(ISBLANK(L4084),"",IF(AND(C4084="Sell",D4084="Stock"),M4084,IF(ISBLANK(L4084),"",IF(C4084="Buy",M4084, IF(AND(C4084="Sell",J4084="NA"),(E4084*G4084*100*0.1)+I4084, IF(C4084="Sell",(J4084-L4084)*(100*G4084)+I4084))))))</f>
        <v/>
      </c>
      <c r="O4084" s="75" t="n"/>
      <c r="P4084" s="75" t="n"/>
      <c r="Q4084" s="75">
        <f>IF(ISBLANK(P4084),"",IF(D4084="Stock",P4084*G4084,IF(P4084=0,"0",G4084*P4084*100-(G4084*$AF$14))))</f>
        <v/>
      </c>
      <c r="R4084" s="79">
        <f>IF(P4084&lt;&gt;"", TODAY(), "")</f>
        <v/>
      </c>
      <c r="S4084" s="78">
        <f>IF(AND(K4084&lt;&gt;"", R4084&lt;&gt;""), R4084-K4084, "")</f>
        <v/>
      </c>
      <c r="T4084" s="78" t="n"/>
      <c r="U4084" s="92">
        <f>IF(ISBLANK(P4084),"",IF(C4084="Buy",Q4084-M4084+T4084, IF(C4084="Sell",M4084-Q4084-T4084, X)))</f>
        <v/>
      </c>
      <c r="V4084" s="81">
        <f>IF(ISBLANK(P4084),"",U4084/N4084)</f>
        <v/>
      </c>
      <c r="W4084" s="81">
        <f>IF(ISBLANK(P4084),"",IF(S4084=0,(365/0.5)*V4084,(365/S4084)*V4084))</f>
        <v/>
      </c>
      <c r="X4084" s="75" t="n"/>
      <c r="Y4084" s="77" t="n"/>
      <c r="Z4084" s="77" t="n"/>
      <c r="AA4084" s="75" t="n"/>
      <c r="AB4084" s="75" t="n"/>
      <c r="AC4084" s="6" t="n"/>
      <c r="AD4084" s="75" t="n"/>
      <c r="AE4084" s="75" t="n"/>
      <c r="AF4084" s="75" t="n"/>
    </row>
    <row r="4085" ht="15.75" customHeight="1" s="133">
      <c r="A4085" s="75" t="n"/>
      <c r="B4085" s="75" t="n"/>
      <c r="C4085" s="75" t="n"/>
      <c r="D4085" s="75" t="n"/>
      <c r="E4085" s="76" t="n"/>
      <c r="F4085" s="77" t="n"/>
      <c r="G4085" s="75" t="n"/>
      <c r="H4085" s="75">
        <f>IF(ISBLANK(E4085),"",IF(OR(D4085="Butterfly",D4085="Butterfly ",D4085="Iron Fly", D4085="Iron Fly "),LEN(E4085)-LEN(SUBSTITUTE(E4085,"/",""))+2,LEN(E4085)-LEN(SUBSTITUTE(E4085,"/",""))+1))</f>
        <v/>
      </c>
      <c r="I4085" s="78">
        <f>IF(ISBLANK(G4085),"",IF(D4085="Stock","0",Key!$A$3*H4085*G4085))</f>
        <v/>
      </c>
      <c r="J4085" s="78">
        <f>IF(ISBLANK(E4085),"",IF(ISNUMBER(SEARCH("/",E4085)), IF(LEN(E4085)-LEN(SUBSTITUTE(E4085,"/",""))=1,(RIGHT(E4085,LEN(E4085)-FIND("/",E4085)))-(LEFT(E4085,FIND("/",E4085)-1)),(MID(E4085, SEARCH("/",E4085) + 1, SEARCH("/",E4085, SEARCH("/",E4085)+1) - SEARCH("/",E4085) - 1))-(LEFT(E4085,FIND("/",E4085)-1))), "NA"))</f>
        <v/>
      </c>
      <c r="K4085" s="79">
        <f>IF(A4085&lt;&gt;"", IF(ISBLANK(L4085), TODAY(), K4085), "")</f>
        <v/>
      </c>
      <c r="L4085" s="78" t="n"/>
      <c r="M4085" s="78">
        <f>IF(ISBLANK(L4085),"",IF(D4085="Stock",IF(C4085="Buy",L4085*G4085,IF(C4085="Sell",(L4085*G4085)-I4085, X)),IF(C4085="Buy",(L4085*G4085*100)+I4085,IF(C4085="Sell",(L4085*G4085*100)-I4085, X))))</f>
        <v/>
      </c>
      <c r="N4085" s="78">
        <f>IF(ISBLANK(L4085),"",IF(AND(C4085="Sell",D4085="Stock"),M4085,IF(ISBLANK(L4085),"",IF(C4085="Buy",M4085, IF(AND(C4085="Sell",J4085="NA"),(E4085*G4085*100*0.1)+I4085, IF(C4085="Sell",(J4085-L4085)*(100*G4085)+I4085))))))</f>
        <v/>
      </c>
      <c r="O4085" s="75" t="n"/>
      <c r="P4085" s="75" t="n"/>
      <c r="Q4085" s="75">
        <f>IF(ISBLANK(P4085),"",IF(D4085="Stock",P4085*G4085,IF(P4085=0,"0",G4085*P4085*100-(G4085*$AF$14))))</f>
        <v/>
      </c>
      <c r="R4085" s="79">
        <f>IF(P4085&lt;&gt;"", TODAY(), "")</f>
        <v/>
      </c>
      <c r="S4085" s="78">
        <f>IF(AND(K4085&lt;&gt;"", R4085&lt;&gt;""), R4085-K4085, "")</f>
        <v/>
      </c>
      <c r="T4085" s="78" t="n"/>
      <c r="U4085" s="92">
        <f>IF(ISBLANK(P4085),"",IF(C4085="Buy",Q4085-M4085+T4085, IF(C4085="Sell",M4085-Q4085-T4085, X)))</f>
        <v/>
      </c>
      <c r="V4085" s="81">
        <f>IF(ISBLANK(P4085),"",U4085/N4085)</f>
        <v/>
      </c>
      <c r="W4085" s="81">
        <f>IF(ISBLANK(P4085),"",IF(S4085=0,(365/0.5)*V4085,(365/S4085)*V4085))</f>
        <v/>
      </c>
      <c r="X4085" s="75" t="n"/>
      <c r="Y4085" s="77" t="n"/>
      <c r="Z4085" s="77" t="n"/>
      <c r="AA4085" s="75" t="n"/>
      <c r="AB4085" s="75" t="n"/>
      <c r="AC4085" s="6" t="n"/>
      <c r="AD4085" s="75" t="n"/>
      <c r="AE4085" s="75" t="n"/>
      <c r="AF4085" s="75" t="n"/>
    </row>
    <row r="4086" ht="15.75" customHeight="1" s="133">
      <c r="A4086" s="75" t="n"/>
      <c r="B4086" s="75" t="n"/>
      <c r="C4086" s="75" t="n"/>
      <c r="D4086" s="75" t="n"/>
      <c r="E4086" s="76" t="n"/>
      <c r="F4086" s="77" t="n"/>
      <c r="G4086" s="75" t="n"/>
      <c r="H4086" s="75">
        <f>IF(ISBLANK(E4086),"",IF(OR(D4086="Butterfly",D4086="Butterfly ",D4086="Iron Fly", D4086="Iron Fly "),LEN(E4086)-LEN(SUBSTITUTE(E4086,"/",""))+2,LEN(E4086)-LEN(SUBSTITUTE(E4086,"/",""))+1))</f>
        <v/>
      </c>
      <c r="I4086" s="78">
        <f>IF(ISBLANK(G4086),"",IF(D4086="Stock","0",Key!$A$3*H4086*G4086))</f>
        <v/>
      </c>
      <c r="J4086" s="78">
        <f>IF(ISBLANK(E4086),"",IF(ISNUMBER(SEARCH("/",E4086)), IF(LEN(E4086)-LEN(SUBSTITUTE(E4086,"/",""))=1,(RIGHT(E4086,LEN(E4086)-FIND("/",E4086)))-(LEFT(E4086,FIND("/",E4086)-1)),(MID(E4086, SEARCH("/",E4086) + 1, SEARCH("/",E4086, SEARCH("/",E4086)+1) - SEARCH("/",E4086) - 1))-(LEFT(E4086,FIND("/",E4086)-1))), "NA"))</f>
        <v/>
      </c>
      <c r="K4086" s="79">
        <f>IF(A4086&lt;&gt;"", IF(ISBLANK(L4086), TODAY(), K4086), "")</f>
        <v/>
      </c>
      <c r="L4086" s="78" t="n"/>
      <c r="M4086" s="78">
        <f>IF(ISBLANK(L4086),"",IF(D4086="Stock",IF(C4086="Buy",L4086*G4086,IF(C4086="Sell",(L4086*G4086)-I4086, X)),IF(C4086="Buy",(L4086*G4086*100)+I4086,IF(C4086="Sell",(L4086*G4086*100)-I4086, X))))</f>
        <v/>
      </c>
      <c r="N4086" s="78">
        <f>IF(ISBLANK(L4086),"",IF(AND(C4086="Sell",D4086="Stock"),M4086,IF(ISBLANK(L4086),"",IF(C4086="Buy",M4086, IF(AND(C4086="Sell",J4086="NA"),(E4086*G4086*100*0.1)+I4086, IF(C4086="Sell",(J4086-L4086)*(100*G4086)+I4086))))))</f>
        <v/>
      </c>
      <c r="O4086" s="75" t="n"/>
      <c r="P4086" s="75" t="n"/>
      <c r="Q4086" s="75">
        <f>IF(ISBLANK(P4086),"",IF(D4086="Stock",P4086*G4086,IF(P4086=0,"0",G4086*P4086*100-(G4086*$AF$14))))</f>
        <v/>
      </c>
      <c r="R4086" s="79">
        <f>IF(P4086&lt;&gt;"", TODAY(), "")</f>
        <v/>
      </c>
      <c r="S4086" s="78">
        <f>IF(AND(K4086&lt;&gt;"", R4086&lt;&gt;""), R4086-K4086, "")</f>
        <v/>
      </c>
      <c r="T4086" s="78" t="n"/>
      <c r="U4086" s="92">
        <f>IF(ISBLANK(P4086),"",IF(C4086="Buy",Q4086-M4086+T4086, IF(C4086="Sell",M4086-Q4086-T4086, X)))</f>
        <v/>
      </c>
      <c r="V4086" s="81">
        <f>IF(ISBLANK(P4086),"",U4086/N4086)</f>
        <v/>
      </c>
      <c r="W4086" s="81">
        <f>IF(ISBLANK(P4086),"",IF(S4086=0,(365/0.5)*V4086,(365/S4086)*V4086))</f>
        <v/>
      </c>
      <c r="X4086" s="75" t="n"/>
      <c r="Y4086" s="77" t="n"/>
      <c r="Z4086" s="77" t="n"/>
      <c r="AA4086" s="75" t="n"/>
      <c r="AB4086" s="75" t="n"/>
      <c r="AC4086" s="6" t="n"/>
      <c r="AD4086" s="75" t="n"/>
      <c r="AE4086" s="75" t="n"/>
      <c r="AF4086" s="75" t="n"/>
    </row>
    <row r="4087" ht="15.75" customHeight="1" s="133">
      <c r="A4087" s="75" t="n"/>
      <c r="B4087" s="75" t="n"/>
      <c r="C4087" s="75" t="n"/>
      <c r="D4087" s="75" t="n"/>
      <c r="E4087" s="76" t="n"/>
      <c r="F4087" s="77" t="n"/>
      <c r="G4087" s="75" t="n"/>
      <c r="H4087" s="75">
        <f>IF(ISBLANK(E4087),"",IF(OR(D4087="Butterfly",D4087="Butterfly ",D4087="Iron Fly", D4087="Iron Fly "),LEN(E4087)-LEN(SUBSTITUTE(E4087,"/",""))+2,LEN(E4087)-LEN(SUBSTITUTE(E4087,"/",""))+1))</f>
        <v/>
      </c>
      <c r="I4087" s="78">
        <f>IF(ISBLANK(G4087),"",IF(D4087="Stock","0",Key!$A$3*H4087*G4087))</f>
        <v/>
      </c>
      <c r="J4087" s="78">
        <f>IF(ISBLANK(E4087),"",IF(ISNUMBER(SEARCH("/",E4087)), IF(LEN(E4087)-LEN(SUBSTITUTE(E4087,"/",""))=1,(RIGHT(E4087,LEN(E4087)-FIND("/",E4087)))-(LEFT(E4087,FIND("/",E4087)-1)),(MID(E4087, SEARCH("/",E4087) + 1, SEARCH("/",E4087, SEARCH("/",E4087)+1) - SEARCH("/",E4087) - 1))-(LEFT(E4087,FIND("/",E4087)-1))), "NA"))</f>
        <v/>
      </c>
      <c r="K4087" s="79">
        <f>IF(A4087&lt;&gt;"", IF(ISBLANK(L4087), TODAY(), K4087), "")</f>
        <v/>
      </c>
      <c r="L4087" s="78" t="n"/>
      <c r="M4087" s="78">
        <f>IF(ISBLANK(L4087),"",IF(D4087="Stock",IF(C4087="Buy",L4087*G4087,IF(C4087="Sell",(L4087*G4087)-I4087, X)),IF(C4087="Buy",(L4087*G4087*100)+I4087,IF(C4087="Sell",(L4087*G4087*100)-I4087, X))))</f>
        <v/>
      </c>
      <c r="N4087" s="78">
        <f>IF(ISBLANK(L4087),"",IF(AND(C4087="Sell",D4087="Stock"),M4087,IF(ISBLANK(L4087),"",IF(C4087="Buy",M4087, IF(AND(C4087="Sell",J4087="NA"),(E4087*G4087*100*0.1)+I4087, IF(C4087="Sell",(J4087-L4087)*(100*G4087)+I4087))))))</f>
        <v/>
      </c>
      <c r="O4087" s="75" t="n"/>
      <c r="P4087" s="75" t="n"/>
      <c r="Q4087" s="75">
        <f>IF(ISBLANK(P4087),"",IF(D4087="Stock",P4087*G4087,IF(P4087=0,"0",G4087*P4087*100-(G4087*$AF$14))))</f>
        <v/>
      </c>
      <c r="R4087" s="79">
        <f>IF(P4087&lt;&gt;"", TODAY(), "")</f>
        <v/>
      </c>
      <c r="S4087" s="78">
        <f>IF(AND(K4087&lt;&gt;"", R4087&lt;&gt;""), R4087-K4087, "")</f>
        <v/>
      </c>
      <c r="T4087" s="78" t="n"/>
      <c r="U4087" s="92">
        <f>IF(ISBLANK(P4087),"",IF(C4087="Buy",Q4087-M4087+T4087, IF(C4087="Sell",M4087-Q4087-T4087, X)))</f>
        <v/>
      </c>
      <c r="V4087" s="81">
        <f>IF(ISBLANK(P4087),"",U4087/N4087)</f>
        <v/>
      </c>
      <c r="W4087" s="81">
        <f>IF(ISBLANK(P4087),"",IF(S4087=0,(365/0.5)*V4087,(365/S4087)*V4087))</f>
        <v/>
      </c>
      <c r="X4087" s="75" t="n"/>
      <c r="Y4087" s="77" t="n"/>
      <c r="Z4087" s="77" t="n"/>
      <c r="AA4087" s="75" t="n"/>
      <c r="AB4087" s="75" t="n"/>
      <c r="AC4087" s="6" t="n"/>
      <c r="AD4087" s="75" t="n"/>
      <c r="AE4087" s="75" t="n"/>
      <c r="AF4087" s="75" t="n"/>
    </row>
    <row r="4088" ht="15.75" customHeight="1" s="133">
      <c r="A4088" s="75" t="n"/>
      <c r="B4088" s="75" t="n"/>
      <c r="C4088" s="75" t="n"/>
      <c r="D4088" s="75" t="n"/>
      <c r="E4088" s="76" t="n"/>
      <c r="F4088" s="77" t="n"/>
      <c r="G4088" s="75" t="n"/>
      <c r="H4088" s="75">
        <f>IF(ISBLANK(E4088),"",IF(OR(D4088="Butterfly",D4088="Butterfly ",D4088="Iron Fly", D4088="Iron Fly "),LEN(E4088)-LEN(SUBSTITUTE(E4088,"/",""))+2,LEN(E4088)-LEN(SUBSTITUTE(E4088,"/",""))+1))</f>
        <v/>
      </c>
      <c r="I4088" s="78">
        <f>IF(ISBLANK(G4088),"",IF(D4088="Stock","0",Key!$A$3*H4088*G4088))</f>
        <v/>
      </c>
      <c r="J4088" s="78">
        <f>IF(ISBLANK(E4088),"",IF(ISNUMBER(SEARCH("/",E4088)), IF(LEN(E4088)-LEN(SUBSTITUTE(E4088,"/",""))=1,(RIGHT(E4088,LEN(E4088)-FIND("/",E4088)))-(LEFT(E4088,FIND("/",E4088)-1)),(MID(E4088, SEARCH("/",E4088) + 1, SEARCH("/",E4088, SEARCH("/",E4088)+1) - SEARCH("/",E4088) - 1))-(LEFT(E4088,FIND("/",E4088)-1))), "NA"))</f>
        <v/>
      </c>
      <c r="K4088" s="79">
        <f>IF(A4088&lt;&gt;"", IF(ISBLANK(L4088), TODAY(), K4088), "")</f>
        <v/>
      </c>
      <c r="L4088" s="78" t="n"/>
      <c r="M4088" s="78">
        <f>IF(ISBLANK(L4088),"",IF(D4088="Stock",IF(C4088="Buy",L4088*G4088,IF(C4088="Sell",(L4088*G4088)-I4088, X)),IF(C4088="Buy",(L4088*G4088*100)+I4088,IF(C4088="Sell",(L4088*G4088*100)-I4088, X))))</f>
        <v/>
      </c>
      <c r="N4088" s="78">
        <f>IF(ISBLANK(L4088),"",IF(AND(C4088="Sell",D4088="Stock"),M4088,IF(ISBLANK(L4088),"",IF(C4088="Buy",M4088, IF(AND(C4088="Sell",J4088="NA"),(E4088*G4088*100*0.1)+I4088, IF(C4088="Sell",(J4088-L4088)*(100*G4088)+I4088))))))</f>
        <v/>
      </c>
      <c r="O4088" s="75" t="n"/>
      <c r="P4088" s="75" t="n"/>
      <c r="Q4088" s="75">
        <f>IF(ISBLANK(P4088),"",IF(D4088="Stock",P4088*G4088,IF(P4088=0,"0",G4088*P4088*100-(G4088*$AF$14))))</f>
        <v/>
      </c>
      <c r="R4088" s="79">
        <f>IF(P4088&lt;&gt;"", TODAY(), "")</f>
        <v/>
      </c>
      <c r="S4088" s="78">
        <f>IF(AND(K4088&lt;&gt;"", R4088&lt;&gt;""), R4088-K4088, "")</f>
        <v/>
      </c>
      <c r="T4088" s="78" t="n"/>
      <c r="U4088" s="92">
        <f>IF(ISBLANK(P4088),"",IF(C4088="Buy",Q4088-M4088+T4088, IF(C4088="Sell",M4088-Q4088-T4088, X)))</f>
        <v/>
      </c>
      <c r="V4088" s="81">
        <f>IF(ISBLANK(P4088),"",U4088/N4088)</f>
        <v/>
      </c>
      <c r="W4088" s="81">
        <f>IF(ISBLANK(P4088),"",IF(S4088=0,(365/0.5)*V4088,(365/S4088)*V4088))</f>
        <v/>
      </c>
      <c r="X4088" s="75" t="n"/>
      <c r="Y4088" s="77" t="n"/>
      <c r="Z4088" s="77" t="n"/>
      <c r="AA4088" s="75" t="n"/>
      <c r="AB4088" s="75" t="n"/>
      <c r="AC4088" s="6" t="n"/>
      <c r="AD4088" s="75" t="n"/>
      <c r="AE4088" s="75" t="n"/>
      <c r="AF4088" s="75" t="n"/>
    </row>
    <row r="4089" ht="15.75" customHeight="1" s="133">
      <c r="A4089" s="75" t="n"/>
      <c r="B4089" s="75" t="n"/>
      <c r="C4089" s="75" t="n"/>
      <c r="D4089" s="75" t="n"/>
      <c r="E4089" s="76" t="n"/>
      <c r="F4089" s="77" t="n"/>
      <c r="G4089" s="75" t="n"/>
      <c r="H4089" s="75">
        <f>IF(ISBLANK(E4089),"",IF(OR(D4089="Butterfly",D4089="Butterfly ",D4089="Iron Fly", D4089="Iron Fly "),LEN(E4089)-LEN(SUBSTITUTE(E4089,"/",""))+2,LEN(E4089)-LEN(SUBSTITUTE(E4089,"/",""))+1))</f>
        <v/>
      </c>
      <c r="I4089" s="78">
        <f>IF(ISBLANK(G4089),"",IF(D4089="Stock","0",Key!$A$3*H4089*G4089))</f>
        <v/>
      </c>
      <c r="J4089" s="78">
        <f>IF(ISBLANK(E4089),"",IF(ISNUMBER(SEARCH("/",E4089)), IF(LEN(E4089)-LEN(SUBSTITUTE(E4089,"/",""))=1,(RIGHT(E4089,LEN(E4089)-FIND("/",E4089)))-(LEFT(E4089,FIND("/",E4089)-1)),(MID(E4089, SEARCH("/",E4089) + 1, SEARCH("/",E4089, SEARCH("/",E4089)+1) - SEARCH("/",E4089) - 1))-(LEFT(E4089,FIND("/",E4089)-1))), "NA"))</f>
        <v/>
      </c>
      <c r="K4089" s="79">
        <f>IF(A4089&lt;&gt;"", IF(ISBLANK(L4089), TODAY(), K4089), "")</f>
        <v/>
      </c>
      <c r="L4089" s="78" t="n"/>
      <c r="M4089" s="78">
        <f>IF(ISBLANK(L4089),"",IF(D4089="Stock",IF(C4089="Buy",L4089*G4089,IF(C4089="Sell",(L4089*G4089)-I4089, X)),IF(C4089="Buy",(L4089*G4089*100)+I4089,IF(C4089="Sell",(L4089*G4089*100)-I4089, X))))</f>
        <v/>
      </c>
      <c r="N4089" s="78">
        <f>IF(ISBLANK(L4089),"",IF(AND(C4089="Sell",D4089="Stock"),M4089,IF(ISBLANK(L4089),"",IF(C4089="Buy",M4089, IF(AND(C4089="Sell",J4089="NA"),(E4089*G4089*100*0.1)+I4089, IF(C4089="Sell",(J4089-L4089)*(100*G4089)+I4089))))))</f>
        <v/>
      </c>
      <c r="O4089" s="75" t="n"/>
      <c r="P4089" s="75" t="n"/>
      <c r="Q4089" s="75">
        <f>IF(ISBLANK(P4089),"",IF(D4089="Stock",P4089*G4089,IF(P4089=0,"0",G4089*P4089*100-(G4089*$AF$14))))</f>
        <v/>
      </c>
      <c r="R4089" s="79">
        <f>IF(P4089&lt;&gt;"", TODAY(), "")</f>
        <v/>
      </c>
      <c r="S4089" s="78">
        <f>IF(AND(K4089&lt;&gt;"", R4089&lt;&gt;""), R4089-K4089, "")</f>
        <v/>
      </c>
      <c r="T4089" s="78" t="n"/>
      <c r="U4089" s="92">
        <f>IF(ISBLANK(P4089),"",IF(C4089="Buy",Q4089-M4089+T4089, IF(C4089="Sell",M4089-Q4089-T4089, X)))</f>
        <v/>
      </c>
      <c r="V4089" s="81">
        <f>IF(ISBLANK(P4089),"",U4089/N4089)</f>
        <v/>
      </c>
      <c r="W4089" s="81">
        <f>IF(ISBLANK(P4089),"",IF(S4089=0,(365/0.5)*V4089,(365/S4089)*V4089))</f>
        <v/>
      </c>
      <c r="X4089" s="75" t="n"/>
      <c r="Y4089" s="77" t="n"/>
      <c r="Z4089" s="77" t="n"/>
      <c r="AA4089" s="75" t="n"/>
      <c r="AB4089" s="75" t="n"/>
      <c r="AC4089" s="6" t="n"/>
      <c r="AD4089" s="75" t="n"/>
      <c r="AE4089" s="75" t="n"/>
      <c r="AF4089" s="75" t="n"/>
    </row>
    <row r="4090" ht="15.75" customHeight="1" s="133">
      <c r="A4090" s="75" t="n"/>
      <c r="B4090" s="75" t="n"/>
      <c r="C4090" s="75" t="n"/>
      <c r="D4090" s="75" t="n"/>
      <c r="E4090" s="76" t="n"/>
      <c r="F4090" s="77" t="n"/>
      <c r="G4090" s="75" t="n"/>
      <c r="H4090" s="75">
        <f>IF(ISBLANK(E4090),"",IF(OR(D4090="Butterfly",D4090="Butterfly ",D4090="Iron Fly", D4090="Iron Fly "),LEN(E4090)-LEN(SUBSTITUTE(E4090,"/",""))+2,LEN(E4090)-LEN(SUBSTITUTE(E4090,"/",""))+1))</f>
        <v/>
      </c>
      <c r="I4090" s="78">
        <f>IF(ISBLANK(G4090),"",IF(D4090="Stock","0",Key!$A$3*H4090*G4090))</f>
        <v/>
      </c>
      <c r="J4090" s="78">
        <f>IF(ISBLANK(E4090),"",IF(ISNUMBER(SEARCH("/",E4090)), IF(LEN(E4090)-LEN(SUBSTITUTE(E4090,"/",""))=1,(RIGHT(E4090,LEN(E4090)-FIND("/",E4090)))-(LEFT(E4090,FIND("/",E4090)-1)),(MID(E4090, SEARCH("/",E4090) + 1, SEARCH("/",E4090, SEARCH("/",E4090)+1) - SEARCH("/",E4090) - 1))-(LEFT(E4090,FIND("/",E4090)-1))), "NA"))</f>
        <v/>
      </c>
      <c r="K4090" s="79">
        <f>IF(A4090&lt;&gt;"", IF(ISBLANK(L4090), TODAY(), K4090), "")</f>
        <v/>
      </c>
      <c r="L4090" s="78" t="n"/>
      <c r="M4090" s="78">
        <f>IF(ISBLANK(L4090),"",IF(D4090="Stock",IF(C4090="Buy",L4090*G4090,IF(C4090="Sell",(L4090*G4090)-I4090, X)),IF(C4090="Buy",(L4090*G4090*100)+I4090,IF(C4090="Sell",(L4090*G4090*100)-I4090, X))))</f>
        <v/>
      </c>
      <c r="N4090" s="78">
        <f>IF(ISBLANK(L4090),"",IF(AND(C4090="Sell",D4090="Stock"),M4090,IF(ISBLANK(L4090),"",IF(C4090="Buy",M4090, IF(AND(C4090="Sell",J4090="NA"),(E4090*G4090*100*0.1)+I4090, IF(C4090="Sell",(J4090-L4090)*(100*G4090)+I4090))))))</f>
        <v/>
      </c>
      <c r="O4090" s="75" t="n"/>
      <c r="P4090" s="75" t="n"/>
      <c r="Q4090" s="75">
        <f>IF(ISBLANK(P4090),"",IF(D4090="Stock",P4090*G4090,IF(P4090=0,"0",G4090*P4090*100-(G4090*$AF$14))))</f>
        <v/>
      </c>
      <c r="R4090" s="79">
        <f>IF(P4090&lt;&gt;"", TODAY(), "")</f>
        <v/>
      </c>
      <c r="S4090" s="78">
        <f>IF(AND(K4090&lt;&gt;"", R4090&lt;&gt;""), R4090-K4090, "")</f>
        <v/>
      </c>
      <c r="T4090" s="78" t="n"/>
      <c r="U4090" s="92">
        <f>IF(ISBLANK(P4090),"",IF(C4090="Buy",Q4090-M4090+T4090, IF(C4090="Sell",M4090-Q4090-T4090, X)))</f>
        <v/>
      </c>
      <c r="V4090" s="81">
        <f>IF(ISBLANK(P4090),"",U4090/N4090)</f>
        <v/>
      </c>
      <c r="W4090" s="81">
        <f>IF(ISBLANK(P4090),"",IF(S4090=0,(365/0.5)*V4090,(365/S4090)*V4090))</f>
        <v/>
      </c>
      <c r="X4090" s="75" t="n"/>
      <c r="Y4090" s="77" t="n"/>
      <c r="Z4090" s="77" t="n"/>
      <c r="AA4090" s="75" t="n"/>
      <c r="AB4090" s="75" t="n"/>
      <c r="AC4090" s="6" t="n"/>
      <c r="AD4090" s="75" t="n"/>
      <c r="AE4090" s="75" t="n"/>
      <c r="AF4090" s="75" t="n"/>
    </row>
    <row r="4091" ht="15.75" customHeight="1" s="133">
      <c r="A4091" s="75" t="n"/>
      <c r="B4091" s="75" t="n"/>
      <c r="C4091" s="75" t="n"/>
      <c r="D4091" s="75" t="n"/>
      <c r="E4091" s="76" t="n"/>
      <c r="F4091" s="77" t="n"/>
      <c r="G4091" s="75" t="n"/>
      <c r="H4091" s="75">
        <f>IF(ISBLANK(E4091),"",IF(OR(D4091="Butterfly",D4091="Butterfly ",D4091="Iron Fly", D4091="Iron Fly "),LEN(E4091)-LEN(SUBSTITUTE(E4091,"/",""))+2,LEN(E4091)-LEN(SUBSTITUTE(E4091,"/",""))+1))</f>
        <v/>
      </c>
      <c r="I4091" s="78">
        <f>IF(ISBLANK(G4091),"",IF(D4091="Stock","0",Key!$A$3*H4091*G4091))</f>
        <v/>
      </c>
      <c r="J4091" s="78">
        <f>IF(ISBLANK(E4091),"",IF(ISNUMBER(SEARCH("/",E4091)), IF(LEN(E4091)-LEN(SUBSTITUTE(E4091,"/",""))=1,(RIGHT(E4091,LEN(E4091)-FIND("/",E4091)))-(LEFT(E4091,FIND("/",E4091)-1)),(MID(E4091, SEARCH("/",E4091) + 1, SEARCH("/",E4091, SEARCH("/",E4091)+1) - SEARCH("/",E4091) - 1))-(LEFT(E4091,FIND("/",E4091)-1))), "NA"))</f>
        <v/>
      </c>
      <c r="K4091" s="79">
        <f>IF(A4091&lt;&gt;"", IF(ISBLANK(L4091), TODAY(), K4091), "")</f>
        <v/>
      </c>
      <c r="L4091" s="78" t="n"/>
      <c r="M4091" s="78">
        <f>IF(ISBLANK(L4091),"",IF(D4091="Stock",IF(C4091="Buy",L4091*G4091,IF(C4091="Sell",(L4091*G4091)-I4091, X)),IF(C4091="Buy",(L4091*G4091*100)+I4091,IF(C4091="Sell",(L4091*G4091*100)-I4091, X))))</f>
        <v/>
      </c>
      <c r="N4091" s="78">
        <f>IF(ISBLANK(L4091),"",IF(AND(C4091="Sell",D4091="Stock"),M4091,IF(ISBLANK(L4091),"",IF(C4091="Buy",M4091, IF(AND(C4091="Sell",J4091="NA"),(E4091*G4091*100*0.1)+I4091, IF(C4091="Sell",(J4091-L4091)*(100*G4091)+I4091))))))</f>
        <v/>
      </c>
      <c r="O4091" s="75" t="n"/>
      <c r="P4091" s="75" t="n"/>
      <c r="Q4091" s="75">
        <f>IF(ISBLANK(P4091),"",IF(D4091="Stock",P4091*G4091,IF(P4091=0,"0",G4091*P4091*100-(G4091*$AF$14))))</f>
        <v/>
      </c>
      <c r="R4091" s="79">
        <f>IF(P4091&lt;&gt;"", TODAY(), "")</f>
        <v/>
      </c>
      <c r="S4091" s="78">
        <f>IF(AND(K4091&lt;&gt;"", R4091&lt;&gt;""), R4091-K4091, "")</f>
        <v/>
      </c>
      <c r="T4091" s="78" t="n"/>
      <c r="U4091" s="92">
        <f>IF(ISBLANK(P4091),"",IF(C4091="Buy",Q4091-M4091+T4091, IF(C4091="Sell",M4091-Q4091-T4091, X)))</f>
        <v/>
      </c>
      <c r="V4091" s="81">
        <f>IF(ISBLANK(P4091),"",U4091/N4091)</f>
        <v/>
      </c>
      <c r="W4091" s="81">
        <f>IF(ISBLANK(P4091),"",IF(S4091=0,(365/0.5)*V4091,(365/S4091)*V4091))</f>
        <v/>
      </c>
      <c r="X4091" s="75" t="n"/>
      <c r="Y4091" s="77" t="n"/>
      <c r="Z4091" s="77" t="n"/>
      <c r="AA4091" s="75" t="n"/>
      <c r="AB4091" s="75" t="n"/>
      <c r="AC4091" s="6" t="n"/>
      <c r="AD4091" s="75" t="n"/>
      <c r="AE4091" s="75" t="n"/>
      <c r="AF4091" s="75" t="n"/>
    </row>
    <row r="4092" ht="15.75" customHeight="1" s="133">
      <c r="A4092" s="75" t="n"/>
      <c r="B4092" s="75" t="n"/>
      <c r="C4092" s="75" t="n"/>
      <c r="D4092" s="75" t="n"/>
      <c r="E4092" s="76" t="n"/>
      <c r="F4092" s="77" t="n"/>
      <c r="G4092" s="75" t="n"/>
      <c r="H4092" s="75">
        <f>IF(ISBLANK(E4092),"",IF(OR(D4092="Butterfly",D4092="Butterfly ",D4092="Iron Fly", D4092="Iron Fly "),LEN(E4092)-LEN(SUBSTITUTE(E4092,"/",""))+2,LEN(E4092)-LEN(SUBSTITUTE(E4092,"/",""))+1))</f>
        <v/>
      </c>
      <c r="I4092" s="78">
        <f>IF(ISBLANK(G4092),"",IF(D4092="Stock","0",Key!$A$3*H4092*G4092))</f>
        <v/>
      </c>
      <c r="J4092" s="78">
        <f>IF(ISBLANK(E4092),"",IF(ISNUMBER(SEARCH("/",E4092)), IF(LEN(E4092)-LEN(SUBSTITUTE(E4092,"/",""))=1,(RIGHT(E4092,LEN(E4092)-FIND("/",E4092)))-(LEFT(E4092,FIND("/",E4092)-1)),(MID(E4092, SEARCH("/",E4092) + 1, SEARCH("/",E4092, SEARCH("/",E4092)+1) - SEARCH("/",E4092) - 1))-(LEFT(E4092,FIND("/",E4092)-1))), "NA"))</f>
        <v/>
      </c>
      <c r="K4092" s="79">
        <f>IF(A4092&lt;&gt;"", IF(ISBLANK(L4092), TODAY(), K4092), "")</f>
        <v/>
      </c>
      <c r="L4092" s="78" t="n"/>
      <c r="M4092" s="78">
        <f>IF(ISBLANK(L4092),"",IF(D4092="Stock",IF(C4092="Buy",L4092*G4092,IF(C4092="Sell",(L4092*G4092)-I4092, X)),IF(C4092="Buy",(L4092*G4092*100)+I4092,IF(C4092="Sell",(L4092*G4092*100)-I4092, X))))</f>
        <v/>
      </c>
      <c r="N4092" s="78">
        <f>IF(ISBLANK(L4092),"",IF(AND(C4092="Sell",D4092="Stock"),M4092,IF(ISBLANK(L4092),"",IF(C4092="Buy",M4092, IF(AND(C4092="Sell",J4092="NA"),(E4092*G4092*100*0.1)+I4092, IF(C4092="Sell",(J4092-L4092)*(100*G4092)+I4092))))))</f>
        <v/>
      </c>
      <c r="O4092" s="75" t="n"/>
      <c r="P4092" s="75" t="n"/>
      <c r="Q4092" s="75">
        <f>IF(ISBLANK(P4092),"",IF(D4092="Stock",P4092*G4092,IF(P4092=0,"0",G4092*P4092*100-(G4092*$AF$14))))</f>
        <v/>
      </c>
      <c r="R4092" s="79">
        <f>IF(P4092&lt;&gt;"", TODAY(), "")</f>
        <v/>
      </c>
      <c r="S4092" s="78">
        <f>IF(AND(K4092&lt;&gt;"", R4092&lt;&gt;""), R4092-K4092, "")</f>
        <v/>
      </c>
      <c r="T4092" s="78" t="n"/>
      <c r="U4092" s="92">
        <f>IF(ISBLANK(P4092),"",IF(C4092="Buy",Q4092-M4092+T4092, IF(C4092="Sell",M4092-Q4092-T4092, X)))</f>
        <v/>
      </c>
      <c r="V4092" s="81">
        <f>IF(ISBLANK(P4092),"",U4092/N4092)</f>
        <v/>
      </c>
      <c r="W4092" s="81">
        <f>IF(ISBLANK(P4092),"",IF(S4092=0,(365/0.5)*V4092,(365/S4092)*V4092))</f>
        <v/>
      </c>
      <c r="X4092" s="75" t="n"/>
      <c r="Y4092" s="77" t="n"/>
      <c r="Z4092" s="77" t="n"/>
      <c r="AA4092" s="75" t="n"/>
      <c r="AB4092" s="75" t="n"/>
      <c r="AC4092" s="6" t="n"/>
      <c r="AD4092" s="75" t="n"/>
      <c r="AE4092" s="75" t="n"/>
      <c r="AF4092" s="75" t="n"/>
    </row>
    <row r="4093" ht="15.75" customHeight="1" s="133">
      <c r="A4093" s="75" t="n"/>
      <c r="B4093" s="75" t="n"/>
      <c r="C4093" s="75" t="n"/>
      <c r="D4093" s="75" t="n"/>
      <c r="E4093" s="76" t="n"/>
      <c r="F4093" s="77" t="n"/>
      <c r="G4093" s="75" t="n"/>
      <c r="H4093" s="75">
        <f>IF(ISBLANK(E4093),"",IF(OR(D4093="Butterfly",D4093="Butterfly ",D4093="Iron Fly", D4093="Iron Fly "),LEN(E4093)-LEN(SUBSTITUTE(E4093,"/",""))+2,LEN(E4093)-LEN(SUBSTITUTE(E4093,"/",""))+1))</f>
        <v/>
      </c>
      <c r="I4093" s="78">
        <f>IF(ISBLANK(G4093),"",IF(D4093="Stock","0",Key!$A$3*H4093*G4093))</f>
        <v/>
      </c>
      <c r="J4093" s="78">
        <f>IF(ISBLANK(E4093),"",IF(ISNUMBER(SEARCH("/",E4093)), IF(LEN(E4093)-LEN(SUBSTITUTE(E4093,"/",""))=1,(RIGHT(E4093,LEN(E4093)-FIND("/",E4093)))-(LEFT(E4093,FIND("/",E4093)-1)),(MID(E4093, SEARCH("/",E4093) + 1, SEARCH("/",E4093, SEARCH("/",E4093)+1) - SEARCH("/",E4093) - 1))-(LEFT(E4093,FIND("/",E4093)-1))), "NA"))</f>
        <v/>
      </c>
      <c r="K4093" s="79">
        <f>IF(A4093&lt;&gt;"", IF(ISBLANK(L4093), TODAY(), K4093), "")</f>
        <v/>
      </c>
      <c r="L4093" s="78" t="n"/>
      <c r="M4093" s="78">
        <f>IF(ISBLANK(L4093),"",IF(D4093="Stock",IF(C4093="Buy",L4093*G4093,IF(C4093="Sell",(L4093*G4093)-I4093, X)),IF(C4093="Buy",(L4093*G4093*100)+I4093,IF(C4093="Sell",(L4093*G4093*100)-I4093, X))))</f>
        <v/>
      </c>
      <c r="N4093" s="78">
        <f>IF(ISBLANK(L4093),"",IF(AND(C4093="Sell",D4093="Stock"),M4093,IF(ISBLANK(L4093),"",IF(C4093="Buy",M4093, IF(AND(C4093="Sell",J4093="NA"),(E4093*G4093*100*0.1)+I4093, IF(C4093="Sell",(J4093-L4093)*(100*G4093)+I4093))))))</f>
        <v/>
      </c>
      <c r="O4093" s="75" t="n"/>
      <c r="P4093" s="75" t="n"/>
      <c r="Q4093" s="75">
        <f>IF(ISBLANK(P4093),"",IF(D4093="Stock",P4093*G4093,IF(P4093=0,"0",G4093*P4093*100-(G4093*$AF$14))))</f>
        <v/>
      </c>
      <c r="R4093" s="79">
        <f>IF(P4093&lt;&gt;"", TODAY(), "")</f>
        <v/>
      </c>
      <c r="S4093" s="78">
        <f>IF(AND(K4093&lt;&gt;"", R4093&lt;&gt;""), R4093-K4093, "")</f>
        <v/>
      </c>
      <c r="T4093" s="78" t="n"/>
      <c r="U4093" s="92">
        <f>IF(ISBLANK(P4093),"",IF(C4093="Buy",Q4093-M4093+T4093, IF(C4093="Sell",M4093-Q4093-T4093, X)))</f>
        <v/>
      </c>
      <c r="V4093" s="81">
        <f>IF(ISBLANK(P4093),"",U4093/N4093)</f>
        <v/>
      </c>
      <c r="W4093" s="81">
        <f>IF(ISBLANK(P4093),"",IF(S4093=0,(365/0.5)*V4093,(365/S4093)*V4093))</f>
        <v/>
      </c>
      <c r="X4093" s="75" t="n"/>
      <c r="Y4093" s="77" t="n"/>
      <c r="Z4093" s="77" t="n"/>
      <c r="AA4093" s="75" t="n"/>
      <c r="AB4093" s="75" t="n"/>
      <c r="AC4093" s="6" t="n"/>
      <c r="AD4093" s="75" t="n"/>
      <c r="AE4093" s="75" t="n"/>
      <c r="AF4093" s="75" t="n"/>
    </row>
    <row r="4094" ht="15.75" customHeight="1" s="133">
      <c r="A4094" s="75" t="n"/>
      <c r="B4094" s="75" t="n"/>
      <c r="C4094" s="75" t="n"/>
      <c r="D4094" s="75" t="n"/>
      <c r="E4094" s="76" t="n"/>
      <c r="F4094" s="77" t="n"/>
      <c r="G4094" s="75" t="n"/>
      <c r="H4094" s="75">
        <f>IF(ISBLANK(E4094),"",IF(OR(D4094="Butterfly",D4094="Butterfly ",D4094="Iron Fly", D4094="Iron Fly "),LEN(E4094)-LEN(SUBSTITUTE(E4094,"/",""))+2,LEN(E4094)-LEN(SUBSTITUTE(E4094,"/",""))+1))</f>
        <v/>
      </c>
      <c r="I4094" s="78">
        <f>IF(ISBLANK(G4094),"",IF(D4094="Stock","0",Key!$A$3*H4094*G4094))</f>
        <v/>
      </c>
      <c r="J4094" s="78">
        <f>IF(ISBLANK(E4094),"",IF(ISNUMBER(SEARCH("/",E4094)), IF(LEN(E4094)-LEN(SUBSTITUTE(E4094,"/",""))=1,(RIGHT(E4094,LEN(E4094)-FIND("/",E4094)))-(LEFT(E4094,FIND("/",E4094)-1)),(MID(E4094, SEARCH("/",E4094) + 1, SEARCH("/",E4094, SEARCH("/",E4094)+1) - SEARCH("/",E4094) - 1))-(LEFT(E4094,FIND("/",E4094)-1))), "NA"))</f>
        <v/>
      </c>
      <c r="K4094" s="79">
        <f>IF(A4094&lt;&gt;"", IF(ISBLANK(L4094), TODAY(), K4094), "")</f>
        <v/>
      </c>
      <c r="L4094" s="78" t="n"/>
      <c r="M4094" s="78">
        <f>IF(ISBLANK(L4094),"",IF(D4094="Stock",IF(C4094="Buy",L4094*G4094,IF(C4094="Sell",(L4094*G4094)-I4094, X)),IF(C4094="Buy",(L4094*G4094*100)+I4094,IF(C4094="Sell",(L4094*G4094*100)-I4094, X))))</f>
        <v/>
      </c>
      <c r="N4094" s="78">
        <f>IF(ISBLANK(L4094),"",IF(AND(C4094="Sell",D4094="Stock"),M4094,IF(ISBLANK(L4094),"",IF(C4094="Buy",M4094, IF(AND(C4094="Sell",J4094="NA"),(E4094*G4094*100*0.1)+I4094, IF(C4094="Sell",(J4094-L4094)*(100*G4094)+I4094))))))</f>
        <v/>
      </c>
      <c r="O4094" s="75" t="n"/>
      <c r="P4094" s="75" t="n"/>
      <c r="Q4094" s="75">
        <f>IF(ISBLANK(P4094),"",IF(D4094="Stock",P4094*G4094,IF(P4094=0,"0",G4094*P4094*100-(G4094*$AF$14))))</f>
        <v/>
      </c>
      <c r="R4094" s="79">
        <f>IF(P4094&lt;&gt;"", TODAY(), "")</f>
        <v/>
      </c>
      <c r="S4094" s="78">
        <f>IF(AND(K4094&lt;&gt;"", R4094&lt;&gt;""), R4094-K4094, "")</f>
        <v/>
      </c>
      <c r="T4094" s="78" t="n"/>
      <c r="U4094" s="92">
        <f>IF(ISBLANK(P4094),"",IF(C4094="Buy",Q4094-M4094+T4094, IF(C4094="Sell",M4094-Q4094-T4094, X)))</f>
        <v/>
      </c>
      <c r="V4094" s="81">
        <f>IF(ISBLANK(P4094),"",U4094/N4094)</f>
        <v/>
      </c>
      <c r="W4094" s="81">
        <f>IF(ISBLANK(P4094),"",IF(S4094=0,(365/0.5)*V4094,(365/S4094)*V4094))</f>
        <v/>
      </c>
      <c r="X4094" s="75" t="n"/>
      <c r="Y4094" s="77" t="n"/>
      <c r="Z4094" s="77" t="n"/>
      <c r="AA4094" s="75" t="n"/>
      <c r="AB4094" s="75" t="n"/>
      <c r="AC4094" s="6" t="n"/>
      <c r="AD4094" s="75" t="n"/>
      <c r="AE4094" s="75" t="n"/>
      <c r="AF4094" s="75" t="n"/>
    </row>
    <row r="4095" ht="15.75" customHeight="1" s="133">
      <c r="A4095" s="75" t="n"/>
      <c r="B4095" s="75" t="n"/>
      <c r="C4095" s="75" t="n"/>
      <c r="D4095" s="75" t="n"/>
      <c r="E4095" s="76" t="n"/>
      <c r="F4095" s="77" t="n"/>
      <c r="G4095" s="75" t="n"/>
      <c r="H4095" s="75">
        <f>IF(ISBLANK(E4095),"",IF(OR(D4095="Butterfly",D4095="Butterfly ",D4095="Iron Fly", D4095="Iron Fly "),LEN(E4095)-LEN(SUBSTITUTE(E4095,"/",""))+2,LEN(E4095)-LEN(SUBSTITUTE(E4095,"/",""))+1))</f>
        <v/>
      </c>
      <c r="I4095" s="78">
        <f>IF(ISBLANK(G4095),"",IF(D4095="Stock","0",Key!$A$3*H4095*G4095))</f>
        <v/>
      </c>
      <c r="J4095" s="78">
        <f>IF(ISBLANK(E4095),"",IF(ISNUMBER(SEARCH("/",E4095)), IF(LEN(E4095)-LEN(SUBSTITUTE(E4095,"/",""))=1,(RIGHT(E4095,LEN(E4095)-FIND("/",E4095)))-(LEFT(E4095,FIND("/",E4095)-1)),(MID(E4095, SEARCH("/",E4095) + 1, SEARCH("/",E4095, SEARCH("/",E4095)+1) - SEARCH("/",E4095) - 1))-(LEFT(E4095,FIND("/",E4095)-1))), "NA"))</f>
        <v/>
      </c>
      <c r="K4095" s="79">
        <f>IF(A4095&lt;&gt;"", IF(ISBLANK(L4095), TODAY(), K4095), "")</f>
        <v/>
      </c>
      <c r="L4095" s="78" t="n"/>
      <c r="M4095" s="78">
        <f>IF(ISBLANK(L4095),"",IF(D4095="Stock",IF(C4095="Buy",L4095*G4095,IF(C4095="Sell",(L4095*G4095)-I4095, X)),IF(C4095="Buy",(L4095*G4095*100)+I4095,IF(C4095="Sell",(L4095*G4095*100)-I4095, X))))</f>
        <v/>
      </c>
      <c r="N4095" s="78">
        <f>IF(ISBLANK(L4095),"",IF(AND(C4095="Sell",D4095="Stock"),M4095,IF(ISBLANK(L4095),"",IF(C4095="Buy",M4095, IF(AND(C4095="Sell",J4095="NA"),(E4095*G4095*100*0.1)+I4095, IF(C4095="Sell",(J4095-L4095)*(100*G4095)+I4095))))))</f>
        <v/>
      </c>
      <c r="O4095" s="75" t="n"/>
      <c r="P4095" s="75" t="n"/>
      <c r="Q4095" s="75">
        <f>IF(ISBLANK(P4095),"",IF(D4095="Stock",P4095*G4095,IF(P4095=0,"0",G4095*P4095*100-(G4095*$AF$14))))</f>
        <v/>
      </c>
      <c r="R4095" s="79">
        <f>IF(P4095&lt;&gt;"", TODAY(), "")</f>
        <v/>
      </c>
      <c r="S4095" s="78">
        <f>IF(AND(K4095&lt;&gt;"", R4095&lt;&gt;""), R4095-K4095, "")</f>
        <v/>
      </c>
      <c r="T4095" s="78" t="n"/>
      <c r="U4095" s="92">
        <f>IF(ISBLANK(P4095),"",IF(C4095="Buy",Q4095-M4095+T4095, IF(C4095="Sell",M4095-Q4095-T4095, X)))</f>
        <v/>
      </c>
      <c r="V4095" s="81">
        <f>IF(ISBLANK(P4095),"",U4095/N4095)</f>
        <v/>
      </c>
      <c r="W4095" s="81">
        <f>IF(ISBLANK(P4095),"",IF(S4095=0,(365/0.5)*V4095,(365/S4095)*V4095))</f>
        <v/>
      </c>
      <c r="X4095" s="75" t="n"/>
      <c r="Y4095" s="77" t="n"/>
      <c r="Z4095" s="77" t="n"/>
      <c r="AA4095" s="75" t="n"/>
      <c r="AB4095" s="75" t="n"/>
      <c r="AC4095" s="6" t="n"/>
      <c r="AD4095" s="75" t="n"/>
      <c r="AE4095" s="75" t="n"/>
      <c r="AF4095" s="75" t="n"/>
    </row>
    <row r="4096" ht="15.75" customHeight="1" s="133">
      <c r="A4096" s="75" t="n"/>
      <c r="B4096" s="75" t="n"/>
      <c r="C4096" s="75" t="n"/>
      <c r="D4096" s="75" t="n"/>
      <c r="E4096" s="76" t="n"/>
      <c r="F4096" s="77" t="n"/>
      <c r="G4096" s="75" t="n"/>
      <c r="H4096" s="75">
        <f>IF(ISBLANK(E4096),"",IF(OR(D4096="Butterfly",D4096="Butterfly ",D4096="Iron Fly", D4096="Iron Fly "),LEN(E4096)-LEN(SUBSTITUTE(E4096,"/",""))+2,LEN(E4096)-LEN(SUBSTITUTE(E4096,"/",""))+1))</f>
        <v/>
      </c>
      <c r="I4096" s="78">
        <f>IF(ISBLANK(G4096),"",IF(D4096="Stock","0",Key!$A$3*H4096*G4096))</f>
        <v/>
      </c>
      <c r="J4096" s="78">
        <f>IF(ISBLANK(E4096),"",IF(ISNUMBER(SEARCH("/",E4096)), IF(LEN(E4096)-LEN(SUBSTITUTE(E4096,"/",""))=1,(RIGHT(E4096,LEN(E4096)-FIND("/",E4096)))-(LEFT(E4096,FIND("/",E4096)-1)),(MID(E4096, SEARCH("/",E4096) + 1, SEARCH("/",E4096, SEARCH("/",E4096)+1) - SEARCH("/",E4096) - 1))-(LEFT(E4096,FIND("/",E4096)-1))), "NA"))</f>
        <v/>
      </c>
      <c r="K4096" s="79">
        <f>IF(A4096&lt;&gt;"", IF(ISBLANK(L4096), TODAY(), K4096), "")</f>
        <v/>
      </c>
      <c r="L4096" s="78" t="n"/>
      <c r="M4096" s="78">
        <f>IF(ISBLANK(L4096),"",IF(D4096="Stock",IF(C4096="Buy",L4096*G4096,IF(C4096="Sell",(L4096*G4096)-I4096, X)),IF(C4096="Buy",(L4096*G4096*100)+I4096,IF(C4096="Sell",(L4096*G4096*100)-I4096, X))))</f>
        <v/>
      </c>
      <c r="N4096" s="78">
        <f>IF(ISBLANK(L4096),"",IF(AND(C4096="Sell",D4096="Stock"),M4096,IF(ISBLANK(L4096),"",IF(C4096="Buy",M4096, IF(AND(C4096="Sell",J4096="NA"),(E4096*G4096*100*0.1)+I4096, IF(C4096="Sell",(J4096-L4096)*(100*G4096)+I4096))))))</f>
        <v/>
      </c>
      <c r="O4096" s="75" t="n"/>
      <c r="P4096" s="75" t="n"/>
      <c r="Q4096" s="75">
        <f>IF(ISBLANK(P4096),"",IF(D4096="Stock",P4096*G4096,IF(P4096=0,"0",G4096*P4096*100-(G4096*$AF$14))))</f>
        <v/>
      </c>
      <c r="R4096" s="79">
        <f>IF(P4096&lt;&gt;"", TODAY(), "")</f>
        <v/>
      </c>
      <c r="S4096" s="78">
        <f>IF(AND(K4096&lt;&gt;"", R4096&lt;&gt;""), R4096-K4096, "")</f>
        <v/>
      </c>
      <c r="T4096" s="78" t="n"/>
      <c r="U4096" s="92">
        <f>IF(ISBLANK(P4096),"",IF(C4096="Buy",Q4096-M4096+T4096, IF(C4096="Sell",M4096-Q4096-T4096, X)))</f>
        <v/>
      </c>
      <c r="V4096" s="81">
        <f>IF(ISBLANK(P4096),"",U4096/N4096)</f>
        <v/>
      </c>
      <c r="W4096" s="81">
        <f>IF(ISBLANK(P4096),"",IF(S4096=0,(365/0.5)*V4096,(365/S4096)*V4096))</f>
        <v/>
      </c>
      <c r="X4096" s="75" t="n"/>
      <c r="Y4096" s="77" t="n"/>
      <c r="Z4096" s="77" t="n"/>
      <c r="AA4096" s="75" t="n"/>
      <c r="AB4096" s="75" t="n"/>
      <c r="AC4096" s="6" t="n"/>
      <c r="AD4096" s="75" t="n"/>
      <c r="AE4096" s="75" t="n"/>
      <c r="AF4096" s="75" t="n"/>
    </row>
    <row r="4097" ht="15.75" customHeight="1" s="133">
      <c r="A4097" s="75" t="n"/>
      <c r="B4097" s="75" t="n"/>
      <c r="C4097" s="75" t="n"/>
      <c r="D4097" s="75" t="n"/>
      <c r="E4097" s="76" t="n"/>
      <c r="F4097" s="77" t="n"/>
      <c r="G4097" s="75" t="n"/>
      <c r="H4097" s="75">
        <f>IF(ISBLANK(E4097),"",IF(OR(D4097="Butterfly",D4097="Butterfly ",D4097="Iron Fly", D4097="Iron Fly "),LEN(E4097)-LEN(SUBSTITUTE(E4097,"/",""))+2,LEN(E4097)-LEN(SUBSTITUTE(E4097,"/",""))+1))</f>
        <v/>
      </c>
      <c r="I4097" s="78">
        <f>IF(ISBLANK(G4097),"",IF(D4097="Stock","0",Key!$A$3*H4097*G4097))</f>
        <v/>
      </c>
      <c r="J4097" s="78">
        <f>IF(ISBLANK(E4097),"",IF(ISNUMBER(SEARCH("/",E4097)), IF(LEN(E4097)-LEN(SUBSTITUTE(E4097,"/",""))=1,(RIGHT(E4097,LEN(E4097)-FIND("/",E4097)))-(LEFT(E4097,FIND("/",E4097)-1)),(MID(E4097, SEARCH("/",E4097) + 1, SEARCH("/",E4097, SEARCH("/",E4097)+1) - SEARCH("/",E4097) - 1))-(LEFT(E4097,FIND("/",E4097)-1))), "NA"))</f>
        <v/>
      </c>
      <c r="K4097" s="79">
        <f>IF(A4097&lt;&gt;"", IF(ISBLANK(L4097), TODAY(), K4097), "")</f>
        <v/>
      </c>
      <c r="L4097" s="78" t="n"/>
      <c r="M4097" s="78">
        <f>IF(ISBLANK(L4097),"",IF(D4097="Stock",IF(C4097="Buy",L4097*G4097,IF(C4097="Sell",(L4097*G4097)-I4097, X)),IF(C4097="Buy",(L4097*G4097*100)+I4097,IF(C4097="Sell",(L4097*G4097*100)-I4097, X))))</f>
        <v/>
      </c>
      <c r="N4097" s="78">
        <f>IF(ISBLANK(L4097),"",IF(AND(C4097="Sell",D4097="Stock"),M4097,IF(ISBLANK(L4097),"",IF(C4097="Buy",M4097, IF(AND(C4097="Sell",J4097="NA"),(E4097*G4097*100*0.1)+I4097, IF(C4097="Sell",(J4097-L4097)*(100*G4097)+I4097))))))</f>
        <v/>
      </c>
      <c r="O4097" s="75" t="n"/>
      <c r="P4097" s="75" t="n"/>
      <c r="Q4097" s="75">
        <f>IF(ISBLANK(P4097),"",IF(D4097="Stock",P4097*G4097,IF(P4097=0,"0",G4097*P4097*100-(G4097*$AF$14))))</f>
        <v/>
      </c>
      <c r="R4097" s="79">
        <f>IF(P4097&lt;&gt;"", TODAY(), "")</f>
        <v/>
      </c>
      <c r="S4097" s="78">
        <f>IF(AND(K4097&lt;&gt;"", R4097&lt;&gt;""), R4097-K4097, "")</f>
        <v/>
      </c>
      <c r="T4097" s="78" t="n"/>
      <c r="U4097" s="92">
        <f>IF(ISBLANK(P4097),"",IF(C4097="Buy",Q4097-M4097+T4097, IF(C4097="Sell",M4097-Q4097-T4097, X)))</f>
        <v/>
      </c>
      <c r="V4097" s="81">
        <f>IF(ISBLANK(P4097),"",U4097/N4097)</f>
        <v/>
      </c>
      <c r="W4097" s="81">
        <f>IF(ISBLANK(P4097),"",IF(S4097=0,(365/0.5)*V4097,(365/S4097)*V4097))</f>
        <v/>
      </c>
      <c r="X4097" s="75" t="n"/>
      <c r="Y4097" s="77" t="n"/>
      <c r="Z4097" s="77" t="n"/>
      <c r="AA4097" s="75" t="n"/>
      <c r="AB4097" s="75" t="n"/>
      <c r="AC4097" s="6" t="n"/>
      <c r="AD4097" s="75" t="n"/>
      <c r="AE4097" s="75" t="n"/>
      <c r="AF4097" s="75" t="n"/>
    </row>
    <row r="4098" ht="15.75" customHeight="1" s="133">
      <c r="A4098" s="75" t="n"/>
      <c r="B4098" s="75" t="n"/>
      <c r="C4098" s="75" t="n"/>
      <c r="D4098" s="75" t="n"/>
      <c r="E4098" s="76" t="n"/>
      <c r="F4098" s="77" t="n"/>
      <c r="G4098" s="75" t="n"/>
      <c r="H4098" s="75">
        <f>IF(ISBLANK(E4098),"",IF(OR(D4098="Butterfly",D4098="Butterfly ",D4098="Iron Fly", D4098="Iron Fly "),LEN(E4098)-LEN(SUBSTITUTE(E4098,"/",""))+2,LEN(E4098)-LEN(SUBSTITUTE(E4098,"/",""))+1))</f>
        <v/>
      </c>
      <c r="I4098" s="78">
        <f>IF(ISBLANK(G4098),"",IF(D4098="Stock","0",Key!$A$3*H4098*G4098))</f>
        <v/>
      </c>
      <c r="J4098" s="78">
        <f>IF(ISBLANK(E4098),"",IF(ISNUMBER(SEARCH("/",E4098)), IF(LEN(E4098)-LEN(SUBSTITUTE(E4098,"/",""))=1,(RIGHT(E4098,LEN(E4098)-FIND("/",E4098)))-(LEFT(E4098,FIND("/",E4098)-1)),(MID(E4098, SEARCH("/",E4098) + 1, SEARCH("/",E4098, SEARCH("/",E4098)+1) - SEARCH("/",E4098) - 1))-(LEFT(E4098,FIND("/",E4098)-1))), "NA"))</f>
        <v/>
      </c>
      <c r="K4098" s="79">
        <f>IF(A4098&lt;&gt;"", IF(ISBLANK(L4098), TODAY(), K4098), "")</f>
        <v/>
      </c>
      <c r="L4098" s="78" t="n"/>
      <c r="M4098" s="78">
        <f>IF(ISBLANK(L4098),"",IF(D4098="Stock",IF(C4098="Buy",L4098*G4098,IF(C4098="Sell",(L4098*G4098)-I4098, X)),IF(C4098="Buy",(L4098*G4098*100)+I4098,IF(C4098="Sell",(L4098*G4098*100)-I4098, X))))</f>
        <v/>
      </c>
      <c r="N4098" s="78">
        <f>IF(ISBLANK(L4098),"",IF(AND(C4098="Sell",D4098="Stock"),M4098,IF(ISBLANK(L4098),"",IF(C4098="Buy",M4098, IF(AND(C4098="Sell",J4098="NA"),(E4098*G4098*100*0.1)+I4098, IF(C4098="Sell",(J4098-L4098)*(100*G4098)+I4098))))))</f>
        <v/>
      </c>
      <c r="O4098" s="75" t="n"/>
      <c r="P4098" s="75" t="n"/>
      <c r="Q4098" s="75">
        <f>IF(ISBLANK(P4098),"",IF(D4098="Stock",P4098*G4098,IF(P4098=0,"0",G4098*P4098*100-(G4098*$AF$14))))</f>
        <v/>
      </c>
      <c r="R4098" s="79">
        <f>IF(P4098&lt;&gt;"", TODAY(), "")</f>
        <v/>
      </c>
      <c r="S4098" s="78">
        <f>IF(AND(K4098&lt;&gt;"", R4098&lt;&gt;""), R4098-K4098, "")</f>
        <v/>
      </c>
      <c r="T4098" s="78" t="n"/>
      <c r="U4098" s="92">
        <f>IF(ISBLANK(P4098),"",IF(C4098="Buy",Q4098-M4098+T4098, IF(C4098="Sell",M4098-Q4098-T4098, X)))</f>
        <v/>
      </c>
      <c r="V4098" s="81">
        <f>IF(ISBLANK(P4098),"",U4098/N4098)</f>
        <v/>
      </c>
      <c r="W4098" s="81">
        <f>IF(ISBLANK(P4098),"",IF(S4098=0,(365/0.5)*V4098,(365/S4098)*V4098))</f>
        <v/>
      </c>
      <c r="X4098" s="75" t="n"/>
      <c r="Y4098" s="77" t="n"/>
      <c r="Z4098" s="77" t="n"/>
      <c r="AA4098" s="75" t="n"/>
      <c r="AB4098" s="75" t="n"/>
      <c r="AC4098" s="6" t="n"/>
      <c r="AD4098" s="75" t="n"/>
      <c r="AE4098" s="75" t="n"/>
      <c r="AF4098" s="75" t="n"/>
    </row>
    <row r="4099" ht="15.75" customHeight="1" s="133">
      <c r="A4099" s="75" t="n"/>
      <c r="B4099" s="75" t="n"/>
      <c r="C4099" s="75" t="n"/>
      <c r="D4099" s="75" t="n"/>
      <c r="E4099" s="76" t="n"/>
      <c r="F4099" s="77" t="n"/>
      <c r="G4099" s="75" t="n"/>
      <c r="H4099" s="75">
        <f>IF(ISBLANK(E4099),"",IF(OR(D4099="Butterfly",D4099="Butterfly ",D4099="Iron Fly", D4099="Iron Fly "),LEN(E4099)-LEN(SUBSTITUTE(E4099,"/",""))+2,LEN(E4099)-LEN(SUBSTITUTE(E4099,"/",""))+1))</f>
        <v/>
      </c>
      <c r="I4099" s="78">
        <f>IF(ISBLANK(G4099),"",IF(D4099="Stock","0",Key!$A$3*H4099*G4099))</f>
        <v/>
      </c>
      <c r="J4099" s="78">
        <f>IF(ISBLANK(E4099),"",IF(ISNUMBER(SEARCH("/",E4099)), IF(LEN(E4099)-LEN(SUBSTITUTE(E4099,"/",""))=1,(RIGHT(E4099,LEN(E4099)-FIND("/",E4099)))-(LEFT(E4099,FIND("/",E4099)-1)),(MID(E4099, SEARCH("/",E4099) + 1, SEARCH("/",E4099, SEARCH("/",E4099)+1) - SEARCH("/",E4099) - 1))-(LEFT(E4099,FIND("/",E4099)-1))), "NA"))</f>
        <v/>
      </c>
      <c r="K4099" s="79">
        <f>IF(A4099&lt;&gt;"", IF(ISBLANK(L4099), TODAY(), K4099), "")</f>
        <v/>
      </c>
      <c r="L4099" s="78" t="n"/>
      <c r="M4099" s="78">
        <f>IF(ISBLANK(L4099),"",IF(D4099="Stock",IF(C4099="Buy",L4099*G4099,IF(C4099="Sell",(L4099*G4099)-I4099, X)),IF(C4099="Buy",(L4099*G4099*100)+I4099,IF(C4099="Sell",(L4099*G4099*100)-I4099, X))))</f>
        <v/>
      </c>
      <c r="N4099" s="78">
        <f>IF(ISBLANK(L4099),"",IF(AND(C4099="Sell",D4099="Stock"),M4099,IF(ISBLANK(L4099),"",IF(C4099="Buy",M4099, IF(AND(C4099="Sell",J4099="NA"),(E4099*G4099*100*0.1)+I4099, IF(C4099="Sell",(J4099-L4099)*(100*G4099)+I4099))))))</f>
        <v/>
      </c>
      <c r="O4099" s="75" t="n"/>
      <c r="P4099" s="75" t="n"/>
      <c r="Q4099" s="75">
        <f>IF(ISBLANK(P4099),"",IF(D4099="Stock",P4099*G4099,IF(P4099=0,"0",G4099*P4099*100-(G4099*$AF$14))))</f>
        <v/>
      </c>
      <c r="R4099" s="79">
        <f>IF(P4099&lt;&gt;"", TODAY(), "")</f>
        <v/>
      </c>
      <c r="S4099" s="78">
        <f>IF(AND(K4099&lt;&gt;"", R4099&lt;&gt;""), R4099-K4099, "")</f>
        <v/>
      </c>
      <c r="T4099" s="78" t="n"/>
      <c r="U4099" s="92">
        <f>IF(ISBLANK(P4099),"",IF(C4099="Buy",Q4099-M4099+T4099, IF(C4099="Sell",M4099-Q4099-T4099, X)))</f>
        <v/>
      </c>
      <c r="V4099" s="81">
        <f>IF(ISBLANK(P4099),"",U4099/N4099)</f>
        <v/>
      </c>
      <c r="W4099" s="81">
        <f>IF(ISBLANK(P4099),"",IF(S4099=0,(365/0.5)*V4099,(365/S4099)*V4099))</f>
        <v/>
      </c>
      <c r="X4099" s="75" t="n"/>
      <c r="Y4099" s="77" t="n"/>
      <c r="Z4099" s="77" t="n"/>
      <c r="AA4099" s="75" t="n"/>
      <c r="AB4099" s="75" t="n"/>
      <c r="AC4099" s="6" t="n"/>
      <c r="AD4099" s="75" t="n"/>
      <c r="AE4099" s="75" t="n"/>
      <c r="AF4099" s="75" t="n"/>
    </row>
    <row r="4100" ht="15.75" customHeight="1" s="133">
      <c r="A4100" s="75" t="n"/>
      <c r="B4100" s="75" t="n"/>
      <c r="C4100" s="75" t="n"/>
      <c r="D4100" s="75" t="n"/>
      <c r="E4100" s="76" t="n"/>
      <c r="F4100" s="77" t="n"/>
      <c r="G4100" s="75" t="n"/>
      <c r="H4100" s="75">
        <f>IF(ISBLANK(E4100),"",IF(OR(D4100="Butterfly",D4100="Butterfly ",D4100="Iron Fly", D4100="Iron Fly "),LEN(E4100)-LEN(SUBSTITUTE(E4100,"/",""))+2,LEN(E4100)-LEN(SUBSTITUTE(E4100,"/",""))+1))</f>
        <v/>
      </c>
      <c r="I4100" s="78">
        <f>IF(ISBLANK(G4100),"",IF(D4100="Stock","0",Key!$A$3*H4100*G4100))</f>
        <v/>
      </c>
      <c r="J4100" s="78">
        <f>IF(ISBLANK(E4100),"",IF(ISNUMBER(SEARCH("/",E4100)), IF(LEN(E4100)-LEN(SUBSTITUTE(E4100,"/",""))=1,(RIGHT(E4100,LEN(E4100)-FIND("/",E4100)))-(LEFT(E4100,FIND("/",E4100)-1)),(MID(E4100, SEARCH("/",E4100) + 1, SEARCH("/",E4100, SEARCH("/",E4100)+1) - SEARCH("/",E4100) - 1))-(LEFT(E4100,FIND("/",E4100)-1))), "NA"))</f>
        <v/>
      </c>
      <c r="K4100" s="79">
        <f>IF(A4100&lt;&gt;"", IF(ISBLANK(L4100), TODAY(), K4100), "")</f>
        <v/>
      </c>
      <c r="L4100" s="78" t="n"/>
      <c r="M4100" s="78">
        <f>IF(ISBLANK(L4100),"",IF(D4100="Stock",IF(C4100="Buy",L4100*G4100,IF(C4100="Sell",(L4100*G4100)-I4100, X)),IF(C4100="Buy",(L4100*G4100*100)+I4100,IF(C4100="Sell",(L4100*G4100*100)-I4100, X))))</f>
        <v/>
      </c>
      <c r="N4100" s="78">
        <f>IF(ISBLANK(L4100),"",IF(AND(C4100="Sell",D4100="Stock"),M4100,IF(ISBLANK(L4100),"",IF(C4100="Buy",M4100, IF(AND(C4100="Sell",J4100="NA"),(E4100*G4100*100*0.1)+I4100, IF(C4100="Sell",(J4100-L4100)*(100*G4100)+I4100))))))</f>
        <v/>
      </c>
      <c r="O4100" s="75" t="n"/>
      <c r="P4100" s="75" t="n"/>
      <c r="Q4100" s="75">
        <f>IF(ISBLANK(P4100),"",IF(D4100="Stock",P4100*G4100,IF(P4100=0,"0",G4100*P4100*100-(G4100*$AF$14))))</f>
        <v/>
      </c>
      <c r="R4100" s="79">
        <f>IF(P4100&lt;&gt;"", TODAY(), "")</f>
        <v/>
      </c>
      <c r="S4100" s="78">
        <f>IF(AND(K4100&lt;&gt;"", R4100&lt;&gt;""), R4100-K4100, "")</f>
        <v/>
      </c>
      <c r="T4100" s="78" t="n"/>
      <c r="U4100" s="92">
        <f>IF(ISBLANK(P4100),"",IF(C4100="Buy",Q4100-M4100+T4100, IF(C4100="Sell",M4100-Q4100-T4100, X)))</f>
        <v/>
      </c>
      <c r="V4100" s="81">
        <f>IF(ISBLANK(P4100),"",U4100/N4100)</f>
        <v/>
      </c>
      <c r="W4100" s="81">
        <f>IF(ISBLANK(P4100),"",IF(S4100=0,(365/0.5)*V4100,(365/S4100)*V4100))</f>
        <v/>
      </c>
      <c r="X4100" s="75" t="n"/>
      <c r="Y4100" s="77" t="n"/>
      <c r="Z4100" s="77" t="n"/>
      <c r="AA4100" s="75" t="n"/>
      <c r="AB4100" s="75" t="n"/>
      <c r="AC4100" s="6" t="n"/>
      <c r="AD4100" s="75" t="n"/>
      <c r="AE4100" s="75" t="n"/>
      <c r="AF4100" s="75" t="n"/>
    </row>
    <row r="4101" ht="15.75" customHeight="1" s="133">
      <c r="A4101" s="75" t="n"/>
      <c r="B4101" s="75" t="n"/>
      <c r="C4101" s="75" t="n"/>
      <c r="D4101" s="75" t="n"/>
      <c r="E4101" s="76" t="n"/>
      <c r="F4101" s="77" t="n"/>
      <c r="G4101" s="75" t="n"/>
      <c r="H4101" s="75">
        <f>IF(ISBLANK(E4101),"",IF(OR(D4101="Butterfly",D4101="Butterfly ",D4101="Iron Fly", D4101="Iron Fly "),LEN(E4101)-LEN(SUBSTITUTE(E4101,"/",""))+2,LEN(E4101)-LEN(SUBSTITUTE(E4101,"/",""))+1))</f>
        <v/>
      </c>
      <c r="I4101" s="78">
        <f>IF(ISBLANK(G4101),"",IF(D4101="Stock","0",Key!$A$3*H4101*G4101))</f>
        <v/>
      </c>
      <c r="J4101" s="78">
        <f>IF(ISBLANK(E4101),"",IF(ISNUMBER(SEARCH("/",E4101)), IF(LEN(E4101)-LEN(SUBSTITUTE(E4101,"/",""))=1,(RIGHT(E4101,LEN(E4101)-FIND("/",E4101)))-(LEFT(E4101,FIND("/",E4101)-1)),(MID(E4101, SEARCH("/",E4101) + 1, SEARCH("/",E4101, SEARCH("/",E4101)+1) - SEARCH("/",E4101) - 1))-(LEFT(E4101,FIND("/",E4101)-1))), "NA"))</f>
        <v/>
      </c>
      <c r="K4101" s="79">
        <f>IF(A4101&lt;&gt;"", IF(ISBLANK(L4101), TODAY(), K4101), "")</f>
        <v/>
      </c>
      <c r="L4101" s="78" t="n"/>
      <c r="M4101" s="78">
        <f>IF(ISBLANK(L4101),"",IF(D4101="Stock",IF(C4101="Buy",L4101*G4101,IF(C4101="Sell",(L4101*G4101)-I4101, X)),IF(C4101="Buy",(L4101*G4101*100)+I4101,IF(C4101="Sell",(L4101*G4101*100)-I4101, X))))</f>
        <v/>
      </c>
      <c r="N4101" s="78">
        <f>IF(ISBLANK(L4101),"",IF(AND(C4101="Sell",D4101="Stock"),M4101,IF(ISBLANK(L4101),"",IF(C4101="Buy",M4101, IF(AND(C4101="Sell",J4101="NA"),(E4101*G4101*100*0.1)+I4101, IF(C4101="Sell",(J4101-L4101)*(100*G4101)+I4101))))))</f>
        <v/>
      </c>
      <c r="O4101" s="75" t="n"/>
      <c r="P4101" s="75" t="n"/>
      <c r="Q4101" s="75">
        <f>IF(ISBLANK(P4101),"",IF(D4101="Stock",P4101*G4101,IF(P4101=0,"0",G4101*P4101*100-(G4101*$AF$14))))</f>
        <v/>
      </c>
      <c r="R4101" s="79">
        <f>IF(P4101&lt;&gt;"", TODAY(), "")</f>
        <v/>
      </c>
      <c r="S4101" s="78">
        <f>IF(AND(K4101&lt;&gt;"", R4101&lt;&gt;""), R4101-K4101, "")</f>
        <v/>
      </c>
      <c r="T4101" s="78" t="n"/>
      <c r="U4101" s="92">
        <f>IF(ISBLANK(P4101),"",IF(C4101="Buy",Q4101-M4101+T4101, IF(C4101="Sell",M4101-Q4101-T4101, X)))</f>
        <v/>
      </c>
      <c r="V4101" s="81">
        <f>IF(ISBLANK(P4101),"",U4101/N4101)</f>
        <v/>
      </c>
      <c r="W4101" s="81">
        <f>IF(ISBLANK(P4101),"",IF(S4101=0,(365/0.5)*V4101,(365/S4101)*V4101))</f>
        <v/>
      </c>
      <c r="X4101" s="75" t="n"/>
      <c r="Y4101" s="77" t="n"/>
      <c r="Z4101" s="77" t="n"/>
      <c r="AA4101" s="75" t="n"/>
      <c r="AB4101" s="75" t="n"/>
      <c r="AC4101" s="6" t="n"/>
      <c r="AD4101" s="75" t="n"/>
      <c r="AE4101" s="75" t="n"/>
      <c r="AF4101" s="75" t="n"/>
    </row>
    <row r="4102" ht="15.75" customHeight="1" s="133">
      <c r="A4102" s="75" t="n"/>
      <c r="B4102" s="75" t="n"/>
      <c r="C4102" s="75" t="n"/>
      <c r="D4102" s="75" t="n"/>
      <c r="E4102" s="76" t="n"/>
      <c r="F4102" s="77" t="n"/>
      <c r="G4102" s="75" t="n"/>
      <c r="H4102" s="75">
        <f>IF(ISBLANK(E4102),"",IF(OR(D4102="Butterfly",D4102="Butterfly ",D4102="Iron Fly", D4102="Iron Fly "),LEN(E4102)-LEN(SUBSTITUTE(E4102,"/",""))+2,LEN(E4102)-LEN(SUBSTITUTE(E4102,"/",""))+1))</f>
        <v/>
      </c>
      <c r="I4102" s="78">
        <f>IF(ISBLANK(G4102),"",IF(D4102="Stock","0",Key!$A$3*H4102*G4102))</f>
        <v/>
      </c>
      <c r="J4102" s="78">
        <f>IF(ISBLANK(E4102),"",IF(ISNUMBER(SEARCH("/",E4102)), IF(LEN(E4102)-LEN(SUBSTITUTE(E4102,"/",""))=1,(RIGHT(E4102,LEN(E4102)-FIND("/",E4102)))-(LEFT(E4102,FIND("/",E4102)-1)),(MID(E4102, SEARCH("/",E4102) + 1, SEARCH("/",E4102, SEARCH("/",E4102)+1) - SEARCH("/",E4102) - 1))-(LEFT(E4102,FIND("/",E4102)-1))), "NA"))</f>
        <v/>
      </c>
      <c r="K4102" s="79">
        <f>IF(A4102&lt;&gt;"", IF(ISBLANK(L4102), TODAY(), K4102), "")</f>
        <v/>
      </c>
      <c r="L4102" s="78" t="n"/>
      <c r="M4102" s="78">
        <f>IF(ISBLANK(L4102),"",IF(D4102="Stock",IF(C4102="Buy",L4102*G4102,IF(C4102="Sell",(L4102*G4102)-I4102, X)),IF(C4102="Buy",(L4102*G4102*100)+I4102,IF(C4102="Sell",(L4102*G4102*100)-I4102, X))))</f>
        <v/>
      </c>
      <c r="N4102" s="78">
        <f>IF(ISBLANK(L4102),"",IF(AND(C4102="Sell",D4102="Stock"),M4102,IF(ISBLANK(L4102),"",IF(C4102="Buy",M4102, IF(AND(C4102="Sell",J4102="NA"),(E4102*G4102*100*0.1)+I4102, IF(C4102="Sell",(J4102-L4102)*(100*G4102)+I4102))))))</f>
        <v/>
      </c>
      <c r="O4102" s="75" t="n"/>
      <c r="P4102" s="75" t="n"/>
      <c r="Q4102" s="75">
        <f>IF(ISBLANK(P4102),"",IF(D4102="Stock",P4102*G4102,IF(P4102=0,"0",G4102*P4102*100-(G4102*$AF$14))))</f>
        <v/>
      </c>
      <c r="R4102" s="79">
        <f>IF(P4102&lt;&gt;"", TODAY(), "")</f>
        <v/>
      </c>
      <c r="S4102" s="78">
        <f>IF(AND(K4102&lt;&gt;"", R4102&lt;&gt;""), R4102-K4102, "")</f>
        <v/>
      </c>
      <c r="T4102" s="78" t="n"/>
      <c r="U4102" s="92">
        <f>IF(ISBLANK(P4102),"",IF(C4102="Buy",Q4102-M4102+T4102, IF(C4102="Sell",M4102-Q4102-T4102, X)))</f>
        <v/>
      </c>
      <c r="V4102" s="81">
        <f>IF(ISBLANK(P4102),"",U4102/N4102)</f>
        <v/>
      </c>
      <c r="W4102" s="81">
        <f>IF(ISBLANK(P4102),"",IF(S4102=0,(365/0.5)*V4102,(365/S4102)*V4102))</f>
        <v/>
      </c>
      <c r="X4102" s="75" t="n"/>
      <c r="Y4102" s="77" t="n"/>
      <c r="Z4102" s="77" t="n"/>
      <c r="AA4102" s="75" t="n"/>
      <c r="AB4102" s="75" t="n"/>
      <c r="AC4102" s="6" t="n"/>
      <c r="AD4102" s="75" t="n"/>
      <c r="AE4102" s="75" t="n"/>
      <c r="AF4102" s="75" t="n"/>
    </row>
    <row r="4103" ht="15.75" customHeight="1" s="133">
      <c r="A4103" s="75" t="n"/>
      <c r="B4103" s="75" t="n"/>
      <c r="C4103" s="75" t="n"/>
      <c r="D4103" s="75" t="n"/>
      <c r="E4103" s="76" t="n"/>
      <c r="F4103" s="77" t="n"/>
      <c r="G4103" s="75" t="n"/>
      <c r="H4103" s="75">
        <f>IF(ISBLANK(E4103),"",IF(OR(D4103="Butterfly",D4103="Butterfly ",D4103="Iron Fly", D4103="Iron Fly "),LEN(E4103)-LEN(SUBSTITUTE(E4103,"/",""))+2,LEN(E4103)-LEN(SUBSTITUTE(E4103,"/",""))+1))</f>
        <v/>
      </c>
      <c r="I4103" s="78">
        <f>IF(ISBLANK(G4103),"",IF(D4103="Stock","0",Key!$A$3*H4103*G4103))</f>
        <v/>
      </c>
      <c r="J4103" s="78">
        <f>IF(ISBLANK(E4103),"",IF(ISNUMBER(SEARCH("/",E4103)), IF(LEN(E4103)-LEN(SUBSTITUTE(E4103,"/",""))=1,(RIGHT(E4103,LEN(E4103)-FIND("/",E4103)))-(LEFT(E4103,FIND("/",E4103)-1)),(MID(E4103, SEARCH("/",E4103) + 1, SEARCH("/",E4103, SEARCH("/",E4103)+1) - SEARCH("/",E4103) - 1))-(LEFT(E4103,FIND("/",E4103)-1))), "NA"))</f>
        <v/>
      </c>
      <c r="K4103" s="79">
        <f>IF(A4103&lt;&gt;"", IF(ISBLANK(L4103), TODAY(), K4103), "")</f>
        <v/>
      </c>
      <c r="L4103" s="78" t="n"/>
      <c r="M4103" s="78">
        <f>IF(ISBLANK(L4103),"",IF(D4103="Stock",IF(C4103="Buy",L4103*G4103,IF(C4103="Sell",(L4103*G4103)-I4103, X)),IF(C4103="Buy",(L4103*G4103*100)+I4103,IF(C4103="Sell",(L4103*G4103*100)-I4103, X))))</f>
        <v/>
      </c>
      <c r="N4103" s="78">
        <f>IF(ISBLANK(L4103),"",IF(AND(C4103="Sell",D4103="Stock"),M4103,IF(ISBLANK(L4103),"",IF(C4103="Buy",M4103, IF(AND(C4103="Sell",J4103="NA"),(E4103*G4103*100*0.1)+I4103, IF(C4103="Sell",(J4103-L4103)*(100*G4103)+I4103))))))</f>
        <v/>
      </c>
      <c r="O4103" s="75" t="n"/>
      <c r="P4103" s="75" t="n"/>
      <c r="Q4103" s="75">
        <f>IF(ISBLANK(P4103),"",IF(D4103="Stock",P4103*G4103,IF(P4103=0,"0",G4103*P4103*100-(G4103*$AF$14))))</f>
        <v/>
      </c>
      <c r="R4103" s="79">
        <f>IF(P4103&lt;&gt;"", TODAY(), "")</f>
        <v/>
      </c>
      <c r="S4103" s="78">
        <f>IF(AND(K4103&lt;&gt;"", R4103&lt;&gt;""), R4103-K4103, "")</f>
        <v/>
      </c>
      <c r="T4103" s="78" t="n"/>
      <c r="U4103" s="92">
        <f>IF(ISBLANK(P4103),"",IF(C4103="Buy",Q4103-M4103+T4103, IF(C4103="Sell",M4103-Q4103-T4103, X)))</f>
        <v/>
      </c>
      <c r="V4103" s="81">
        <f>IF(ISBLANK(P4103),"",U4103/N4103)</f>
        <v/>
      </c>
      <c r="W4103" s="81">
        <f>IF(ISBLANK(P4103),"",IF(S4103=0,(365/0.5)*V4103,(365/S4103)*V4103))</f>
        <v/>
      </c>
      <c r="X4103" s="75" t="n"/>
      <c r="Y4103" s="77" t="n"/>
      <c r="Z4103" s="77" t="n"/>
      <c r="AA4103" s="75" t="n"/>
      <c r="AB4103" s="75" t="n"/>
      <c r="AC4103" s="6" t="n"/>
      <c r="AD4103" s="75" t="n"/>
      <c r="AE4103" s="75" t="n"/>
      <c r="AF4103" s="75" t="n"/>
    </row>
    <row r="4104" ht="15.75" customHeight="1" s="133">
      <c r="A4104" s="75" t="n"/>
      <c r="B4104" s="75" t="n"/>
      <c r="C4104" s="75" t="n"/>
      <c r="D4104" s="75" t="n"/>
      <c r="E4104" s="76" t="n"/>
      <c r="F4104" s="77" t="n"/>
      <c r="G4104" s="75" t="n"/>
      <c r="H4104" s="75">
        <f>IF(ISBLANK(E4104),"",IF(OR(D4104="Butterfly",D4104="Butterfly ",D4104="Iron Fly", D4104="Iron Fly "),LEN(E4104)-LEN(SUBSTITUTE(E4104,"/",""))+2,LEN(E4104)-LEN(SUBSTITUTE(E4104,"/",""))+1))</f>
        <v/>
      </c>
      <c r="I4104" s="78">
        <f>IF(ISBLANK(G4104),"",IF(D4104="Stock","0",Key!$A$3*H4104*G4104))</f>
        <v/>
      </c>
      <c r="J4104" s="78">
        <f>IF(ISBLANK(E4104),"",IF(ISNUMBER(SEARCH("/",E4104)), IF(LEN(E4104)-LEN(SUBSTITUTE(E4104,"/",""))=1,(RIGHT(E4104,LEN(E4104)-FIND("/",E4104)))-(LEFT(E4104,FIND("/",E4104)-1)),(MID(E4104, SEARCH("/",E4104) + 1, SEARCH("/",E4104, SEARCH("/",E4104)+1) - SEARCH("/",E4104) - 1))-(LEFT(E4104,FIND("/",E4104)-1))), "NA"))</f>
        <v/>
      </c>
      <c r="K4104" s="79">
        <f>IF(A4104&lt;&gt;"", IF(ISBLANK(L4104), TODAY(), K4104), "")</f>
        <v/>
      </c>
      <c r="L4104" s="78" t="n"/>
      <c r="M4104" s="78">
        <f>IF(ISBLANK(L4104),"",IF(D4104="Stock",IF(C4104="Buy",L4104*G4104,IF(C4104="Sell",(L4104*G4104)-I4104, X)),IF(C4104="Buy",(L4104*G4104*100)+I4104,IF(C4104="Sell",(L4104*G4104*100)-I4104, X))))</f>
        <v/>
      </c>
      <c r="N4104" s="78">
        <f>IF(ISBLANK(L4104),"",IF(AND(C4104="Sell",D4104="Stock"),M4104,IF(ISBLANK(L4104),"",IF(C4104="Buy",M4104, IF(AND(C4104="Sell",J4104="NA"),(E4104*G4104*100*0.1)+I4104, IF(C4104="Sell",(J4104-L4104)*(100*G4104)+I4104))))))</f>
        <v/>
      </c>
      <c r="O4104" s="75" t="n"/>
      <c r="P4104" s="75" t="n"/>
      <c r="Q4104" s="75">
        <f>IF(ISBLANK(P4104),"",IF(D4104="Stock",P4104*G4104,IF(P4104=0,"0",G4104*P4104*100-(G4104*$AF$14))))</f>
        <v/>
      </c>
      <c r="R4104" s="79">
        <f>IF(P4104&lt;&gt;"", TODAY(), "")</f>
        <v/>
      </c>
      <c r="S4104" s="78">
        <f>IF(AND(K4104&lt;&gt;"", R4104&lt;&gt;""), R4104-K4104, "")</f>
        <v/>
      </c>
      <c r="T4104" s="78" t="n"/>
      <c r="U4104" s="92">
        <f>IF(ISBLANK(P4104),"",IF(C4104="Buy",Q4104-M4104+T4104, IF(C4104="Sell",M4104-Q4104-T4104, X)))</f>
        <v/>
      </c>
      <c r="V4104" s="81">
        <f>IF(ISBLANK(P4104),"",U4104/N4104)</f>
        <v/>
      </c>
      <c r="W4104" s="81">
        <f>IF(ISBLANK(P4104),"",IF(S4104=0,(365/0.5)*V4104,(365/S4104)*V4104))</f>
        <v/>
      </c>
      <c r="X4104" s="75" t="n"/>
      <c r="Y4104" s="77" t="n"/>
      <c r="Z4104" s="77" t="n"/>
      <c r="AA4104" s="75" t="n"/>
      <c r="AB4104" s="75" t="n"/>
      <c r="AC4104" s="6" t="n"/>
      <c r="AD4104" s="75" t="n"/>
      <c r="AE4104" s="75" t="n"/>
      <c r="AF4104" s="75" t="n"/>
    </row>
    <row r="4105" ht="15.75" customHeight="1" s="133">
      <c r="A4105" s="75" t="n"/>
      <c r="B4105" s="75" t="n"/>
      <c r="C4105" s="75" t="n"/>
      <c r="D4105" s="75" t="n"/>
      <c r="E4105" s="76" t="n"/>
      <c r="F4105" s="77" t="n"/>
      <c r="G4105" s="75" t="n"/>
      <c r="H4105" s="75">
        <f>IF(ISBLANK(E4105),"",IF(OR(D4105="Butterfly",D4105="Butterfly ",D4105="Iron Fly", D4105="Iron Fly "),LEN(E4105)-LEN(SUBSTITUTE(E4105,"/",""))+2,LEN(E4105)-LEN(SUBSTITUTE(E4105,"/",""))+1))</f>
        <v/>
      </c>
      <c r="I4105" s="78">
        <f>IF(ISBLANK(G4105),"",IF(D4105="Stock","0",Key!$A$3*H4105*G4105))</f>
        <v/>
      </c>
      <c r="J4105" s="78">
        <f>IF(ISBLANK(E4105),"",IF(ISNUMBER(SEARCH("/",E4105)), IF(LEN(E4105)-LEN(SUBSTITUTE(E4105,"/",""))=1,(RIGHT(E4105,LEN(E4105)-FIND("/",E4105)))-(LEFT(E4105,FIND("/",E4105)-1)),(MID(E4105, SEARCH("/",E4105) + 1, SEARCH("/",E4105, SEARCH("/",E4105)+1) - SEARCH("/",E4105) - 1))-(LEFT(E4105,FIND("/",E4105)-1))), "NA"))</f>
        <v/>
      </c>
      <c r="K4105" s="79">
        <f>IF(A4105&lt;&gt;"", IF(ISBLANK(L4105), TODAY(), K4105), "")</f>
        <v/>
      </c>
      <c r="L4105" s="78" t="n"/>
      <c r="M4105" s="78">
        <f>IF(ISBLANK(L4105),"",IF(D4105="Stock",IF(C4105="Buy",L4105*G4105,IF(C4105="Sell",(L4105*G4105)-I4105, X)),IF(C4105="Buy",(L4105*G4105*100)+I4105,IF(C4105="Sell",(L4105*G4105*100)-I4105, X))))</f>
        <v/>
      </c>
      <c r="N4105" s="78">
        <f>IF(ISBLANK(L4105),"",IF(AND(C4105="Sell",D4105="Stock"),M4105,IF(ISBLANK(L4105),"",IF(C4105="Buy",M4105, IF(AND(C4105="Sell",J4105="NA"),(E4105*G4105*100*0.1)+I4105, IF(C4105="Sell",(J4105-L4105)*(100*G4105)+I4105))))))</f>
        <v/>
      </c>
      <c r="O4105" s="75" t="n"/>
      <c r="P4105" s="75" t="n"/>
      <c r="Q4105" s="75">
        <f>IF(ISBLANK(P4105),"",IF(D4105="Stock",P4105*G4105,IF(P4105=0,"0",G4105*P4105*100-(G4105*$AF$14))))</f>
        <v/>
      </c>
      <c r="R4105" s="79">
        <f>IF(P4105&lt;&gt;"", TODAY(), "")</f>
        <v/>
      </c>
      <c r="S4105" s="78">
        <f>IF(AND(K4105&lt;&gt;"", R4105&lt;&gt;""), R4105-K4105, "")</f>
        <v/>
      </c>
      <c r="T4105" s="78" t="n"/>
      <c r="U4105" s="92">
        <f>IF(ISBLANK(P4105),"",IF(C4105="Buy",Q4105-M4105+T4105, IF(C4105="Sell",M4105-Q4105-T4105, X)))</f>
        <v/>
      </c>
      <c r="V4105" s="81">
        <f>IF(ISBLANK(P4105),"",U4105/N4105)</f>
        <v/>
      </c>
      <c r="W4105" s="81">
        <f>IF(ISBLANK(P4105),"",IF(S4105=0,(365/0.5)*V4105,(365/S4105)*V4105))</f>
        <v/>
      </c>
      <c r="X4105" s="75" t="n"/>
      <c r="Y4105" s="77" t="n"/>
      <c r="Z4105" s="77" t="n"/>
      <c r="AA4105" s="75" t="n"/>
      <c r="AB4105" s="75" t="n"/>
      <c r="AC4105" s="6" t="n"/>
      <c r="AD4105" s="75" t="n"/>
      <c r="AE4105" s="75" t="n"/>
      <c r="AF4105" s="75" t="n"/>
    </row>
    <row r="4106" ht="15.75" customHeight="1" s="133">
      <c r="A4106" s="75" t="n"/>
      <c r="B4106" s="75" t="n"/>
      <c r="C4106" s="75" t="n"/>
      <c r="D4106" s="75" t="n"/>
      <c r="E4106" s="76" t="n"/>
      <c r="F4106" s="77" t="n"/>
      <c r="G4106" s="75" t="n"/>
      <c r="H4106" s="75">
        <f>IF(ISBLANK(E4106),"",IF(OR(D4106="Butterfly",D4106="Butterfly ",D4106="Iron Fly", D4106="Iron Fly "),LEN(E4106)-LEN(SUBSTITUTE(E4106,"/",""))+2,LEN(E4106)-LEN(SUBSTITUTE(E4106,"/",""))+1))</f>
        <v/>
      </c>
      <c r="I4106" s="78">
        <f>IF(ISBLANK(G4106),"",IF(D4106="Stock","0",Key!$A$3*H4106*G4106))</f>
        <v/>
      </c>
      <c r="J4106" s="78">
        <f>IF(ISBLANK(E4106),"",IF(ISNUMBER(SEARCH("/",E4106)), IF(LEN(E4106)-LEN(SUBSTITUTE(E4106,"/",""))=1,(RIGHT(E4106,LEN(E4106)-FIND("/",E4106)))-(LEFT(E4106,FIND("/",E4106)-1)),(MID(E4106, SEARCH("/",E4106) + 1, SEARCH("/",E4106, SEARCH("/",E4106)+1) - SEARCH("/",E4106) - 1))-(LEFT(E4106,FIND("/",E4106)-1))), "NA"))</f>
        <v/>
      </c>
      <c r="K4106" s="79">
        <f>IF(A4106&lt;&gt;"", IF(ISBLANK(L4106), TODAY(), K4106), "")</f>
        <v/>
      </c>
      <c r="L4106" s="78" t="n"/>
      <c r="M4106" s="78">
        <f>IF(ISBLANK(L4106),"",IF(D4106="Stock",IF(C4106="Buy",L4106*G4106,IF(C4106="Sell",(L4106*G4106)-I4106, X)),IF(C4106="Buy",(L4106*G4106*100)+I4106,IF(C4106="Sell",(L4106*G4106*100)-I4106, X))))</f>
        <v/>
      </c>
      <c r="N4106" s="78">
        <f>IF(ISBLANK(L4106),"",IF(AND(C4106="Sell",D4106="Stock"),M4106,IF(ISBLANK(L4106),"",IF(C4106="Buy",M4106, IF(AND(C4106="Sell",J4106="NA"),(E4106*G4106*100*0.1)+I4106, IF(C4106="Sell",(J4106-L4106)*(100*G4106)+I4106))))))</f>
        <v/>
      </c>
      <c r="O4106" s="75" t="n"/>
      <c r="P4106" s="75" t="n"/>
      <c r="Q4106" s="75">
        <f>IF(ISBLANK(P4106),"",IF(D4106="Stock",P4106*G4106,IF(P4106=0,"0",G4106*P4106*100-(G4106*$AF$14))))</f>
        <v/>
      </c>
      <c r="R4106" s="79">
        <f>IF(P4106&lt;&gt;"", TODAY(), "")</f>
        <v/>
      </c>
      <c r="S4106" s="78">
        <f>IF(AND(K4106&lt;&gt;"", R4106&lt;&gt;""), R4106-K4106, "")</f>
        <v/>
      </c>
      <c r="T4106" s="78" t="n"/>
      <c r="U4106" s="92">
        <f>IF(ISBLANK(P4106),"",IF(C4106="Buy",Q4106-M4106+T4106, IF(C4106="Sell",M4106-Q4106-T4106, X)))</f>
        <v/>
      </c>
      <c r="V4106" s="81">
        <f>IF(ISBLANK(P4106),"",U4106/N4106)</f>
        <v/>
      </c>
      <c r="W4106" s="81">
        <f>IF(ISBLANK(P4106),"",IF(S4106=0,(365/0.5)*V4106,(365/S4106)*V4106))</f>
        <v/>
      </c>
      <c r="X4106" s="75" t="n"/>
      <c r="Y4106" s="77" t="n"/>
      <c r="Z4106" s="77" t="n"/>
      <c r="AA4106" s="75" t="n"/>
      <c r="AB4106" s="75" t="n"/>
      <c r="AC4106" s="6" t="n"/>
      <c r="AD4106" s="75" t="n"/>
      <c r="AE4106" s="75" t="n"/>
      <c r="AF4106" s="75" t="n"/>
    </row>
    <row r="4107" ht="15.75" customHeight="1" s="133">
      <c r="A4107" s="75" t="n"/>
      <c r="B4107" s="75" t="n"/>
      <c r="C4107" s="75" t="n"/>
      <c r="D4107" s="75" t="n"/>
      <c r="E4107" s="76" t="n"/>
      <c r="F4107" s="77" t="n"/>
      <c r="G4107" s="75" t="n"/>
      <c r="H4107" s="75">
        <f>IF(ISBLANK(E4107),"",IF(OR(D4107="Butterfly",D4107="Butterfly ",D4107="Iron Fly", D4107="Iron Fly "),LEN(E4107)-LEN(SUBSTITUTE(E4107,"/",""))+2,LEN(E4107)-LEN(SUBSTITUTE(E4107,"/",""))+1))</f>
        <v/>
      </c>
      <c r="I4107" s="78">
        <f>IF(ISBLANK(G4107),"",IF(D4107="Stock","0",Key!$A$3*H4107*G4107))</f>
        <v/>
      </c>
      <c r="J4107" s="78">
        <f>IF(ISBLANK(E4107),"",IF(ISNUMBER(SEARCH("/",E4107)), IF(LEN(E4107)-LEN(SUBSTITUTE(E4107,"/",""))=1,(RIGHT(E4107,LEN(E4107)-FIND("/",E4107)))-(LEFT(E4107,FIND("/",E4107)-1)),(MID(E4107, SEARCH("/",E4107) + 1, SEARCH("/",E4107, SEARCH("/",E4107)+1) - SEARCH("/",E4107) - 1))-(LEFT(E4107,FIND("/",E4107)-1))), "NA"))</f>
        <v/>
      </c>
      <c r="K4107" s="79">
        <f>IF(A4107&lt;&gt;"", IF(ISBLANK(L4107), TODAY(), K4107), "")</f>
        <v/>
      </c>
      <c r="L4107" s="78" t="n"/>
      <c r="M4107" s="78">
        <f>IF(ISBLANK(L4107),"",IF(D4107="Stock",IF(C4107="Buy",L4107*G4107,IF(C4107="Sell",(L4107*G4107)-I4107, X)),IF(C4107="Buy",(L4107*G4107*100)+I4107,IF(C4107="Sell",(L4107*G4107*100)-I4107, X))))</f>
        <v/>
      </c>
      <c r="N4107" s="78">
        <f>IF(ISBLANK(L4107),"",IF(AND(C4107="Sell",D4107="Stock"),M4107,IF(ISBLANK(L4107),"",IF(C4107="Buy",M4107, IF(AND(C4107="Sell",J4107="NA"),(E4107*G4107*100*0.1)+I4107, IF(C4107="Sell",(J4107-L4107)*(100*G4107)+I4107))))))</f>
        <v/>
      </c>
      <c r="O4107" s="75" t="n"/>
      <c r="P4107" s="75" t="n"/>
      <c r="Q4107" s="75">
        <f>IF(ISBLANK(P4107),"",IF(D4107="Stock",P4107*G4107,IF(P4107=0,"0",G4107*P4107*100-(G4107*$AF$14))))</f>
        <v/>
      </c>
      <c r="R4107" s="79">
        <f>IF(P4107&lt;&gt;"", TODAY(), "")</f>
        <v/>
      </c>
      <c r="S4107" s="78">
        <f>IF(AND(K4107&lt;&gt;"", R4107&lt;&gt;""), R4107-K4107, "")</f>
        <v/>
      </c>
      <c r="T4107" s="78" t="n"/>
      <c r="U4107" s="92">
        <f>IF(ISBLANK(P4107),"",IF(C4107="Buy",Q4107-M4107+T4107, IF(C4107="Sell",M4107-Q4107-T4107, X)))</f>
        <v/>
      </c>
      <c r="V4107" s="81">
        <f>IF(ISBLANK(P4107),"",U4107/N4107)</f>
        <v/>
      </c>
      <c r="W4107" s="81">
        <f>IF(ISBLANK(P4107),"",IF(S4107=0,(365/0.5)*V4107,(365/S4107)*V4107))</f>
        <v/>
      </c>
      <c r="X4107" s="75" t="n"/>
      <c r="Y4107" s="77" t="n"/>
      <c r="Z4107" s="77" t="n"/>
      <c r="AA4107" s="75" t="n"/>
      <c r="AB4107" s="75" t="n"/>
      <c r="AC4107" s="6" t="n"/>
      <c r="AD4107" s="75" t="n"/>
      <c r="AE4107" s="75" t="n"/>
      <c r="AF4107" s="75" t="n"/>
    </row>
    <row r="4108" ht="15.75" customHeight="1" s="133">
      <c r="A4108" s="75" t="n"/>
      <c r="B4108" s="75" t="n"/>
      <c r="C4108" s="75" t="n"/>
      <c r="D4108" s="75" t="n"/>
      <c r="E4108" s="76" t="n"/>
      <c r="F4108" s="77" t="n"/>
      <c r="G4108" s="75" t="n"/>
      <c r="H4108" s="75">
        <f>IF(ISBLANK(E4108),"",IF(OR(D4108="Butterfly",D4108="Butterfly ",D4108="Iron Fly", D4108="Iron Fly "),LEN(E4108)-LEN(SUBSTITUTE(E4108,"/",""))+2,LEN(E4108)-LEN(SUBSTITUTE(E4108,"/",""))+1))</f>
        <v/>
      </c>
      <c r="I4108" s="78">
        <f>IF(ISBLANK(G4108),"",IF(D4108="Stock","0",Key!$A$3*H4108*G4108))</f>
        <v/>
      </c>
      <c r="J4108" s="78">
        <f>IF(ISBLANK(E4108),"",IF(ISNUMBER(SEARCH("/",E4108)), IF(LEN(E4108)-LEN(SUBSTITUTE(E4108,"/",""))=1,(RIGHT(E4108,LEN(E4108)-FIND("/",E4108)))-(LEFT(E4108,FIND("/",E4108)-1)),(MID(E4108, SEARCH("/",E4108) + 1, SEARCH("/",E4108, SEARCH("/",E4108)+1) - SEARCH("/",E4108) - 1))-(LEFT(E4108,FIND("/",E4108)-1))), "NA"))</f>
        <v/>
      </c>
      <c r="K4108" s="79">
        <f>IF(A4108&lt;&gt;"", IF(ISBLANK(L4108), TODAY(), K4108), "")</f>
        <v/>
      </c>
      <c r="L4108" s="78" t="n"/>
      <c r="M4108" s="78">
        <f>IF(ISBLANK(L4108),"",IF(D4108="Stock",IF(C4108="Buy",L4108*G4108,IF(C4108="Sell",(L4108*G4108)-I4108, X)),IF(C4108="Buy",(L4108*G4108*100)+I4108,IF(C4108="Sell",(L4108*G4108*100)-I4108, X))))</f>
        <v/>
      </c>
      <c r="N4108" s="78">
        <f>IF(ISBLANK(L4108),"",IF(AND(C4108="Sell",D4108="Stock"),M4108,IF(ISBLANK(L4108),"",IF(C4108="Buy",M4108, IF(AND(C4108="Sell",J4108="NA"),(E4108*G4108*100*0.1)+I4108, IF(C4108="Sell",(J4108-L4108)*(100*G4108)+I4108))))))</f>
        <v/>
      </c>
      <c r="O4108" s="75" t="n"/>
      <c r="P4108" s="75" t="n"/>
      <c r="Q4108" s="75">
        <f>IF(ISBLANK(P4108),"",IF(D4108="Stock",P4108*G4108,IF(P4108=0,"0",G4108*P4108*100-(G4108*$AF$14))))</f>
        <v/>
      </c>
      <c r="R4108" s="79">
        <f>IF(P4108&lt;&gt;"", TODAY(), "")</f>
        <v/>
      </c>
      <c r="S4108" s="78">
        <f>IF(AND(K4108&lt;&gt;"", R4108&lt;&gt;""), R4108-K4108, "")</f>
        <v/>
      </c>
      <c r="T4108" s="78" t="n"/>
      <c r="U4108" s="92">
        <f>IF(ISBLANK(P4108),"",IF(C4108="Buy",Q4108-M4108+T4108, IF(C4108="Sell",M4108-Q4108-T4108, X)))</f>
        <v/>
      </c>
      <c r="V4108" s="81">
        <f>IF(ISBLANK(P4108),"",U4108/N4108)</f>
        <v/>
      </c>
      <c r="W4108" s="81">
        <f>IF(ISBLANK(P4108),"",IF(S4108=0,(365/0.5)*V4108,(365/S4108)*V4108))</f>
        <v/>
      </c>
      <c r="X4108" s="75" t="n"/>
      <c r="Y4108" s="77" t="n"/>
      <c r="Z4108" s="77" t="n"/>
      <c r="AA4108" s="75" t="n"/>
      <c r="AB4108" s="75" t="n"/>
      <c r="AC4108" s="6" t="n"/>
      <c r="AD4108" s="75" t="n"/>
      <c r="AE4108" s="75" t="n"/>
      <c r="AF4108" s="75" t="n"/>
    </row>
    <row r="4109" ht="15.75" customHeight="1" s="133">
      <c r="A4109" s="75" t="n"/>
      <c r="B4109" s="75" t="n"/>
      <c r="C4109" s="75" t="n"/>
      <c r="D4109" s="75" t="n"/>
      <c r="E4109" s="76" t="n"/>
      <c r="F4109" s="77" t="n"/>
      <c r="G4109" s="75" t="n"/>
      <c r="H4109" s="75">
        <f>IF(ISBLANK(E4109),"",IF(OR(D4109="Butterfly",D4109="Butterfly ",D4109="Iron Fly", D4109="Iron Fly "),LEN(E4109)-LEN(SUBSTITUTE(E4109,"/",""))+2,LEN(E4109)-LEN(SUBSTITUTE(E4109,"/",""))+1))</f>
        <v/>
      </c>
      <c r="I4109" s="78">
        <f>IF(ISBLANK(G4109),"",IF(D4109="Stock","0",Key!$A$3*H4109*G4109))</f>
        <v/>
      </c>
      <c r="J4109" s="78">
        <f>IF(ISBLANK(E4109),"",IF(ISNUMBER(SEARCH("/",E4109)), IF(LEN(E4109)-LEN(SUBSTITUTE(E4109,"/",""))=1,(RIGHT(E4109,LEN(E4109)-FIND("/",E4109)))-(LEFT(E4109,FIND("/",E4109)-1)),(MID(E4109, SEARCH("/",E4109) + 1, SEARCH("/",E4109, SEARCH("/",E4109)+1) - SEARCH("/",E4109) - 1))-(LEFT(E4109,FIND("/",E4109)-1))), "NA"))</f>
        <v/>
      </c>
      <c r="K4109" s="79">
        <f>IF(A4109&lt;&gt;"", IF(ISBLANK(L4109), TODAY(), K4109), "")</f>
        <v/>
      </c>
      <c r="L4109" s="78" t="n"/>
      <c r="M4109" s="78">
        <f>IF(ISBLANK(L4109),"",IF(D4109="Stock",IF(C4109="Buy",L4109*G4109,IF(C4109="Sell",(L4109*G4109)-I4109, X)),IF(C4109="Buy",(L4109*G4109*100)+I4109,IF(C4109="Sell",(L4109*G4109*100)-I4109, X))))</f>
        <v/>
      </c>
      <c r="N4109" s="78">
        <f>IF(ISBLANK(L4109),"",IF(AND(C4109="Sell",D4109="Stock"),M4109,IF(ISBLANK(L4109),"",IF(C4109="Buy",M4109, IF(AND(C4109="Sell",J4109="NA"),(E4109*G4109*100*0.1)+I4109, IF(C4109="Sell",(J4109-L4109)*(100*G4109)+I4109))))))</f>
        <v/>
      </c>
      <c r="O4109" s="75" t="n"/>
      <c r="P4109" s="75" t="n"/>
      <c r="Q4109" s="75">
        <f>IF(ISBLANK(P4109),"",IF(D4109="Stock",P4109*G4109,IF(P4109=0,"0",G4109*P4109*100-(G4109*$AF$14))))</f>
        <v/>
      </c>
      <c r="R4109" s="79">
        <f>IF(P4109&lt;&gt;"", TODAY(), "")</f>
        <v/>
      </c>
      <c r="S4109" s="78">
        <f>IF(AND(K4109&lt;&gt;"", R4109&lt;&gt;""), R4109-K4109, "")</f>
        <v/>
      </c>
      <c r="T4109" s="78" t="n"/>
      <c r="U4109" s="92">
        <f>IF(ISBLANK(P4109),"",IF(C4109="Buy",Q4109-M4109+T4109, IF(C4109="Sell",M4109-Q4109-T4109, X)))</f>
        <v/>
      </c>
      <c r="V4109" s="81">
        <f>IF(ISBLANK(P4109),"",U4109/N4109)</f>
        <v/>
      </c>
      <c r="W4109" s="81">
        <f>IF(ISBLANK(P4109),"",IF(S4109=0,(365/0.5)*V4109,(365/S4109)*V4109))</f>
        <v/>
      </c>
      <c r="X4109" s="75" t="n"/>
      <c r="Y4109" s="77" t="n"/>
      <c r="Z4109" s="77" t="n"/>
      <c r="AA4109" s="75" t="n"/>
      <c r="AB4109" s="75" t="n"/>
      <c r="AC4109" s="6" t="n"/>
      <c r="AD4109" s="75" t="n"/>
      <c r="AE4109" s="75" t="n"/>
      <c r="AF4109" s="75" t="n"/>
    </row>
    <row r="4110" ht="15.75" customHeight="1" s="133">
      <c r="A4110" s="75" t="n"/>
      <c r="B4110" s="75" t="n"/>
      <c r="C4110" s="75" t="n"/>
      <c r="D4110" s="75" t="n"/>
      <c r="E4110" s="76" t="n"/>
      <c r="F4110" s="77" t="n"/>
      <c r="G4110" s="75" t="n"/>
      <c r="H4110" s="75">
        <f>IF(ISBLANK(E4110),"",IF(OR(D4110="Butterfly",D4110="Butterfly ",D4110="Iron Fly", D4110="Iron Fly "),LEN(E4110)-LEN(SUBSTITUTE(E4110,"/",""))+2,LEN(E4110)-LEN(SUBSTITUTE(E4110,"/",""))+1))</f>
        <v/>
      </c>
      <c r="I4110" s="78">
        <f>IF(ISBLANK(G4110),"",IF(D4110="Stock","0",Key!$A$3*H4110*G4110))</f>
        <v/>
      </c>
      <c r="J4110" s="78">
        <f>IF(ISBLANK(E4110),"",IF(ISNUMBER(SEARCH("/",E4110)), IF(LEN(E4110)-LEN(SUBSTITUTE(E4110,"/",""))=1,(RIGHT(E4110,LEN(E4110)-FIND("/",E4110)))-(LEFT(E4110,FIND("/",E4110)-1)),(MID(E4110, SEARCH("/",E4110) + 1, SEARCH("/",E4110, SEARCH("/",E4110)+1) - SEARCH("/",E4110) - 1))-(LEFT(E4110,FIND("/",E4110)-1))), "NA"))</f>
        <v/>
      </c>
      <c r="K4110" s="79">
        <f>IF(A4110&lt;&gt;"", IF(ISBLANK(L4110), TODAY(), K4110), "")</f>
        <v/>
      </c>
      <c r="L4110" s="78" t="n"/>
      <c r="M4110" s="78">
        <f>IF(ISBLANK(L4110),"",IF(D4110="Stock",IF(C4110="Buy",L4110*G4110,IF(C4110="Sell",(L4110*G4110)-I4110, X)),IF(C4110="Buy",(L4110*G4110*100)+I4110,IF(C4110="Sell",(L4110*G4110*100)-I4110, X))))</f>
        <v/>
      </c>
      <c r="N4110" s="78">
        <f>IF(ISBLANK(L4110),"",IF(AND(C4110="Sell",D4110="Stock"),M4110,IF(ISBLANK(L4110),"",IF(C4110="Buy",M4110, IF(AND(C4110="Sell",J4110="NA"),(E4110*G4110*100*0.1)+I4110, IF(C4110="Sell",(J4110-L4110)*(100*G4110)+I4110))))))</f>
        <v/>
      </c>
      <c r="O4110" s="75" t="n"/>
      <c r="P4110" s="75" t="n"/>
      <c r="Q4110" s="75">
        <f>IF(ISBLANK(P4110),"",IF(D4110="Stock",P4110*G4110,IF(P4110=0,"0",G4110*P4110*100-(G4110*$AF$14))))</f>
        <v/>
      </c>
      <c r="R4110" s="79">
        <f>IF(P4110&lt;&gt;"", TODAY(), "")</f>
        <v/>
      </c>
      <c r="S4110" s="78">
        <f>IF(AND(K4110&lt;&gt;"", R4110&lt;&gt;""), R4110-K4110, "")</f>
        <v/>
      </c>
      <c r="T4110" s="78" t="n"/>
      <c r="U4110" s="92">
        <f>IF(ISBLANK(P4110),"",IF(C4110="Buy",Q4110-M4110+T4110, IF(C4110="Sell",M4110-Q4110-T4110, X)))</f>
        <v/>
      </c>
      <c r="V4110" s="81">
        <f>IF(ISBLANK(P4110),"",U4110/N4110)</f>
        <v/>
      </c>
      <c r="W4110" s="81">
        <f>IF(ISBLANK(P4110),"",IF(S4110=0,(365/0.5)*V4110,(365/S4110)*V4110))</f>
        <v/>
      </c>
      <c r="X4110" s="75" t="n"/>
      <c r="Y4110" s="77" t="n"/>
      <c r="Z4110" s="77" t="n"/>
      <c r="AA4110" s="75" t="n"/>
      <c r="AB4110" s="75" t="n"/>
      <c r="AC4110" s="6" t="n"/>
      <c r="AD4110" s="75" t="n"/>
      <c r="AE4110" s="75" t="n"/>
      <c r="AF4110" s="75" t="n"/>
    </row>
    <row r="4111" ht="15.75" customHeight="1" s="133">
      <c r="A4111" s="75" t="n"/>
      <c r="B4111" s="75" t="n"/>
      <c r="C4111" s="75" t="n"/>
      <c r="D4111" s="75" t="n"/>
      <c r="E4111" s="76" t="n"/>
      <c r="F4111" s="77" t="n"/>
      <c r="G4111" s="75" t="n"/>
      <c r="H4111" s="75">
        <f>IF(ISBLANK(E4111),"",IF(OR(D4111="Butterfly",D4111="Butterfly ",D4111="Iron Fly", D4111="Iron Fly "),LEN(E4111)-LEN(SUBSTITUTE(E4111,"/",""))+2,LEN(E4111)-LEN(SUBSTITUTE(E4111,"/",""))+1))</f>
        <v/>
      </c>
      <c r="I4111" s="78">
        <f>IF(ISBLANK(G4111),"",IF(D4111="Stock","0",Key!$A$3*H4111*G4111))</f>
        <v/>
      </c>
      <c r="J4111" s="78">
        <f>IF(ISBLANK(E4111),"",IF(ISNUMBER(SEARCH("/",E4111)), IF(LEN(E4111)-LEN(SUBSTITUTE(E4111,"/",""))=1,(RIGHT(E4111,LEN(E4111)-FIND("/",E4111)))-(LEFT(E4111,FIND("/",E4111)-1)),(MID(E4111, SEARCH("/",E4111) + 1, SEARCH("/",E4111, SEARCH("/",E4111)+1) - SEARCH("/",E4111) - 1))-(LEFT(E4111,FIND("/",E4111)-1))), "NA"))</f>
        <v/>
      </c>
      <c r="K4111" s="79">
        <f>IF(A4111&lt;&gt;"", IF(ISBLANK(L4111), TODAY(), K4111), "")</f>
        <v/>
      </c>
      <c r="L4111" s="78" t="n"/>
      <c r="M4111" s="78">
        <f>IF(ISBLANK(L4111),"",IF(D4111="Stock",IF(C4111="Buy",L4111*G4111,IF(C4111="Sell",(L4111*G4111)-I4111, X)),IF(C4111="Buy",(L4111*G4111*100)+I4111,IF(C4111="Sell",(L4111*G4111*100)-I4111, X))))</f>
        <v/>
      </c>
      <c r="N4111" s="78">
        <f>IF(ISBLANK(L4111),"",IF(AND(C4111="Sell",D4111="Stock"),M4111,IF(ISBLANK(L4111),"",IF(C4111="Buy",M4111, IF(AND(C4111="Sell",J4111="NA"),(E4111*G4111*100*0.1)+I4111, IF(C4111="Sell",(J4111-L4111)*(100*G4111)+I4111))))))</f>
        <v/>
      </c>
      <c r="O4111" s="75" t="n"/>
      <c r="P4111" s="75" t="n"/>
      <c r="Q4111" s="75">
        <f>IF(ISBLANK(P4111),"",IF(D4111="Stock",P4111*G4111,IF(P4111=0,"0",G4111*P4111*100-(G4111*$AF$14))))</f>
        <v/>
      </c>
      <c r="R4111" s="79">
        <f>IF(P4111&lt;&gt;"", TODAY(), "")</f>
        <v/>
      </c>
      <c r="S4111" s="78">
        <f>IF(AND(K4111&lt;&gt;"", R4111&lt;&gt;""), R4111-K4111, "")</f>
        <v/>
      </c>
      <c r="T4111" s="78" t="n"/>
      <c r="U4111" s="92">
        <f>IF(ISBLANK(P4111),"",IF(C4111="Buy",Q4111-M4111+T4111, IF(C4111="Sell",M4111-Q4111-T4111, X)))</f>
        <v/>
      </c>
      <c r="V4111" s="81">
        <f>IF(ISBLANK(P4111),"",U4111/N4111)</f>
        <v/>
      </c>
      <c r="W4111" s="81">
        <f>IF(ISBLANK(P4111),"",IF(S4111=0,(365/0.5)*V4111,(365/S4111)*V4111))</f>
        <v/>
      </c>
      <c r="X4111" s="75" t="n"/>
      <c r="Y4111" s="77" t="n"/>
      <c r="Z4111" s="77" t="n"/>
      <c r="AA4111" s="75" t="n"/>
      <c r="AB4111" s="75" t="n"/>
      <c r="AC4111" s="6" t="n"/>
      <c r="AD4111" s="75" t="n"/>
      <c r="AE4111" s="75" t="n"/>
      <c r="AF4111" s="75" t="n"/>
    </row>
    <row r="4112" ht="15.75" customHeight="1" s="133">
      <c r="A4112" s="75" t="n"/>
      <c r="B4112" s="75" t="n"/>
      <c r="C4112" s="75" t="n"/>
      <c r="D4112" s="75" t="n"/>
      <c r="E4112" s="76" t="n"/>
      <c r="F4112" s="77" t="n"/>
      <c r="G4112" s="75" t="n"/>
      <c r="H4112" s="75">
        <f>IF(ISBLANK(E4112),"",IF(OR(D4112="Butterfly",D4112="Butterfly ",D4112="Iron Fly", D4112="Iron Fly "),LEN(E4112)-LEN(SUBSTITUTE(E4112,"/",""))+2,LEN(E4112)-LEN(SUBSTITUTE(E4112,"/",""))+1))</f>
        <v/>
      </c>
      <c r="I4112" s="78">
        <f>IF(ISBLANK(G4112),"",IF(D4112="Stock","0",Key!$A$3*H4112*G4112))</f>
        <v/>
      </c>
      <c r="J4112" s="78">
        <f>IF(ISBLANK(E4112),"",IF(ISNUMBER(SEARCH("/",E4112)), IF(LEN(E4112)-LEN(SUBSTITUTE(E4112,"/",""))=1,(RIGHT(E4112,LEN(E4112)-FIND("/",E4112)))-(LEFT(E4112,FIND("/",E4112)-1)),(MID(E4112, SEARCH("/",E4112) + 1, SEARCH("/",E4112, SEARCH("/",E4112)+1) - SEARCH("/",E4112) - 1))-(LEFT(E4112,FIND("/",E4112)-1))), "NA"))</f>
        <v/>
      </c>
      <c r="K4112" s="79">
        <f>IF(A4112&lt;&gt;"", IF(ISBLANK(L4112), TODAY(), K4112), "")</f>
        <v/>
      </c>
      <c r="L4112" s="78" t="n"/>
      <c r="M4112" s="78">
        <f>IF(ISBLANK(L4112),"",IF(D4112="Stock",IF(C4112="Buy",L4112*G4112,IF(C4112="Sell",(L4112*G4112)-I4112, X)),IF(C4112="Buy",(L4112*G4112*100)+I4112,IF(C4112="Sell",(L4112*G4112*100)-I4112, X))))</f>
        <v/>
      </c>
      <c r="N4112" s="78">
        <f>IF(ISBLANK(L4112),"",IF(AND(C4112="Sell",D4112="Stock"),M4112,IF(ISBLANK(L4112),"",IF(C4112="Buy",M4112, IF(AND(C4112="Sell",J4112="NA"),(E4112*G4112*100*0.1)+I4112, IF(C4112="Sell",(J4112-L4112)*(100*G4112)+I4112))))))</f>
        <v/>
      </c>
      <c r="O4112" s="75" t="n"/>
      <c r="P4112" s="75" t="n"/>
      <c r="Q4112" s="75">
        <f>IF(ISBLANK(P4112),"",IF(D4112="Stock",P4112*G4112,IF(P4112=0,"0",G4112*P4112*100-(G4112*$AF$14))))</f>
        <v/>
      </c>
      <c r="R4112" s="79">
        <f>IF(P4112&lt;&gt;"", TODAY(), "")</f>
        <v/>
      </c>
      <c r="S4112" s="78">
        <f>IF(AND(K4112&lt;&gt;"", R4112&lt;&gt;""), R4112-K4112, "")</f>
        <v/>
      </c>
      <c r="T4112" s="78" t="n"/>
      <c r="U4112" s="92">
        <f>IF(ISBLANK(P4112),"",IF(C4112="Buy",Q4112-M4112+T4112, IF(C4112="Sell",M4112-Q4112-T4112, X)))</f>
        <v/>
      </c>
      <c r="V4112" s="81">
        <f>IF(ISBLANK(P4112),"",U4112/N4112)</f>
        <v/>
      </c>
      <c r="W4112" s="81">
        <f>IF(ISBLANK(P4112),"",IF(S4112=0,(365/0.5)*V4112,(365/S4112)*V4112))</f>
        <v/>
      </c>
      <c r="X4112" s="75" t="n"/>
      <c r="Y4112" s="77" t="n"/>
      <c r="Z4112" s="77" t="n"/>
      <c r="AA4112" s="75" t="n"/>
      <c r="AB4112" s="75" t="n"/>
      <c r="AC4112" s="6" t="n"/>
      <c r="AD4112" s="75" t="n"/>
      <c r="AE4112" s="75" t="n"/>
      <c r="AF4112" s="75" t="n"/>
    </row>
    <row r="4113" ht="15.75" customHeight="1" s="133">
      <c r="A4113" s="75" t="n"/>
      <c r="B4113" s="75" t="n"/>
      <c r="C4113" s="75" t="n"/>
      <c r="D4113" s="75" t="n"/>
      <c r="E4113" s="76" t="n"/>
      <c r="F4113" s="77" t="n"/>
      <c r="G4113" s="75" t="n"/>
      <c r="H4113" s="75">
        <f>IF(ISBLANK(E4113),"",IF(OR(D4113="Butterfly",D4113="Butterfly ",D4113="Iron Fly", D4113="Iron Fly "),LEN(E4113)-LEN(SUBSTITUTE(E4113,"/",""))+2,LEN(E4113)-LEN(SUBSTITUTE(E4113,"/",""))+1))</f>
        <v/>
      </c>
      <c r="I4113" s="78">
        <f>IF(ISBLANK(G4113),"",IF(D4113="Stock","0",Key!$A$3*H4113*G4113))</f>
        <v/>
      </c>
      <c r="J4113" s="78">
        <f>IF(ISBLANK(E4113),"",IF(ISNUMBER(SEARCH("/",E4113)), IF(LEN(E4113)-LEN(SUBSTITUTE(E4113,"/",""))=1,(RIGHT(E4113,LEN(E4113)-FIND("/",E4113)))-(LEFT(E4113,FIND("/",E4113)-1)),(MID(E4113, SEARCH("/",E4113) + 1, SEARCH("/",E4113, SEARCH("/",E4113)+1) - SEARCH("/",E4113) - 1))-(LEFT(E4113,FIND("/",E4113)-1))), "NA"))</f>
        <v/>
      </c>
      <c r="K4113" s="79">
        <f>IF(A4113&lt;&gt;"", IF(ISBLANK(L4113), TODAY(), K4113), "")</f>
        <v/>
      </c>
      <c r="L4113" s="78" t="n"/>
      <c r="M4113" s="78">
        <f>IF(ISBLANK(L4113),"",IF(D4113="Stock",IF(C4113="Buy",L4113*G4113,IF(C4113="Sell",(L4113*G4113)-I4113, X)),IF(C4113="Buy",(L4113*G4113*100)+I4113,IF(C4113="Sell",(L4113*G4113*100)-I4113, X))))</f>
        <v/>
      </c>
      <c r="N4113" s="78">
        <f>IF(ISBLANK(L4113),"",IF(AND(C4113="Sell",D4113="Stock"),M4113,IF(ISBLANK(L4113),"",IF(C4113="Buy",M4113, IF(AND(C4113="Sell",J4113="NA"),(E4113*G4113*100*0.1)+I4113, IF(C4113="Sell",(J4113-L4113)*(100*G4113)+I4113))))))</f>
        <v/>
      </c>
      <c r="O4113" s="75" t="n"/>
      <c r="P4113" s="75" t="n"/>
      <c r="Q4113" s="75">
        <f>IF(ISBLANK(P4113),"",IF(D4113="Stock",P4113*G4113,IF(P4113=0,"0",G4113*P4113*100-(G4113*$AF$14))))</f>
        <v/>
      </c>
      <c r="R4113" s="79">
        <f>IF(P4113&lt;&gt;"", TODAY(), "")</f>
        <v/>
      </c>
      <c r="S4113" s="78">
        <f>IF(AND(K4113&lt;&gt;"", R4113&lt;&gt;""), R4113-K4113, "")</f>
        <v/>
      </c>
      <c r="T4113" s="78" t="n"/>
      <c r="U4113" s="92">
        <f>IF(ISBLANK(P4113),"",IF(C4113="Buy",Q4113-M4113+T4113, IF(C4113="Sell",M4113-Q4113-T4113, X)))</f>
        <v/>
      </c>
      <c r="V4113" s="81">
        <f>IF(ISBLANK(P4113),"",U4113/N4113)</f>
        <v/>
      </c>
      <c r="W4113" s="81">
        <f>IF(ISBLANK(P4113),"",IF(S4113=0,(365/0.5)*V4113,(365/S4113)*V4113))</f>
        <v/>
      </c>
      <c r="X4113" s="75" t="n"/>
      <c r="Y4113" s="77" t="n"/>
      <c r="Z4113" s="77" t="n"/>
      <c r="AA4113" s="75" t="n"/>
      <c r="AB4113" s="75" t="n"/>
      <c r="AC4113" s="6" t="n"/>
      <c r="AD4113" s="75" t="n"/>
      <c r="AE4113" s="75" t="n"/>
      <c r="AF4113" s="75" t="n"/>
    </row>
    <row r="4114" ht="15.75" customHeight="1" s="133">
      <c r="A4114" s="75" t="n"/>
      <c r="B4114" s="75" t="n"/>
      <c r="C4114" s="75" t="n"/>
      <c r="D4114" s="75" t="n"/>
      <c r="E4114" s="76" t="n"/>
      <c r="F4114" s="77" t="n"/>
      <c r="G4114" s="75" t="n"/>
      <c r="H4114" s="75">
        <f>IF(ISBLANK(E4114),"",IF(OR(D4114="Butterfly",D4114="Butterfly ",D4114="Iron Fly", D4114="Iron Fly "),LEN(E4114)-LEN(SUBSTITUTE(E4114,"/",""))+2,LEN(E4114)-LEN(SUBSTITUTE(E4114,"/",""))+1))</f>
        <v/>
      </c>
      <c r="I4114" s="78">
        <f>IF(ISBLANK(G4114),"",IF(D4114="Stock","0",Key!$A$3*H4114*G4114))</f>
        <v/>
      </c>
      <c r="J4114" s="78">
        <f>IF(ISBLANK(E4114),"",IF(ISNUMBER(SEARCH("/",E4114)), IF(LEN(E4114)-LEN(SUBSTITUTE(E4114,"/",""))=1,(RIGHT(E4114,LEN(E4114)-FIND("/",E4114)))-(LEFT(E4114,FIND("/",E4114)-1)),(MID(E4114, SEARCH("/",E4114) + 1, SEARCH("/",E4114, SEARCH("/",E4114)+1) - SEARCH("/",E4114) - 1))-(LEFT(E4114,FIND("/",E4114)-1))), "NA"))</f>
        <v/>
      </c>
      <c r="K4114" s="79">
        <f>IF(A4114&lt;&gt;"", IF(ISBLANK(L4114), TODAY(), K4114), "")</f>
        <v/>
      </c>
      <c r="L4114" s="78" t="n"/>
      <c r="M4114" s="78">
        <f>IF(ISBLANK(L4114),"",IF(D4114="Stock",IF(C4114="Buy",L4114*G4114,IF(C4114="Sell",(L4114*G4114)-I4114, X)),IF(C4114="Buy",(L4114*G4114*100)+I4114,IF(C4114="Sell",(L4114*G4114*100)-I4114, X))))</f>
        <v/>
      </c>
      <c r="N4114" s="78">
        <f>IF(ISBLANK(L4114),"",IF(AND(C4114="Sell",D4114="Stock"),M4114,IF(ISBLANK(L4114),"",IF(C4114="Buy",M4114, IF(AND(C4114="Sell",J4114="NA"),(E4114*G4114*100*0.1)+I4114, IF(C4114="Sell",(J4114-L4114)*(100*G4114)+I4114))))))</f>
        <v/>
      </c>
      <c r="O4114" s="75" t="n"/>
      <c r="P4114" s="75" t="n"/>
      <c r="Q4114" s="75">
        <f>IF(ISBLANK(P4114),"",IF(D4114="Stock",P4114*G4114,IF(P4114=0,"0",G4114*P4114*100-(G4114*$AF$14))))</f>
        <v/>
      </c>
      <c r="R4114" s="79">
        <f>IF(P4114&lt;&gt;"", TODAY(), "")</f>
        <v/>
      </c>
      <c r="S4114" s="78">
        <f>IF(AND(K4114&lt;&gt;"", R4114&lt;&gt;""), R4114-K4114, "")</f>
        <v/>
      </c>
      <c r="T4114" s="78" t="n"/>
      <c r="U4114" s="92">
        <f>IF(ISBLANK(P4114),"",IF(C4114="Buy",Q4114-M4114+T4114, IF(C4114="Sell",M4114-Q4114-T4114, X)))</f>
        <v/>
      </c>
      <c r="V4114" s="81">
        <f>IF(ISBLANK(P4114),"",U4114/N4114)</f>
        <v/>
      </c>
      <c r="W4114" s="81">
        <f>IF(ISBLANK(P4114),"",IF(S4114=0,(365/0.5)*V4114,(365/S4114)*V4114))</f>
        <v/>
      </c>
      <c r="X4114" s="75" t="n"/>
      <c r="Y4114" s="77" t="n"/>
      <c r="Z4114" s="77" t="n"/>
      <c r="AA4114" s="75" t="n"/>
      <c r="AB4114" s="75" t="n"/>
      <c r="AC4114" s="6" t="n"/>
      <c r="AD4114" s="75" t="n"/>
      <c r="AE4114" s="75" t="n"/>
      <c r="AF4114" s="75" t="n"/>
    </row>
    <row r="4115" ht="15.75" customHeight="1" s="133">
      <c r="A4115" s="75" t="n"/>
      <c r="B4115" s="75" t="n"/>
      <c r="C4115" s="75" t="n"/>
      <c r="D4115" s="75" t="n"/>
      <c r="E4115" s="76" t="n"/>
      <c r="F4115" s="77" t="n"/>
      <c r="G4115" s="75" t="n"/>
      <c r="H4115" s="75">
        <f>IF(ISBLANK(E4115),"",IF(OR(D4115="Butterfly",D4115="Butterfly ",D4115="Iron Fly", D4115="Iron Fly "),LEN(E4115)-LEN(SUBSTITUTE(E4115,"/",""))+2,LEN(E4115)-LEN(SUBSTITUTE(E4115,"/",""))+1))</f>
        <v/>
      </c>
      <c r="I4115" s="78">
        <f>IF(ISBLANK(G4115),"",IF(D4115="Stock","0",Key!$A$3*H4115*G4115))</f>
        <v/>
      </c>
      <c r="J4115" s="78">
        <f>IF(ISBLANK(E4115),"",IF(ISNUMBER(SEARCH("/",E4115)), IF(LEN(E4115)-LEN(SUBSTITUTE(E4115,"/",""))=1,(RIGHT(E4115,LEN(E4115)-FIND("/",E4115)))-(LEFT(E4115,FIND("/",E4115)-1)),(MID(E4115, SEARCH("/",E4115) + 1, SEARCH("/",E4115, SEARCH("/",E4115)+1) - SEARCH("/",E4115) - 1))-(LEFT(E4115,FIND("/",E4115)-1))), "NA"))</f>
        <v/>
      </c>
      <c r="K4115" s="79">
        <f>IF(A4115&lt;&gt;"", IF(ISBLANK(L4115), TODAY(), K4115), "")</f>
        <v/>
      </c>
      <c r="L4115" s="78" t="n"/>
      <c r="M4115" s="78">
        <f>IF(ISBLANK(L4115),"",IF(D4115="Stock",IF(C4115="Buy",L4115*G4115,IF(C4115="Sell",(L4115*G4115)-I4115, X)),IF(C4115="Buy",(L4115*G4115*100)+I4115,IF(C4115="Sell",(L4115*G4115*100)-I4115, X))))</f>
        <v/>
      </c>
      <c r="N4115" s="78">
        <f>IF(ISBLANK(L4115),"",IF(AND(C4115="Sell",D4115="Stock"),M4115,IF(ISBLANK(L4115),"",IF(C4115="Buy",M4115, IF(AND(C4115="Sell",J4115="NA"),(E4115*G4115*100*0.1)+I4115, IF(C4115="Sell",(J4115-L4115)*(100*G4115)+I4115))))))</f>
        <v/>
      </c>
      <c r="O4115" s="75" t="n"/>
      <c r="P4115" s="75" t="n"/>
      <c r="Q4115" s="75">
        <f>IF(ISBLANK(P4115),"",IF(D4115="Stock",P4115*G4115,IF(P4115=0,"0",G4115*P4115*100-(G4115*$AF$14))))</f>
        <v/>
      </c>
      <c r="R4115" s="79">
        <f>IF(P4115&lt;&gt;"", TODAY(), "")</f>
        <v/>
      </c>
      <c r="S4115" s="78">
        <f>IF(AND(K4115&lt;&gt;"", R4115&lt;&gt;""), R4115-K4115, "")</f>
        <v/>
      </c>
      <c r="T4115" s="78" t="n"/>
      <c r="U4115" s="92">
        <f>IF(ISBLANK(P4115),"",IF(C4115="Buy",Q4115-M4115+T4115, IF(C4115="Sell",M4115-Q4115-T4115, X)))</f>
        <v/>
      </c>
      <c r="V4115" s="81">
        <f>IF(ISBLANK(P4115),"",U4115/N4115)</f>
        <v/>
      </c>
      <c r="W4115" s="81">
        <f>IF(ISBLANK(P4115),"",IF(S4115=0,(365/0.5)*V4115,(365/S4115)*V4115))</f>
        <v/>
      </c>
      <c r="X4115" s="75" t="n"/>
      <c r="Y4115" s="77" t="n"/>
      <c r="Z4115" s="77" t="n"/>
      <c r="AA4115" s="75" t="n"/>
      <c r="AB4115" s="75" t="n"/>
      <c r="AC4115" s="6" t="n"/>
      <c r="AD4115" s="75" t="n"/>
      <c r="AE4115" s="75" t="n"/>
      <c r="AF4115" s="75" t="n"/>
    </row>
    <row r="4116" ht="15.75" customHeight="1" s="133">
      <c r="A4116" s="75" t="n"/>
      <c r="B4116" s="75" t="n"/>
      <c r="C4116" s="75" t="n"/>
      <c r="D4116" s="75" t="n"/>
      <c r="E4116" s="76" t="n"/>
      <c r="F4116" s="77" t="n"/>
      <c r="G4116" s="75" t="n"/>
      <c r="H4116" s="75">
        <f>IF(ISBLANK(E4116),"",IF(OR(D4116="Butterfly",D4116="Butterfly ",D4116="Iron Fly", D4116="Iron Fly "),LEN(E4116)-LEN(SUBSTITUTE(E4116,"/",""))+2,LEN(E4116)-LEN(SUBSTITUTE(E4116,"/",""))+1))</f>
        <v/>
      </c>
      <c r="I4116" s="78">
        <f>IF(ISBLANK(G4116),"",IF(D4116="Stock","0",Key!$A$3*H4116*G4116))</f>
        <v/>
      </c>
      <c r="J4116" s="78">
        <f>IF(ISBLANK(E4116),"",IF(ISNUMBER(SEARCH("/",E4116)), IF(LEN(E4116)-LEN(SUBSTITUTE(E4116,"/",""))=1,(RIGHT(E4116,LEN(E4116)-FIND("/",E4116)))-(LEFT(E4116,FIND("/",E4116)-1)),(MID(E4116, SEARCH("/",E4116) + 1, SEARCH("/",E4116, SEARCH("/",E4116)+1) - SEARCH("/",E4116) - 1))-(LEFT(E4116,FIND("/",E4116)-1))), "NA"))</f>
        <v/>
      </c>
      <c r="K4116" s="79">
        <f>IF(A4116&lt;&gt;"", IF(ISBLANK(L4116), TODAY(), K4116), "")</f>
        <v/>
      </c>
      <c r="L4116" s="78" t="n"/>
      <c r="M4116" s="78">
        <f>IF(ISBLANK(L4116),"",IF(D4116="Stock",IF(C4116="Buy",L4116*G4116,IF(C4116="Sell",(L4116*G4116)-I4116, X)),IF(C4116="Buy",(L4116*G4116*100)+I4116,IF(C4116="Sell",(L4116*G4116*100)-I4116, X))))</f>
        <v/>
      </c>
      <c r="N4116" s="78">
        <f>IF(ISBLANK(L4116),"",IF(AND(C4116="Sell",D4116="Stock"),M4116,IF(ISBLANK(L4116),"",IF(C4116="Buy",M4116, IF(AND(C4116="Sell",J4116="NA"),(E4116*G4116*100*0.1)+I4116, IF(C4116="Sell",(J4116-L4116)*(100*G4116)+I4116))))))</f>
        <v/>
      </c>
      <c r="O4116" s="75" t="n"/>
      <c r="P4116" s="75" t="n"/>
      <c r="Q4116" s="75">
        <f>IF(ISBLANK(P4116),"",IF(D4116="Stock",P4116*G4116,IF(P4116=0,"0",G4116*P4116*100-(G4116*$AF$14))))</f>
        <v/>
      </c>
      <c r="R4116" s="79">
        <f>IF(P4116&lt;&gt;"", TODAY(), "")</f>
        <v/>
      </c>
      <c r="S4116" s="78">
        <f>IF(AND(K4116&lt;&gt;"", R4116&lt;&gt;""), R4116-K4116, "")</f>
        <v/>
      </c>
      <c r="T4116" s="78" t="n"/>
      <c r="U4116" s="92">
        <f>IF(ISBLANK(P4116),"",IF(C4116="Buy",Q4116-M4116+T4116, IF(C4116="Sell",M4116-Q4116-T4116, X)))</f>
        <v/>
      </c>
      <c r="V4116" s="81">
        <f>IF(ISBLANK(P4116),"",U4116/N4116)</f>
        <v/>
      </c>
      <c r="W4116" s="81">
        <f>IF(ISBLANK(P4116),"",IF(S4116=0,(365/0.5)*V4116,(365/S4116)*V4116))</f>
        <v/>
      </c>
      <c r="X4116" s="75" t="n"/>
      <c r="Y4116" s="77" t="n"/>
      <c r="Z4116" s="77" t="n"/>
      <c r="AA4116" s="75" t="n"/>
      <c r="AB4116" s="75" t="n"/>
      <c r="AC4116" s="6" t="n"/>
      <c r="AD4116" s="75" t="n"/>
      <c r="AE4116" s="75" t="n"/>
      <c r="AF4116" s="75" t="n"/>
    </row>
    <row r="4117" ht="15.75" customHeight="1" s="133">
      <c r="A4117" s="75" t="n"/>
      <c r="B4117" s="75" t="n"/>
      <c r="C4117" s="75" t="n"/>
      <c r="D4117" s="75" t="n"/>
      <c r="E4117" s="76" t="n"/>
      <c r="F4117" s="77" t="n"/>
      <c r="G4117" s="75" t="n"/>
      <c r="H4117" s="75">
        <f>IF(ISBLANK(E4117),"",IF(OR(D4117="Butterfly",D4117="Butterfly ",D4117="Iron Fly", D4117="Iron Fly "),LEN(E4117)-LEN(SUBSTITUTE(E4117,"/",""))+2,LEN(E4117)-LEN(SUBSTITUTE(E4117,"/",""))+1))</f>
        <v/>
      </c>
      <c r="I4117" s="78">
        <f>IF(ISBLANK(G4117),"",IF(D4117="Stock","0",Key!$A$3*H4117*G4117))</f>
        <v/>
      </c>
      <c r="J4117" s="78">
        <f>IF(ISBLANK(E4117),"",IF(ISNUMBER(SEARCH("/",E4117)), IF(LEN(E4117)-LEN(SUBSTITUTE(E4117,"/",""))=1,(RIGHT(E4117,LEN(E4117)-FIND("/",E4117)))-(LEFT(E4117,FIND("/",E4117)-1)),(MID(E4117, SEARCH("/",E4117) + 1, SEARCH("/",E4117, SEARCH("/",E4117)+1) - SEARCH("/",E4117) - 1))-(LEFT(E4117,FIND("/",E4117)-1))), "NA"))</f>
        <v/>
      </c>
      <c r="K4117" s="79">
        <f>IF(A4117&lt;&gt;"", IF(ISBLANK(L4117), TODAY(), K4117), "")</f>
        <v/>
      </c>
      <c r="L4117" s="78" t="n"/>
      <c r="M4117" s="78">
        <f>IF(ISBLANK(L4117),"",IF(D4117="Stock",IF(C4117="Buy",L4117*G4117,IF(C4117="Sell",(L4117*G4117)-I4117, X)),IF(C4117="Buy",(L4117*G4117*100)+I4117,IF(C4117="Sell",(L4117*G4117*100)-I4117, X))))</f>
        <v/>
      </c>
      <c r="N4117" s="78">
        <f>IF(ISBLANK(L4117),"",IF(AND(C4117="Sell",D4117="Stock"),M4117,IF(ISBLANK(L4117),"",IF(C4117="Buy",M4117, IF(AND(C4117="Sell",J4117="NA"),(E4117*G4117*100*0.1)+I4117, IF(C4117="Sell",(J4117-L4117)*(100*G4117)+I4117))))))</f>
        <v/>
      </c>
      <c r="O4117" s="75" t="n"/>
      <c r="P4117" s="75" t="n"/>
      <c r="Q4117" s="75">
        <f>IF(ISBLANK(P4117),"",IF(D4117="Stock",P4117*G4117,IF(P4117=0,"0",G4117*P4117*100-(G4117*$AF$14))))</f>
        <v/>
      </c>
      <c r="R4117" s="79">
        <f>IF(P4117&lt;&gt;"", TODAY(), "")</f>
        <v/>
      </c>
      <c r="S4117" s="78">
        <f>IF(AND(K4117&lt;&gt;"", R4117&lt;&gt;""), R4117-K4117, "")</f>
        <v/>
      </c>
      <c r="T4117" s="78" t="n"/>
      <c r="U4117" s="92">
        <f>IF(ISBLANK(P4117),"",IF(C4117="Buy",Q4117-M4117+T4117, IF(C4117="Sell",M4117-Q4117-T4117, X)))</f>
        <v/>
      </c>
      <c r="V4117" s="81">
        <f>IF(ISBLANK(P4117),"",U4117/N4117)</f>
        <v/>
      </c>
      <c r="W4117" s="81">
        <f>IF(ISBLANK(P4117),"",IF(S4117=0,(365/0.5)*V4117,(365/S4117)*V4117))</f>
        <v/>
      </c>
      <c r="X4117" s="75" t="n"/>
      <c r="Y4117" s="77" t="n"/>
      <c r="Z4117" s="77" t="n"/>
      <c r="AA4117" s="75" t="n"/>
      <c r="AB4117" s="75" t="n"/>
      <c r="AC4117" s="6" t="n"/>
      <c r="AD4117" s="75" t="n"/>
      <c r="AE4117" s="75" t="n"/>
      <c r="AF4117" s="75" t="n"/>
    </row>
    <row r="4118" ht="15.75" customHeight="1" s="133">
      <c r="A4118" s="75" t="n"/>
      <c r="B4118" s="75" t="n"/>
      <c r="C4118" s="75" t="n"/>
      <c r="D4118" s="75" t="n"/>
      <c r="E4118" s="76" t="n"/>
      <c r="F4118" s="77" t="n"/>
      <c r="G4118" s="75" t="n"/>
      <c r="H4118" s="75">
        <f>IF(ISBLANK(E4118),"",IF(OR(D4118="Butterfly",D4118="Butterfly ",D4118="Iron Fly", D4118="Iron Fly "),LEN(E4118)-LEN(SUBSTITUTE(E4118,"/",""))+2,LEN(E4118)-LEN(SUBSTITUTE(E4118,"/",""))+1))</f>
        <v/>
      </c>
      <c r="I4118" s="78">
        <f>IF(ISBLANK(G4118),"",IF(D4118="Stock","0",Key!$A$3*H4118*G4118))</f>
        <v/>
      </c>
      <c r="J4118" s="78">
        <f>IF(ISBLANK(E4118),"",IF(ISNUMBER(SEARCH("/",E4118)), IF(LEN(E4118)-LEN(SUBSTITUTE(E4118,"/",""))=1,(RIGHT(E4118,LEN(E4118)-FIND("/",E4118)))-(LEFT(E4118,FIND("/",E4118)-1)),(MID(E4118, SEARCH("/",E4118) + 1, SEARCH("/",E4118, SEARCH("/",E4118)+1) - SEARCH("/",E4118) - 1))-(LEFT(E4118,FIND("/",E4118)-1))), "NA"))</f>
        <v/>
      </c>
      <c r="K4118" s="79">
        <f>IF(A4118&lt;&gt;"", IF(ISBLANK(L4118), TODAY(), K4118), "")</f>
        <v/>
      </c>
      <c r="L4118" s="78" t="n"/>
      <c r="M4118" s="78">
        <f>IF(ISBLANK(L4118),"",IF(D4118="Stock",IF(C4118="Buy",L4118*G4118,IF(C4118="Sell",(L4118*G4118)-I4118, X)),IF(C4118="Buy",(L4118*G4118*100)+I4118,IF(C4118="Sell",(L4118*G4118*100)-I4118, X))))</f>
        <v/>
      </c>
      <c r="N4118" s="78">
        <f>IF(ISBLANK(L4118),"",IF(AND(C4118="Sell",D4118="Stock"),M4118,IF(ISBLANK(L4118),"",IF(C4118="Buy",M4118, IF(AND(C4118="Sell",J4118="NA"),(E4118*G4118*100*0.1)+I4118, IF(C4118="Sell",(J4118-L4118)*(100*G4118)+I4118))))))</f>
        <v/>
      </c>
      <c r="O4118" s="75" t="n"/>
      <c r="P4118" s="75" t="n"/>
      <c r="Q4118" s="75">
        <f>IF(ISBLANK(P4118),"",IF(D4118="Stock",P4118*G4118,IF(P4118=0,"0",G4118*P4118*100-(G4118*$AF$14))))</f>
        <v/>
      </c>
      <c r="R4118" s="79">
        <f>IF(P4118&lt;&gt;"", TODAY(), "")</f>
        <v/>
      </c>
      <c r="S4118" s="78">
        <f>IF(AND(K4118&lt;&gt;"", R4118&lt;&gt;""), R4118-K4118, "")</f>
        <v/>
      </c>
      <c r="T4118" s="78" t="n"/>
      <c r="U4118" s="92">
        <f>IF(ISBLANK(P4118),"",IF(C4118="Buy",Q4118-M4118+T4118, IF(C4118="Sell",M4118-Q4118-T4118, X)))</f>
        <v/>
      </c>
      <c r="V4118" s="81">
        <f>IF(ISBLANK(P4118),"",U4118/N4118)</f>
        <v/>
      </c>
      <c r="W4118" s="81">
        <f>IF(ISBLANK(P4118),"",IF(S4118=0,(365/0.5)*V4118,(365/S4118)*V4118))</f>
        <v/>
      </c>
      <c r="X4118" s="75" t="n"/>
      <c r="Y4118" s="77" t="n"/>
      <c r="Z4118" s="77" t="n"/>
      <c r="AA4118" s="75" t="n"/>
      <c r="AB4118" s="75" t="n"/>
      <c r="AC4118" s="6" t="n"/>
      <c r="AD4118" s="75" t="n"/>
      <c r="AE4118" s="75" t="n"/>
      <c r="AF4118" s="75" t="n"/>
    </row>
    <row r="4119" ht="15.75" customHeight="1" s="133">
      <c r="A4119" s="75" t="n"/>
      <c r="B4119" s="75" t="n"/>
      <c r="C4119" s="75" t="n"/>
      <c r="D4119" s="75" t="n"/>
      <c r="E4119" s="76" t="n"/>
      <c r="F4119" s="77" t="n"/>
      <c r="G4119" s="75" t="n"/>
      <c r="H4119" s="75">
        <f>IF(ISBLANK(E4119),"",IF(OR(D4119="Butterfly",D4119="Butterfly ",D4119="Iron Fly", D4119="Iron Fly "),LEN(E4119)-LEN(SUBSTITUTE(E4119,"/",""))+2,LEN(E4119)-LEN(SUBSTITUTE(E4119,"/",""))+1))</f>
        <v/>
      </c>
      <c r="I4119" s="78">
        <f>IF(ISBLANK(G4119),"",IF(D4119="Stock","0",Key!$A$3*H4119*G4119))</f>
        <v/>
      </c>
      <c r="J4119" s="78">
        <f>IF(ISBLANK(E4119),"",IF(ISNUMBER(SEARCH("/",E4119)), IF(LEN(E4119)-LEN(SUBSTITUTE(E4119,"/",""))=1,(RIGHT(E4119,LEN(E4119)-FIND("/",E4119)))-(LEFT(E4119,FIND("/",E4119)-1)),(MID(E4119, SEARCH("/",E4119) + 1, SEARCH("/",E4119, SEARCH("/",E4119)+1) - SEARCH("/",E4119) - 1))-(LEFT(E4119,FIND("/",E4119)-1))), "NA"))</f>
        <v/>
      </c>
      <c r="K4119" s="79">
        <f>IF(A4119&lt;&gt;"", IF(ISBLANK(L4119), TODAY(), K4119), "")</f>
        <v/>
      </c>
      <c r="L4119" s="78" t="n"/>
      <c r="M4119" s="78">
        <f>IF(ISBLANK(L4119),"",IF(D4119="Stock",IF(C4119="Buy",L4119*G4119,IF(C4119="Sell",(L4119*G4119)-I4119, X)),IF(C4119="Buy",(L4119*G4119*100)+I4119,IF(C4119="Sell",(L4119*G4119*100)-I4119, X))))</f>
        <v/>
      </c>
      <c r="N4119" s="78">
        <f>IF(ISBLANK(L4119),"",IF(AND(C4119="Sell",D4119="Stock"),M4119,IF(ISBLANK(L4119),"",IF(C4119="Buy",M4119, IF(AND(C4119="Sell",J4119="NA"),(E4119*G4119*100*0.1)+I4119, IF(C4119="Sell",(J4119-L4119)*(100*G4119)+I4119))))))</f>
        <v/>
      </c>
      <c r="O4119" s="75" t="n"/>
      <c r="P4119" s="75" t="n"/>
      <c r="Q4119" s="75">
        <f>IF(ISBLANK(P4119),"",IF(D4119="Stock",P4119*G4119,IF(P4119=0,"0",G4119*P4119*100-(G4119*$AF$14))))</f>
        <v/>
      </c>
      <c r="R4119" s="79">
        <f>IF(P4119&lt;&gt;"", TODAY(), "")</f>
        <v/>
      </c>
      <c r="S4119" s="78">
        <f>IF(AND(K4119&lt;&gt;"", R4119&lt;&gt;""), R4119-K4119, "")</f>
        <v/>
      </c>
      <c r="T4119" s="78" t="n"/>
      <c r="U4119" s="92">
        <f>IF(ISBLANK(P4119),"",IF(C4119="Buy",Q4119-M4119+T4119, IF(C4119="Sell",M4119-Q4119-T4119, X)))</f>
        <v/>
      </c>
      <c r="V4119" s="81">
        <f>IF(ISBLANK(P4119),"",U4119/N4119)</f>
        <v/>
      </c>
      <c r="W4119" s="81">
        <f>IF(ISBLANK(P4119),"",IF(S4119=0,(365/0.5)*V4119,(365/S4119)*V4119))</f>
        <v/>
      </c>
      <c r="X4119" s="75" t="n"/>
      <c r="Y4119" s="77" t="n"/>
      <c r="Z4119" s="77" t="n"/>
      <c r="AA4119" s="75" t="n"/>
      <c r="AB4119" s="75" t="n"/>
      <c r="AC4119" s="6" t="n"/>
      <c r="AD4119" s="75" t="n"/>
      <c r="AE4119" s="75" t="n"/>
      <c r="AF4119" s="75" t="n"/>
    </row>
    <row r="4120" ht="15.75" customHeight="1" s="133">
      <c r="A4120" s="75" t="n"/>
      <c r="B4120" s="75" t="n"/>
      <c r="C4120" s="75" t="n"/>
      <c r="D4120" s="75" t="n"/>
      <c r="E4120" s="76" t="n"/>
      <c r="F4120" s="77" t="n"/>
      <c r="G4120" s="75" t="n"/>
      <c r="H4120" s="75">
        <f>IF(ISBLANK(E4120),"",IF(OR(D4120="Butterfly",D4120="Butterfly ",D4120="Iron Fly", D4120="Iron Fly "),LEN(E4120)-LEN(SUBSTITUTE(E4120,"/",""))+2,LEN(E4120)-LEN(SUBSTITUTE(E4120,"/",""))+1))</f>
        <v/>
      </c>
      <c r="I4120" s="78">
        <f>IF(ISBLANK(G4120),"",IF(D4120="Stock","0",Key!$A$3*H4120*G4120))</f>
        <v/>
      </c>
      <c r="J4120" s="78">
        <f>IF(ISBLANK(E4120),"",IF(ISNUMBER(SEARCH("/",E4120)), IF(LEN(E4120)-LEN(SUBSTITUTE(E4120,"/",""))=1,(RIGHT(E4120,LEN(E4120)-FIND("/",E4120)))-(LEFT(E4120,FIND("/",E4120)-1)),(MID(E4120, SEARCH("/",E4120) + 1, SEARCH("/",E4120, SEARCH("/",E4120)+1) - SEARCH("/",E4120) - 1))-(LEFT(E4120,FIND("/",E4120)-1))), "NA"))</f>
        <v/>
      </c>
      <c r="K4120" s="79">
        <f>IF(A4120&lt;&gt;"", IF(ISBLANK(L4120), TODAY(), K4120), "")</f>
        <v/>
      </c>
      <c r="L4120" s="78" t="n"/>
      <c r="M4120" s="78">
        <f>IF(ISBLANK(L4120),"",IF(D4120="Stock",IF(C4120="Buy",L4120*G4120,IF(C4120="Sell",(L4120*G4120)-I4120, X)),IF(C4120="Buy",(L4120*G4120*100)+I4120,IF(C4120="Sell",(L4120*G4120*100)-I4120, X))))</f>
        <v/>
      </c>
      <c r="N4120" s="78">
        <f>IF(ISBLANK(L4120),"",IF(AND(C4120="Sell",D4120="Stock"),M4120,IF(ISBLANK(L4120),"",IF(C4120="Buy",M4120, IF(AND(C4120="Sell",J4120="NA"),(E4120*G4120*100*0.1)+I4120, IF(C4120="Sell",(J4120-L4120)*(100*G4120)+I4120))))))</f>
        <v/>
      </c>
      <c r="O4120" s="75" t="n"/>
      <c r="P4120" s="75" t="n"/>
      <c r="Q4120" s="75">
        <f>IF(ISBLANK(P4120),"",IF(D4120="Stock",P4120*G4120,IF(P4120=0,"0",G4120*P4120*100-(G4120*$AF$14))))</f>
        <v/>
      </c>
      <c r="R4120" s="79">
        <f>IF(P4120&lt;&gt;"", TODAY(), "")</f>
        <v/>
      </c>
      <c r="S4120" s="78">
        <f>IF(AND(K4120&lt;&gt;"", R4120&lt;&gt;""), R4120-K4120, "")</f>
        <v/>
      </c>
      <c r="T4120" s="78" t="n"/>
      <c r="U4120" s="92">
        <f>IF(ISBLANK(P4120),"",IF(C4120="Buy",Q4120-M4120+T4120, IF(C4120="Sell",M4120-Q4120-T4120, X)))</f>
        <v/>
      </c>
      <c r="V4120" s="81">
        <f>IF(ISBLANK(P4120),"",U4120/N4120)</f>
        <v/>
      </c>
      <c r="W4120" s="81">
        <f>IF(ISBLANK(P4120),"",IF(S4120=0,(365/0.5)*V4120,(365/S4120)*V4120))</f>
        <v/>
      </c>
      <c r="X4120" s="75" t="n"/>
      <c r="Y4120" s="77" t="n"/>
      <c r="Z4120" s="77" t="n"/>
      <c r="AA4120" s="75" t="n"/>
      <c r="AB4120" s="75" t="n"/>
      <c r="AC4120" s="6" t="n"/>
      <c r="AD4120" s="75" t="n"/>
      <c r="AE4120" s="75" t="n"/>
      <c r="AF4120" s="75" t="n"/>
    </row>
    <row r="4121" ht="15.75" customHeight="1" s="133">
      <c r="A4121" s="75" t="n"/>
      <c r="B4121" s="75" t="n"/>
      <c r="C4121" s="75" t="n"/>
      <c r="D4121" s="75" t="n"/>
      <c r="E4121" s="76" t="n"/>
      <c r="F4121" s="77" t="n"/>
      <c r="G4121" s="75" t="n"/>
      <c r="H4121" s="75">
        <f>IF(ISBLANK(E4121),"",IF(OR(D4121="Butterfly",D4121="Butterfly ",D4121="Iron Fly", D4121="Iron Fly "),LEN(E4121)-LEN(SUBSTITUTE(E4121,"/",""))+2,LEN(E4121)-LEN(SUBSTITUTE(E4121,"/",""))+1))</f>
        <v/>
      </c>
      <c r="I4121" s="78">
        <f>IF(ISBLANK(G4121),"",IF(D4121="Stock","0",Key!$A$3*H4121*G4121))</f>
        <v/>
      </c>
      <c r="J4121" s="78">
        <f>IF(ISBLANK(E4121),"",IF(ISNUMBER(SEARCH("/",E4121)), IF(LEN(E4121)-LEN(SUBSTITUTE(E4121,"/",""))=1,(RIGHT(E4121,LEN(E4121)-FIND("/",E4121)))-(LEFT(E4121,FIND("/",E4121)-1)),(MID(E4121, SEARCH("/",E4121) + 1, SEARCH("/",E4121, SEARCH("/",E4121)+1) - SEARCH("/",E4121) - 1))-(LEFT(E4121,FIND("/",E4121)-1))), "NA"))</f>
        <v/>
      </c>
      <c r="K4121" s="79">
        <f>IF(A4121&lt;&gt;"", IF(ISBLANK(L4121), TODAY(), K4121), "")</f>
        <v/>
      </c>
      <c r="L4121" s="78" t="n"/>
      <c r="M4121" s="78">
        <f>IF(ISBLANK(L4121),"",IF(D4121="Stock",IF(C4121="Buy",L4121*G4121,IF(C4121="Sell",(L4121*G4121)-I4121, X)),IF(C4121="Buy",(L4121*G4121*100)+I4121,IF(C4121="Sell",(L4121*G4121*100)-I4121, X))))</f>
        <v/>
      </c>
      <c r="N4121" s="78">
        <f>IF(ISBLANK(L4121),"",IF(AND(C4121="Sell",D4121="Stock"),M4121,IF(ISBLANK(L4121),"",IF(C4121="Buy",M4121, IF(AND(C4121="Sell",J4121="NA"),(E4121*G4121*100*0.1)+I4121, IF(C4121="Sell",(J4121-L4121)*(100*G4121)+I4121))))))</f>
        <v/>
      </c>
      <c r="O4121" s="75" t="n"/>
      <c r="P4121" s="75" t="n"/>
      <c r="Q4121" s="75">
        <f>IF(ISBLANK(P4121),"",IF(D4121="Stock",P4121*G4121,IF(P4121=0,"0",G4121*P4121*100-(G4121*$AF$14))))</f>
        <v/>
      </c>
      <c r="R4121" s="79">
        <f>IF(P4121&lt;&gt;"", TODAY(), "")</f>
        <v/>
      </c>
      <c r="S4121" s="78">
        <f>IF(AND(K4121&lt;&gt;"", R4121&lt;&gt;""), R4121-K4121, "")</f>
        <v/>
      </c>
      <c r="T4121" s="78" t="n"/>
      <c r="U4121" s="92">
        <f>IF(ISBLANK(P4121),"",IF(C4121="Buy",Q4121-M4121+T4121, IF(C4121="Sell",M4121-Q4121-T4121, X)))</f>
        <v/>
      </c>
      <c r="V4121" s="81">
        <f>IF(ISBLANK(P4121),"",U4121/N4121)</f>
        <v/>
      </c>
      <c r="W4121" s="81">
        <f>IF(ISBLANK(P4121),"",IF(S4121=0,(365/0.5)*V4121,(365/S4121)*V4121))</f>
        <v/>
      </c>
      <c r="X4121" s="75" t="n"/>
      <c r="Y4121" s="77" t="n"/>
      <c r="Z4121" s="77" t="n"/>
      <c r="AA4121" s="75" t="n"/>
      <c r="AB4121" s="75" t="n"/>
      <c r="AC4121" s="6" t="n"/>
      <c r="AD4121" s="75" t="n"/>
      <c r="AE4121" s="75" t="n"/>
      <c r="AF4121" s="75" t="n"/>
    </row>
    <row r="4122" ht="15.75" customHeight="1" s="133">
      <c r="A4122" s="75" t="n"/>
      <c r="B4122" s="75" t="n"/>
      <c r="C4122" s="75" t="n"/>
      <c r="D4122" s="75" t="n"/>
      <c r="E4122" s="76" t="n"/>
      <c r="F4122" s="77" t="n"/>
      <c r="G4122" s="75" t="n"/>
      <c r="H4122" s="75">
        <f>IF(ISBLANK(E4122),"",IF(OR(D4122="Butterfly",D4122="Butterfly ",D4122="Iron Fly", D4122="Iron Fly "),LEN(E4122)-LEN(SUBSTITUTE(E4122,"/",""))+2,LEN(E4122)-LEN(SUBSTITUTE(E4122,"/",""))+1))</f>
        <v/>
      </c>
      <c r="I4122" s="78">
        <f>IF(ISBLANK(G4122),"",IF(D4122="Stock","0",Key!$A$3*H4122*G4122))</f>
        <v/>
      </c>
      <c r="J4122" s="78">
        <f>IF(ISBLANK(E4122),"",IF(ISNUMBER(SEARCH("/",E4122)), IF(LEN(E4122)-LEN(SUBSTITUTE(E4122,"/",""))=1,(RIGHT(E4122,LEN(E4122)-FIND("/",E4122)))-(LEFT(E4122,FIND("/",E4122)-1)),(MID(E4122, SEARCH("/",E4122) + 1, SEARCH("/",E4122, SEARCH("/",E4122)+1) - SEARCH("/",E4122) - 1))-(LEFT(E4122,FIND("/",E4122)-1))), "NA"))</f>
        <v/>
      </c>
      <c r="K4122" s="79">
        <f>IF(A4122&lt;&gt;"", IF(ISBLANK(L4122), TODAY(), K4122), "")</f>
        <v/>
      </c>
      <c r="L4122" s="78" t="n"/>
      <c r="M4122" s="78">
        <f>IF(ISBLANK(L4122),"",IF(D4122="Stock",IF(C4122="Buy",L4122*G4122,IF(C4122="Sell",(L4122*G4122)-I4122, X)),IF(C4122="Buy",(L4122*G4122*100)+I4122,IF(C4122="Sell",(L4122*G4122*100)-I4122, X))))</f>
        <v/>
      </c>
      <c r="N4122" s="78">
        <f>IF(ISBLANK(L4122),"",IF(AND(C4122="Sell",D4122="Stock"),M4122,IF(ISBLANK(L4122),"",IF(C4122="Buy",M4122, IF(AND(C4122="Sell",J4122="NA"),(E4122*G4122*100*0.1)+I4122, IF(C4122="Sell",(J4122-L4122)*(100*G4122)+I4122))))))</f>
        <v/>
      </c>
      <c r="O4122" s="75" t="n"/>
      <c r="P4122" s="75" t="n"/>
      <c r="Q4122" s="75">
        <f>IF(ISBLANK(P4122),"",IF(D4122="Stock",P4122*G4122,IF(P4122=0,"0",G4122*P4122*100-(G4122*$AF$14))))</f>
        <v/>
      </c>
      <c r="R4122" s="79">
        <f>IF(P4122&lt;&gt;"", TODAY(), "")</f>
        <v/>
      </c>
      <c r="S4122" s="78">
        <f>IF(AND(K4122&lt;&gt;"", R4122&lt;&gt;""), R4122-K4122, "")</f>
        <v/>
      </c>
      <c r="T4122" s="78" t="n"/>
      <c r="U4122" s="92">
        <f>IF(ISBLANK(P4122),"",IF(C4122="Buy",Q4122-M4122+T4122, IF(C4122="Sell",M4122-Q4122-T4122, X)))</f>
        <v/>
      </c>
      <c r="V4122" s="81">
        <f>IF(ISBLANK(P4122),"",U4122/N4122)</f>
        <v/>
      </c>
      <c r="W4122" s="81">
        <f>IF(ISBLANK(P4122),"",IF(S4122=0,(365/0.5)*V4122,(365/S4122)*V4122))</f>
        <v/>
      </c>
      <c r="X4122" s="75" t="n"/>
      <c r="Y4122" s="77" t="n"/>
      <c r="Z4122" s="77" t="n"/>
      <c r="AA4122" s="75" t="n"/>
      <c r="AB4122" s="75" t="n"/>
      <c r="AC4122" s="6" t="n"/>
      <c r="AD4122" s="75" t="n"/>
      <c r="AE4122" s="75" t="n"/>
      <c r="AF4122" s="75" t="n"/>
    </row>
    <row r="4123" ht="15.75" customHeight="1" s="133">
      <c r="A4123" s="75" t="n"/>
      <c r="B4123" s="75" t="n"/>
      <c r="C4123" s="75" t="n"/>
      <c r="D4123" s="75" t="n"/>
      <c r="E4123" s="76" t="n"/>
      <c r="F4123" s="77" t="n"/>
      <c r="G4123" s="75" t="n"/>
      <c r="H4123" s="75">
        <f>IF(ISBLANK(E4123),"",IF(OR(D4123="Butterfly",D4123="Butterfly ",D4123="Iron Fly", D4123="Iron Fly "),LEN(E4123)-LEN(SUBSTITUTE(E4123,"/",""))+2,LEN(E4123)-LEN(SUBSTITUTE(E4123,"/",""))+1))</f>
        <v/>
      </c>
      <c r="I4123" s="78">
        <f>IF(ISBLANK(G4123),"",IF(D4123="Stock","0",Key!$A$3*H4123*G4123))</f>
        <v/>
      </c>
      <c r="J4123" s="78">
        <f>IF(ISBLANK(E4123),"",IF(ISNUMBER(SEARCH("/",E4123)), IF(LEN(E4123)-LEN(SUBSTITUTE(E4123,"/",""))=1,(RIGHT(E4123,LEN(E4123)-FIND("/",E4123)))-(LEFT(E4123,FIND("/",E4123)-1)),(MID(E4123, SEARCH("/",E4123) + 1, SEARCH("/",E4123, SEARCH("/",E4123)+1) - SEARCH("/",E4123) - 1))-(LEFT(E4123,FIND("/",E4123)-1))), "NA"))</f>
        <v/>
      </c>
      <c r="K4123" s="79">
        <f>IF(A4123&lt;&gt;"", IF(ISBLANK(L4123), TODAY(), K4123), "")</f>
        <v/>
      </c>
      <c r="L4123" s="78" t="n"/>
      <c r="M4123" s="78">
        <f>IF(ISBLANK(L4123),"",IF(D4123="Stock",IF(C4123="Buy",L4123*G4123,IF(C4123="Sell",(L4123*G4123)-I4123, X)),IF(C4123="Buy",(L4123*G4123*100)+I4123,IF(C4123="Sell",(L4123*G4123*100)-I4123, X))))</f>
        <v/>
      </c>
      <c r="N4123" s="78">
        <f>IF(ISBLANK(L4123),"",IF(AND(C4123="Sell",D4123="Stock"),M4123,IF(ISBLANK(L4123),"",IF(C4123="Buy",M4123, IF(AND(C4123="Sell",J4123="NA"),(E4123*G4123*100*0.1)+I4123, IF(C4123="Sell",(J4123-L4123)*(100*G4123)+I4123))))))</f>
        <v/>
      </c>
      <c r="O4123" s="75" t="n"/>
      <c r="P4123" s="75" t="n"/>
      <c r="Q4123" s="75">
        <f>IF(ISBLANK(P4123),"",IF(D4123="Stock",P4123*G4123,IF(P4123=0,"0",G4123*P4123*100-(G4123*$AF$14))))</f>
        <v/>
      </c>
      <c r="R4123" s="79">
        <f>IF(P4123&lt;&gt;"", TODAY(), "")</f>
        <v/>
      </c>
      <c r="S4123" s="78">
        <f>IF(AND(K4123&lt;&gt;"", R4123&lt;&gt;""), R4123-K4123, "")</f>
        <v/>
      </c>
      <c r="T4123" s="78" t="n"/>
      <c r="U4123" s="92">
        <f>IF(ISBLANK(P4123),"",IF(C4123="Buy",Q4123-M4123+T4123, IF(C4123="Sell",M4123-Q4123-T4123, X)))</f>
        <v/>
      </c>
      <c r="V4123" s="81">
        <f>IF(ISBLANK(P4123),"",U4123/N4123)</f>
        <v/>
      </c>
      <c r="W4123" s="81">
        <f>IF(ISBLANK(P4123),"",IF(S4123=0,(365/0.5)*V4123,(365/S4123)*V4123))</f>
        <v/>
      </c>
      <c r="X4123" s="75" t="n"/>
      <c r="Y4123" s="77" t="n"/>
      <c r="Z4123" s="77" t="n"/>
      <c r="AA4123" s="75" t="n"/>
      <c r="AB4123" s="75" t="n"/>
      <c r="AC4123" s="6" t="n"/>
      <c r="AD4123" s="75" t="n"/>
      <c r="AE4123" s="75" t="n"/>
      <c r="AF4123" s="75" t="n"/>
    </row>
    <row r="4124" ht="15.75" customHeight="1" s="133">
      <c r="A4124" s="75" t="n"/>
      <c r="B4124" s="75" t="n"/>
      <c r="C4124" s="75" t="n"/>
      <c r="D4124" s="75" t="n"/>
      <c r="E4124" s="76" t="n"/>
      <c r="F4124" s="77" t="n"/>
      <c r="G4124" s="75" t="n"/>
      <c r="H4124" s="75">
        <f>IF(ISBLANK(E4124),"",IF(OR(D4124="Butterfly",D4124="Butterfly ",D4124="Iron Fly", D4124="Iron Fly "),LEN(E4124)-LEN(SUBSTITUTE(E4124,"/",""))+2,LEN(E4124)-LEN(SUBSTITUTE(E4124,"/",""))+1))</f>
        <v/>
      </c>
      <c r="I4124" s="78">
        <f>IF(ISBLANK(G4124),"",IF(D4124="Stock","0",Key!$A$3*H4124*G4124))</f>
        <v/>
      </c>
      <c r="J4124" s="78">
        <f>IF(ISBLANK(E4124),"",IF(ISNUMBER(SEARCH("/",E4124)), IF(LEN(E4124)-LEN(SUBSTITUTE(E4124,"/",""))=1,(RIGHT(E4124,LEN(E4124)-FIND("/",E4124)))-(LEFT(E4124,FIND("/",E4124)-1)),(MID(E4124, SEARCH("/",E4124) + 1, SEARCH("/",E4124, SEARCH("/",E4124)+1) - SEARCH("/",E4124) - 1))-(LEFT(E4124,FIND("/",E4124)-1))), "NA"))</f>
        <v/>
      </c>
      <c r="K4124" s="79">
        <f>IF(A4124&lt;&gt;"", IF(ISBLANK(L4124), TODAY(), K4124), "")</f>
        <v/>
      </c>
      <c r="L4124" s="78" t="n"/>
      <c r="M4124" s="78">
        <f>IF(ISBLANK(L4124),"",IF(D4124="Stock",IF(C4124="Buy",L4124*G4124,IF(C4124="Sell",(L4124*G4124)-I4124, X)),IF(C4124="Buy",(L4124*G4124*100)+I4124,IF(C4124="Sell",(L4124*G4124*100)-I4124, X))))</f>
        <v/>
      </c>
      <c r="N4124" s="78">
        <f>IF(ISBLANK(L4124),"",IF(AND(C4124="Sell",D4124="Stock"),M4124,IF(ISBLANK(L4124),"",IF(C4124="Buy",M4124, IF(AND(C4124="Sell",J4124="NA"),(E4124*G4124*100*0.1)+I4124, IF(C4124="Sell",(J4124-L4124)*(100*G4124)+I4124))))))</f>
        <v/>
      </c>
      <c r="O4124" s="75" t="n"/>
      <c r="P4124" s="75" t="n"/>
      <c r="Q4124" s="75">
        <f>IF(ISBLANK(P4124),"",IF(D4124="Stock",P4124*G4124,IF(P4124=0,"0",G4124*P4124*100-(G4124*$AF$14))))</f>
        <v/>
      </c>
      <c r="R4124" s="79">
        <f>IF(P4124&lt;&gt;"", TODAY(), "")</f>
        <v/>
      </c>
      <c r="S4124" s="78">
        <f>IF(AND(K4124&lt;&gt;"", R4124&lt;&gt;""), R4124-K4124, "")</f>
        <v/>
      </c>
      <c r="T4124" s="78" t="n"/>
      <c r="U4124" s="92">
        <f>IF(ISBLANK(P4124),"",IF(C4124="Buy",Q4124-M4124+T4124, IF(C4124="Sell",M4124-Q4124-T4124, X)))</f>
        <v/>
      </c>
      <c r="V4124" s="81">
        <f>IF(ISBLANK(P4124),"",U4124/N4124)</f>
        <v/>
      </c>
      <c r="W4124" s="81">
        <f>IF(ISBLANK(P4124),"",IF(S4124=0,(365/0.5)*V4124,(365/S4124)*V4124))</f>
        <v/>
      </c>
      <c r="X4124" s="75" t="n"/>
      <c r="Y4124" s="77" t="n"/>
      <c r="Z4124" s="77" t="n"/>
      <c r="AA4124" s="75" t="n"/>
      <c r="AB4124" s="75" t="n"/>
      <c r="AC4124" s="6" t="n"/>
      <c r="AD4124" s="75" t="n"/>
      <c r="AE4124" s="75" t="n"/>
      <c r="AF4124" s="75" t="n"/>
    </row>
    <row r="4125" ht="15.75" customHeight="1" s="133">
      <c r="A4125" s="75" t="n"/>
      <c r="B4125" s="75" t="n"/>
      <c r="C4125" s="75" t="n"/>
      <c r="D4125" s="75" t="n"/>
      <c r="E4125" s="76" t="n"/>
      <c r="F4125" s="77" t="n"/>
      <c r="G4125" s="75" t="n"/>
      <c r="H4125" s="75">
        <f>IF(ISBLANK(E4125),"",IF(OR(D4125="Butterfly",D4125="Butterfly ",D4125="Iron Fly", D4125="Iron Fly "),LEN(E4125)-LEN(SUBSTITUTE(E4125,"/",""))+2,LEN(E4125)-LEN(SUBSTITUTE(E4125,"/",""))+1))</f>
        <v/>
      </c>
      <c r="I4125" s="78">
        <f>IF(ISBLANK(G4125),"",IF(D4125="Stock","0",Key!$A$3*H4125*G4125))</f>
        <v/>
      </c>
      <c r="J4125" s="78">
        <f>IF(ISBLANK(E4125),"",IF(ISNUMBER(SEARCH("/",E4125)), IF(LEN(E4125)-LEN(SUBSTITUTE(E4125,"/",""))=1,(RIGHT(E4125,LEN(E4125)-FIND("/",E4125)))-(LEFT(E4125,FIND("/",E4125)-1)),(MID(E4125, SEARCH("/",E4125) + 1, SEARCH("/",E4125, SEARCH("/",E4125)+1) - SEARCH("/",E4125) - 1))-(LEFT(E4125,FIND("/",E4125)-1))), "NA"))</f>
        <v/>
      </c>
      <c r="K4125" s="79">
        <f>IF(A4125&lt;&gt;"", IF(ISBLANK(L4125), TODAY(), K4125), "")</f>
        <v/>
      </c>
      <c r="L4125" s="78" t="n"/>
      <c r="M4125" s="78">
        <f>IF(ISBLANK(L4125),"",IF(D4125="Stock",IF(C4125="Buy",L4125*G4125,IF(C4125="Sell",(L4125*G4125)-I4125, X)),IF(C4125="Buy",(L4125*G4125*100)+I4125,IF(C4125="Sell",(L4125*G4125*100)-I4125, X))))</f>
        <v/>
      </c>
      <c r="N4125" s="78">
        <f>IF(ISBLANK(L4125),"",IF(AND(C4125="Sell",D4125="Stock"),M4125,IF(ISBLANK(L4125),"",IF(C4125="Buy",M4125, IF(AND(C4125="Sell",J4125="NA"),(E4125*G4125*100*0.1)+I4125, IF(C4125="Sell",(J4125-L4125)*(100*G4125)+I4125))))))</f>
        <v/>
      </c>
      <c r="O4125" s="75" t="n"/>
      <c r="P4125" s="75" t="n"/>
      <c r="Q4125" s="75">
        <f>IF(ISBLANK(P4125),"",IF(D4125="Stock",P4125*G4125,IF(P4125=0,"0",G4125*P4125*100-(G4125*$AF$14))))</f>
        <v/>
      </c>
      <c r="R4125" s="79">
        <f>IF(P4125&lt;&gt;"", TODAY(), "")</f>
        <v/>
      </c>
      <c r="S4125" s="78">
        <f>IF(AND(K4125&lt;&gt;"", R4125&lt;&gt;""), R4125-K4125, "")</f>
        <v/>
      </c>
      <c r="T4125" s="78" t="n"/>
      <c r="U4125" s="92">
        <f>IF(ISBLANK(P4125),"",IF(C4125="Buy",Q4125-M4125+T4125, IF(C4125="Sell",M4125-Q4125-T4125, X)))</f>
        <v/>
      </c>
      <c r="V4125" s="81">
        <f>IF(ISBLANK(P4125),"",U4125/N4125)</f>
        <v/>
      </c>
      <c r="W4125" s="81">
        <f>IF(ISBLANK(P4125),"",IF(S4125=0,(365/0.5)*V4125,(365/S4125)*V4125))</f>
        <v/>
      </c>
      <c r="X4125" s="75" t="n"/>
      <c r="Y4125" s="77" t="n"/>
      <c r="Z4125" s="77" t="n"/>
      <c r="AA4125" s="75" t="n"/>
      <c r="AB4125" s="75" t="n"/>
      <c r="AC4125" s="6" t="n"/>
      <c r="AD4125" s="75" t="n"/>
      <c r="AE4125" s="75" t="n"/>
      <c r="AF4125" s="75" t="n"/>
    </row>
    <row r="4126" ht="15.75" customHeight="1" s="133">
      <c r="A4126" s="75" t="n"/>
      <c r="B4126" s="75" t="n"/>
      <c r="C4126" s="75" t="n"/>
      <c r="D4126" s="75" t="n"/>
      <c r="E4126" s="76" t="n"/>
      <c r="F4126" s="77" t="n"/>
      <c r="G4126" s="75" t="n"/>
      <c r="H4126" s="75">
        <f>IF(ISBLANK(E4126),"",IF(OR(D4126="Butterfly",D4126="Butterfly ",D4126="Iron Fly", D4126="Iron Fly "),LEN(E4126)-LEN(SUBSTITUTE(E4126,"/",""))+2,LEN(E4126)-LEN(SUBSTITUTE(E4126,"/",""))+1))</f>
        <v/>
      </c>
      <c r="I4126" s="78">
        <f>IF(ISBLANK(G4126),"",IF(D4126="Stock","0",Key!$A$3*H4126*G4126))</f>
        <v/>
      </c>
      <c r="J4126" s="78">
        <f>IF(ISBLANK(E4126),"",IF(ISNUMBER(SEARCH("/",E4126)), IF(LEN(E4126)-LEN(SUBSTITUTE(E4126,"/",""))=1,(RIGHT(E4126,LEN(E4126)-FIND("/",E4126)))-(LEFT(E4126,FIND("/",E4126)-1)),(MID(E4126, SEARCH("/",E4126) + 1, SEARCH("/",E4126, SEARCH("/",E4126)+1) - SEARCH("/",E4126) - 1))-(LEFT(E4126,FIND("/",E4126)-1))), "NA"))</f>
        <v/>
      </c>
      <c r="K4126" s="79">
        <f>IF(A4126&lt;&gt;"", IF(ISBLANK(L4126), TODAY(), K4126), "")</f>
        <v/>
      </c>
      <c r="L4126" s="78" t="n"/>
      <c r="M4126" s="78">
        <f>IF(ISBLANK(L4126),"",IF(D4126="Stock",IF(C4126="Buy",L4126*G4126,IF(C4126="Sell",(L4126*G4126)-I4126, X)),IF(C4126="Buy",(L4126*G4126*100)+I4126,IF(C4126="Sell",(L4126*G4126*100)-I4126, X))))</f>
        <v/>
      </c>
      <c r="N4126" s="78">
        <f>IF(ISBLANK(L4126),"",IF(AND(C4126="Sell",D4126="Stock"),M4126,IF(ISBLANK(L4126),"",IF(C4126="Buy",M4126, IF(AND(C4126="Sell",J4126="NA"),(E4126*G4126*100*0.1)+I4126, IF(C4126="Sell",(J4126-L4126)*(100*G4126)+I4126))))))</f>
        <v/>
      </c>
      <c r="O4126" s="75" t="n"/>
      <c r="P4126" s="75" t="n"/>
      <c r="Q4126" s="75">
        <f>IF(ISBLANK(P4126),"",IF(D4126="Stock",P4126*G4126,IF(P4126=0,"0",G4126*P4126*100-(G4126*$AF$14))))</f>
        <v/>
      </c>
      <c r="R4126" s="79">
        <f>IF(P4126&lt;&gt;"", TODAY(), "")</f>
        <v/>
      </c>
      <c r="S4126" s="78">
        <f>IF(AND(K4126&lt;&gt;"", R4126&lt;&gt;""), R4126-K4126, "")</f>
        <v/>
      </c>
      <c r="T4126" s="78" t="n"/>
      <c r="U4126" s="92">
        <f>IF(ISBLANK(P4126),"",IF(C4126="Buy",Q4126-M4126+T4126, IF(C4126="Sell",M4126-Q4126-T4126, X)))</f>
        <v/>
      </c>
      <c r="V4126" s="81">
        <f>IF(ISBLANK(P4126),"",U4126/N4126)</f>
        <v/>
      </c>
      <c r="W4126" s="81">
        <f>IF(ISBLANK(P4126),"",IF(S4126=0,(365/0.5)*V4126,(365/S4126)*V4126))</f>
        <v/>
      </c>
      <c r="X4126" s="75" t="n"/>
      <c r="Y4126" s="77" t="n"/>
      <c r="Z4126" s="77" t="n"/>
      <c r="AA4126" s="75" t="n"/>
      <c r="AB4126" s="75" t="n"/>
      <c r="AC4126" s="6" t="n"/>
      <c r="AD4126" s="75" t="n"/>
      <c r="AE4126" s="75" t="n"/>
      <c r="AF4126" s="75" t="n"/>
    </row>
    <row r="4127" ht="15.75" customHeight="1" s="133">
      <c r="A4127" s="75" t="n"/>
      <c r="B4127" s="75" t="n"/>
      <c r="C4127" s="75" t="n"/>
      <c r="D4127" s="75" t="n"/>
      <c r="E4127" s="76" t="n"/>
      <c r="F4127" s="77" t="n"/>
      <c r="G4127" s="75" t="n"/>
      <c r="H4127" s="75">
        <f>IF(ISBLANK(E4127),"",IF(OR(D4127="Butterfly",D4127="Butterfly ",D4127="Iron Fly", D4127="Iron Fly "),LEN(E4127)-LEN(SUBSTITUTE(E4127,"/",""))+2,LEN(E4127)-LEN(SUBSTITUTE(E4127,"/",""))+1))</f>
        <v/>
      </c>
      <c r="I4127" s="78">
        <f>IF(ISBLANK(G4127),"",IF(D4127="Stock","0",Key!$A$3*H4127*G4127))</f>
        <v/>
      </c>
      <c r="J4127" s="78">
        <f>IF(ISBLANK(E4127),"",IF(ISNUMBER(SEARCH("/",E4127)), IF(LEN(E4127)-LEN(SUBSTITUTE(E4127,"/",""))=1,(RIGHT(E4127,LEN(E4127)-FIND("/",E4127)))-(LEFT(E4127,FIND("/",E4127)-1)),(MID(E4127, SEARCH("/",E4127) + 1, SEARCH("/",E4127, SEARCH("/",E4127)+1) - SEARCH("/",E4127) - 1))-(LEFT(E4127,FIND("/",E4127)-1))), "NA"))</f>
        <v/>
      </c>
      <c r="K4127" s="79">
        <f>IF(A4127&lt;&gt;"", IF(ISBLANK(L4127), TODAY(), K4127), "")</f>
        <v/>
      </c>
      <c r="L4127" s="78" t="n"/>
      <c r="M4127" s="78">
        <f>IF(ISBLANK(L4127),"",IF(D4127="Stock",IF(C4127="Buy",L4127*G4127,IF(C4127="Sell",(L4127*G4127)-I4127, X)),IF(C4127="Buy",(L4127*G4127*100)+I4127,IF(C4127="Sell",(L4127*G4127*100)-I4127, X))))</f>
        <v/>
      </c>
      <c r="N4127" s="78">
        <f>IF(ISBLANK(L4127),"",IF(AND(C4127="Sell",D4127="Stock"),M4127,IF(ISBLANK(L4127),"",IF(C4127="Buy",M4127, IF(AND(C4127="Sell",J4127="NA"),(E4127*G4127*100*0.1)+I4127, IF(C4127="Sell",(J4127-L4127)*(100*G4127)+I4127))))))</f>
        <v/>
      </c>
      <c r="O4127" s="75" t="n"/>
      <c r="P4127" s="75" t="n"/>
      <c r="Q4127" s="75">
        <f>IF(ISBLANK(P4127),"",IF(D4127="Stock",P4127*G4127,IF(P4127=0,"0",G4127*P4127*100-(G4127*$AF$14))))</f>
        <v/>
      </c>
      <c r="R4127" s="79">
        <f>IF(P4127&lt;&gt;"", TODAY(), "")</f>
        <v/>
      </c>
      <c r="S4127" s="78">
        <f>IF(AND(K4127&lt;&gt;"", R4127&lt;&gt;""), R4127-K4127, "")</f>
        <v/>
      </c>
      <c r="T4127" s="78" t="n"/>
      <c r="U4127" s="92">
        <f>IF(ISBLANK(P4127),"",IF(C4127="Buy",Q4127-M4127+T4127, IF(C4127="Sell",M4127-Q4127-T4127, X)))</f>
        <v/>
      </c>
      <c r="V4127" s="81">
        <f>IF(ISBLANK(P4127),"",U4127/N4127)</f>
        <v/>
      </c>
      <c r="W4127" s="81">
        <f>IF(ISBLANK(P4127),"",IF(S4127=0,(365/0.5)*V4127,(365/S4127)*V4127))</f>
        <v/>
      </c>
      <c r="X4127" s="75" t="n"/>
      <c r="Y4127" s="77" t="n"/>
      <c r="Z4127" s="77" t="n"/>
      <c r="AA4127" s="75" t="n"/>
      <c r="AB4127" s="75" t="n"/>
      <c r="AC4127" s="6" t="n"/>
      <c r="AD4127" s="75" t="n"/>
      <c r="AE4127" s="75" t="n"/>
      <c r="AF4127" s="75" t="n"/>
    </row>
    <row r="4128" ht="15.75" customHeight="1" s="133">
      <c r="A4128" s="75" t="n"/>
      <c r="B4128" s="75" t="n"/>
      <c r="C4128" s="75" t="n"/>
      <c r="D4128" s="75" t="n"/>
      <c r="E4128" s="76" t="n"/>
      <c r="F4128" s="77" t="n"/>
      <c r="G4128" s="75" t="n"/>
      <c r="H4128" s="75">
        <f>IF(ISBLANK(E4128),"",IF(OR(D4128="Butterfly",D4128="Butterfly ",D4128="Iron Fly", D4128="Iron Fly "),LEN(E4128)-LEN(SUBSTITUTE(E4128,"/",""))+2,LEN(E4128)-LEN(SUBSTITUTE(E4128,"/",""))+1))</f>
        <v/>
      </c>
      <c r="I4128" s="78">
        <f>IF(ISBLANK(G4128),"",IF(D4128="Stock","0",Key!$A$3*H4128*G4128))</f>
        <v/>
      </c>
      <c r="J4128" s="78">
        <f>IF(ISBLANK(E4128),"",IF(ISNUMBER(SEARCH("/",E4128)), IF(LEN(E4128)-LEN(SUBSTITUTE(E4128,"/",""))=1,(RIGHT(E4128,LEN(E4128)-FIND("/",E4128)))-(LEFT(E4128,FIND("/",E4128)-1)),(MID(E4128, SEARCH("/",E4128) + 1, SEARCH("/",E4128, SEARCH("/",E4128)+1) - SEARCH("/",E4128) - 1))-(LEFT(E4128,FIND("/",E4128)-1))), "NA"))</f>
        <v/>
      </c>
      <c r="K4128" s="79">
        <f>IF(A4128&lt;&gt;"", IF(ISBLANK(L4128), TODAY(), K4128), "")</f>
        <v/>
      </c>
      <c r="L4128" s="78" t="n"/>
      <c r="M4128" s="78">
        <f>IF(ISBLANK(L4128),"",IF(D4128="Stock",IF(C4128="Buy",L4128*G4128,IF(C4128="Sell",(L4128*G4128)-I4128, X)),IF(C4128="Buy",(L4128*G4128*100)+I4128,IF(C4128="Sell",(L4128*G4128*100)-I4128, X))))</f>
        <v/>
      </c>
      <c r="N4128" s="78">
        <f>IF(ISBLANK(L4128),"",IF(AND(C4128="Sell",D4128="Stock"),M4128,IF(ISBLANK(L4128),"",IF(C4128="Buy",M4128, IF(AND(C4128="Sell",J4128="NA"),(E4128*G4128*100*0.1)+I4128, IF(C4128="Sell",(J4128-L4128)*(100*G4128)+I4128))))))</f>
        <v/>
      </c>
      <c r="O4128" s="75" t="n"/>
      <c r="P4128" s="75" t="n"/>
      <c r="Q4128" s="75">
        <f>IF(ISBLANK(P4128),"",IF(D4128="Stock",P4128*G4128,IF(P4128=0,"0",G4128*P4128*100-(G4128*$AF$14))))</f>
        <v/>
      </c>
      <c r="R4128" s="79">
        <f>IF(P4128&lt;&gt;"", TODAY(), "")</f>
        <v/>
      </c>
      <c r="S4128" s="78">
        <f>IF(AND(K4128&lt;&gt;"", R4128&lt;&gt;""), R4128-K4128, "")</f>
        <v/>
      </c>
      <c r="T4128" s="78" t="n"/>
      <c r="U4128" s="92">
        <f>IF(ISBLANK(P4128),"",IF(C4128="Buy",Q4128-M4128+T4128, IF(C4128="Sell",M4128-Q4128-T4128, X)))</f>
        <v/>
      </c>
      <c r="V4128" s="81">
        <f>IF(ISBLANK(P4128),"",U4128/N4128)</f>
        <v/>
      </c>
      <c r="W4128" s="81">
        <f>IF(ISBLANK(P4128),"",IF(S4128=0,(365/0.5)*V4128,(365/S4128)*V4128))</f>
        <v/>
      </c>
      <c r="X4128" s="75" t="n"/>
      <c r="Y4128" s="77" t="n"/>
      <c r="Z4128" s="77" t="n"/>
      <c r="AA4128" s="75" t="n"/>
      <c r="AB4128" s="75" t="n"/>
      <c r="AC4128" s="6" t="n"/>
      <c r="AD4128" s="75" t="n"/>
      <c r="AE4128" s="75" t="n"/>
      <c r="AF4128" s="75" t="n"/>
    </row>
    <row r="4129" ht="15.75" customHeight="1" s="133">
      <c r="A4129" s="75" t="n"/>
      <c r="B4129" s="75" t="n"/>
      <c r="C4129" s="75" t="n"/>
      <c r="D4129" s="75" t="n"/>
      <c r="E4129" s="76" t="n"/>
      <c r="F4129" s="77" t="n"/>
      <c r="G4129" s="75" t="n"/>
      <c r="H4129" s="75">
        <f>IF(ISBLANK(E4129),"",IF(OR(D4129="Butterfly",D4129="Butterfly ",D4129="Iron Fly", D4129="Iron Fly "),LEN(E4129)-LEN(SUBSTITUTE(E4129,"/",""))+2,LEN(E4129)-LEN(SUBSTITUTE(E4129,"/",""))+1))</f>
        <v/>
      </c>
      <c r="I4129" s="78">
        <f>IF(ISBLANK(G4129),"",IF(D4129="Stock","0",Key!$A$3*H4129*G4129))</f>
        <v/>
      </c>
      <c r="J4129" s="78">
        <f>IF(ISBLANK(E4129),"",IF(ISNUMBER(SEARCH("/",E4129)), IF(LEN(E4129)-LEN(SUBSTITUTE(E4129,"/",""))=1,(RIGHT(E4129,LEN(E4129)-FIND("/",E4129)))-(LEFT(E4129,FIND("/",E4129)-1)),(MID(E4129, SEARCH("/",E4129) + 1, SEARCH("/",E4129, SEARCH("/",E4129)+1) - SEARCH("/",E4129) - 1))-(LEFT(E4129,FIND("/",E4129)-1))), "NA"))</f>
        <v/>
      </c>
      <c r="K4129" s="79">
        <f>IF(A4129&lt;&gt;"", IF(ISBLANK(L4129), TODAY(), K4129), "")</f>
        <v/>
      </c>
      <c r="L4129" s="78" t="n"/>
      <c r="M4129" s="78">
        <f>IF(ISBLANK(L4129),"",IF(D4129="Stock",IF(C4129="Buy",L4129*G4129,IF(C4129="Sell",(L4129*G4129)-I4129, X)),IF(C4129="Buy",(L4129*G4129*100)+I4129,IF(C4129="Sell",(L4129*G4129*100)-I4129, X))))</f>
        <v/>
      </c>
      <c r="N4129" s="78">
        <f>IF(ISBLANK(L4129),"",IF(AND(C4129="Sell",D4129="Stock"),M4129,IF(ISBLANK(L4129),"",IF(C4129="Buy",M4129, IF(AND(C4129="Sell",J4129="NA"),(E4129*G4129*100*0.1)+I4129, IF(C4129="Sell",(J4129-L4129)*(100*G4129)+I4129))))))</f>
        <v/>
      </c>
      <c r="O4129" s="75" t="n"/>
      <c r="P4129" s="75" t="n"/>
      <c r="Q4129" s="75">
        <f>IF(ISBLANK(P4129),"",IF(D4129="Stock",P4129*G4129,IF(P4129=0,"0",G4129*P4129*100-(G4129*$AF$14))))</f>
        <v/>
      </c>
      <c r="R4129" s="79">
        <f>IF(P4129&lt;&gt;"", TODAY(), "")</f>
        <v/>
      </c>
      <c r="S4129" s="78">
        <f>IF(AND(K4129&lt;&gt;"", R4129&lt;&gt;""), R4129-K4129, "")</f>
        <v/>
      </c>
      <c r="T4129" s="78" t="n"/>
      <c r="U4129" s="92">
        <f>IF(ISBLANK(P4129),"",IF(C4129="Buy",Q4129-M4129+T4129, IF(C4129="Sell",M4129-Q4129-T4129, X)))</f>
        <v/>
      </c>
      <c r="V4129" s="81">
        <f>IF(ISBLANK(P4129),"",U4129/N4129)</f>
        <v/>
      </c>
      <c r="W4129" s="81">
        <f>IF(ISBLANK(P4129),"",IF(S4129=0,(365/0.5)*V4129,(365/S4129)*V4129))</f>
        <v/>
      </c>
      <c r="X4129" s="75" t="n"/>
      <c r="Y4129" s="77" t="n"/>
      <c r="Z4129" s="77" t="n"/>
      <c r="AA4129" s="75" t="n"/>
      <c r="AB4129" s="75" t="n"/>
      <c r="AC4129" s="6" t="n"/>
      <c r="AD4129" s="75" t="n"/>
      <c r="AE4129" s="75" t="n"/>
      <c r="AF4129" s="75" t="n"/>
    </row>
    <row r="4130" ht="15.75" customHeight="1" s="133">
      <c r="A4130" s="75" t="n"/>
      <c r="B4130" s="75" t="n"/>
      <c r="C4130" s="75" t="n"/>
      <c r="D4130" s="75" t="n"/>
      <c r="E4130" s="76" t="n"/>
      <c r="F4130" s="77" t="n"/>
      <c r="G4130" s="75" t="n"/>
      <c r="H4130" s="75">
        <f>IF(ISBLANK(E4130),"",IF(OR(D4130="Butterfly",D4130="Butterfly ",D4130="Iron Fly", D4130="Iron Fly "),LEN(E4130)-LEN(SUBSTITUTE(E4130,"/",""))+2,LEN(E4130)-LEN(SUBSTITUTE(E4130,"/",""))+1))</f>
        <v/>
      </c>
      <c r="I4130" s="78">
        <f>IF(ISBLANK(G4130),"",IF(D4130="Stock","0",Key!$A$3*H4130*G4130))</f>
        <v/>
      </c>
      <c r="J4130" s="78">
        <f>IF(ISBLANK(E4130),"",IF(ISNUMBER(SEARCH("/",E4130)), IF(LEN(E4130)-LEN(SUBSTITUTE(E4130,"/",""))=1,(RIGHT(E4130,LEN(E4130)-FIND("/",E4130)))-(LEFT(E4130,FIND("/",E4130)-1)),(MID(E4130, SEARCH("/",E4130) + 1, SEARCH("/",E4130, SEARCH("/",E4130)+1) - SEARCH("/",E4130) - 1))-(LEFT(E4130,FIND("/",E4130)-1))), "NA"))</f>
        <v/>
      </c>
      <c r="K4130" s="79">
        <f>IF(A4130&lt;&gt;"", IF(ISBLANK(L4130), TODAY(), K4130), "")</f>
        <v/>
      </c>
      <c r="L4130" s="78" t="n"/>
      <c r="M4130" s="78">
        <f>IF(ISBLANK(L4130),"",IF(D4130="Stock",IF(C4130="Buy",L4130*G4130,IF(C4130="Sell",(L4130*G4130)-I4130, X)),IF(C4130="Buy",(L4130*G4130*100)+I4130,IF(C4130="Sell",(L4130*G4130*100)-I4130, X))))</f>
        <v/>
      </c>
      <c r="N4130" s="78">
        <f>IF(ISBLANK(L4130),"",IF(AND(C4130="Sell",D4130="Stock"),M4130,IF(ISBLANK(L4130),"",IF(C4130="Buy",M4130, IF(AND(C4130="Sell",J4130="NA"),(E4130*G4130*100*0.1)+I4130, IF(C4130="Sell",(J4130-L4130)*(100*G4130)+I4130))))))</f>
        <v/>
      </c>
      <c r="O4130" s="75" t="n"/>
      <c r="P4130" s="75" t="n"/>
      <c r="Q4130" s="75">
        <f>IF(ISBLANK(P4130),"",IF(D4130="Stock",P4130*G4130,IF(P4130=0,"0",G4130*P4130*100-(G4130*$AF$14))))</f>
        <v/>
      </c>
      <c r="R4130" s="79">
        <f>IF(P4130&lt;&gt;"", TODAY(), "")</f>
        <v/>
      </c>
      <c r="S4130" s="78">
        <f>IF(AND(K4130&lt;&gt;"", R4130&lt;&gt;""), R4130-K4130, "")</f>
        <v/>
      </c>
      <c r="T4130" s="78" t="n"/>
      <c r="U4130" s="92">
        <f>IF(ISBLANK(P4130),"",IF(C4130="Buy",Q4130-M4130+T4130, IF(C4130="Sell",M4130-Q4130-T4130, X)))</f>
        <v/>
      </c>
      <c r="V4130" s="81">
        <f>IF(ISBLANK(P4130),"",U4130/N4130)</f>
        <v/>
      </c>
      <c r="W4130" s="81">
        <f>IF(ISBLANK(P4130),"",IF(S4130=0,(365/0.5)*V4130,(365/S4130)*V4130))</f>
        <v/>
      </c>
      <c r="X4130" s="75" t="n"/>
      <c r="Y4130" s="77" t="n"/>
      <c r="Z4130" s="77" t="n"/>
      <c r="AA4130" s="75" t="n"/>
      <c r="AB4130" s="75" t="n"/>
      <c r="AC4130" s="6" t="n"/>
      <c r="AD4130" s="75" t="n"/>
      <c r="AE4130" s="75" t="n"/>
      <c r="AF4130" s="75" t="n"/>
    </row>
    <row r="4131" ht="15.75" customHeight="1" s="133">
      <c r="A4131" s="75" t="n"/>
      <c r="B4131" s="75" t="n"/>
      <c r="C4131" s="75" t="n"/>
      <c r="D4131" s="75" t="n"/>
      <c r="E4131" s="76" t="n"/>
      <c r="F4131" s="77" t="n"/>
      <c r="G4131" s="75" t="n"/>
      <c r="H4131" s="75">
        <f>IF(ISBLANK(E4131),"",IF(OR(D4131="Butterfly",D4131="Butterfly ",D4131="Iron Fly", D4131="Iron Fly "),LEN(E4131)-LEN(SUBSTITUTE(E4131,"/",""))+2,LEN(E4131)-LEN(SUBSTITUTE(E4131,"/",""))+1))</f>
        <v/>
      </c>
      <c r="I4131" s="78">
        <f>IF(ISBLANK(G4131),"",IF(D4131="Stock","0",Key!$A$3*H4131*G4131))</f>
        <v/>
      </c>
      <c r="J4131" s="78">
        <f>IF(ISBLANK(E4131),"",IF(ISNUMBER(SEARCH("/",E4131)), IF(LEN(E4131)-LEN(SUBSTITUTE(E4131,"/",""))=1,(RIGHT(E4131,LEN(E4131)-FIND("/",E4131)))-(LEFT(E4131,FIND("/",E4131)-1)),(MID(E4131, SEARCH("/",E4131) + 1, SEARCH("/",E4131, SEARCH("/",E4131)+1) - SEARCH("/",E4131) - 1))-(LEFT(E4131,FIND("/",E4131)-1))), "NA"))</f>
        <v/>
      </c>
      <c r="K4131" s="79">
        <f>IF(A4131&lt;&gt;"", IF(ISBLANK(L4131), TODAY(), K4131), "")</f>
        <v/>
      </c>
      <c r="L4131" s="78" t="n"/>
      <c r="M4131" s="78">
        <f>IF(ISBLANK(L4131),"",IF(D4131="Stock",IF(C4131="Buy",L4131*G4131,IF(C4131="Sell",(L4131*G4131)-I4131, X)),IF(C4131="Buy",(L4131*G4131*100)+I4131,IF(C4131="Sell",(L4131*G4131*100)-I4131, X))))</f>
        <v/>
      </c>
      <c r="N4131" s="78">
        <f>IF(ISBLANK(L4131),"",IF(AND(C4131="Sell",D4131="Stock"),M4131,IF(ISBLANK(L4131),"",IF(C4131="Buy",M4131, IF(AND(C4131="Sell",J4131="NA"),(E4131*G4131*100*0.1)+I4131, IF(C4131="Sell",(J4131-L4131)*(100*G4131)+I4131))))))</f>
        <v/>
      </c>
      <c r="O4131" s="75" t="n"/>
      <c r="P4131" s="75" t="n"/>
      <c r="Q4131" s="75">
        <f>IF(ISBLANK(P4131),"",IF(D4131="Stock",P4131*G4131,IF(P4131=0,"0",G4131*P4131*100-(G4131*$AF$14))))</f>
        <v/>
      </c>
      <c r="R4131" s="79">
        <f>IF(P4131&lt;&gt;"", TODAY(), "")</f>
        <v/>
      </c>
      <c r="S4131" s="78">
        <f>IF(AND(K4131&lt;&gt;"", R4131&lt;&gt;""), R4131-K4131, "")</f>
        <v/>
      </c>
      <c r="T4131" s="78" t="n"/>
      <c r="U4131" s="92">
        <f>IF(ISBLANK(P4131),"",IF(C4131="Buy",Q4131-M4131+T4131, IF(C4131="Sell",M4131-Q4131-T4131, X)))</f>
        <v/>
      </c>
      <c r="V4131" s="81">
        <f>IF(ISBLANK(P4131),"",U4131/N4131)</f>
        <v/>
      </c>
      <c r="W4131" s="81">
        <f>IF(ISBLANK(P4131),"",IF(S4131=0,(365/0.5)*V4131,(365/S4131)*V4131))</f>
        <v/>
      </c>
      <c r="X4131" s="75" t="n"/>
      <c r="Y4131" s="77" t="n"/>
      <c r="Z4131" s="77" t="n"/>
      <c r="AA4131" s="75" t="n"/>
      <c r="AB4131" s="75" t="n"/>
      <c r="AC4131" s="6" t="n"/>
      <c r="AD4131" s="75" t="n"/>
      <c r="AE4131" s="75" t="n"/>
      <c r="AF4131" s="75" t="n"/>
    </row>
    <row r="4132" ht="15.75" customHeight="1" s="133">
      <c r="A4132" s="75" t="n"/>
      <c r="B4132" s="75" t="n"/>
      <c r="C4132" s="75" t="n"/>
      <c r="D4132" s="75" t="n"/>
      <c r="E4132" s="76" t="n"/>
      <c r="F4132" s="77" t="n"/>
      <c r="G4132" s="75" t="n"/>
      <c r="H4132" s="75">
        <f>IF(ISBLANK(E4132),"",IF(OR(D4132="Butterfly",D4132="Butterfly ",D4132="Iron Fly", D4132="Iron Fly "),LEN(E4132)-LEN(SUBSTITUTE(E4132,"/",""))+2,LEN(E4132)-LEN(SUBSTITUTE(E4132,"/",""))+1))</f>
        <v/>
      </c>
      <c r="I4132" s="78">
        <f>IF(ISBLANK(G4132),"",IF(D4132="Stock","0",Key!$A$3*H4132*G4132))</f>
        <v/>
      </c>
      <c r="J4132" s="78">
        <f>IF(ISBLANK(E4132),"",IF(ISNUMBER(SEARCH("/",E4132)), IF(LEN(E4132)-LEN(SUBSTITUTE(E4132,"/",""))=1,(RIGHT(E4132,LEN(E4132)-FIND("/",E4132)))-(LEFT(E4132,FIND("/",E4132)-1)),(MID(E4132, SEARCH("/",E4132) + 1, SEARCH("/",E4132, SEARCH("/",E4132)+1) - SEARCH("/",E4132) - 1))-(LEFT(E4132,FIND("/",E4132)-1))), "NA"))</f>
        <v/>
      </c>
      <c r="K4132" s="79">
        <f>IF(A4132&lt;&gt;"", IF(ISBLANK(L4132), TODAY(), K4132), "")</f>
        <v/>
      </c>
      <c r="L4132" s="78" t="n"/>
      <c r="M4132" s="78">
        <f>IF(ISBLANK(L4132),"",IF(D4132="Stock",IF(C4132="Buy",L4132*G4132,IF(C4132="Sell",(L4132*G4132)-I4132, X)),IF(C4132="Buy",(L4132*G4132*100)+I4132,IF(C4132="Sell",(L4132*G4132*100)-I4132, X))))</f>
        <v/>
      </c>
      <c r="N4132" s="78">
        <f>IF(ISBLANK(L4132),"",IF(AND(C4132="Sell",D4132="Stock"),M4132,IF(ISBLANK(L4132),"",IF(C4132="Buy",M4132, IF(AND(C4132="Sell",J4132="NA"),(E4132*G4132*100*0.1)+I4132, IF(C4132="Sell",(J4132-L4132)*(100*G4132)+I4132))))))</f>
        <v/>
      </c>
      <c r="O4132" s="75" t="n"/>
      <c r="P4132" s="75" t="n"/>
      <c r="Q4132" s="75">
        <f>IF(ISBLANK(P4132),"",IF(D4132="Stock",P4132*G4132,IF(P4132=0,"0",G4132*P4132*100-(G4132*$AF$14))))</f>
        <v/>
      </c>
      <c r="R4132" s="79">
        <f>IF(P4132&lt;&gt;"", TODAY(), "")</f>
        <v/>
      </c>
      <c r="S4132" s="78">
        <f>IF(AND(K4132&lt;&gt;"", R4132&lt;&gt;""), R4132-K4132, "")</f>
        <v/>
      </c>
      <c r="T4132" s="78" t="n"/>
      <c r="U4132" s="92">
        <f>IF(ISBLANK(P4132),"",IF(C4132="Buy",Q4132-M4132+T4132, IF(C4132="Sell",M4132-Q4132-T4132, X)))</f>
        <v/>
      </c>
      <c r="V4132" s="81">
        <f>IF(ISBLANK(P4132),"",U4132/N4132)</f>
        <v/>
      </c>
      <c r="W4132" s="81">
        <f>IF(ISBLANK(P4132),"",IF(S4132=0,(365/0.5)*V4132,(365/S4132)*V4132))</f>
        <v/>
      </c>
      <c r="X4132" s="75" t="n"/>
      <c r="Y4132" s="77" t="n"/>
      <c r="Z4132" s="77" t="n"/>
      <c r="AA4132" s="75" t="n"/>
      <c r="AB4132" s="75" t="n"/>
      <c r="AC4132" s="6" t="n"/>
      <c r="AD4132" s="75" t="n"/>
      <c r="AE4132" s="75" t="n"/>
      <c r="AF4132" s="75" t="n"/>
    </row>
    <row r="4133" ht="15.75" customHeight="1" s="133">
      <c r="A4133" s="75" t="n"/>
      <c r="B4133" s="75" t="n"/>
      <c r="C4133" s="75" t="n"/>
      <c r="D4133" s="75" t="n"/>
      <c r="E4133" s="76" t="n"/>
      <c r="F4133" s="77" t="n"/>
      <c r="G4133" s="75" t="n"/>
      <c r="H4133" s="75">
        <f>IF(ISBLANK(E4133),"",IF(OR(D4133="Butterfly",D4133="Butterfly ",D4133="Iron Fly", D4133="Iron Fly "),LEN(E4133)-LEN(SUBSTITUTE(E4133,"/",""))+2,LEN(E4133)-LEN(SUBSTITUTE(E4133,"/",""))+1))</f>
        <v/>
      </c>
      <c r="I4133" s="78">
        <f>IF(ISBLANK(G4133),"",IF(D4133="Stock","0",Key!$A$3*H4133*G4133))</f>
        <v/>
      </c>
      <c r="J4133" s="78">
        <f>IF(ISBLANK(E4133),"",IF(ISNUMBER(SEARCH("/",E4133)), IF(LEN(E4133)-LEN(SUBSTITUTE(E4133,"/",""))=1,(RIGHT(E4133,LEN(E4133)-FIND("/",E4133)))-(LEFT(E4133,FIND("/",E4133)-1)),(MID(E4133, SEARCH("/",E4133) + 1, SEARCH("/",E4133, SEARCH("/",E4133)+1) - SEARCH("/",E4133) - 1))-(LEFT(E4133,FIND("/",E4133)-1))), "NA"))</f>
        <v/>
      </c>
      <c r="K4133" s="79">
        <f>IF(A4133&lt;&gt;"", IF(ISBLANK(L4133), TODAY(), K4133), "")</f>
        <v/>
      </c>
      <c r="L4133" s="78" t="n"/>
      <c r="M4133" s="78">
        <f>IF(ISBLANK(L4133),"",IF(D4133="Stock",IF(C4133="Buy",L4133*G4133,IF(C4133="Sell",(L4133*G4133)-I4133, X)),IF(C4133="Buy",(L4133*G4133*100)+I4133,IF(C4133="Sell",(L4133*G4133*100)-I4133, X))))</f>
        <v/>
      </c>
      <c r="N4133" s="78">
        <f>IF(ISBLANK(L4133),"",IF(AND(C4133="Sell",D4133="Stock"),M4133,IF(ISBLANK(L4133),"",IF(C4133="Buy",M4133, IF(AND(C4133="Sell",J4133="NA"),(E4133*G4133*100*0.1)+I4133, IF(C4133="Sell",(J4133-L4133)*(100*G4133)+I4133))))))</f>
        <v/>
      </c>
      <c r="O4133" s="75" t="n"/>
      <c r="P4133" s="75" t="n"/>
      <c r="Q4133" s="75">
        <f>IF(ISBLANK(P4133),"",IF(D4133="Stock",P4133*G4133,IF(P4133=0,"0",G4133*P4133*100-(G4133*$AF$14))))</f>
        <v/>
      </c>
      <c r="R4133" s="79">
        <f>IF(P4133&lt;&gt;"", TODAY(), "")</f>
        <v/>
      </c>
      <c r="S4133" s="78">
        <f>IF(AND(K4133&lt;&gt;"", R4133&lt;&gt;""), R4133-K4133, "")</f>
        <v/>
      </c>
      <c r="T4133" s="78" t="n"/>
      <c r="U4133" s="92">
        <f>IF(ISBLANK(P4133),"",IF(C4133="Buy",Q4133-M4133+T4133, IF(C4133="Sell",M4133-Q4133-T4133, X)))</f>
        <v/>
      </c>
      <c r="V4133" s="81">
        <f>IF(ISBLANK(P4133),"",U4133/N4133)</f>
        <v/>
      </c>
      <c r="W4133" s="81">
        <f>IF(ISBLANK(P4133),"",IF(S4133=0,(365/0.5)*V4133,(365/S4133)*V4133))</f>
        <v/>
      </c>
      <c r="X4133" s="75" t="n"/>
      <c r="Y4133" s="77" t="n"/>
      <c r="Z4133" s="77" t="n"/>
      <c r="AA4133" s="75" t="n"/>
      <c r="AB4133" s="75" t="n"/>
      <c r="AC4133" s="6" t="n"/>
      <c r="AD4133" s="75" t="n"/>
      <c r="AE4133" s="75" t="n"/>
      <c r="AF4133" s="75" t="n"/>
    </row>
    <row r="4134" ht="15.75" customHeight="1" s="133">
      <c r="A4134" s="75" t="n"/>
      <c r="B4134" s="75" t="n"/>
      <c r="C4134" s="75" t="n"/>
      <c r="D4134" s="75" t="n"/>
      <c r="E4134" s="76" t="n"/>
      <c r="F4134" s="77" t="n"/>
      <c r="G4134" s="75" t="n"/>
      <c r="H4134" s="75">
        <f>IF(ISBLANK(E4134),"",IF(OR(D4134="Butterfly",D4134="Butterfly ",D4134="Iron Fly", D4134="Iron Fly "),LEN(E4134)-LEN(SUBSTITUTE(E4134,"/",""))+2,LEN(E4134)-LEN(SUBSTITUTE(E4134,"/",""))+1))</f>
        <v/>
      </c>
      <c r="I4134" s="78">
        <f>IF(ISBLANK(G4134),"",IF(D4134="Stock","0",Key!$A$3*H4134*G4134))</f>
        <v/>
      </c>
      <c r="J4134" s="78">
        <f>IF(ISBLANK(E4134),"",IF(ISNUMBER(SEARCH("/",E4134)), IF(LEN(E4134)-LEN(SUBSTITUTE(E4134,"/",""))=1,(RIGHT(E4134,LEN(E4134)-FIND("/",E4134)))-(LEFT(E4134,FIND("/",E4134)-1)),(MID(E4134, SEARCH("/",E4134) + 1, SEARCH("/",E4134, SEARCH("/",E4134)+1) - SEARCH("/",E4134) - 1))-(LEFT(E4134,FIND("/",E4134)-1))), "NA"))</f>
        <v/>
      </c>
      <c r="K4134" s="79">
        <f>IF(A4134&lt;&gt;"", IF(ISBLANK(L4134), TODAY(), K4134), "")</f>
        <v/>
      </c>
      <c r="L4134" s="78" t="n"/>
      <c r="M4134" s="78">
        <f>IF(ISBLANK(L4134),"",IF(D4134="Stock",IF(C4134="Buy",L4134*G4134,IF(C4134="Sell",(L4134*G4134)-I4134, X)),IF(C4134="Buy",(L4134*G4134*100)+I4134,IF(C4134="Sell",(L4134*G4134*100)-I4134, X))))</f>
        <v/>
      </c>
      <c r="N4134" s="78">
        <f>IF(ISBLANK(L4134),"",IF(AND(C4134="Sell",D4134="Stock"),M4134,IF(ISBLANK(L4134),"",IF(C4134="Buy",M4134, IF(AND(C4134="Sell",J4134="NA"),(E4134*G4134*100*0.1)+I4134, IF(C4134="Sell",(J4134-L4134)*(100*G4134)+I4134))))))</f>
        <v/>
      </c>
      <c r="O4134" s="75" t="n"/>
      <c r="P4134" s="75" t="n"/>
      <c r="Q4134" s="75">
        <f>IF(ISBLANK(P4134),"",IF(D4134="Stock",P4134*G4134,IF(P4134=0,"0",G4134*P4134*100-(G4134*$AF$14))))</f>
        <v/>
      </c>
      <c r="R4134" s="79">
        <f>IF(P4134&lt;&gt;"", TODAY(), "")</f>
        <v/>
      </c>
      <c r="S4134" s="78">
        <f>IF(AND(K4134&lt;&gt;"", R4134&lt;&gt;""), R4134-K4134, "")</f>
        <v/>
      </c>
      <c r="T4134" s="78" t="n"/>
      <c r="U4134" s="92">
        <f>IF(ISBLANK(P4134),"",IF(C4134="Buy",Q4134-M4134+T4134, IF(C4134="Sell",M4134-Q4134-T4134, X)))</f>
        <v/>
      </c>
      <c r="V4134" s="81">
        <f>IF(ISBLANK(P4134),"",U4134/N4134)</f>
        <v/>
      </c>
      <c r="W4134" s="81">
        <f>IF(ISBLANK(P4134),"",IF(S4134=0,(365/0.5)*V4134,(365/S4134)*V4134))</f>
        <v/>
      </c>
      <c r="X4134" s="75" t="n"/>
      <c r="Y4134" s="77" t="n"/>
      <c r="Z4134" s="77" t="n"/>
      <c r="AA4134" s="75" t="n"/>
      <c r="AB4134" s="75" t="n"/>
      <c r="AC4134" s="6" t="n"/>
      <c r="AD4134" s="75" t="n"/>
      <c r="AE4134" s="75" t="n"/>
      <c r="AF4134" s="75" t="n"/>
    </row>
    <row r="4135" ht="15.75" customHeight="1" s="133">
      <c r="A4135" s="75" t="n"/>
      <c r="B4135" s="75" t="n"/>
      <c r="C4135" s="75" t="n"/>
      <c r="D4135" s="75" t="n"/>
      <c r="E4135" s="76" t="n"/>
      <c r="F4135" s="77" t="n"/>
      <c r="G4135" s="75" t="n"/>
      <c r="H4135" s="75">
        <f>IF(ISBLANK(E4135),"",IF(OR(D4135="Butterfly",D4135="Butterfly ",D4135="Iron Fly", D4135="Iron Fly "),LEN(E4135)-LEN(SUBSTITUTE(E4135,"/",""))+2,LEN(E4135)-LEN(SUBSTITUTE(E4135,"/",""))+1))</f>
        <v/>
      </c>
      <c r="I4135" s="78">
        <f>IF(ISBLANK(G4135),"",IF(D4135="Stock","0",Key!$A$3*H4135*G4135))</f>
        <v/>
      </c>
      <c r="J4135" s="78">
        <f>IF(ISBLANK(E4135),"",IF(ISNUMBER(SEARCH("/",E4135)), IF(LEN(E4135)-LEN(SUBSTITUTE(E4135,"/",""))=1,(RIGHT(E4135,LEN(E4135)-FIND("/",E4135)))-(LEFT(E4135,FIND("/",E4135)-1)),(MID(E4135, SEARCH("/",E4135) + 1, SEARCH("/",E4135, SEARCH("/",E4135)+1) - SEARCH("/",E4135) - 1))-(LEFT(E4135,FIND("/",E4135)-1))), "NA"))</f>
        <v/>
      </c>
      <c r="K4135" s="79">
        <f>IF(A4135&lt;&gt;"", IF(ISBLANK(L4135), TODAY(), K4135), "")</f>
        <v/>
      </c>
      <c r="L4135" s="78" t="n"/>
      <c r="M4135" s="78">
        <f>IF(ISBLANK(L4135),"",IF(D4135="Stock",IF(C4135="Buy",L4135*G4135,IF(C4135="Sell",(L4135*G4135)-I4135, X)),IF(C4135="Buy",(L4135*G4135*100)+I4135,IF(C4135="Sell",(L4135*G4135*100)-I4135, X))))</f>
        <v/>
      </c>
      <c r="N4135" s="78">
        <f>IF(ISBLANK(L4135),"",IF(AND(C4135="Sell",D4135="Stock"),M4135,IF(ISBLANK(L4135),"",IF(C4135="Buy",M4135, IF(AND(C4135="Sell",J4135="NA"),(E4135*G4135*100*0.1)+I4135, IF(C4135="Sell",(J4135-L4135)*(100*G4135)+I4135))))))</f>
        <v/>
      </c>
      <c r="O4135" s="75" t="n"/>
      <c r="P4135" s="75" t="n"/>
      <c r="Q4135" s="75">
        <f>IF(ISBLANK(P4135),"",IF(D4135="Stock",P4135*G4135,IF(P4135=0,"0",G4135*P4135*100-(G4135*$AF$14))))</f>
        <v/>
      </c>
      <c r="R4135" s="79">
        <f>IF(P4135&lt;&gt;"", TODAY(), "")</f>
        <v/>
      </c>
      <c r="S4135" s="78">
        <f>IF(AND(K4135&lt;&gt;"", R4135&lt;&gt;""), R4135-K4135, "")</f>
        <v/>
      </c>
      <c r="T4135" s="78" t="n"/>
      <c r="U4135" s="92">
        <f>IF(ISBLANK(P4135),"",IF(C4135="Buy",Q4135-M4135+T4135, IF(C4135="Sell",M4135-Q4135-T4135, X)))</f>
        <v/>
      </c>
      <c r="V4135" s="81">
        <f>IF(ISBLANK(P4135),"",U4135/N4135)</f>
        <v/>
      </c>
      <c r="W4135" s="81">
        <f>IF(ISBLANK(P4135),"",IF(S4135=0,(365/0.5)*V4135,(365/S4135)*V4135))</f>
        <v/>
      </c>
      <c r="X4135" s="75" t="n"/>
      <c r="Y4135" s="77" t="n"/>
      <c r="Z4135" s="77" t="n"/>
      <c r="AA4135" s="75" t="n"/>
      <c r="AB4135" s="75" t="n"/>
      <c r="AC4135" s="6" t="n"/>
      <c r="AD4135" s="75" t="n"/>
      <c r="AE4135" s="75" t="n"/>
      <c r="AF4135" s="75" t="n"/>
    </row>
    <row r="4136" ht="15.75" customHeight="1" s="133">
      <c r="A4136" s="75" t="n"/>
      <c r="B4136" s="75" t="n"/>
      <c r="C4136" s="75" t="n"/>
      <c r="D4136" s="75" t="n"/>
      <c r="E4136" s="76" t="n"/>
      <c r="F4136" s="77" t="n"/>
      <c r="G4136" s="75" t="n"/>
      <c r="H4136" s="75">
        <f>IF(ISBLANK(E4136),"",IF(OR(D4136="Butterfly",D4136="Butterfly ",D4136="Iron Fly", D4136="Iron Fly "),LEN(E4136)-LEN(SUBSTITUTE(E4136,"/",""))+2,LEN(E4136)-LEN(SUBSTITUTE(E4136,"/",""))+1))</f>
        <v/>
      </c>
      <c r="I4136" s="78">
        <f>IF(ISBLANK(G4136),"",IF(D4136="Stock","0",Key!$A$3*H4136*G4136))</f>
        <v/>
      </c>
      <c r="J4136" s="78">
        <f>IF(ISBLANK(E4136),"",IF(ISNUMBER(SEARCH("/",E4136)), IF(LEN(E4136)-LEN(SUBSTITUTE(E4136,"/",""))=1,(RIGHT(E4136,LEN(E4136)-FIND("/",E4136)))-(LEFT(E4136,FIND("/",E4136)-1)),(MID(E4136, SEARCH("/",E4136) + 1, SEARCH("/",E4136, SEARCH("/",E4136)+1) - SEARCH("/",E4136) - 1))-(LEFT(E4136,FIND("/",E4136)-1))), "NA"))</f>
        <v/>
      </c>
      <c r="K4136" s="79">
        <f>IF(A4136&lt;&gt;"", IF(ISBLANK(L4136), TODAY(), K4136), "")</f>
        <v/>
      </c>
      <c r="L4136" s="78" t="n"/>
      <c r="M4136" s="78">
        <f>IF(ISBLANK(L4136),"",IF(D4136="Stock",IF(C4136="Buy",L4136*G4136,IF(C4136="Sell",(L4136*G4136)-I4136, X)),IF(C4136="Buy",(L4136*G4136*100)+I4136,IF(C4136="Sell",(L4136*G4136*100)-I4136, X))))</f>
        <v/>
      </c>
      <c r="N4136" s="78">
        <f>IF(ISBLANK(L4136),"",IF(AND(C4136="Sell",D4136="Stock"),M4136,IF(ISBLANK(L4136),"",IF(C4136="Buy",M4136, IF(AND(C4136="Sell",J4136="NA"),(E4136*G4136*100*0.1)+I4136, IF(C4136="Sell",(J4136-L4136)*(100*G4136)+I4136))))))</f>
        <v/>
      </c>
      <c r="O4136" s="75" t="n"/>
      <c r="P4136" s="75" t="n"/>
      <c r="Q4136" s="75">
        <f>IF(ISBLANK(P4136),"",IF(D4136="Stock",P4136*G4136,IF(P4136=0,"0",G4136*P4136*100-(G4136*$AF$14))))</f>
        <v/>
      </c>
      <c r="R4136" s="79">
        <f>IF(P4136&lt;&gt;"", TODAY(), "")</f>
        <v/>
      </c>
      <c r="S4136" s="78">
        <f>IF(AND(K4136&lt;&gt;"", R4136&lt;&gt;""), R4136-K4136, "")</f>
        <v/>
      </c>
      <c r="T4136" s="78" t="n"/>
      <c r="U4136" s="92">
        <f>IF(ISBLANK(P4136),"",IF(C4136="Buy",Q4136-M4136+T4136, IF(C4136="Sell",M4136-Q4136-T4136, X)))</f>
        <v/>
      </c>
      <c r="V4136" s="81">
        <f>IF(ISBLANK(P4136),"",U4136/N4136)</f>
        <v/>
      </c>
      <c r="W4136" s="81">
        <f>IF(ISBLANK(P4136),"",IF(S4136=0,(365/0.5)*V4136,(365/S4136)*V4136))</f>
        <v/>
      </c>
      <c r="X4136" s="75" t="n"/>
      <c r="Y4136" s="77" t="n"/>
      <c r="Z4136" s="77" t="n"/>
      <c r="AA4136" s="75" t="n"/>
      <c r="AB4136" s="75" t="n"/>
      <c r="AC4136" s="6" t="n"/>
      <c r="AD4136" s="75" t="n"/>
      <c r="AE4136" s="75" t="n"/>
      <c r="AF4136" s="75" t="n"/>
    </row>
    <row r="4137" ht="15.75" customHeight="1" s="133">
      <c r="A4137" s="75" t="n"/>
      <c r="B4137" s="75" t="n"/>
      <c r="C4137" s="75" t="n"/>
      <c r="D4137" s="75" t="n"/>
      <c r="E4137" s="76" t="n"/>
      <c r="F4137" s="77" t="n"/>
      <c r="G4137" s="75" t="n"/>
      <c r="H4137" s="75">
        <f>IF(ISBLANK(E4137),"",IF(OR(D4137="Butterfly",D4137="Butterfly ",D4137="Iron Fly", D4137="Iron Fly "),LEN(E4137)-LEN(SUBSTITUTE(E4137,"/",""))+2,LEN(E4137)-LEN(SUBSTITUTE(E4137,"/",""))+1))</f>
        <v/>
      </c>
      <c r="I4137" s="78">
        <f>IF(ISBLANK(G4137),"",IF(D4137="Stock","0",Key!$A$3*H4137*G4137))</f>
        <v/>
      </c>
      <c r="J4137" s="78">
        <f>IF(ISBLANK(E4137),"",IF(ISNUMBER(SEARCH("/",E4137)), IF(LEN(E4137)-LEN(SUBSTITUTE(E4137,"/",""))=1,(RIGHT(E4137,LEN(E4137)-FIND("/",E4137)))-(LEFT(E4137,FIND("/",E4137)-1)),(MID(E4137, SEARCH("/",E4137) + 1, SEARCH("/",E4137, SEARCH("/",E4137)+1) - SEARCH("/",E4137) - 1))-(LEFT(E4137,FIND("/",E4137)-1))), "NA"))</f>
        <v/>
      </c>
      <c r="K4137" s="79">
        <f>IF(A4137&lt;&gt;"", IF(ISBLANK(L4137), TODAY(), K4137), "")</f>
        <v/>
      </c>
      <c r="L4137" s="78" t="n"/>
      <c r="M4137" s="78">
        <f>IF(ISBLANK(L4137),"",IF(D4137="Stock",IF(C4137="Buy",L4137*G4137,IF(C4137="Sell",(L4137*G4137)-I4137, X)),IF(C4137="Buy",(L4137*G4137*100)+I4137,IF(C4137="Sell",(L4137*G4137*100)-I4137, X))))</f>
        <v/>
      </c>
      <c r="N4137" s="78">
        <f>IF(ISBLANK(L4137),"",IF(AND(C4137="Sell",D4137="Stock"),M4137,IF(ISBLANK(L4137),"",IF(C4137="Buy",M4137, IF(AND(C4137="Sell",J4137="NA"),(E4137*G4137*100*0.1)+I4137, IF(C4137="Sell",(J4137-L4137)*(100*G4137)+I4137))))))</f>
        <v/>
      </c>
      <c r="O4137" s="75" t="n"/>
      <c r="P4137" s="75" t="n"/>
      <c r="Q4137" s="75">
        <f>IF(ISBLANK(P4137),"",IF(D4137="Stock",P4137*G4137,IF(P4137=0,"0",G4137*P4137*100-(G4137*$AF$14))))</f>
        <v/>
      </c>
      <c r="R4137" s="79">
        <f>IF(P4137&lt;&gt;"", TODAY(), "")</f>
        <v/>
      </c>
      <c r="S4137" s="78">
        <f>IF(AND(K4137&lt;&gt;"", R4137&lt;&gt;""), R4137-K4137, "")</f>
        <v/>
      </c>
      <c r="T4137" s="78" t="n"/>
      <c r="U4137" s="92">
        <f>IF(ISBLANK(P4137),"",IF(C4137="Buy",Q4137-M4137+T4137, IF(C4137="Sell",M4137-Q4137-T4137, X)))</f>
        <v/>
      </c>
      <c r="V4137" s="81">
        <f>IF(ISBLANK(P4137),"",U4137/N4137)</f>
        <v/>
      </c>
      <c r="W4137" s="81">
        <f>IF(ISBLANK(P4137),"",IF(S4137=0,(365/0.5)*V4137,(365/S4137)*V4137))</f>
        <v/>
      </c>
      <c r="X4137" s="75" t="n"/>
      <c r="Y4137" s="77" t="n"/>
      <c r="Z4137" s="77" t="n"/>
      <c r="AA4137" s="75" t="n"/>
      <c r="AB4137" s="75" t="n"/>
      <c r="AC4137" s="6" t="n"/>
      <c r="AD4137" s="75" t="n"/>
      <c r="AE4137" s="75" t="n"/>
      <c r="AF4137" s="75" t="n"/>
    </row>
    <row r="4138" ht="15.75" customHeight="1" s="133">
      <c r="A4138" s="75" t="n"/>
      <c r="B4138" s="75" t="n"/>
      <c r="C4138" s="75" t="n"/>
      <c r="D4138" s="75" t="n"/>
      <c r="E4138" s="76" t="n"/>
      <c r="F4138" s="77" t="n"/>
      <c r="G4138" s="75" t="n"/>
      <c r="H4138" s="75">
        <f>IF(ISBLANK(E4138),"",IF(OR(D4138="Butterfly",D4138="Butterfly ",D4138="Iron Fly", D4138="Iron Fly "),LEN(E4138)-LEN(SUBSTITUTE(E4138,"/",""))+2,LEN(E4138)-LEN(SUBSTITUTE(E4138,"/",""))+1))</f>
        <v/>
      </c>
      <c r="I4138" s="78">
        <f>IF(ISBLANK(G4138),"",IF(D4138="Stock","0",Key!$A$3*H4138*G4138))</f>
        <v/>
      </c>
      <c r="J4138" s="78">
        <f>IF(ISBLANK(E4138),"",IF(ISNUMBER(SEARCH("/",E4138)), IF(LEN(E4138)-LEN(SUBSTITUTE(E4138,"/",""))=1,(RIGHT(E4138,LEN(E4138)-FIND("/",E4138)))-(LEFT(E4138,FIND("/",E4138)-1)),(MID(E4138, SEARCH("/",E4138) + 1, SEARCH("/",E4138, SEARCH("/",E4138)+1) - SEARCH("/",E4138) - 1))-(LEFT(E4138,FIND("/",E4138)-1))), "NA"))</f>
        <v/>
      </c>
      <c r="K4138" s="79">
        <f>IF(A4138&lt;&gt;"", IF(ISBLANK(L4138), TODAY(), K4138), "")</f>
        <v/>
      </c>
      <c r="L4138" s="78" t="n"/>
      <c r="M4138" s="78">
        <f>IF(ISBLANK(L4138),"",IF(D4138="Stock",IF(C4138="Buy",L4138*G4138,IF(C4138="Sell",(L4138*G4138)-I4138, X)),IF(C4138="Buy",(L4138*G4138*100)+I4138,IF(C4138="Sell",(L4138*G4138*100)-I4138, X))))</f>
        <v/>
      </c>
      <c r="N4138" s="78">
        <f>IF(ISBLANK(L4138),"",IF(AND(C4138="Sell",D4138="Stock"),M4138,IF(ISBLANK(L4138),"",IF(C4138="Buy",M4138, IF(AND(C4138="Sell",J4138="NA"),(E4138*G4138*100*0.1)+I4138, IF(C4138="Sell",(J4138-L4138)*(100*G4138)+I4138))))))</f>
        <v/>
      </c>
      <c r="O4138" s="75" t="n"/>
      <c r="P4138" s="75" t="n"/>
      <c r="Q4138" s="75">
        <f>IF(ISBLANK(P4138),"",IF(D4138="Stock",P4138*G4138,IF(P4138=0,"0",G4138*P4138*100-(G4138*$AF$14))))</f>
        <v/>
      </c>
      <c r="R4138" s="79">
        <f>IF(P4138&lt;&gt;"", TODAY(), "")</f>
        <v/>
      </c>
      <c r="S4138" s="78">
        <f>IF(AND(K4138&lt;&gt;"", R4138&lt;&gt;""), R4138-K4138, "")</f>
        <v/>
      </c>
      <c r="T4138" s="78" t="n"/>
      <c r="U4138" s="92">
        <f>IF(ISBLANK(P4138),"",IF(C4138="Buy",Q4138-M4138+T4138, IF(C4138="Sell",M4138-Q4138-T4138, X)))</f>
        <v/>
      </c>
      <c r="V4138" s="81">
        <f>IF(ISBLANK(P4138),"",U4138/N4138)</f>
        <v/>
      </c>
      <c r="W4138" s="81">
        <f>IF(ISBLANK(P4138),"",IF(S4138=0,(365/0.5)*V4138,(365/S4138)*V4138))</f>
        <v/>
      </c>
      <c r="X4138" s="75" t="n"/>
      <c r="Y4138" s="77" t="n"/>
      <c r="Z4138" s="77" t="n"/>
      <c r="AA4138" s="75" t="n"/>
      <c r="AB4138" s="75" t="n"/>
      <c r="AC4138" s="6" t="n"/>
      <c r="AD4138" s="75" t="n"/>
      <c r="AE4138" s="75" t="n"/>
      <c r="AF4138" s="75" t="n"/>
    </row>
    <row r="4139" ht="15.75" customHeight="1" s="133">
      <c r="A4139" s="75" t="n"/>
      <c r="B4139" s="75" t="n"/>
      <c r="C4139" s="75" t="n"/>
      <c r="D4139" s="75" t="n"/>
      <c r="E4139" s="76" t="n"/>
      <c r="F4139" s="77" t="n"/>
      <c r="G4139" s="75" t="n"/>
      <c r="H4139" s="75">
        <f>IF(ISBLANK(E4139),"",IF(OR(D4139="Butterfly",D4139="Butterfly ",D4139="Iron Fly", D4139="Iron Fly "),LEN(E4139)-LEN(SUBSTITUTE(E4139,"/",""))+2,LEN(E4139)-LEN(SUBSTITUTE(E4139,"/",""))+1))</f>
        <v/>
      </c>
      <c r="I4139" s="78">
        <f>IF(ISBLANK(G4139),"",IF(D4139="Stock","0",Key!$A$3*H4139*G4139))</f>
        <v/>
      </c>
      <c r="J4139" s="78">
        <f>IF(ISBLANK(E4139),"",IF(ISNUMBER(SEARCH("/",E4139)), IF(LEN(E4139)-LEN(SUBSTITUTE(E4139,"/",""))=1,(RIGHT(E4139,LEN(E4139)-FIND("/",E4139)))-(LEFT(E4139,FIND("/",E4139)-1)),(MID(E4139, SEARCH("/",E4139) + 1, SEARCH("/",E4139, SEARCH("/",E4139)+1) - SEARCH("/",E4139) - 1))-(LEFT(E4139,FIND("/",E4139)-1))), "NA"))</f>
        <v/>
      </c>
      <c r="K4139" s="79">
        <f>IF(A4139&lt;&gt;"", IF(ISBLANK(L4139), TODAY(), K4139), "")</f>
        <v/>
      </c>
      <c r="L4139" s="78" t="n"/>
      <c r="M4139" s="78">
        <f>IF(ISBLANK(L4139),"",IF(D4139="Stock",IF(C4139="Buy",L4139*G4139,IF(C4139="Sell",(L4139*G4139)-I4139, X)),IF(C4139="Buy",(L4139*G4139*100)+I4139,IF(C4139="Sell",(L4139*G4139*100)-I4139, X))))</f>
        <v/>
      </c>
      <c r="N4139" s="78">
        <f>IF(ISBLANK(L4139),"",IF(AND(C4139="Sell",D4139="Stock"),M4139,IF(ISBLANK(L4139),"",IF(C4139="Buy",M4139, IF(AND(C4139="Sell",J4139="NA"),(E4139*G4139*100*0.1)+I4139, IF(C4139="Sell",(J4139-L4139)*(100*G4139)+I4139))))))</f>
        <v/>
      </c>
      <c r="O4139" s="75" t="n"/>
      <c r="P4139" s="75" t="n"/>
      <c r="Q4139" s="75">
        <f>IF(ISBLANK(P4139),"",IF(D4139="Stock",P4139*G4139,IF(P4139=0,"0",G4139*P4139*100-(G4139*$AF$14))))</f>
        <v/>
      </c>
      <c r="R4139" s="79">
        <f>IF(P4139&lt;&gt;"", TODAY(), "")</f>
        <v/>
      </c>
      <c r="S4139" s="78">
        <f>IF(AND(K4139&lt;&gt;"", R4139&lt;&gt;""), R4139-K4139, "")</f>
        <v/>
      </c>
      <c r="T4139" s="78" t="n"/>
      <c r="U4139" s="92">
        <f>IF(ISBLANK(P4139),"",IF(C4139="Buy",Q4139-M4139+T4139, IF(C4139="Sell",M4139-Q4139-T4139, X)))</f>
        <v/>
      </c>
      <c r="V4139" s="81">
        <f>IF(ISBLANK(P4139),"",U4139/N4139)</f>
        <v/>
      </c>
      <c r="W4139" s="81">
        <f>IF(ISBLANK(P4139),"",IF(S4139=0,(365/0.5)*V4139,(365/S4139)*V4139))</f>
        <v/>
      </c>
      <c r="X4139" s="75" t="n"/>
      <c r="Y4139" s="77" t="n"/>
      <c r="Z4139" s="77" t="n"/>
      <c r="AA4139" s="75" t="n"/>
      <c r="AB4139" s="75" t="n"/>
      <c r="AC4139" s="6" t="n"/>
      <c r="AD4139" s="75" t="n"/>
      <c r="AE4139" s="75" t="n"/>
      <c r="AF4139" s="75" t="n"/>
    </row>
    <row r="4140" ht="15.75" customHeight="1" s="133">
      <c r="A4140" s="75" t="n"/>
      <c r="B4140" s="75" t="n"/>
      <c r="C4140" s="75" t="n"/>
      <c r="D4140" s="75" t="n"/>
      <c r="E4140" s="76" t="n"/>
      <c r="F4140" s="77" t="n"/>
      <c r="G4140" s="75" t="n"/>
      <c r="H4140" s="75">
        <f>IF(ISBLANK(E4140),"",IF(OR(D4140="Butterfly",D4140="Butterfly ",D4140="Iron Fly", D4140="Iron Fly "),LEN(E4140)-LEN(SUBSTITUTE(E4140,"/",""))+2,LEN(E4140)-LEN(SUBSTITUTE(E4140,"/",""))+1))</f>
        <v/>
      </c>
      <c r="I4140" s="78">
        <f>IF(ISBLANK(G4140),"",IF(D4140="Stock","0",Key!$A$3*H4140*G4140))</f>
        <v/>
      </c>
      <c r="J4140" s="78">
        <f>IF(ISBLANK(E4140),"",IF(ISNUMBER(SEARCH("/",E4140)), IF(LEN(E4140)-LEN(SUBSTITUTE(E4140,"/",""))=1,(RIGHT(E4140,LEN(E4140)-FIND("/",E4140)))-(LEFT(E4140,FIND("/",E4140)-1)),(MID(E4140, SEARCH("/",E4140) + 1, SEARCH("/",E4140, SEARCH("/",E4140)+1) - SEARCH("/",E4140) - 1))-(LEFT(E4140,FIND("/",E4140)-1))), "NA"))</f>
        <v/>
      </c>
      <c r="K4140" s="79">
        <f>IF(A4140&lt;&gt;"", IF(ISBLANK(L4140), TODAY(), K4140), "")</f>
        <v/>
      </c>
      <c r="L4140" s="78" t="n"/>
      <c r="M4140" s="78">
        <f>IF(ISBLANK(L4140),"",IF(D4140="Stock",IF(C4140="Buy",L4140*G4140,IF(C4140="Sell",(L4140*G4140)-I4140, X)),IF(C4140="Buy",(L4140*G4140*100)+I4140,IF(C4140="Sell",(L4140*G4140*100)-I4140, X))))</f>
        <v/>
      </c>
      <c r="N4140" s="78">
        <f>IF(ISBLANK(L4140),"",IF(AND(C4140="Sell",D4140="Stock"),M4140,IF(ISBLANK(L4140),"",IF(C4140="Buy",M4140, IF(AND(C4140="Sell",J4140="NA"),(E4140*G4140*100*0.1)+I4140, IF(C4140="Sell",(J4140-L4140)*(100*G4140)+I4140))))))</f>
        <v/>
      </c>
      <c r="O4140" s="75" t="n"/>
      <c r="P4140" s="75" t="n"/>
      <c r="Q4140" s="75">
        <f>IF(ISBLANK(P4140),"",IF(D4140="Stock",P4140*G4140,IF(P4140=0,"0",G4140*P4140*100-(G4140*$AF$14))))</f>
        <v/>
      </c>
      <c r="R4140" s="79">
        <f>IF(P4140&lt;&gt;"", TODAY(), "")</f>
        <v/>
      </c>
      <c r="S4140" s="78">
        <f>IF(AND(K4140&lt;&gt;"", R4140&lt;&gt;""), R4140-K4140, "")</f>
        <v/>
      </c>
      <c r="T4140" s="78" t="n"/>
      <c r="U4140" s="92">
        <f>IF(ISBLANK(P4140),"",IF(C4140="Buy",Q4140-M4140+T4140, IF(C4140="Sell",M4140-Q4140-T4140, X)))</f>
        <v/>
      </c>
      <c r="V4140" s="81">
        <f>IF(ISBLANK(P4140),"",U4140/N4140)</f>
        <v/>
      </c>
      <c r="W4140" s="81">
        <f>IF(ISBLANK(P4140),"",IF(S4140=0,(365/0.5)*V4140,(365/S4140)*V4140))</f>
        <v/>
      </c>
      <c r="X4140" s="75" t="n"/>
      <c r="Y4140" s="77" t="n"/>
      <c r="Z4140" s="77" t="n"/>
      <c r="AA4140" s="75" t="n"/>
      <c r="AB4140" s="75" t="n"/>
      <c r="AC4140" s="6" t="n"/>
      <c r="AD4140" s="75" t="n"/>
      <c r="AE4140" s="75" t="n"/>
      <c r="AF4140" s="75" t="n"/>
    </row>
    <row r="4141" ht="15.75" customHeight="1" s="133">
      <c r="A4141" s="75" t="n"/>
      <c r="B4141" s="75" t="n"/>
      <c r="C4141" s="75" t="n"/>
      <c r="D4141" s="75" t="n"/>
      <c r="E4141" s="76" t="n"/>
      <c r="F4141" s="77" t="n"/>
      <c r="G4141" s="75" t="n"/>
      <c r="H4141" s="75">
        <f>IF(ISBLANK(E4141),"",IF(OR(D4141="Butterfly",D4141="Butterfly ",D4141="Iron Fly", D4141="Iron Fly "),LEN(E4141)-LEN(SUBSTITUTE(E4141,"/",""))+2,LEN(E4141)-LEN(SUBSTITUTE(E4141,"/",""))+1))</f>
        <v/>
      </c>
      <c r="I4141" s="78">
        <f>IF(ISBLANK(G4141),"",IF(D4141="Stock","0",Key!$A$3*H4141*G4141))</f>
        <v/>
      </c>
      <c r="J4141" s="78">
        <f>IF(ISBLANK(E4141),"",IF(ISNUMBER(SEARCH("/",E4141)), IF(LEN(E4141)-LEN(SUBSTITUTE(E4141,"/",""))=1,(RIGHT(E4141,LEN(E4141)-FIND("/",E4141)))-(LEFT(E4141,FIND("/",E4141)-1)),(MID(E4141, SEARCH("/",E4141) + 1, SEARCH("/",E4141, SEARCH("/",E4141)+1) - SEARCH("/",E4141) - 1))-(LEFT(E4141,FIND("/",E4141)-1))), "NA"))</f>
        <v/>
      </c>
      <c r="K4141" s="79">
        <f>IF(A4141&lt;&gt;"", IF(ISBLANK(L4141), TODAY(), K4141), "")</f>
        <v/>
      </c>
      <c r="L4141" s="78" t="n"/>
      <c r="M4141" s="78">
        <f>IF(ISBLANK(L4141),"",IF(D4141="Stock",IF(C4141="Buy",L4141*G4141,IF(C4141="Sell",(L4141*G4141)-I4141, X)),IF(C4141="Buy",(L4141*G4141*100)+I4141,IF(C4141="Sell",(L4141*G4141*100)-I4141, X))))</f>
        <v/>
      </c>
      <c r="N4141" s="78">
        <f>IF(ISBLANK(L4141),"",IF(AND(C4141="Sell",D4141="Stock"),M4141,IF(ISBLANK(L4141),"",IF(C4141="Buy",M4141, IF(AND(C4141="Sell",J4141="NA"),(E4141*G4141*100*0.1)+I4141, IF(C4141="Sell",(J4141-L4141)*(100*G4141)+I4141))))))</f>
        <v/>
      </c>
      <c r="O4141" s="75" t="n"/>
      <c r="P4141" s="75" t="n"/>
      <c r="Q4141" s="75">
        <f>IF(ISBLANK(P4141),"",IF(D4141="Stock",P4141*G4141,IF(P4141=0,"0",G4141*P4141*100-(G4141*$AF$14))))</f>
        <v/>
      </c>
      <c r="R4141" s="79">
        <f>IF(P4141&lt;&gt;"", TODAY(), "")</f>
        <v/>
      </c>
      <c r="S4141" s="78">
        <f>IF(AND(K4141&lt;&gt;"", R4141&lt;&gt;""), R4141-K4141, "")</f>
        <v/>
      </c>
      <c r="T4141" s="78" t="n"/>
      <c r="U4141" s="92">
        <f>IF(ISBLANK(P4141),"",IF(C4141="Buy",Q4141-M4141+T4141, IF(C4141="Sell",M4141-Q4141-T4141, X)))</f>
        <v/>
      </c>
      <c r="V4141" s="81">
        <f>IF(ISBLANK(P4141),"",U4141/N4141)</f>
        <v/>
      </c>
      <c r="W4141" s="81">
        <f>IF(ISBLANK(P4141),"",IF(S4141=0,(365/0.5)*V4141,(365/S4141)*V4141))</f>
        <v/>
      </c>
      <c r="X4141" s="75" t="n"/>
      <c r="Y4141" s="77" t="n"/>
      <c r="Z4141" s="77" t="n"/>
      <c r="AA4141" s="75" t="n"/>
      <c r="AB4141" s="75" t="n"/>
      <c r="AC4141" s="6" t="n"/>
      <c r="AD4141" s="75" t="n"/>
      <c r="AE4141" s="75" t="n"/>
      <c r="AF4141" s="75" t="n"/>
    </row>
    <row r="4142" ht="15.75" customHeight="1" s="133">
      <c r="A4142" s="75" t="n"/>
      <c r="B4142" s="75" t="n"/>
      <c r="C4142" s="75" t="n"/>
      <c r="D4142" s="75" t="n"/>
      <c r="E4142" s="76" t="n"/>
      <c r="F4142" s="77" t="n"/>
      <c r="G4142" s="75" t="n"/>
      <c r="H4142" s="75">
        <f>IF(ISBLANK(E4142),"",IF(OR(D4142="Butterfly",D4142="Butterfly ",D4142="Iron Fly", D4142="Iron Fly "),LEN(E4142)-LEN(SUBSTITUTE(E4142,"/",""))+2,LEN(E4142)-LEN(SUBSTITUTE(E4142,"/",""))+1))</f>
        <v/>
      </c>
      <c r="I4142" s="78">
        <f>IF(ISBLANK(G4142),"",IF(D4142="Stock","0",Key!$A$3*H4142*G4142))</f>
        <v/>
      </c>
      <c r="J4142" s="78">
        <f>IF(ISBLANK(E4142),"",IF(ISNUMBER(SEARCH("/",E4142)), IF(LEN(E4142)-LEN(SUBSTITUTE(E4142,"/",""))=1,(RIGHT(E4142,LEN(E4142)-FIND("/",E4142)))-(LEFT(E4142,FIND("/",E4142)-1)),(MID(E4142, SEARCH("/",E4142) + 1, SEARCH("/",E4142, SEARCH("/",E4142)+1) - SEARCH("/",E4142) - 1))-(LEFT(E4142,FIND("/",E4142)-1))), "NA"))</f>
        <v/>
      </c>
      <c r="K4142" s="79">
        <f>IF(A4142&lt;&gt;"", IF(ISBLANK(L4142), TODAY(), K4142), "")</f>
        <v/>
      </c>
      <c r="L4142" s="78" t="n"/>
      <c r="M4142" s="78">
        <f>IF(ISBLANK(L4142),"",IF(D4142="Stock",IF(C4142="Buy",L4142*G4142,IF(C4142="Sell",(L4142*G4142)-I4142, X)),IF(C4142="Buy",(L4142*G4142*100)+I4142,IF(C4142="Sell",(L4142*G4142*100)-I4142, X))))</f>
        <v/>
      </c>
      <c r="N4142" s="78">
        <f>IF(ISBLANK(L4142),"",IF(AND(C4142="Sell",D4142="Stock"),M4142,IF(ISBLANK(L4142),"",IF(C4142="Buy",M4142, IF(AND(C4142="Sell",J4142="NA"),(E4142*G4142*100*0.1)+I4142, IF(C4142="Sell",(J4142-L4142)*(100*G4142)+I4142))))))</f>
        <v/>
      </c>
      <c r="O4142" s="75" t="n"/>
      <c r="P4142" s="75" t="n"/>
      <c r="Q4142" s="75">
        <f>IF(ISBLANK(P4142),"",IF(D4142="Stock",P4142*G4142,IF(P4142=0,"0",G4142*P4142*100-(G4142*$AF$14))))</f>
        <v/>
      </c>
      <c r="R4142" s="79">
        <f>IF(P4142&lt;&gt;"", TODAY(), "")</f>
        <v/>
      </c>
      <c r="S4142" s="78">
        <f>IF(AND(K4142&lt;&gt;"", R4142&lt;&gt;""), R4142-K4142, "")</f>
        <v/>
      </c>
      <c r="T4142" s="78" t="n"/>
      <c r="U4142" s="92">
        <f>IF(ISBLANK(P4142),"",IF(C4142="Buy",Q4142-M4142+T4142, IF(C4142="Sell",M4142-Q4142-T4142, X)))</f>
        <v/>
      </c>
      <c r="V4142" s="81">
        <f>IF(ISBLANK(P4142),"",U4142/N4142)</f>
        <v/>
      </c>
      <c r="W4142" s="81">
        <f>IF(ISBLANK(P4142),"",IF(S4142=0,(365/0.5)*V4142,(365/S4142)*V4142))</f>
        <v/>
      </c>
      <c r="X4142" s="75" t="n"/>
      <c r="Y4142" s="77" t="n"/>
      <c r="Z4142" s="77" t="n"/>
      <c r="AA4142" s="75" t="n"/>
      <c r="AB4142" s="75" t="n"/>
      <c r="AC4142" s="6" t="n"/>
      <c r="AD4142" s="75" t="n"/>
      <c r="AE4142" s="75" t="n"/>
      <c r="AF4142" s="75" t="n"/>
    </row>
    <row r="4143" ht="15.75" customHeight="1" s="133">
      <c r="A4143" s="75" t="n"/>
      <c r="B4143" s="75" t="n"/>
      <c r="C4143" s="75" t="n"/>
      <c r="D4143" s="75" t="n"/>
      <c r="E4143" s="76" t="n"/>
      <c r="F4143" s="77" t="n"/>
      <c r="G4143" s="75" t="n"/>
      <c r="H4143" s="75">
        <f>IF(ISBLANK(E4143),"",IF(OR(D4143="Butterfly",D4143="Butterfly ",D4143="Iron Fly", D4143="Iron Fly "),LEN(E4143)-LEN(SUBSTITUTE(E4143,"/",""))+2,LEN(E4143)-LEN(SUBSTITUTE(E4143,"/",""))+1))</f>
        <v/>
      </c>
      <c r="I4143" s="78">
        <f>IF(ISBLANK(G4143),"",IF(D4143="Stock","0",Key!$A$3*H4143*G4143))</f>
        <v/>
      </c>
      <c r="J4143" s="78">
        <f>IF(ISBLANK(E4143),"",IF(ISNUMBER(SEARCH("/",E4143)), IF(LEN(E4143)-LEN(SUBSTITUTE(E4143,"/",""))=1,(RIGHT(E4143,LEN(E4143)-FIND("/",E4143)))-(LEFT(E4143,FIND("/",E4143)-1)),(MID(E4143, SEARCH("/",E4143) + 1, SEARCH("/",E4143, SEARCH("/",E4143)+1) - SEARCH("/",E4143) - 1))-(LEFT(E4143,FIND("/",E4143)-1))), "NA"))</f>
        <v/>
      </c>
      <c r="K4143" s="79">
        <f>IF(A4143&lt;&gt;"", IF(ISBLANK(L4143), TODAY(), K4143), "")</f>
        <v/>
      </c>
      <c r="L4143" s="78" t="n"/>
      <c r="M4143" s="78">
        <f>IF(ISBLANK(L4143),"",IF(D4143="Stock",IF(C4143="Buy",L4143*G4143,IF(C4143="Sell",(L4143*G4143)-I4143, X)),IF(C4143="Buy",(L4143*G4143*100)+I4143,IF(C4143="Sell",(L4143*G4143*100)-I4143, X))))</f>
        <v/>
      </c>
      <c r="N4143" s="78">
        <f>IF(ISBLANK(L4143),"",IF(AND(C4143="Sell",D4143="Stock"),M4143,IF(ISBLANK(L4143),"",IF(C4143="Buy",M4143, IF(AND(C4143="Sell",J4143="NA"),(E4143*G4143*100*0.1)+I4143, IF(C4143="Sell",(J4143-L4143)*(100*G4143)+I4143))))))</f>
        <v/>
      </c>
      <c r="O4143" s="75" t="n"/>
      <c r="P4143" s="75" t="n"/>
      <c r="Q4143" s="75">
        <f>IF(ISBLANK(P4143),"",IF(D4143="Stock",P4143*G4143,IF(P4143=0,"0",G4143*P4143*100-(G4143*$AF$14))))</f>
        <v/>
      </c>
      <c r="R4143" s="79">
        <f>IF(P4143&lt;&gt;"", TODAY(), "")</f>
        <v/>
      </c>
      <c r="S4143" s="78">
        <f>IF(AND(K4143&lt;&gt;"", R4143&lt;&gt;""), R4143-K4143, "")</f>
        <v/>
      </c>
      <c r="T4143" s="78" t="n"/>
      <c r="U4143" s="92">
        <f>IF(ISBLANK(P4143),"",IF(C4143="Buy",Q4143-M4143+T4143, IF(C4143="Sell",M4143-Q4143-T4143, X)))</f>
        <v/>
      </c>
      <c r="V4143" s="81">
        <f>IF(ISBLANK(P4143),"",U4143/N4143)</f>
        <v/>
      </c>
      <c r="W4143" s="81">
        <f>IF(ISBLANK(P4143),"",IF(S4143=0,(365/0.5)*V4143,(365/S4143)*V4143))</f>
        <v/>
      </c>
      <c r="X4143" s="75" t="n"/>
      <c r="Y4143" s="77" t="n"/>
      <c r="Z4143" s="77" t="n"/>
      <c r="AA4143" s="75" t="n"/>
      <c r="AB4143" s="75" t="n"/>
      <c r="AC4143" s="6" t="n"/>
      <c r="AD4143" s="75" t="n"/>
      <c r="AE4143" s="75" t="n"/>
      <c r="AF4143" s="75" t="n"/>
    </row>
    <row r="4144" ht="15.75" customHeight="1" s="133">
      <c r="A4144" s="75" t="n"/>
      <c r="B4144" s="75" t="n"/>
      <c r="C4144" s="75" t="n"/>
      <c r="D4144" s="75" t="n"/>
      <c r="E4144" s="76" t="n"/>
      <c r="F4144" s="77" t="n"/>
      <c r="G4144" s="75" t="n"/>
      <c r="H4144" s="75">
        <f>IF(ISBLANK(E4144),"",IF(OR(D4144="Butterfly",D4144="Butterfly ",D4144="Iron Fly", D4144="Iron Fly "),LEN(E4144)-LEN(SUBSTITUTE(E4144,"/",""))+2,LEN(E4144)-LEN(SUBSTITUTE(E4144,"/",""))+1))</f>
        <v/>
      </c>
      <c r="I4144" s="78">
        <f>IF(ISBLANK(G4144),"",IF(D4144="Stock","0",Key!$A$3*H4144*G4144))</f>
        <v/>
      </c>
      <c r="J4144" s="78">
        <f>IF(ISBLANK(E4144),"",IF(ISNUMBER(SEARCH("/",E4144)), IF(LEN(E4144)-LEN(SUBSTITUTE(E4144,"/",""))=1,(RIGHT(E4144,LEN(E4144)-FIND("/",E4144)))-(LEFT(E4144,FIND("/",E4144)-1)),(MID(E4144, SEARCH("/",E4144) + 1, SEARCH("/",E4144, SEARCH("/",E4144)+1) - SEARCH("/",E4144) - 1))-(LEFT(E4144,FIND("/",E4144)-1))), "NA"))</f>
        <v/>
      </c>
      <c r="K4144" s="79">
        <f>IF(A4144&lt;&gt;"", IF(ISBLANK(L4144), TODAY(), K4144), "")</f>
        <v/>
      </c>
      <c r="L4144" s="78" t="n"/>
      <c r="M4144" s="78">
        <f>IF(ISBLANK(L4144),"",IF(D4144="Stock",IF(C4144="Buy",L4144*G4144,IF(C4144="Sell",(L4144*G4144)-I4144, X)),IF(C4144="Buy",(L4144*G4144*100)+I4144,IF(C4144="Sell",(L4144*G4144*100)-I4144, X))))</f>
        <v/>
      </c>
      <c r="N4144" s="78">
        <f>IF(ISBLANK(L4144),"",IF(AND(C4144="Sell",D4144="Stock"),M4144,IF(ISBLANK(L4144),"",IF(C4144="Buy",M4144, IF(AND(C4144="Sell",J4144="NA"),(E4144*G4144*100*0.1)+I4144, IF(C4144="Sell",(J4144-L4144)*(100*G4144)+I4144))))))</f>
        <v/>
      </c>
      <c r="O4144" s="75" t="n"/>
      <c r="P4144" s="75" t="n"/>
      <c r="Q4144" s="75">
        <f>IF(ISBLANK(P4144),"",IF(D4144="Stock",P4144*G4144,IF(P4144=0,"0",G4144*P4144*100-(G4144*$AF$14))))</f>
        <v/>
      </c>
      <c r="R4144" s="79">
        <f>IF(P4144&lt;&gt;"", TODAY(), "")</f>
        <v/>
      </c>
      <c r="S4144" s="78">
        <f>IF(AND(K4144&lt;&gt;"", R4144&lt;&gt;""), R4144-K4144, "")</f>
        <v/>
      </c>
      <c r="T4144" s="78" t="n"/>
      <c r="U4144" s="92">
        <f>IF(ISBLANK(P4144),"",IF(C4144="Buy",Q4144-M4144+T4144, IF(C4144="Sell",M4144-Q4144-T4144, X)))</f>
        <v/>
      </c>
      <c r="V4144" s="81">
        <f>IF(ISBLANK(P4144),"",U4144/N4144)</f>
        <v/>
      </c>
      <c r="W4144" s="81">
        <f>IF(ISBLANK(P4144),"",IF(S4144=0,(365/0.5)*V4144,(365/S4144)*V4144))</f>
        <v/>
      </c>
      <c r="X4144" s="75" t="n"/>
      <c r="Y4144" s="77" t="n"/>
      <c r="Z4144" s="77" t="n"/>
      <c r="AA4144" s="75" t="n"/>
      <c r="AB4144" s="75" t="n"/>
      <c r="AC4144" s="6" t="n"/>
      <c r="AD4144" s="75" t="n"/>
      <c r="AE4144" s="75" t="n"/>
      <c r="AF4144" s="75" t="n"/>
    </row>
    <row r="4145" ht="15.75" customHeight="1" s="133">
      <c r="A4145" s="75" t="n"/>
      <c r="B4145" s="75" t="n"/>
      <c r="C4145" s="75" t="n"/>
      <c r="D4145" s="75" t="n"/>
      <c r="E4145" s="76" t="n"/>
      <c r="F4145" s="77" t="n"/>
      <c r="G4145" s="75" t="n"/>
      <c r="H4145" s="75">
        <f>IF(ISBLANK(E4145),"",IF(OR(D4145="Butterfly",D4145="Butterfly ",D4145="Iron Fly", D4145="Iron Fly "),LEN(E4145)-LEN(SUBSTITUTE(E4145,"/",""))+2,LEN(E4145)-LEN(SUBSTITUTE(E4145,"/",""))+1))</f>
        <v/>
      </c>
      <c r="I4145" s="78">
        <f>IF(ISBLANK(G4145),"",IF(D4145="Stock","0",Key!$A$3*H4145*G4145))</f>
        <v/>
      </c>
      <c r="J4145" s="78">
        <f>IF(ISBLANK(E4145),"",IF(ISNUMBER(SEARCH("/",E4145)), IF(LEN(E4145)-LEN(SUBSTITUTE(E4145,"/",""))=1,(RIGHT(E4145,LEN(E4145)-FIND("/",E4145)))-(LEFT(E4145,FIND("/",E4145)-1)),(MID(E4145, SEARCH("/",E4145) + 1, SEARCH("/",E4145, SEARCH("/",E4145)+1) - SEARCH("/",E4145) - 1))-(LEFT(E4145,FIND("/",E4145)-1))), "NA"))</f>
        <v/>
      </c>
      <c r="K4145" s="79">
        <f>IF(A4145&lt;&gt;"", IF(ISBLANK(L4145), TODAY(), K4145), "")</f>
        <v/>
      </c>
      <c r="L4145" s="78" t="n"/>
      <c r="M4145" s="78">
        <f>IF(ISBLANK(L4145),"",IF(D4145="Stock",IF(C4145="Buy",L4145*G4145,IF(C4145="Sell",(L4145*G4145)-I4145, X)),IF(C4145="Buy",(L4145*G4145*100)+I4145,IF(C4145="Sell",(L4145*G4145*100)-I4145, X))))</f>
        <v/>
      </c>
      <c r="N4145" s="78">
        <f>IF(ISBLANK(L4145),"",IF(AND(C4145="Sell",D4145="Stock"),M4145,IF(ISBLANK(L4145),"",IF(C4145="Buy",M4145, IF(AND(C4145="Sell",J4145="NA"),(E4145*G4145*100*0.1)+I4145, IF(C4145="Sell",(J4145-L4145)*(100*G4145)+I4145))))))</f>
        <v/>
      </c>
      <c r="O4145" s="75" t="n"/>
      <c r="P4145" s="75" t="n"/>
      <c r="Q4145" s="75">
        <f>IF(ISBLANK(P4145),"",IF(D4145="Stock",P4145*G4145,IF(P4145=0,"0",G4145*P4145*100-(G4145*$AF$14))))</f>
        <v/>
      </c>
      <c r="R4145" s="79">
        <f>IF(P4145&lt;&gt;"", TODAY(), "")</f>
        <v/>
      </c>
      <c r="S4145" s="78">
        <f>IF(AND(K4145&lt;&gt;"", R4145&lt;&gt;""), R4145-K4145, "")</f>
        <v/>
      </c>
      <c r="T4145" s="78" t="n"/>
      <c r="U4145" s="92">
        <f>IF(ISBLANK(P4145),"",IF(C4145="Buy",Q4145-M4145+T4145, IF(C4145="Sell",M4145-Q4145-T4145, X)))</f>
        <v/>
      </c>
      <c r="V4145" s="81">
        <f>IF(ISBLANK(P4145),"",U4145/N4145)</f>
        <v/>
      </c>
      <c r="W4145" s="81">
        <f>IF(ISBLANK(P4145),"",IF(S4145=0,(365/0.5)*V4145,(365/S4145)*V4145))</f>
        <v/>
      </c>
      <c r="X4145" s="75" t="n"/>
      <c r="Y4145" s="77" t="n"/>
      <c r="Z4145" s="77" t="n"/>
      <c r="AA4145" s="75" t="n"/>
      <c r="AB4145" s="75" t="n"/>
      <c r="AC4145" s="6" t="n"/>
      <c r="AD4145" s="75" t="n"/>
      <c r="AE4145" s="75" t="n"/>
      <c r="AF4145" s="75" t="n"/>
    </row>
    <row r="4146" ht="15.75" customHeight="1" s="133">
      <c r="A4146" s="75" t="n"/>
      <c r="B4146" s="75" t="n"/>
      <c r="C4146" s="75" t="n"/>
      <c r="D4146" s="75" t="n"/>
      <c r="E4146" s="76" t="n"/>
      <c r="F4146" s="77" t="n"/>
      <c r="G4146" s="75" t="n"/>
      <c r="H4146" s="75">
        <f>IF(ISBLANK(E4146),"",IF(OR(D4146="Butterfly",D4146="Butterfly ",D4146="Iron Fly", D4146="Iron Fly "),LEN(E4146)-LEN(SUBSTITUTE(E4146,"/",""))+2,LEN(E4146)-LEN(SUBSTITUTE(E4146,"/",""))+1))</f>
        <v/>
      </c>
      <c r="I4146" s="78">
        <f>IF(ISBLANK(G4146),"",IF(D4146="Stock","0",Key!$A$3*H4146*G4146))</f>
        <v/>
      </c>
      <c r="J4146" s="78">
        <f>IF(ISBLANK(E4146),"",IF(ISNUMBER(SEARCH("/",E4146)), IF(LEN(E4146)-LEN(SUBSTITUTE(E4146,"/",""))=1,(RIGHT(E4146,LEN(E4146)-FIND("/",E4146)))-(LEFT(E4146,FIND("/",E4146)-1)),(MID(E4146, SEARCH("/",E4146) + 1, SEARCH("/",E4146, SEARCH("/",E4146)+1) - SEARCH("/",E4146) - 1))-(LEFT(E4146,FIND("/",E4146)-1))), "NA"))</f>
        <v/>
      </c>
      <c r="K4146" s="79">
        <f>IF(A4146&lt;&gt;"", IF(ISBLANK(L4146), TODAY(), K4146), "")</f>
        <v/>
      </c>
      <c r="L4146" s="78" t="n"/>
      <c r="M4146" s="78">
        <f>IF(ISBLANK(L4146),"",IF(D4146="Stock",IF(C4146="Buy",L4146*G4146,IF(C4146="Sell",(L4146*G4146)-I4146, X)),IF(C4146="Buy",(L4146*G4146*100)+I4146,IF(C4146="Sell",(L4146*G4146*100)-I4146, X))))</f>
        <v/>
      </c>
      <c r="N4146" s="78">
        <f>IF(ISBLANK(L4146),"",IF(AND(C4146="Sell",D4146="Stock"),M4146,IF(ISBLANK(L4146),"",IF(C4146="Buy",M4146, IF(AND(C4146="Sell",J4146="NA"),(E4146*G4146*100*0.1)+I4146, IF(C4146="Sell",(J4146-L4146)*(100*G4146)+I4146))))))</f>
        <v/>
      </c>
      <c r="O4146" s="75" t="n"/>
      <c r="P4146" s="75" t="n"/>
      <c r="Q4146" s="75">
        <f>IF(ISBLANK(P4146),"",IF(D4146="Stock",P4146*G4146,IF(P4146=0,"0",G4146*P4146*100-(G4146*$AF$14))))</f>
        <v/>
      </c>
      <c r="R4146" s="79">
        <f>IF(P4146&lt;&gt;"", TODAY(), "")</f>
        <v/>
      </c>
      <c r="S4146" s="78">
        <f>IF(AND(K4146&lt;&gt;"", R4146&lt;&gt;""), R4146-K4146, "")</f>
        <v/>
      </c>
      <c r="T4146" s="78" t="n"/>
      <c r="U4146" s="92">
        <f>IF(ISBLANK(P4146),"",IF(C4146="Buy",Q4146-M4146+T4146, IF(C4146="Sell",M4146-Q4146-T4146, X)))</f>
        <v/>
      </c>
      <c r="V4146" s="81">
        <f>IF(ISBLANK(P4146),"",U4146/N4146)</f>
        <v/>
      </c>
      <c r="W4146" s="81">
        <f>IF(ISBLANK(P4146),"",IF(S4146=0,(365/0.5)*V4146,(365/S4146)*V4146))</f>
        <v/>
      </c>
      <c r="X4146" s="75" t="n"/>
      <c r="Y4146" s="77" t="n"/>
      <c r="Z4146" s="77" t="n"/>
      <c r="AA4146" s="75" t="n"/>
      <c r="AB4146" s="75" t="n"/>
      <c r="AC4146" s="6" t="n"/>
      <c r="AD4146" s="75" t="n"/>
      <c r="AE4146" s="75" t="n"/>
      <c r="AF4146" s="75" t="n"/>
    </row>
    <row r="4147" ht="15.75" customHeight="1" s="133">
      <c r="A4147" s="75" t="n"/>
      <c r="B4147" s="75" t="n"/>
      <c r="C4147" s="75" t="n"/>
      <c r="D4147" s="75" t="n"/>
      <c r="E4147" s="76" t="n"/>
      <c r="F4147" s="77" t="n"/>
      <c r="G4147" s="75" t="n"/>
      <c r="H4147" s="75">
        <f>IF(ISBLANK(E4147),"",IF(OR(D4147="Butterfly",D4147="Butterfly ",D4147="Iron Fly", D4147="Iron Fly "),LEN(E4147)-LEN(SUBSTITUTE(E4147,"/",""))+2,LEN(E4147)-LEN(SUBSTITUTE(E4147,"/",""))+1))</f>
        <v/>
      </c>
      <c r="I4147" s="78">
        <f>IF(ISBLANK(G4147),"",IF(D4147="Stock","0",Key!$A$3*H4147*G4147))</f>
        <v/>
      </c>
      <c r="J4147" s="78">
        <f>IF(ISBLANK(E4147),"",IF(ISNUMBER(SEARCH("/",E4147)), IF(LEN(E4147)-LEN(SUBSTITUTE(E4147,"/",""))=1,(RIGHT(E4147,LEN(E4147)-FIND("/",E4147)))-(LEFT(E4147,FIND("/",E4147)-1)),(MID(E4147, SEARCH("/",E4147) + 1, SEARCH("/",E4147, SEARCH("/",E4147)+1) - SEARCH("/",E4147) - 1))-(LEFT(E4147,FIND("/",E4147)-1))), "NA"))</f>
        <v/>
      </c>
      <c r="K4147" s="79">
        <f>IF(A4147&lt;&gt;"", IF(ISBLANK(L4147), TODAY(), K4147), "")</f>
        <v/>
      </c>
      <c r="L4147" s="78" t="n"/>
      <c r="M4147" s="78">
        <f>IF(ISBLANK(L4147),"",IF(D4147="Stock",IF(C4147="Buy",L4147*G4147,IF(C4147="Sell",(L4147*G4147)-I4147, X)),IF(C4147="Buy",(L4147*G4147*100)+I4147,IF(C4147="Sell",(L4147*G4147*100)-I4147, X))))</f>
        <v/>
      </c>
      <c r="N4147" s="78">
        <f>IF(ISBLANK(L4147),"",IF(AND(C4147="Sell",D4147="Stock"),M4147,IF(ISBLANK(L4147),"",IF(C4147="Buy",M4147, IF(AND(C4147="Sell",J4147="NA"),(E4147*G4147*100*0.1)+I4147, IF(C4147="Sell",(J4147-L4147)*(100*G4147)+I4147))))))</f>
        <v/>
      </c>
      <c r="O4147" s="75" t="n"/>
      <c r="P4147" s="75" t="n"/>
      <c r="Q4147" s="75">
        <f>IF(ISBLANK(P4147),"",IF(D4147="Stock",P4147*G4147,IF(P4147=0,"0",G4147*P4147*100-(G4147*$AF$14))))</f>
        <v/>
      </c>
      <c r="R4147" s="79">
        <f>IF(P4147&lt;&gt;"", TODAY(), "")</f>
        <v/>
      </c>
      <c r="S4147" s="78">
        <f>IF(AND(K4147&lt;&gt;"", R4147&lt;&gt;""), R4147-K4147, "")</f>
        <v/>
      </c>
      <c r="T4147" s="78" t="n"/>
      <c r="U4147" s="92">
        <f>IF(ISBLANK(P4147),"",IF(C4147="Buy",Q4147-M4147+T4147, IF(C4147="Sell",M4147-Q4147-T4147, X)))</f>
        <v/>
      </c>
      <c r="V4147" s="81">
        <f>IF(ISBLANK(P4147),"",U4147/N4147)</f>
        <v/>
      </c>
      <c r="W4147" s="81">
        <f>IF(ISBLANK(P4147),"",IF(S4147=0,(365/0.5)*V4147,(365/S4147)*V4147))</f>
        <v/>
      </c>
      <c r="X4147" s="75" t="n"/>
      <c r="Y4147" s="77" t="n"/>
      <c r="Z4147" s="77" t="n"/>
      <c r="AA4147" s="75" t="n"/>
      <c r="AB4147" s="75" t="n"/>
      <c r="AC4147" s="6" t="n"/>
      <c r="AD4147" s="75" t="n"/>
      <c r="AE4147" s="75" t="n"/>
      <c r="AF4147" s="75" t="n"/>
    </row>
    <row r="4148" ht="15.75" customHeight="1" s="133">
      <c r="A4148" s="75" t="n"/>
      <c r="B4148" s="75" t="n"/>
      <c r="C4148" s="75" t="n"/>
      <c r="D4148" s="75" t="n"/>
      <c r="E4148" s="76" t="n"/>
      <c r="F4148" s="77" t="n"/>
      <c r="G4148" s="75" t="n"/>
      <c r="H4148" s="75">
        <f>IF(ISBLANK(E4148),"",IF(OR(D4148="Butterfly",D4148="Butterfly ",D4148="Iron Fly", D4148="Iron Fly "),LEN(E4148)-LEN(SUBSTITUTE(E4148,"/",""))+2,LEN(E4148)-LEN(SUBSTITUTE(E4148,"/",""))+1))</f>
        <v/>
      </c>
      <c r="I4148" s="78">
        <f>IF(ISBLANK(G4148),"",IF(D4148="Stock","0",Key!$A$3*H4148*G4148))</f>
        <v/>
      </c>
      <c r="J4148" s="78">
        <f>IF(ISBLANK(E4148),"",IF(ISNUMBER(SEARCH("/",E4148)), IF(LEN(E4148)-LEN(SUBSTITUTE(E4148,"/",""))=1,(RIGHT(E4148,LEN(E4148)-FIND("/",E4148)))-(LEFT(E4148,FIND("/",E4148)-1)),(MID(E4148, SEARCH("/",E4148) + 1, SEARCH("/",E4148, SEARCH("/",E4148)+1) - SEARCH("/",E4148) - 1))-(LEFT(E4148,FIND("/",E4148)-1))), "NA"))</f>
        <v/>
      </c>
      <c r="K4148" s="79">
        <f>IF(A4148&lt;&gt;"", IF(ISBLANK(L4148), TODAY(), K4148), "")</f>
        <v/>
      </c>
      <c r="L4148" s="78" t="n"/>
      <c r="M4148" s="78">
        <f>IF(ISBLANK(L4148),"",IF(D4148="Stock",IF(C4148="Buy",L4148*G4148,IF(C4148="Sell",(L4148*G4148)-I4148, X)),IF(C4148="Buy",(L4148*G4148*100)+I4148,IF(C4148="Sell",(L4148*G4148*100)-I4148, X))))</f>
        <v/>
      </c>
      <c r="N4148" s="78">
        <f>IF(ISBLANK(L4148),"",IF(AND(C4148="Sell",D4148="Stock"),M4148,IF(ISBLANK(L4148),"",IF(C4148="Buy",M4148, IF(AND(C4148="Sell",J4148="NA"),(E4148*G4148*100*0.1)+I4148, IF(C4148="Sell",(J4148-L4148)*(100*G4148)+I4148))))))</f>
        <v/>
      </c>
      <c r="O4148" s="75" t="n"/>
      <c r="P4148" s="75" t="n"/>
      <c r="Q4148" s="75">
        <f>IF(ISBLANK(P4148),"",IF(D4148="Stock",P4148*G4148,IF(P4148=0,"0",G4148*P4148*100-(G4148*$AF$14))))</f>
        <v/>
      </c>
      <c r="R4148" s="79">
        <f>IF(P4148&lt;&gt;"", TODAY(), "")</f>
        <v/>
      </c>
      <c r="S4148" s="78">
        <f>IF(AND(K4148&lt;&gt;"", R4148&lt;&gt;""), R4148-K4148, "")</f>
        <v/>
      </c>
      <c r="T4148" s="78" t="n"/>
      <c r="U4148" s="92">
        <f>IF(ISBLANK(P4148),"",IF(C4148="Buy",Q4148-M4148+T4148, IF(C4148="Sell",M4148-Q4148-T4148, X)))</f>
        <v/>
      </c>
      <c r="V4148" s="81">
        <f>IF(ISBLANK(P4148),"",U4148/N4148)</f>
        <v/>
      </c>
      <c r="W4148" s="81">
        <f>IF(ISBLANK(P4148),"",IF(S4148=0,(365/0.5)*V4148,(365/S4148)*V4148))</f>
        <v/>
      </c>
      <c r="X4148" s="75" t="n"/>
      <c r="Y4148" s="77" t="n"/>
      <c r="Z4148" s="77" t="n"/>
      <c r="AA4148" s="75" t="n"/>
      <c r="AB4148" s="75" t="n"/>
      <c r="AC4148" s="6" t="n"/>
      <c r="AD4148" s="75" t="n"/>
      <c r="AE4148" s="75" t="n"/>
      <c r="AF4148" s="75" t="n"/>
    </row>
    <row r="4149" ht="15.75" customHeight="1" s="133">
      <c r="A4149" s="75" t="n"/>
      <c r="B4149" s="75" t="n"/>
      <c r="C4149" s="75" t="n"/>
      <c r="D4149" s="75" t="n"/>
      <c r="E4149" s="76" t="n"/>
      <c r="F4149" s="77" t="n"/>
      <c r="G4149" s="75" t="n"/>
      <c r="H4149" s="75">
        <f>IF(ISBLANK(E4149),"",IF(OR(D4149="Butterfly",D4149="Butterfly ",D4149="Iron Fly", D4149="Iron Fly "),LEN(E4149)-LEN(SUBSTITUTE(E4149,"/",""))+2,LEN(E4149)-LEN(SUBSTITUTE(E4149,"/",""))+1))</f>
        <v/>
      </c>
      <c r="I4149" s="78">
        <f>IF(ISBLANK(G4149),"",IF(D4149="Stock","0",Key!$A$3*H4149*G4149))</f>
        <v/>
      </c>
      <c r="J4149" s="78">
        <f>IF(ISBLANK(E4149),"",IF(ISNUMBER(SEARCH("/",E4149)), IF(LEN(E4149)-LEN(SUBSTITUTE(E4149,"/",""))=1,(RIGHT(E4149,LEN(E4149)-FIND("/",E4149)))-(LEFT(E4149,FIND("/",E4149)-1)),(MID(E4149, SEARCH("/",E4149) + 1, SEARCH("/",E4149, SEARCH("/",E4149)+1) - SEARCH("/",E4149) - 1))-(LEFT(E4149,FIND("/",E4149)-1))), "NA"))</f>
        <v/>
      </c>
      <c r="K4149" s="79">
        <f>IF(A4149&lt;&gt;"", IF(ISBLANK(L4149), TODAY(), K4149), "")</f>
        <v/>
      </c>
      <c r="L4149" s="78" t="n"/>
      <c r="M4149" s="78">
        <f>IF(ISBLANK(L4149),"",IF(D4149="Stock",IF(C4149="Buy",L4149*G4149,IF(C4149="Sell",(L4149*G4149)-I4149, X)),IF(C4149="Buy",(L4149*G4149*100)+I4149,IF(C4149="Sell",(L4149*G4149*100)-I4149, X))))</f>
        <v/>
      </c>
      <c r="N4149" s="78">
        <f>IF(ISBLANK(L4149),"",IF(AND(C4149="Sell",D4149="Stock"),M4149,IF(ISBLANK(L4149),"",IF(C4149="Buy",M4149, IF(AND(C4149="Sell",J4149="NA"),(E4149*G4149*100*0.1)+I4149, IF(C4149="Sell",(J4149-L4149)*(100*G4149)+I4149))))))</f>
        <v/>
      </c>
      <c r="O4149" s="75" t="n"/>
      <c r="P4149" s="75" t="n"/>
      <c r="Q4149" s="75">
        <f>IF(ISBLANK(P4149),"",IF(D4149="Stock",P4149*G4149,IF(P4149=0,"0",G4149*P4149*100-(G4149*$AF$14))))</f>
        <v/>
      </c>
      <c r="R4149" s="79">
        <f>IF(P4149&lt;&gt;"", TODAY(), "")</f>
        <v/>
      </c>
      <c r="S4149" s="78">
        <f>IF(AND(K4149&lt;&gt;"", R4149&lt;&gt;""), R4149-K4149, "")</f>
        <v/>
      </c>
      <c r="T4149" s="78" t="n"/>
      <c r="U4149" s="92">
        <f>IF(ISBLANK(P4149),"",IF(C4149="Buy",Q4149-M4149+T4149, IF(C4149="Sell",M4149-Q4149-T4149, X)))</f>
        <v/>
      </c>
      <c r="V4149" s="81">
        <f>IF(ISBLANK(P4149),"",U4149/N4149)</f>
        <v/>
      </c>
      <c r="W4149" s="81">
        <f>IF(ISBLANK(P4149),"",IF(S4149=0,(365/0.5)*V4149,(365/S4149)*V4149))</f>
        <v/>
      </c>
      <c r="X4149" s="75" t="n"/>
      <c r="Y4149" s="77" t="n"/>
      <c r="Z4149" s="77" t="n"/>
      <c r="AA4149" s="75" t="n"/>
      <c r="AB4149" s="75" t="n"/>
      <c r="AC4149" s="6" t="n"/>
      <c r="AD4149" s="75" t="n"/>
      <c r="AE4149" s="75" t="n"/>
      <c r="AF4149" s="75" t="n"/>
    </row>
    <row r="4150" ht="15.75" customHeight="1" s="133">
      <c r="A4150" s="75" t="n"/>
      <c r="B4150" s="75" t="n"/>
      <c r="C4150" s="75" t="n"/>
      <c r="D4150" s="75" t="n"/>
      <c r="E4150" s="76" t="n"/>
      <c r="F4150" s="77" t="n"/>
      <c r="G4150" s="75" t="n"/>
      <c r="H4150" s="75">
        <f>IF(ISBLANK(E4150),"",IF(OR(D4150="Butterfly",D4150="Butterfly ",D4150="Iron Fly", D4150="Iron Fly "),LEN(E4150)-LEN(SUBSTITUTE(E4150,"/",""))+2,LEN(E4150)-LEN(SUBSTITUTE(E4150,"/",""))+1))</f>
        <v/>
      </c>
      <c r="I4150" s="78">
        <f>IF(ISBLANK(G4150),"",IF(D4150="Stock","0",Key!$A$3*H4150*G4150))</f>
        <v/>
      </c>
      <c r="J4150" s="78">
        <f>IF(ISBLANK(E4150),"",IF(ISNUMBER(SEARCH("/",E4150)), IF(LEN(E4150)-LEN(SUBSTITUTE(E4150,"/",""))=1,(RIGHT(E4150,LEN(E4150)-FIND("/",E4150)))-(LEFT(E4150,FIND("/",E4150)-1)),(MID(E4150, SEARCH("/",E4150) + 1, SEARCH("/",E4150, SEARCH("/",E4150)+1) - SEARCH("/",E4150) - 1))-(LEFT(E4150,FIND("/",E4150)-1))), "NA"))</f>
        <v/>
      </c>
      <c r="K4150" s="79">
        <f>IF(A4150&lt;&gt;"", IF(ISBLANK(L4150), TODAY(), K4150), "")</f>
        <v/>
      </c>
      <c r="L4150" s="78" t="n"/>
      <c r="M4150" s="78">
        <f>IF(ISBLANK(L4150),"",IF(D4150="Stock",IF(C4150="Buy",L4150*G4150,IF(C4150="Sell",(L4150*G4150)-I4150, X)),IF(C4150="Buy",(L4150*G4150*100)+I4150,IF(C4150="Sell",(L4150*G4150*100)-I4150, X))))</f>
        <v/>
      </c>
      <c r="N4150" s="78">
        <f>IF(ISBLANK(L4150),"",IF(AND(C4150="Sell",D4150="Stock"),M4150,IF(ISBLANK(L4150),"",IF(C4150="Buy",M4150, IF(AND(C4150="Sell",J4150="NA"),(E4150*G4150*100*0.1)+I4150, IF(C4150="Sell",(J4150-L4150)*(100*G4150)+I4150))))))</f>
        <v/>
      </c>
      <c r="O4150" s="75" t="n"/>
      <c r="P4150" s="75" t="n"/>
      <c r="Q4150" s="75">
        <f>IF(ISBLANK(P4150),"",IF(D4150="Stock",P4150*G4150,IF(P4150=0,"0",G4150*P4150*100-(G4150*$AF$14))))</f>
        <v/>
      </c>
      <c r="R4150" s="79">
        <f>IF(P4150&lt;&gt;"", TODAY(), "")</f>
        <v/>
      </c>
      <c r="S4150" s="78">
        <f>IF(AND(K4150&lt;&gt;"", R4150&lt;&gt;""), R4150-K4150, "")</f>
        <v/>
      </c>
      <c r="T4150" s="78" t="n"/>
      <c r="U4150" s="92">
        <f>IF(ISBLANK(P4150),"",IF(C4150="Buy",Q4150-M4150+T4150, IF(C4150="Sell",M4150-Q4150-T4150, X)))</f>
        <v/>
      </c>
      <c r="V4150" s="81">
        <f>IF(ISBLANK(P4150),"",U4150/N4150)</f>
        <v/>
      </c>
      <c r="W4150" s="81">
        <f>IF(ISBLANK(P4150),"",IF(S4150=0,(365/0.5)*V4150,(365/S4150)*V4150))</f>
        <v/>
      </c>
      <c r="X4150" s="75" t="n"/>
      <c r="Y4150" s="77" t="n"/>
      <c r="Z4150" s="77" t="n"/>
      <c r="AA4150" s="75" t="n"/>
      <c r="AB4150" s="75" t="n"/>
      <c r="AC4150" s="6" t="n"/>
      <c r="AD4150" s="75" t="n"/>
      <c r="AE4150" s="75" t="n"/>
      <c r="AF4150" s="75" t="n"/>
    </row>
    <row r="4151" ht="15.75" customHeight="1" s="133">
      <c r="A4151" s="75" t="n"/>
      <c r="B4151" s="75" t="n"/>
      <c r="C4151" s="75" t="n"/>
      <c r="D4151" s="75" t="n"/>
      <c r="E4151" s="76" t="n"/>
      <c r="F4151" s="77" t="n"/>
      <c r="G4151" s="75" t="n"/>
      <c r="H4151" s="75">
        <f>IF(ISBLANK(E4151),"",IF(OR(D4151="Butterfly",D4151="Butterfly ",D4151="Iron Fly", D4151="Iron Fly "),LEN(E4151)-LEN(SUBSTITUTE(E4151,"/",""))+2,LEN(E4151)-LEN(SUBSTITUTE(E4151,"/",""))+1))</f>
        <v/>
      </c>
      <c r="I4151" s="78">
        <f>IF(ISBLANK(G4151),"",IF(D4151="Stock","0",Key!$A$3*H4151*G4151))</f>
        <v/>
      </c>
      <c r="J4151" s="78">
        <f>IF(ISBLANK(E4151),"",IF(ISNUMBER(SEARCH("/",E4151)), IF(LEN(E4151)-LEN(SUBSTITUTE(E4151,"/",""))=1,(RIGHT(E4151,LEN(E4151)-FIND("/",E4151)))-(LEFT(E4151,FIND("/",E4151)-1)),(MID(E4151, SEARCH("/",E4151) + 1, SEARCH("/",E4151, SEARCH("/",E4151)+1) - SEARCH("/",E4151) - 1))-(LEFT(E4151,FIND("/",E4151)-1))), "NA"))</f>
        <v/>
      </c>
      <c r="K4151" s="79">
        <f>IF(A4151&lt;&gt;"", IF(ISBLANK(L4151), TODAY(), K4151), "")</f>
        <v/>
      </c>
      <c r="L4151" s="78" t="n"/>
      <c r="M4151" s="78">
        <f>IF(ISBLANK(L4151),"",IF(D4151="Stock",IF(C4151="Buy",L4151*G4151,IF(C4151="Sell",(L4151*G4151)-I4151, X)),IF(C4151="Buy",(L4151*G4151*100)+I4151,IF(C4151="Sell",(L4151*G4151*100)-I4151, X))))</f>
        <v/>
      </c>
      <c r="N4151" s="78">
        <f>IF(ISBLANK(L4151),"",IF(AND(C4151="Sell",D4151="Stock"),M4151,IF(ISBLANK(L4151),"",IF(C4151="Buy",M4151, IF(AND(C4151="Sell",J4151="NA"),(E4151*G4151*100*0.1)+I4151, IF(C4151="Sell",(J4151-L4151)*(100*G4151)+I4151))))))</f>
        <v/>
      </c>
      <c r="O4151" s="75" t="n"/>
      <c r="P4151" s="75" t="n"/>
      <c r="Q4151" s="75">
        <f>IF(ISBLANK(P4151),"",IF(D4151="Stock",P4151*G4151,IF(P4151=0,"0",G4151*P4151*100-(G4151*$AF$14))))</f>
        <v/>
      </c>
      <c r="R4151" s="79">
        <f>IF(P4151&lt;&gt;"", TODAY(), "")</f>
        <v/>
      </c>
      <c r="S4151" s="78">
        <f>IF(AND(K4151&lt;&gt;"", R4151&lt;&gt;""), R4151-K4151, "")</f>
        <v/>
      </c>
      <c r="T4151" s="78" t="n"/>
      <c r="U4151" s="92">
        <f>IF(ISBLANK(P4151),"",IF(C4151="Buy",Q4151-M4151+T4151, IF(C4151="Sell",M4151-Q4151-T4151, X)))</f>
        <v/>
      </c>
      <c r="V4151" s="81">
        <f>IF(ISBLANK(P4151),"",U4151/N4151)</f>
        <v/>
      </c>
      <c r="W4151" s="81">
        <f>IF(ISBLANK(P4151),"",IF(S4151=0,(365/0.5)*V4151,(365/S4151)*V4151))</f>
        <v/>
      </c>
      <c r="X4151" s="75" t="n"/>
      <c r="Y4151" s="77" t="n"/>
      <c r="Z4151" s="77" t="n"/>
      <c r="AA4151" s="75" t="n"/>
      <c r="AB4151" s="75" t="n"/>
      <c r="AC4151" s="6" t="n"/>
      <c r="AD4151" s="75" t="n"/>
      <c r="AE4151" s="75" t="n"/>
      <c r="AF4151" s="75" t="n"/>
    </row>
    <row r="4152" ht="15.75" customHeight="1" s="133">
      <c r="A4152" s="75" t="n"/>
      <c r="B4152" s="75" t="n"/>
      <c r="C4152" s="75" t="n"/>
      <c r="D4152" s="75" t="n"/>
      <c r="E4152" s="76" t="n"/>
      <c r="F4152" s="77" t="n"/>
      <c r="G4152" s="75" t="n"/>
      <c r="H4152" s="75">
        <f>IF(ISBLANK(E4152),"",IF(OR(D4152="Butterfly",D4152="Butterfly ",D4152="Iron Fly", D4152="Iron Fly "),LEN(E4152)-LEN(SUBSTITUTE(E4152,"/",""))+2,LEN(E4152)-LEN(SUBSTITUTE(E4152,"/",""))+1))</f>
        <v/>
      </c>
      <c r="I4152" s="78">
        <f>IF(ISBLANK(G4152),"",IF(D4152="Stock","0",Key!$A$3*H4152*G4152))</f>
        <v/>
      </c>
      <c r="J4152" s="78">
        <f>IF(ISBLANK(E4152),"",IF(ISNUMBER(SEARCH("/",E4152)), IF(LEN(E4152)-LEN(SUBSTITUTE(E4152,"/",""))=1,(RIGHT(E4152,LEN(E4152)-FIND("/",E4152)))-(LEFT(E4152,FIND("/",E4152)-1)),(MID(E4152, SEARCH("/",E4152) + 1, SEARCH("/",E4152, SEARCH("/",E4152)+1) - SEARCH("/",E4152) - 1))-(LEFT(E4152,FIND("/",E4152)-1))), "NA"))</f>
        <v/>
      </c>
      <c r="K4152" s="79">
        <f>IF(A4152&lt;&gt;"", IF(ISBLANK(L4152), TODAY(), K4152), "")</f>
        <v/>
      </c>
      <c r="L4152" s="78" t="n"/>
      <c r="M4152" s="78">
        <f>IF(ISBLANK(L4152),"",IF(D4152="Stock",IF(C4152="Buy",L4152*G4152,IF(C4152="Sell",(L4152*G4152)-I4152, X)),IF(C4152="Buy",(L4152*G4152*100)+I4152,IF(C4152="Sell",(L4152*G4152*100)-I4152, X))))</f>
        <v/>
      </c>
      <c r="N4152" s="78">
        <f>IF(ISBLANK(L4152),"",IF(AND(C4152="Sell",D4152="Stock"),M4152,IF(ISBLANK(L4152),"",IF(C4152="Buy",M4152, IF(AND(C4152="Sell",J4152="NA"),(E4152*G4152*100*0.1)+I4152, IF(C4152="Sell",(J4152-L4152)*(100*G4152)+I4152))))))</f>
        <v/>
      </c>
      <c r="O4152" s="75" t="n"/>
      <c r="P4152" s="75" t="n"/>
      <c r="Q4152" s="75">
        <f>IF(ISBLANK(P4152),"",IF(D4152="Stock",P4152*G4152,IF(P4152=0,"0",G4152*P4152*100-(G4152*$AF$14))))</f>
        <v/>
      </c>
      <c r="R4152" s="79">
        <f>IF(P4152&lt;&gt;"", TODAY(), "")</f>
        <v/>
      </c>
      <c r="S4152" s="78">
        <f>IF(AND(K4152&lt;&gt;"", R4152&lt;&gt;""), R4152-K4152, "")</f>
        <v/>
      </c>
      <c r="T4152" s="78" t="n"/>
      <c r="U4152" s="92">
        <f>IF(ISBLANK(P4152),"",IF(C4152="Buy",Q4152-M4152+T4152, IF(C4152="Sell",M4152-Q4152-T4152, X)))</f>
        <v/>
      </c>
      <c r="V4152" s="81">
        <f>IF(ISBLANK(P4152),"",U4152/N4152)</f>
        <v/>
      </c>
      <c r="W4152" s="81">
        <f>IF(ISBLANK(P4152),"",IF(S4152=0,(365/0.5)*V4152,(365/S4152)*V4152))</f>
        <v/>
      </c>
      <c r="X4152" s="75" t="n"/>
      <c r="Y4152" s="77" t="n"/>
      <c r="Z4152" s="77" t="n"/>
      <c r="AA4152" s="75" t="n"/>
      <c r="AB4152" s="75" t="n"/>
      <c r="AC4152" s="6" t="n"/>
      <c r="AD4152" s="75" t="n"/>
      <c r="AE4152" s="75" t="n"/>
      <c r="AF4152" s="75" t="n"/>
    </row>
    <row r="4153" ht="15.75" customHeight="1" s="133">
      <c r="A4153" s="75" t="n"/>
      <c r="B4153" s="75" t="n"/>
      <c r="C4153" s="75" t="n"/>
      <c r="D4153" s="75" t="n"/>
      <c r="E4153" s="76" t="n"/>
      <c r="F4153" s="77" t="n"/>
      <c r="G4153" s="75" t="n"/>
      <c r="H4153" s="75">
        <f>IF(ISBLANK(E4153),"",IF(OR(D4153="Butterfly",D4153="Butterfly ",D4153="Iron Fly", D4153="Iron Fly "),LEN(E4153)-LEN(SUBSTITUTE(E4153,"/",""))+2,LEN(E4153)-LEN(SUBSTITUTE(E4153,"/",""))+1))</f>
        <v/>
      </c>
      <c r="I4153" s="78">
        <f>IF(ISBLANK(G4153),"",IF(D4153="Stock","0",Key!$A$3*H4153*G4153))</f>
        <v/>
      </c>
      <c r="J4153" s="78">
        <f>IF(ISBLANK(E4153),"",IF(ISNUMBER(SEARCH("/",E4153)), IF(LEN(E4153)-LEN(SUBSTITUTE(E4153,"/",""))=1,(RIGHT(E4153,LEN(E4153)-FIND("/",E4153)))-(LEFT(E4153,FIND("/",E4153)-1)),(MID(E4153, SEARCH("/",E4153) + 1, SEARCH("/",E4153, SEARCH("/",E4153)+1) - SEARCH("/",E4153) - 1))-(LEFT(E4153,FIND("/",E4153)-1))), "NA"))</f>
        <v/>
      </c>
      <c r="K4153" s="79">
        <f>IF(A4153&lt;&gt;"", IF(ISBLANK(L4153), TODAY(), K4153), "")</f>
        <v/>
      </c>
      <c r="L4153" s="78" t="n"/>
      <c r="M4153" s="78">
        <f>IF(ISBLANK(L4153),"",IF(D4153="Stock",IF(C4153="Buy",L4153*G4153,IF(C4153="Sell",(L4153*G4153)-I4153, X)),IF(C4153="Buy",(L4153*G4153*100)+I4153,IF(C4153="Sell",(L4153*G4153*100)-I4153, X))))</f>
        <v/>
      </c>
      <c r="N4153" s="78">
        <f>IF(ISBLANK(L4153),"",IF(AND(C4153="Sell",D4153="Stock"),M4153,IF(ISBLANK(L4153),"",IF(C4153="Buy",M4153, IF(AND(C4153="Sell",J4153="NA"),(E4153*G4153*100*0.1)+I4153, IF(C4153="Sell",(J4153-L4153)*(100*G4153)+I4153))))))</f>
        <v/>
      </c>
      <c r="O4153" s="75" t="n"/>
      <c r="P4153" s="75" t="n"/>
      <c r="Q4153" s="75">
        <f>IF(ISBLANK(P4153),"",IF(D4153="Stock",P4153*G4153,IF(P4153=0,"0",G4153*P4153*100-(G4153*$AF$14))))</f>
        <v/>
      </c>
      <c r="R4153" s="79">
        <f>IF(P4153&lt;&gt;"", TODAY(), "")</f>
        <v/>
      </c>
      <c r="S4153" s="78">
        <f>IF(AND(K4153&lt;&gt;"", R4153&lt;&gt;""), R4153-K4153, "")</f>
        <v/>
      </c>
      <c r="T4153" s="78" t="n"/>
      <c r="U4153" s="92">
        <f>IF(ISBLANK(P4153),"",IF(C4153="Buy",Q4153-M4153+T4153, IF(C4153="Sell",M4153-Q4153-T4153, X)))</f>
        <v/>
      </c>
      <c r="V4153" s="81">
        <f>IF(ISBLANK(P4153),"",U4153/N4153)</f>
        <v/>
      </c>
      <c r="W4153" s="81">
        <f>IF(ISBLANK(P4153),"",IF(S4153=0,(365/0.5)*V4153,(365/S4153)*V4153))</f>
        <v/>
      </c>
      <c r="X4153" s="75" t="n"/>
      <c r="Y4153" s="77" t="n"/>
      <c r="Z4153" s="77" t="n"/>
      <c r="AA4153" s="75" t="n"/>
      <c r="AB4153" s="75" t="n"/>
      <c r="AC4153" s="6" t="n"/>
      <c r="AD4153" s="75" t="n"/>
      <c r="AE4153" s="75" t="n"/>
      <c r="AF4153" s="75" t="n"/>
    </row>
    <row r="4154" ht="15.75" customHeight="1" s="133">
      <c r="A4154" s="75" t="n"/>
      <c r="B4154" s="75" t="n"/>
      <c r="C4154" s="75" t="n"/>
      <c r="D4154" s="75" t="n"/>
      <c r="E4154" s="76" t="n"/>
      <c r="F4154" s="77" t="n"/>
      <c r="G4154" s="75" t="n"/>
      <c r="H4154" s="75">
        <f>IF(ISBLANK(E4154),"",IF(OR(D4154="Butterfly",D4154="Butterfly ",D4154="Iron Fly", D4154="Iron Fly "),LEN(E4154)-LEN(SUBSTITUTE(E4154,"/",""))+2,LEN(E4154)-LEN(SUBSTITUTE(E4154,"/",""))+1))</f>
        <v/>
      </c>
      <c r="I4154" s="78">
        <f>IF(ISBLANK(G4154),"",IF(D4154="Stock","0",Key!$A$3*H4154*G4154))</f>
        <v/>
      </c>
      <c r="J4154" s="78">
        <f>IF(ISBLANK(E4154),"",IF(ISNUMBER(SEARCH("/",E4154)), IF(LEN(E4154)-LEN(SUBSTITUTE(E4154,"/",""))=1,(RIGHT(E4154,LEN(E4154)-FIND("/",E4154)))-(LEFT(E4154,FIND("/",E4154)-1)),(MID(E4154, SEARCH("/",E4154) + 1, SEARCH("/",E4154, SEARCH("/",E4154)+1) - SEARCH("/",E4154) - 1))-(LEFT(E4154,FIND("/",E4154)-1))), "NA"))</f>
        <v/>
      </c>
      <c r="K4154" s="79">
        <f>IF(A4154&lt;&gt;"", IF(ISBLANK(L4154), TODAY(), K4154), "")</f>
        <v/>
      </c>
      <c r="L4154" s="78" t="n"/>
      <c r="M4154" s="78">
        <f>IF(ISBLANK(L4154),"",IF(D4154="Stock",IF(C4154="Buy",L4154*G4154,IF(C4154="Sell",(L4154*G4154)-I4154, X)),IF(C4154="Buy",(L4154*G4154*100)+I4154,IF(C4154="Sell",(L4154*G4154*100)-I4154, X))))</f>
        <v/>
      </c>
      <c r="N4154" s="78">
        <f>IF(ISBLANK(L4154),"",IF(AND(C4154="Sell",D4154="Stock"),M4154,IF(ISBLANK(L4154),"",IF(C4154="Buy",M4154, IF(AND(C4154="Sell",J4154="NA"),(E4154*G4154*100*0.1)+I4154, IF(C4154="Sell",(J4154-L4154)*(100*G4154)+I4154))))))</f>
        <v/>
      </c>
      <c r="O4154" s="75" t="n"/>
      <c r="P4154" s="75" t="n"/>
      <c r="Q4154" s="75">
        <f>IF(ISBLANK(P4154),"",IF(D4154="Stock",P4154*G4154,IF(P4154=0,"0",G4154*P4154*100-(G4154*$AF$14))))</f>
        <v/>
      </c>
      <c r="R4154" s="79">
        <f>IF(P4154&lt;&gt;"", TODAY(), "")</f>
        <v/>
      </c>
      <c r="S4154" s="78">
        <f>IF(AND(K4154&lt;&gt;"", R4154&lt;&gt;""), R4154-K4154, "")</f>
        <v/>
      </c>
      <c r="T4154" s="78" t="n"/>
      <c r="U4154" s="92">
        <f>IF(ISBLANK(P4154),"",IF(C4154="Buy",Q4154-M4154+T4154, IF(C4154="Sell",M4154-Q4154-T4154, X)))</f>
        <v/>
      </c>
      <c r="V4154" s="81">
        <f>IF(ISBLANK(P4154),"",U4154/N4154)</f>
        <v/>
      </c>
      <c r="W4154" s="81">
        <f>IF(ISBLANK(P4154),"",IF(S4154=0,(365/0.5)*V4154,(365/S4154)*V4154))</f>
        <v/>
      </c>
      <c r="X4154" s="75" t="n"/>
      <c r="Y4154" s="77" t="n"/>
      <c r="Z4154" s="77" t="n"/>
      <c r="AA4154" s="75" t="n"/>
      <c r="AB4154" s="75" t="n"/>
      <c r="AC4154" s="6" t="n"/>
      <c r="AD4154" s="75" t="n"/>
      <c r="AE4154" s="75" t="n"/>
      <c r="AF4154" s="75" t="n"/>
    </row>
    <row r="4155" ht="15.75" customHeight="1" s="133">
      <c r="A4155" s="75" t="n"/>
      <c r="B4155" s="75" t="n"/>
      <c r="C4155" s="75" t="n"/>
      <c r="D4155" s="75" t="n"/>
      <c r="E4155" s="76" t="n"/>
      <c r="F4155" s="77" t="n"/>
      <c r="G4155" s="75" t="n"/>
      <c r="H4155" s="75">
        <f>IF(ISBLANK(E4155),"",IF(OR(D4155="Butterfly",D4155="Butterfly ",D4155="Iron Fly", D4155="Iron Fly "),LEN(E4155)-LEN(SUBSTITUTE(E4155,"/",""))+2,LEN(E4155)-LEN(SUBSTITUTE(E4155,"/",""))+1))</f>
        <v/>
      </c>
      <c r="I4155" s="78">
        <f>IF(ISBLANK(G4155),"",IF(D4155="Stock","0",Key!$A$3*H4155*G4155))</f>
        <v/>
      </c>
      <c r="J4155" s="78">
        <f>IF(ISBLANK(E4155),"",IF(ISNUMBER(SEARCH("/",E4155)), IF(LEN(E4155)-LEN(SUBSTITUTE(E4155,"/",""))=1,(RIGHT(E4155,LEN(E4155)-FIND("/",E4155)))-(LEFT(E4155,FIND("/",E4155)-1)),(MID(E4155, SEARCH("/",E4155) + 1, SEARCH("/",E4155, SEARCH("/",E4155)+1) - SEARCH("/",E4155) - 1))-(LEFT(E4155,FIND("/",E4155)-1))), "NA"))</f>
        <v/>
      </c>
      <c r="K4155" s="79">
        <f>IF(A4155&lt;&gt;"", IF(ISBLANK(L4155), TODAY(), K4155), "")</f>
        <v/>
      </c>
      <c r="L4155" s="78" t="n"/>
      <c r="M4155" s="78">
        <f>IF(ISBLANK(L4155),"",IF(D4155="Stock",IF(C4155="Buy",L4155*G4155,IF(C4155="Sell",(L4155*G4155)-I4155, X)),IF(C4155="Buy",(L4155*G4155*100)+I4155,IF(C4155="Sell",(L4155*G4155*100)-I4155, X))))</f>
        <v/>
      </c>
      <c r="N4155" s="78">
        <f>IF(ISBLANK(L4155),"",IF(AND(C4155="Sell",D4155="Stock"),M4155,IF(ISBLANK(L4155),"",IF(C4155="Buy",M4155, IF(AND(C4155="Sell",J4155="NA"),(E4155*G4155*100*0.1)+I4155, IF(C4155="Sell",(J4155-L4155)*(100*G4155)+I4155))))))</f>
        <v/>
      </c>
      <c r="O4155" s="75" t="n"/>
      <c r="P4155" s="75" t="n"/>
      <c r="Q4155" s="75">
        <f>IF(ISBLANK(P4155),"",IF(D4155="Stock",P4155*G4155,IF(P4155=0,"0",G4155*P4155*100-(G4155*$AF$14))))</f>
        <v/>
      </c>
      <c r="R4155" s="79">
        <f>IF(P4155&lt;&gt;"", TODAY(), "")</f>
        <v/>
      </c>
      <c r="S4155" s="78">
        <f>IF(AND(K4155&lt;&gt;"", R4155&lt;&gt;""), R4155-K4155, "")</f>
        <v/>
      </c>
      <c r="T4155" s="78" t="n"/>
      <c r="U4155" s="92">
        <f>IF(ISBLANK(P4155),"",IF(C4155="Buy",Q4155-M4155+T4155, IF(C4155="Sell",M4155-Q4155-T4155, X)))</f>
        <v/>
      </c>
      <c r="V4155" s="81">
        <f>IF(ISBLANK(P4155),"",U4155/N4155)</f>
        <v/>
      </c>
      <c r="W4155" s="81">
        <f>IF(ISBLANK(P4155),"",IF(S4155=0,(365/0.5)*V4155,(365/S4155)*V4155))</f>
        <v/>
      </c>
      <c r="X4155" s="75" t="n"/>
      <c r="Y4155" s="77" t="n"/>
      <c r="Z4155" s="77" t="n"/>
      <c r="AA4155" s="75" t="n"/>
      <c r="AB4155" s="75" t="n"/>
      <c r="AC4155" s="6" t="n"/>
      <c r="AD4155" s="75" t="n"/>
      <c r="AE4155" s="75" t="n"/>
      <c r="AF4155" s="75" t="n"/>
    </row>
    <row r="4156" ht="15.75" customHeight="1" s="133">
      <c r="A4156" s="75" t="n"/>
      <c r="B4156" s="75" t="n"/>
      <c r="C4156" s="75" t="n"/>
      <c r="D4156" s="75" t="n"/>
      <c r="E4156" s="76" t="n"/>
      <c r="F4156" s="77" t="n"/>
      <c r="G4156" s="75" t="n"/>
      <c r="H4156" s="75">
        <f>IF(ISBLANK(E4156),"",IF(OR(D4156="Butterfly",D4156="Butterfly ",D4156="Iron Fly", D4156="Iron Fly "),LEN(E4156)-LEN(SUBSTITUTE(E4156,"/",""))+2,LEN(E4156)-LEN(SUBSTITUTE(E4156,"/",""))+1))</f>
        <v/>
      </c>
      <c r="I4156" s="78">
        <f>IF(ISBLANK(G4156),"",IF(D4156="Stock","0",Key!$A$3*H4156*G4156))</f>
        <v/>
      </c>
      <c r="J4156" s="78">
        <f>IF(ISBLANK(E4156),"",IF(ISNUMBER(SEARCH("/",E4156)), IF(LEN(E4156)-LEN(SUBSTITUTE(E4156,"/",""))=1,(RIGHT(E4156,LEN(E4156)-FIND("/",E4156)))-(LEFT(E4156,FIND("/",E4156)-1)),(MID(E4156, SEARCH("/",E4156) + 1, SEARCH("/",E4156, SEARCH("/",E4156)+1) - SEARCH("/",E4156) - 1))-(LEFT(E4156,FIND("/",E4156)-1))), "NA"))</f>
        <v/>
      </c>
      <c r="K4156" s="79">
        <f>IF(A4156&lt;&gt;"", IF(ISBLANK(L4156), TODAY(), K4156), "")</f>
        <v/>
      </c>
      <c r="L4156" s="78" t="n"/>
      <c r="M4156" s="78">
        <f>IF(ISBLANK(L4156),"",IF(D4156="Stock",IF(C4156="Buy",L4156*G4156,IF(C4156="Sell",(L4156*G4156)-I4156, X)),IF(C4156="Buy",(L4156*G4156*100)+I4156,IF(C4156="Sell",(L4156*G4156*100)-I4156, X))))</f>
        <v/>
      </c>
      <c r="N4156" s="78">
        <f>IF(ISBLANK(L4156),"",IF(AND(C4156="Sell",D4156="Stock"),M4156,IF(ISBLANK(L4156),"",IF(C4156="Buy",M4156, IF(AND(C4156="Sell",J4156="NA"),(E4156*G4156*100*0.1)+I4156, IF(C4156="Sell",(J4156-L4156)*(100*G4156)+I4156))))))</f>
        <v/>
      </c>
      <c r="O4156" s="75" t="n"/>
      <c r="P4156" s="75" t="n"/>
      <c r="Q4156" s="75">
        <f>IF(ISBLANK(P4156),"",IF(D4156="Stock",P4156*G4156,IF(P4156=0,"0",G4156*P4156*100-(G4156*$AF$14))))</f>
        <v/>
      </c>
      <c r="R4156" s="79">
        <f>IF(P4156&lt;&gt;"", TODAY(), "")</f>
        <v/>
      </c>
      <c r="S4156" s="78">
        <f>IF(AND(K4156&lt;&gt;"", R4156&lt;&gt;""), R4156-K4156, "")</f>
        <v/>
      </c>
      <c r="T4156" s="78" t="n"/>
      <c r="U4156" s="92">
        <f>IF(ISBLANK(P4156),"",IF(C4156="Buy",Q4156-M4156+T4156, IF(C4156="Sell",M4156-Q4156-T4156, X)))</f>
        <v/>
      </c>
      <c r="V4156" s="81">
        <f>IF(ISBLANK(P4156),"",U4156/N4156)</f>
        <v/>
      </c>
      <c r="W4156" s="81">
        <f>IF(ISBLANK(P4156),"",IF(S4156=0,(365/0.5)*V4156,(365/S4156)*V4156))</f>
        <v/>
      </c>
      <c r="X4156" s="75" t="n"/>
      <c r="Y4156" s="77" t="n"/>
      <c r="Z4156" s="77" t="n"/>
      <c r="AA4156" s="75" t="n"/>
      <c r="AB4156" s="75" t="n"/>
      <c r="AC4156" s="6" t="n"/>
      <c r="AD4156" s="75" t="n"/>
      <c r="AE4156" s="75" t="n"/>
      <c r="AF4156" s="75" t="n"/>
    </row>
    <row r="4157" ht="15.75" customHeight="1" s="133">
      <c r="A4157" s="75" t="n"/>
      <c r="B4157" s="75" t="n"/>
      <c r="C4157" s="75" t="n"/>
      <c r="D4157" s="75" t="n"/>
      <c r="E4157" s="76" t="n"/>
      <c r="F4157" s="77" t="n"/>
      <c r="G4157" s="75" t="n"/>
      <c r="H4157" s="75">
        <f>IF(ISBLANK(E4157),"",IF(OR(D4157="Butterfly",D4157="Butterfly ",D4157="Iron Fly", D4157="Iron Fly "),LEN(E4157)-LEN(SUBSTITUTE(E4157,"/",""))+2,LEN(E4157)-LEN(SUBSTITUTE(E4157,"/",""))+1))</f>
        <v/>
      </c>
      <c r="I4157" s="78">
        <f>IF(ISBLANK(G4157),"",IF(D4157="Stock","0",Key!$A$3*H4157*G4157))</f>
        <v/>
      </c>
      <c r="J4157" s="78">
        <f>IF(ISBLANK(E4157),"",IF(ISNUMBER(SEARCH("/",E4157)), IF(LEN(E4157)-LEN(SUBSTITUTE(E4157,"/",""))=1,(RIGHT(E4157,LEN(E4157)-FIND("/",E4157)))-(LEFT(E4157,FIND("/",E4157)-1)),(MID(E4157, SEARCH("/",E4157) + 1, SEARCH("/",E4157, SEARCH("/",E4157)+1) - SEARCH("/",E4157) - 1))-(LEFT(E4157,FIND("/",E4157)-1))), "NA"))</f>
        <v/>
      </c>
      <c r="K4157" s="79">
        <f>IF(A4157&lt;&gt;"", IF(ISBLANK(L4157), TODAY(), K4157), "")</f>
        <v/>
      </c>
      <c r="L4157" s="78" t="n"/>
      <c r="M4157" s="78">
        <f>IF(ISBLANK(L4157),"",IF(D4157="Stock",IF(C4157="Buy",L4157*G4157,IF(C4157="Sell",(L4157*G4157)-I4157, X)),IF(C4157="Buy",(L4157*G4157*100)+I4157,IF(C4157="Sell",(L4157*G4157*100)-I4157, X))))</f>
        <v/>
      </c>
      <c r="N4157" s="78">
        <f>IF(ISBLANK(L4157),"",IF(AND(C4157="Sell",D4157="Stock"),M4157,IF(ISBLANK(L4157),"",IF(C4157="Buy",M4157, IF(AND(C4157="Sell",J4157="NA"),(E4157*G4157*100*0.1)+I4157, IF(C4157="Sell",(J4157-L4157)*(100*G4157)+I4157))))))</f>
        <v/>
      </c>
      <c r="O4157" s="75" t="n"/>
      <c r="P4157" s="75" t="n"/>
      <c r="Q4157" s="75">
        <f>IF(ISBLANK(P4157),"",IF(D4157="Stock",P4157*G4157,IF(P4157=0,"0",G4157*P4157*100-(G4157*$AF$14))))</f>
        <v/>
      </c>
      <c r="R4157" s="79">
        <f>IF(P4157&lt;&gt;"", TODAY(), "")</f>
        <v/>
      </c>
      <c r="S4157" s="78">
        <f>IF(AND(K4157&lt;&gt;"", R4157&lt;&gt;""), R4157-K4157, "")</f>
        <v/>
      </c>
      <c r="T4157" s="78" t="n"/>
      <c r="U4157" s="92">
        <f>IF(ISBLANK(P4157),"",IF(C4157="Buy",Q4157-M4157+T4157, IF(C4157="Sell",M4157-Q4157-T4157, X)))</f>
        <v/>
      </c>
      <c r="V4157" s="81">
        <f>IF(ISBLANK(P4157),"",U4157/N4157)</f>
        <v/>
      </c>
      <c r="W4157" s="81">
        <f>IF(ISBLANK(P4157),"",IF(S4157=0,(365/0.5)*V4157,(365/S4157)*V4157))</f>
        <v/>
      </c>
      <c r="X4157" s="75" t="n"/>
      <c r="Y4157" s="77" t="n"/>
      <c r="Z4157" s="77" t="n"/>
      <c r="AA4157" s="75" t="n"/>
      <c r="AB4157" s="75" t="n"/>
      <c r="AC4157" s="6" t="n"/>
      <c r="AD4157" s="75" t="n"/>
      <c r="AE4157" s="75" t="n"/>
      <c r="AF4157" s="75" t="n"/>
    </row>
    <row r="4158" ht="15.75" customHeight="1" s="133">
      <c r="A4158" s="75" t="n"/>
      <c r="B4158" s="75" t="n"/>
      <c r="C4158" s="75" t="n"/>
      <c r="D4158" s="75" t="n"/>
      <c r="E4158" s="76" t="n"/>
      <c r="F4158" s="77" t="n"/>
      <c r="G4158" s="75" t="n"/>
      <c r="H4158" s="75">
        <f>IF(ISBLANK(E4158),"",IF(OR(D4158="Butterfly",D4158="Butterfly ",D4158="Iron Fly", D4158="Iron Fly "),LEN(E4158)-LEN(SUBSTITUTE(E4158,"/",""))+2,LEN(E4158)-LEN(SUBSTITUTE(E4158,"/",""))+1))</f>
        <v/>
      </c>
      <c r="I4158" s="78">
        <f>IF(ISBLANK(G4158),"",IF(D4158="Stock","0",Key!$A$3*H4158*G4158))</f>
        <v/>
      </c>
      <c r="J4158" s="78">
        <f>IF(ISBLANK(E4158),"",IF(ISNUMBER(SEARCH("/",E4158)), IF(LEN(E4158)-LEN(SUBSTITUTE(E4158,"/",""))=1,(RIGHT(E4158,LEN(E4158)-FIND("/",E4158)))-(LEFT(E4158,FIND("/",E4158)-1)),(MID(E4158, SEARCH("/",E4158) + 1, SEARCH("/",E4158, SEARCH("/",E4158)+1) - SEARCH("/",E4158) - 1))-(LEFT(E4158,FIND("/",E4158)-1))), "NA"))</f>
        <v/>
      </c>
      <c r="K4158" s="79">
        <f>IF(A4158&lt;&gt;"", IF(ISBLANK(L4158), TODAY(), K4158), "")</f>
        <v/>
      </c>
      <c r="L4158" s="78" t="n"/>
      <c r="M4158" s="78">
        <f>IF(ISBLANK(L4158),"",IF(D4158="Stock",IF(C4158="Buy",L4158*G4158,IF(C4158="Sell",(L4158*G4158)-I4158, X)),IF(C4158="Buy",(L4158*G4158*100)+I4158,IF(C4158="Sell",(L4158*G4158*100)-I4158, X))))</f>
        <v/>
      </c>
      <c r="N4158" s="78">
        <f>IF(ISBLANK(L4158),"",IF(AND(C4158="Sell",D4158="Stock"),M4158,IF(ISBLANK(L4158),"",IF(C4158="Buy",M4158, IF(AND(C4158="Sell",J4158="NA"),(E4158*G4158*100*0.1)+I4158, IF(C4158="Sell",(J4158-L4158)*(100*G4158)+I4158))))))</f>
        <v/>
      </c>
      <c r="O4158" s="75" t="n"/>
      <c r="P4158" s="75" t="n"/>
      <c r="Q4158" s="75">
        <f>IF(ISBLANK(P4158),"",IF(D4158="Stock",P4158*G4158,IF(P4158=0,"0",G4158*P4158*100-(G4158*$AF$14))))</f>
        <v/>
      </c>
      <c r="R4158" s="79">
        <f>IF(P4158&lt;&gt;"", TODAY(), "")</f>
        <v/>
      </c>
      <c r="S4158" s="78">
        <f>IF(AND(K4158&lt;&gt;"", R4158&lt;&gt;""), R4158-K4158, "")</f>
        <v/>
      </c>
      <c r="T4158" s="78" t="n"/>
      <c r="U4158" s="92">
        <f>IF(ISBLANK(P4158),"",IF(C4158="Buy",Q4158-M4158+T4158, IF(C4158="Sell",M4158-Q4158-T4158, X)))</f>
        <v/>
      </c>
      <c r="V4158" s="81">
        <f>IF(ISBLANK(P4158),"",U4158/N4158)</f>
        <v/>
      </c>
      <c r="W4158" s="81">
        <f>IF(ISBLANK(P4158),"",IF(S4158=0,(365/0.5)*V4158,(365/S4158)*V4158))</f>
        <v/>
      </c>
      <c r="X4158" s="75" t="n"/>
      <c r="Y4158" s="77" t="n"/>
      <c r="Z4158" s="77" t="n"/>
      <c r="AA4158" s="75" t="n"/>
      <c r="AB4158" s="75" t="n"/>
      <c r="AC4158" s="6" t="n"/>
      <c r="AD4158" s="75" t="n"/>
      <c r="AE4158" s="75" t="n"/>
      <c r="AF4158" s="75" t="n"/>
    </row>
    <row r="4159" ht="15.75" customHeight="1" s="133">
      <c r="A4159" s="75" t="n"/>
      <c r="B4159" s="75" t="n"/>
      <c r="C4159" s="75" t="n"/>
      <c r="D4159" s="75" t="n"/>
      <c r="E4159" s="76" t="n"/>
      <c r="F4159" s="77" t="n"/>
      <c r="G4159" s="75" t="n"/>
      <c r="H4159" s="75">
        <f>IF(ISBLANK(E4159),"",IF(OR(D4159="Butterfly",D4159="Butterfly ",D4159="Iron Fly", D4159="Iron Fly "),LEN(E4159)-LEN(SUBSTITUTE(E4159,"/",""))+2,LEN(E4159)-LEN(SUBSTITUTE(E4159,"/",""))+1))</f>
        <v/>
      </c>
      <c r="I4159" s="78">
        <f>IF(ISBLANK(G4159),"",IF(D4159="Stock","0",Key!$A$3*H4159*G4159))</f>
        <v/>
      </c>
      <c r="J4159" s="78">
        <f>IF(ISBLANK(E4159),"",IF(ISNUMBER(SEARCH("/",E4159)), IF(LEN(E4159)-LEN(SUBSTITUTE(E4159,"/",""))=1,(RIGHT(E4159,LEN(E4159)-FIND("/",E4159)))-(LEFT(E4159,FIND("/",E4159)-1)),(MID(E4159, SEARCH("/",E4159) + 1, SEARCH("/",E4159, SEARCH("/",E4159)+1) - SEARCH("/",E4159) - 1))-(LEFT(E4159,FIND("/",E4159)-1))), "NA"))</f>
        <v/>
      </c>
      <c r="K4159" s="79">
        <f>IF(A4159&lt;&gt;"", IF(ISBLANK(L4159), TODAY(), K4159), "")</f>
        <v/>
      </c>
      <c r="L4159" s="78" t="n"/>
      <c r="M4159" s="78">
        <f>IF(ISBLANK(L4159),"",IF(D4159="Stock",IF(C4159="Buy",L4159*G4159,IF(C4159="Sell",(L4159*G4159)-I4159, X)),IF(C4159="Buy",(L4159*G4159*100)+I4159,IF(C4159="Sell",(L4159*G4159*100)-I4159, X))))</f>
        <v/>
      </c>
      <c r="N4159" s="78">
        <f>IF(ISBLANK(L4159),"",IF(AND(C4159="Sell",D4159="Stock"),M4159,IF(ISBLANK(L4159),"",IF(C4159="Buy",M4159, IF(AND(C4159="Sell",J4159="NA"),(E4159*G4159*100*0.1)+I4159, IF(C4159="Sell",(J4159-L4159)*(100*G4159)+I4159))))))</f>
        <v/>
      </c>
      <c r="O4159" s="75" t="n"/>
      <c r="P4159" s="75" t="n"/>
      <c r="Q4159" s="75">
        <f>IF(ISBLANK(P4159),"",IF(D4159="Stock",P4159*G4159,IF(P4159=0,"0",G4159*P4159*100-(G4159*$AF$14))))</f>
        <v/>
      </c>
      <c r="R4159" s="79">
        <f>IF(P4159&lt;&gt;"", TODAY(), "")</f>
        <v/>
      </c>
      <c r="S4159" s="78">
        <f>IF(AND(K4159&lt;&gt;"", R4159&lt;&gt;""), R4159-K4159, "")</f>
        <v/>
      </c>
      <c r="T4159" s="78" t="n"/>
      <c r="U4159" s="92">
        <f>IF(ISBLANK(P4159),"",IF(C4159="Buy",Q4159-M4159+T4159, IF(C4159="Sell",M4159-Q4159-T4159, X)))</f>
        <v/>
      </c>
      <c r="V4159" s="81">
        <f>IF(ISBLANK(P4159),"",U4159/N4159)</f>
        <v/>
      </c>
      <c r="W4159" s="81">
        <f>IF(ISBLANK(P4159),"",IF(S4159=0,(365/0.5)*V4159,(365/S4159)*V4159))</f>
        <v/>
      </c>
      <c r="X4159" s="75" t="n"/>
      <c r="Y4159" s="77" t="n"/>
      <c r="Z4159" s="77" t="n"/>
      <c r="AA4159" s="75" t="n"/>
      <c r="AB4159" s="75" t="n"/>
      <c r="AC4159" s="6" t="n"/>
      <c r="AD4159" s="75" t="n"/>
      <c r="AE4159" s="75" t="n"/>
      <c r="AF4159" s="75" t="n"/>
    </row>
    <row r="4160" ht="15.75" customHeight="1" s="133">
      <c r="A4160" s="75" t="n"/>
      <c r="B4160" s="75" t="n"/>
      <c r="C4160" s="75" t="n"/>
      <c r="D4160" s="75" t="n"/>
      <c r="E4160" s="76" t="n"/>
      <c r="F4160" s="77" t="n"/>
      <c r="G4160" s="75" t="n"/>
      <c r="H4160" s="75">
        <f>IF(ISBLANK(E4160),"",IF(OR(D4160="Butterfly",D4160="Butterfly ",D4160="Iron Fly", D4160="Iron Fly "),LEN(E4160)-LEN(SUBSTITUTE(E4160,"/",""))+2,LEN(E4160)-LEN(SUBSTITUTE(E4160,"/",""))+1))</f>
        <v/>
      </c>
      <c r="I4160" s="78">
        <f>IF(ISBLANK(G4160),"",IF(D4160="Stock","0",Key!$A$3*H4160*G4160))</f>
        <v/>
      </c>
      <c r="J4160" s="78">
        <f>IF(ISBLANK(E4160),"",IF(ISNUMBER(SEARCH("/",E4160)), IF(LEN(E4160)-LEN(SUBSTITUTE(E4160,"/",""))=1,(RIGHT(E4160,LEN(E4160)-FIND("/",E4160)))-(LEFT(E4160,FIND("/",E4160)-1)),(MID(E4160, SEARCH("/",E4160) + 1, SEARCH("/",E4160, SEARCH("/",E4160)+1) - SEARCH("/",E4160) - 1))-(LEFT(E4160,FIND("/",E4160)-1))), "NA"))</f>
        <v/>
      </c>
      <c r="K4160" s="79">
        <f>IF(A4160&lt;&gt;"", IF(ISBLANK(L4160), TODAY(), K4160), "")</f>
        <v/>
      </c>
      <c r="L4160" s="78" t="n"/>
      <c r="M4160" s="78">
        <f>IF(ISBLANK(L4160),"",IF(D4160="Stock",IF(C4160="Buy",L4160*G4160,IF(C4160="Sell",(L4160*G4160)-I4160, X)),IF(C4160="Buy",(L4160*G4160*100)+I4160,IF(C4160="Sell",(L4160*G4160*100)-I4160, X))))</f>
        <v/>
      </c>
      <c r="N4160" s="78">
        <f>IF(ISBLANK(L4160),"",IF(AND(C4160="Sell",D4160="Stock"),M4160,IF(ISBLANK(L4160),"",IF(C4160="Buy",M4160, IF(AND(C4160="Sell",J4160="NA"),(E4160*G4160*100*0.1)+I4160, IF(C4160="Sell",(J4160-L4160)*(100*G4160)+I4160))))))</f>
        <v/>
      </c>
      <c r="O4160" s="75" t="n"/>
      <c r="P4160" s="75" t="n"/>
      <c r="Q4160" s="75">
        <f>IF(ISBLANK(P4160),"",IF(D4160="Stock",P4160*G4160,IF(P4160=0,"0",G4160*P4160*100-(G4160*$AF$14))))</f>
        <v/>
      </c>
      <c r="R4160" s="79">
        <f>IF(P4160&lt;&gt;"", TODAY(), "")</f>
        <v/>
      </c>
      <c r="S4160" s="78">
        <f>IF(AND(K4160&lt;&gt;"", R4160&lt;&gt;""), R4160-K4160, "")</f>
        <v/>
      </c>
      <c r="T4160" s="78" t="n"/>
      <c r="U4160" s="92">
        <f>IF(ISBLANK(P4160),"",IF(C4160="Buy",Q4160-M4160+T4160, IF(C4160="Sell",M4160-Q4160-T4160, X)))</f>
        <v/>
      </c>
      <c r="V4160" s="81">
        <f>IF(ISBLANK(P4160),"",U4160/N4160)</f>
        <v/>
      </c>
      <c r="W4160" s="81">
        <f>IF(ISBLANK(P4160),"",IF(S4160=0,(365/0.5)*V4160,(365/S4160)*V4160))</f>
        <v/>
      </c>
      <c r="X4160" s="75" t="n"/>
      <c r="Y4160" s="77" t="n"/>
      <c r="Z4160" s="77" t="n"/>
      <c r="AA4160" s="75" t="n"/>
      <c r="AB4160" s="75" t="n"/>
      <c r="AC4160" s="6" t="n"/>
      <c r="AD4160" s="75" t="n"/>
      <c r="AE4160" s="75" t="n"/>
      <c r="AF4160" s="75" t="n"/>
    </row>
    <row r="4161" ht="15.75" customHeight="1" s="133">
      <c r="A4161" s="75" t="n"/>
      <c r="B4161" s="75" t="n"/>
      <c r="C4161" s="75" t="n"/>
      <c r="D4161" s="75" t="n"/>
      <c r="E4161" s="76" t="n"/>
      <c r="F4161" s="77" t="n"/>
      <c r="G4161" s="75" t="n"/>
      <c r="H4161" s="75">
        <f>IF(ISBLANK(E4161),"",IF(OR(D4161="Butterfly",D4161="Butterfly ",D4161="Iron Fly", D4161="Iron Fly "),LEN(E4161)-LEN(SUBSTITUTE(E4161,"/",""))+2,LEN(E4161)-LEN(SUBSTITUTE(E4161,"/",""))+1))</f>
        <v/>
      </c>
      <c r="I4161" s="78">
        <f>IF(ISBLANK(G4161),"",IF(D4161="Stock","0",Key!$A$3*H4161*G4161))</f>
        <v/>
      </c>
      <c r="J4161" s="78">
        <f>IF(ISBLANK(E4161),"",IF(ISNUMBER(SEARCH("/",E4161)), IF(LEN(E4161)-LEN(SUBSTITUTE(E4161,"/",""))=1,(RIGHT(E4161,LEN(E4161)-FIND("/",E4161)))-(LEFT(E4161,FIND("/",E4161)-1)),(MID(E4161, SEARCH("/",E4161) + 1, SEARCH("/",E4161, SEARCH("/",E4161)+1) - SEARCH("/",E4161) - 1))-(LEFT(E4161,FIND("/",E4161)-1))), "NA"))</f>
        <v/>
      </c>
      <c r="K4161" s="79">
        <f>IF(A4161&lt;&gt;"", IF(ISBLANK(L4161), TODAY(), K4161), "")</f>
        <v/>
      </c>
      <c r="L4161" s="78" t="n"/>
      <c r="M4161" s="78">
        <f>IF(ISBLANK(L4161),"",IF(D4161="Stock",IF(C4161="Buy",L4161*G4161,IF(C4161="Sell",(L4161*G4161)-I4161, X)),IF(C4161="Buy",(L4161*G4161*100)+I4161,IF(C4161="Sell",(L4161*G4161*100)-I4161, X))))</f>
        <v/>
      </c>
      <c r="N4161" s="78">
        <f>IF(ISBLANK(L4161),"",IF(AND(C4161="Sell",D4161="Stock"),M4161,IF(ISBLANK(L4161),"",IF(C4161="Buy",M4161, IF(AND(C4161="Sell",J4161="NA"),(E4161*G4161*100*0.1)+I4161, IF(C4161="Sell",(J4161-L4161)*(100*G4161)+I4161))))))</f>
        <v/>
      </c>
      <c r="O4161" s="75" t="n"/>
      <c r="P4161" s="75" t="n"/>
      <c r="Q4161" s="75">
        <f>IF(ISBLANK(P4161),"",IF(D4161="Stock",P4161*G4161,IF(P4161=0,"0",G4161*P4161*100-(G4161*$AF$14))))</f>
        <v/>
      </c>
      <c r="R4161" s="79">
        <f>IF(P4161&lt;&gt;"", TODAY(), "")</f>
        <v/>
      </c>
      <c r="S4161" s="78">
        <f>IF(AND(K4161&lt;&gt;"", R4161&lt;&gt;""), R4161-K4161, "")</f>
        <v/>
      </c>
      <c r="T4161" s="78" t="n"/>
      <c r="U4161" s="92">
        <f>IF(ISBLANK(P4161),"",IF(C4161="Buy",Q4161-M4161+T4161, IF(C4161="Sell",M4161-Q4161-T4161, X)))</f>
        <v/>
      </c>
      <c r="V4161" s="81">
        <f>IF(ISBLANK(P4161),"",U4161/N4161)</f>
        <v/>
      </c>
      <c r="W4161" s="81">
        <f>IF(ISBLANK(P4161),"",IF(S4161=0,(365/0.5)*V4161,(365/S4161)*V4161))</f>
        <v/>
      </c>
      <c r="X4161" s="75" t="n"/>
      <c r="Y4161" s="77" t="n"/>
      <c r="Z4161" s="77" t="n"/>
      <c r="AA4161" s="75" t="n"/>
      <c r="AB4161" s="75" t="n"/>
      <c r="AC4161" s="6" t="n"/>
      <c r="AD4161" s="75" t="n"/>
      <c r="AE4161" s="75" t="n"/>
      <c r="AF4161" s="75" t="n"/>
    </row>
    <row r="4162" ht="15.75" customHeight="1" s="133">
      <c r="A4162" s="75" t="n"/>
      <c r="B4162" s="75" t="n"/>
      <c r="C4162" s="75" t="n"/>
      <c r="D4162" s="75" t="n"/>
      <c r="E4162" s="76" t="n"/>
      <c r="F4162" s="77" t="n"/>
      <c r="G4162" s="75" t="n"/>
      <c r="H4162" s="75">
        <f>IF(ISBLANK(E4162),"",IF(OR(D4162="Butterfly",D4162="Butterfly ",D4162="Iron Fly", D4162="Iron Fly "),LEN(E4162)-LEN(SUBSTITUTE(E4162,"/",""))+2,LEN(E4162)-LEN(SUBSTITUTE(E4162,"/",""))+1))</f>
        <v/>
      </c>
      <c r="I4162" s="78">
        <f>IF(ISBLANK(G4162),"",IF(D4162="Stock","0",Key!$A$3*H4162*G4162))</f>
        <v/>
      </c>
      <c r="J4162" s="78">
        <f>IF(ISBLANK(E4162),"",IF(ISNUMBER(SEARCH("/",E4162)), IF(LEN(E4162)-LEN(SUBSTITUTE(E4162,"/",""))=1,(RIGHT(E4162,LEN(E4162)-FIND("/",E4162)))-(LEFT(E4162,FIND("/",E4162)-1)),(MID(E4162, SEARCH("/",E4162) + 1, SEARCH("/",E4162, SEARCH("/",E4162)+1) - SEARCH("/",E4162) - 1))-(LEFT(E4162,FIND("/",E4162)-1))), "NA"))</f>
        <v/>
      </c>
      <c r="K4162" s="79">
        <f>IF(A4162&lt;&gt;"", IF(ISBLANK(L4162), TODAY(), K4162), "")</f>
        <v/>
      </c>
      <c r="L4162" s="78" t="n"/>
      <c r="M4162" s="78">
        <f>IF(ISBLANK(L4162),"",IF(D4162="Stock",IF(C4162="Buy",L4162*G4162,IF(C4162="Sell",(L4162*G4162)-I4162, X)),IF(C4162="Buy",(L4162*G4162*100)+I4162,IF(C4162="Sell",(L4162*G4162*100)-I4162, X))))</f>
        <v/>
      </c>
      <c r="N4162" s="78">
        <f>IF(ISBLANK(L4162),"",IF(AND(C4162="Sell",D4162="Stock"),M4162,IF(ISBLANK(L4162),"",IF(C4162="Buy",M4162, IF(AND(C4162="Sell",J4162="NA"),(E4162*G4162*100*0.1)+I4162, IF(C4162="Sell",(J4162-L4162)*(100*G4162)+I4162))))))</f>
        <v/>
      </c>
      <c r="O4162" s="75" t="n"/>
      <c r="P4162" s="75" t="n"/>
      <c r="Q4162" s="75">
        <f>IF(ISBLANK(P4162),"",IF(D4162="Stock",P4162*G4162,IF(P4162=0,"0",G4162*P4162*100-(G4162*$AF$14))))</f>
        <v/>
      </c>
      <c r="R4162" s="79">
        <f>IF(P4162&lt;&gt;"", TODAY(), "")</f>
        <v/>
      </c>
      <c r="S4162" s="78">
        <f>IF(AND(K4162&lt;&gt;"", R4162&lt;&gt;""), R4162-K4162, "")</f>
        <v/>
      </c>
      <c r="T4162" s="78" t="n"/>
      <c r="U4162" s="92">
        <f>IF(ISBLANK(P4162),"",IF(C4162="Buy",Q4162-M4162+T4162, IF(C4162="Sell",M4162-Q4162-T4162, X)))</f>
        <v/>
      </c>
      <c r="V4162" s="81">
        <f>IF(ISBLANK(P4162),"",U4162/N4162)</f>
        <v/>
      </c>
      <c r="W4162" s="81">
        <f>IF(ISBLANK(P4162),"",IF(S4162=0,(365/0.5)*V4162,(365/S4162)*V4162))</f>
        <v/>
      </c>
      <c r="X4162" s="75" t="n"/>
      <c r="Y4162" s="77" t="n"/>
      <c r="Z4162" s="77" t="n"/>
      <c r="AA4162" s="75" t="n"/>
      <c r="AB4162" s="75" t="n"/>
      <c r="AC4162" s="6" t="n"/>
      <c r="AD4162" s="75" t="n"/>
      <c r="AE4162" s="75" t="n"/>
      <c r="AF4162" s="75" t="n"/>
    </row>
    <row r="4163" ht="15.75" customHeight="1" s="133">
      <c r="A4163" s="75" t="n"/>
      <c r="B4163" s="75" t="n"/>
      <c r="C4163" s="75" t="n"/>
      <c r="D4163" s="75" t="n"/>
      <c r="E4163" s="76" t="n"/>
      <c r="F4163" s="77" t="n"/>
      <c r="G4163" s="75" t="n"/>
      <c r="H4163" s="75">
        <f>IF(ISBLANK(E4163),"",IF(OR(D4163="Butterfly",D4163="Butterfly ",D4163="Iron Fly", D4163="Iron Fly "),LEN(E4163)-LEN(SUBSTITUTE(E4163,"/",""))+2,LEN(E4163)-LEN(SUBSTITUTE(E4163,"/",""))+1))</f>
        <v/>
      </c>
      <c r="I4163" s="78">
        <f>IF(ISBLANK(G4163),"",IF(D4163="Stock","0",Key!$A$3*H4163*G4163))</f>
        <v/>
      </c>
      <c r="J4163" s="78">
        <f>IF(ISBLANK(E4163),"",IF(ISNUMBER(SEARCH("/",E4163)), IF(LEN(E4163)-LEN(SUBSTITUTE(E4163,"/",""))=1,(RIGHT(E4163,LEN(E4163)-FIND("/",E4163)))-(LEFT(E4163,FIND("/",E4163)-1)),(MID(E4163, SEARCH("/",E4163) + 1, SEARCH("/",E4163, SEARCH("/",E4163)+1) - SEARCH("/",E4163) - 1))-(LEFT(E4163,FIND("/",E4163)-1))), "NA"))</f>
        <v/>
      </c>
      <c r="K4163" s="79">
        <f>IF(A4163&lt;&gt;"", IF(ISBLANK(L4163), TODAY(), K4163), "")</f>
        <v/>
      </c>
      <c r="L4163" s="78" t="n"/>
      <c r="M4163" s="78">
        <f>IF(ISBLANK(L4163),"",IF(D4163="Stock",IF(C4163="Buy",L4163*G4163,IF(C4163="Sell",(L4163*G4163)-I4163, X)),IF(C4163="Buy",(L4163*G4163*100)+I4163,IF(C4163="Sell",(L4163*G4163*100)-I4163, X))))</f>
        <v/>
      </c>
      <c r="N4163" s="78">
        <f>IF(ISBLANK(L4163),"",IF(AND(C4163="Sell",D4163="Stock"),M4163,IF(ISBLANK(L4163),"",IF(C4163="Buy",M4163, IF(AND(C4163="Sell",J4163="NA"),(E4163*G4163*100*0.1)+I4163, IF(C4163="Sell",(J4163-L4163)*(100*G4163)+I4163))))))</f>
        <v/>
      </c>
      <c r="O4163" s="75" t="n"/>
      <c r="P4163" s="75" t="n"/>
      <c r="Q4163" s="75">
        <f>IF(ISBLANK(P4163),"",IF(D4163="Stock",P4163*G4163,IF(P4163=0,"0",G4163*P4163*100-(G4163*$AF$14))))</f>
        <v/>
      </c>
      <c r="R4163" s="79">
        <f>IF(P4163&lt;&gt;"", TODAY(), "")</f>
        <v/>
      </c>
      <c r="S4163" s="78">
        <f>IF(AND(K4163&lt;&gt;"", R4163&lt;&gt;""), R4163-K4163, "")</f>
        <v/>
      </c>
      <c r="T4163" s="78" t="n"/>
      <c r="U4163" s="92">
        <f>IF(ISBLANK(P4163),"",IF(C4163="Buy",Q4163-M4163+T4163, IF(C4163="Sell",M4163-Q4163-T4163, X)))</f>
        <v/>
      </c>
      <c r="V4163" s="81">
        <f>IF(ISBLANK(P4163),"",U4163/N4163)</f>
        <v/>
      </c>
      <c r="W4163" s="81">
        <f>IF(ISBLANK(P4163),"",IF(S4163=0,(365/0.5)*V4163,(365/S4163)*V4163))</f>
        <v/>
      </c>
      <c r="X4163" s="75" t="n"/>
      <c r="Y4163" s="77" t="n"/>
      <c r="Z4163" s="77" t="n"/>
      <c r="AA4163" s="75" t="n"/>
      <c r="AB4163" s="75" t="n"/>
      <c r="AC4163" s="6" t="n"/>
      <c r="AD4163" s="75" t="n"/>
      <c r="AE4163" s="75" t="n"/>
      <c r="AF4163" s="75" t="n"/>
    </row>
    <row r="4164" ht="15.75" customHeight="1" s="133">
      <c r="A4164" s="75" t="n"/>
      <c r="B4164" s="75" t="n"/>
      <c r="C4164" s="75" t="n"/>
      <c r="D4164" s="75" t="n"/>
      <c r="E4164" s="76" t="n"/>
      <c r="F4164" s="77" t="n"/>
      <c r="G4164" s="75" t="n"/>
      <c r="H4164" s="75">
        <f>IF(ISBLANK(E4164),"",IF(OR(D4164="Butterfly",D4164="Butterfly ",D4164="Iron Fly", D4164="Iron Fly "),LEN(E4164)-LEN(SUBSTITUTE(E4164,"/",""))+2,LEN(E4164)-LEN(SUBSTITUTE(E4164,"/",""))+1))</f>
        <v/>
      </c>
      <c r="I4164" s="78">
        <f>IF(ISBLANK(G4164),"",IF(D4164="Stock","0",Key!$A$3*H4164*G4164))</f>
        <v/>
      </c>
      <c r="J4164" s="78">
        <f>IF(ISBLANK(E4164),"",IF(ISNUMBER(SEARCH("/",E4164)), IF(LEN(E4164)-LEN(SUBSTITUTE(E4164,"/",""))=1,(RIGHT(E4164,LEN(E4164)-FIND("/",E4164)))-(LEFT(E4164,FIND("/",E4164)-1)),(MID(E4164, SEARCH("/",E4164) + 1, SEARCH("/",E4164, SEARCH("/",E4164)+1) - SEARCH("/",E4164) - 1))-(LEFT(E4164,FIND("/",E4164)-1))), "NA"))</f>
        <v/>
      </c>
      <c r="K4164" s="79">
        <f>IF(A4164&lt;&gt;"", IF(ISBLANK(L4164), TODAY(), K4164), "")</f>
        <v/>
      </c>
      <c r="L4164" s="78" t="n"/>
      <c r="M4164" s="78">
        <f>IF(ISBLANK(L4164),"",IF(D4164="Stock",IF(C4164="Buy",L4164*G4164,IF(C4164="Sell",(L4164*G4164)-I4164, X)),IF(C4164="Buy",(L4164*G4164*100)+I4164,IF(C4164="Sell",(L4164*G4164*100)-I4164, X))))</f>
        <v/>
      </c>
      <c r="N4164" s="78">
        <f>IF(ISBLANK(L4164),"",IF(AND(C4164="Sell",D4164="Stock"),M4164,IF(ISBLANK(L4164),"",IF(C4164="Buy",M4164, IF(AND(C4164="Sell",J4164="NA"),(E4164*G4164*100*0.1)+I4164, IF(C4164="Sell",(J4164-L4164)*(100*G4164)+I4164))))))</f>
        <v/>
      </c>
      <c r="O4164" s="75" t="n"/>
      <c r="P4164" s="75" t="n"/>
      <c r="Q4164" s="75">
        <f>IF(ISBLANK(P4164),"",IF(D4164="Stock",P4164*G4164,IF(P4164=0,"0",G4164*P4164*100-(G4164*$AF$14))))</f>
        <v/>
      </c>
      <c r="R4164" s="79">
        <f>IF(P4164&lt;&gt;"", TODAY(), "")</f>
        <v/>
      </c>
      <c r="S4164" s="78">
        <f>IF(AND(K4164&lt;&gt;"", R4164&lt;&gt;""), R4164-K4164, "")</f>
        <v/>
      </c>
      <c r="T4164" s="78" t="n"/>
      <c r="U4164" s="92">
        <f>IF(ISBLANK(P4164),"",IF(C4164="Buy",Q4164-M4164+T4164, IF(C4164="Sell",M4164-Q4164-T4164, X)))</f>
        <v/>
      </c>
      <c r="V4164" s="81">
        <f>IF(ISBLANK(P4164),"",U4164/N4164)</f>
        <v/>
      </c>
      <c r="W4164" s="81">
        <f>IF(ISBLANK(P4164),"",IF(S4164=0,(365/0.5)*V4164,(365/S4164)*V4164))</f>
        <v/>
      </c>
      <c r="X4164" s="75" t="n"/>
      <c r="Y4164" s="77" t="n"/>
      <c r="Z4164" s="77" t="n"/>
      <c r="AA4164" s="75" t="n"/>
      <c r="AB4164" s="75" t="n"/>
      <c r="AC4164" s="6" t="n"/>
      <c r="AD4164" s="75" t="n"/>
      <c r="AE4164" s="75" t="n"/>
      <c r="AF4164" s="75" t="n"/>
    </row>
    <row r="4165" ht="15.75" customHeight="1" s="133">
      <c r="A4165" s="75" t="n"/>
      <c r="B4165" s="75" t="n"/>
      <c r="C4165" s="75" t="n"/>
      <c r="D4165" s="75" t="n"/>
      <c r="E4165" s="76" t="n"/>
      <c r="F4165" s="77" t="n"/>
      <c r="G4165" s="75" t="n"/>
      <c r="H4165" s="75">
        <f>IF(ISBLANK(E4165),"",IF(OR(D4165="Butterfly",D4165="Butterfly ",D4165="Iron Fly", D4165="Iron Fly "),LEN(E4165)-LEN(SUBSTITUTE(E4165,"/",""))+2,LEN(E4165)-LEN(SUBSTITUTE(E4165,"/",""))+1))</f>
        <v/>
      </c>
      <c r="I4165" s="78">
        <f>IF(ISBLANK(G4165),"",IF(D4165="Stock","0",Key!$A$3*H4165*G4165))</f>
        <v/>
      </c>
      <c r="J4165" s="78">
        <f>IF(ISBLANK(E4165),"",IF(ISNUMBER(SEARCH("/",E4165)), IF(LEN(E4165)-LEN(SUBSTITUTE(E4165,"/",""))=1,(RIGHT(E4165,LEN(E4165)-FIND("/",E4165)))-(LEFT(E4165,FIND("/",E4165)-1)),(MID(E4165, SEARCH("/",E4165) + 1, SEARCH("/",E4165, SEARCH("/",E4165)+1) - SEARCH("/",E4165) - 1))-(LEFT(E4165,FIND("/",E4165)-1))), "NA"))</f>
        <v/>
      </c>
      <c r="K4165" s="79">
        <f>IF(A4165&lt;&gt;"", IF(ISBLANK(L4165), TODAY(), K4165), "")</f>
        <v/>
      </c>
      <c r="L4165" s="78" t="n"/>
      <c r="M4165" s="78">
        <f>IF(ISBLANK(L4165),"",IF(D4165="Stock",IF(C4165="Buy",L4165*G4165,IF(C4165="Sell",(L4165*G4165)-I4165, X)),IF(C4165="Buy",(L4165*G4165*100)+I4165,IF(C4165="Sell",(L4165*G4165*100)-I4165, X))))</f>
        <v/>
      </c>
      <c r="N4165" s="78">
        <f>IF(ISBLANK(L4165),"",IF(AND(C4165="Sell",D4165="Stock"),M4165,IF(ISBLANK(L4165),"",IF(C4165="Buy",M4165, IF(AND(C4165="Sell",J4165="NA"),(E4165*G4165*100*0.1)+I4165, IF(C4165="Sell",(J4165-L4165)*(100*G4165)+I4165))))))</f>
        <v/>
      </c>
      <c r="O4165" s="75" t="n"/>
      <c r="P4165" s="75" t="n"/>
      <c r="Q4165" s="75">
        <f>IF(ISBLANK(P4165),"",IF(D4165="Stock",P4165*G4165,IF(P4165=0,"0",G4165*P4165*100-(G4165*$AF$14))))</f>
        <v/>
      </c>
      <c r="R4165" s="79">
        <f>IF(P4165&lt;&gt;"", TODAY(), "")</f>
        <v/>
      </c>
      <c r="S4165" s="78">
        <f>IF(AND(K4165&lt;&gt;"", R4165&lt;&gt;""), R4165-K4165, "")</f>
        <v/>
      </c>
      <c r="T4165" s="78" t="n"/>
      <c r="U4165" s="92">
        <f>IF(ISBLANK(P4165),"",IF(C4165="Buy",Q4165-M4165+T4165, IF(C4165="Sell",M4165-Q4165-T4165, X)))</f>
        <v/>
      </c>
      <c r="V4165" s="81">
        <f>IF(ISBLANK(P4165),"",U4165/N4165)</f>
        <v/>
      </c>
      <c r="W4165" s="81">
        <f>IF(ISBLANK(P4165),"",IF(S4165=0,(365/0.5)*V4165,(365/S4165)*V4165))</f>
        <v/>
      </c>
      <c r="X4165" s="75" t="n"/>
      <c r="Y4165" s="77" t="n"/>
      <c r="Z4165" s="77" t="n"/>
      <c r="AA4165" s="75" t="n"/>
      <c r="AB4165" s="75" t="n"/>
      <c r="AC4165" s="6" t="n"/>
      <c r="AD4165" s="75" t="n"/>
      <c r="AE4165" s="75" t="n"/>
      <c r="AF4165" s="75" t="n"/>
    </row>
    <row r="4166" ht="15.75" customHeight="1" s="133">
      <c r="A4166" s="75" t="n"/>
      <c r="B4166" s="75" t="n"/>
      <c r="C4166" s="75" t="n"/>
      <c r="D4166" s="75" t="n"/>
      <c r="E4166" s="76" t="n"/>
      <c r="F4166" s="77" t="n"/>
      <c r="G4166" s="75" t="n"/>
      <c r="H4166" s="75">
        <f>IF(ISBLANK(E4166),"",IF(OR(D4166="Butterfly",D4166="Butterfly ",D4166="Iron Fly", D4166="Iron Fly "),LEN(E4166)-LEN(SUBSTITUTE(E4166,"/",""))+2,LEN(E4166)-LEN(SUBSTITUTE(E4166,"/",""))+1))</f>
        <v/>
      </c>
      <c r="I4166" s="78">
        <f>IF(ISBLANK(G4166),"",IF(D4166="Stock","0",Key!$A$3*H4166*G4166))</f>
        <v/>
      </c>
      <c r="J4166" s="78">
        <f>IF(ISBLANK(E4166),"",IF(ISNUMBER(SEARCH("/",E4166)), IF(LEN(E4166)-LEN(SUBSTITUTE(E4166,"/",""))=1,(RIGHT(E4166,LEN(E4166)-FIND("/",E4166)))-(LEFT(E4166,FIND("/",E4166)-1)),(MID(E4166, SEARCH("/",E4166) + 1, SEARCH("/",E4166, SEARCH("/",E4166)+1) - SEARCH("/",E4166) - 1))-(LEFT(E4166,FIND("/",E4166)-1))), "NA"))</f>
        <v/>
      </c>
      <c r="K4166" s="79">
        <f>IF(A4166&lt;&gt;"", IF(ISBLANK(L4166), TODAY(), K4166), "")</f>
        <v/>
      </c>
      <c r="L4166" s="78" t="n"/>
      <c r="M4166" s="78">
        <f>IF(ISBLANK(L4166),"",IF(D4166="Stock",IF(C4166="Buy",L4166*G4166,IF(C4166="Sell",(L4166*G4166)-I4166, X)),IF(C4166="Buy",(L4166*G4166*100)+I4166,IF(C4166="Sell",(L4166*G4166*100)-I4166, X))))</f>
        <v/>
      </c>
      <c r="N4166" s="78">
        <f>IF(ISBLANK(L4166),"",IF(AND(C4166="Sell",D4166="Stock"),M4166,IF(ISBLANK(L4166),"",IF(C4166="Buy",M4166, IF(AND(C4166="Sell",J4166="NA"),(E4166*G4166*100*0.1)+I4166, IF(C4166="Sell",(J4166-L4166)*(100*G4166)+I4166))))))</f>
        <v/>
      </c>
      <c r="O4166" s="75" t="n"/>
      <c r="P4166" s="75" t="n"/>
      <c r="Q4166" s="75">
        <f>IF(ISBLANK(P4166),"",IF(D4166="Stock",P4166*G4166,IF(P4166=0,"0",G4166*P4166*100-(G4166*$AF$14))))</f>
        <v/>
      </c>
      <c r="R4166" s="79">
        <f>IF(P4166&lt;&gt;"", TODAY(), "")</f>
        <v/>
      </c>
      <c r="S4166" s="78">
        <f>IF(AND(K4166&lt;&gt;"", R4166&lt;&gt;""), R4166-K4166, "")</f>
        <v/>
      </c>
      <c r="T4166" s="78" t="n"/>
      <c r="U4166" s="92">
        <f>IF(ISBLANK(P4166),"",IF(C4166="Buy",Q4166-M4166+T4166, IF(C4166="Sell",M4166-Q4166-T4166, X)))</f>
        <v/>
      </c>
      <c r="V4166" s="81">
        <f>IF(ISBLANK(P4166),"",U4166/N4166)</f>
        <v/>
      </c>
      <c r="W4166" s="81">
        <f>IF(ISBLANK(P4166),"",IF(S4166=0,(365/0.5)*V4166,(365/S4166)*V4166))</f>
        <v/>
      </c>
      <c r="X4166" s="75" t="n"/>
      <c r="Y4166" s="77" t="n"/>
      <c r="Z4166" s="77" t="n"/>
      <c r="AA4166" s="75" t="n"/>
      <c r="AB4166" s="75" t="n"/>
      <c r="AC4166" s="6" t="n"/>
      <c r="AD4166" s="75" t="n"/>
      <c r="AE4166" s="75" t="n"/>
      <c r="AF4166" s="75" t="n"/>
    </row>
    <row r="4167" ht="15.75" customHeight="1" s="133">
      <c r="A4167" s="75" t="n"/>
      <c r="B4167" s="75" t="n"/>
      <c r="C4167" s="75" t="n"/>
      <c r="D4167" s="75" t="n"/>
      <c r="E4167" s="76" t="n"/>
      <c r="F4167" s="77" t="n"/>
      <c r="G4167" s="75" t="n"/>
      <c r="H4167" s="75">
        <f>IF(ISBLANK(E4167),"",IF(OR(D4167="Butterfly",D4167="Butterfly ",D4167="Iron Fly", D4167="Iron Fly "),LEN(E4167)-LEN(SUBSTITUTE(E4167,"/",""))+2,LEN(E4167)-LEN(SUBSTITUTE(E4167,"/",""))+1))</f>
        <v/>
      </c>
      <c r="I4167" s="78">
        <f>IF(ISBLANK(G4167),"",IF(D4167="Stock","0",Key!$A$3*H4167*G4167))</f>
        <v/>
      </c>
      <c r="J4167" s="78">
        <f>IF(ISBLANK(E4167),"",IF(ISNUMBER(SEARCH("/",E4167)), IF(LEN(E4167)-LEN(SUBSTITUTE(E4167,"/",""))=1,(RIGHT(E4167,LEN(E4167)-FIND("/",E4167)))-(LEFT(E4167,FIND("/",E4167)-1)),(MID(E4167, SEARCH("/",E4167) + 1, SEARCH("/",E4167, SEARCH("/",E4167)+1) - SEARCH("/",E4167) - 1))-(LEFT(E4167,FIND("/",E4167)-1))), "NA"))</f>
        <v/>
      </c>
      <c r="K4167" s="79">
        <f>IF(A4167&lt;&gt;"", IF(ISBLANK(L4167), TODAY(), K4167), "")</f>
        <v/>
      </c>
      <c r="L4167" s="78" t="n"/>
      <c r="M4167" s="78">
        <f>IF(ISBLANK(L4167),"",IF(D4167="Stock",IF(C4167="Buy",L4167*G4167,IF(C4167="Sell",(L4167*G4167)-I4167, X)),IF(C4167="Buy",(L4167*G4167*100)+I4167,IF(C4167="Sell",(L4167*G4167*100)-I4167, X))))</f>
        <v/>
      </c>
      <c r="N4167" s="78">
        <f>IF(ISBLANK(L4167),"",IF(AND(C4167="Sell",D4167="Stock"),M4167,IF(ISBLANK(L4167),"",IF(C4167="Buy",M4167, IF(AND(C4167="Sell",J4167="NA"),(E4167*G4167*100*0.1)+I4167, IF(C4167="Sell",(J4167-L4167)*(100*G4167)+I4167))))))</f>
        <v/>
      </c>
      <c r="O4167" s="75" t="n"/>
      <c r="P4167" s="75" t="n"/>
      <c r="Q4167" s="75">
        <f>IF(ISBLANK(P4167),"",IF(D4167="Stock",P4167*G4167,IF(P4167=0,"0",G4167*P4167*100-(G4167*$AF$14))))</f>
        <v/>
      </c>
      <c r="R4167" s="79">
        <f>IF(P4167&lt;&gt;"", TODAY(), "")</f>
        <v/>
      </c>
      <c r="S4167" s="78">
        <f>IF(AND(K4167&lt;&gt;"", R4167&lt;&gt;""), R4167-K4167, "")</f>
        <v/>
      </c>
      <c r="T4167" s="78" t="n"/>
      <c r="U4167" s="92">
        <f>IF(ISBLANK(P4167),"",IF(C4167="Buy",Q4167-M4167+T4167, IF(C4167="Sell",M4167-Q4167-T4167, X)))</f>
        <v/>
      </c>
      <c r="V4167" s="81">
        <f>IF(ISBLANK(P4167),"",U4167/N4167)</f>
        <v/>
      </c>
      <c r="W4167" s="81">
        <f>IF(ISBLANK(P4167),"",IF(S4167=0,(365/0.5)*V4167,(365/S4167)*V4167))</f>
        <v/>
      </c>
      <c r="X4167" s="75" t="n"/>
      <c r="Y4167" s="77" t="n"/>
      <c r="Z4167" s="77" t="n"/>
      <c r="AA4167" s="75" t="n"/>
      <c r="AB4167" s="75" t="n"/>
      <c r="AC4167" s="6" t="n"/>
      <c r="AD4167" s="75" t="n"/>
      <c r="AE4167" s="75" t="n"/>
      <c r="AF4167" s="75" t="n"/>
    </row>
    <row r="4168" ht="15.75" customHeight="1" s="133">
      <c r="A4168" s="75" t="n"/>
      <c r="B4168" s="75" t="n"/>
      <c r="C4168" s="75" t="n"/>
      <c r="D4168" s="75" t="n"/>
      <c r="E4168" s="76" t="n"/>
      <c r="F4168" s="77" t="n"/>
      <c r="G4168" s="75" t="n"/>
      <c r="H4168" s="75">
        <f>IF(ISBLANK(E4168),"",IF(OR(D4168="Butterfly",D4168="Butterfly ",D4168="Iron Fly", D4168="Iron Fly "),LEN(E4168)-LEN(SUBSTITUTE(E4168,"/",""))+2,LEN(E4168)-LEN(SUBSTITUTE(E4168,"/",""))+1))</f>
        <v/>
      </c>
      <c r="I4168" s="78">
        <f>IF(ISBLANK(G4168),"",IF(D4168="Stock","0",Key!$A$3*H4168*G4168))</f>
        <v/>
      </c>
      <c r="J4168" s="78">
        <f>IF(ISBLANK(E4168),"",IF(ISNUMBER(SEARCH("/",E4168)), IF(LEN(E4168)-LEN(SUBSTITUTE(E4168,"/",""))=1,(RIGHT(E4168,LEN(E4168)-FIND("/",E4168)))-(LEFT(E4168,FIND("/",E4168)-1)),(MID(E4168, SEARCH("/",E4168) + 1, SEARCH("/",E4168, SEARCH("/",E4168)+1) - SEARCH("/",E4168) - 1))-(LEFT(E4168,FIND("/",E4168)-1))), "NA"))</f>
        <v/>
      </c>
      <c r="K4168" s="79">
        <f>IF(A4168&lt;&gt;"", IF(ISBLANK(L4168), TODAY(), K4168), "")</f>
        <v/>
      </c>
      <c r="L4168" s="78" t="n"/>
      <c r="M4168" s="78">
        <f>IF(ISBLANK(L4168),"",IF(D4168="Stock",IF(C4168="Buy",L4168*G4168,IF(C4168="Sell",(L4168*G4168)-I4168, X)),IF(C4168="Buy",(L4168*G4168*100)+I4168,IF(C4168="Sell",(L4168*G4168*100)-I4168, X))))</f>
        <v/>
      </c>
      <c r="N4168" s="78">
        <f>IF(ISBLANK(L4168),"",IF(AND(C4168="Sell",D4168="Stock"),M4168,IF(ISBLANK(L4168),"",IF(C4168="Buy",M4168, IF(AND(C4168="Sell",J4168="NA"),(E4168*G4168*100*0.1)+I4168, IF(C4168="Sell",(J4168-L4168)*(100*G4168)+I4168))))))</f>
        <v/>
      </c>
      <c r="O4168" s="75" t="n"/>
      <c r="P4168" s="75" t="n"/>
      <c r="Q4168" s="75">
        <f>IF(ISBLANK(P4168),"",IF(D4168="Stock",P4168*G4168,IF(P4168=0,"0",G4168*P4168*100-(G4168*$AF$14))))</f>
        <v/>
      </c>
      <c r="R4168" s="79">
        <f>IF(P4168&lt;&gt;"", TODAY(), "")</f>
        <v/>
      </c>
      <c r="S4168" s="78">
        <f>IF(AND(K4168&lt;&gt;"", R4168&lt;&gt;""), R4168-K4168, "")</f>
        <v/>
      </c>
      <c r="T4168" s="78" t="n"/>
      <c r="U4168" s="92">
        <f>IF(ISBLANK(P4168),"",IF(C4168="Buy",Q4168-M4168+T4168, IF(C4168="Sell",M4168-Q4168-T4168, X)))</f>
        <v/>
      </c>
      <c r="V4168" s="81">
        <f>IF(ISBLANK(P4168),"",U4168/N4168)</f>
        <v/>
      </c>
      <c r="W4168" s="81">
        <f>IF(ISBLANK(P4168),"",IF(S4168=0,(365/0.5)*V4168,(365/S4168)*V4168))</f>
        <v/>
      </c>
      <c r="X4168" s="75" t="n"/>
      <c r="Y4168" s="77" t="n"/>
      <c r="Z4168" s="77" t="n"/>
      <c r="AA4168" s="75" t="n"/>
      <c r="AB4168" s="75" t="n"/>
      <c r="AC4168" s="6" t="n"/>
      <c r="AD4168" s="75" t="n"/>
      <c r="AE4168" s="75" t="n"/>
      <c r="AF4168" s="75" t="n"/>
    </row>
    <row r="4169" ht="15.75" customHeight="1" s="133">
      <c r="A4169" s="75" t="n"/>
      <c r="B4169" s="75" t="n"/>
      <c r="C4169" s="75" t="n"/>
      <c r="D4169" s="75" t="n"/>
      <c r="E4169" s="76" t="n"/>
      <c r="F4169" s="77" t="n"/>
      <c r="G4169" s="75" t="n"/>
      <c r="H4169" s="75">
        <f>IF(ISBLANK(E4169),"",IF(OR(D4169="Butterfly",D4169="Butterfly ",D4169="Iron Fly", D4169="Iron Fly "),LEN(E4169)-LEN(SUBSTITUTE(E4169,"/",""))+2,LEN(E4169)-LEN(SUBSTITUTE(E4169,"/",""))+1))</f>
        <v/>
      </c>
      <c r="I4169" s="78">
        <f>IF(ISBLANK(G4169),"",IF(D4169="Stock","0",Key!$A$3*H4169*G4169))</f>
        <v/>
      </c>
      <c r="J4169" s="78">
        <f>IF(ISBLANK(E4169),"",IF(ISNUMBER(SEARCH("/",E4169)), IF(LEN(E4169)-LEN(SUBSTITUTE(E4169,"/",""))=1,(RIGHT(E4169,LEN(E4169)-FIND("/",E4169)))-(LEFT(E4169,FIND("/",E4169)-1)),(MID(E4169, SEARCH("/",E4169) + 1, SEARCH("/",E4169, SEARCH("/",E4169)+1) - SEARCH("/",E4169) - 1))-(LEFT(E4169,FIND("/",E4169)-1))), "NA"))</f>
        <v/>
      </c>
      <c r="K4169" s="79">
        <f>IF(A4169&lt;&gt;"", IF(ISBLANK(L4169), TODAY(), K4169), "")</f>
        <v/>
      </c>
      <c r="L4169" s="78" t="n"/>
      <c r="M4169" s="78">
        <f>IF(ISBLANK(L4169),"",IF(D4169="Stock",IF(C4169="Buy",L4169*G4169,IF(C4169="Sell",(L4169*G4169)-I4169, X)),IF(C4169="Buy",(L4169*G4169*100)+I4169,IF(C4169="Sell",(L4169*G4169*100)-I4169, X))))</f>
        <v/>
      </c>
      <c r="N4169" s="78">
        <f>IF(ISBLANK(L4169),"",IF(AND(C4169="Sell",D4169="Stock"),M4169,IF(ISBLANK(L4169),"",IF(C4169="Buy",M4169, IF(AND(C4169="Sell",J4169="NA"),(E4169*G4169*100*0.1)+I4169, IF(C4169="Sell",(J4169-L4169)*(100*G4169)+I4169))))))</f>
        <v/>
      </c>
      <c r="O4169" s="75" t="n"/>
      <c r="P4169" s="75" t="n"/>
      <c r="Q4169" s="75">
        <f>IF(ISBLANK(P4169),"",IF(D4169="Stock",P4169*G4169,IF(P4169=0,"0",G4169*P4169*100-(G4169*$AF$14))))</f>
        <v/>
      </c>
      <c r="R4169" s="79">
        <f>IF(P4169&lt;&gt;"", TODAY(), "")</f>
        <v/>
      </c>
      <c r="S4169" s="78">
        <f>IF(AND(K4169&lt;&gt;"", R4169&lt;&gt;""), R4169-K4169, "")</f>
        <v/>
      </c>
      <c r="T4169" s="78" t="n"/>
      <c r="U4169" s="92">
        <f>IF(ISBLANK(P4169),"",IF(C4169="Buy",Q4169-M4169+T4169, IF(C4169="Sell",M4169-Q4169-T4169, X)))</f>
        <v/>
      </c>
      <c r="V4169" s="81">
        <f>IF(ISBLANK(P4169),"",U4169/N4169)</f>
        <v/>
      </c>
      <c r="W4169" s="81">
        <f>IF(ISBLANK(P4169),"",IF(S4169=0,(365/0.5)*V4169,(365/S4169)*V4169))</f>
        <v/>
      </c>
      <c r="X4169" s="75" t="n"/>
      <c r="Y4169" s="77" t="n"/>
      <c r="Z4169" s="77" t="n"/>
      <c r="AA4169" s="75" t="n"/>
      <c r="AB4169" s="75" t="n"/>
      <c r="AC4169" s="6" t="n"/>
      <c r="AD4169" s="75" t="n"/>
      <c r="AE4169" s="75" t="n"/>
      <c r="AF4169" s="75" t="n"/>
    </row>
    <row r="4170" ht="15.75" customHeight="1" s="133">
      <c r="A4170" s="75" t="n"/>
      <c r="B4170" s="75" t="n"/>
      <c r="C4170" s="75" t="n"/>
      <c r="D4170" s="75" t="n"/>
      <c r="E4170" s="76" t="n"/>
      <c r="F4170" s="77" t="n"/>
      <c r="G4170" s="75" t="n"/>
      <c r="H4170" s="75">
        <f>IF(ISBLANK(E4170),"",IF(OR(D4170="Butterfly",D4170="Butterfly ",D4170="Iron Fly", D4170="Iron Fly "),LEN(E4170)-LEN(SUBSTITUTE(E4170,"/",""))+2,LEN(E4170)-LEN(SUBSTITUTE(E4170,"/",""))+1))</f>
        <v/>
      </c>
      <c r="I4170" s="78">
        <f>IF(ISBLANK(G4170),"",IF(D4170="Stock","0",Key!$A$3*H4170*G4170))</f>
        <v/>
      </c>
      <c r="J4170" s="78">
        <f>IF(ISBLANK(E4170),"",IF(ISNUMBER(SEARCH("/",E4170)), IF(LEN(E4170)-LEN(SUBSTITUTE(E4170,"/",""))=1,(RIGHT(E4170,LEN(E4170)-FIND("/",E4170)))-(LEFT(E4170,FIND("/",E4170)-1)),(MID(E4170, SEARCH("/",E4170) + 1, SEARCH("/",E4170, SEARCH("/",E4170)+1) - SEARCH("/",E4170) - 1))-(LEFT(E4170,FIND("/",E4170)-1))), "NA"))</f>
        <v/>
      </c>
      <c r="K4170" s="79">
        <f>IF(A4170&lt;&gt;"", IF(ISBLANK(L4170), TODAY(), K4170), "")</f>
        <v/>
      </c>
      <c r="L4170" s="78" t="n"/>
      <c r="M4170" s="78">
        <f>IF(ISBLANK(L4170),"",IF(D4170="Stock",IF(C4170="Buy",L4170*G4170,IF(C4170="Sell",(L4170*G4170)-I4170, X)),IF(C4170="Buy",(L4170*G4170*100)+I4170,IF(C4170="Sell",(L4170*G4170*100)-I4170, X))))</f>
        <v/>
      </c>
      <c r="N4170" s="78">
        <f>IF(ISBLANK(L4170),"",IF(AND(C4170="Sell",D4170="Stock"),M4170,IF(ISBLANK(L4170),"",IF(C4170="Buy",M4170, IF(AND(C4170="Sell",J4170="NA"),(E4170*G4170*100*0.1)+I4170, IF(C4170="Sell",(J4170-L4170)*(100*G4170)+I4170))))))</f>
        <v/>
      </c>
      <c r="O4170" s="75" t="n"/>
      <c r="P4170" s="75" t="n"/>
      <c r="Q4170" s="75">
        <f>IF(ISBLANK(P4170),"",IF(D4170="Stock",P4170*G4170,IF(P4170=0,"0",G4170*P4170*100-(G4170*$AF$14))))</f>
        <v/>
      </c>
      <c r="R4170" s="79">
        <f>IF(P4170&lt;&gt;"", TODAY(), "")</f>
        <v/>
      </c>
      <c r="S4170" s="78">
        <f>IF(AND(K4170&lt;&gt;"", R4170&lt;&gt;""), R4170-K4170, "")</f>
        <v/>
      </c>
      <c r="T4170" s="78" t="n"/>
      <c r="U4170" s="92">
        <f>IF(ISBLANK(P4170),"",IF(C4170="Buy",Q4170-M4170+T4170, IF(C4170="Sell",M4170-Q4170-T4170, X)))</f>
        <v/>
      </c>
      <c r="V4170" s="81">
        <f>IF(ISBLANK(P4170),"",U4170/N4170)</f>
        <v/>
      </c>
      <c r="W4170" s="81">
        <f>IF(ISBLANK(P4170),"",IF(S4170=0,(365/0.5)*V4170,(365/S4170)*V4170))</f>
        <v/>
      </c>
      <c r="X4170" s="75" t="n"/>
      <c r="Y4170" s="77" t="n"/>
      <c r="Z4170" s="77" t="n"/>
      <c r="AA4170" s="75" t="n"/>
      <c r="AB4170" s="75" t="n"/>
      <c r="AC4170" s="6" t="n"/>
      <c r="AD4170" s="75" t="n"/>
      <c r="AE4170" s="75" t="n"/>
      <c r="AF4170" s="75" t="n"/>
    </row>
    <row r="4171" ht="15.75" customHeight="1" s="133">
      <c r="A4171" s="75" t="n"/>
      <c r="B4171" s="75" t="n"/>
      <c r="C4171" s="75" t="n"/>
      <c r="D4171" s="75" t="n"/>
      <c r="E4171" s="76" t="n"/>
      <c r="F4171" s="77" t="n"/>
      <c r="G4171" s="75" t="n"/>
      <c r="H4171" s="75">
        <f>IF(ISBLANK(E4171),"",IF(OR(D4171="Butterfly",D4171="Butterfly ",D4171="Iron Fly", D4171="Iron Fly "),LEN(E4171)-LEN(SUBSTITUTE(E4171,"/",""))+2,LEN(E4171)-LEN(SUBSTITUTE(E4171,"/",""))+1))</f>
        <v/>
      </c>
      <c r="I4171" s="78">
        <f>IF(ISBLANK(G4171),"",IF(D4171="Stock","0",Key!$A$3*H4171*G4171))</f>
        <v/>
      </c>
      <c r="J4171" s="78">
        <f>IF(ISBLANK(E4171),"",IF(ISNUMBER(SEARCH("/",E4171)), IF(LEN(E4171)-LEN(SUBSTITUTE(E4171,"/",""))=1,(RIGHT(E4171,LEN(E4171)-FIND("/",E4171)))-(LEFT(E4171,FIND("/",E4171)-1)),(MID(E4171, SEARCH("/",E4171) + 1, SEARCH("/",E4171, SEARCH("/",E4171)+1) - SEARCH("/",E4171) - 1))-(LEFT(E4171,FIND("/",E4171)-1))), "NA"))</f>
        <v/>
      </c>
      <c r="K4171" s="79">
        <f>IF(A4171&lt;&gt;"", IF(ISBLANK(L4171), TODAY(), K4171), "")</f>
        <v/>
      </c>
      <c r="L4171" s="78" t="n"/>
      <c r="M4171" s="78">
        <f>IF(ISBLANK(L4171),"",IF(D4171="Stock",IF(C4171="Buy",L4171*G4171,IF(C4171="Sell",(L4171*G4171)-I4171, X)),IF(C4171="Buy",(L4171*G4171*100)+I4171,IF(C4171="Sell",(L4171*G4171*100)-I4171, X))))</f>
        <v/>
      </c>
      <c r="N4171" s="78">
        <f>IF(ISBLANK(L4171),"",IF(AND(C4171="Sell",D4171="Stock"),M4171,IF(ISBLANK(L4171),"",IF(C4171="Buy",M4171, IF(AND(C4171="Sell",J4171="NA"),(E4171*G4171*100*0.1)+I4171, IF(C4171="Sell",(J4171-L4171)*(100*G4171)+I4171))))))</f>
        <v/>
      </c>
      <c r="O4171" s="75" t="n"/>
      <c r="P4171" s="75" t="n"/>
      <c r="Q4171" s="75">
        <f>IF(ISBLANK(P4171),"",IF(D4171="Stock",P4171*G4171,IF(P4171=0,"0",G4171*P4171*100-(G4171*$AF$14))))</f>
        <v/>
      </c>
      <c r="R4171" s="79">
        <f>IF(P4171&lt;&gt;"", TODAY(), "")</f>
        <v/>
      </c>
      <c r="S4171" s="78">
        <f>IF(AND(K4171&lt;&gt;"", R4171&lt;&gt;""), R4171-K4171, "")</f>
        <v/>
      </c>
      <c r="T4171" s="78" t="n"/>
      <c r="U4171" s="92">
        <f>IF(ISBLANK(P4171),"",IF(C4171="Buy",Q4171-M4171+T4171, IF(C4171="Sell",M4171-Q4171-T4171, X)))</f>
        <v/>
      </c>
      <c r="V4171" s="81">
        <f>IF(ISBLANK(P4171),"",U4171/N4171)</f>
        <v/>
      </c>
      <c r="W4171" s="81">
        <f>IF(ISBLANK(P4171),"",IF(S4171=0,(365/0.5)*V4171,(365/S4171)*V4171))</f>
        <v/>
      </c>
      <c r="X4171" s="75" t="n"/>
      <c r="Y4171" s="77" t="n"/>
      <c r="Z4171" s="77" t="n"/>
      <c r="AA4171" s="75" t="n"/>
      <c r="AB4171" s="75" t="n"/>
      <c r="AC4171" s="6" t="n"/>
      <c r="AD4171" s="75" t="n"/>
      <c r="AE4171" s="75" t="n"/>
      <c r="AF4171" s="75" t="n"/>
    </row>
    <row r="4172" ht="15.75" customHeight="1" s="133">
      <c r="A4172" s="75" t="n"/>
      <c r="B4172" s="75" t="n"/>
      <c r="C4172" s="75" t="n"/>
      <c r="D4172" s="75" t="n"/>
      <c r="E4172" s="76" t="n"/>
      <c r="F4172" s="77" t="n"/>
      <c r="G4172" s="75" t="n"/>
      <c r="H4172" s="75">
        <f>IF(ISBLANK(E4172),"",IF(OR(D4172="Butterfly",D4172="Butterfly ",D4172="Iron Fly", D4172="Iron Fly "),LEN(E4172)-LEN(SUBSTITUTE(E4172,"/",""))+2,LEN(E4172)-LEN(SUBSTITUTE(E4172,"/",""))+1))</f>
        <v/>
      </c>
      <c r="I4172" s="78">
        <f>IF(ISBLANK(G4172),"",IF(D4172="Stock","0",Key!$A$3*H4172*G4172))</f>
        <v/>
      </c>
      <c r="J4172" s="78">
        <f>IF(ISBLANK(E4172),"",IF(ISNUMBER(SEARCH("/",E4172)), IF(LEN(E4172)-LEN(SUBSTITUTE(E4172,"/",""))=1,(RIGHT(E4172,LEN(E4172)-FIND("/",E4172)))-(LEFT(E4172,FIND("/",E4172)-1)),(MID(E4172, SEARCH("/",E4172) + 1, SEARCH("/",E4172, SEARCH("/",E4172)+1) - SEARCH("/",E4172) - 1))-(LEFT(E4172,FIND("/",E4172)-1))), "NA"))</f>
        <v/>
      </c>
      <c r="K4172" s="79">
        <f>IF(A4172&lt;&gt;"", IF(ISBLANK(L4172), TODAY(), K4172), "")</f>
        <v/>
      </c>
      <c r="L4172" s="78" t="n"/>
      <c r="M4172" s="78">
        <f>IF(ISBLANK(L4172),"",IF(D4172="Stock",IF(C4172="Buy",L4172*G4172,IF(C4172="Sell",(L4172*G4172)-I4172, X)),IF(C4172="Buy",(L4172*G4172*100)+I4172,IF(C4172="Sell",(L4172*G4172*100)-I4172, X))))</f>
        <v/>
      </c>
      <c r="N4172" s="78">
        <f>IF(ISBLANK(L4172),"",IF(AND(C4172="Sell",D4172="Stock"),M4172,IF(ISBLANK(L4172),"",IF(C4172="Buy",M4172, IF(AND(C4172="Sell",J4172="NA"),(E4172*G4172*100*0.1)+I4172, IF(C4172="Sell",(J4172-L4172)*(100*G4172)+I4172))))))</f>
        <v/>
      </c>
      <c r="O4172" s="75" t="n"/>
      <c r="P4172" s="75" t="n"/>
      <c r="Q4172" s="75">
        <f>IF(ISBLANK(P4172),"",IF(D4172="Stock",P4172*G4172,IF(P4172=0,"0",G4172*P4172*100-(G4172*$AF$14))))</f>
        <v/>
      </c>
      <c r="R4172" s="79">
        <f>IF(P4172&lt;&gt;"", TODAY(), "")</f>
        <v/>
      </c>
      <c r="S4172" s="78">
        <f>IF(AND(K4172&lt;&gt;"", R4172&lt;&gt;""), R4172-K4172, "")</f>
        <v/>
      </c>
      <c r="T4172" s="78" t="n"/>
      <c r="U4172" s="92">
        <f>IF(ISBLANK(P4172),"",IF(C4172="Buy",Q4172-M4172+T4172, IF(C4172="Sell",M4172-Q4172-T4172, X)))</f>
        <v/>
      </c>
      <c r="V4172" s="81">
        <f>IF(ISBLANK(P4172),"",U4172/N4172)</f>
        <v/>
      </c>
      <c r="W4172" s="81">
        <f>IF(ISBLANK(P4172),"",IF(S4172=0,(365/0.5)*V4172,(365/S4172)*V4172))</f>
        <v/>
      </c>
      <c r="X4172" s="75" t="n"/>
      <c r="Y4172" s="77" t="n"/>
      <c r="Z4172" s="77" t="n"/>
      <c r="AA4172" s="75" t="n"/>
      <c r="AB4172" s="75" t="n"/>
      <c r="AC4172" s="6" t="n"/>
      <c r="AD4172" s="75" t="n"/>
      <c r="AE4172" s="75" t="n"/>
      <c r="AF4172" s="75" t="n"/>
    </row>
    <row r="4173" ht="15.75" customHeight="1" s="133">
      <c r="A4173" s="75" t="n"/>
      <c r="B4173" s="75" t="n"/>
      <c r="C4173" s="75" t="n"/>
      <c r="D4173" s="75" t="n"/>
      <c r="E4173" s="76" t="n"/>
      <c r="F4173" s="77" t="n"/>
      <c r="G4173" s="75" t="n"/>
      <c r="H4173" s="75">
        <f>IF(ISBLANK(E4173),"",IF(OR(D4173="Butterfly",D4173="Butterfly ",D4173="Iron Fly", D4173="Iron Fly "),LEN(E4173)-LEN(SUBSTITUTE(E4173,"/",""))+2,LEN(E4173)-LEN(SUBSTITUTE(E4173,"/",""))+1))</f>
        <v/>
      </c>
      <c r="I4173" s="78">
        <f>IF(ISBLANK(G4173),"",IF(D4173="Stock","0",Key!$A$3*H4173*G4173))</f>
        <v/>
      </c>
      <c r="J4173" s="78">
        <f>IF(ISBLANK(E4173),"",IF(ISNUMBER(SEARCH("/",E4173)), IF(LEN(E4173)-LEN(SUBSTITUTE(E4173,"/",""))=1,(RIGHT(E4173,LEN(E4173)-FIND("/",E4173)))-(LEFT(E4173,FIND("/",E4173)-1)),(MID(E4173, SEARCH("/",E4173) + 1, SEARCH("/",E4173, SEARCH("/",E4173)+1) - SEARCH("/",E4173) - 1))-(LEFT(E4173,FIND("/",E4173)-1))), "NA"))</f>
        <v/>
      </c>
      <c r="K4173" s="79">
        <f>IF(A4173&lt;&gt;"", IF(ISBLANK(L4173), TODAY(), K4173), "")</f>
        <v/>
      </c>
      <c r="L4173" s="78" t="n"/>
      <c r="M4173" s="78">
        <f>IF(ISBLANK(L4173),"",IF(D4173="Stock",IF(C4173="Buy",L4173*G4173,IF(C4173="Sell",(L4173*G4173)-I4173, X)),IF(C4173="Buy",(L4173*G4173*100)+I4173,IF(C4173="Sell",(L4173*G4173*100)-I4173, X))))</f>
        <v/>
      </c>
      <c r="N4173" s="78">
        <f>IF(ISBLANK(L4173),"",IF(AND(C4173="Sell",D4173="Stock"),M4173,IF(ISBLANK(L4173),"",IF(C4173="Buy",M4173, IF(AND(C4173="Sell",J4173="NA"),(E4173*G4173*100*0.1)+I4173, IF(C4173="Sell",(J4173-L4173)*(100*G4173)+I4173))))))</f>
        <v/>
      </c>
      <c r="O4173" s="75" t="n"/>
      <c r="P4173" s="75" t="n"/>
      <c r="Q4173" s="75">
        <f>IF(ISBLANK(P4173),"",IF(D4173="Stock",P4173*G4173,IF(P4173=0,"0",G4173*P4173*100-(G4173*$AF$14))))</f>
        <v/>
      </c>
      <c r="R4173" s="79">
        <f>IF(P4173&lt;&gt;"", TODAY(), "")</f>
        <v/>
      </c>
      <c r="S4173" s="78">
        <f>IF(AND(K4173&lt;&gt;"", R4173&lt;&gt;""), R4173-K4173, "")</f>
        <v/>
      </c>
      <c r="T4173" s="78" t="n"/>
      <c r="U4173" s="92">
        <f>IF(ISBLANK(P4173),"",IF(C4173="Buy",Q4173-M4173+T4173, IF(C4173="Sell",M4173-Q4173-T4173, X)))</f>
        <v/>
      </c>
      <c r="V4173" s="81">
        <f>IF(ISBLANK(P4173),"",U4173/N4173)</f>
        <v/>
      </c>
      <c r="W4173" s="81">
        <f>IF(ISBLANK(P4173),"",IF(S4173=0,(365/0.5)*V4173,(365/S4173)*V4173))</f>
        <v/>
      </c>
      <c r="X4173" s="75" t="n"/>
      <c r="Y4173" s="77" t="n"/>
      <c r="Z4173" s="77" t="n"/>
      <c r="AA4173" s="75" t="n"/>
      <c r="AB4173" s="75" t="n"/>
      <c r="AC4173" s="6" t="n"/>
      <c r="AD4173" s="75" t="n"/>
      <c r="AE4173" s="75" t="n"/>
      <c r="AF4173" s="75" t="n"/>
    </row>
    <row r="4174" ht="15.75" customHeight="1" s="133">
      <c r="A4174" s="75" t="n"/>
      <c r="B4174" s="75" t="n"/>
      <c r="C4174" s="75" t="n"/>
      <c r="D4174" s="75" t="n"/>
      <c r="E4174" s="76" t="n"/>
      <c r="F4174" s="77" t="n"/>
      <c r="G4174" s="75" t="n"/>
      <c r="H4174" s="75">
        <f>IF(ISBLANK(E4174),"",IF(OR(D4174="Butterfly",D4174="Butterfly ",D4174="Iron Fly", D4174="Iron Fly "),LEN(E4174)-LEN(SUBSTITUTE(E4174,"/",""))+2,LEN(E4174)-LEN(SUBSTITUTE(E4174,"/",""))+1))</f>
        <v/>
      </c>
      <c r="I4174" s="78">
        <f>IF(ISBLANK(G4174),"",IF(D4174="Stock","0",Key!$A$3*H4174*G4174))</f>
        <v/>
      </c>
      <c r="J4174" s="78">
        <f>IF(ISBLANK(E4174),"",IF(ISNUMBER(SEARCH("/",E4174)), IF(LEN(E4174)-LEN(SUBSTITUTE(E4174,"/",""))=1,(RIGHT(E4174,LEN(E4174)-FIND("/",E4174)))-(LEFT(E4174,FIND("/",E4174)-1)),(MID(E4174, SEARCH("/",E4174) + 1, SEARCH("/",E4174, SEARCH("/",E4174)+1) - SEARCH("/",E4174) - 1))-(LEFT(E4174,FIND("/",E4174)-1))), "NA"))</f>
        <v/>
      </c>
      <c r="K4174" s="79">
        <f>IF(A4174&lt;&gt;"", IF(ISBLANK(L4174), TODAY(), K4174), "")</f>
        <v/>
      </c>
      <c r="L4174" s="78" t="n"/>
      <c r="M4174" s="78">
        <f>IF(ISBLANK(L4174),"",IF(D4174="Stock",IF(C4174="Buy",L4174*G4174,IF(C4174="Sell",(L4174*G4174)-I4174, X)),IF(C4174="Buy",(L4174*G4174*100)+I4174,IF(C4174="Sell",(L4174*G4174*100)-I4174, X))))</f>
        <v/>
      </c>
      <c r="N4174" s="78">
        <f>IF(ISBLANK(L4174),"",IF(AND(C4174="Sell",D4174="Stock"),M4174,IF(ISBLANK(L4174),"",IF(C4174="Buy",M4174, IF(AND(C4174="Sell",J4174="NA"),(E4174*G4174*100*0.1)+I4174, IF(C4174="Sell",(J4174-L4174)*(100*G4174)+I4174))))))</f>
        <v/>
      </c>
      <c r="O4174" s="75" t="n"/>
      <c r="P4174" s="75" t="n"/>
      <c r="Q4174" s="75">
        <f>IF(ISBLANK(P4174),"",IF(D4174="Stock",P4174*G4174,IF(P4174=0,"0",G4174*P4174*100-(G4174*$AF$14))))</f>
        <v/>
      </c>
      <c r="R4174" s="79">
        <f>IF(P4174&lt;&gt;"", TODAY(), "")</f>
        <v/>
      </c>
      <c r="S4174" s="78">
        <f>IF(AND(K4174&lt;&gt;"", R4174&lt;&gt;""), R4174-K4174, "")</f>
        <v/>
      </c>
      <c r="T4174" s="78" t="n"/>
      <c r="U4174" s="92">
        <f>IF(ISBLANK(P4174),"",IF(C4174="Buy",Q4174-M4174+T4174, IF(C4174="Sell",M4174-Q4174-T4174, X)))</f>
        <v/>
      </c>
      <c r="V4174" s="81">
        <f>IF(ISBLANK(P4174),"",U4174/N4174)</f>
        <v/>
      </c>
      <c r="W4174" s="81">
        <f>IF(ISBLANK(P4174),"",IF(S4174=0,(365/0.5)*V4174,(365/S4174)*V4174))</f>
        <v/>
      </c>
      <c r="X4174" s="75" t="n"/>
      <c r="Y4174" s="77" t="n"/>
      <c r="Z4174" s="77" t="n"/>
      <c r="AA4174" s="75" t="n"/>
      <c r="AB4174" s="75" t="n"/>
      <c r="AC4174" s="6" t="n"/>
      <c r="AD4174" s="75" t="n"/>
      <c r="AE4174" s="75" t="n"/>
      <c r="AF4174" s="75" t="n"/>
    </row>
    <row r="4175" ht="15.75" customHeight="1" s="133">
      <c r="A4175" s="75" t="n"/>
      <c r="B4175" s="75" t="n"/>
      <c r="C4175" s="75" t="n"/>
      <c r="D4175" s="75" t="n"/>
      <c r="E4175" s="76" t="n"/>
      <c r="F4175" s="77" t="n"/>
      <c r="G4175" s="75" t="n"/>
      <c r="H4175" s="75">
        <f>IF(ISBLANK(E4175),"",IF(OR(D4175="Butterfly",D4175="Butterfly ",D4175="Iron Fly", D4175="Iron Fly "),LEN(E4175)-LEN(SUBSTITUTE(E4175,"/",""))+2,LEN(E4175)-LEN(SUBSTITUTE(E4175,"/",""))+1))</f>
        <v/>
      </c>
      <c r="I4175" s="78">
        <f>IF(ISBLANK(G4175),"",IF(D4175="Stock","0",Key!$A$3*H4175*G4175))</f>
        <v/>
      </c>
      <c r="J4175" s="78">
        <f>IF(ISBLANK(E4175),"",IF(ISNUMBER(SEARCH("/",E4175)), IF(LEN(E4175)-LEN(SUBSTITUTE(E4175,"/",""))=1,(RIGHT(E4175,LEN(E4175)-FIND("/",E4175)))-(LEFT(E4175,FIND("/",E4175)-1)),(MID(E4175, SEARCH("/",E4175) + 1, SEARCH("/",E4175, SEARCH("/",E4175)+1) - SEARCH("/",E4175) - 1))-(LEFT(E4175,FIND("/",E4175)-1))), "NA"))</f>
        <v/>
      </c>
      <c r="K4175" s="79">
        <f>IF(A4175&lt;&gt;"", IF(ISBLANK(L4175), TODAY(), K4175), "")</f>
        <v/>
      </c>
      <c r="L4175" s="78" t="n"/>
      <c r="M4175" s="78">
        <f>IF(ISBLANK(L4175),"",IF(D4175="Stock",IF(C4175="Buy",L4175*G4175,IF(C4175="Sell",(L4175*G4175)-I4175, X)),IF(C4175="Buy",(L4175*G4175*100)+I4175,IF(C4175="Sell",(L4175*G4175*100)-I4175, X))))</f>
        <v/>
      </c>
      <c r="N4175" s="78">
        <f>IF(ISBLANK(L4175),"",IF(AND(C4175="Sell",D4175="Stock"),M4175,IF(ISBLANK(L4175),"",IF(C4175="Buy",M4175, IF(AND(C4175="Sell",J4175="NA"),(E4175*G4175*100*0.1)+I4175, IF(C4175="Sell",(J4175-L4175)*(100*G4175)+I4175))))))</f>
        <v/>
      </c>
      <c r="O4175" s="75" t="n"/>
      <c r="P4175" s="75" t="n"/>
      <c r="Q4175" s="75">
        <f>IF(ISBLANK(P4175),"",IF(D4175="Stock",P4175*G4175,IF(P4175=0,"0",G4175*P4175*100-(G4175*$AF$14))))</f>
        <v/>
      </c>
      <c r="R4175" s="79">
        <f>IF(P4175&lt;&gt;"", TODAY(), "")</f>
        <v/>
      </c>
      <c r="S4175" s="78">
        <f>IF(AND(K4175&lt;&gt;"", R4175&lt;&gt;""), R4175-K4175, "")</f>
        <v/>
      </c>
      <c r="T4175" s="78" t="n"/>
      <c r="U4175" s="92">
        <f>IF(ISBLANK(P4175),"",IF(C4175="Buy",Q4175-M4175+T4175, IF(C4175="Sell",M4175-Q4175-T4175, X)))</f>
        <v/>
      </c>
      <c r="V4175" s="81">
        <f>IF(ISBLANK(P4175),"",U4175/N4175)</f>
        <v/>
      </c>
      <c r="W4175" s="81">
        <f>IF(ISBLANK(P4175),"",IF(S4175=0,(365/0.5)*V4175,(365/S4175)*V4175))</f>
        <v/>
      </c>
      <c r="X4175" s="75" t="n"/>
      <c r="Y4175" s="77" t="n"/>
      <c r="Z4175" s="77" t="n"/>
      <c r="AA4175" s="75" t="n"/>
      <c r="AB4175" s="75" t="n"/>
      <c r="AC4175" s="6" t="n"/>
      <c r="AD4175" s="75" t="n"/>
      <c r="AE4175" s="75" t="n"/>
      <c r="AF4175" s="75" t="n"/>
    </row>
    <row r="4176" ht="15.75" customHeight="1" s="133">
      <c r="A4176" s="75" t="n"/>
      <c r="B4176" s="75" t="n"/>
      <c r="C4176" s="75" t="n"/>
      <c r="D4176" s="75" t="n"/>
      <c r="E4176" s="76" t="n"/>
      <c r="F4176" s="77" t="n"/>
      <c r="G4176" s="75" t="n"/>
      <c r="H4176" s="75">
        <f>IF(ISBLANK(E4176),"",IF(OR(D4176="Butterfly",D4176="Butterfly ",D4176="Iron Fly", D4176="Iron Fly "),LEN(E4176)-LEN(SUBSTITUTE(E4176,"/",""))+2,LEN(E4176)-LEN(SUBSTITUTE(E4176,"/",""))+1))</f>
        <v/>
      </c>
      <c r="I4176" s="78">
        <f>IF(ISBLANK(G4176),"",IF(D4176="Stock","0",Key!$A$3*H4176*G4176))</f>
        <v/>
      </c>
      <c r="J4176" s="78">
        <f>IF(ISBLANK(E4176),"",IF(ISNUMBER(SEARCH("/",E4176)), IF(LEN(E4176)-LEN(SUBSTITUTE(E4176,"/",""))=1,(RIGHT(E4176,LEN(E4176)-FIND("/",E4176)))-(LEFT(E4176,FIND("/",E4176)-1)),(MID(E4176, SEARCH("/",E4176) + 1, SEARCH("/",E4176, SEARCH("/",E4176)+1) - SEARCH("/",E4176) - 1))-(LEFT(E4176,FIND("/",E4176)-1))), "NA"))</f>
        <v/>
      </c>
      <c r="K4176" s="79">
        <f>IF(A4176&lt;&gt;"", IF(ISBLANK(L4176), TODAY(), K4176), "")</f>
        <v/>
      </c>
      <c r="L4176" s="78" t="n"/>
      <c r="M4176" s="78">
        <f>IF(ISBLANK(L4176),"",IF(D4176="Stock",IF(C4176="Buy",L4176*G4176,IF(C4176="Sell",(L4176*G4176)-I4176, X)),IF(C4176="Buy",(L4176*G4176*100)+I4176,IF(C4176="Sell",(L4176*G4176*100)-I4176, X))))</f>
        <v/>
      </c>
      <c r="N4176" s="78">
        <f>IF(ISBLANK(L4176),"",IF(AND(C4176="Sell",D4176="Stock"),M4176,IF(ISBLANK(L4176),"",IF(C4176="Buy",M4176, IF(AND(C4176="Sell",J4176="NA"),(E4176*G4176*100*0.1)+I4176, IF(C4176="Sell",(J4176-L4176)*(100*G4176)+I4176))))))</f>
        <v/>
      </c>
      <c r="O4176" s="75" t="n"/>
      <c r="P4176" s="75" t="n"/>
      <c r="Q4176" s="75">
        <f>IF(ISBLANK(P4176),"",IF(D4176="Stock",P4176*G4176,IF(P4176=0,"0",G4176*P4176*100-(G4176*$AF$14))))</f>
        <v/>
      </c>
      <c r="R4176" s="79">
        <f>IF(P4176&lt;&gt;"", TODAY(), "")</f>
        <v/>
      </c>
      <c r="S4176" s="78">
        <f>IF(AND(K4176&lt;&gt;"", R4176&lt;&gt;""), R4176-K4176, "")</f>
        <v/>
      </c>
      <c r="T4176" s="78" t="n"/>
      <c r="U4176" s="92">
        <f>IF(ISBLANK(P4176),"",IF(C4176="Buy",Q4176-M4176+T4176, IF(C4176="Sell",M4176-Q4176-T4176, X)))</f>
        <v/>
      </c>
      <c r="V4176" s="81">
        <f>IF(ISBLANK(P4176),"",U4176/N4176)</f>
        <v/>
      </c>
      <c r="W4176" s="81">
        <f>IF(ISBLANK(P4176),"",IF(S4176=0,(365/0.5)*V4176,(365/S4176)*V4176))</f>
        <v/>
      </c>
      <c r="X4176" s="75" t="n"/>
      <c r="Y4176" s="77" t="n"/>
      <c r="Z4176" s="77" t="n"/>
      <c r="AA4176" s="75" t="n"/>
      <c r="AB4176" s="75" t="n"/>
      <c r="AC4176" s="6" t="n"/>
      <c r="AD4176" s="75" t="n"/>
      <c r="AE4176" s="75" t="n"/>
      <c r="AF4176" s="75" t="n"/>
    </row>
    <row r="4177" ht="15.75" customHeight="1" s="133">
      <c r="A4177" s="75" t="n"/>
      <c r="B4177" s="75" t="n"/>
      <c r="C4177" s="75" t="n"/>
      <c r="D4177" s="75" t="n"/>
      <c r="E4177" s="76" t="n"/>
      <c r="F4177" s="77" t="n"/>
      <c r="G4177" s="75" t="n"/>
      <c r="H4177" s="75">
        <f>IF(ISBLANK(E4177),"",IF(OR(D4177="Butterfly",D4177="Butterfly ",D4177="Iron Fly", D4177="Iron Fly "),LEN(E4177)-LEN(SUBSTITUTE(E4177,"/",""))+2,LEN(E4177)-LEN(SUBSTITUTE(E4177,"/",""))+1))</f>
        <v/>
      </c>
      <c r="I4177" s="78">
        <f>IF(ISBLANK(G4177),"",IF(D4177="Stock","0",Key!$A$3*H4177*G4177))</f>
        <v/>
      </c>
      <c r="J4177" s="78">
        <f>IF(ISBLANK(E4177),"",IF(ISNUMBER(SEARCH("/",E4177)), IF(LEN(E4177)-LEN(SUBSTITUTE(E4177,"/",""))=1,(RIGHT(E4177,LEN(E4177)-FIND("/",E4177)))-(LEFT(E4177,FIND("/",E4177)-1)),(MID(E4177, SEARCH("/",E4177) + 1, SEARCH("/",E4177, SEARCH("/",E4177)+1) - SEARCH("/",E4177) - 1))-(LEFT(E4177,FIND("/",E4177)-1))), "NA"))</f>
        <v/>
      </c>
      <c r="K4177" s="79">
        <f>IF(A4177&lt;&gt;"", IF(ISBLANK(L4177), TODAY(), K4177), "")</f>
        <v/>
      </c>
      <c r="L4177" s="78" t="n"/>
      <c r="M4177" s="78">
        <f>IF(ISBLANK(L4177),"",IF(D4177="Stock",IF(C4177="Buy",L4177*G4177,IF(C4177="Sell",(L4177*G4177)-I4177, X)),IF(C4177="Buy",(L4177*G4177*100)+I4177,IF(C4177="Sell",(L4177*G4177*100)-I4177, X))))</f>
        <v/>
      </c>
      <c r="N4177" s="78">
        <f>IF(ISBLANK(L4177),"",IF(AND(C4177="Sell",D4177="Stock"),M4177,IF(ISBLANK(L4177),"",IF(C4177="Buy",M4177, IF(AND(C4177="Sell",J4177="NA"),(E4177*G4177*100*0.1)+I4177, IF(C4177="Sell",(J4177-L4177)*(100*G4177)+I4177))))))</f>
        <v/>
      </c>
      <c r="O4177" s="75" t="n"/>
      <c r="P4177" s="75" t="n"/>
      <c r="Q4177" s="75">
        <f>IF(ISBLANK(P4177),"",IF(D4177="Stock",P4177*G4177,IF(P4177=0,"0",G4177*P4177*100-(G4177*$AF$14))))</f>
        <v/>
      </c>
      <c r="R4177" s="79">
        <f>IF(P4177&lt;&gt;"", TODAY(), "")</f>
        <v/>
      </c>
      <c r="S4177" s="78">
        <f>IF(AND(K4177&lt;&gt;"", R4177&lt;&gt;""), R4177-K4177, "")</f>
        <v/>
      </c>
      <c r="T4177" s="78" t="n"/>
      <c r="U4177" s="92">
        <f>IF(ISBLANK(P4177),"",IF(C4177="Buy",Q4177-M4177+T4177, IF(C4177="Sell",M4177-Q4177-T4177, X)))</f>
        <v/>
      </c>
      <c r="V4177" s="81">
        <f>IF(ISBLANK(P4177),"",U4177/N4177)</f>
        <v/>
      </c>
      <c r="W4177" s="81">
        <f>IF(ISBLANK(P4177),"",IF(S4177=0,(365/0.5)*V4177,(365/S4177)*V4177))</f>
        <v/>
      </c>
      <c r="X4177" s="75" t="n"/>
      <c r="Y4177" s="77" t="n"/>
      <c r="Z4177" s="77" t="n"/>
      <c r="AA4177" s="75" t="n"/>
      <c r="AB4177" s="75" t="n"/>
      <c r="AC4177" s="6" t="n"/>
      <c r="AD4177" s="75" t="n"/>
      <c r="AE4177" s="75" t="n"/>
      <c r="AF4177" s="75" t="n"/>
    </row>
    <row r="4178" ht="15.75" customHeight="1" s="133">
      <c r="A4178" s="75" t="n"/>
      <c r="B4178" s="75" t="n"/>
      <c r="C4178" s="75" t="n"/>
      <c r="D4178" s="75" t="n"/>
      <c r="E4178" s="76" t="n"/>
      <c r="F4178" s="77" t="n"/>
      <c r="G4178" s="75" t="n"/>
      <c r="H4178" s="75">
        <f>IF(ISBLANK(E4178),"",IF(OR(D4178="Butterfly",D4178="Butterfly ",D4178="Iron Fly", D4178="Iron Fly "),LEN(E4178)-LEN(SUBSTITUTE(E4178,"/",""))+2,LEN(E4178)-LEN(SUBSTITUTE(E4178,"/",""))+1))</f>
        <v/>
      </c>
      <c r="I4178" s="78">
        <f>IF(ISBLANK(G4178),"",IF(D4178="Stock","0",Key!$A$3*H4178*G4178))</f>
        <v/>
      </c>
      <c r="J4178" s="78">
        <f>IF(ISBLANK(E4178),"",IF(ISNUMBER(SEARCH("/",E4178)), IF(LEN(E4178)-LEN(SUBSTITUTE(E4178,"/",""))=1,(RIGHT(E4178,LEN(E4178)-FIND("/",E4178)))-(LEFT(E4178,FIND("/",E4178)-1)),(MID(E4178, SEARCH("/",E4178) + 1, SEARCH("/",E4178, SEARCH("/",E4178)+1) - SEARCH("/",E4178) - 1))-(LEFT(E4178,FIND("/",E4178)-1))), "NA"))</f>
        <v/>
      </c>
      <c r="K4178" s="79">
        <f>IF(A4178&lt;&gt;"", IF(ISBLANK(L4178), TODAY(), K4178), "")</f>
        <v/>
      </c>
      <c r="L4178" s="78" t="n"/>
      <c r="M4178" s="78">
        <f>IF(ISBLANK(L4178),"",IF(D4178="Stock",IF(C4178="Buy",L4178*G4178,IF(C4178="Sell",(L4178*G4178)-I4178, X)),IF(C4178="Buy",(L4178*G4178*100)+I4178,IF(C4178="Sell",(L4178*G4178*100)-I4178, X))))</f>
        <v/>
      </c>
      <c r="N4178" s="78">
        <f>IF(ISBLANK(L4178),"",IF(AND(C4178="Sell",D4178="Stock"),M4178,IF(ISBLANK(L4178),"",IF(C4178="Buy",M4178, IF(AND(C4178="Sell",J4178="NA"),(E4178*G4178*100*0.1)+I4178, IF(C4178="Sell",(J4178-L4178)*(100*G4178)+I4178))))))</f>
        <v/>
      </c>
      <c r="O4178" s="75" t="n"/>
      <c r="P4178" s="75" t="n"/>
      <c r="Q4178" s="75">
        <f>IF(ISBLANK(P4178),"",IF(D4178="Stock",P4178*G4178,IF(P4178=0,"0",G4178*P4178*100-(G4178*$AF$14))))</f>
        <v/>
      </c>
      <c r="R4178" s="79">
        <f>IF(P4178&lt;&gt;"", TODAY(), "")</f>
        <v/>
      </c>
      <c r="S4178" s="78">
        <f>IF(AND(K4178&lt;&gt;"", R4178&lt;&gt;""), R4178-K4178, "")</f>
        <v/>
      </c>
      <c r="T4178" s="78" t="n"/>
      <c r="U4178" s="92">
        <f>IF(ISBLANK(P4178),"",IF(C4178="Buy",Q4178-M4178+T4178, IF(C4178="Sell",M4178-Q4178-T4178, X)))</f>
        <v/>
      </c>
      <c r="V4178" s="81">
        <f>IF(ISBLANK(P4178),"",U4178/N4178)</f>
        <v/>
      </c>
      <c r="W4178" s="81">
        <f>IF(ISBLANK(P4178),"",IF(S4178=0,(365/0.5)*V4178,(365/S4178)*V4178))</f>
        <v/>
      </c>
      <c r="X4178" s="75" t="n"/>
      <c r="Y4178" s="77" t="n"/>
      <c r="Z4178" s="77" t="n"/>
      <c r="AA4178" s="75" t="n"/>
      <c r="AB4178" s="75" t="n"/>
      <c r="AC4178" s="6" t="n"/>
      <c r="AD4178" s="75" t="n"/>
      <c r="AE4178" s="75" t="n"/>
      <c r="AF4178" s="75" t="n"/>
    </row>
    <row r="4179" ht="15.75" customHeight="1" s="133">
      <c r="A4179" s="75" t="n"/>
      <c r="B4179" s="75" t="n"/>
      <c r="C4179" s="75" t="n"/>
      <c r="D4179" s="75" t="n"/>
      <c r="E4179" s="76" t="n"/>
      <c r="F4179" s="77" t="n"/>
      <c r="G4179" s="75" t="n"/>
      <c r="H4179" s="75">
        <f>IF(ISBLANK(E4179),"",IF(OR(D4179="Butterfly",D4179="Butterfly ",D4179="Iron Fly", D4179="Iron Fly "),LEN(E4179)-LEN(SUBSTITUTE(E4179,"/",""))+2,LEN(E4179)-LEN(SUBSTITUTE(E4179,"/",""))+1))</f>
        <v/>
      </c>
      <c r="I4179" s="78">
        <f>IF(ISBLANK(G4179),"",IF(D4179="Stock","0",Key!$A$3*H4179*G4179))</f>
        <v/>
      </c>
      <c r="J4179" s="78">
        <f>IF(ISBLANK(E4179),"",IF(ISNUMBER(SEARCH("/",E4179)), IF(LEN(E4179)-LEN(SUBSTITUTE(E4179,"/",""))=1,(RIGHT(E4179,LEN(E4179)-FIND("/",E4179)))-(LEFT(E4179,FIND("/",E4179)-1)),(MID(E4179, SEARCH("/",E4179) + 1, SEARCH("/",E4179, SEARCH("/",E4179)+1) - SEARCH("/",E4179) - 1))-(LEFT(E4179,FIND("/",E4179)-1))), "NA"))</f>
        <v/>
      </c>
      <c r="K4179" s="79">
        <f>IF(A4179&lt;&gt;"", IF(ISBLANK(L4179), TODAY(), K4179), "")</f>
        <v/>
      </c>
      <c r="L4179" s="78" t="n"/>
      <c r="M4179" s="78">
        <f>IF(ISBLANK(L4179),"",IF(D4179="Stock",IF(C4179="Buy",L4179*G4179,IF(C4179="Sell",(L4179*G4179)-I4179, X)),IF(C4179="Buy",(L4179*G4179*100)+I4179,IF(C4179="Sell",(L4179*G4179*100)-I4179, X))))</f>
        <v/>
      </c>
      <c r="N4179" s="78">
        <f>IF(ISBLANK(L4179),"",IF(AND(C4179="Sell",D4179="Stock"),M4179,IF(ISBLANK(L4179),"",IF(C4179="Buy",M4179, IF(AND(C4179="Sell",J4179="NA"),(E4179*G4179*100*0.1)+I4179, IF(C4179="Sell",(J4179-L4179)*(100*G4179)+I4179))))))</f>
        <v/>
      </c>
      <c r="O4179" s="75" t="n"/>
      <c r="P4179" s="75" t="n"/>
      <c r="Q4179" s="75">
        <f>IF(ISBLANK(P4179),"",IF(D4179="Stock",P4179*G4179,IF(P4179=0,"0",G4179*P4179*100-(G4179*$AF$14))))</f>
        <v/>
      </c>
      <c r="R4179" s="79">
        <f>IF(P4179&lt;&gt;"", TODAY(), "")</f>
        <v/>
      </c>
      <c r="S4179" s="78">
        <f>IF(AND(K4179&lt;&gt;"", R4179&lt;&gt;""), R4179-K4179, "")</f>
        <v/>
      </c>
      <c r="T4179" s="78" t="n"/>
      <c r="U4179" s="92">
        <f>IF(ISBLANK(P4179),"",IF(C4179="Buy",Q4179-M4179+T4179, IF(C4179="Sell",M4179-Q4179-T4179, X)))</f>
        <v/>
      </c>
      <c r="V4179" s="81">
        <f>IF(ISBLANK(P4179),"",U4179/N4179)</f>
        <v/>
      </c>
      <c r="W4179" s="81">
        <f>IF(ISBLANK(P4179),"",IF(S4179=0,(365/0.5)*V4179,(365/S4179)*V4179))</f>
        <v/>
      </c>
      <c r="X4179" s="75" t="n"/>
      <c r="Y4179" s="77" t="n"/>
      <c r="Z4179" s="77" t="n"/>
      <c r="AA4179" s="75" t="n"/>
      <c r="AB4179" s="75" t="n"/>
      <c r="AC4179" s="6" t="n"/>
      <c r="AD4179" s="75" t="n"/>
      <c r="AE4179" s="75" t="n"/>
      <c r="AF4179" s="75" t="n"/>
    </row>
    <row r="4180" ht="15.75" customHeight="1" s="133">
      <c r="A4180" s="75" t="n"/>
      <c r="B4180" s="75" t="n"/>
      <c r="C4180" s="75" t="n"/>
      <c r="D4180" s="75" t="n"/>
      <c r="E4180" s="76" t="n"/>
      <c r="F4180" s="77" t="n"/>
      <c r="G4180" s="75" t="n"/>
      <c r="H4180" s="75">
        <f>IF(ISBLANK(E4180),"",IF(OR(D4180="Butterfly",D4180="Butterfly ",D4180="Iron Fly", D4180="Iron Fly "),LEN(E4180)-LEN(SUBSTITUTE(E4180,"/",""))+2,LEN(E4180)-LEN(SUBSTITUTE(E4180,"/",""))+1))</f>
        <v/>
      </c>
      <c r="I4180" s="78">
        <f>IF(ISBLANK(G4180),"",IF(D4180="Stock","0",Key!$A$3*H4180*G4180))</f>
        <v/>
      </c>
      <c r="J4180" s="78">
        <f>IF(ISBLANK(E4180),"",IF(ISNUMBER(SEARCH("/",E4180)), IF(LEN(E4180)-LEN(SUBSTITUTE(E4180,"/",""))=1,(RIGHT(E4180,LEN(E4180)-FIND("/",E4180)))-(LEFT(E4180,FIND("/",E4180)-1)),(MID(E4180, SEARCH("/",E4180) + 1, SEARCH("/",E4180, SEARCH("/",E4180)+1) - SEARCH("/",E4180) - 1))-(LEFT(E4180,FIND("/",E4180)-1))), "NA"))</f>
        <v/>
      </c>
      <c r="K4180" s="79">
        <f>IF(A4180&lt;&gt;"", IF(ISBLANK(L4180), TODAY(), K4180), "")</f>
        <v/>
      </c>
      <c r="L4180" s="78" t="n"/>
      <c r="M4180" s="78">
        <f>IF(ISBLANK(L4180),"",IF(D4180="Stock",IF(C4180="Buy",L4180*G4180,IF(C4180="Sell",(L4180*G4180)-I4180, X)),IF(C4180="Buy",(L4180*G4180*100)+I4180,IF(C4180="Sell",(L4180*G4180*100)-I4180, X))))</f>
        <v/>
      </c>
      <c r="N4180" s="78">
        <f>IF(ISBLANK(L4180),"",IF(AND(C4180="Sell",D4180="Stock"),M4180,IF(ISBLANK(L4180),"",IF(C4180="Buy",M4180, IF(AND(C4180="Sell",J4180="NA"),(E4180*G4180*100*0.1)+I4180, IF(C4180="Sell",(J4180-L4180)*(100*G4180)+I4180))))))</f>
        <v/>
      </c>
      <c r="O4180" s="75" t="n"/>
      <c r="P4180" s="75" t="n"/>
      <c r="Q4180" s="75">
        <f>IF(ISBLANK(P4180),"",IF(D4180="Stock",P4180*G4180,IF(P4180=0,"0",G4180*P4180*100-(G4180*$AF$14))))</f>
        <v/>
      </c>
      <c r="R4180" s="79">
        <f>IF(P4180&lt;&gt;"", TODAY(), "")</f>
        <v/>
      </c>
      <c r="S4180" s="78">
        <f>IF(AND(K4180&lt;&gt;"", R4180&lt;&gt;""), R4180-K4180, "")</f>
        <v/>
      </c>
      <c r="T4180" s="78" t="n"/>
      <c r="U4180" s="92">
        <f>IF(ISBLANK(P4180),"",IF(C4180="Buy",Q4180-M4180+T4180, IF(C4180="Sell",M4180-Q4180-T4180, X)))</f>
        <v/>
      </c>
      <c r="V4180" s="81">
        <f>IF(ISBLANK(P4180),"",U4180/N4180)</f>
        <v/>
      </c>
      <c r="W4180" s="81">
        <f>IF(ISBLANK(P4180),"",IF(S4180=0,(365/0.5)*V4180,(365/S4180)*V4180))</f>
        <v/>
      </c>
      <c r="X4180" s="75" t="n"/>
      <c r="Y4180" s="77" t="n"/>
      <c r="Z4180" s="77" t="n"/>
      <c r="AA4180" s="75" t="n"/>
      <c r="AB4180" s="75" t="n"/>
      <c r="AC4180" s="6" t="n"/>
      <c r="AD4180" s="75" t="n"/>
      <c r="AE4180" s="75" t="n"/>
      <c r="AF4180" s="75" t="n"/>
    </row>
    <row r="4181" ht="15.75" customHeight="1" s="133">
      <c r="A4181" s="75" t="n"/>
      <c r="B4181" s="75" t="n"/>
      <c r="C4181" s="75" t="n"/>
      <c r="D4181" s="75" t="n"/>
      <c r="E4181" s="76" t="n"/>
      <c r="F4181" s="77" t="n"/>
      <c r="G4181" s="75" t="n"/>
      <c r="H4181" s="75">
        <f>IF(ISBLANK(E4181),"",IF(OR(D4181="Butterfly",D4181="Butterfly ",D4181="Iron Fly", D4181="Iron Fly "),LEN(E4181)-LEN(SUBSTITUTE(E4181,"/",""))+2,LEN(E4181)-LEN(SUBSTITUTE(E4181,"/",""))+1))</f>
        <v/>
      </c>
      <c r="I4181" s="78">
        <f>IF(ISBLANK(G4181),"",IF(D4181="Stock","0",Key!$A$3*H4181*G4181))</f>
        <v/>
      </c>
      <c r="J4181" s="78">
        <f>IF(ISBLANK(E4181),"",IF(ISNUMBER(SEARCH("/",E4181)), IF(LEN(E4181)-LEN(SUBSTITUTE(E4181,"/",""))=1,(RIGHT(E4181,LEN(E4181)-FIND("/",E4181)))-(LEFT(E4181,FIND("/",E4181)-1)),(MID(E4181, SEARCH("/",E4181) + 1, SEARCH("/",E4181, SEARCH("/",E4181)+1) - SEARCH("/",E4181) - 1))-(LEFT(E4181,FIND("/",E4181)-1))), "NA"))</f>
        <v/>
      </c>
      <c r="K4181" s="79">
        <f>IF(A4181&lt;&gt;"", IF(ISBLANK(L4181), TODAY(), K4181), "")</f>
        <v/>
      </c>
      <c r="L4181" s="78" t="n"/>
      <c r="M4181" s="78">
        <f>IF(ISBLANK(L4181),"",IF(D4181="Stock",IF(C4181="Buy",L4181*G4181,IF(C4181="Sell",(L4181*G4181)-I4181, X)),IF(C4181="Buy",(L4181*G4181*100)+I4181,IF(C4181="Sell",(L4181*G4181*100)-I4181, X))))</f>
        <v/>
      </c>
      <c r="N4181" s="78">
        <f>IF(ISBLANK(L4181),"",IF(AND(C4181="Sell",D4181="Stock"),M4181,IF(ISBLANK(L4181),"",IF(C4181="Buy",M4181, IF(AND(C4181="Sell",J4181="NA"),(E4181*G4181*100*0.1)+I4181, IF(C4181="Sell",(J4181-L4181)*(100*G4181)+I4181))))))</f>
        <v/>
      </c>
      <c r="O4181" s="75" t="n"/>
      <c r="P4181" s="75" t="n"/>
      <c r="Q4181" s="75">
        <f>IF(ISBLANK(P4181),"",IF(D4181="Stock",P4181*G4181,IF(P4181=0,"0",G4181*P4181*100-(G4181*$AF$14))))</f>
        <v/>
      </c>
      <c r="R4181" s="79">
        <f>IF(P4181&lt;&gt;"", TODAY(), "")</f>
        <v/>
      </c>
      <c r="S4181" s="78">
        <f>IF(AND(K4181&lt;&gt;"", R4181&lt;&gt;""), R4181-K4181, "")</f>
        <v/>
      </c>
      <c r="T4181" s="78" t="n"/>
      <c r="U4181" s="92">
        <f>IF(ISBLANK(P4181),"",IF(C4181="Buy",Q4181-M4181+T4181, IF(C4181="Sell",M4181-Q4181-T4181, X)))</f>
        <v/>
      </c>
      <c r="V4181" s="81">
        <f>IF(ISBLANK(P4181),"",U4181/N4181)</f>
        <v/>
      </c>
      <c r="W4181" s="81">
        <f>IF(ISBLANK(P4181),"",IF(S4181=0,(365/0.5)*V4181,(365/S4181)*V4181))</f>
        <v/>
      </c>
      <c r="X4181" s="75" t="n"/>
      <c r="Y4181" s="77" t="n"/>
      <c r="Z4181" s="77" t="n"/>
      <c r="AA4181" s="75" t="n"/>
      <c r="AB4181" s="75" t="n"/>
      <c r="AC4181" s="6" t="n"/>
      <c r="AD4181" s="75" t="n"/>
      <c r="AE4181" s="75" t="n"/>
      <c r="AF4181" s="75" t="n"/>
    </row>
    <row r="4182" ht="15.75" customHeight="1" s="133">
      <c r="A4182" s="75" t="n"/>
      <c r="B4182" s="75" t="n"/>
      <c r="C4182" s="75" t="n"/>
      <c r="D4182" s="75" t="n"/>
      <c r="E4182" s="76" t="n"/>
      <c r="F4182" s="77" t="n"/>
      <c r="G4182" s="75" t="n"/>
      <c r="H4182" s="75">
        <f>IF(ISBLANK(E4182),"",IF(OR(D4182="Butterfly",D4182="Butterfly ",D4182="Iron Fly", D4182="Iron Fly "),LEN(E4182)-LEN(SUBSTITUTE(E4182,"/",""))+2,LEN(E4182)-LEN(SUBSTITUTE(E4182,"/",""))+1))</f>
        <v/>
      </c>
      <c r="I4182" s="78">
        <f>IF(ISBLANK(G4182),"",IF(D4182="Stock","0",Key!$A$3*H4182*G4182))</f>
        <v/>
      </c>
      <c r="J4182" s="78">
        <f>IF(ISBLANK(E4182),"",IF(ISNUMBER(SEARCH("/",E4182)), IF(LEN(E4182)-LEN(SUBSTITUTE(E4182,"/",""))=1,(RIGHT(E4182,LEN(E4182)-FIND("/",E4182)))-(LEFT(E4182,FIND("/",E4182)-1)),(MID(E4182, SEARCH("/",E4182) + 1, SEARCH("/",E4182, SEARCH("/",E4182)+1) - SEARCH("/",E4182) - 1))-(LEFT(E4182,FIND("/",E4182)-1))), "NA"))</f>
        <v/>
      </c>
      <c r="K4182" s="79">
        <f>IF(A4182&lt;&gt;"", IF(ISBLANK(L4182), TODAY(), K4182), "")</f>
        <v/>
      </c>
      <c r="L4182" s="78" t="n"/>
      <c r="M4182" s="78">
        <f>IF(ISBLANK(L4182),"",IF(D4182="Stock",IF(C4182="Buy",L4182*G4182,IF(C4182="Sell",(L4182*G4182)-I4182, X)),IF(C4182="Buy",(L4182*G4182*100)+I4182,IF(C4182="Sell",(L4182*G4182*100)-I4182, X))))</f>
        <v/>
      </c>
      <c r="N4182" s="78">
        <f>IF(ISBLANK(L4182),"",IF(AND(C4182="Sell",D4182="Stock"),M4182,IF(ISBLANK(L4182),"",IF(C4182="Buy",M4182, IF(AND(C4182="Sell",J4182="NA"),(E4182*G4182*100*0.1)+I4182, IF(C4182="Sell",(J4182-L4182)*(100*G4182)+I4182))))))</f>
        <v/>
      </c>
      <c r="O4182" s="75" t="n"/>
      <c r="P4182" s="75" t="n"/>
      <c r="Q4182" s="75">
        <f>IF(ISBLANK(P4182),"",IF(D4182="Stock",P4182*G4182,IF(P4182=0,"0",G4182*P4182*100-(G4182*$AF$14))))</f>
        <v/>
      </c>
      <c r="R4182" s="79">
        <f>IF(P4182&lt;&gt;"", TODAY(), "")</f>
        <v/>
      </c>
      <c r="S4182" s="78">
        <f>IF(AND(K4182&lt;&gt;"", R4182&lt;&gt;""), R4182-K4182, "")</f>
        <v/>
      </c>
      <c r="T4182" s="78" t="n"/>
      <c r="U4182" s="92">
        <f>IF(ISBLANK(P4182),"",IF(C4182="Buy",Q4182-M4182+T4182, IF(C4182="Sell",M4182-Q4182-T4182, X)))</f>
        <v/>
      </c>
      <c r="V4182" s="81">
        <f>IF(ISBLANK(P4182),"",U4182/N4182)</f>
        <v/>
      </c>
      <c r="W4182" s="81">
        <f>IF(ISBLANK(P4182),"",IF(S4182=0,(365/0.5)*V4182,(365/S4182)*V4182))</f>
        <v/>
      </c>
      <c r="X4182" s="75" t="n"/>
      <c r="Y4182" s="77" t="n"/>
      <c r="Z4182" s="77" t="n"/>
      <c r="AA4182" s="75" t="n"/>
      <c r="AB4182" s="75" t="n"/>
      <c r="AC4182" s="6" t="n"/>
      <c r="AD4182" s="75" t="n"/>
      <c r="AE4182" s="75" t="n"/>
      <c r="AF4182" s="75" t="n"/>
    </row>
    <row r="4183" ht="15.75" customHeight="1" s="133">
      <c r="A4183" s="75" t="n"/>
      <c r="B4183" s="75" t="n"/>
      <c r="C4183" s="75" t="n"/>
      <c r="D4183" s="75" t="n"/>
      <c r="E4183" s="76" t="n"/>
      <c r="F4183" s="77" t="n"/>
      <c r="G4183" s="75" t="n"/>
      <c r="H4183" s="75">
        <f>IF(ISBLANK(E4183),"",IF(OR(D4183="Butterfly",D4183="Butterfly ",D4183="Iron Fly", D4183="Iron Fly "),LEN(E4183)-LEN(SUBSTITUTE(E4183,"/",""))+2,LEN(E4183)-LEN(SUBSTITUTE(E4183,"/",""))+1))</f>
        <v/>
      </c>
      <c r="I4183" s="78">
        <f>IF(ISBLANK(G4183),"",IF(D4183="Stock","0",Key!$A$3*H4183*G4183))</f>
        <v/>
      </c>
      <c r="J4183" s="78">
        <f>IF(ISBLANK(E4183),"",IF(ISNUMBER(SEARCH("/",E4183)), IF(LEN(E4183)-LEN(SUBSTITUTE(E4183,"/",""))=1,(RIGHT(E4183,LEN(E4183)-FIND("/",E4183)))-(LEFT(E4183,FIND("/",E4183)-1)),(MID(E4183, SEARCH("/",E4183) + 1, SEARCH("/",E4183, SEARCH("/",E4183)+1) - SEARCH("/",E4183) - 1))-(LEFT(E4183,FIND("/",E4183)-1))), "NA"))</f>
        <v/>
      </c>
      <c r="K4183" s="79">
        <f>IF(A4183&lt;&gt;"", IF(ISBLANK(L4183), TODAY(), K4183), "")</f>
        <v/>
      </c>
      <c r="L4183" s="78" t="n"/>
      <c r="M4183" s="78">
        <f>IF(ISBLANK(L4183),"",IF(D4183="Stock",IF(C4183="Buy",L4183*G4183,IF(C4183="Sell",(L4183*G4183)-I4183, X)),IF(C4183="Buy",(L4183*G4183*100)+I4183,IF(C4183="Sell",(L4183*G4183*100)-I4183, X))))</f>
        <v/>
      </c>
      <c r="N4183" s="78">
        <f>IF(ISBLANK(L4183),"",IF(AND(C4183="Sell",D4183="Stock"),M4183,IF(ISBLANK(L4183),"",IF(C4183="Buy",M4183, IF(AND(C4183="Sell",J4183="NA"),(E4183*G4183*100*0.1)+I4183, IF(C4183="Sell",(J4183-L4183)*(100*G4183)+I4183))))))</f>
        <v/>
      </c>
      <c r="O4183" s="75" t="n"/>
      <c r="P4183" s="75" t="n"/>
      <c r="Q4183" s="75">
        <f>IF(ISBLANK(P4183),"",IF(D4183="Stock",P4183*G4183,IF(P4183=0,"0",G4183*P4183*100-(G4183*$AF$14))))</f>
        <v/>
      </c>
      <c r="R4183" s="79">
        <f>IF(P4183&lt;&gt;"", TODAY(), "")</f>
        <v/>
      </c>
      <c r="S4183" s="78">
        <f>IF(AND(K4183&lt;&gt;"", R4183&lt;&gt;""), R4183-K4183, "")</f>
        <v/>
      </c>
      <c r="T4183" s="78" t="n"/>
      <c r="U4183" s="92">
        <f>IF(ISBLANK(P4183),"",IF(C4183="Buy",Q4183-M4183+T4183, IF(C4183="Sell",M4183-Q4183-T4183, X)))</f>
        <v/>
      </c>
      <c r="V4183" s="81">
        <f>IF(ISBLANK(P4183),"",U4183/N4183)</f>
        <v/>
      </c>
      <c r="W4183" s="81">
        <f>IF(ISBLANK(P4183),"",IF(S4183=0,(365/0.5)*V4183,(365/S4183)*V4183))</f>
        <v/>
      </c>
      <c r="X4183" s="75" t="n"/>
      <c r="Y4183" s="77" t="n"/>
      <c r="Z4183" s="77" t="n"/>
      <c r="AA4183" s="75" t="n"/>
      <c r="AB4183" s="75" t="n"/>
      <c r="AC4183" s="6" t="n"/>
      <c r="AD4183" s="75" t="n"/>
      <c r="AE4183" s="75" t="n"/>
      <c r="AF4183" s="75" t="n"/>
    </row>
    <row r="4184" ht="15.75" customHeight="1" s="133">
      <c r="A4184" s="75" t="n"/>
      <c r="B4184" s="75" t="n"/>
      <c r="C4184" s="75" t="n"/>
      <c r="D4184" s="75" t="n"/>
      <c r="E4184" s="76" t="n"/>
      <c r="F4184" s="77" t="n"/>
      <c r="G4184" s="75" t="n"/>
      <c r="H4184" s="75">
        <f>IF(ISBLANK(E4184),"",IF(OR(D4184="Butterfly",D4184="Butterfly ",D4184="Iron Fly", D4184="Iron Fly "),LEN(E4184)-LEN(SUBSTITUTE(E4184,"/",""))+2,LEN(E4184)-LEN(SUBSTITUTE(E4184,"/",""))+1))</f>
        <v/>
      </c>
      <c r="I4184" s="78">
        <f>IF(ISBLANK(G4184),"",IF(D4184="Stock","0",Key!$A$3*H4184*G4184))</f>
        <v/>
      </c>
      <c r="J4184" s="78">
        <f>IF(ISBLANK(E4184),"",IF(ISNUMBER(SEARCH("/",E4184)), IF(LEN(E4184)-LEN(SUBSTITUTE(E4184,"/",""))=1,(RIGHT(E4184,LEN(E4184)-FIND("/",E4184)))-(LEFT(E4184,FIND("/",E4184)-1)),(MID(E4184, SEARCH("/",E4184) + 1, SEARCH("/",E4184, SEARCH("/",E4184)+1) - SEARCH("/",E4184) - 1))-(LEFT(E4184,FIND("/",E4184)-1))), "NA"))</f>
        <v/>
      </c>
      <c r="K4184" s="79">
        <f>IF(A4184&lt;&gt;"", IF(ISBLANK(L4184), TODAY(), K4184), "")</f>
        <v/>
      </c>
      <c r="L4184" s="78" t="n"/>
      <c r="M4184" s="78">
        <f>IF(ISBLANK(L4184),"",IF(D4184="Stock",IF(C4184="Buy",L4184*G4184,IF(C4184="Sell",(L4184*G4184)-I4184, X)),IF(C4184="Buy",(L4184*G4184*100)+I4184,IF(C4184="Sell",(L4184*G4184*100)-I4184, X))))</f>
        <v/>
      </c>
      <c r="N4184" s="78">
        <f>IF(ISBLANK(L4184),"",IF(AND(C4184="Sell",D4184="Stock"),M4184,IF(ISBLANK(L4184),"",IF(C4184="Buy",M4184, IF(AND(C4184="Sell",J4184="NA"),(E4184*G4184*100*0.1)+I4184, IF(C4184="Sell",(J4184-L4184)*(100*G4184)+I4184))))))</f>
        <v/>
      </c>
      <c r="O4184" s="75" t="n"/>
      <c r="P4184" s="75" t="n"/>
      <c r="Q4184" s="75">
        <f>IF(ISBLANK(P4184),"",IF(D4184="Stock",P4184*G4184,IF(P4184=0,"0",G4184*P4184*100-(G4184*$AF$14))))</f>
        <v/>
      </c>
      <c r="R4184" s="79">
        <f>IF(P4184&lt;&gt;"", TODAY(), "")</f>
        <v/>
      </c>
      <c r="S4184" s="78">
        <f>IF(AND(K4184&lt;&gt;"", R4184&lt;&gt;""), R4184-K4184, "")</f>
        <v/>
      </c>
      <c r="T4184" s="78" t="n"/>
      <c r="U4184" s="92">
        <f>IF(ISBLANK(P4184),"",IF(C4184="Buy",Q4184-M4184+T4184, IF(C4184="Sell",M4184-Q4184-T4184, X)))</f>
        <v/>
      </c>
      <c r="V4184" s="81">
        <f>IF(ISBLANK(P4184),"",U4184/N4184)</f>
        <v/>
      </c>
      <c r="W4184" s="81">
        <f>IF(ISBLANK(P4184),"",IF(S4184=0,(365/0.5)*V4184,(365/S4184)*V4184))</f>
        <v/>
      </c>
      <c r="X4184" s="75" t="n"/>
      <c r="Y4184" s="77" t="n"/>
      <c r="Z4184" s="77" t="n"/>
      <c r="AA4184" s="75" t="n"/>
      <c r="AB4184" s="75" t="n"/>
      <c r="AC4184" s="6" t="n"/>
      <c r="AD4184" s="75" t="n"/>
      <c r="AE4184" s="75" t="n"/>
      <c r="AF4184" s="75" t="n"/>
    </row>
    <row r="4185" ht="15.75" customHeight="1" s="133">
      <c r="A4185" s="75" t="n"/>
      <c r="B4185" s="75" t="n"/>
      <c r="C4185" s="75" t="n"/>
      <c r="D4185" s="75" t="n"/>
      <c r="E4185" s="76" t="n"/>
      <c r="F4185" s="77" t="n"/>
      <c r="G4185" s="75" t="n"/>
      <c r="H4185" s="75">
        <f>IF(ISBLANK(E4185),"",IF(OR(D4185="Butterfly",D4185="Butterfly ",D4185="Iron Fly", D4185="Iron Fly "),LEN(E4185)-LEN(SUBSTITUTE(E4185,"/",""))+2,LEN(E4185)-LEN(SUBSTITUTE(E4185,"/",""))+1))</f>
        <v/>
      </c>
      <c r="I4185" s="78">
        <f>IF(ISBLANK(G4185),"",IF(D4185="Stock","0",Key!$A$3*H4185*G4185))</f>
        <v/>
      </c>
      <c r="J4185" s="78">
        <f>IF(ISBLANK(E4185),"",IF(ISNUMBER(SEARCH("/",E4185)), IF(LEN(E4185)-LEN(SUBSTITUTE(E4185,"/",""))=1,(RIGHT(E4185,LEN(E4185)-FIND("/",E4185)))-(LEFT(E4185,FIND("/",E4185)-1)),(MID(E4185, SEARCH("/",E4185) + 1, SEARCH("/",E4185, SEARCH("/",E4185)+1) - SEARCH("/",E4185) - 1))-(LEFT(E4185,FIND("/",E4185)-1))), "NA"))</f>
        <v/>
      </c>
      <c r="K4185" s="79">
        <f>IF(A4185&lt;&gt;"", IF(ISBLANK(L4185), TODAY(), K4185), "")</f>
        <v/>
      </c>
      <c r="L4185" s="78" t="n"/>
      <c r="M4185" s="78">
        <f>IF(ISBLANK(L4185),"",IF(D4185="Stock",IF(C4185="Buy",L4185*G4185,IF(C4185="Sell",(L4185*G4185)-I4185, X)),IF(C4185="Buy",(L4185*G4185*100)+I4185,IF(C4185="Sell",(L4185*G4185*100)-I4185, X))))</f>
        <v/>
      </c>
      <c r="N4185" s="78">
        <f>IF(ISBLANK(L4185),"",IF(AND(C4185="Sell",D4185="Stock"),M4185,IF(ISBLANK(L4185),"",IF(C4185="Buy",M4185, IF(AND(C4185="Sell",J4185="NA"),(E4185*G4185*100*0.1)+I4185, IF(C4185="Sell",(J4185-L4185)*(100*G4185)+I4185))))))</f>
        <v/>
      </c>
      <c r="O4185" s="75" t="n"/>
      <c r="P4185" s="75" t="n"/>
      <c r="Q4185" s="75">
        <f>IF(ISBLANK(P4185),"",IF(D4185="Stock",P4185*G4185,IF(P4185=0,"0",G4185*P4185*100-(G4185*$AF$14))))</f>
        <v/>
      </c>
      <c r="R4185" s="79">
        <f>IF(P4185&lt;&gt;"", TODAY(), "")</f>
        <v/>
      </c>
      <c r="S4185" s="78">
        <f>IF(AND(K4185&lt;&gt;"", R4185&lt;&gt;""), R4185-K4185, "")</f>
        <v/>
      </c>
      <c r="T4185" s="78" t="n"/>
      <c r="U4185" s="92">
        <f>IF(ISBLANK(P4185),"",IF(C4185="Buy",Q4185-M4185+T4185, IF(C4185="Sell",M4185-Q4185-T4185, X)))</f>
        <v/>
      </c>
      <c r="V4185" s="81">
        <f>IF(ISBLANK(P4185),"",U4185/N4185)</f>
        <v/>
      </c>
      <c r="W4185" s="81">
        <f>IF(ISBLANK(P4185),"",IF(S4185=0,(365/0.5)*V4185,(365/S4185)*V4185))</f>
        <v/>
      </c>
      <c r="X4185" s="75" t="n"/>
      <c r="Y4185" s="77" t="n"/>
      <c r="Z4185" s="77" t="n"/>
      <c r="AA4185" s="75" t="n"/>
      <c r="AB4185" s="75" t="n"/>
      <c r="AC4185" s="6" t="n"/>
      <c r="AD4185" s="75" t="n"/>
      <c r="AE4185" s="75" t="n"/>
      <c r="AF4185" s="75" t="n"/>
    </row>
    <row r="4186" ht="15.75" customHeight="1" s="133">
      <c r="A4186" s="75" t="n"/>
      <c r="B4186" s="75" t="n"/>
      <c r="C4186" s="75" t="n"/>
      <c r="D4186" s="75" t="n"/>
      <c r="E4186" s="76" t="n"/>
      <c r="F4186" s="77" t="n"/>
      <c r="G4186" s="75" t="n"/>
      <c r="H4186" s="75">
        <f>IF(ISBLANK(E4186),"",IF(OR(D4186="Butterfly",D4186="Butterfly ",D4186="Iron Fly", D4186="Iron Fly "),LEN(E4186)-LEN(SUBSTITUTE(E4186,"/",""))+2,LEN(E4186)-LEN(SUBSTITUTE(E4186,"/",""))+1))</f>
        <v/>
      </c>
      <c r="I4186" s="78">
        <f>IF(ISBLANK(G4186),"",IF(D4186="Stock","0",Key!$A$3*H4186*G4186))</f>
        <v/>
      </c>
      <c r="J4186" s="78">
        <f>IF(ISBLANK(E4186),"",IF(ISNUMBER(SEARCH("/",E4186)), IF(LEN(E4186)-LEN(SUBSTITUTE(E4186,"/",""))=1,(RIGHT(E4186,LEN(E4186)-FIND("/",E4186)))-(LEFT(E4186,FIND("/",E4186)-1)),(MID(E4186, SEARCH("/",E4186) + 1, SEARCH("/",E4186, SEARCH("/",E4186)+1) - SEARCH("/",E4186) - 1))-(LEFT(E4186,FIND("/",E4186)-1))), "NA"))</f>
        <v/>
      </c>
      <c r="K4186" s="79">
        <f>IF(A4186&lt;&gt;"", IF(ISBLANK(L4186), TODAY(), K4186), "")</f>
        <v/>
      </c>
      <c r="L4186" s="78" t="n"/>
      <c r="M4186" s="78">
        <f>IF(ISBLANK(L4186),"",IF(D4186="Stock",IF(C4186="Buy",L4186*G4186,IF(C4186="Sell",(L4186*G4186)-I4186, X)),IF(C4186="Buy",(L4186*G4186*100)+I4186,IF(C4186="Sell",(L4186*G4186*100)-I4186, X))))</f>
        <v/>
      </c>
      <c r="N4186" s="78">
        <f>IF(ISBLANK(L4186),"",IF(AND(C4186="Sell",D4186="Stock"),M4186,IF(ISBLANK(L4186),"",IF(C4186="Buy",M4186, IF(AND(C4186="Sell",J4186="NA"),(E4186*G4186*100*0.1)+I4186, IF(C4186="Sell",(J4186-L4186)*(100*G4186)+I4186))))))</f>
        <v/>
      </c>
      <c r="O4186" s="75" t="n"/>
      <c r="P4186" s="75" t="n"/>
      <c r="Q4186" s="75">
        <f>IF(ISBLANK(P4186),"",IF(D4186="Stock",P4186*G4186,IF(P4186=0,"0",G4186*P4186*100-(G4186*$AF$14))))</f>
        <v/>
      </c>
      <c r="R4186" s="79">
        <f>IF(P4186&lt;&gt;"", TODAY(), "")</f>
        <v/>
      </c>
      <c r="S4186" s="78">
        <f>IF(AND(K4186&lt;&gt;"", R4186&lt;&gt;""), R4186-K4186, "")</f>
        <v/>
      </c>
      <c r="T4186" s="78" t="n"/>
      <c r="U4186" s="92">
        <f>IF(ISBLANK(P4186),"",IF(C4186="Buy",Q4186-M4186+T4186, IF(C4186="Sell",M4186-Q4186-T4186, X)))</f>
        <v/>
      </c>
      <c r="V4186" s="81">
        <f>IF(ISBLANK(P4186),"",U4186/N4186)</f>
        <v/>
      </c>
      <c r="W4186" s="81">
        <f>IF(ISBLANK(P4186),"",IF(S4186=0,(365/0.5)*V4186,(365/S4186)*V4186))</f>
        <v/>
      </c>
      <c r="X4186" s="75" t="n"/>
      <c r="Y4186" s="77" t="n"/>
      <c r="Z4186" s="77" t="n"/>
      <c r="AA4186" s="75" t="n"/>
      <c r="AB4186" s="75" t="n"/>
      <c r="AC4186" s="6" t="n"/>
      <c r="AD4186" s="75" t="n"/>
      <c r="AE4186" s="75" t="n"/>
      <c r="AF4186" s="75" t="n"/>
    </row>
    <row r="4187" ht="15.75" customHeight="1" s="133">
      <c r="A4187" s="75" t="n"/>
      <c r="B4187" s="75" t="n"/>
      <c r="C4187" s="75" t="n"/>
      <c r="D4187" s="75" t="n"/>
      <c r="E4187" s="76" t="n"/>
      <c r="F4187" s="77" t="n"/>
      <c r="G4187" s="75" t="n"/>
      <c r="H4187" s="75">
        <f>IF(ISBLANK(E4187),"",IF(OR(D4187="Butterfly",D4187="Butterfly ",D4187="Iron Fly", D4187="Iron Fly "),LEN(E4187)-LEN(SUBSTITUTE(E4187,"/",""))+2,LEN(E4187)-LEN(SUBSTITUTE(E4187,"/",""))+1))</f>
        <v/>
      </c>
      <c r="I4187" s="78">
        <f>IF(ISBLANK(G4187),"",IF(D4187="Stock","0",Key!$A$3*H4187*G4187))</f>
        <v/>
      </c>
      <c r="J4187" s="78">
        <f>IF(ISBLANK(E4187),"",IF(ISNUMBER(SEARCH("/",E4187)), IF(LEN(E4187)-LEN(SUBSTITUTE(E4187,"/",""))=1,(RIGHT(E4187,LEN(E4187)-FIND("/",E4187)))-(LEFT(E4187,FIND("/",E4187)-1)),(MID(E4187, SEARCH("/",E4187) + 1, SEARCH("/",E4187, SEARCH("/",E4187)+1) - SEARCH("/",E4187) - 1))-(LEFT(E4187,FIND("/",E4187)-1))), "NA"))</f>
        <v/>
      </c>
      <c r="K4187" s="79">
        <f>IF(A4187&lt;&gt;"", IF(ISBLANK(L4187), TODAY(), K4187), "")</f>
        <v/>
      </c>
      <c r="L4187" s="78" t="n"/>
      <c r="M4187" s="78">
        <f>IF(ISBLANK(L4187),"",IF(D4187="Stock",IF(C4187="Buy",L4187*G4187,IF(C4187="Sell",(L4187*G4187)-I4187, X)),IF(C4187="Buy",(L4187*G4187*100)+I4187,IF(C4187="Sell",(L4187*G4187*100)-I4187, X))))</f>
        <v/>
      </c>
      <c r="N4187" s="78">
        <f>IF(ISBLANK(L4187),"",IF(AND(C4187="Sell",D4187="Stock"),M4187,IF(ISBLANK(L4187),"",IF(C4187="Buy",M4187, IF(AND(C4187="Sell",J4187="NA"),(E4187*G4187*100*0.1)+I4187, IF(C4187="Sell",(J4187-L4187)*(100*G4187)+I4187))))))</f>
        <v/>
      </c>
      <c r="O4187" s="75" t="n"/>
      <c r="P4187" s="75" t="n"/>
      <c r="Q4187" s="75">
        <f>IF(ISBLANK(P4187),"",IF(D4187="Stock",P4187*G4187,IF(P4187=0,"0",G4187*P4187*100-(G4187*$AF$14))))</f>
        <v/>
      </c>
      <c r="R4187" s="79">
        <f>IF(P4187&lt;&gt;"", TODAY(), "")</f>
        <v/>
      </c>
      <c r="S4187" s="78">
        <f>IF(AND(K4187&lt;&gt;"", R4187&lt;&gt;""), R4187-K4187, "")</f>
        <v/>
      </c>
      <c r="T4187" s="78" t="n"/>
      <c r="U4187" s="92">
        <f>IF(ISBLANK(P4187),"",IF(C4187="Buy",Q4187-M4187+T4187, IF(C4187="Sell",M4187-Q4187-T4187, X)))</f>
        <v/>
      </c>
      <c r="V4187" s="81">
        <f>IF(ISBLANK(P4187),"",U4187/N4187)</f>
        <v/>
      </c>
      <c r="W4187" s="81">
        <f>IF(ISBLANK(P4187),"",IF(S4187=0,(365/0.5)*V4187,(365/S4187)*V4187))</f>
        <v/>
      </c>
      <c r="X4187" s="75" t="n"/>
      <c r="Y4187" s="77" t="n"/>
      <c r="Z4187" s="77" t="n"/>
      <c r="AA4187" s="75" t="n"/>
      <c r="AB4187" s="75" t="n"/>
      <c r="AC4187" s="6" t="n"/>
      <c r="AD4187" s="75" t="n"/>
      <c r="AE4187" s="75" t="n"/>
      <c r="AF4187" s="75" t="n"/>
    </row>
    <row r="4188" ht="15.75" customHeight="1" s="133">
      <c r="A4188" s="75" t="n"/>
      <c r="B4188" s="75" t="n"/>
      <c r="C4188" s="75" t="n"/>
      <c r="D4188" s="75" t="n"/>
      <c r="E4188" s="76" t="n"/>
      <c r="F4188" s="77" t="n"/>
      <c r="G4188" s="75" t="n"/>
      <c r="H4188" s="75">
        <f>IF(ISBLANK(E4188),"",IF(OR(D4188="Butterfly",D4188="Butterfly ",D4188="Iron Fly", D4188="Iron Fly "),LEN(E4188)-LEN(SUBSTITUTE(E4188,"/",""))+2,LEN(E4188)-LEN(SUBSTITUTE(E4188,"/",""))+1))</f>
        <v/>
      </c>
      <c r="I4188" s="78">
        <f>IF(ISBLANK(G4188),"",IF(D4188="Stock","0",Key!$A$3*H4188*G4188))</f>
        <v/>
      </c>
      <c r="J4188" s="78">
        <f>IF(ISBLANK(E4188),"",IF(ISNUMBER(SEARCH("/",E4188)), IF(LEN(E4188)-LEN(SUBSTITUTE(E4188,"/",""))=1,(RIGHT(E4188,LEN(E4188)-FIND("/",E4188)))-(LEFT(E4188,FIND("/",E4188)-1)),(MID(E4188, SEARCH("/",E4188) + 1, SEARCH("/",E4188, SEARCH("/",E4188)+1) - SEARCH("/",E4188) - 1))-(LEFT(E4188,FIND("/",E4188)-1))), "NA"))</f>
        <v/>
      </c>
      <c r="K4188" s="79">
        <f>IF(A4188&lt;&gt;"", IF(ISBLANK(L4188), TODAY(), K4188), "")</f>
        <v/>
      </c>
      <c r="L4188" s="78" t="n"/>
      <c r="M4188" s="78">
        <f>IF(ISBLANK(L4188),"",IF(D4188="Stock",IF(C4188="Buy",L4188*G4188,IF(C4188="Sell",(L4188*G4188)-I4188, X)),IF(C4188="Buy",(L4188*G4188*100)+I4188,IF(C4188="Sell",(L4188*G4188*100)-I4188, X))))</f>
        <v/>
      </c>
      <c r="N4188" s="78">
        <f>IF(ISBLANK(L4188),"",IF(AND(C4188="Sell",D4188="Stock"),M4188,IF(ISBLANK(L4188),"",IF(C4188="Buy",M4188, IF(AND(C4188="Sell",J4188="NA"),(E4188*G4188*100*0.1)+I4188, IF(C4188="Sell",(J4188-L4188)*(100*G4188)+I4188))))))</f>
        <v/>
      </c>
      <c r="O4188" s="75" t="n"/>
      <c r="P4188" s="75" t="n"/>
      <c r="Q4188" s="75">
        <f>IF(ISBLANK(P4188),"",IF(D4188="Stock",P4188*G4188,IF(P4188=0,"0",G4188*P4188*100-(G4188*$AF$14))))</f>
        <v/>
      </c>
      <c r="R4188" s="79">
        <f>IF(P4188&lt;&gt;"", TODAY(), "")</f>
        <v/>
      </c>
      <c r="S4188" s="78">
        <f>IF(AND(K4188&lt;&gt;"", R4188&lt;&gt;""), R4188-K4188, "")</f>
        <v/>
      </c>
      <c r="T4188" s="78" t="n"/>
      <c r="U4188" s="92">
        <f>IF(ISBLANK(P4188),"",IF(C4188="Buy",Q4188-M4188+T4188, IF(C4188="Sell",M4188-Q4188-T4188, X)))</f>
        <v/>
      </c>
      <c r="V4188" s="81">
        <f>IF(ISBLANK(P4188),"",U4188/N4188)</f>
        <v/>
      </c>
      <c r="W4188" s="81">
        <f>IF(ISBLANK(P4188),"",IF(S4188=0,(365/0.5)*V4188,(365/S4188)*V4188))</f>
        <v/>
      </c>
      <c r="X4188" s="75" t="n"/>
      <c r="Y4188" s="77" t="n"/>
      <c r="Z4188" s="77" t="n"/>
      <c r="AA4188" s="75" t="n"/>
      <c r="AB4188" s="75" t="n"/>
      <c r="AC4188" s="6" t="n"/>
      <c r="AD4188" s="75" t="n"/>
      <c r="AE4188" s="75" t="n"/>
      <c r="AF4188" s="75" t="n"/>
    </row>
    <row r="4189" ht="15.75" customHeight="1" s="133">
      <c r="A4189" s="75" t="n"/>
      <c r="B4189" s="75" t="n"/>
      <c r="C4189" s="75" t="n"/>
      <c r="D4189" s="75" t="n"/>
      <c r="E4189" s="76" t="n"/>
      <c r="F4189" s="77" t="n"/>
      <c r="G4189" s="75" t="n"/>
      <c r="H4189" s="75">
        <f>IF(ISBLANK(E4189),"",IF(OR(D4189="Butterfly",D4189="Butterfly ",D4189="Iron Fly", D4189="Iron Fly "),LEN(E4189)-LEN(SUBSTITUTE(E4189,"/",""))+2,LEN(E4189)-LEN(SUBSTITUTE(E4189,"/",""))+1))</f>
        <v/>
      </c>
      <c r="I4189" s="78">
        <f>IF(ISBLANK(G4189),"",IF(D4189="Stock","0",Key!$A$3*H4189*G4189))</f>
        <v/>
      </c>
      <c r="J4189" s="78">
        <f>IF(ISBLANK(E4189),"",IF(ISNUMBER(SEARCH("/",E4189)), IF(LEN(E4189)-LEN(SUBSTITUTE(E4189,"/",""))=1,(RIGHT(E4189,LEN(E4189)-FIND("/",E4189)))-(LEFT(E4189,FIND("/",E4189)-1)),(MID(E4189, SEARCH("/",E4189) + 1, SEARCH("/",E4189, SEARCH("/",E4189)+1) - SEARCH("/",E4189) - 1))-(LEFT(E4189,FIND("/",E4189)-1))), "NA"))</f>
        <v/>
      </c>
      <c r="K4189" s="79">
        <f>IF(A4189&lt;&gt;"", IF(ISBLANK(L4189), TODAY(), K4189), "")</f>
        <v/>
      </c>
      <c r="L4189" s="78" t="n"/>
      <c r="M4189" s="78">
        <f>IF(ISBLANK(L4189),"",IF(D4189="Stock",IF(C4189="Buy",L4189*G4189,IF(C4189="Sell",(L4189*G4189)-I4189, X)),IF(C4189="Buy",(L4189*G4189*100)+I4189,IF(C4189="Sell",(L4189*G4189*100)-I4189, X))))</f>
        <v/>
      </c>
      <c r="N4189" s="78">
        <f>IF(ISBLANK(L4189),"",IF(AND(C4189="Sell",D4189="Stock"),M4189,IF(ISBLANK(L4189),"",IF(C4189="Buy",M4189, IF(AND(C4189="Sell",J4189="NA"),(E4189*G4189*100*0.1)+I4189, IF(C4189="Sell",(J4189-L4189)*(100*G4189)+I4189))))))</f>
        <v/>
      </c>
      <c r="O4189" s="75" t="n"/>
      <c r="P4189" s="75" t="n"/>
      <c r="Q4189" s="75">
        <f>IF(ISBLANK(P4189),"",IF(D4189="Stock",P4189*G4189,IF(P4189=0,"0",G4189*P4189*100-(G4189*$AF$14))))</f>
        <v/>
      </c>
      <c r="R4189" s="79">
        <f>IF(P4189&lt;&gt;"", TODAY(), "")</f>
        <v/>
      </c>
      <c r="S4189" s="78">
        <f>IF(AND(K4189&lt;&gt;"", R4189&lt;&gt;""), R4189-K4189, "")</f>
        <v/>
      </c>
      <c r="T4189" s="78" t="n"/>
      <c r="U4189" s="92">
        <f>IF(ISBLANK(P4189),"",IF(C4189="Buy",Q4189-M4189+T4189, IF(C4189="Sell",M4189-Q4189-T4189, X)))</f>
        <v/>
      </c>
      <c r="V4189" s="81">
        <f>IF(ISBLANK(P4189),"",U4189/N4189)</f>
        <v/>
      </c>
      <c r="W4189" s="81">
        <f>IF(ISBLANK(P4189),"",IF(S4189=0,(365/0.5)*V4189,(365/S4189)*V4189))</f>
        <v/>
      </c>
      <c r="X4189" s="75" t="n"/>
      <c r="Y4189" s="77" t="n"/>
      <c r="Z4189" s="77" t="n"/>
      <c r="AA4189" s="75" t="n"/>
      <c r="AB4189" s="75" t="n"/>
      <c r="AC4189" s="6" t="n"/>
      <c r="AD4189" s="75" t="n"/>
      <c r="AE4189" s="75" t="n"/>
      <c r="AF4189" s="75" t="n"/>
    </row>
    <row r="4190" ht="15.75" customHeight="1" s="133">
      <c r="A4190" s="75" t="n"/>
      <c r="B4190" s="75" t="n"/>
      <c r="C4190" s="75" t="n"/>
      <c r="D4190" s="75" t="n"/>
      <c r="E4190" s="76" t="n"/>
      <c r="F4190" s="77" t="n"/>
      <c r="G4190" s="75" t="n"/>
      <c r="H4190" s="75">
        <f>IF(ISBLANK(E4190),"",IF(OR(D4190="Butterfly",D4190="Butterfly ",D4190="Iron Fly", D4190="Iron Fly "),LEN(E4190)-LEN(SUBSTITUTE(E4190,"/",""))+2,LEN(E4190)-LEN(SUBSTITUTE(E4190,"/",""))+1))</f>
        <v/>
      </c>
      <c r="I4190" s="78">
        <f>IF(ISBLANK(G4190),"",IF(D4190="Stock","0",Key!$A$3*H4190*G4190))</f>
        <v/>
      </c>
      <c r="J4190" s="78">
        <f>IF(ISBLANK(E4190),"",IF(ISNUMBER(SEARCH("/",E4190)), IF(LEN(E4190)-LEN(SUBSTITUTE(E4190,"/",""))=1,(RIGHT(E4190,LEN(E4190)-FIND("/",E4190)))-(LEFT(E4190,FIND("/",E4190)-1)),(MID(E4190, SEARCH("/",E4190) + 1, SEARCH("/",E4190, SEARCH("/",E4190)+1) - SEARCH("/",E4190) - 1))-(LEFT(E4190,FIND("/",E4190)-1))), "NA"))</f>
        <v/>
      </c>
      <c r="K4190" s="79">
        <f>IF(A4190&lt;&gt;"", IF(ISBLANK(L4190), TODAY(), K4190), "")</f>
        <v/>
      </c>
      <c r="L4190" s="78" t="n"/>
      <c r="M4190" s="78">
        <f>IF(ISBLANK(L4190),"",IF(D4190="Stock",IF(C4190="Buy",L4190*G4190,IF(C4190="Sell",(L4190*G4190)-I4190, X)),IF(C4190="Buy",(L4190*G4190*100)+I4190,IF(C4190="Sell",(L4190*G4190*100)-I4190, X))))</f>
        <v/>
      </c>
      <c r="N4190" s="78">
        <f>IF(ISBLANK(L4190),"",IF(AND(C4190="Sell",D4190="Stock"),M4190,IF(ISBLANK(L4190),"",IF(C4190="Buy",M4190, IF(AND(C4190="Sell",J4190="NA"),(E4190*G4190*100*0.1)+I4190, IF(C4190="Sell",(J4190-L4190)*(100*G4190)+I4190))))))</f>
        <v/>
      </c>
      <c r="O4190" s="75" t="n"/>
      <c r="P4190" s="75" t="n"/>
      <c r="Q4190" s="75">
        <f>IF(ISBLANK(P4190),"",IF(D4190="Stock",P4190*G4190,IF(P4190=0,"0",G4190*P4190*100-(G4190*$AF$14))))</f>
        <v/>
      </c>
      <c r="R4190" s="79">
        <f>IF(P4190&lt;&gt;"", TODAY(), "")</f>
        <v/>
      </c>
      <c r="S4190" s="78">
        <f>IF(AND(K4190&lt;&gt;"", R4190&lt;&gt;""), R4190-K4190, "")</f>
        <v/>
      </c>
      <c r="T4190" s="78" t="n"/>
      <c r="U4190" s="92">
        <f>IF(ISBLANK(P4190),"",IF(C4190="Buy",Q4190-M4190+T4190, IF(C4190="Sell",M4190-Q4190-T4190, X)))</f>
        <v/>
      </c>
      <c r="V4190" s="81">
        <f>IF(ISBLANK(P4190),"",U4190/N4190)</f>
        <v/>
      </c>
      <c r="W4190" s="81">
        <f>IF(ISBLANK(P4190),"",IF(S4190=0,(365/0.5)*V4190,(365/S4190)*V4190))</f>
        <v/>
      </c>
      <c r="X4190" s="75" t="n"/>
      <c r="Y4190" s="77" t="n"/>
      <c r="Z4190" s="77" t="n"/>
      <c r="AA4190" s="75" t="n"/>
      <c r="AB4190" s="75" t="n"/>
      <c r="AC4190" s="6" t="n"/>
      <c r="AD4190" s="75" t="n"/>
      <c r="AE4190" s="75" t="n"/>
      <c r="AF4190" s="75" t="n"/>
    </row>
    <row r="4191" ht="15.75" customHeight="1" s="133">
      <c r="A4191" s="75" t="n"/>
      <c r="B4191" s="75" t="n"/>
      <c r="C4191" s="75" t="n"/>
      <c r="D4191" s="75" t="n"/>
      <c r="E4191" s="76" t="n"/>
      <c r="F4191" s="77" t="n"/>
      <c r="G4191" s="75" t="n"/>
      <c r="H4191" s="75">
        <f>IF(ISBLANK(E4191),"",IF(OR(D4191="Butterfly",D4191="Butterfly ",D4191="Iron Fly", D4191="Iron Fly "),LEN(E4191)-LEN(SUBSTITUTE(E4191,"/",""))+2,LEN(E4191)-LEN(SUBSTITUTE(E4191,"/",""))+1))</f>
        <v/>
      </c>
      <c r="I4191" s="78">
        <f>IF(ISBLANK(G4191),"",IF(D4191="Stock","0",Key!$A$3*H4191*G4191))</f>
        <v/>
      </c>
      <c r="J4191" s="78">
        <f>IF(ISBLANK(E4191),"",IF(ISNUMBER(SEARCH("/",E4191)), IF(LEN(E4191)-LEN(SUBSTITUTE(E4191,"/",""))=1,(RIGHT(E4191,LEN(E4191)-FIND("/",E4191)))-(LEFT(E4191,FIND("/",E4191)-1)),(MID(E4191, SEARCH("/",E4191) + 1, SEARCH("/",E4191, SEARCH("/",E4191)+1) - SEARCH("/",E4191) - 1))-(LEFT(E4191,FIND("/",E4191)-1))), "NA"))</f>
        <v/>
      </c>
      <c r="K4191" s="79">
        <f>IF(A4191&lt;&gt;"", IF(ISBLANK(L4191), TODAY(), K4191), "")</f>
        <v/>
      </c>
      <c r="L4191" s="78" t="n"/>
      <c r="M4191" s="78">
        <f>IF(ISBLANK(L4191),"",IF(D4191="Stock",IF(C4191="Buy",L4191*G4191,IF(C4191="Sell",(L4191*G4191)-I4191, X)),IF(C4191="Buy",(L4191*G4191*100)+I4191,IF(C4191="Sell",(L4191*G4191*100)-I4191, X))))</f>
        <v/>
      </c>
      <c r="N4191" s="78">
        <f>IF(ISBLANK(L4191),"",IF(AND(C4191="Sell",D4191="Stock"),M4191,IF(ISBLANK(L4191),"",IF(C4191="Buy",M4191, IF(AND(C4191="Sell",J4191="NA"),(E4191*G4191*100*0.1)+I4191, IF(C4191="Sell",(J4191-L4191)*(100*G4191)+I4191))))))</f>
        <v/>
      </c>
      <c r="O4191" s="75" t="n"/>
      <c r="P4191" s="75" t="n"/>
      <c r="Q4191" s="75">
        <f>IF(ISBLANK(P4191),"",IF(D4191="Stock",P4191*G4191,IF(P4191=0,"0",G4191*P4191*100-(G4191*$AF$14))))</f>
        <v/>
      </c>
      <c r="R4191" s="79">
        <f>IF(P4191&lt;&gt;"", TODAY(), "")</f>
        <v/>
      </c>
      <c r="S4191" s="78">
        <f>IF(AND(K4191&lt;&gt;"", R4191&lt;&gt;""), R4191-K4191, "")</f>
        <v/>
      </c>
      <c r="T4191" s="78" t="n"/>
      <c r="U4191" s="92">
        <f>IF(ISBLANK(P4191),"",IF(C4191="Buy",Q4191-M4191+T4191, IF(C4191="Sell",M4191-Q4191-T4191, X)))</f>
        <v/>
      </c>
      <c r="V4191" s="81">
        <f>IF(ISBLANK(P4191),"",U4191/N4191)</f>
        <v/>
      </c>
      <c r="W4191" s="81">
        <f>IF(ISBLANK(P4191),"",IF(S4191=0,(365/0.5)*V4191,(365/S4191)*V4191))</f>
        <v/>
      </c>
      <c r="X4191" s="75" t="n"/>
      <c r="Y4191" s="77" t="n"/>
      <c r="Z4191" s="77" t="n"/>
      <c r="AA4191" s="75" t="n"/>
      <c r="AB4191" s="75" t="n"/>
      <c r="AC4191" s="6" t="n"/>
      <c r="AD4191" s="75" t="n"/>
      <c r="AE4191" s="75" t="n"/>
      <c r="AF4191" s="75" t="n"/>
    </row>
    <row r="4192" ht="15.75" customHeight="1" s="133">
      <c r="A4192" s="75" t="n"/>
      <c r="B4192" s="75" t="n"/>
      <c r="C4192" s="75" t="n"/>
      <c r="D4192" s="75" t="n"/>
      <c r="E4192" s="76" t="n"/>
      <c r="F4192" s="77" t="n"/>
      <c r="G4192" s="75" t="n"/>
      <c r="H4192" s="75">
        <f>IF(ISBLANK(E4192),"",IF(OR(D4192="Butterfly",D4192="Butterfly ",D4192="Iron Fly", D4192="Iron Fly "),LEN(E4192)-LEN(SUBSTITUTE(E4192,"/",""))+2,LEN(E4192)-LEN(SUBSTITUTE(E4192,"/",""))+1))</f>
        <v/>
      </c>
      <c r="I4192" s="78">
        <f>IF(ISBLANK(G4192),"",IF(D4192="Stock","0",Key!$A$3*H4192*G4192))</f>
        <v/>
      </c>
      <c r="J4192" s="78">
        <f>IF(ISBLANK(E4192),"",IF(ISNUMBER(SEARCH("/",E4192)), IF(LEN(E4192)-LEN(SUBSTITUTE(E4192,"/",""))=1,(RIGHT(E4192,LEN(E4192)-FIND("/",E4192)))-(LEFT(E4192,FIND("/",E4192)-1)),(MID(E4192, SEARCH("/",E4192) + 1, SEARCH("/",E4192, SEARCH("/",E4192)+1) - SEARCH("/",E4192) - 1))-(LEFT(E4192,FIND("/",E4192)-1))), "NA"))</f>
        <v/>
      </c>
      <c r="K4192" s="79">
        <f>IF(A4192&lt;&gt;"", IF(ISBLANK(L4192), TODAY(), K4192), "")</f>
        <v/>
      </c>
      <c r="L4192" s="78" t="n"/>
      <c r="M4192" s="78">
        <f>IF(ISBLANK(L4192),"",IF(D4192="Stock",IF(C4192="Buy",L4192*G4192,IF(C4192="Sell",(L4192*G4192)-I4192, X)),IF(C4192="Buy",(L4192*G4192*100)+I4192,IF(C4192="Sell",(L4192*G4192*100)-I4192, X))))</f>
        <v/>
      </c>
      <c r="N4192" s="78">
        <f>IF(ISBLANK(L4192),"",IF(AND(C4192="Sell",D4192="Stock"),M4192,IF(ISBLANK(L4192),"",IF(C4192="Buy",M4192, IF(AND(C4192="Sell",J4192="NA"),(E4192*G4192*100*0.1)+I4192, IF(C4192="Sell",(J4192-L4192)*(100*G4192)+I4192))))))</f>
        <v/>
      </c>
      <c r="O4192" s="75" t="n"/>
      <c r="P4192" s="75" t="n"/>
      <c r="Q4192" s="75">
        <f>IF(ISBLANK(P4192),"",IF(D4192="Stock",P4192*G4192,IF(P4192=0,"0",G4192*P4192*100-(G4192*$AF$14))))</f>
        <v/>
      </c>
      <c r="R4192" s="79">
        <f>IF(P4192&lt;&gt;"", TODAY(), "")</f>
        <v/>
      </c>
      <c r="S4192" s="78">
        <f>IF(AND(K4192&lt;&gt;"", R4192&lt;&gt;""), R4192-K4192, "")</f>
        <v/>
      </c>
      <c r="T4192" s="78" t="n"/>
      <c r="U4192" s="92">
        <f>IF(ISBLANK(P4192),"",IF(C4192="Buy",Q4192-M4192+T4192, IF(C4192="Sell",M4192-Q4192-T4192, X)))</f>
        <v/>
      </c>
      <c r="V4192" s="81">
        <f>IF(ISBLANK(P4192),"",U4192/N4192)</f>
        <v/>
      </c>
      <c r="W4192" s="81">
        <f>IF(ISBLANK(P4192),"",IF(S4192=0,(365/0.5)*V4192,(365/S4192)*V4192))</f>
        <v/>
      </c>
      <c r="X4192" s="75" t="n"/>
      <c r="Y4192" s="77" t="n"/>
      <c r="Z4192" s="77" t="n"/>
      <c r="AA4192" s="75" t="n"/>
      <c r="AB4192" s="75" t="n"/>
      <c r="AC4192" s="6" t="n"/>
      <c r="AD4192" s="75" t="n"/>
      <c r="AE4192" s="75" t="n"/>
      <c r="AF4192" s="75" t="n"/>
    </row>
    <row r="4193" ht="15.75" customHeight="1" s="133">
      <c r="A4193" s="75" t="n"/>
      <c r="B4193" s="75" t="n"/>
      <c r="C4193" s="75" t="n"/>
      <c r="D4193" s="75" t="n"/>
      <c r="E4193" s="76" t="n"/>
      <c r="F4193" s="77" t="n"/>
      <c r="G4193" s="75" t="n"/>
      <c r="H4193" s="75">
        <f>IF(ISBLANK(E4193),"",IF(OR(D4193="Butterfly",D4193="Butterfly ",D4193="Iron Fly", D4193="Iron Fly "),LEN(E4193)-LEN(SUBSTITUTE(E4193,"/",""))+2,LEN(E4193)-LEN(SUBSTITUTE(E4193,"/",""))+1))</f>
        <v/>
      </c>
      <c r="I4193" s="78">
        <f>IF(ISBLANK(G4193),"",IF(D4193="Stock","0",Key!$A$3*H4193*G4193))</f>
        <v/>
      </c>
      <c r="J4193" s="78">
        <f>IF(ISBLANK(E4193),"",IF(ISNUMBER(SEARCH("/",E4193)), IF(LEN(E4193)-LEN(SUBSTITUTE(E4193,"/",""))=1,(RIGHT(E4193,LEN(E4193)-FIND("/",E4193)))-(LEFT(E4193,FIND("/",E4193)-1)),(MID(E4193, SEARCH("/",E4193) + 1, SEARCH("/",E4193, SEARCH("/",E4193)+1) - SEARCH("/",E4193) - 1))-(LEFT(E4193,FIND("/",E4193)-1))), "NA"))</f>
        <v/>
      </c>
      <c r="K4193" s="79">
        <f>IF(A4193&lt;&gt;"", IF(ISBLANK(L4193), TODAY(), K4193), "")</f>
        <v/>
      </c>
      <c r="L4193" s="78" t="n"/>
      <c r="M4193" s="78">
        <f>IF(ISBLANK(L4193),"",IF(D4193="Stock",IF(C4193="Buy",L4193*G4193,IF(C4193="Sell",(L4193*G4193)-I4193, X)),IF(C4193="Buy",(L4193*G4193*100)+I4193,IF(C4193="Sell",(L4193*G4193*100)-I4193, X))))</f>
        <v/>
      </c>
      <c r="N4193" s="78">
        <f>IF(ISBLANK(L4193),"",IF(AND(C4193="Sell",D4193="Stock"),M4193,IF(ISBLANK(L4193),"",IF(C4193="Buy",M4193, IF(AND(C4193="Sell",J4193="NA"),(E4193*G4193*100*0.1)+I4193, IF(C4193="Sell",(J4193-L4193)*(100*G4193)+I4193))))))</f>
        <v/>
      </c>
      <c r="O4193" s="75" t="n"/>
      <c r="P4193" s="75" t="n"/>
      <c r="Q4193" s="75">
        <f>IF(ISBLANK(P4193),"",IF(D4193="Stock",P4193*G4193,IF(P4193=0,"0",G4193*P4193*100-(G4193*$AF$14))))</f>
        <v/>
      </c>
      <c r="R4193" s="79">
        <f>IF(P4193&lt;&gt;"", TODAY(), "")</f>
        <v/>
      </c>
      <c r="S4193" s="78">
        <f>IF(AND(K4193&lt;&gt;"", R4193&lt;&gt;""), R4193-K4193, "")</f>
        <v/>
      </c>
      <c r="T4193" s="78" t="n"/>
      <c r="U4193" s="92">
        <f>IF(ISBLANK(P4193),"",IF(C4193="Buy",Q4193-M4193+T4193, IF(C4193="Sell",M4193-Q4193-T4193, X)))</f>
        <v/>
      </c>
      <c r="V4193" s="81">
        <f>IF(ISBLANK(P4193),"",U4193/N4193)</f>
        <v/>
      </c>
      <c r="W4193" s="81">
        <f>IF(ISBLANK(P4193),"",IF(S4193=0,(365/0.5)*V4193,(365/S4193)*V4193))</f>
        <v/>
      </c>
      <c r="X4193" s="75" t="n"/>
      <c r="Y4193" s="77" t="n"/>
      <c r="Z4193" s="77" t="n"/>
      <c r="AA4193" s="75" t="n"/>
      <c r="AB4193" s="75" t="n"/>
      <c r="AC4193" s="6" t="n"/>
      <c r="AD4193" s="75" t="n"/>
      <c r="AE4193" s="75" t="n"/>
      <c r="AF4193" s="75" t="n"/>
    </row>
    <row r="4194" ht="15.75" customHeight="1" s="133">
      <c r="A4194" s="75" t="n"/>
      <c r="B4194" s="75" t="n"/>
      <c r="C4194" s="75" t="n"/>
      <c r="D4194" s="75" t="n"/>
      <c r="E4194" s="76" t="n"/>
      <c r="F4194" s="77" t="n"/>
      <c r="G4194" s="75" t="n"/>
      <c r="H4194" s="75">
        <f>IF(ISBLANK(E4194),"",IF(OR(D4194="Butterfly",D4194="Butterfly ",D4194="Iron Fly", D4194="Iron Fly "),LEN(E4194)-LEN(SUBSTITUTE(E4194,"/",""))+2,LEN(E4194)-LEN(SUBSTITUTE(E4194,"/",""))+1))</f>
        <v/>
      </c>
      <c r="I4194" s="78">
        <f>IF(ISBLANK(G4194),"",IF(D4194="Stock","0",Key!$A$3*H4194*G4194))</f>
        <v/>
      </c>
      <c r="J4194" s="78">
        <f>IF(ISBLANK(E4194),"",IF(ISNUMBER(SEARCH("/",E4194)), IF(LEN(E4194)-LEN(SUBSTITUTE(E4194,"/",""))=1,(RIGHT(E4194,LEN(E4194)-FIND("/",E4194)))-(LEFT(E4194,FIND("/",E4194)-1)),(MID(E4194, SEARCH("/",E4194) + 1, SEARCH("/",E4194, SEARCH("/",E4194)+1) - SEARCH("/",E4194) - 1))-(LEFT(E4194,FIND("/",E4194)-1))), "NA"))</f>
        <v/>
      </c>
      <c r="K4194" s="79">
        <f>IF(A4194&lt;&gt;"", IF(ISBLANK(L4194), TODAY(), K4194), "")</f>
        <v/>
      </c>
      <c r="L4194" s="78" t="n"/>
      <c r="M4194" s="78">
        <f>IF(ISBLANK(L4194),"",IF(D4194="Stock",IF(C4194="Buy",L4194*G4194,IF(C4194="Sell",(L4194*G4194)-I4194, X)),IF(C4194="Buy",(L4194*G4194*100)+I4194,IF(C4194="Sell",(L4194*G4194*100)-I4194, X))))</f>
        <v/>
      </c>
      <c r="N4194" s="78">
        <f>IF(ISBLANK(L4194),"",IF(AND(C4194="Sell",D4194="Stock"),M4194,IF(ISBLANK(L4194),"",IF(C4194="Buy",M4194, IF(AND(C4194="Sell",J4194="NA"),(E4194*G4194*100*0.1)+I4194, IF(C4194="Sell",(J4194-L4194)*(100*G4194)+I4194))))))</f>
        <v/>
      </c>
      <c r="O4194" s="75" t="n"/>
      <c r="P4194" s="75" t="n"/>
      <c r="Q4194" s="75">
        <f>IF(ISBLANK(P4194),"",IF(D4194="Stock",P4194*G4194,IF(P4194=0,"0",G4194*P4194*100-(G4194*$AF$14))))</f>
        <v/>
      </c>
      <c r="R4194" s="79">
        <f>IF(P4194&lt;&gt;"", TODAY(), "")</f>
        <v/>
      </c>
      <c r="S4194" s="78">
        <f>IF(AND(K4194&lt;&gt;"", R4194&lt;&gt;""), R4194-K4194, "")</f>
        <v/>
      </c>
      <c r="T4194" s="78" t="n"/>
      <c r="U4194" s="92">
        <f>IF(ISBLANK(P4194),"",IF(C4194="Buy",Q4194-M4194+T4194, IF(C4194="Sell",M4194-Q4194-T4194, X)))</f>
        <v/>
      </c>
      <c r="V4194" s="81">
        <f>IF(ISBLANK(P4194),"",U4194/N4194)</f>
        <v/>
      </c>
      <c r="W4194" s="81">
        <f>IF(ISBLANK(P4194),"",IF(S4194=0,(365/0.5)*V4194,(365/S4194)*V4194))</f>
        <v/>
      </c>
      <c r="X4194" s="75" t="n"/>
      <c r="Y4194" s="77" t="n"/>
      <c r="Z4194" s="77" t="n"/>
      <c r="AA4194" s="75" t="n"/>
      <c r="AB4194" s="75" t="n"/>
      <c r="AC4194" s="6" t="n"/>
      <c r="AD4194" s="75" t="n"/>
      <c r="AE4194" s="75" t="n"/>
      <c r="AF4194" s="75" t="n"/>
    </row>
    <row r="4195" ht="15.75" customHeight="1" s="133">
      <c r="A4195" s="75" t="n"/>
      <c r="B4195" s="75" t="n"/>
      <c r="C4195" s="75" t="n"/>
      <c r="D4195" s="75" t="n"/>
      <c r="E4195" s="76" t="n"/>
      <c r="F4195" s="77" t="n"/>
      <c r="G4195" s="75" t="n"/>
      <c r="H4195" s="75">
        <f>IF(ISBLANK(E4195),"",IF(OR(D4195="Butterfly",D4195="Butterfly ",D4195="Iron Fly", D4195="Iron Fly "),LEN(E4195)-LEN(SUBSTITUTE(E4195,"/",""))+2,LEN(E4195)-LEN(SUBSTITUTE(E4195,"/",""))+1))</f>
        <v/>
      </c>
      <c r="I4195" s="78">
        <f>IF(ISBLANK(G4195),"",IF(D4195="Stock","0",Key!$A$3*H4195*G4195))</f>
        <v/>
      </c>
      <c r="J4195" s="78">
        <f>IF(ISBLANK(E4195),"",IF(ISNUMBER(SEARCH("/",E4195)), IF(LEN(E4195)-LEN(SUBSTITUTE(E4195,"/",""))=1,(RIGHT(E4195,LEN(E4195)-FIND("/",E4195)))-(LEFT(E4195,FIND("/",E4195)-1)),(MID(E4195, SEARCH("/",E4195) + 1, SEARCH("/",E4195, SEARCH("/",E4195)+1) - SEARCH("/",E4195) - 1))-(LEFT(E4195,FIND("/",E4195)-1))), "NA"))</f>
        <v/>
      </c>
      <c r="K4195" s="79">
        <f>IF(A4195&lt;&gt;"", IF(ISBLANK(L4195), TODAY(), K4195), "")</f>
        <v/>
      </c>
      <c r="L4195" s="78" t="n"/>
      <c r="M4195" s="78">
        <f>IF(ISBLANK(L4195),"",IF(D4195="Stock",IF(C4195="Buy",L4195*G4195,IF(C4195="Sell",(L4195*G4195)-I4195, X)),IF(C4195="Buy",(L4195*G4195*100)+I4195,IF(C4195="Sell",(L4195*G4195*100)-I4195, X))))</f>
        <v/>
      </c>
      <c r="N4195" s="78">
        <f>IF(ISBLANK(L4195),"",IF(AND(C4195="Sell",D4195="Stock"),M4195,IF(ISBLANK(L4195),"",IF(C4195="Buy",M4195, IF(AND(C4195="Sell",J4195="NA"),(E4195*G4195*100*0.1)+I4195, IF(C4195="Sell",(J4195-L4195)*(100*G4195)+I4195))))))</f>
        <v/>
      </c>
      <c r="O4195" s="75" t="n"/>
      <c r="P4195" s="75" t="n"/>
      <c r="Q4195" s="75">
        <f>IF(ISBLANK(P4195),"",IF(D4195="Stock",P4195*G4195,IF(P4195=0,"0",G4195*P4195*100-(G4195*$AF$14))))</f>
        <v/>
      </c>
      <c r="R4195" s="79">
        <f>IF(P4195&lt;&gt;"", TODAY(), "")</f>
        <v/>
      </c>
      <c r="S4195" s="78">
        <f>IF(AND(K4195&lt;&gt;"", R4195&lt;&gt;""), R4195-K4195, "")</f>
        <v/>
      </c>
      <c r="T4195" s="78" t="n"/>
      <c r="U4195" s="92">
        <f>IF(ISBLANK(P4195),"",IF(C4195="Buy",Q4195-M4195+T4195, IF(C4195="Sell",M4195-Q4195-T4195, X)))</f>
        <v/>
      </c>
      <c r="V4195" s="81">
        <f>IF(ISBLANK(P4195),"",U4195/N4195)</f>
        <v/>
      </c>
      <c r="W4195" s="81">
        <f>IF(ISBLANK(P4195),"",IF(S4195=0,(365/0.5)*V4195,(365/S4195)*V4195))</f>
        <v/>
      </c>
      <c r="X4195" s="75" t="n"/>
      <c r="Y4195" s="77" t="n"/>
      <c r="Z4195" s="77" t="n"/>
      <c r="AA4195" s="75" t="n"/>
      <c r="AB4195" s="75" t="n"/>
      <c r="AC4195" s="6" t="n"/>
      <c r="AD4195" s="75" t="n"/>
      <c r="AE4195" s="75" t="n"/>
      <c r="AF4195" s="75" t="n"/>
    </row>
    <row r="4196" ht="15.75" customHeight="1" s="133">
      <c r="A4196" s="75" t="n"/>
      <c r="B4196" s="75" t="n"/>
      <c r="C4196" s="75" t="n"/>
      <c r="D4196" s="75" t="n"/>
      <c r="E4196" s="76" t="n"/>
      <c r="F4196" s="77" t="n"/>
      <c r="G4196" s="75" t="n"/>
      <c r="H4196" s="75">
        <f>IF(ISBLANK(E4196),"",IF(OR(D4196="Butterfly",D4196="Butterfly ",D4196="Iron Fly", D4196="Iron Fly "),LEN(E4196)-LEN(SUBSTITUTE(E4196,"/",""))+2,LEN(E4196)-LEN(SUBSTITUTE(E4196,"/",""))+1))</f>
        <v/>
      </c>
      <c r="I4196" s="78">
        <f>IF(ISBLANK(G4196),"",IF(D4196="Stock","0",Key!$A$3*H4196*G4196))</f>
        <v/>
      </c>
      <c r="J4196" s="78">
        <f>IF(ISBLANK(E4196),"",IF(ISNUMBER(SEARCH("/",E4196)), IF(LEN(E4196)-LEN(SUBSTITUTE(E4196,"/",""))=1,(RIGHT(E4196,LEN(E4196)-FIND("/",E4196)))-(LEFT(E4196,FIND("/",E4196)-1)),(MID(E4196, SEARCH("/",E4196) + 1, SEARCH("/",E4196, SEARCH("/",E4196)+1) - SEARCH("/",E4196) - 1))-(LEFT(E4196,FIND("/",E4196)-1))), "NA"))</f>
        <v/>
      </c>
      <c r="K4196" s="79">
        <f>IF(A4196&lt;&gt;"", IF(ISBLANK(L4196), TODAY(), K4196), "")</f>
        <v/>
      </c>
      <c r="L4196" s="78" t="n"/>
      <c r="M4196" s="78">
        <f>IF(ISBLANK(L4196),"",IF(D4196="Stock",IF(C4196="Buy",L4196*G4196,IF(C4196="Sell",(L4196*G4196)-I4196, X)),IF(C4196="Buy",(L4196*G4196*100)+I4196,IF(C4196="Sell",(L4196*G4196*100)-I4196, X))))</f>
        <v/>
      </c>
      <c r="N4196" s="78">
        <f>IF(ISBLANK(L4196),"",IF(AND(C4196="Sell",D4196="Stock"),M4196,IF(ISBLANK(L4196),"",IF(C4196="Buy",M4196, IF(AND(C4196="Sell",J4196="NA"),(E4196*G4196*100*0.1)+I4196, IF(C4196="Sell",(J4196-L4196)*(100*G4196)+I4196))))))</f>
        <v/>
      </c>
      <c r="O4196" s="75" t="n"/>
      <c r="P4196" s="75" t="n"/>
      <c r="Q4196" s="75">
        <f>IF(ISBLANK(P4196),"",IF(D4196="Stock",P4196*G4196,IF(P4196=0,"0",G4196*P4196*100-(G4196*$AF$14))))</f>
        <v/>
      </c>
      <c r="R4196" s="79">
        <f>IF(P4196&lt;&gt;"", TODAY(), "")</f>
        <v/>
      </c>
      <c r="S4196" s="78">
        <f>IF(AND(K4196&lt;&gt;"", R4196&lt;&gt;""), R4196-K4196, "")</f>
        <v/>
      </c>
      <c r="T4196" s="78" t="n"/>
      <c r="U4196" s="92">
        <f>IF(ISBLANK(P4196),"",IF(C4196="Buy",Q4196-M4196+T4196, IF(C4196="Sell",M4196-Q4196-T4196, X)))</f>
        <v/>
      </c>
      <c r="V4196" s="81">
        <f>IF(ISBLANK(P4196),"",U4196/N4196)</f>
        <v/>
      </c>
      <c r="W4196" s="81">
        <f>IF(ISBLANK(P4196),"",IF(S4196=0,(365/0.5)*V4196,(365/S4196)*V4196))</f>
        <v/>
      </c>
      <c r="X4196" s="75" t="n"/>
      <c r="Y4196" s="77" t="n"/>
      <c r="Z4196" s="77" t="n"/>
      <c r="AA4196" s="75" t="n"/>
      <c r="AB4196" s="75" t="n"/>
      <c r="AC4196" s="6" t="n"/>
      <c r="AD4196" s="75" t="n"/>
      <c r="AE4196" s="75" t="n"/>
      <c r="AF4196" s="75" t="n"/>
    </row>
    <row r="4197" ht="15.75" customHeight="1" s="133">
      <c r="A4197" s="75" t="n"/>
      <c r="B4197" s="75" t="n"/>
      <c r="C4197" s="75" t="n"/>
      <c r="D4197" s="75" t="n"/>
      <c r="E4197" s="76" t="n"/>
      <c r="F4197" s="77" t="n"/>
      <c r="G4197" s="75" t="n"/>
      <c r="H4197" s="75">
        <f>IF(ISBLANK(E4197),"",IF(OR(D4197="Butterfly",D4197="Butterfly ",D4197="Iron Fly", D4197="Iron Fly "),LEN(E4197)-LEN(SUBSTITUTE(E4197,"/",""))+2,LEN(E4197)-LEN(SUBSTITUTE(E4197,"/",""))+1))</f>
        <v/>
      </c>
      <c r="I4197" s="78">
        <f>IF(ISBLANK(G4197),"",IF(D4197="Stock","0",Key!$A$3*H4197*G4197))</f>
        <v/>
      </c>
      <c r="J4197" s="78">
        <f>IF(ISBLANK(E4197),"",IF(ISNUMBER(SEARCH("/",E4197)), IF(LEN(E4197)-LEN(SUBSTITUTE(E4197,"/",""))=1,(RIGHT(E4197,LEN(E4197)-FIND("/",E4197)))-(LEFT(E4197,FIND("/",E4197)-1)),(MID(E4197, SEARCH("/",E4197) + 1, SEARCH("/",E4197, SEARCH("/",E4197)+1) - SEARCH("/",E4197) - 1))-(LEFT(E4197,FIND("/",E4197)-1))), "NA"))</f>
        <v/>
      </c>
      <c r="K4197" s="79">
        <f>IF(A4197&lt;&gt;"", IF(ISBLANK(L4197), TODAY(), K4197), "")</f>
        <v/>
      </c>
      <c r="L4197" s="78" t="n"/>
      <c r="M4197" s="78">
        <f>IF(ISBLANK(L4197),"",IF(D4197="Stock",IF(C4197="Buy",L4197*G4197,IF(C4197="Sell",(L4197*G4197)-I4197, X)),IF(C4197="Buy",(L4197*G4197*100)+I4197,IF(C4197="Sell",(L4197*G4197*100)-I4197, X))))</f>
        <v/>
      </c>
      <c r="N4197" s="78">
        <f>IF(ISBLANK(L4197),"",IF(AND(C4197="Sell",D4197="Stock"),M4197,IF(ISBLANK(L4197),"",IF(C4197="Buy",M4197, IF(AND(C4197="Sell",J4197="NA"),(E4197*G4197*100*0.1)+I4197, IF(C4197="Sell",(J4197-L4197)*(100*G4197)+I4197))))))</f>
        <v/>
      </c>
      <c r="O4197" s="75" t="n"/>
      <c r="P4197" s="75" t="n"/>
      <c r="Q4197" s="75">
        <f>IF(ISBLANK(P4197),"",IF(D4197="Stock",P4197*G4197,IF(P4197=0,"0",G4197*P4197*100-(G4197*$AF$14))))</f>
        <v/>
      </c>
      <c r="R4197" s="79">
        <f>IF(P4197&lt;&gt;"", TODAY(), "")</f>
        <v/>
      </c>
      <c r="S4197" s="78">
        <f>IF(AND(K4197&lt;&gt;"", R4197&lt;&gt;""), R4197-K4197, "")</f>
        <v/>
      </c>
      <c r="T4197" s="78" t="n"/>
      <c r="U4197" s="92">
        <f>IF(ISBLANK(P4197),"",IF(C4197="Buy",Q4197-M4197+T4197, IF(C4197="Sell",M4197-Q4197-T4197, X)))</f>
        <v/>
      </c>
      <c r="V4197" s="81">
        <f>IF(ISBLANK(P4197),"",U4197/N4197)</f>
        <v/>
      </c>
      <c r="W4197" s="81">
        <f>IF(ISBLANK(P4197),"",IF(S4197=0,(365/0.5)*V4197,(365/S4197)*V4197))</f>
        <v/>
      </c>
      <c r="X4197" s="75" t="n"/>
      <c r="Y4197" s="77" t="n"/>
      <c r="Z4197" s="77" t="n"/>
      <c r="AA4197" s="75" t="n"/>
      <c r="AB4197" s="75" t="n"/>
      <c r="AC4197" s="6" t="n"/>
      <c r="AD4197" s="75" t="n"/>
      <c r="AE4197" s="75" t="n"/>
      <c r="AF4197" s="75" t="n"/>
    </row>
    <row r="4198" ht="15.75" customHeight="1" s="133">
      <c r="A4198" s="75" t="n"/>
      <c r="B4198" s="75" t="n"/>
      <c r="C4198" s="75" t="n"/>
      <c r="D4198" s="75" t="n"/>
      <c r="E4198" s="76" t="n"/>
      <c r="F4198" s="77" t="n"/>
      <c r="G4198" s="75" t="n"/>
      <c r="H4198" s="75">
        <f>IF(ISBLANK(E4198),"",IF(OR(D4198="Butterfly",D4198="Butterfly ",D4198="Iron Fly", D4198="Iron Fly "),LEN(E4198)-LEN(SUBSTITUTE(E4198,"/",""))+2,LEN(E4198)-LEN(SUBSTITUTE(E4198,"/",""))+1))</f>
        <v/>
      </c>
      <c r="I4198" s="78">
        <f>IF(ISBLANK(G4198),"",IF(D4198="Stock","0",Key!$A$3*H4198*G4198))</f>
        <v/>
      </c>
      <c r="J4198" s="78">
        <f>IF(ISBLANK(E4198),"",IF(ISNUMBER(SEARCH("/",E4198)), IF(LEN(E4198)-LEN(SUBSTITUTE(E4198,"/",""))=1,(RIGHT(E4198,LEN(E4198)-FIND("/",E4198)))-(LEFT(E4198,FIND("/",E4198)-1)),(MID(E4198, SEARCH("/",E4198) + 1, SEARCH("/",E4198, SEARCH("/",E4198)+1) - SEARCH("/",E4198) - 1))-(LEFT(E4198,FIND("/",E4198)-1))), "NA"))</f>
        <v/>
      </c>
      <c r="K4198" s="79">
        <f>IF(A4198&lt;&gt;"", IF(ISBLANK(L4198), TODAY(), K4198), "")</f>
        <v/>
      </c>
      <c r="L4198" s="78" t="n"/>
      <c r="M4198" s="78">
        <f>IF(ISBLANK(L4198),"",IF(D4198="Stock",IF(C4198="Buy",L4198*G4198,IF(C4198="Sell",(L4198*G4198)-I4198, X)),IF(C4198="Buy",(L4198*G4198*100)+I4198,IF(C4198="Sell",(L4198*G4198*100)-I4198, X))))</f>
        <v/>
      </c>
      <c r="N4198" s="78">
        <f>IF(ISBLANK(L4198),"",IF(AND(C4198="Sell",D4198="Stock"),M4198,IF(ISBLANK(L4198),"",IF(C4198="Buy",M4198, IF(AND(C4198="Sell",J4198="NA"),(E4198*G4198*100*0.1)+I4198, IF(C4198="Sell",(J4198-L4198)*(100*G4198)+I4198))))))</f>
        <v/>
      </c>
      <c r="O4198" s="75" t="n"/>
      <c r="P4198" s="75" t="n"/>
      <c r="Q4198" s="75">
        <f>IF(ISBLANK(P4198),"",IF(D4198="Stock",P4198*G4198,IF(P4198=0,"0",G4198*P4198*100-(G4198*$AF$14))))</f>
        <v/>
      </c>
      <c r="R4198" s="79">
        <f>IF(P4198&lt;&gt;"", TODAY(), "")</f>
        <v/>
      </c>
      <c r="S4198" s="78">
        <f>IF(AND(K4198&lt;&gt;"", R4198&lt;&gt;""), R4198-K4198, "")</f>
        <v/>
      </c>
      <c r="T4198" s="78" t="n"/>
      <c r="U4198" s="92">
        <f>IF(ISBLANK(P4198),"",IF(C4198="Buy",Q4198-M4198+T4198, IF(C4198="Sell",M4198-Q4198-T4198, X)))</f>
        <v/>
      </c>
      <c r="V4198" s="81">
        <f>IF(ISBLANK(P4198),"",U4198/N4198)</f>
        <v/>
      </c>
      <c r="W4198" s="81">
        <f>IF(ISBLANK(P4198),"",IF(S4198=0,(365/0.5)*V4198,(365/S4198)*V4198))</f>
        <v/>
      </c>
      <c r="X4198" s="75" t="n"/>
      <c r="Y4198" s="77" t="n"/>
      <c r="Z4198" s="77" t="n"/>
      <c r="AA4198" s="75" t="n"/>
      <c r="AB4198" s="75" t="n"/>
      <c r="AC4198" s="6" t="n"/>
      <c r="AD4198" s="75" t="n"/>
      <c r="AE4198" s="75" t="n"/>
      <c r="AF4198" s="75" t="n"/>
    </row>
    <row r="4199" ht="15.75" customHeight="1" s="133">
      <c r="A4199" s="75" t="n"/>
      <c r="B4199" s="75" t="n"/>
      <c r="C4199" s="75" t="n"/>
      <c r="D4199" s="75" t="n"/>
      <c r="E4199" s="76" t="n"/>
      <c r="F4199" s="77" t="n"/>
      <c r="G4199" s="75" t="n"/>
      <c r="H4199" s="75">
        <f>IF(ISBLANK(E4199),"",IF(OR(D4199="Butterfly",D4199="Butterfly ",D4199="Iron Fly", D4199="Iron Fly "),LEN(E4199)-LEN(SUBSTITUTE(E4199,"/",""))+2,LEN(E4199)-LEN(SUBSTITUTE(E4199,"/",""))+1))</f>
        <v/>
      </c>
      <c r="I4199" s="78">
        <f>IF(ISBLANK(G4199),"",IF(D4199="Stock","0",Key!$A$3*H4199*G4199))</f>
        <v/>
      </c>
      <c r="J4199" s="78">
        <f>IF(ISBLANK(E4199),"",IF(ISNUMBER(SEARCH("/",E4199)), IF(LEN(E4199)-LEN(SUBSTITUTE(E4199,"/",""))=1,(RIGHT(E4199,LEN(E4199)-FIND("/",E4199)))-(LEFT(E4199,FIND("/",E4199)-1)),(MID(E4199, SEARCH("/",E4199) + 1, SEARCH("/",E4199, SEARCH("/",E4199)+1) - SEARCH("/",E4199) - 1))-(LEFT(E4199,FIND("/",E4199)-1))), "NA"))</f>
        <v/>
      </c>
      <c r="K4199" s="79">
        <f>IF(A4199&lt;&gt;"", IF(ISBLANK(L4199), TODAY(), K4199), "")</f>
        <v/>
      </c>
      <c r="L4199" s="78" t="n"/>
      <c r="M4199" s="78">
        <f>IF(ISBLANK(L4199),"",IF(D4199="Stock",IF(C4199="Buy",L4199*G4199,IF(C4199="Sell",(L4199*G4199)-I4199, X)),IF(C4199="Buy",(L4199*G4199*100)+I4199,IF(C4199="Sell",(L4199*G4199*100)-I4199, X))))</f>
        <v/>
      </c>
      <c r="N4199" s="78">
        <f>IF(ISBLANK(L4199),"",IF(AND(C4199="Sell",D4199="Stock"),M4199,IF(ISBLANK(L4199),"",IF(C4199="Buy",M4199, IF(AND(C4199="Sell",J4199="NA"),(E4199*G4199*100*0.1)+I4199, IF(C4199="Sell",(J4199-L4199)*(100*G4199)+I4199))))))</f>
        <v/>
      </c>
      <c r="O4199" s="75" t="n"/>
      <c r="P4199" s="75" t="n"/>
      <c r="Q4199" s="75">
        <f>IF(ISBLANK(P4199),"",IF(D4199="Stock",P4199*G4199,IF(P4199=0,"0",G4199*P4199*100-(G4199*$AF$14))))</f>
        <v/>
      </c>
      <c r="R4199" s="79">
        <f>IF(P4199&lt;&gt;"", TODAY(), "")</f>
        <v/>
      </c>
      <c r="S4199" s="78">
        <f>IF(AND(K4199&lt;&gt;"", R4199&lt;&gt;""), R4199-K4199, "")</f>
        <v/>
      </c>
      <c r="T4199" s="78" t="n"/>
      <c r="U4199" s="92">
        <f>IF(ISBLANK(P4199),"",IF(C4199="Buy",Q4199-M4199+T4199, IF(C4199="Sell",M4199-Q4199-T4199, X)))</f>
        <v/>
      </c>
      <c r="V4199" s="81">
        <f>IF(ISBLANK(P4199),"",U4199/N4199)</f>
        <v/>
      </c>
      <c r="W4199" s="81">
        <f>IF(ISBLANK(P4199),"",IF(S4199=0,(365/0.5)*V4199,(365/S4199)*V4199))</f>
        <v/>
      </c>
      <c r="X4199" s="75" t="n"/>
      <c r="Y4199" s="77" t="n"/>
      <c r="Z4199" s="77" t="n"/>
      <c r="AA4199" s="75" t="n"/>
      <c r="AB4199" s="75" t="n"/>
      <c r="AC4199" s="6" t="n"/>
      <c r="AD4199" s="75" t="n"/>
      <c r="AE4199" s="75" t="n"/>
      <c r="AF4199" s="75" t="n"/>
    </row>
    <row r="4200" ht="15.75" customHeight="1" s="133">
      <c r="A4200" s="75" t="n"/>
      <c r="B4200" s="75" t="n"/>
      <c r="C4200" s="75" t="n"/>
      <c r="D4200" s="75" t="n"/>
      <c r="E4200" s="76" t="n"/>
      <c r="F4200" s="77" t="n"/>
      <c r="G4200" s="75" t="n"/>
      <c r="H4200" s="75">
        <f>IF(ISBLANK(E4200),"",IF(OR(D4200="Butterfly",D4200="Butterfly ",D4200="Iron Fly", D4200="Iron Fly "),LEN(E4200)-LEN(SUBSTITUTE(E4200,"/",""))+2,LEN(E4200)-LEN(SUBSTITUTE(E4200,"/",""))+1))</f>
        <v/>
      </c>
      <c r="I4200" s="78">
        <f>IF(ISBLANK(G4200),"",IF(D4200="Stock","0",Key!$A$3*H4200*G4200))</f>
        <v/>
      </c>
      <c r="J4200" s="78">
        <f>IF(ISBLANK(E4200),"",IF(ISNUMBER(SEARCH("/",E4200)), IF(LEN(E4200)-LEN(SUBSTITUTE(E4200,"/",""))=1,(RIGHT(E4200,LEN(E4200)-FIND("/",E4200)))-(LEFT(E4200,FIND("/",E4200)-1)),(MID(E4200, SEARCH("/",E4200) + 1, SEARCH("/",E4200, SEARCH("/",E4200)+1) - SEARCH("/",E4200) - 1))-(LEFT(E4200,FIND("/",E4200)-1))), "NA"))</f>
        <v/>
      </c>
      <c r="K4200" s="79">
        <f>IF(A4200&lt;&gt;"", IF(ISBLANK(L4200), TODAY(), K4200), "")</f>
        <v/>
      </c>
      <c r="L4200" s="78" t="n"/>
      <c r="M4200" s="78">
        <f>IF(ISBLANK(L4200),"",IF(D4200="Stock",IF(C4200="Buy",L4200*G4200,IF(C4200="Sell",(L4200*G4200)-I4200, X)),IF(C4200="Buy",(L4200*G4200*100)+I4200,IF(C4200="Sell",(L4200*G4200*100)-I4200, X))))</f>
        <v/>
      </c>
      <c r="N4200" s="78">
        <f>IF(ISBLANK(L4200),"",IF(AND(C4200="Sell",D4200="Stock"),M4200,IF(ISBLANK(L4200),"",IF(C4200="Buy",M4200, IF(AND(C4200="Sell",J4200="NA"),(E4200*G4200*100*0.1)+I4200, IF(C4200="Sell",(J4200-L4200)*(100*G4200)+I4200))))))</f>
        <v/>
      </c>
      <c r="O4200" s="75" t="n"/>
      <c r="P4200" s="75" t="n"/>
      <c r="Q4200" s="75">
        <f>IF(ISBLANK(P4200),"",IF(D4200="Stock",P4200*G4200,IF(P4200=0,"0",G4200*P4200*100-(G4200*$AF$14))))</f>
        <v/>
      </c>
      <c r="R4200" s="79">
        <f>IF(P4200&lt;&gt;"", TODAY(), "")</f>
        <v/>
      </c>
      <c r="S4200" s="78">
        <f>IF(AND(K4200&lt;&gt;"", R4200&lt;&gt;""), R4200-K4200, "")</f>
        <v/>
      </c>
      <c r="T4200" s="78" t="n"/>
      <c r="U4200" s="92">
        <f>IF(ISBLANK(P4200),"",IF(C4200="Buy",Q4200-M4200+T4200, IF(C4200="Sell",M4200-Q4200-T4200, X)))</f>
        <v/>
      </c>
      <c r="V4200" s="81">
        <f>IF(ISBLANK(P4200),"",U4200/N4200)</f>
        <v/>
      </c>
      <c r="W4200" s="81">
        <f>IF(ISBLANK(P4200),"",IF(S4200=0,(365/0.5)*V4200,(365/S4200)*V4200))</f>
        <v/>
      </c>
      <c r="X4200" s="75" t="n"/>
      <c r="Y4200" s="77" t="n"/>
      <c r="Z4200" s="77" t="n"/>
      <c r="AA4200" s="75" t="n"/>
      <c r="AB4200" s="75" t="n"/>
      <c r="AC4200" s="6" t="n"/>
      <c r="AD4200" s="75" t="n"/>
      <c r="AE4200" s="75" t="n"/>
      <c r="AF4200" s="75" t="n"/>
    </row>
    <row r="4201" ht="15.75" customHeight="1" s="133">
      <c r="A4201" s="75" t="n"/>
      <c r="B4201" s="75" t="n"/>
      <c r="C4201" s="75" t="n"/>
      <c r="D4201" s="75" t="n"/>
      <c r="E4201" s="76" t="n"/>
      <c r="F4201" s="77" t="n"/>
      <c r="G4201" s="75" t="n"/>
      <c r="H4201" s="75">
        <f>IF(ISBLANK(E4201),"",IF(OR(D4201="Butterfly",D4201="Butterfly ",D4201="Iron Fly", D4201="Iron Fly "),LEN(E4201)-LEN(SUBSTITUTE(E4201,"/",""))+2,LEN(E4201)-LEN(SUBSTITUTE(E4201,"/",""))+1))</f>
        <v/>
      </c>
      <c r="I4201" s="78">
        <f>IF(ISBLANK(G4201),"",IF(D4201="Stock","0",Key!$A$3*H4201*G4201))</f>
        <v/>
      </c>
      <c r="J4201" s="78">
        <f>IF(ISBLANK(E4201),"",IF(ISNUMBER(SEARCH("/",E4201)), IF(LEN(E4201)-LEN(SUBSTITUTE(E4201,"/",""))=1,(RIGHT(E4201,LEN(E4201)-FIND("/",E4201)))-(LEFT(E4201,FIND("/",E4201)-1)),(MID(E4201, SEARCH("/",E4201) + 1, SEARCH("/",E4201, SEARCH("/",E4201)+1) - SEARCH("/",E4201) - 1))-(LEFT(E4201,FIND("/",E4201)-1))), "NA"))</f>
        <v/>
      </c>
      <c r="K4201" s="79">
        <f>IF(A4201&lt;&gt;"", IF(ISBLANK(L4201), TODAY(), K4201), "")</f>
        <v/>
      </c>
      <c r="L4201" s="78" t="n"/>
      <c r="M4201" s="78">
        <f>IF(ISBLANK(L4201),"",IF(D4201="Stock",IF(C4201="Buy",L4201*G4201,IF(C4201="Sell",(L4201*G4201)-I4201, X)),IF(C4201="Buy",(L4201*G4201*100)+I4201,IF(C4201="Sell",(L4201*G4201*100)-I4201, X))))</f>
        <v/>
      </c>
      <c r="N4201" s="78">
        <f>IF(ISBLANK(L4201),"",IF(AND(C4201="Sell",D4201="Stock"),M4201,IF(ISBLANK(L4201),"",IF(C4201="Buy",M4201, IF(AND(C4201="Sell",J4201="NA"),(E4201*G4201*100*0.1)+I4201, IF(C4201="Sell",(J4201-L4201)*(100*G4201)+I4201))))))</f>
        <v/>
      </c>
      <c r="O4201" s="75" t="n"/>
      <c r="P4201" s="75" t="n"/>
      <c r="Q4201" s="75">
        <f>IF(ISBLANK(P4201),"",IF(D4201="Stock",P4201*G4201,IF(P4201=0,"0",G4201*P4201*100-(G4201*$AF$14))))</f>
        <v/>
      </c>
      <c r="R4201" s="79">
        <f>IF(P4201&lt;&gt;"", TODAY(), "")</f>
        <v/>
      </c>
      <c r="S4201" s="78">
        <f>IF(AND(K4201&lt;&gt;"", R4201&lt;&gt;""), R4201-K4201, "")</f>
        <v/>
      </c>
      <c r="T4201" s="78" t="n"/>
      <c r="U4201" s="92">
        <f>IF(ISBLANK(P4201),"",IF(C4201="Buy",Q4201-M4201+T4201, IF(C4201="Sell",M4201-Q4201-T4201, X)))</f>
        <v/>
      </c>
      <c r="V4201" s="81">
        <f>IF(ISBLANK(P4201),"",U4201/N4201)</f>
        <v/>
      </c>
      <c r="W4201" s="81">
        <f>IF(ISBLANK(P4201),"",IF(S4201=0,(365/0.5)*V4201,(365/S4201)*V4201))</f>
        <v/>
      </c>
      <c r="X4201" s="75" t="n"/>
      <c r="Y4201" s="77" t="n"/>
      <c r="Z4201" s="77" t="n"/>
      <c r="AA4201" s="75" t="n"/>
      <c r="AB4201" s="75" t="n"/>
      <c r="AC4201" s="6" t="n"/>
      <c r="AD4201" s="75" t="n"/>
      <c r="AE4201" s="75" t="n"/>
      <c r="AF4201" s="75" t="n"/>
    </row>
    <row r="4202" ht="15.75" customHeight="1" s="133">
      <c r="A4202" s="75" t="n"/>
      <c r="B4202" s="75" t="n"/>
      <c r="C4202" s="75" t="n"/>
      <c r="D4202" s="75" t="n"/>
      <c r="E4202" s="76" t="n"/>
      <c r="F4202" s="77" t="n"/>
      <c r="G4202" s="75" t="n"/>
      <c r="H4202" s="75">
        <f>IF(ISBLANK(E4202),"",IF(OR(D4202="Butterfly",D4202="Butterfly ",D4202="Iron Fly", D4202="Iron Fly "),LEN(E4202)-LEN(SUBSTITUTE(E4202,"/",""))+2,LEN(E4202)-LEN(SUBSTITUTE(E4202,"/",""))+1))</f>
        <v/>
      </c>
      <c r="I4202" s="78">
        <f>IF(ISBLANK(G4202),"",IF(D4202="Stock","0",Key!$A$3*H4202*G4202))</f>
        <v/>
      </c>
      <c r="J4202" s="78">
        <f>IF(ISBLANK(E4202),"",IF(ISNUMBER(SEARCH("/",E4202)), IF(LEN(E4202)-LEN(SUBSTITUTE(E4202,"/",""))=1,(RIGHT(E4202,LEN(E4202)-FIND("/",E4202)))-(LEFT(E4202,FIND("/",E4202)-1)),(MID(E4202, SEARCH("/",E4202) + 1, SEARCH("/",E4202, SEARCH("/",E4202)+1) - SEARCH("/",E4202) - 1))-(LEFT(E4202,FIND("/",E4202)-1))), "NA"))</f>
        <v/>
      </c>
      <c r="K4202" s="79">
        <f>IF(A4202&lt;&gt;"", IF(ISBLANK(L4202), TODAY(), K4202), "")</f>
        <v/>
      </c>
      <c r="L4202" s="78" t="n"/>
      <c r="M4202" s="78">
        <f>IF(ISBLANK(L4202),"",IF(D4202="Stock",IF(C4202="Buy",L4202*G4202,IF(C4202="Sell",(L4202*G4202)-I4202, X)),IF(C4202="Buy",(L4202*G4202*100)+I4202,IF(C4202="Sell",(L4202*G4202*100)-I4202, X))))</f>
        <v/>
      </c>
      <c r="N4202" s="78">
        <f>IF(ISBLANK(L4202),"",IF(AND(C4202="Sell",D4202="Stock"),M4202,IF(ISBLANK(L4202),"",IF(C4202="Buy",M4202, IF(AND(C4202="Sell",J4202="NA"),(E4202*G4202*100*0.1)+I4202, IF(C4202="Sell",(J4202-L4202)*(100*G4202)+I4202))))))</f>
        <v/>
      </c>
      <c r="O4202" s="75" t="n"/>
      <c r="P4202" s="75" t="n"/>
      <c r="Q4202" s="75">
        <f>IF(ISBLANK(P4202),"",IF(D4202="Stock",P4202*G4202,IF(P4202=0,"0",G4202*P4202*100-(G4202*$AF$14))))</f>
        <v/>
      </c>
      <c r="R4202" s="79">
        <f>IF(P4202&lt;&gt;"", TODAY(), "")</f>
        <v/>
      </c>
      <c r="S4202" s="78">
        <f>IF(AND(K4202&lt;&gt;"", R4202&lt;&gt;""), R4202-K4202, "")</f>
        <v/>
      </c>
      <c r="T4202" s="78" t="n"/>
      <c r="U4202" s="92">
        <f>IF(ISBLANK(P4202),"",IF(C4202="Buy",Q4202-M4202+T4202, IF(C4202="Sell",M4202-Q4202-T4202, X)))</f>
        <v/>
      </c>
      <c r="V4202" s="81">
        <f>IF(ISBLANK(P4202),"",U4202/N4202)</f>
        <v/>
      </c>
      <c r="W4202" s="81">
        <f>IF(ISBLANK(P4202),"",IF(S4202=0,(365/0.5)*V4202,(365/S4202)*V4202))</f>
        <v/>
      </c>
      <c r="X4202" s="75" t="n"/>
      <c r="Y4202" s="77" t="n"/>
      <c r="Z4202" s="77" t="n"/>
      <c r="AA4202" s="75" t="n"/>
      <c r="AB4202" s="75" t="n"/>
      <c r="AC4202" s="6" t="n"/>
      <c r="AD4202" s="75" t="n"/>
      <c r="AE4202" s="75" t="n"/>
      <c r="AF4202" s="75" t="n"/>
    </row>
    <row r="4203" ht="15.75" customHeight="1" s="133">
      <c r="A4203" s="75" t="n"/>
      <c r="B4203" s="75" t="n"/>
      <c r="C4203" s="75" t="n"/>
      <c r="D4203" s="75" t="n"/>
      <c r="E4203" s="76" t="n"/>
      <c r="F4203" s="77" t="n"/>
      <c r="G4203" s="75" t="n"/>
      <c r="H4203" s="75">
        <f>IF(ISBLANK(E4203),"",IF(OR(D4203="Butterfly",D4203="Butterfly ",D4203="Iron Fly", D4203="Iron Fly "),LEN(E4203)-LEN(SUBSTITUTE(E4203,"/",""))+2,LEN(E4203)-LEN(SUBSTITUTE(E4203,"/",""))+1))</f>
        <v/>
      </c>
      <c r="I4203" s="78">
        <f>IF(ISBLANK(G4203),"",IF(D4203="Stock","0",Key!$A$3*H4203*G4203))</f>
        <v/>
      </c>
      <c r="J4203" s="78">
        <f>IF(ISBLANK(E4203),"",IF(ISNUMBER(SEARCH("/",E4203)), IF(LEN(E4203)-LEN(SUBSTITUTE(E4203,"/",""))=1,(RIGHT(E4203,LEN(E4203)-FIND("/",E4203)))-(LEFT(E4203,FIND("/",E4203)-1)),(MID(E4203, SEARCH("/",E4203) + 1, SEARCH("/",E4203, SEARCH("/",E4203)+1) - SEARCH("/",E4203) - 1))-(LEFT(E4203,FIND("/",E4203)-1))), "NA"))</f>
        <v/>
      </c>
      <c r="K4203" s="79">
        <f>IF(A4203&lt;&gt;"", IF(ISBLANK(L4203), TODAY(), K4203), "")</f>
        <v/>
      </c>
      <c r="L4203" s="78" t="n"/>
      <c r="M4203" s="78">
        <f>IF(ISBLANK(L4203),"",IF(D4203="Stock",IF(C4203="Buy",L4203*G4203,IF(C4203="Sell",(L4203*G4203)-I4203, X)),IF(C4203="Buy",(L4203*G4203*100)+I4203,IF(C4203="Sell",(L4203*G4203*100)-I4203, X))))</f>
        <v/>
      </c>
      <c r="N4203" s="78">
        <f>IF(ISBLANK(L4203),"",IF(AND(C4203="Sell",D4203="Stock"),M4203,IF(ISBLANK(L4203),"",IF(C4203="Buy",M4203, IF(AND(C4203="Sell",J4203="NA"),(E4203*G4203*100*0.1)+I4203, IF(C4203="Sell",(J4203-L4203)*(100*G4203)+I4203))))))</f>
        <v/>
      </c>
      <c r="O4203" s="75" t="n"/>
      <c r="P4203" s="75" t="n"/>
      <c r="Q4203" s="75">
        <f>IF(ISBLANK(P4203),"",IF(D4203="Stock",P4203*G4203,IF(P4203=0,"0",G4203*P4203*100-(G4203*$AF$14))))</f>
        <v/>
      </c>
      <c r="R4203" s="79">
        <f>IF(P4203&lt;&gt;"", TODAY(), "")</f>
        <v/>
      </c>
      <c r="S4203" s="78">
        <f>IF(AND(K4203&lt;&gt;"", R4203&lt;&gt;""), R4203-K4203, "")</f>
        <v/>
      </c>
      <c r="T4203" s="78" t="n"/>
      <c r="U4203" s="92">
        <f>IF(ISBLANK(P4203),"",IF(C4203="Buy",Q4203-M4203+T4203, IF(C4203="Sell",M4203-Q4203-T4203, X)))</f>
        <v/>
      </c>
      <c r="V4203" s="81">
        <f>IF(ISBLANK(P4203),"",U4203/N4203)</f>
        <v/>
      </c>
      <c r="W4203" s="81">
        <f>IF(ISBLANK(P4203),"",IF(S4203=0,(365/0.5)*V4203,(365/S4203)*V4203))</f>
        <v/>
      </c>
      <c r="X4203" s="75" t="n"/>
      <c r="Y4203" s="77" t="n"/>
      <c r="Z4203" s="77" t="n"/>
      <c r="AA4203" s="75" t="n"/>
      <c r="AB4203" s="75" t="n"/>
      <c r="AC4203" s="6" t="n"/>
      <c r="AD4203" s="75" t="n"/>
      <c r="AE4203" s="75" t="n"/>
      <c r="AF4203" s="75" t="n"/>
    </row>
    <row r="4204" ht="15.75" customHeight="1" s="133">
      <c r="A4204" s="75" t="n"/>
      <c r="B4204" s="75" t="n"/>
      <c r="C4204" s="75" t="n"/>
      <c r="D4204" s="75" t="n"/>
      <c r="E4204" s="76" t="n"/>
      <c r="F4204" s="77" t="n"/>
      <c r="G4204" s="75" t="n"/>
      <c r="H4204" s="75">
        <f>IF(ISBLANK(E4204),"",IF(OR(D4204="Butterfly",D4204="Butterfly ",D4204="Iron Fly", D4204="Iron Fly "),LEN(E4204)-LEN(SUBSTITUTE(E4204,"/",""))+2,LEN(E4204)-LEN(SUBSTITUTE(E4204,"/",""))+1))</f>
        <v/>
      </c>
      <c r="I4204" s="78">
        <f>IF(ISBLANK(G4204),"",IF(D4204="Stock","0",Key!$A$3*H4204*G4204))</f>
        <v/>
      </c>
      <c r="J4204" s="78">
        <f>IF(ISBLANK(E4204),"",IF(ISNUMBER(SEARCH("/",E4204)), IF(LEN(E4204)-LEN(SUBSTITUTE(E4204,"/",""))=1,(RIGHT(E4204,LEN(E4204)-FIND("/",E4204)))-(LEFT(E4204,FIND("/",E4204)-1)),(MID(E4204, SEARCH("/",E4204) + 1, SEARCH("/",E4204, SEARCH("/",E4204)+1) - SEARCH("/",E4204) - 1))-(LEFT(E4204,FIND("/",E4204)-1))), "NA"))</f>
        <v/>
      </c>
      <c r="K4204" s="79">
        <f>IF(A4204&lt;&gt;"", IF(ISBLANK(L4204), TODAY(), K4204), "")</f>
        <v/>
      </c>
      <c r="L4204" s="78" t="n"/>
      <c r="M4204" s="78">
        <f>IF(ISBLANK(L4204),"",IF(D4204="Stock",IF(C4204="Buy",L4204*G4204,IF(C4204="Sell",(L4204*G4204)-I4204, X)),IF(C4204="Buy",(L4204*G4204*100)+I4204,IF(C4204="Sell",(L4204*G4204*100)-I4204, X))))</f>
        <v/>
      </c>
      <c r="N4204" s="78">
        <f>IF(ISBLANK(L4204),"",IF(AND(C4204="Sell",D4204="Stock"),M4204,IF(ISBLANK(L4204),"",IF(C4204="Buy",M4204, IF(AND(C4204="Sell",J4204="NA"),(E4204*G4204*100*0.1)+I4204, IF(C4204="Sell",(J4204-L4204)*(100*G4204)+I4204))))))</f>
        <v/>
      </c>
      <c r="O4204" s="75" t="n"/>
      <c r="P4204" s="75" t="n"/>
      <c r="Q4204" s="75">
        <f>IF(ISBLANK(P4204),"",IF(D4204="Stock",P4204*G4204,IF(P4204=0,"0",G4204*P4204*100-(G4204*$AF$14))))</f>
        <v/>
      </c>
      <c r="R4204" s="79">
        <f>IF(P4204&lt;&gt;"", TODAY(), "")</f>
        <v/>
      </c>
      <c r="S4204" s="78">
        <f>IF(AND(K4204&lt;&gt;"", R4204&lt;&gt;""), R4204-K4204, "")</f>
        <v/>
      </c>
      <c r="T4204" s="78" t="n"/>
      <c r="U4204" s="92">
        <f>IF(ISBLANK(P4204),"",IF(C4204="Buy",Q4204-M4204+T4204, IF(C4204="Sell",M4204-Q4204-T4204, X)))</f>
        <v/>
      </c>
      <c r="V4204" s="81">
        <f>IF(ISBLANK(P4204),"",U4204/N4204)</f>
        <v/>
      </c>
      <c r="W4204" s="81">
        <f>IF(ISBLANK(P4204),"",IF(S4204=0,(365/0.5)*V4204,(365/S4204)*V4204))</f>
        <v/>
      </c>
      <c r="X4204" s="75" t="n"/>
      <c r="Y4204" s="77" t="n"/>
      <c r="Z4204" s="77" t="n"/>
      <c r="AA4204" s="75" t="n"/>
      <c r="AB4204" s="75" t="n"/>
      <c r="AC4204" s="6" t="n"/>
      <c r="AD4204" s="75" t="n"/>
      <c r="AE4204" s="75" t="n"/>
      <c r="AF4204" s="75" t="n"/>
    </row>
    <row r="4205" ht="15.75" customHeight="1" s="133">
      <c r="A4205" s="75" t="n"/>
      <c r="B4205" s="75" t="n"/>
      <c r="C4205" s="75" t="n"/>
      <c r="D4205" s="75" t="n"/>
      <c r="E4205" s="76" t="n"/>
      <c r="F4205" s="77" t="n"/>
      <c r="G4205" s="75" t="n"/>
      <c r="H4205" s="75">
        <f>IF(ISBLANK(E4205),"",IF(OR(D4205="Butterfly",D4205="Butterfly ",D4205="Iron Fly", D4205="Iron Fly "),LEN(E4205)-LEN(SUBSTITUTE(E4205,"/",""))+2,LEN(E4205)-LEN(SUBSTITUTE(E4205,"/",""))+1))</f>
        <v/>
      </c>
      <c r="I4205" s="78">
        <f>IF(ISBLANK(G4205),"",IF(D4205="Stock","0",Key!$A$3*H4205*G4205))</f>
        <v/>
      </c>
      <c r="J4205" s="78">
        <f>IF(ISBLANK(E4205),"",IF(ISNUMBER(SEARCH("/",E4205)), IF(LEN(E4205)-LEN(SUBSTITUTE(E4205,"/",""))=1,(RIGHT(E4205,LEN(E4205)-FIND("/",E4205)))-(LEFT(E4205,FIND("/",E4205)-1)),(MID(E4205, SEARCH("/",E4205) + 1, SEARCH("/",E4205, SEARCH("/",E4205)+1) - SEARCH("/",E4205) - 1))-(LEFT(E4205,FIND("/",E4205)-1))), "NA"))</f>
        <v/>
      </c>
      <c r="K4205" s="79">
        <f>IF(A4205&lt;&gt;"", IF(ISBLANK(L4205), TODAY(), K4205), "")</f>
        <v/>
      </c>
      <c r="L4205" s="78" t="n"/>
      <c r="M4205" s="78">
        <f>IF(ISBLANK(L4205),"",IF(D4205="Stock",IF(C4205="Buy",L4205*G4205,IF(C4205="Sell",(L4205*G4205)-I4205, X)),IF(C4205="Buy",(L4205*G4205*100)+I4205,IF(C4205="Sell",(L4205*G4205*100)-I4205, X))))</f>
        <v/>
      </c>
      <c r="N4205" s="78">
        <f>IF(ISBLANK(L4205),"",IF(AND(C4205="Sell",D4205="Stock"),M4205,IF(ISBLANK(L4205),"",IF(C4205="Buy",M4205, IF(AND(C4205="Sell",J4205="NA"),(E4205*G4205*100*0.1)+I4205, IF(C4205="Sell",(J4205-L4205)*(100*G4205)+I4205))))))</f>
        <v/>
      </c>
      <c r="O4205" s="75" t="n"/>
      <c r="P4205" s="75" t="n"/>
      <c r="Q4205" s="75">
        <f>IF(ISBLANK(P4205),"",IF(D4205="Stock",P4205*G4205,IF(P4205=0,"0",G4205*P4205*100-(G4205*$AF$14))))</f>
        <v/>
      </c>
      <c r="R4205" s="79">
        <f>IF(P4205&lt;&gt;"", TODAY(), "")</f>
        <v/>
      </c>
      <c r="S4205" s="78">
        <f>IF(AND(K4205&lt;&gt;"", R4205&lt;&gt;""), R4205-K4205, "")</f>
        <v/>
      </c>
      <c r="T4205" s="78" t="n"/>
      <c r="U4205" s="92">
        <f>IF(ISBLANK(P4205),"",IF(C4205="Buy",Q4205-M4205+T4205, IF(C4205="Sell",M4205-Q4205-T4205, X)))</f>
        <v/>
      </c>
      <c r="V4205" s="81">
        <f>IF(ISBLANK(P4205),"",U4205/N4205)</f>
        <v/>
      </c>
      <c r="W4205" s="81">
        <f>IF(ISBLANK(P4205),"",IF(S4205=0,(365/0.5)*V4205,(365/S4205)*V4205))</f>
        <v/>
      </c>
      <c r="X4205" s="75" t="n"/>
      <c r="Y4205" s="77" t="n"/>
      <c r="Z4205" s="77" t="n"/>
      <c r="AA4205" s="75" t="n"/>
      <c r="AB4205" s="75" t="n"/>
      <c r="AC4205" s="6" t="n"/>
      <c r="AD4205" s="75" t="n"/>
      <c r="AE4205" s="75" t="n"/>
      <c r="AF4205" s="75" t="n"/>
    </row>
    <row r="4206" ht="15.75" customHeight="1" s="133">
      <c r="A4206" s="75" t="n"/>
      <c r="B4206" s="75" t="n"/>
      <c r="C4206" s="75" t="n"/>
      <c r="D4206" s="75" t="n"/>
      <c r="E4206" s="76" t="n"/>
      <c r="F4206" s="77" t="n"/>
      <c r="G4206" s="75" t="n"/>
      <c r="H4206" s="75">
        <f>IF(ISBLANK(E4206),"",IF(OR(D4206="Butterfly",D4206="Butterfly ",D4206="Iron Fly", D4206="Iron Fly "),LEN(E4206)-LEN(SUBSTITUTE(E4206,"/",""))+2,LEN(E4206)-LEN(SUBSTITUTE(E4206,"/",""))+1))</f>
        <v/>
      </c>
      <c r="I4206" s="78">
        <f>IF(ISBLANK(G4206),"",IF(D4206="Stock","0",Key!$A$3*H4206*G4206))</f>
        <v/>
      </c>
      <c r="J4206" s="78">
        <f>IF(ISBLANK(E4206),"",IF(ISNUMBER(SEARCH("/",E4206)), IF(LEN(E4206)-LEN(SUBSTITUTE(E4206,"/",""))=1,(RIGHT(E4206,LEN(E4206)-FIND("/",E4206)))-(LEFT(E4206,FIND("/",E4206)-1)),(MID(E4206, SEARCH("/",E4206) + 1, SEARCH("/",E4206, SEARCH("/",E4206)+1) - SEARCH("/",E4206) - 1))-(LEFT(E4206,FIND("/",E4206)-1))), "NA"))</f>
        <v/>
      </c>
      <c r="K4206" s="79">
        <f>IF(A4206&lt;&gt;"", IF(ISBLANK(L4206), TODAY(), K4206), "")</f>
        <v/>
      </c>
      <c r="L4206" s="78" t="n"/>
      <c r="M4206" s="78">
        <f>IF(ISBLANK(L4206),"",IF(D4206="Stock",IF(C4206="Buy",L4206*G4206,IF(C4206="Sell",(L4206*G4206)-I4206, X)),IF(C4206="Buy",(L4206*G4206*100)+I4206,IF(C4206="Sell",(L4206*G4206*100)-I4206, X))))</f>
        <v/>
      </c>
      <c r="N4206" s="78">
        <f>IF(ISBLANK(L4206),"",IF(AND(C4206="Sell",D4206="Stock"),M4206,IF(ISBLANK(L4206),"",IF(C4206="Buy",M4206, IF(AND(C4206="Sell",J4206="NA"),(E4206*G4206*100*0.1)+I4206, IF(C4206="Sell",(J4206-L4206)*(100*G4206)+I4206))))))</f>
        <v/>
      </c>
      <c r="O4206" s="75" t="n"/>
      <c r="P4206" s="75" t="n"/>
      <c r="Q4206" s="75">
        <f>IF(ISBLANK(P4206),"",IF(D4206="Stock",P4206*G4206,IF(P4206=0,"0",G4206*P4206*100-(G4206*$AF$14))))</f>
        <v/>
      </c>
      <c r="R4206" s="79">
        <f>IF(P4206&lt;&gt;"", TODAY(), "")</f>
        <v/>
      </c>
      <c r="S4206" s="78">
        <f>IF(AND(K4206&lt;&gt;"", R4206&lt;&gt;""), R4206-K4206, "")</f>
        <v/>
      </c>
      <c r="T4206" s="78" t="n"/>
      <c r="U4206" s="92">
        <f>IF(ISBLANK(P4206),"",IF(C4206="Buy",Q4206-M4206+T4206, IF(C4206="Sell",M4206-Q4206-T4206, X)))</f>
        <v/>
      </c>
      <c r="V4206" s="81">
        <f>IF(ISBLANK(P4206),"",U4206/N4206)</f>
        <v/>
      </c>
      <c r="W4206" s="81">
        <f>IF(ISBLANK(P4206),"",IF(S4206=0,(365/0.5)*V4206,(365/S4206)*V4206))</f>
        <v/>
      </c>
      <c r="X4206" s="75" t="n"/>
      <c r="Y4206" s="77" t="n"/>
      <c r="Z4206" s="77" t="n"/>
      <c r="AA4206" s="75" t="n"/>
      <c r="AB4206" s="75" t="n"/>
      <c r="AC4206" s="6" t="n"/>
      <c r="AD4206" s="75" t="n"/>
      <c r="AE4206" s="75" t="n"/>
      <c r="AF4206" s="75" t="n"/>
    </row>
    <row r="4207" ht="15.75" customHeight="1" s="133">
      <c r="A4207" s="75" t="n"/>
      <c r="B4207" s="75" t="n"/>
      <c r="C4207" s="75" t="n"/>
      <c r="D4207" s="75" t="n"/>
      <c r="E4207" s="76" t="n"/>
      <c r="F4207" s="77" t="n"/>
      <c r="G4207" s="75" t="n"/>
      <c r="H4207" s="75">
        <f>IF(ISBLANK(E4207),"",IF(OR(D4207="Butterfly",D4207="Butterfly ",D4207="Iron Fly", D4207="Iron Fly "),LEN(E4207)-LEN(SUBSTITUTE(E4207,"/",""))+2,LEN(E4207)-LEN(SUBSTITUTE(E4207,"/",""))+1))</f>
        <v/>
      </c>
      <c r="I4207" s="78">
        <f>IF(ISBLANK(G4207),"",IF(D4207="Stock","0",Key!$A$3*H4207*G4207))</f>
        <v/>
      </c>
      <c r="J4207" s="78">
        <f>IF(ISBLANK(E4207),"",IF(ISNUMBER(SEARCH("/",E4207)), IF(LEN(E4207)-LEN(SUBSTITUTE(E4207,"/",""))=1,(RIGHT(E4207,LEN(E4207)-FIND("/",E4207)))-(LEFT(E4207,FIND("/",E4207)-1)),(MID(E4207, SEARCH("/",E4207) + 1, SEARCH("/",E4207, SEARCH("/",E4207)+1) - SEARCH("/",E4207) - 1))-(LEFT(E4207,FIND("/",E4207)-1))), "NA"))</f>
        <v/>
      </c>
      <c r="K4207" s="79">
        <f>IF(A4207&lt;&gt;"", IF(ISBLANK(L4207), TODAY(), K4207), "")</f>
        <v/>
      </c>
      <c r="L4207" s="78" t="n"/>
      <c r="M4207" s="78">
        <f>IF(ISBLANK(L4207),"",IF(D4207="Stock",IF(C4207="Buy",L4207*G4207,IF(C4207="Sell",(L4207*G4207)-I4207, X)),IF(C4207="Buy",(L4207*G4207*100)+I4207,IF(C4207="Sell",(L4207*G4207*100)-I4207, X))))</f>
        <v/>
      </c>
      <c r="N4207" s="78">
        <f>IF(ISBLANK(L4207),"",IF(AND(C4207="Sell",D4207="Stock"),M4207,IF(ISBLANK(L4207),"",IF(C4207="Buy",M4207, IF(AND(C4207="Sell",J4207="NA"),(E4207*G4207*100*0.1)+I4207, IF(C4207="Sell",(J4207-L4207)*(100*G4207)+I4207))))))</f>
        <v/>
      </c>
      <c r="O4207" s="75" t="n"/>
      <c r="P4207" s="75" t="n"/>
      <c r="Q4207" s="75">
        <f>IF(ISBLANK(P4207),"",IF(D4207="Stock",P4207*G4207,IF(P4207=0,"0",G4207*P4207*100-(G4207*$AF$14))))</f>
        <v/>
      </c>
      <c r="R4207" s="79">
        <f>IF(P4207&lt;&gt;"", TODAY(), "")</f>
        <v/>
      </c>
      <c r="S4207" s="78">
        <f>IF(AND(K4207&lt;&gt;"", R4207&lt;&gt;""), R4207-K4207, "")</f>
        <v/>
      </c>
      <c r="T4207" s="78" t="n"/>
      <c r="U4207" s="92">
        <f>IF(ISBLANK(P4207),"",IF(C4207="Buy",Q4207-M4207+T4207, IF(C4207="Sell",M4207-Q4207-T4207, X)))</f>
        <v/>
      </c>
      <c r="V4207" s="81">
        <f>IF(ISBLANK(P4207),"",U4207/N4207)</f>
        <v/>
      </c>
      <c r="W4207" s="81">
        <f>IF(ISBLANK(P4207),"",IF(S4207=0,(365/0.5)*V4207,(365/S4207)*V4207))</f>
        <v/>
      </c>
      <c r="X4207" s="75" t="n"/>
      <c r="Y4207" s="77" t="n"/>
      <c r="Z4207" s="77" t="n"/>
      <c r="AA4207" s="75" t="n"/>
      <c r="AB4207" s="75" t="n"/>
      <c r="AC4207" s="6" t="n"/>
      <c r="AD4207" s="75" t="n"/>
      <c r="AE4207" s="75" t="n"/>
      <c r="AF4207" s="75" t="n"/>
    </row>
    <row r="4208" ht="15.75" customHeight="1" s="133">
      <c r="A4208" s="75" t="n"/>
      <c r="B4208" s="75" t="n"/>
      <c r="C4208" s="75" t="n"/>
      <c r="D4208" s="75" t="n"/>
      <c r="E4208" s="76" t="n"/>
      <c r="F4208" s="77" t="n"/>
      <c r="G4208" s="75" t="n"/>
      <c r="H4208" s="75">
        <f>IF(ISBLANK(E4208),"",IF(OR(D4208="Butterfly",D4208="Butterfly ",D4208="Iron Fly", D4208="Iron Fly "),LEN(E4208)-LEN(SUBSTITUTE(E4208,"/",""))+2,LEN(E4208)-LEN(SUBSTITUTE(E4208,"/",""))+1))</f>
        <v/>
      </c>
      <c r="I4208" s="78">
        <f>IF(ISBLANK(G4208),"",IF(D4208="Stock","0",Key!$A$3*H4208*G4208))</f>
        <v/>
      </c>
      <c r="J4208" s="78">
        <f>IF(ISBLANK(E4208),"",IF(ISNUMBER(SEARCH("/",E4208)), IF(LEN(E4208)-LEN(SUBSTITUTE(E4208,"/",""))=1,(RIGHT(E4208,LEN(E4208)-FIND("/",E4208)))-(LEFT(E4208,FIND("/",E4208)-1)),(MID(E4208, SEARCH("/",E4208) + 1, SEARCH("/",E4208, SEARCH("/",E4208)+1) - SEARCH("/",E4208) - 1))-(LEFT(E4208,FIND("/",E4208)-1))), "NA"))</f>
        <v/>
      </c>
      <c r="K4208" s="79">
        <f>IF(A4208&lt;&gt;"", IF(ISBLANK(L4208), TODAY(), K4208), "")</f>
        <v/>
      </c>
      <c r="L4208" s="78" t="n"/>
      <c r="M4208" s="78">
        <f>IF(ISBLANK(L4208),"",IF(D4208="Stock",IF(C4208="Buy",L4208*G4208,IF(C4208="Sell",(L4208*G4208)-I4208, X)),IF(C4208="Buy",(L4208*G4208*100)+I4208,IF(C4208="Sell",(L4208*G4208*100)-I4208, X))))</f>
        <v/>
      </c>
      <c r="N4208" s="78">
        <f>IF(ISBLANK(L4208),"",IF(AND(C4208="Sell",D4208="Stock"),M4208,IF(ISBLANK(L4208),"",IF(C4208="Buy",M4208, IF(AND(C4208="Sell",J4208="NA"),(E4208*G4208*100*0.1)+I4208, IF(C4208="Sell",(J4208-L4208)*(100*G4208)+I4208))))))</f>
        <v/>
      </c>
      <c r="O4208" s="75" t="n"/>
      <c r="P4208" s="75" t="n"/>
      <c r="Q4208" s="75">
        <f>IF(ISBLANK(P4208),"",IF(D4208="Stock",P4208*G4208,IF(P4208=0,"0",G4208*P4208*100-(G4208*$AF$14))))</f>
        <v/>
      </c>
      <c r="R4208" s="79">
        <f>IF(P4208&lt;&gt;"", TODAY(), "")</f>
        <v/>
      </c>
      <c r="S4208" s="78">
        <f>IF(AND(K4208&lt;&gt;"", R4208&lt;&gt;""), R4208-K4208, "")</f>
        <v/>
      </c>
      <c r="T4208" s="78" t="n"/>
      <c r="U4208" s="92">
        <f>IF(ISBLANK(P4208),"",IF(C4208="Buy",Q4208-M4208+T4208, IF(C4208="Sell",M4208-Q4208-T4208, X)))</f>
        <v/>
      </c>
      <c r="V4208" s="81">
        <f>IF(ISBLANK(P4208),"",U4208/N4208)</f>
        <v/>
      </c>
      <c r="W4208" s="81">
        <f>IF(ISBLANK(P4208),"",IF(S4208=0,(365/0.5)*V4208,(365/S4208)*V4208))</f>
        <v/>
      </c>
      <c r="X4208" s="75" t="n"/>
      <c r="Y4208" s="77" t="n"/>
      <c r="Z4208" s="77" t="n"/>
      <c r="AA4208" s="75" t="n"/>
      <c r="AB4208" s="75" t="n"/>
      <c r="AC4208" s="6" t="n"/>
      <c r="AD4208" s="75" t="n"/>
      <c r="AE4208" s="75" t="n"/>
      <c r="AF4208" s="75" t="n"/>
    </row>
    <row r="4209" ht="15.75" customHeight="1" s="133">
      <c r="A4209" s="75" t="n"/>
      <c r="B4209" s="75" t="n"/>
      <c r="C4209" s="75" t="n"/>
      <c r="D4209" s="75" t="n"/>
      <c r="E4209" s="76" t="n"/>
      <c r="F4209" s="77" t="n"/>
      <c r="G4209" s="75" t="n"/>
      <c r="H4209" s="75">
        <f>IF(ISBLANK(E4209),"",IF(OR(D4209="Butterfly",D4209="Butterfly ",D4209="Iron Fly", D4209="Iron Fly "),LEN(E4209)-LEN(SUBSTITUTE(E4209,"/",""))+2,LEN(E4209)-LEN(SUBSTITUTE(E4209,"/",""))+1))</f>
        <v/>
      </c>
      <c r="I4209" s="78">
        <f>IF(ISBLANK(G4209),"",IF(D4209="Stock","0",Key!$A$3*H4209*G4209))</f>
        <v/>
      </c>
      <c r="J4209" s="78">
        <f>IF(ISBLANK(E4209),"",IF(ISNUMBER(SEARCH("/",E4209)), IF(LEN(E4209)-LEN(SUBSTITUTE(E4209,"/",""))=1,(RIGHT(E4209,LEN(E4209)-FIND("/",E4209)))-(LEFT(E4209,FIND("/",E4209)-1)),(MID(E4209, SEARCH("/",E4209) + 1, SEARCH("/",E4209, SEARCH("/",E4209)+1) - SEARCH("/",E4209) - 1))-(LEFT(E4209,FIND("/",E4209)-1))), "NA"))</f>
        <v/>
      </c>
      <c r="K4209" s="79">
        <f>IF(A4209&lt;&gt;"", IF(ISBLANK(L4209), TODAY(), K4209), "")</f>
        <v/>
      </c>
      <c r="L4209" s="78" t="n"/>
      <c r="M4209" s="78">
        <f>IF(ISBLANK(L4209),"",IF(D4209="Stock",IF(C4209="Buy",L4209*G4209,IF(C4209="Sell",(L4209*G4209)-I4209, X)),IF(C4209="Buy",(L4209*G4209*100)+I4209,IF(C4209="Sell",(L4209*G4209*100)-I4209, X))))</f>
        <v/>
      </c>
      <c r="N4209" s="78">
        <f>IF(ISBLANK(L4209),"",IF(AND(C4209="Sell",D4209="Stock"),M4209,IF(ISBLANK(L4209),"",IF(C4209="Buy",M4209, IF(AND(C4209="Sell",J4209="NA"),(E4209*G4209*100*0.1)+I4209, IF(C4209="Sell",(J4209-L4209)*(100*G4209)+I4209))))))</f>
        <v/>
      </c>
      <c r="O4209" s="75" t="n"/>
      <c r="P4209" s="75" t="n"/>
      <c r="Q4209" s="75">
        <f>IF(ISBLANK(P4209),"",IF(D4209="Stock",P4209*G4209,IF(P4209=0,"0",G4209*P4209*100-(G4209*$AF$14))))</f>
        <v/>
      </c>
      <c r="R4209" s="79">
        <f>IF(P4209&lt;&gt;"", TODAY(), "")</f>
        <v/>
      </c>
      <c r="S4209" s="78">
        <f>IF(AND(K4209&lt;&gt;"", R4209&lt;&gt;""), R4209-K4209, "")</f>
        <v/>
      </c>
      <c r="T4209" s="78" t="n"/>
      <c r="U4209" s="92">
        <f>IF(ISBLANK(P4209),"",IF(C4209="Buy",Q4209-M4209+T4209, IF(C4209="Sell",M4209-Q4209-T4209, X)))</f>
        <v/>
      </c>
      <c r="V4209" s="81">
        <f>IF(ISBLANK(P4209),"",U4209/N4209)</f>
        <v/>
      </c>
      <c r="W4209" s="81">
        <f>IF(ISBLANK(P4209),"",IF(S4209=0,(365/0.5)*V4209,(365/S4209)*V4209))</f>
        <v/>
      </c>
      <c r="X4209" s="75" t="n"/>
      <c r="Y4209" s="77" t="n"/>
      <c r="Z4209" s="77" t="n"/>
      <c r="AA4209" s="75" t="n"/>
      <c r="AB4209" s="75" t="n"/>
      <c r="AC4209" s="6" t="n"/>
      <c r="AD4209" s="75" t="n"/>
      <c r="AE4209" s="75" t="n"/>
      <c r="AF4209" s="75" t="n"/>
    </row>
    <row r="4210" ht="15.75" customHeight="1" s="133">
      <c r="A4210" s="75" t="n"/>
      <c r="B4210" s="75" t="n"/>
      <c r="C4210" s="75" t="n"/>
      <c r="D4210" s="75" t="n"/>
      <c r="E4210" s="76" t="n"/>
      <c r="F4210" s="77" t="n"/>
      <c r="G4210" s="75" t="n"/>
      <c r="H4210" s="75">
        <f>IF(ISBLANK(E4210),"",IF(OR(D4210="Butterfly",D4210="Butterfly ",D4210="Iron Fly", D4210="Iron Fly "),LEN(E4210)-LEN(SUBSTITUTE(E4210,"/",""))+2,LEN(E4210)-LEN(SUBSTITUTE(E4210,"/",""))+1))</f>
        <v/>
      </c>
      <c r="I4210" s="78">
        <f>IF(ISBLANK(G4210),"",IF(D4210="Stock","0",Key!$A$3*H4210*G4210))</f>
        <v/>
      </c>
      <c r="J4210" s="78">
        <f>IF(ISBLANK(E4210),"",IF(ISNUMBER(SEARCH("/",E4210)), IF(LEN(E4210)-LEN(SUBSTITUTE(E4210,"/",""))=1,(RIGHT(E4210,LEN(E4210)-FIND("/",E4210)))-(LEFT(E4210,FIND("/",E4210)-1)),(MID(E4210, SEARCH("/",E4210) + 1, SEARCH("/",E4210, SEARCH("/",E4210)+1) - SEARCH("/",E4210) - 1))-(LEFT(E4210,FIND("/",E4210)-1))), "NA"))</f>
        <v/>
      </c>
      <c r="K4210" s="79">
        <f>IF(A4210&lt;&gt;"", IF(ISBLANK(L4210), TODAY(), K4210), "")</f>
        <v/>
      </c>
      <c r="L4210" s="78" t="n"/>
      <c r="M4210" s="78">
        <f>IF(ISBLANK(L4210),"",IF(D4210="Stock",IF(C4210="Buy",L4210*G4210,IF(C4210="Sell",(L4210*G4210)-I4210, X)),IF(C4210="Buy",(L4210*G4210*100)+I4210,IF(C4210="Sell",(L4210*G4210*100)-I4210, X))))</f>
        <v/>
      </c>
      <c r="N4210" s="78">
        <f>IF(ISBLANK(L4210),"",IF(AND(C4210="Sell",D4210="Stock"),M4210,IF(ISBLANK(L4210),"",IF(C4210="Buy",M4210, IF(AND(C4210="Sell",J4210="NA"),(E4210*G4210*100*0.1)+I4210, IF(C4210="Sell",(J4210-L4210)*(100*G4210)+I4210))))))</f>
        <v/>
      </c>
      <c r="O4210" s="75" t="n"/>
      <c r="P4210" s="75" t="n"/>
      <c r="Q4210" s="75">
        <f>IF(ISBLANK(P4210),"",IF(D4210="Stock",P4210*G4210,IF(P4210=0,"0",G4210*P4210*100-(G4210*$AF$14))))</f>
        <v/>
      </c>
      <c r="R4210" s="79">
        <f>IF(P4210&lt;&gt;"", TODAY(), "")</f>
        <v/>
      </c>
      <c r="S4210" s="78">
        <f>IF(AND(K4210&lt;&gt;"", R4210&lt;&gt;""), R4210-K4210, "")</f>
        <v/>
      </c>
      <c r="T4210" s="78" t="n"/>
      <c r="U4210" s="92">
        <f>IF(ISBLANK(P4210),"",IF(C4210="Buy",Q4210-M4210+T4210, IF(C4210="Sell",M4210-Q4210-T4210, X)))</f>
        <v/>
      </c>
      <c r="V4210" s="81">
        <f>IF(ISBLANK(P4210),"",U4210/N4210)</f>
        <v/>
      </c>
      <c r="W4210" s="81">
        <f>IF(ISBLANK(P4210),"",IF(S4210=0,(365/0.5)*V4210,(365/S4210)*V4210))</f>
        <v/>
      </c>
      <c r="X4210" s="75" t="n"/>
      <c r="Y4210" s="77" t="n"/>
      <c r="Z4210" s="77" t="n"/>
      <c r="AA4210" s="75" t="n"/>
      <c r="AB4210" s="75" t="n"/>
      <c r="AC4210" s="6" t="n"/>
      <c r="AD4210" s="75" t="n"/>
      <c r="AE4210" s="75" t="n"/>
      <c r="AF4210" s="75" t="n"/>
    </row>
    <row r="4211" ht="15.75" customHeight="1" s="133">
      <c r="A4211" s="75" t="n"/>
      <c r="B4211" s="75" t="n"/>
      <c r="C4211" s="75" t="n"/>
      <c r="D4211" s="75" t="n"/>
      <c r="E4211" s="76" t="n"/>
      <c r="F4211" s="77" t="n"/>
      <c r="G4211" s="75" t="n"/>
      <c r="H4211" s="75">
        <f>IF(ISBLANK(E4211),"",IF(OR(D4211="Butterfly",D4211="Butterfly ",D4211="Iron Fly", D4211="Iron Fly "),LEN(E4211)-LEN(SUBSTITUTE(E4211,"/",""))+2,LEN(E4211)-LEN(SUBSTITUTE(E4211,"/",""))+1))</f>
        <v/>
      </c>
      <c r="I4211" s="78">
        <f>IF(ISBLANK(G4211),"",IF(D4211="Stock","0",Key!$A$3*H4211*G4211))</f>
        <v/>
      </c>
      <c r="J4211" s="78">
        <f>IF(ISBLANK(E4211),"",IF(ISNUMBER(SEARCH("/",E4211)), IF(LEN(E4211)-LEN(SUBSTITUTE(E4211,"/",""))=1,(RIGHT(E4211,LEN(E4211)-FIND("/",E4211)))-(LEFT(E4211,FIND("/",E4211)-1)),(MID(E4211, SEARCH("/",E4211) + 1, SEARCH("/",E4211, SEARCH("/",E4211)+1) - SEARCH("/",E4211) - 1))-(LEFT(E4211,FIND("/",E4211)-1))), "NA"))</f>
        <v/>
      </c>
      <c r="K4211" s="79">
        <f>IF(A4211&lt;&gt;"", IF(ISBLANK(L4211), TODAY(), K4211), "")</f>
        <v/>
      </c>
      <c r="L4211" s="78" t="n"/>
      <c r="M4211" s="78">
        <f>IF(ISBLANK(L4211),"",IF(D4211="Stock",IF(C4211="Buy",L4211*G4211,IF(C4211="Sell",(L4211*G4211)-I4211, X)),IF(C4211="Buy",(L4211*G4211*100)+I4211,IF(C4211="Sell",(L4211*G4211*100)-I4211, X))))</f>
        <v/>
      </c>
      <c r="N4211" s="78">
        <f>IF(ISBLANK(L4211),"",IF(AND(C4211="Sell",D4211="Stock"),M4211,IF(ISBLANK(L4211),"",IF(C4211="Buy",M4211, IF(AND(C4211="Sell",J4211="NA"),(E4211*G4211*100*0.1)+I4211, IF(C4211="Sell",(J4211-L4211)*(100*G4211)+I4211))))))</f>
        <v/>
      </c>
      <c r="O4211" s="75" t="n"/>
      <c r="P4211" s="75" t="n"/>
      <c r="Q4211" s="75">
        <f>IF(ISBLANK(P4211),"",IF(D4211="Stock",P4211*G4211,IF(P4211=0,"0",G4211*P4211*100-(G4211*$AF$14))))</f>
        <v/>
      </c>
      <c r="R4211" s="79">
        <f>IF(P4211&lt;&gt;"", TODAY(), "")</f>
        <v/>
      </c>
      <c r="S4211" s="78">
        <f>IF(AND(K4211&lt;&gt;"", R4211&lt;&gt;""), R4211-K4211, "")</f>
        <v/>
      </c>
      <c r="T4211" s="78" t="n"/>
      <c r="U4211" s="92">
        <f>IF(ISBLANK(P4211),"",IF(C4211="Buy",Q4211-M4211+T4211, IF(C4211="Sell",M4211-Q4211-T4211, X)))</f>
        <v/>
      </c>
      <c r="V4211" s="81">
        <f>IF(ISBLANK(P4211),"",U4211/N4211)</f>
        <v/>
      </c>
      <c r="W4211" s="81">
        <f>IF(ISBLANK(P4211),"",IF(S4211=0,(365/0.5)*V4211,(365/S4211)*V4211))</f>
        <v/>
      </c>
      <c r="X4211" s="75" t="n"/>
      <c r="Y4211" s="77" t="n"/>
      <c r="Z4211" s="77" t="n"/>
      <c r="AA4211" s="75" t="n"/>
      <c r="AB4211" s="75" t="n"/>
      <c r="AC4211" s="6" t="n"/>
      <c r="AD4211" s="75" t="n"/>
      <c r="AE4211" s="75" t="n"/>
      <c r="AF4211" s="75" t="n"/>
    </row>
    <row r="4212" ht="15.75" customHeight="1" s="133">
      <c r="A4212" s="75" t="n"/>
      <c r="B4212" s="75" t="n"/>
      <c r="C4212" s="75" t="n"/>
      <c r="D4212" s="75" t="n"/>
      <c r="E4212" s="76" t="n"/>
      <c r="F4212" s="77" t="n"/>
      <c r="G4212" s="75" t="n"/>
      <c r="H4212" s="75">
        <f>IF(ISBLANK(E4212),"",IF(OR(D4212="Butterfly",D4212="Butterfly ",D4212="Iron Fly", D4212="Iron Fly "),LEN(E4212)-LEN(SUBSTITUTE(E4212,"/",""))+2,LEN(E4212)-LEN(SUBSTITUTE(E4212,"/",""))+1))</f>
        <v/>
      </c>
      <c r="I4212" s="78">
        <f>IF(ISBLANK(G4212),"",IF(D4212="Stock","0",Key!$A$3*H4212*G4212))</f>
        <v/>
      </c>
      <c r="J4212" s="78">
        <f>IF(ISBLANK(E4212),"",IF(ISNUMBER(SEARCH("/",E4212)), IF(LEN(E4212)-LEN(SUBSTITUTE(E4212,"/",""))=1,(RIGHT(E4212,LEN(E4212)-FIND("/",E4212)))-(LEFT(E4212,FIND("/",E4212)-1)),(MID(E4212, SEARCH("/",E4212) + 1, SEARCH("/",E4212, SEARCH("/",E4212)+1) - SEARCH("/",E4212) - 1))-(LEFT(E4212,FIND("/",E4212)-1))), "NA"))</f>
        <v/>
      </c>
      <c r="K4212" s="79">
        <f>IF(A4212&lt;&gt;"", IF(ISBLANK(L4212), TODAY(), K4212), "")</f>
        <v/>
      </c>
      <c r="L4212" s="78" t="n"/>
      <c r="M4212" s="78">
        <f>IF(ISBLANK(L4212),"",IF(D4212="Stock",IF(C4212="Buy",L4212*G4212,IF(C4212="Sell",(L4212*G4212)-I4212, X)),IF(C4212="Buy",(L4212*G4212*100)+I4212,IF(C4212="Sell",(L4212*G4212*100)-I4212, X))))</f>
        <v/>
      </c>
      <c r="N4212" s="78">
        <f>IF(ISBLANK(L4212),"",IF(AND(C4212="Sell",D4212="Stock"),M4212,IF(ISBLANK(L4212),"",IF(C4212="Buy",M4212, IF(AND(C4212="Sell",J4212="NA"),(E4212*G4212*100*0.1)+I4212, IF(C4212="Sell",(J4212-L4212)*(100*G4212)+I4212))))))</f>
        <v/>
      </c>
      <c r="O4212" s="75" t="n"/>
      <c r="P4212" s="75" t="n"/>
      <c r="Q4212" s="75">
        <f>IF(ISBLANK(P4212),"",IF(D4212="Stock",P4212*G4212,IF(P4212=0,"0",G4212*P4212*100-(G4212*$AF$14))))</f>
        <v/>
      </c>
      <c r="R4212" s="79">
        <f>IF(P4212&lt;&gt;"", TODAY(), "")</f>
        <v/>
      </c>
      <c r="S4212" s="78">
        <f>IF(AND(K4212&lt;&gt;"", R4212&lt;&gt;""), R4212-K4212, "")</f>
        <v/>
      </c>
      <c r="T4212" s="78" t="n"/>
      <c r="U4212" s="92">
        <f>IF(ISBLANK(P4212),"",IF(C4212="Buy",Q4212-M4212+T4212, IF(C4212="Sell",M4212-Q4212-T4212, X)))</f>
        <v/>
      </c>
      <c r="V4212" s="81">
        <f>IF(ISBLANK(P4212),"",U4212/N4212)</f>
        <v/>
      </c>
      <c r="W4212" s="81">
        <f>IF(ISBLANK(P4212),"",IF(S4212=0,(365/0.5)*V4212,(365/S4212)*V4212))</f>
        <v/>
      </c>
      <c r="X4212" s="75" t="n"/>
      <c r="Y4212" s="77" t="n"/>
      <c r="Z4212" s="77" t="n"/>
      <c r="AA4212" s="75" t="n"/>
      <c r="AB4212" s="75" t="n"/>
      <c r="AC4212" s="6" t="n"/>
      <c r="AD4212" s="75" t="n"/>
      <c r="AE4212" s="75" t="n"/>
      <c r="AF4212" s="75" t="n"/>
    </row>
    <row r="4213" ht="15.75" customHeight="1" s="133">
      <c r="A4213" s="75" t="n"/>
      <c r="B4213" s="75" t="n"/>
      <c r="C4213" s="75" t="n"/>
      <c r="D4213" s="75" t="n"/>
      <c r="E4213" s="76" t="n"/>
      <c r="F4213" s="77" t="n"/>
      <c r="G4213" s="75" t="n"/>
      <c r="H4213" s="75">
        <f>IF(ISBLANK(E4213),"",IF(OR(D4213="Butterfly",D4213="Butterfly ",D4213="Iron Fly", D4213="Iron Fly "),LEN(E4213)-LEN(SUBSTITUTE(E4213,"/",""))+2,LEN(E4213)-LEN(SUBSTITUTE(E4213,"/",""))+1))</f>
        <v/>
      </c>
      <c r="I4213" s="78">
        <f>IF(ISBLANK(G4213),"",IF(D4213="Stock","0",Key!$A$3*H4213*G4213))</f>
        <v/>
      </c>
      <c r="J4213" s="78">
        <f>IF(ISBLANK(E4213),"",IF(ISNUMBER(SEARCH("/",E4213)), IF(LEN(E4213)-LEN(SUBSTITUTE(E4213,"/",""))=1,(RIGHT(E4213,LEN(E4213)-FIND("/",E4213)))-(LEFT(E4213,FIND("/",E4213)-1)),(MID(E4213, SEARCH("/",E4213) + 1, SEARCH("/",E4213, SEARCH("/",E4213)+1) - SEARCH("/",E4213) - 1))-(LEFT(E4213,FIND("/",E4213)-1))), "NA"))</f>
        <v/>
      </c>
      <c r="K4213" s="79">
        <f>IF(A4213&lt;&gt;"", IF(ISBLANK(L4213), TODAY(), K4213), "")</f>
        <v/>
      </c>
      <c r="L4213" s="78" t="n"/>
      <c r="M4213" s="78">
        <f>IF(ISBLANK(L4213),"",IF(D4213="Stock",IF(C4213="Buy",L4213*G4213,IF(C4213="Sell",(L4213*G4213)-I4213, X)),IF(C4213="Buy",(L4213*G4213*100)+I4213,IF(C4213="Sell",(L4213*G4213*100)-I4213, X))))</f>
        <v/>
      </c>
      <c r="N4213" s="78">
        <f>IF(ISBLANK(L4213),"",IF(AND(C4213="Sell",D4213="Stock"),M4213,IF(ISBLANK(L4213),"",IF(C4213="Buy",M4213, IF(AND(C4213="Sell",J4213="NA"),(E4213*G4213*100*0.1)+I4213, IF(C4213="Sell",(J4213-L4213)*(100*G4213)+I4213))))))</f>
        <v/>
      </c>
      <c r="O4213" s="75" t="n"/>
      <c r="P4213" s="75" t="n"/>
      <c r="Q4213" s="75">
        <f>IF(ISBLANK(P4213),"",IF(D4213="Stock",P4213*G4213,IF(P4213=0,"0",G4213*P4213*100-(G4213*$AF$14))))</f>
        <v/>
      </c>
      <c r="R4213" s="79">
        <f>IF(P4213&lt;&gt;"", TODAY(), "")</f>
        <v/>
      </c>
      <c r="S4213" s="78">
        <f>IF(AND(K4213&lt;&gt;"", R4213&lt;&gt;""), R4213-K4213, "")</f>
        <v/>
      </c>
      <c r="T4213" s="78" t="n"/>
      <c r="U4213" s="92">
        <f>IF(ISBLANK(P4213),"",IF(C4213="Buy",Q4213-M4213+T4213, IF(C4213="Sell",M4213-Q4213-T4213, X)))</f>
        <v/>
      </c>
      <c r="V4213" s="81">
        <f>IF(ISBLANK(P4213),"",U4213/N4213)</f>
        <v/>
      </c>
      <c r="W4213" s="81">
        <f>IF(ISBLANK(P4213),"",IF(S4213=0,(365/0.5)*V4213,(365/S4213)*V4213))</f>
        <v/>
      </c>
      <c r="X4213" s="75" t="n"/>
      <c r="Y4213" s="77" t="n"/>
      <c r="Z4213" s="77" t="n"/>
      <c r="AA4213" s="75" t="n"/>
      <c r="AB4213" s="75" t="n"/>
      <c r="AC4213" s="6" t="n"/>
      <c r="AD4213" s="75" t="n"/>
      <c r="AE4213" s="75" t="n"/>
      <c r="AF4213" s="75" t="n"/>
    </row>
    <row r="4214" ht="15.75" customHeight="1" s="133">
      <c r="A4214" s="75" t="n"/>
      <c r="B4214" s="75" t="n"/>
      <c r="C4214" s="75" t="n"/>
      <c r="D4214" s="75" t="n"/>
      <c r="E4214" s="76" t="n"/>
      <c r="F4214" s="77" t="n"/>
      <c r="G4214" s="75" t="n"/>
      <c r="H4214" s="75">
        <f>IF(ISBLANK(E4214),"",IF(OR(D4214="Butterfly",D4214="Butterfly ",D4214="Iron Fly", D4214="Iron Fly "),LEN(E4214)-LEN(SUBSTITUTE(E4214,"/",""))+2,LEN(E4214)-LEN(SUBSTITUTE(E4214,"/",""))+1))</f>
        <v/>
      </c>
      <c r="I4214" s="78">
        <f>IF(ISBLANK(G4214),"",IF(D4214="Stock","0",Key!$A$3*H4214*G4214))</f>
        <v/>
      </c>
      <c r="J4214" s="78">
        <f>IF(ISBLANK(E4214),"",IF(ISNUMBER(SEARCH("/",E4214)), IF(LEN(E4214)-LEN(SUBSTITUTE(E4214,"/",""))=1,(RIGHT(E4214,LEN(E4214)-FIND("/",E4214)))-(LEFT(E4214,FIND("/",E4214)-1)),(MID(E4214, SEARCH("/",E4214) + 1, SEARCH("/",E4214, SEARCH("/",E4214)+1) - SEARCH("/",E4214) - 1))-(LEFT(E4214,FIND("/",E4214)-1))), "NA"))</f>
        <v/>
      </c>
      <c r="K4214" s="79">
        <f>IF(A4214&lt;&gt;"", IF(ISBLANK(L4214), TODAY(), K4214), "")</f>
        <v/>
      </c>
      <c r="L4214" s="78" t="n"/>
      <c r="M4214" s="78">
        <f>IF(ISBLANK(L4214),"",IF(D4214="Stock",IF(C4214="Buy",L4214*G4214,IF(C4214="Sell",(L4214*G4214)-I4214, X)),IF(C4214="Buy",(L4214*G4214*100)+I4214,IF(C4214="Sell",(L4214*G4214*100)-I4214, X))))</f>
        <v/>
      </c>
      <c r="N4214" s="78">
        <f>IF(ISBLANK(L4214),"",IF(AND(C4214="Sell",D4214="Stock"),M4214,IF(ISBLANK(L4214),"",IF(C4214="Buy",M4214, IF(AND(C4214="Sell",J4214="NA"),(E4214*G4214*100*0.1)+I4214, IF(C4214="Sell",(J4214-L4214)*(100*G4214)+I4214))))))</f>
        <v/>
      </c>
      <c r="O4214" s="75" t="n"/>
      <c r="P4214" s="75" t="n"/>
      <c r="Q4214" s="75">
        <f>IF(ISBLANK(P4214),"",IF(D4214="Stock",P4214*G4214,IF(P4214=0,"0",G4214*P4214*100-(G4214*$AF$14))))</f>
        <v/>
      </c>
      <c r="R4214" s="79">
        <f>IF(P4214&lt;&gt;"", TODAY(), "")</f>
        <v/>
      </c>
      <c r="S4214" s="78">
        <f>IF(AND(K4214&lt;&gt;"", R4214&lt;&gt;""), R4214-K4214, "")</f>
        <v/>
      </c>
      <c r="T4214" s="78" t="n"/>
      <c r="U4214" s="92">
        <f>IF(ISBLANK(P4214),"",IF(C4214="Buy",Q4214-M4214+T4214, IF(C4214="Sell",M4214-Q4214-T4214, X)))</f>
        <v/>
      </c>
      <c r="V4214" s="81">
        <f>IF(ISBLANK(P4214),"",U4214/N4214)</f>
        <v/>
      </c>
      <c r="W4214" s="81">
        <f>IF(ISBLANK(P4214),"",IF(S4214=0,(365/0.5)*V4214,(365/S4214)*V4214))</f>
        <v/>
      </c>
      <c r="X4214" s="75" t="n"/>
      <c r="Y4214" s="77" t="n"/>
      <c r="Z4214" s="77" t="n"/>
      <c r="AA4214" s="75" t="n"/>
      <c r="AB4214" s="75" t="n"/>
      <c r="AC4214" s="6" t="n"/>
      <c r="AD4214" s="75" t="n"/>
      <c r="AE4214" s="75" t="n"/>
      <c r="AF4214" s="75" t="n"/>
    </row>
    <row r="4215" ht="15.75" customHeight="1" s="133">
      <c r="A4215" s="75" t="n"/>
      <c r="B4215" s="75" t="n"/>
      <c r="C4215" s="75" t="n"/>
      <c r="D4215" s="75" t="n"/>
      <c r="E4215" s="76" t="n"/>
      <c r="F4215" s="77" t="n"/>
      <c r="G4215" s="75" t="n"/>
      <c r="H4215" s="75">
        <f>IF(ISBLANK(E4215),"",IF(OR(D4215="Butterfly",D4215="Butterfly ",D4215="Iron Fly", D4215="Iron Fly "),LEN(E4215)-LEN(SUBSTITUTE(E4215,"/",""))+2,LEN(E4215)-LEN(SUBSTITUTE(E4215,"/",""))+1))</f>
        <v/>
      </c>
      <c r="I4215" s="78">
        <f>IF(ISBLANK(G4215),"",IF(D4215="Stock","0",Key!$A$3*H4215*G4215))</f>
        <v/>
      </c>
      <c r="J4215" s="78">
        <f>IF(ISBLANK(E4215),"",IF(ISNUMBER(SEARCH("/",E4215)), IF(LEN(E4215)-LEN(SUBSTITUTE(E4215,"/",""))=1,(RIGHT(E4215,LEN(E4215)-FIND("/",E4215)))-(LEFT(E4215,FIND("/",E4215)-1)),(MID(E4215, SEARCH("/",E4215) + 1, SEARCH("/",E4215, SEARCH("/",E4215)+1) - SEARCH("/",E4215) - 1))-(LEFT(E4215,FIND("/",E4215)-1))), "NA"))</f>
        <v/>
      </c>
      <c r="K4215" s="79">
        <f>IF(A4215&lt;&gt;"", IF(ISBLANK(L4215), TODAY(), K4215), "")</f>
        <v/>
      </c>
      <c r="L4215" s="78" t="n"/>
      <c r="M4215" s="78">
        <f>IF(ISBLANK(L4215),"",IF(D4215="Stock",IF(C4215="Buy",L4215*G4215,IF(C4215="Sell",(L4215*G4215)-I4215, X)),IF(C4215="Buy",(L4215*G4215*100)+I4215,IF(C4215="Sell",(L4215*G4215*100)-I4215, X))))</f>
        <v/>
      </c>
      <c r="N4215" s="78">
        <f>IF(ISBLANK(L4215),"",IF(AND(C4215="Sell",D4215="Stock"),M4215,IF(ISBLANK(L4215),"",IF(C4215="Buy",M4215, IF(AND(C4215="Sell",J4215="NA"),(E4215*G4215*100*0.1)+I4215, IF(C4215="Sell",(J4215-L4215)*(100*G4215)+I4215))))))</f>
        <v/>
      </c>
      <c r="O4215" s="75" t="n"/>
      <c r="P4215" s="75" t="n"/>
      <c r="Q4215" s="75">
        <f>IF(ISBLANK(P4215),"",IF(D4215="Stock",P4215*G4215,IF(P4215=0,"0",G4215*P4215*100-(G4215*$AF$14))))</f>
        <v/>
      </c>
      <c r="R4215" s="79">
        <f>IF(P4215&lt;&gt;"", TODAY(), "")</f>
        <v/>
      </c>
      <c r="S4215" s="78">
        <f>IF(AND(K4215&lt;&gt;"", R4215&lt;&gt;""), R4215-K4215, "")</f>
        <v/>
      </c>
      <c r="T4215" s="78" t="n"/>
      <c r="U4215" s="92">
        <f>IF(ISBLANK(P4215),"",IF(C4215="Buy",Q4215-M4215+T4215, IF(C4215="Sell",M4215-Q4215-T4215, X)))</f>
        <v/>
      </c>
      <c r="V4215" s="81">
        <f>IF(ISBLANK(P4215),"",U4215/N4215)</f>
        <v/>
      </c>
      <c r="W4215" s="81">
        <f>IF(ISBLANK(P4215),"",IF(S4215=0,(365/0.5)*V4215,(365/S4215)*V4215))</f>
        <v/>
      </c>
      <c r="X4215" s="75" t="n"/>
      <c r="Y4215" s="77" t="n"/>
      <c r="Z4215" s="77" t="n"/>
      <c r="AA4215" s="75" t="n"/>
      <c r="AB4215" s="75" t="n"/>
      <c r="AC4215" s="6" t="n"/>
      <c r="AD4215" s="75" t="n"/>
      <c r="AE4215" s="75" t="n"/>
      <c r="AF4215" s="75" t="n"/>
    </row>
    <row r="4216" ht="15.75" customHeight="1" s="133">
      <c r="A4216" s="75" t="n"/>
      <c r="B4216" s="75" t="n"/>
      <c r="C4216" s="75" t="n"/>
      <c r="D4216" s="75" t="n"/>
      <c r="E4216" s="76" t="n"/>
      <c r="F4216" s="77" t="n"/>
      <c r="G4216" s="75" t="n"/>
      <c r="H4216" s="75">
        <f>IF(ISBLANK(E4216),"",IF(OR(D4216="Butterfly",D4216="Butterfly ",D4216="Iron Fly", D4216="Iron Fly "),LEN(E4216)-LEN(SUBSTITUTE(E4216,"/",""))+2,LEN(E4216)-LEN(SUBSTITUTE(E4216,"/",""))+1))</f>
        <v/>
      </c>
      <c r="I4216" s="78">
        <f>IF(ISBLANK(G4216),"",IF(D4216="Stock","0",Key!$A$3*H4216*G4216))</f>
        <v/>
      </c>
      <c r="J4216" s="78">
        <f>IF(ISBLANK(E4216),"",IF(ISNUMBER(SEARCH("/",E4216)), IF(LEN(E4216)-LEN(SUBSTITUTE(E4216,"/",""))=1,(RIGHT(E4216,LEN(E4216)-FIND("/",E4216)))-(LEFT(E4216,FIND("/",E4216)-1)),(MID(E4216, SEARCH("/",E4216) + 1, SEARCH("/",E4216, SEARCH("/",E4216)+1) - SEARCH("/",E4216) - 1))-(LEFT(E4216,FIND("/",E4216)-1))), "NA"))</f>
        <v/>
      </c>
      <c r="K4216" s="79">
        <f>IF(A4216&lt;&gt;"", IF(ISBLANK(L4216), TODAY(), K4216), "")</f>
        <v/>
      </c>
      <c r="L4216" s="78" t="n"/>
      <c r="M4216" s="78">
        <f>IF(ISBLANK(L4216),"",IF(D4216="Stock",IF(C4216="Buy",L4216*G4216,IF(C4216="Sell",(L4216*G4216)-I4216, X)),IF(C4216="Buy",(L4216*G4216*100)+I4216,IF(C4216="Sell",(L4216*G4216*100)-I4216, X))))</f>
        <v/>
      </c>
      <c r="N4216" s="78">
        <f>IF(ISBLANK(L4216),"",IF(AND(C4216="Sell",D4216="Stock"),M4216,IF(ISBLANK(L4216),"",IF(C4216="Buy",M4216, IF(AND(C4216="Sell",J4216="NA"),(E4216*G4216*100*0.1)+I4216, IF(C4216="Sell",(J4216-L4216)*(100*G4216)+I4216))))))</f>
        <v/>
      </c>
      <c r="O4216" s="75" t="n"/>
      <c r="P4216" s="75" t="n"/>
      <c r="Q4216" s="75">
        <f>IF(ISBLANK(P4216),"",IF(D4216="Stock",P4216*G4216,IF(P4216=0,"0",G4216*P4216*100-(G4216*$AF$14))))</f>
        <v/>
      </c>
      <c r="R4216" s="79">
        <f>IF(P4216&lt;&gt;"", TODAY(), "")</f>
        <v/>
      </c>
      <c r="S4216" s="78">
        <f>IF(AND(K4216&lt;&gt;"", R4216&lt;&gt;""), R4216-K4216, "")</f>
        <v/>
      </c>
      <c r="T4216" s="78" t="n"/>
      <c r="U4216" s="92">
        <f>IF(ISBLANK(P4216),"",IF(C4216="Buy",Q4216-M4216+T4216, IF(C4216="Sell",M4216-Q4216-T4216, X)))</f>
        <v/>
      </c>
      <c r="V4216" s="81">
        <f>IF(ISBLANK(P4216),"",U4216/N4216)</f>
        <v/>
      </c>
      <c r="W4216" s="81">
        <f>IF(ISBLANK(P4216),"",IF(S4216=0,(365/0.5)*V4216,(365/S4216)*V4216))</f>
        <v/>
      </c>
      <c r="X4216" s="75" t="n"/>
      <c r="Y4216" s="77" t="n"/>
      <c r="Z4216" s="77" t="n"/>
      <c r="AA4216" s="75" t="n"/>
      <c r="AB4216" s="75" t="n"/>
      <c r="AC4216" s="6" t="n"/>
      <c r="AD4216" s="75" t="n"/>
      <c r="AE4216" s="75" t="n"/>
      <c r="AF4216" s="75" t="n"/>
    </row>
    <row r="4217" ht="15.75" customHeight="1" s="133">
      <c r="A4217" s="75" t="n"/>
      <c r="B4217" s="75" t="n"/>
      <c r="C4217" s="75" t="n"/>
      <c r="D4217" s="75" t="n"/>
      <c r="E4217" s="76" t="n"/>
      <c r="F4217" s="77" t="n"/>
      <c r="G4217" s="75" t="n"/>
      <c r="H4217" s="75">
        <f>IF(ISBLANK(E4217),"",IF(OR(D4217="Butterfly",D4217="Butterfly ",D4217="Iron Fly", D4217="Iron Fly "),LEN(E4217)-LEN(SUBSTITUTE(E4217,"/",""))+2,LEN(E4217)-LEN(SUBSTITUTE(E4217,"/",""))+1))</f>
        <v/>
      </c>
      <c r="I4217" s="78">
        <f>IF(ISBLANK(G4217),"",IF(D4217="Stock","0",Key!$A$3*H4217*G4217))</f>
        <v/>
      </c>
      <c r="J4217" s="78">
        <f>IF(ISBLANK(E4217),"",IF(ISNUMBER(SEARCH("/",E4217)), IF(LEN(E4217)-LEN(SUBSTITUTE(E4217,"/",""))=1,(RIGHT(E4217,LEN(E4217)-FIND("/",E4217)))-(LEFT(E4217,FIND("/",E4217)-1)),(MID(E4217, SEARCH("/",E4217) + 1, SEARCH("/",E4217, SEARCH("/",E4217)+1) - SEARCH("/",E4217) - 1))-(LEFT(E4217,FIND("/",E4217)-1))), "NA"))</f>
        <v/>
      </c>
      <c r="K4217" s="79">
        <f>IF(A4217&lt;&gt;"", IF(ISBLANK(L4217), TODAY(), K4217), "")</f>
        <v/>
      </c>
      <c r="L4217" s="78" t="n"/>
      <c r="M4217" s="78">
        <f>IF(ISBLANK(L4217),"",IF(D4217="Stock",IF(C4217="Buy",L4217*G4217,IF(C4217="Sell",(L4217*G4217)-I4217, X)),IF(C4217="Buy",(L4217*G4217*100)+I4217,IF(C4217="Sell",(L4217*G4217*100)-I4217, X))))</f>
        <v/>
      </c>
      <c r="N4217" s="78">
        <f>IF(ISBLANK(L4217),"",IF(AND(C4217="Sell",D4217="Stock"),M4217,IF(ISBLANK(L4217),"",IF(C4217="Buy",M4217, IF(AND(C4217="Sell",J4217="NA"),(E4217*G4217*100*0.1)+I4217, IF(C4217="Sell",(J4217-L4217)*(100*G4217)+I4217))))))</f>
        <v/>
      </c>
      <c r="O4217" s="75" t="n"/>
      <c r="P4217" s="75" t="n"/>
      <c r="Q4217" s="75">
        <f>IF(ISBLANK(P4217),"",IF(D4217="Stock",P4217*G4217,IF(P4217=0,"0",G4217*P4217*100-(G4217*$AF$14))))</f>
        <v/>
      </c>
      <c r="R4217" s="79">
        <f>IF(P4217&lt;&gt;"", TODAY(), "")</f>
        <v/>
      </c>
      <c r="S4217" s="78">
        <f>IF(AND(K4217&lt;&gt;"", R4217&lt;&gt;""), R4217-K4217, "")</f>
        <v/>
      </c>
      <c r="T4217" s="78" t="n"/>
      <c r="U4217" s="92">
        <f>IF(ISBLANK(P4217),"",IF(C4217="Buy",Q4217-M4217+T4217, IF(C4217="Sell",M4217-Q4217-T4217, X)))</f>
        <v/>
      </c>
      <c r="V4217" s="81">
        <f>IF(ISBLANK(P4217),"",U4217/N4217)</f>
        <v/>
      </c>
      <c r="W4217" s="81">
        <f>IF(ISBLANK(P4217),"",IF(S4217=0,(365/0.5)*V4217,(365/S4217)*V4217))</f>
        <v/>
      </c>
      <c r="X4217" s="75" t="n"/>
      <c r="Y4217" s="77" t="n"/>
      <c r="Z4217" s="77" t="n"/>
      <c r="AA4217" s="75" t="n"/>
      <c r="AB4217" s="75" t="n"/>
      <c r="AC4217" s="6" t="n"/>
      <c r="AD4217" s="75" t="n"/>
      <c r="AE4217" s="75" t="n"/>
      <c r="AF4217" s="75" t="n"/>
    </row>
    <row r="4218" ht="15.75" customHeight="1" s="133">
      <c r="A4218" s="75" t="n"/>
      <c r="B4218" s="75" t="n"/>
      <c r="C4218" s="75" t="n"/>
      <c r="D4218" s="75" t="n"/>
      <c r="E4218" s="76" t="n"/>
      <c r="F4218" s="77" t="n"/>
      <c r="G4218" s="75" t="n"/>
      <c r="H4218" s="75">
        <f>IF(ISBLANK(E4218),"",IF(OR(D4218="Butterfly",D4218="Butterfly ",D4218="Iron Fly", D4218="Iron Fly "),LEN(E4218)-LEN(SUBSTITUTE(E4218,"/",""))+2,LEN(E4218)-LEN(SUBSTITUTE(E4218,"/",""))+1))</f>
        <v/>
      </c>
      <c r="I4218" s="78">
        <f>IF(ISBLANK(G4218),"",IF(D4218="Stock","0",Key!$A$3*H4218*G4218))</f>
        <v/>
      </c>
      <c r="J4218" s="78">
        <f>IF(ISBLANK(E4218),"",IF(ISNUMBER(SEARCH("/",E4218)), IF(LEN(E4218)-LEN(SUBSTITUTE(E4218,"/",""))=1,(RIGHT(E4218,LEN(E4218)-FIND("/",E4218)))-(LEFT(E4218,FIND("/",E4218)-1)),(MID(E4218, SEARCH("/",E4218) + 1, SEARCH("/",E4218, SEARCH("/",E4218)+1) - SEARCH("/",E4218) - 1))-(LEFT(E4218,FIND("/",E4218)-1))), "NA"))</f>
        <v/>
      </c>
      <c r="K4218" s="79">
        <f>IF(A4218&lt;&gt;"", IF(ISBLANK(L4218), TODAY(), K4218), "")</f>
        <v/>
      </c>
      <c r="L4218" s="78" t="n"/>
      <c r="M4218" s="78">
        <f>IF(ISBLANK(L4218),"",IF(D4218="Stock",IF(C4218="Buy",L4218*G4218,IF(C4218="Sell",(L4218*G4218)-I4218, X)),IF(C4218="Buy",(L4218*G4218*100)+I4218,IF(C4218="Sell",(L4218*G4218*100)-I4218, X))))</f>
        <v/>
      </c>
      <c r="N4218" s="78">
        <f>IF(ISBLANK(L4218),"",IF(AND(C4218="Sell",D4218="Stock"),M4218,IF(ISBLANK(L4218),"",IF(C4218="Buy",M4218, IF(AND(C4218="Sell",J4218="NA"),(E4218*G4218*100*0.1)+I4218, IF(C4218="Sell",(J4218-L4218)*(100*G4218)+I4218))))))</f>
        <v/>
      </c>
      <c r="O4218" s="75" t="n"/>
      <c r="P4218" s="75" t="n"/>
      <c r="Q4218" s="75">
        <f>IF(ISBLANK(P4218),"",IF(D4218="Stock",P4218*G4218,IF(P4218=0,"0",G4218*P4218*100-(G4218*$AF$14))))</f>
        <v/>
      </c>
      <c r="R4218" s="79">
        <f>IF(P4218&lt;&gt;"", TODAY(), "")</f>
        <v/>
      </c>
      <c r="S4218" s="78">
        <f>IF(AND(K4218&lt;&gt;"", R4218&lt;&gt;""), R4218-K4218, "")</f>
        <v/>
      </c>
      <c r="T4218" s="78" t="n"/>
      <c r="U4218" s="92">
        <f>IF(ISBLANK(P4218),"",IF(C4218="Buy",Q4218-M4218+T4218, IF(C4218="Sell",M4218-Q4218-T4218, X)))</f>
        <v/>
      </c>
      <c r="V4218" s="81">
        <f>IF(ISBLANK(P4218),"",U4218/N4218)</f>
        <v/>
      </c>
      <c r="W4218" s="81">
        <f>IF(ISBLANK(P4218),"",IF(S4218=0,(365/0.5)*V4218,(365/S4218)*V4218))</f>
        <v/>
      </c>
      <c r="X4218" s="75" t="n"/>
      <c r="Y4218" s="77" t="n"/>
      <c r="Z4218" s="77" t="n"/>
      <c r="AA4218" s="75" t="n"/>
      <c r="AB4218" s="75" t="n"/>
      <c r="AC4218" s="6" t="n"/>
      <c r="AD4218" s="75" t="n"/>
      <c r="AE4218" s="75" t="n"/>
      <c r="AF4218" s="75" t="n"/>
    </row>
    <row r="4219" ht="15.75" customHeight="1" s="133">
      <c r="A4219" s="75" t="n"/>
      <c r="B4219" s="75" t="n"/>
      <c r="C4219" s="75" t="n"/>
      <c r="D4219" s="75" t="n"/>
      <c r="E4219" s="76" t="n"/>
      <c r="F4219" s="77" t="n"/>
      <c r="G4219" s="75" t="n"/>
      <c r="H4219" s="75">
        <f>IF(ISBLANK(E4219),"",IF(OR(D4219="Butterfly",D4219="Butterfly ",D4219="Iron Fly", D4219="Iron Fly "),LEN(E4219)-LEN(SUBSTITUTE(E4219,"/",""))+2,LEN(E4219)-LEN(SUBSTITUTE(E4219,"/",""))+1))</f>
        <v/>
      </c>
      <c r="I4219" s="78">
        <f>IF(ISBLANK(G4219),"",IF(D4219="Stock","0",Key!$A$3*H4219*G4219))</f>
        <v/>
      </c>
      <c r="J4219" s="78">
        <f>IF(ISBLANK(E4219),"",IF(ISNUMBER(SEARCH("/",E4219)), IF(LEN(E4219)-LEN(SUBSTITUTE(E4219,"/",""))=1,(RIGHT(E4219,LEN(E4219)-FIND("/",E4219)))-(LEFT(E4219,FIND("/",E4219)-1)),(MID(E4219, SEARCH("/",E4219) + 1, SEARCH("/",E4219, SEARCH("/",E4219)+1) - SEARCH("/",E4219) - 1))-(LEFT(E4219,FIND("/",E4219)-1))), "NA"))</f>
        <v/>
      </c>
      <c r="K4219" s="79">
        <f>IF(A4219&lt;&gt;"", IF(ISBLANK(L4219), TODAY(), K4219), "")</f>
        <v/>
      </c>
      <c r="L4219" s="78" t="n"/>
      <c r="M4219" s="78">
        <f>IF(ISBLANK(L4219),"",IF(D4219="Stock",IF(C4219="Buy",L4219*G4219,IF(C4219="Sell",(L4219*G4219)-I4219, X)),IF(C4219="Buy",(L4219*G4219*100)+I4219,IF(C4219="Sell",(L4219*G4219*100)-I4219, X))))</f>
        <v/>
      </c>
      <c r="N4219" s="78">
        <f>IF(ISBLANK(L4219),"",IF(AND(C4219="Sell",D4219="Stock"),M4219,IF(ISBLANK(L4219),"",IF(C4219="Buy",M4219, IF(AND(C4219="Sell",J4219="NA"),(E4219*G4219*100*0.1)+I4219, IF(C4219="Sell",(J4219-L4219)*(100*G4219)+I4219))))))</f>
        <v/>
      </c>
      <c r="O4219" s="75" t="n"/>
      <c r="P4219" s="75" t="n"/>
      <c r="Q4219" s="75">
        <f>IF(ISBLANK(P4219),"",IF(D4219="Stock",P4219*G4219,IF(P4219=0,"0",G4219*P4219*100-(G4219*$AF$14))))</f>
        <v/>
      </c>
      <c r="R4219" s="79">
        <f>IF(P4219&lt;&gt;"", TODAY(), "")</f>
        <v/>
      </c>
      <c r="S4219" s="78">
        <f>IF(AND(K4219&lt;&gt;"", R4219&lt;&gt;""), R4219-K4219, "")</f>
        <v/>
      </c>
      <c r="T4219" s="78" t="n"/>
      <c r="U4219" s="92">
        <f>IF(ISBLANK(P4219),"",IF(C4219="Buy",Q4219-M4219+T4219, IF(C4219="Sell",M4219-Q4219-T4219, X)))</f>
        <v/>
      </c>
      <c r="V4219" s="81">
        <f>IF(ISBLANK(P4219),"",U4219/N4219)</f>
        <v/>
      </c>
      <c r="W4219" s="81">
        <f>IF(ISBLANK(P4219),"",IF(S4219=0,(365/0.5)*V4219,(365/S4219)*V4219))</f>
        <v/>
      </c>
      <c r="X4219" s="75" t="n"/>
      <c r="Y4219" s="77" t="n"/>
      <c r="Z4219" s="77" t="n"/>
      <c r="AA4219" s="75" t="n"/>
      <c r="AB4219" s="75" t="n"/>
      <c r="AC4219" s="6" t="n"/>
      <c r="AD4219" s="75" t="n"/>
      <c r="AE4219" s="75" t="n"/>
      <c r="AF4219" s="75" t="n"/>
    </row>
    <row r="4220" ht="15.75" customHeight="1" s="133">
      <c r="A4220" s="75" t="n"/>
      <c r="B4220" s="75" t="n"/>
      <c r="C4220" s="75" t="n"/>
      <c r="D4220" s="75" t="n"/>
      <c r="E4220" s="76" t="n"/>
      <c r="F4220" s="77" t="n"/>
      <c r="G4220" s="75" t="n"/>
      <c r="H4220" s="75">
        <f>IF(ISBLANK(E4220),"",IF(OR(D4220="Butterfly",D4220="Butterfly ",D4220="Iron Fly", D4220="Iron Fly "),LEN(E4220)-LEN(SUBSTITUTE(E4220,"/",""))+2,LEN(E4220)-LEN(SUBSTITUTE(E4220,"/",""))+1))</f>
        <v/>
      </c>
      <c r="I4220" s="78">
        <f>IF(ISBLANK(G4220),"",IF(D4220="Stock","0",Key!$A$3*H4220*G4220))</f>
        <v/>
      </c>
      <c r="J4220" s="78">
        <f>IF(ISBLANK(E4220),"",IF(ISNUMBER(SEARCH("/",E4220)), IF(LEN(E4220)-LEN(SUBSTITUTE(E4220,"/",""))=1,(RIGHT(E4220,LEN(E4220)-FIND("/",E4220)))-(LEFT(E4220,FIND("/",E4220)-1)),(MID(E4220, SEARCH("/",E4220) + 1, SEARCH("/",E4220, SEARCH("/",E4220)+1) - SEARCH("/",E4220) - 1))-(LEFT(E4220,FIND("/",E4220)-1))), "NA"))</f>
        <v/>
      </c>
      <c r="K4220" s="79">
        <f>IF(A4220&lt;&gt;"", IF(ISBLANK(L4220), TODAY(), K4220), "")</f>
        <v/>
      </c>
      <c r="L4220" s="78" t="n"/>
      <c r="M4220" s="78">
        <f>IF(ISBLANK(L4220),"",IF(D4220="Stock",IF(C4220="Buy",L4220*G4220,IF(C4220="Sell",(L4220*G4220)-I4220, X)),IF(C4220="Buy",(L4220*G4220*100)+I4220,IF(C4220="Sell",(L4220*G4220*100)-I4220, X))))</f>
        <v/>
      </c>
      <c r="N4220" s="78">
        <f>IF(ISBLANK(L4220),"",IF(AND(C4220="Sell",D4220="Stock"),M4220,IF(ISBLANK(L4220),"",IF(C4220="Buy",M4220, IF(AND(C4220="Sell",J4220="NA"),(E4220*G4220*100*0.1)+I4220, IF(C4220="Sell",(J4220-L4220)*(100*G4220)+I4220))))))</f>
        <v/>
      </c>
      <c r="O4220" s="75" t="n"/>
      <c r="P4220" s="75" t="n"/>
      <c r="Q4220" s="75">
        <f>IF(ISBLANK(P4220),"",IF(D4220="Stock",P4220*G4220,IF(P4220=0,"0",G4220*P4220*100-(G4220*$AF$14))))</f>
        <v/>
      </c>
      <c r="R4220" s="79">
        <f>IF(P4220&lt;&gt;"", TODAY(), "")</f>
        <v/>
      </c>
      <c r="S4220" s="78">
        <f>IF(AND(K4220&lt;&gt;"", R4220&lt;&gt;""), R4220-K4220, "")</f>
        <v/>
      </c>
      <c r="T4220" s="78" t="n"/>
      <c r="U4220" s="92">
        <f>IF(ISBLANK(P4220),"",IF(C4220="Buy",Q4220-M4220+T4220, IF(C4220="Sell",M4220-Q4220-T4220, X)))</f>
        <v/>
      </c>
      <c r="V4220" s="81">
        <f>IF(ISBLANK(P4220),"",U4220/N4220)</f>
        <v/>
      </c>
      <c r="W4220" s="81">
        <f>IF(ISBLANK(P4220),"",IF(S4220=0,(365/0.5)*V4220,(365/S4220)*V4220))</f>
        <v/>
      </c>
      <c r="X4220" s="75" t="n"/>
      <c r="Y4220" s="77" t="n"/>
      <c r="Z4220" s="77" t="n"/>
      <c r="AA4220" s="75" t="n"/>
      <c r="AB4220" s="75" t="n"/>
      <c r="AC4220" s="6" t="n"/>
      <c r="AD4220" s="75" t="n"/>
      <c r="AE4220" s="75" t="n"/>
      <c r="AF4220" s="75" t="n"/>
    </row>
    <row r="4221" ht="15.75" customHeight="1" s="133">
      <c r="A4221" s="75" t="n"/>
      <c r="B4221" s="75" t="n"/>
      <c r="C4221" s="75" t="n"/>
      <c r="D4221" s="75" t="n"/>
      <c r="E4221" s="76" t="n"/>
      <c r="F4221" s="77" t="n"/>
      <c r="G4221" s="75" t="n"/>
      <c r="H4221" s="75">
        <f>IF(ISBLANK(E4221),"",IF(OR(D4221="Butterfly",D4221="Butterfly ",D4221="Iron Fly", D4221="Iron Fly "),LEN(E4221)-LEN(SUBSTITUTE(E4221,"/",""))+2,LEN(E4221)-LEN(SUBSTITUTE(E4221,"/",""))+1))</f>
        <v/>
      </c>
      <c r="I4221" s="78">
        <f>IF(ISBLANK(G4221),"",IF(D4221="Stock","0",Key!$A$3*H4221*G4221))</f>
        <v/>
      </c>
      <c r="J4221" s="78">
        <f>IF(ISBLANK(E4221),"",IF(ISNUMBER(SEARCH("/",E4221)), IF(LEN(E4221)-LEN(SUBSTITUTE(E4221,"/",""))=1,(RIGHT(E4221,LEN(E4221)-FIND("/",E4221)))-(LEFT(E4221,FIND("/",E4221)-1)),(MID(E4221, SEARCH("/",E4221) + 1, SEARCH("/",E4221, SEARCH("/",E4221)+1) - SEARCH("/",E4221) - 1))-(LEFT(E4221,FIND("/",E4221)-1))), "NA"))</f>
        <v/>
      </c>
      <c r="K4221" s="79">
        <f>IF(A4221&lt;&gt;"", IF(ISBLANK(L4221), TODAY(), K4221), "")</f>
        <v/>
      </c>
      <c r="L4221" s="78" t="n"/>
      <c r="M4221" s="78">
        <f>IF(ISBLANK(L4221),"",IF(D4221="Stock",IF(C4221="Buy",L4221*G4221,IF(C4221="Sell",(L4221*G4221)-I4221, X)),IF(C4221="Buy",(L4221*G4221*100)+I4221,IF(C4221="Sell",(L4221*G4221*100)-I4221, X))))</f>
        <v/>
      </c>
      <c r="N4221" s="78">
        <f>IF(ISBLANK(L4221),"",IF(AND(C4221="Sell",D4221="Stock"),M4221,IF(ISBLANK(L4221),"",IF(C4221="Buy",M4221, IF(AND(C4221="Sell",J4221="NA"),(E4221*G4221*100*0.1)+I4221, IF(C4221="Sell",(J4221-L4221)*(100*G4221)+I4221))))))</f>
        <v/>
      </c>
      <c r="O4221" s="75" t="n"/>
      <c r="P4221" s="75" t="n"/>
      <c r="Q4221" s="75">
        <f>IF(ISBLANK(P4221),"",IF(D4221="Stock",P4221*G4221,IF(P4221=0,"0",G4221*P4221*100-(G4221*$AF$14))))</f>
        <v/>
      </c>
      <c r="R4221" s="79">
        <f>IF(P4221&lt;&gt;"", TODAY(), "")</f>
        <v/>
      </c>
      <c r="S4221" s="78">
        <f>IF(AND(K4221&lt;&gt;"", R4221&lt;&gt;""), R4221-K4221, "")</f>
        <v/>
      </c>
      <c r="T4221" s="78" t="n"/>
      <c r="U4221" s="92">
        <f>IF(ISBLANK(P4221),"",IF(C4221="Buy",Q4221-M4221+T4221, IF(C4221="Sell",M4221-Q4221-T4221, X)))</f>
        <v/>
      </c>
      <c r="V4221" s="81">
        <f>IF(ISBLANK(P4221),"",U4221/N4221)</f>
        <v/>
      </c>
      <c r="W4221" s="81">
        <f>IF(ISBLANK(P4221),"",IF(S4221=0,(365/0.5)*V4221,(365/S4221)*V4221))</f>
        <v/>
      </c>
      <c r="X4221" s="75" t="n"/>
      <c r="Y4221" s="77" t="n"/>
      <c r="Z4221" s="77" t="n"/>
      <c r="AA4221" s="75" t="n"/>
      <c r="AB4221" s="75" t="n"/>
      <c r="AC4221" s="6" t="n"/>
      <c r="AD4221" s="75" t="n"/>
      <c r="AE4221" s="75" t="n"/>
      <c r="AF4221" s="75" t="n"/>
    </row>
    <row r="4222" ht="15.75" customHeight="1" s="133">
      <c r="A4222" s="75" t="n"/>
      <c r="B4222" s="75" t="n"/>
      <c r="C4222" s="75" t="n"/>
      <c r="D4222" s="75" t="n"/>
      <c r="E4222" s="76" t="n"/>
      <c r="F4222" s="77" t="n"/>
      <c r="G4222" s="75" t="n"/>
      <c r="H4222" s="75">
        <f>IF(ISBLANK(E4222),"",IF(OR(D4222="Butterfly",D4222="Butterfly ",D4222="Iron Fly", D4222="Iron Fly "),LEN(E4222)-LEN(SUBSTITUTE(E4222,"/",""))+2,LEN(E4222)-LEN(SUBSTITUTE(E4222,"/",""))+1))</f>
        <v/>
      </c>
      <c r="I4222" s="78">
        <f>IF(ISBLANK(G4222),"",IF(D4222="Stock","0",Key!$A$3*H4222*G4222))</f>
        <v/>
      </c>
      <c r="J4222" s="78">
        <f>IF(ISBLANK(E4222),"",IF(ISNUMBER(SEARCH("/",E4222)), IF(LEN(E4222)-LEN(SUBSTITUTE(E4222,"/",""))=1,(RIGHT(E4222,LEN(E4222)-FIND("/",E4222)))-(LEFT(E4222,FIND("/",E4222)-1)),(MID(E4222, SEARCH("/",E4222) + 1, SEARCH("/",E4222, SEARCH("/",E4222)+1) - SEARCH("/",E4222) - 1))-(LEFT(E4222,FIND("/",E4222)-1))), "NA"))</f>
        <v/>
      </c>
      <c r="K4222" s="79">
        <f>IF(A4222&lt;&gt;"", IF(ISBLANK(L4222), TODAY(), K4222), "")</f>
        <v/>
      </c>
      <c r="L4222" s="78" t="n"/>
      <c r="M4222" s="78">
        <f>IF(ISBLANK(L4222),"",IF(D4222="Stock",IF(C4222="Buy",L4222*G4222,IF(C4222="Sell",(L4222*G4222)-I4222, X)),IF(C4222="Buy",(L4222*G4222*100)+I4222,IF(C4222="Sell",(L4222*G4222*100)-I4222, X))))</f>
        <v/>
      </c>
      <c r="N4222" s="78">
        <f>IF(ISBLANK(L4222),"",IF(AND(C4222="Sell",D4222="Stock"),M4222,IF(ISBLANK(L4222),"",IF(C4222="Buy",M4222, IF(AND(C4222="Sell",J4222="NA"),(E4222*G4222*100*0.1)+I4222, IF(C4222="Sell",(J4222-L4222)*(100*G4222)+I4222))))))</f>
        <v/>
      </c>
      <c r="O4222" s="75" t="n"/>
      <c r="P4222" s="75" t="n"/>
      <c r="Q4222" s="75">
        <f>IF(ISBLANK(P4222),"",IF(D4222="Stock",P4222*G4222,IF(P4222=0,"0",G4222*P4222*100-(G4222*$AF$14))))</f>
        <v/>
      </c>
      <c r="R4222" s="79">
        <f>IF(P4222&lt;&gt;"", TODAY(), "")</f>
        <v/>
      </c>
      <c r="S4222" s="78">
        <f>IF(AND(K4222&lt;&gt;"", R4222&lt;&gt;""), R4222-K4222, "")</f>
        <v/>
      </c>
      <c r="T4222" s="78" t="n"/>
      <c r="U4222" s="92">
        <f>IF(ISBLANK(P4222),"",IF(C4222="Buy",Q4222-M4222+T4222, IF(C4222="Sell",M4222-Q4222-T4222, X)))</f>
        <v/>
      </c>
      <c r="V4222" s="81">
        <f>IF(ISBLANK(P4222),"",U4222/N4222)</f>
        <v/>
      </c>
      <c r="W4222" s="81">
        <f>IF(ISBLANK(P4222),"",IF(S4222=0,(365/0.5)*V4222,(365/S4222)*V4222))</f>
        <v/>
      </c>
      <c r="X4222" s="75" t="n"/>
      <c r="Y4222" s="77" t="n"/>
      <c r="Z4222" s="77" t="n"/>
      <c r="AA4222" s="75" t="n"/>
      <c r="AB4222" s="75" t="n"/>
      <c r="AC4222" s="6" t="n"/>
      <c r="AD4222" s="75" t="n"/>
      <c r="AE4222" s="75" t="n"/>
      <c r="AF4222" s="75" t="n"/>
    </row>
    <row r="4223" ht="15.75" customHeight="1" s="133">
      <c r="A4223" s="75" t="n"/>
      <c r="B4223" s="75" t="n"/>
      <c r="C4223" s="75" t="n"/>
      <c r="D4223" s="75" t="n"/>
      <c r="E4223" s="76" t="n"/>
      <c r="F4223" s="77" t="n"/>
      <c r="G4223" s="75" t="n"/>
      <c r="H4223" s="75">
        <f>IF(ISBLANK(E4223),"",IF(OR(D4223="Butterfly",D4223="Butterfly ",D4223="Iron Fly", D4223="Iron Fly "),LEN(E4223)-LEN(SUBSTITUTE(E4223,"/",""))+2,LEN(E4223)-LEN(SUBSTITUTE(E4223,"/",""))+1))</f>
        <v/>
      </c>
      <c r="I4223" s="78">
        <f>IF(ISBLANK(G4223),"",IF(D4223="Stock","0",Key!$A$3*H4223*G4223))</f>
        <v/>
      </c>
      <c r="J4223" s="78">
        <f>IF(ISBLANK(E4223),"",IF(ISNUMBER(SEARCH("/",E4223)), IF(LEN(E4223)-LEN(SUBSTITUTE(E4223,"/",""))=1,(RIGHT(E4223,LEN(E4223)-FIND("/",E4223)))-(LEFT(E4223,FIND("/",E4223)-1)),(MID(E4223, SEARCH("/",E4223) + 1, SEARCH("/",E4223, SEARCH("/",E4223)+1) - SEARCH("/",E4223) - 1))-(LEFT(E4223,FIND("/",E4223)-1))), "NA"))</f>
        <v/>
      </c>
      <c r="K4223" s="79">
        <f>IF(A4223&lt;&gt;"", IF(ISBLANK(L4223), TODAY(), K4223), "")</f>
        <v/>
      </c>
      <c r="L4223" s="78" t="n"/>
      <c r="M4223" s="78">
        <f>IF(ISBLANK(L4223),"",IF(D4223="Stock",IF(C4223="Buy",L4223*G4223,IF(C4223="Sell",(L4223*G4223)-I4223, X)),IF(C4223="Buy",(L4223*G4223*100)+I4223,IF(C4223="Sell",(L4223*G4223*100)-I4223, X))))</f>
        <v/>
      </c>
      <c r="N4223" s="78">
        <f>IF(ISBLANK(L4223),"",IF(AND(C4223="Sell",D4223="Stock"),M4223,IF(ISBLANK(L4223),"",IF(C4223="Buy",M4223, IF(AND(C4223="Sell",J4223="NA"),(E4223*G4223*100*0.1)+I4223, IF(C4223="Sell",(J4223-L4223)*(100*G4223)+I4223))))))</f>
        <v/>
      </c>
      <c r="O4223" s="75" t="n"/>
      <c r="P4223" s="75" t="n"/>
      <c r="Q4223" s="75">
        <f>IF(ISBLANK(P4223),"",IF(D4223="Stock",P4223*G4223,IF(P4223=0,"0",G4223*P4223*100-(G4223*$AF$14))))</f>
        <v/>
      </c>
      <c r="R4223" s="79">
        <f>IF(P4223&lt;&gt;"", TODAY(), "")</f>
        <v/>
      </c>
      <c r="S4223" s="78">
        <f>IF(AND(K4223&lt;&gt;"", R4223&lt;&gt;""), R4223-K4223, "")</f>
        <v/>
      </c>
      <c r="T4223" s="78" t="n"/>
      <c r="U4223" s="92">
        <f>IF(ISBLANK(P4223),"",IF(C4223="Buy",Q4223-M4223+T4223, IF(C4223="Sell",M4223-Q4223-T4223, X)))</f>
        <v/>
      </c>
      <c r="V4223" s="81">
        <f>IF(ISBLANK(P4223),"",U4223/N4223)</f>
        <v/>
      </c>
      <c r="W4223" s="81">
        <f>IF(ISBLANK(P4223),"",IF(S4223=0,(365/0.5)*V4223,(365/S4223)*V4223))</f>
        <v/>
      </c>
      <c r="X4223" s="75" t="n"/>
      <c r="Y4223" s="77" t="n"/>
      <c r="Z4223" s="77" t="n"/>
      <c r="AA4223" s="75" t="n"/>
      <c r="AB4223" s="75" t="n"/>
      <c r="AC4223" s="6" t="n"/>
      <c r="AD4223" s="75" t="n"/>
      <c r="AE4223" s="75" t="n"/>
      <c r="AF4223" s="75" t="n"/>
    </row>
    <row r="4224" ht="15.75" customHeight="1" s="133">
      <c r="A4224" s="75" t="n"/>
      <c r="B4224" s="75" t="n"/>
      <c r="C4224" s="75" t="n"/>
      <c r="D4224" s="75" t="n"/>
      <c r="E4224" s="76" t="n"/>
      <c r="F4224" s="77" t="n"/>
      <c r="G4224" s="75" t="n"/>
      <c r="H4224" s="75">
        <f>IF(ISBLANK(E4224),"",IF(OR(D4224="Butterfly",D4224="Butterfly ",D4224="Iron Fly", D4224="Iron Fly "),LEN(E4224)-LEN(SUBSTITUTE(E4224,"/",""))+2,LEN(E4224)-LEN(SUBSTITUTE(E4224,"/",""))+1))</f>
        <v/>
      </c>
      <c r="I4224" s="78">
        <f>IF(ISBLANK(G4224),"",IF(D4224="Stock","0",Key!$A$3*H4224*G4224))</f>
        <v/>
      </c>
      <c r="J4224" s="78">
        <f>IF(ISBLANK(E4224),"",IF(ISNUMBER(SEARCH("/",E4224)), IF(LEN(E4224)-LEN(SUBSTITUTE(E4224,"/",""))=1,(RIGHT(E4224,LEN(E4224)-FIND("/",E4224)))-(LEFT(E4224,FIND("/",E4224)-1)),(MID(E4224, SEARCH("/",E4224) + 1, SEARCH("/",E4224, SEARCH("/",E4224)+1) - SEARCH("/",E4224) - 1))-(LEFT(E4224,FIND("/",E4224)-1))), "NA"))</f>
        <v/>
      </c>
      <c r="K4224" s="79">
        <f>IF(A4224&lt;&gt;"", IF(ISBLANK(L4224), TODAY(), K4224), "")</f>
        <v/>
      </c>
      <c r="L4224" s="78" t="n"/>
      <c r="M4224" s="78">
        <f>IF(ISBLANK(L4224),"",IF(D4224="Stock",IF(C4224="Buy",L4224*G4224,IF(C4224="Sell",(L4224*G4224)-I4224, X)),IF(C4224="Buy",(L4224*G4224*100)+I4224,IF(C4224="Sell",(L4224*G4224*100)-I4224, X))))</f>
        <v/>
      </c>
      <c r="N4224" s="78">
        <f>IF(ISBLANK(L4224),"",IF(AND(C4224="Sell",D4224="Stock"),M4224,IF(ISBLANK(L4224),"",IF(C4224="Buy",M4224, IF(AND(C4224="Sell",J4224="NA"),(E4224*G4224*100*0.1)+I4224, IF(C4224="Sell",(J4224-L4224)*(100*G4224)+I4224))))))</f>
        <v/>
      </c>
      <c r="O4224" s="75" t="n"/>
      <c r="P4224" s="75" t="n"/>
      <c r="Q4224" s="75">
        <f>IF(ISBLANK(P4224),"",IF(D4224="Stock",P4224*G4224,IF(P4224=0,"0",G4224*P4224*100-(G4224*$AF$14))))</f>
        <v/>
      </c>
      <c r="R4224" s="79">
        <f>IF(P4224&lt;&gt;"", TODAY(), "")</f>
        <v/>
      </c>
      <c r="S4224" s="78">
        <f>IF(AND(K4224&lt;&gt;"", R4224&lt;&gt;""), R4224-K4224, "")</f>
        <v/>
      </c>
      <c r="T4224" s="78" t="n"/>
      <c r="U4224" s="92">
        <f>IF(ISBLANK(P4224),"",IF(C4224="Buy",Q4224-M4224+T4224, IF(C4224="Sell",M4224-Q4224-T4224, X)))</f>
        <v/>
      </c>
      <c r="V4224" s="81">
        <f>IF(ISBLANK(P4224),"",U4224/N4224)</f>
        <v/>
      </c>
      <c r="W4224" s="81">
        <f>IF(ISBLANK(P4224),"",IF(S4224=0,(365/0.5)*V4224,(365/S4224)*V4224))</f>
        <v/>
      </c>
      <c r="X4224" s="75" t="n"/>
      <c r="Y4224" s="77" t="n"/>
      <c r="Z4224" s="77" t="n"/>
      <c r="AA4224" s="75" t="n"/>
      <c r="AB4224" s="75" t="n"/>
      <c r="AC4224" s="6" t="n"/>
      <c r="AD4224" s="75" t="n"/>
      <c r="AE4224" s="75" t="n"/>
      <c r="AF4224" s="75" t="n"/>
    </row>
    <row r="4225" ht="15.75" customHeight="1" s="133">
      <c r="A4225" s="75" t="n"/>
      <c r="B4225" s="75" t="n"/>
      <c r="C4225" s="75" t="n"/>
      <c r="D4225" s="75" t="n"/>
      <c r="E4225" s="76" t="n"/>
      <c r="F4225" s="77" t="n"/>
      <c r="G4225" s="75" t="n"/>
      <c r="H4225" s="75">
        <f>IF(ISBLANK(E4225),"",IF(OR(D4225="Butterfly",D4225="Butterfly ",D4225="Iron Fly", D4225="Iron Fly "),LEN(E4225)-LEN(SUBSTITUTE(E4225,"/",""))+2,LEN(E4225)-LEN(SUBSTITUTE(E4225,"/",""))+1))</f>
        <v/>
      </c>
      <c r="I4225" s="78">
        <f>IF(ISBLANK(G4225),"",IF(D4225="Stock","0",Key!$A$3*H4225*G4225))</f>
        <v/>
      </c>
      <c r="J4225" s="78">
        <f>IF(ISBLANK(E4225),"",IF(ISNUMBER(SEARCH("/",E4225)), IF(LEN(E4225)-LEN(SUBSTITUTE(E4225,"/",""))=1,(RIGHT(E4225,LEN(E4225)-FIND("/",E4225)))-(LEFT(E4225,FIND("/",E4225)-1)),(MID(E4225, SEARCH("/",E4225) + 1, SEARCH("/",E4225, SEARCH("/",E4225)+1) - SEARCH("/",E4225) - 1))-(LEFT(E4225,FIND("/",E4225)-1))), "NA"))</f>
        <v/>
      </c>
      <c r="K4225" s="79">
        <f>IF(A4225&lt;&gt;"", IF(ISBLANK(L4225), TODAY(), K4225), "")</f>
        <v/>
      </c>
      <c r="L4225" s="78" t="n"/>
      <c r="M4225" s="78">
        <f>IF(ISBLANK(L4225),"",IF(D4225="Stock",IF(C4225="Buy",L4225*G4225,IF(C4225="Sell",(L4225*G4225)-I4225, X)),IF(C4225="Buy",(L4225*G4225*100)+I4225,IF(C4225="Sell",(L4225*G4225*100)-I4225, X))))</f>
        <v/>
      </c>
      <c r="N4225" s="78">
        <f>IF(ISBLANK(L4225),"",IF(AND(C4225="Sell",D4225="Stock"),M4225,IF(ISBLANK(L4225),"",IF(C4225="Buy",M4225, IF(AND(C4225="Sell",J4225="NA"),(E4225*G4225*100*0.1)+I4225, IF(C4225="Sell",(J4225-L4225)*(100*G4225)+I4225))))))</f>
        <v/>
      </c>
      <c r="O4225" s="75" t="n"/>
      <c r="P4225" s="75" t="n"/>
      <c r="Q4225" s="75">
        <f>IF(ISBLANK(P4225),"",IF(D4225="Stock",P4225*G4225,IF(P4225=0,"0",G4225*P4225*100-(G4225*$AF$14))))</f>
        <v/>
      </c>
      <c r="R4225" s="79">
        <f>IF(P4225&lt;&gt;"", TODAY(), "")</f>
        <v/>
      </c>
      <c r="S4225" s="78">
        <f>IF(AND(K4225&lt;&gt;"", R4225&lt;&gt;""), R4225-K4225, "")</f>
        <v/>
      </c>
      <c r="T4225" s="78" t="n"/>
      <c r="U4225" s="92">
        <f>IF(ISBLANK(P4225),"",IF(C4225="Buy",Q4225-M4225+T4225, IF(C4225="Sell",M4225-Q4225-T4225, X)))</f>
        <v/>
      </c>
      <c r="V4225" s="81">
        <f>IF(ISBLANK(P4225),"",U4225/N4225)</f>
        <v/>
      </c>
      <c r="W4225" s="81">
        <f>IF(ISBLANK(P4225),"",IF(S4225=0,(365/0.5)*V4225,(365/S4225)*V4225))</f>
        <v/>
      </c>
      <c r="X4225" s="75" t="n"/>
      <c r="Y4225" s="77" t="n"/>
      <c r="Z4225" s="77" t="n"/>
      <c r="AA4225" s="75" t="n"/>
      <c r="AB4225" s="75" t="n"/>
      <c r="AC4225" s="6" t="n"/>
      <c r="AD4225" s="75" t="n"/>
      <c r="AE4225" s="75" t="n"/>
      <c r="AF4225" s="75" t="n"/>
    </row>
    <row r="4226" ht="15.75" customHeight="1" s="133">
      <c r="A4226" s="75" t="n"/>
      <c r="B4226" s="75" t="n"/>
      <c r="C4226" s="75" t="n"/>
      <c r="D4226" s="75" t="n"/>
      <c r="E4226" s="76" t="n"/>
      <c r="F4226" s="77" t="n"/>
      <c r="G4226" s="75" t="n"/>
      <c r="H4226" s="75">
        <f>IF(ISBLANK(E4226),"",IF(OR(D4226="Butterfly",D4226="Butterfly ",D4226="Iron Fly", D4226="Iron Fly "),LEN(E4226)-LEN(SUBSTITUTE(E4226,"/",""))+2,LEN(E4226)-LEN(SUBSTITUTE(E4226,"/",""))+1))</f>
        <v/>
      </c>
      <c r="I4226" s="78">
        <f>IF(ISBLANK(G4226),"",IF(D4226="Stock","0",Key!$A$3*H4226*G4226))</f>
        <v/>
      </c>
      <c r="J4226" s="78">
        <f>IF(ISBLANK(E4226),"",IF(ISNUMBER(SEARCH("/",E4226)), IF(LEN(E4226)-LEN(SUBSTITUTE(E4226,"/",""))=1,(RIGHT(E4226,LEN(E4226)-FIND("/",E4226)))-(LEFT(E4226,FIND("/",E4226)-1)),(MID(E4226, SEARCH("/",E4226) + 1, SEARCH("/",E4226, SEARCH("/",E4226)+1) - SEARCH("/",E4226) - 1))-(LEFT(E4226,FIND("/",E4226)-1))), "NA"))</f>
        <v/>
      </c>
      <c r="K4226" s="79">
        <f>IF(A4226&lt;&gt;"", IF(ISBLANK(L4226), TODAY(), K4226), "")</f>
        <v/>
      </c>
      <c r="L4226" s="78" t="n"/>
      <c r="M4226" s="78">
        <f>IF(ISBLANK(L4226),"",IF(D4226="Stock",IF(C4226="Buy",L4226*G4226,IF(C4226="Sell",(L4226*G4226)-I4226, X)),IF(C4226="Buy",(L4226*G4226*100)+I4226,IF(C4226="Sell",(L4226*G4226*100)-I4226, X))))</f>
        <v/>
      </c>
      <c r="N4226" s="78">
        <f>IF(ISBLANK(L4226),"",IF(AND(C4226="Sell",D4226="Stock"),M4226,IF(ISBLANK(L4226),"",IF(C4226="Buy",M4226, IF(AND(C4226="Sell",J4226="NA"),(E4226*G4226*100*0.1)+I4226, IF(C4226="Sell",(J4226-L4226)*(100*G4226)+I4226))))))</f>
        <v/>
      </c>
      <c r="O4226" s="75" t="n"/>
      <c r="P4226" s="75" t="n"/>
      <c r="Q4226" s="75">
        <f>IF(ISBLANK(P4226),"",IF(D4226="Stock",P4226*G4226,IF(P4226=0,"0",G4226*P4226*100-(G4226*$AF$14))))</f>
        <v/>
      </c>
      <c r="R4226" s="79">
        <f>IF(P4226&lt;&gt;"", TODAY(), "")</f>
        <v/>
      </c>
      <c r="S4226" s="78">
        <f>IF(AND(K4226&lt;&gt;"", R4226&lt;&gt;""), R4226-K4226, "")</f>
        <v/>
      </c>
      <c r="T4226" s="78" t="n"/>
      <c r="U4226" s="92">
        <f>IF(ISBLANK(P4226),"",IF(C4226="Buy",Q4226-M4226+T4226, IF(C4226="Sell",M4226-Q4226-T4226, X)))</f>
        <v/>
      </c>
      <c r="V4226" s="81">
        <f>IF(ISBLANK(P4226),"",U4226/N4226)</f>
        <v/>
      </c>
      <c r="W4226" s="81">
        <f>IF(ISBLANK(P4226),"",IF(S4226=0,(365/0.5)*V4226,(365/S4226)*V4226))</f>
        <v/>
      </c>
      <c r="X4226" s="75" t="n"/>
      <c r="Y4226" s="77" t="n"/>
      <c r="Z4226" s="77" t="n"/>
      <c r="AA4226" s="75" t="n"/>
      <c r="AB4226" s="75" t="n"/>
      <c r="AC4226" s="6" t="n"/>
      <c r="AD4226" s="75" t="n"/>
      <c r="AE4226" s="75" t="n"/>
      <c r="AF4226" s="75" t="n"/>
    </row>
    <row r="4227" ht="15.75" customHeight="1" s="133">
      <c r="A4227" s="75" t="n"/>
      <c r="B4227" s="75" t="n"/>
      <c r="C4227" s="75" t="n"/>
      <c r="D4227" s="75" t="n"/>
      <c r="E4227" s="76" t="n"/>
      <c r="F4227" s="77" t="n"/>
      <c r="G4227" s="75" t="n"/>
      <c r="H4227" s="75">
        <f>IF(ISBLANK(E4227),"",IF(OR(D4227="Butterfly",D4227="Butterfly ",D4227="Iron Fly", D4227="Iron Fly "),LEN(E4227)-LEN(SUBSTITUTE(E4227,"/",""))+2,LEN(E4227)-LEN(SUBSTITUTE(E4227,"/",""))+1))</f>
        <v/>
      </c>
      <c r="I4227" s="78">
        <f>IF(ISBLANK(G4227),"",IF(D4227="Stock","0",Key!$A$3*H4227*G4227))</f>
        <v/>
      </c>
      <c r="J4227" s="78">
        <f>IF(ISBLANK(E4227),"",IF(ISNUMBER(SEARCH("/",E4227)), IF(LEN(E4227)-LEN(SUBSTITUTE(E4227,"/",""))=1,(RIGHT(E4227,LEN(E4227)-FIND("/",E4227)))-(LEFT(E4227,FIND("/",E4227)-1)),(MID(E4227, SEARCH("/",E4227) + 1, SEARCH("/",E4227, SEARCH("/",E4227)+1) - SEARCH("/",E4227) - 1))-(LEFT(E4227,FIND("/",E4227)-1))), "NA"))</f>
        <v/>
      </c>
      <c r="K4227" s="79">
        <f>IF(A4227&lt;&gt;"", IF(ISBLANK(L4227), TODAY(), K4227), "")</f>
        <v/>
      </c>
      <c r="L4227" s="78" t="n"/>
      <c r="M4227" s="78">
        <f>IF(ISBLANK(L4227),"",IF(D4227="Stock",IF(C4227="Buy",L4227*G4227,IF(C4227="Sell",(L4227*G4227)-I4227, X)),IF(C4227="Buy",(L4227*G4227*100)+I4227,IF(C4227="Sell",(L4227*G4227*100)-I4227, X))))</f>
        <v/>
      </c>
      <c r="N4227" s="78">
        <f>IF(ISBLANK(L4227),"",IF(AND(C4227="Sell",D4227="Stock"),M4227,IF(ISBLANK(L4227),"",IF(C4227="Buy",M4227, IF(AND(C4227="Sell",J4227="NA"),(E4227*G4227*100*0.1)+I4227, IF(C4227="Sell",(J4227-L4227)*(100*G4227)+I4227))))))</f>
        <v/>
      </c>
      <c r="O4227" s="75" t="n"/>
      <c r="P4227" s="75" t="n"/>
      <c r="Q4227" s="75">
        <f>IF(ISBLANK(P4227),"",IF(D4227="Stock",P4227*G4227,IF(P4227=0,"0",G4227*P4227*100-(G4227*$AF$14))))</f>
        <v/>
      </c>
      <c r="R4227" s="79">
        <f>IF(P4227&lt;&gt;"", TODAY(), "")</f>
        <v/>
      </c>
      <c r="S4227" s="78">
        <f>IF(AND(K4227&lt;&gt;"", R4227&lt;&gt;""), R4227-K4227, "")</f>
        <v/>
      </c>
      <c r="T4227" s="78" t="n"/>
      <c r="U4227" s="92">
        <f>IF(ISBLANK(P4227),"",IF(C4227="Buy",Q4227-M4227+T4227, IF(C4227="Sell",M4227-Q4227-T4227, X)))</f>
        <v/>
      </c>
      <c r="V4227" s="81">
        <f>IF(ISBLANK(P4227),"",U4227/N4227)</f>
        <v/>
      </c>
      <c r="W4227" s="81">
        <f>IF(ISBLANK(P4227),"",IF(S4227=0,(365/0.5)*V4227,(365/S4227)*V4227))</f>
        <v/>
      </c>
      <c r="X4227" s="75" t="n"/>
      <c r="Y4227" s="77" t="n"/>
      <c r="Z4227" s="77" t="n"/>
      <c r="AA4227" s="75" t="n"/>
      <c r="AB4227" s="75" t="n"/>
      <c r="AC4227" s="6" t="n"/>
      <c r="AD4227" s="75" t="n"/>
      <c r="AE4227" s="75" t="n"/>
      <c r="AF4227" s="75" t="n"/>
    </row>
    <row r="4228" ht="15.75" customHeight="1" s="133">
      <c r="A4228" s="75" t="n"/>
      <c r="B4228" s="75" t="n"/>
      <c r="C4228" s="75" t="n"/>
      <c r="D4228" s="75" t="n"/>
      <c r="E4228" s="76" t="n"/>
      <c r="F4228" s="77" t="n"/>
      <c r="G4228" s="75" t="n"/>
      <c r="H4228" s="75">
        <f>IF(ISBLANK(E4228),"",IF(OR(D4228="Butterfly",D4228="Butterfly ",D4228="Iron Fly", D4228="Iron Fly "),LEN(E4228)-LEN(SUBSTITUTE(E4228,"/",""))+2,LEN(E4228)-LEN(SUBSTITUTE(E4228,"/",""))+1))</f>
        <v/>
      </c>
      <c r="I4228" s="78">
        <f>IF(ISBLANK(G4228),"",IF(D4228="Stock","0",Key!$A$3*H4228*G4228))</f>
        <v/>
      </c>
      <c r="J4228" s="78">
        <f>IF(ISBLANK(E4228),"",IF(ISNUMBER(SEARCH("/",E4228)), IF(LEN(E4228)-LEN(SUBSTITUTE(E4228,"/",""))=1,(RIGHT(E4228,LEN(E4228)-FIND("/",E4228)))-(LEFT(E4228,FIND("/",E4228)-1)),(MID(E4228, SEARCH("/",E4228) + 1, SEARCH("/",E4228, SEARCH("/",E4228)+1) - SEARCH("/",E4228) - 1))-(LEFT(E4228,FIND("/",E4228)-1))), "NA"))</f>
        <v/>
      </c>
      <c r="K4228" s="79">
        <f>IF(A4228&lt;&gt;"", IF(ISBLANK(L4228), TODAY(), K4228), "")</f>
        <v/>
      </c>
      <c r="L4228" s="78" t="n"/>
      <c r="M4228" s="78">
        <f>IF(ISBLANK(L4228),"",IF(D4228="Stock",IF(C4228="Buy",L4228*G4228,IF(C4228="Sell",(L4228*G4228)-I4228, X)),IF(C4228="Buy",(L4228*G4228*100)+I4228,IF(C4228="Sell",(L4228*G4228*100)-I4228, X))))</f>
        <v/>
      </c>
      <c r="N4228" s="78">
        <f>IF(ISBLANK(L4228),"",IF(AND(C4228="Sell",D4228="Stock"),M4228,IF(ISBLANK(L4228),"",IF(C4228="Buy",M4228, IF(AND(C4228="Sell",J4228="NA"),(E4228*G4228*100*0.1)+I4228, IF(C4228="Sell",(J4228-L4228)*(100*G4228)+I4228))))))</f>
        <v/>
      </c>
      <c r="O4228" s="75" t="n"/>
      <c r="P4228" s="75" t="n"/>
      <c r="Q4228" s="75">
        <f>IF(ISBLANK(P4228),"",IF(D4228="Stock",P4228*G4228,IF(P4228=0,"0",G4228*P4228*100-(G4228*$AF$14))))</f>
        <v/>
      </c>
      <c r="R4228" s="79">
        <f>IF(P4228&lt;&gt;"", TODAY(), "")</f>
        <v/>
      </c>
      <c r="S4228" s="78">
        <f>IF(AND(K4228&lt;&gt;"", R4228&lt;&gt;""), R4228-K4228, "")</f>
        <v/>
      </c>
      <c r="T4228" s="78" t="n"/>
      <c r="U4228" s="92">
        <f>IF(ISBLANK(P4228),"",IF(C4228="Buy",Q4228-M4228+T4228, IF(C4228="Sell",M4228-Q4228-T4228, X)))</f>
        <v/>
      </c>
      <c r="V4228" s="81">
        <f>IF(ISBLANK(P4228),"",U4228/N4228)</f>
        <v/>
      </c>
      <c r="W4228" s="81">
        <f>IF(ISBLANK(P4228),"",IF(S4228=0,(365/0.5)*V4228,(365/S4228)*V4228))</f>
        <v/>
      </c>
      <c r="X4228" s="75" t="n"/>
      <c r="Y4228" s="77" t="n"/>
      <c r="Z4228" s="77" t="n"/>
      <c r="AA4228" s="75" t="n"/>
      <c r="AB4228" s="75" t="n"/>
      <c r="AC4228" s="6" t="n"/>
      <c r="AD4228" s="75" t="n"/>
      <c r="AE4228" s="75" t="n"/>
      <c r="AF4228" s="75" t="n"/>
    </row>
    <row r="4229" ht="15.75" customHeight="1" s="133">
      <c r="A4229" s="75" t="n"/>
      <c r="B4229" s="75" t="n"/>
      <c r="C4229" s="75" t="n"/>
      <c r="D4229" s="75" t="n"/>
      <c r="E4229" s="76" t="n"/>
      <c r="F4229" s="77" t="n"/>
      <c r="G4229" s="75" t="n"/>
      <c r="H4229" s="75">
        <f>IF(ISBLANK(E4229),"",IF(OR(D4229="Butterfly",D4229="Butterfly ",D4229="Iron Fly", D4229="Iron Fly "),LEN(E4229)-LEN(SUBSTITUTE(E4229,"/",""))+2,LEN(E4229)-LEN(SUBSTITUTE(E4229,"/",""))+1))</f>
        <v/>
      </c>
      <c r="I4229" s="78">
        <f>IF(ISBLANK(G4229),"",IF(D4229="Stock","0",Key!$A$3*H4229*G4229))</f>
        <v/>
      </c>
      <c r="J4229" s="78">
        <f>IF(ISBLANK(E4229),"",IF(ISNUMBER(SEARCH("/",E4229)), IF(LEN(E4229)-LEN(SUBSTITUTE(E4229,"/",""))=1,(RIGHT(E4229,LEN(E4229)-FIND("/",E4229)))-(LEFT(E4229,FIND("/",E4229)-1)),(MID(E4229, SEARCH("/",E4229) + 1, SEARCH("/",E4229, SEARCH("/",E4229)+1) - SEARCH("/",E4229) - 1))-(LEFT(E4229,FIND("/",E4229)-1))), "NA"))</f>
        <v/>
      </c>
      <c r="K4229" s="79">
        <f>IF(A4229&lt;&gt;"", IF(ISBLANK(L4229), TODAY(), K4229), "")</f>
        <v/>
      </c>
      <c r="L4229" s="78" t="n"/>
      <c r="M4229" s="78">
        <f>IF(ISBLANK(L4229),"",IF(D4229="Stock",IF(C4229="Buy",L4229*G4229,IF(C4229="Sell",(L4229*G4229)-I4229, X)),IF(C4229="Buy",(L4229*G4229*100)+I4229,IF(C4229="Sell",(L4229*G4229*100)-I4229, X))))</f>
        <v/>
      </c>
      <c r="N4229" s="78">
        <f>IF(ISBLANK(L4229),"",IF(AND(C4229="Sell",D4229="Stock"),M4229,IF(ISBLANK(L4229),"",IF(C4229="Buy",M4229, IF(AND(C4229="Sell",J4229="NA"),(E4229*G4229*100*0.1)+I4229, IF(C4229="Sell",(J4229-L4229)*(100*G4229)+I4229))))))</f>
        <v/>
      </c>
      <c r="O4229" s="75" t="n"/>
      <c r="P4229" s="75" t="n"/>
      <c r="Q4229" s="75">
        <f>IF(ISBLANK(P4229),"",IF(D4229="Stock",P4229*G4229,IF(P4229=0,"0",G4229*P4229*100-(G4229*$AF$14))))</f>
        <v/>
      </c>
      <c r="R4229" s="79">
        <f>IF(P4229&lt;&gt;"", TODAY(), "")</f>
        <v/>
      </c>
      <c r="S4229" s="78">
        <f>IF(AND(K4229&lt;&gt;"", R4229&lt;&gt;""), R4229-K4229, "")</f>
        <v/>
      </c>
      <c r="T4229" s="78" t="n"/>
      <c r="U4229" s="92">
        <f>IF(ISBLANK(P4229),"",IF(C4229="Buy",Q4229-M4229+T4229, IF(C4229="Sell",M4229-Q4229-T4229, X)))</f>
        <v/>
      </c>
      <c r="V4229" s="81">
        <f>IF(ISBLANK(P4229),"",U4229/N4229)</f>
        <v/>
      </c>
      <c r="W4229" s="81">
        <f>IF(ISBLANK(P4229),"",IF(S4229=0,(365/0.5)*V4229,(365/S4229)*V4229))</f>
        <v/>
      </c>
      <c r="X4229" s="75" t="n"/>
      <c r="Y4229" s="77" t="n"/>
      <c r="Z4229" s="77" t="n"/>
      <c r="AA4229" s="75" t="n"/>
      <c r="AB4229" s="75" t="n"/>
      <c r="AC4229" s="6" t="n"/>
      <c r="AD4229" s="75" t="n"/>
      <c r="AE4229" s="75" t="n"/>
      <c r="AF4229" s="75" t="n"/>
    </row>
    <row r="4230" ht="15.75" customHeight="1" s="133">
      <c r="A4230" s="75" t="n"/>
      <c r="B4230" s="75" t="n"/>
      <c r="C4230" s="75" t="n"/>
      <c r="D4230" s="75" t="n"/>
      <c r="E4230" s="76" t="n"/>
      <c r="F4230" s="77" t="n"/>
      <c r="G4230" s="75" t="n"/>
      <c r="H4230" s="75">
        <f>IF(ISBLANK(E4230),"",IF(OR(D4230="Butterfly",D4230="Butterfly ",D4230="Iron Fly", D4230="Iron Fly "),LEN(E4230)-LEN(SUBSTITUTE(E4230,"/",""))+2,LEN(E4230)-LEN(SUBSTITUTE(E4230,"/",""))+1))</f>
        <v/>
      </c>
      <c r="I4230" s="78">
        <f>IF(ISBLANK(G4230),"",IF(D4230="Stock","0",Key!$A$3*H4230*G4230))</f>
        <v/>
      </c>
      <c r="J4230" s="78">
        <f>IF(ISBLANK(E4230),"",IF(ISNUMBER(SEARCH("/",E4230)), IF(LEN(E4230)-LEN(SUBSTITUTE(E4230,"/",""))=1,(RIGHT(E4230,LEN(E4230)-FIND("/",E4230)))-(LEFT(E4230,FIND("/",E4230)-1)),(MID(E4230, SEARCH("/",E4230) + 1, SEARCH("/",E4230, SEARCH("/",E4230)+1) - SEARCH("/",E4230) - 1))-(LEFT(E4230,FIND("/",E4230)-1))), "NA"))</f>
        <v/>
      </c>
      <c r="K4230" s="79">
        <f>IF(A4230&lt;&gt;"", IF(ISBLANK(L4230), TODAY(), K4230), "")</f>
        <v/>
      </c>
      <c r="L4230" s="78" t="n"/>
      <c r="M4230" s="78">
        <f>IF(ISBLANK(L4230),"",IF(D4230="Stock",IF(C4230="Buy",L4230*G4230,IF(C4230="Sell",(L4230*G4230)-I4230, X)),IF(C4230="Buy",(L4230*G4230*100)+I4230,IF(C4230="Sell",(L4230*G4230*100)-I4230, X))))</f>
        <v/>
      </c>
      <c r="N4230" s="78">
        <f>IF(ISBLANK(L4230),"",IF(AND(C4230="Sell",D4230="Stock"),M4230,IF(ISBLANK(L4230),"",IF(C4230="Buy",M4230, IF(AND(C4230="Sell",J4230="NA"),(E4230*G4230*100*0.1)+I4230, IF(C4230="Sell",(J4230-L4230)*(100*G4230)+I4230))))))</f>
        <v/>
      </c>
      <c r="O4230" s="75" t="n"/>
      <c r="P4230" s="75" t="n"/>
      <c r="Q4230" s="75">
        <f>IF(ISBLANK(P4230),"",IF(D4230="Stock",P4230*G4230,IF(P4230=0,"0",G4230*P4230*100-(G4230*$AF$14))))</f>
        <v/>
      </c>
      <c r="R4230" s="79">
        <f>IF(P4230&lt;&gt;"", TODAY(), "")</f>
        <v/>
      </c>
      <c r="S4230" s="78">
        <f>IF(AND(K4230&lt;&gt;"", R4230&lt;&gt;""), R4230-K4230, "")</f>
        <v/>
      </c>
      <c r="T4230" s="78" t="n"/>
      <c r="U4230" s="92">
        <f>IF(ISBLANK(P4230),"",IF(C4230="Buy",Q4230-M4230+T4230, IF(C4230="Sell",M4230-Q4230-T4230, X)))</f>
        <v/>
      </c>
      <c r="V4230" s="81">
        <f>IF(ISBLANK(P4230),"",U4230/N4230)</f>
        <v/>
      </c>
      <c r="W4230" s="81">
        <f>IF(ISBLANK(P4230),"",IF(S4230=0,(365/0.5)*V4230,(365/S4230)*V4230))</f>
        <v/>
      </c>
      <c r="X4230" s="75" t="n"/>
      <c r="Y4230" s="77" t="n"/>
      <c r="Z4230" s="77" t="n"/>
      <c r="AA4230" s="75" t="n"/>
      <c r="AB4230" s="75" t="n"/>
      <c r="AC4230" s="6" t="n"/>
      <c r="AD4230" s="75" t="n"/>
      <c r="AE4230" s="75" t="n"/>
      <c r="AF4230" s="75" t="n"/>
    </row>
    <row r="4231" ht="15.75" customHeight="1" s="133">
      <c r="A4231" s="75" t="n"/>
      <c r="B4231" s="75" t="n"/>
      <c r="C4231" s="75" t="n"/>
      <c r="D4231" s="75" t="n"/>
      <c r="E4231" s="76" t="n"/>
      <c r="F4231" s="77" t="n"/>
      <c r="G4231" s="75" t="n"/>
      <c r="H4231" s="75">
        <f>IF(ISBLANK(E4231),"",IF(OR(D4231="Butterfly",D4231="Butterfly ",D4231="Iron Fly", D4231="Iron Fly "),LEN(E4231)-LEN(SUBSTITUTE(E4231,"/",""))+2,LEN(E4231)-LEN(SUBSTITUTE(E4231,"/",""))+1))</f>
        <v/>
      </c>
      <c r="I4231" s="78">
        <f>IF(ISBLANK(G4231),"",IF(D4231="Stock","0",Key!$A$3*H4231*G4231))</f>
        <v/>
      </c>
      <c r="J4231" s="78">
        <f>IF(ISBLANK(E4231),"",IF(ISNUMBER(SEARCH("/",E4231)), IF(LEN(E4231)-LEN(SUBSTITUTE(E4231,"/",""))=1,(RIGHT(E4231,LEN(E4231)-FIND("/",E4231)))-(LEFT(E4231,FIND("/",E4231)-1)),(MID(E4231, SEARCH("/",E4231) + 1, SEARCH("/",E4231, SEARCH("/",E4231)+1) - SEARCH("/",E4231) - 1))-(LEFT(E4231,FIND("/",E4231)-1))), "NA"))</f>
        <v/>
      </c>
      <c r="K4231" s="79">
        <f>IF(A4231&lt;&gt;"", IF(ISBLANK(L4231), TODAY(), K4231), "")</f>
        <v/>
      </c>
      <c r="L4231" s="78" t="n"/>
      <c r="M4231" s="78">
        <f>IF(ISBLANK(L4231),"",IF(D4231="Stock",IF(C4231="Buy",L4231*G4231,IF(C4231="Sell",(L4231*G4231)-I4231, X)),IF(C4231="Buy",(L4231*G4231*100)+I4231,IF(C4231="Sell",(L4231*G4231*100)-I4231, X))))</f>
        <v/>
      </c>
      <c r="N4231" s="78">
        <f>IF(ISBLANK(L4231),"",IF(AND(C4231="Sell",D4231="Stock"),M4231,IF(ISBLANK(L4231),"",IF(C4231="Buy",M4231, IF(AND(C4231="Sell",J4231="NA"),(E4231*G4231*100*0.1)+I4231, IF(C4231="Sell",(J4231-L4231)*(100*G4231)+I4231))))))</f>
        <v/>
      </c>
      <c r="O4231" s="75" t="n"/>
      <c r="P4231" s="75" t="n"/>
      <c r="Q4231" s="75">
        <f>IF(ISBLANK(P4231),"",IF(D4231="Stock",P4231*G4231,IF(P4231=0,"0",G4231*P4231*100-(G4231*$AF$14))))</f>
        <v/>
      </c>
      <c r="R4231" s="79">
        <f>IF(P4231&lt;&gt;"", TODAY(), "")</f>
        <v/>
      </c>
      <c r="S4231" s="78">
        <f>IF(AND(K4231&lt;&gt;"", R4231&lt;&gt;""), R4231-K4231, "")</f>
        <v/>
      </c>
      <c r="T4231" s="78" t="n"/>
      <c r="U4231" s="92">
        <f>IF(ISBLANK(P4231),"",IF(C4231="Buy",Q4231-M4231+T4231, IF(C4231="Sell",M4231-Q4231-T4231, X)))</f>
        <v/>
      </c>
      <c r="V4231" s="81">
        <f>IF(ISBLANK(P4231),"",U4231/N4231)</f>
        <v/>
      </c>
      <c r="W4231" s="81">
        <f>IF(ISBLANK(P4231),"",IF(S4231=0,(365/0.5)*V4231,(365/S4231)*V4231))</f>
        <v/>
      </c>
      <c r="X4231" s="75" t="n"/>
      <c r="Y4231" s="77" t="n"/>
      <c r="Z4231" s="77" t="n"/>
      <c r="AA4231" s="75" t="n"/>
      <c r="AB4231" s="75" t="n"/>
      <c r="AC4231" s="6" t="n"/>
      <c r="AD4231" s="75" t="n"/>
      <c r="AE4231" s="75" t="n"/>
      <c r="AF4231" s="75" t="n"/>
    </row>
    <row r="4232" ht="15.75" customHeight="1" s="133">
      <c r="A4232" s="75" t="n"/>
      <c r="B4232" s="75" t="n"/>
      <c r="C4232" s="75" t="n"/>
      <c r="D4232" s="75" t="n"/>
      <c r="E4232" s="76" t="n"/>
      <c r="F4232" s="77" t="n"/>
      <c r="G4232" s="75" t="n"/>
      <c r="H4232" s="75">
        <f>IF(ISBLANK(E4232),"",IF(OR(D4232="Butterfly",D4232="Butterfly ",D4232="Iron Fly", D4232="Iron Fly "),LEN(E4232)-LEN(SUBSTITUTE(E4232,"/",""))+2,LEN(E4232)-LEN(SUBSTITUTE(E4232,"/",""))+1))</f>
        <v/>
      </c>
      <c r="I4232" s="78">
        <f>IF(ISBLANK(G4232),"",IF(D4232="Stock","0",Key!$A$3*H4232*G4232))</f>
        <v/>
      </c>
      <c r="J4232" s="78">
        <f>IF(ISBLANK(E4232),"",IF(ISNUMBER(SEARCH("/",E4232)), IF(LEN(E4232)-LEN(SUBSTITUTE(E4232,"/",""))=1,(RIGHT(E4232,LEN(E4232)-FIND("/",E4232)))-(LEFT(E4232,FIND("/",E4232)-1)),(MID(E4232, SEARCH("/",E4232) + 1, SEARCH("/",E4232, SEARCH("/",E4232)+1) - SEARCH("/",E4232) - 1))-(LEFT(E4232,FIND("/",E4232)-1))), "NA"))</f>
        <v/>
      </c>
      <c r="K4232" s="79">
        <f>IF(A4232&lt;&gt;"", IF(ISBLANK(L4232), TODAY(), K4232), "")</f>
        <v/>
      </c>
      <c r="L4232" s="78" t="n"/>
      <c r="M4232" s="78">
        <f>IF(ISBLANK(L4232),"",IF(D4232="Stock",IF(C4232="Buy",L4232*G4232,IF(C4232="Sell",(L4232*G4232)-I4232, X)),IF(C4232="Buy",(L4232*G4232*100)+I4232,IF(C4232="Sell",(L4232*G4232*100)-I4232, X))))</f>
        <v/>
      </c>
      <c r="N4232" s="78">
        <f>IF(ISBLANK(L4232),"",IF(AND(C4232="Sell",D4232="Stock"),M4232,IF(ISBLANK(L4232),"",IF(C4232="Buy",M4232, IF(AND(C4232="Sell",J4232="NA"),(E4232*G4232*100*0.1)+I4232, IF(C4232="Sell",(J4232-L4232)*(100*G4232)+I4232))))))</f>
        <v/>
      </c>
      <c r="O4232" s="75" t="n"/>
      <c r="P4232" s="75" t="n"/>
      <c r="Q4232" s="75">
        <f>IF(ISBLANK(P4232),"",IF(D4232="Stock",P4232*G4232,IF(P4232=0,"0",G4232*P4232*100-(G4232*$AF$14))))</f>
        <v/>
      </c>
      <c r="R4232" s="79">
        <f>IF(P4232&lt;&gt;"", TODAY(), "")</f>
        <v/>
      </c>
      <c r="S4232" s="78">
        <f>IF(AND(K4232&lt;&gt;"", R4232&lt;&gt;""), R4232-K4232, "")</f>
        <v/>
      </c>
      <c r="T4232" s="78" t="n"/>
      <c r="U4232" s="92">
        <f>IF(ISBLANK(P4232),"",IF(C4232="Buy",Q4232-M4232+T4232, IF(C4232="Sell",M4232-Q4232-T4232, X)))</f>
        <v/>
      </c>
      <c r="V4232" s="81">
        <f>IF(ISBLANK(P4232),"",U4232/N4232)</f>
        <v/>
      </c>
      <c r="W4232" s="81">
        <f>IF(ISBLANK(P4232),"",IF(S4232=0,(365/0.5)*V4232,(365/S4232)*V4232))</f>
        <v/>
      </c>
      <c r="X4232" s="75" t="n"/>
      <c r="Y4232" s="77" t="n"/>
      <c r="Z4232" s="77" t="n"/>
      <c r="AA4232" s="75" t="n"/>
      <c r="AB4232" s="75" t="n"/>
      <c r="AC4232" s="6" t="n"/>
      <c r="AD4232" s="75" t="n"/>
      <c r="AE4232" s="75" t="n"/>
      <c r="AF4232" s="75" t="n"/>
    </row>
    <row r="4233" ht="15.75" customHeight="1" s="133">
      <c r="A4233" s="75" t="n"/>
      <c r="B4233" s="75" t="n"/>
      <c r="C4233" s="75" t="n"/>
      <c r="D4233" s="75" t="n"/>
      <c r="E4233" s="76" t="n"/>
      <c r="F4233" s="77" t="n"/>
      <c r="G4233" s="75" t="n"/>
      <c r="H4233" s="75">
        <f>IF(ISBLANK(E4233),"",IF(OR(D4233="Butterfly",D4233="Butterfly ",D4233="Iron Fly", D4233="Iron Fly "),LEN(E4233)-LEN(SUBSTITUTE(E4233,"/",""))+2,LEN(E4233)-LEN(SUBSTITUTE(E4233,"/",""))+1))</f>
        <v/>
      </c>
      <c r="I4233" s="78">
        <f>IF(ISBLANK(G4233),"",IF(D4233="Stock","0",Key!$A$3*H4233*G4233))</f>
        <v/>
      </c>
      <c r="J4233" s="78">
        <f>IF(ISBLANK(E4233),"",IF(ISNUMBER(SEARCH("/",E4233)), IF(LEN(E4233)-LEN(SUBSTITUTE(E4233,"/",""))=1,(RIGHT(E4233,LEN(E4233)-FIND("/",E4233)))-(LEFT(E4233,FIND("/",E4233)-1)),(MID(E4233, SEARCH("/",E4233) + 1, SEARCH("/",E4233, SEARCH("/",E4233)+1) - SEARCH("/",E4233) - 1))-(LEFT(E4233,FIND("/",E4233)-1))), "NA"))</f>
        <v/>
      </c>
      <c r="K4233" s="79">
        <f>IF(A4233&lt;&gt;"", IF(ISBLANK(L4233), TODAY(), K4233), "")</f>
        <v/>
      </c>
      <c r="L4233" s="78" t="n"/>
      <c r="M4233" s="78">
        <f>IF(ISBLANK(L4233),"",IF(D4233="Stock",IF(C4233="Buy",L4233*G4233,IF(C4233="Sell",(L4233*G4233)-I4233, X)),IF(C4233="Buy",(L4233*G4233*100)+I4233,IF(C4233="Sell",(L4233*G4233*100)-I4233, X))))</f>
        <v/>
      </c>
      <c r="N4233" s="78">
        <f>IF(ISBLANK(L4233),"",IF(AND(C4233="Sell",D4233="Stock"),M4233,IF(ISBLANK(L4233),"",IF(C4233="Buy",M4233, IF(AND(C4233="Sell",J4233="NA"),(E4233*G4233*100*0.1)+I4233, IF(C4233="Sell",(J4233-L4233)*(100*G4233)+I4233))))))</f>
        <v/>
      </c>
      <c r="O4233" s="75" t="n"/>
      <c r="P4233" s="75" t="n"/>
      <c r="Q4233" s="75">
        <f>IF(ISBLANK(P4233),"",IF(D4233="Stock",P4233*G4233,IF(P4233=0,"0",G4233*P4233*100-(G4233*$AF$14))))</f>
        <v/>
      </c>
      <c r="R4233" s="79">
        <f>IF(P4233&lt;&gt;"", TODAY(), "")</f>
        <v/>
      </c>
      <c r="S4233" s="78">
        <f>IF(AND(K4233&lt;&gt;"", R4233&lt;&gt;""), R4233-K4233, "")</f>
        <v/>
      </c>
      <c r="T4233" s="78" t="n"/>
      <c r="U4233" s="92">
        <f>IF(ISBLANK(P4233),"",IF(C4233="Buy",Q4233-M4233+T4233, IF(C4233="Sell",M4233-Q4233-T4233, X)))</f>
        <v/>
      </c>
      <c r="V4233" s="81">
        <f>IF(ISBLANK(P4233),"",U4233/N4233)</f>
        <v/>
      </c>
      <c r="W4233" s="81">
        <f>IF(ISBLANK(P4233),"",IF(S4233=0,(365/0.5)*V4233,(365/S4233)*V4233))</f>
        <v/>
      </c>
      <c r="X4233" s="75" t="n"/>
      <c r="Y4233" s="77" t="n"/>
      <c r="Z4233" s="77" t="n"/>
      <c r="AA4233" s="75" t="n"/>
      <c r="AB4233" s="75" t="n"/>
      <c r="AC4233" s="6" t="n"/>
      <c r="AD4233" s="75" t="n"/>
      <c r="AE4233" s="75" t="n"/>
      <c r="AF4233" s="75" t="n"/>
    </row>
    <row r="4234" ht="15.75" customHeight="1" s="133">
      <c r="A4234" s="75" t="n"/>
      <c r="B4234" s="75" t="n"/>
      <c r="C4234" s="75" t="n"/>
      <c r="D4234" s="75" t="n"/>
      <c r="E4234" s="76" t="n"/>
      <c r="F4234" s="77" t="n"/>
      <c r="G4234" s="75" t="n"/>
      <c r="H4234" s="75">
        <f>IF(ISBLANK(E4234),"",IF(OR(D4234="Butterfly",D4234="Butterfly ",D4234="Iron Fly", D4234="Iron Fly "),LEN(E4234)-LEN(SUBSTITUTE(E4234,"/",""))+2,LEN(E4234)-LEN(SUBSTITUTE(E4234,"/",""))+1))</f>
        <v/>
      </c>
      <c r="I4234" s="78">
        <f>IF(ISBLANK(G4234),"",IF(D4234="Stock","0",Key!$A$3*H4234*G4234))</f>
        <v/>
      </c>
      <c r="J4234" s="78">
        <f>IF(ISBLANK(E4234),"",IF(ISNUMBER(SEARCH("/",E4234)), IF(LEN(E4234)-LEN(SUBSTITUTE(E4234,"/",""))=1,(RIGHT(E4234,LEN(E4234)-FIND("/",E4234)))-(LEFT(E4234,FIND("/",E4234)-1)),(MID(E4234, SEARCH("/",E4234) + 1, SEARCH("/",E4234, SEARCH("/",E4234)+1) - SEARCH("/",E4234) - 1))-(LEFT(E4234,FIND("/",E4234)-1))), "NA"))</f>
        <v/>
      </c>
      <c r="K4234" s="79">
        <f>IF(A4234&lt;&gt;"", IF(ISBLANK(L4234), TODAY(), K4234), "")</f>
        <v/>
      </c>
      <c r="L4234" s="78" t="n"/>
      <c r="M4234" s="78">
        <f>IF(ISBLANK(L4234),"",IF(D4234="Stock",IF(C4234="Buy",L4234*G4234,IF(C4234="Sell",(L4234*G4234)-I4234, X)),IF(C4234="Buy",(L4234*G4234*100)+I4234,IF(C4234="Sell",(L4234*G4234*100)-I4234, X))))</f>
        <v/>
      </c>
      <c r="N4234" s="78">
        <f>IF(ISBLANK(L4234),"",IF(AND(C4234="Sell",D4234="Stock"),M4234,IF(ISBLANK(L4234),"",IF(C4234="Buy",M4234, IF(AND(C4234="Sell",J4234="NA"),(E4234*G4234*100*0.1)+I4234, IF(C4234="Sell",(J4234-L4234)*(100*G4234)+I4234))))))</f>
        <v/>
      </c>
      <c r="O4234" s="75" t="n"/>
      <c r="P4234" s="75" t="n"/>
      <c r="Q4234" s="75">
        <f>IF(ISBLANK(P4234),"",IF(D4234="Stock",P4234*G4234,IF(P4234=0,"0",G4234*P4234*100-(G4234*$AF$14))))</f>
        <v/>
      </c>
      <c r="R4234" s="79">
        <f>IF(P4234&lt;&gt;"", TODAY(), "")</f>
        <v/>
      </c>
      <c r="S4234" s="78">
        <f>IF(AND(K4234&lt;&gt;"", R4234&lt;&gt;""), R4234-K4234, "")</f>
        <v/>
      </c>
      <c r="T4234" s="78" t="n"/>
      <c r="U4234" s="92">
        <f>IF(ISBLANK(P4234),"",IF(C4234="Buy",Q4234-M4234+T4234, IF(C4234="Sell",M4234-Q4234-T4234, X)))</f>
        <v/>
      </c>
      <c r="V4234" s="81">
        <f>IF(ISBLANK(P4234),"",U4234/N4234)</f>
        <v/>
      </c>
      <c r="W4234" s="81">
        <f>IF(ISBLANK(P4234),"",IF(S4234=0,(365/0.5)*V4234,(365/S4234)*V4234))</f>
        <v/>
      </c>
      <c r="X4234" s="75" t="n"/>
      <c r="Y4234" s="77" t="n"/>
      <c r="Z4234" s="77" t="n"/>
      <c r="AA4234" s="75" t="n"/>
      <c r="AB4234" s="75" t="n"/>
      <c r="AC4234" s="6" t="n"/>
      <c r="AD4234" s="75" t="n"/>
      <c r="AE4234" s="75" t="n"/>
      <c r="AF4234" s="75" t="n"/>
    </row>
    <row r="4235" ht="15.75" customHeight="1" s="133">
      <c r="A4235" s="75" t="n"/>
      <c r="B4235" s="75" t="n"/>
      <c r="C4235" s="75" t="n"/>
      <c r="D4235" s="75" t="n"/>
      <c r="E4235" s="76" t="n"/>
      <c r="F4235" s="77" t="n"/>
      <c r="G4235" s="75" t="n"/>
      <c r="H4235" s="75">
        <f>IF(ISBLANK(E4235),"",IF(OR(D4235="Butterfly",D4235="Butterfly ",D4235="Iron Fly", D4235="Iron Fly "),LEN(E4235)-LEN(SUBSTITUTE(E4235,"/",""))+2,LEN(E4235)-LEN(SUBSTITUTE(E4235,"/",""))+1))</f>
        <v/>
      </c>
      <c r="I4235" s="78">
        <f>IF(ISBLANK(G4235),"",IF(D4235="Stock","0",Key!$A$3*H4235*G4235))</f>
        <v/>
      </c>
      <c r="J4235" s="78">
        <f>IF(ISBLANK(E4235),"",IF(ISNUMBER(SEARCH("/",E4235)), IF(LEN(E4235)-LEN(SUBSTITUTE(E4235,"/",""))=1,(RIGHT(E4235,LEN(E4235)-FIND("/",E4235)))-(LEFT(E4235,FIND("/",E4235)-1)),(MID(E4235, SEARCH("/",E4235) + 1, SEARCH("/",E4235, SEARCH("/",E4235)+1) - SEARCH("/",E4235) - 1))-(LEFT(E4235,FIND("/",E4235)-1))), "NA"))</f>
        <v/>
      </c>
      <c r="K4235" s="79">
        <f>IF(A4235&lt;&gt;"", IF(ISBLANK(L4235), TODAY(), K4235), "")</f>
        <v/>
      </c>
      <c r="L4235" s="78" t="n"/>
      <c r="M4235" s="78">
        <f>IF(ISBLANK(L4235),"",IF(D4235="Stock",IF(C4235="Buy",L4235*G4235,IF(C4235="Sell",(L4235*G4235)-I4235, X)),IF(C4235="Buy",(L4235*G4235*100)+I4235,IF(C4235="Sell",(L4235*G4235*100)-I4235, X))))</f>
        <v/>
      </c>
      <c r="N4235" s="78">
        <f>IF(ISBLANK(L4235),"",IF(AND(C4235="Sell",D4235="Stock"),M4235,IF(ISBLANK(L4235),"",IF(C4235="Buy",M4235, IF(AND(C4235="Sell",J4235="NA"),(E4235*G4235*100*0.1)+I4235, IF(C4235="Sell",(J4235-L4235)*(100*G4235)+I4235))))))</f>
        <v/>
      </c>
      <c r="O4235" s="75" t="n"/>
      <c r="P4235" s="75" t="n"/>
      <c r="Q4235" s="75">
        <f>IF(ISBLANK(P4235),"",IF(D4235="Stock",P4235*G4235,IF(P4235=0,"0",G4235*P4235*100-(G4235*$AF$14))))</f>
        <v/>
      </c>
      <c r="R4235" s="79">
        <f>IF(P4235&lt;&gt;"", TODAY(), "")</f>
        <v/>
      </c>
      <c r="S4235" s="78">
        <f>IF(AND(K4235&lt;&gt;"", R4235&lt;&gt;""), R4235-K4235, "")</f>
        <v/>
      </c>
      <c r="T4235" s="78" t="n"/>
      <c r="U4235" s="92">
        <f>IF(ISBLANK(P4235),"",IF(C4235="Buy",Q4235-M4235+T4235, IF(C4235="Sell",M4235-Q4235-T4235, X)))</f>
        <v/>
      </c>
      <c r="V4235" s="81">
        <f>IF(ISBLANK(P4235),"",U4235/N4235)</f>
        <v/>
      </c>
      <c r="W4235" s="81">
        <f>IF(ISBLANK(P4235),"",IF(S4235=0,(365/0.5)*V4235,(365/S4235)*V4235))</f>
        <v/>
      </c>
      <c r="X4235" s="75" t="n"/>
      <c r="Y4235" s="77" t="n"/>
      <c r="Z4235" s="77" t="n"/>
      <c r="AA4235" s="75" t="n"/>
      <c r="AB4235" s="75" t="n"/>
      <c r="AC4235" s="6" t="n"/>
      <c r="AD4235" s="75" t="n"/>
      <c r="AE4235" s="75" t="n"/>
      <c r="AF4235" s="75" t="n"/>
    </row>
    <row r="4236" ht="15.75" customHeight="1" s="133">
      <c r="A4236" s="75" t="n"/>
      <c r="B4236" s="75" t="n"/>
      <c r="C4236" s="75" t="n"/>
      <c r="D4236" s="75" t="n"/>
      <c r="E4236" s="76" t="n"/>
      <c r="F4236" s="77" t="n"/>
      <c r="G4236" s="75" t="n"/>
      <c r="H4236" s="75">
        <f>IF(ISBLANK(E4236),"",IF(OR(D4236="Butterfly",D4236="Butterfly ",D4236="Iron Fly", D4236="Iron Fly "),LEN(E4236)-LEN(SUBSTITUTE(E4236,"/",""))+2,LEN(E4236)-LEN(SUBSTITUTE(E4236,"/",""))+1))</f>
        <v/>
      </c>
      <c r="I4236" s="78">
        <f>IF(ISBLANK(G4236),"",IF(D4236="Stock","0",Key!$A$3*H4236*G4236))</f>
        <v/>
      </c>
      <c r="J4236" s="78">
        <f>IF(ISBLANK(E4236),"",IF(ISNUMBER(SEARCH("/",E4236)), IF(LEN(E4236)-LEN(SUBSTITUTE(E4236,"/",""))=1,(RIGHT(E4236,LEN(E4236)-FIND("/",E4236)))-(LEFT(E4236,FIND("/",E4236)-1)),(MID(E4236, SEARCH("/",E4236) + 1, SEARCH("/",E4236, SEARCH("/",E4236)+1) - SEARCH("/",E4236) - 1))-(LEFT(E4236,FIND("/",E4236)-1))), "NA"))</f>
        <v/>
      </c>
      <c r="K4236" s="79">
        <f>IF(A4236&lt;&gt;"", IF(ISBLANK(L4236), TODAY(), K4236), "")</f>
        <v/>
      </c>
      <c r="L4236" s="78" t="n"/>
      <c r="M4236" s="78">
        <f>IF(ISBLANK(L4236),"",IF(D4236="Stock",IF(C4236="Buy",L4236*G4236,IF(C4236="Sell",(L4236*G4236)-I4236, X)),IF(C4236="Buy",(L4236*G4236*100)+I4236,IF(C4236="Sell",(L4236*G4236*100)-I4236, X))))</f>
        <v/>
      </c>
      <c r="N4236" s="78">
        <f>IF(ISBLANK(L4236),"",IF(AND(C4236="Sell",D4236="Stock"),M4236,IF(ISBLANK(L4236),"",IF(C4236="Buy",M4236, IF(AND(C4236="Sell",J4236="NA"),(E4236*G4236*100*0.1)+I4236, IF(C4236="Sell",(J4236-L4236)*(100*G4236)+I4236))))))</f>
        <v/>
      </c>
      <c r="O4236" s="75" t="n"/>
      <c r="P4236" s="75" t="n"/>
      <c r="Q4236" s="75">
        <f>IF(ISBLANK(P4236),"",IF(D4236="Stock",P4236*G4236,IF(P4236=0,"0",G4236*P4236*100-(G4236*$AF$14))))</f>
        <v/>
      </c>
      <c r="R4236" s="79">
        <f>IF(P4236&lt;&gt;"", TODAY(), "")</f>
        <v/>
      </c>
      <c r="S4236" s="78">
        <f>IF(AND(K4236&lt;&gt;"", R4236&lt;&gt;""), R4236-K4236, "")</f>
        <v/>
      </c>
      <c r="T4236" s="78" t="n"/>
      <c r="U4236" s="92">
        <f>IF(ISBLANK(P4236),"",IF(C4236="Buy",Q4236-M4236+T4236, IF(C4236="Sell",M4236-Q4236-T4236, X)))</f>
        <v/>
      </c>
      <c r="V4236" s="81">
        <f>IF(ISBLANK(P4236),"",U4236/N4236)</f>
        <v/>
      </c>
      <c r="W4236" s="81">
        <f>IF(ISBLANK(P4236),"",IF(S4236=0,(365/0.5)*V4236,(365/S4236)*V4236))</f>
        <v/>
      </c>
      <c r="X4236" s="75" t="n"/>
      <c r="Y4236" s="77" t="n"/>
      <c r="Z4236" s="77" t="n"/>
      <c r="AA4236" s="75" t="n"/>
      <c r="AB4236" s="75" t="n"/>
      <c r="AC4236" s="6" t="n"/>
      <c r="AD4236" s="75" t="n"/>
      <c r="AE4236" s="75" t="n"/>
      <c r="AF4236" s="75" t="n"/>
    </row>
    <row r="4237" ht="15.75" customHeight="1" s="133">
      <c r="A4237" s="75" t="n"/>
      <c r="B4237" s="75" t="n"/>
      <c r="C4237" s="75" t="n"/>
      <c r="D4237" s="75" t="n"/>
      <c r="E4237" s="76" t="n"/>
      <c r="F4237" s="77" t="n"/>
      <c r="G4237" s="75" t="n"/>
      <c r="H4237" s="75">
        <f>IF(ISBLANK(E4237),"",IF(OR(D4237="Butterfly",D4237="Butterfly ",D4237="Iron Fly", D4237="Iron Fly "),LEN(E4237)-LEN(SUBSTITUTE(E4237,"/",""))+2,LEN(E4237)-LEN(SUBSTITUTE(E4237,"/",""))+1))</f>
        <v/>
      </c>
      <c r="I4237" s="78">
        <f>IF(ISBLANK(G4237),"",IF(D4237="Stock","0",Key!$A$3*H4237*G4237))</f>
        <v/>
      </c>
      <c r="J4237" s="78">
        <f>IF(ISBLANK(E4237),"",IF(ISNUMBER(SEARCH("/",E4237)), IF(LEN(E4237)-LEN(SUBSTITUTE(E4237,"/",""))=1,(RIGHT(E4237,LEN(E4237)-FIND("/",E4237)))-(LEFT(E4237,FIND("/",E4237)-1)),(MID(E4237, SEARCH("/",E4237) + 1, SEARCH("/",E4237, SEARCH("/",E4237)+1) - SEARCH("/",E4237) - 1))-(LEFT(E4237,FIND("/",E4237)-1))), "NA"))</f>
        <v/>
      </c>
      <c r="K4237" s="79">
        <f>IF(A4237&lt;&gt;"", IF(ISBLANK(L4237), TODAY(), K4237), "")</f>
        <v/>
      </c>
      <c r="L4237" s="78" t="n"/>
      <c r="M4237" s="78">
        <f>IF(ISBLANK(L4237),"",IF(D4237="Stock",IF(C4237="Buy",L4237*G4237,IF(C4237="Sell",(L4237*G4237)-I4237, X)),IF(C4237="Buy",(L4237*G4237*100)+I4237,IF(C4237="Sell",(L4237*G4237*100)-I4237, X))))</f>
        <v/>
      </c>
      <c r="N4237" s="78">
        <f>IF(ISBLANK(L4237),"",IF(AND(C4237="Sell",D4237="Stock"),M4237,IF(ISBLANK(L4237),"",IF(C4237="Buy",M4237, IF(AND(C4237="Sell",J4237="NA"),(E4237*G4237*100*0.1)+I4237, IF(C4237="Sell",(J4237-L4237)*(100*G4237)+I4237))))))</f>
        <v/>
      </c>
      <c r="O4237" s="75" t="n"/>
      <c r="P4237" s="75" t="n"/>
      <c r="Q4237" s="75">
        <f>IF(ISBLANK(P4237),"",IF(D4237="Stock",P4237*G4237,IF(P4237=0,"0",G4237*P4237*100-(G4237*$AF$14))))</f>
        <v/>
      </c>
      <c r="R4237" s="79">
        <f>IF(P4237&lt;&gt;"", TODAY(), "")</f>
        <v/>
      </c>
      <c r="S4237" s="78">
        <f>IF(AND(K4237&lt;&gt;"", R4237&lt;&gt;""), R4237-K4237, "")</f>
        <v/>
      </c>
      <c r="T4237" s="78" t="n"/>
      <c r="U4237" s="92">
        <f>IF(ISBLANK(P4237),"",IF(C4237="Buy",Q4237-M4237+T4237, IF(C4237="Sell",M4237-Q4237-T4237, X)))</f>
        <v/>
      </c>
      <c r="V4237" s="81">
        <f>IF(ISBLANK(P4237),"",U4237/N4237)</f>
        <v/>
      </c>
      <c r="W4237" s="81">
        <f>IF(ISBLANK(P4237),"",IF(S4237=0,(365/0.5)*V4237,(365/S4237)*V4237))</f>
        <v/>
      </c>
      <c r="X4237" s="75" t="n"/>
      <c r="Y4237" s="77" t="n"/>
      <c r="Z4237" s="77" t="n"/>
      <c r="AA4237" s="75" t="n"/>
      <c r="AB4237" s="75" t="n"/>
      <c r="AC4237" s="6" t="n"/>
      <c r="AD4237" s="75" t="n"/>
      <c r="AE4237" s="75" t="n"/>
      <c r="AF4237" s="75" t="n"/>
    </row>
    <row r="4238" ht="15.75" customHeight="1" s="133">
      <c r="A4238" s="75" t="n"/>
      <c r="B4238" s="75" t="n"/>
      <c r="C4238" s="75" t="n"/>
      <c r="D4238" s="75" t="n"/>
      <c r="E4238" s="76" t="n"/>
      <c r="F4238" s="77" t="n"/>
      <c r="G4238" s="75" t="n"/>
      <c r="H4238" s="75">
        <f>IF(ISBLANK(E4238),"",IF(OR(D4238="Butterfly",D4238="Butterfly ",D4238="Iron Fly", D4238="Iron Fly "),LEN(E4238)-LEN(SUBSTITUTE(E4238,"/",""))+2,LEN(E4238)-LEN(SUBSTITUTE(E4238,"/",""))+1))</f>
        <v/>
      </c>
      <c r="I4238" s="78">
        <f>IF(ISBLANK(G4238),"",IF(D4238="Stock","0",Key!$A$3*H4238*G4238))</f>
        <v/>
      </c>
      <c r="J4238" s="78">
        <f>IF(ISBLANK(E4238),"",IF(ISNUMBER(SEARCH("/",E4238)), IF(LEN(E4238)-LEN(SUBSTITUTE(E4238,"/",""))=1,(RIGHT(E4238,LEN(E4238)-FIND("/",E4238)))-(LEFT(E4238,FIND("/",E4238)-1)),(MID(E4238, SEARCH("/",E4238) + 1, SEARCH("/",E4238, SEARCH("/",E4238)+1) - SEARCH("/",E4238) - 1))-(LEFT(E4238,FIND("/",E4238)-1))), "NA"))</f>
        <v/>
      </c>
      <c r="K4238" s="79">
        <f>IF(A4238&lt;&gt;"", IF(ISBLANK(L4238), TODAY(), K4238), "")</f>
        <v/>
      </c>
      <c r="L4238" s="78" t="n"/>
      <c r="M4238" s="78">
        <f>IF(ISBLANK(L4238),"",IF(D4238="Stock",IF(C4238="Buy",L4238*G4238,IF(C4238="Sell",(L4238*G4238)-I4238, X)),IF(C4238="Buy",(L4238*G4238*100)+I4238,IF(C4238="Sell",(L4238*G4238*100)-I4238, X))))</f>
        <v/>
      </c>
      <c r="N4238" s="78">
        <f>IF(ISBLANK(L4238),"",IF(AND(C4238="Sell",D4238="Stock"),M4238,IF(ISBLANK(L4238),"",IF(C4238="Buy",M4238, IF(AND(C4238="Sell",J4238="NA"),(E4238*G4238*100*0.1)+I4238, IF(C4238="Sell",(J4238-L4238)*(100*G4238)+I4238))))))</f>
        <v/>
      </c>
      <c r="O4238" s="75" t="n"/>
      <c r="P4238" s="75" t="n"/>
      <c r="Q4238" s="75">
        <f>IF(ISBLANK(P4238),"",IF(D4238="Stock",P4238*G4238,IF(P4238=0,"0",G4238*P4238*100-(G4238*$AF$14))))</f>
        <v/>
      </c>
      <c r="R4238" s="79">
        <f>IF(P4238&lt;&gt;"", TODAY(), "")</f>
        <v/>
      </c>
      <c r="S4238" s="78">
        <f>IF(AND(K4238&lt;&gt;"", R4238&lt;&gt;""), R4238-K4238, "")</f>
        <v/>
      </c>
      <c r="T4238" s="78" t="n"/>
      <c r="U4238" s="92">
        <f>IF(ISBLANK(P4238),"",IF(C4238="Buy",Q4238-M4238+T4238, IF(C4238="Sell",M4238-Q4238-T4238, X)))</f>
        <v/>
      </c>
      <c r="V4238" s="81">
        <f>IF(ISBLANK(P4238),"",U4238/N4238)</f>
        <v/>
      </c>
      <c r="W4238" s="81">
        <f>IF(ISBLANK(P4238),"",IF(S4238=0,(365/0.5)*V4238,(365/S4238)*V4238))</f>
        <v/>
      </c>
      <c r="X4238" s="75" t="n"/>
      <c r="Y4238" s="77" t="n"/>
      <c r="Z4238" s="77" t="n"/>
      <c r="AA4238" s="75" t="n"/>
      <c r="AB4238" s="75" t="n"/>
      <c r="AC4238" s="6" t="n"/>
      <c r="AD4238" s="75" t="n"/>
      <c r="AE4238" s="75" t="n"/>
      <c r="AF4238" s="75" t="n"/>
    </row>
    <row r="4239" ht="15.75" customHeight="1" s="133">
      <c r="A4239" s="75" t="n"/>
      <c r="B4239" s="75" t="n"/>
      <c r="C4239" s="75" t="n"/>
      <c r="D4239" s="75" t="n"/>
      <c r="E4239" s="76" t="n"/>
      <c r="F4239" s="77" t="n"/>
      <c r="G4239" s="75" t="n"/>
      <c r="H4239" s="75">
        <f>IF(ISBLANK(E4239),"",IF(OR(D4239="Butterfly",D4239="Butterfly ",D4239="Iron Fly", D4239="Iron Fly "),LEN(E4239)-LEN(SUBSTITUTE(E4239,"/",""))+2,LEN(E4239)-LEN(SUBSTITUTE(E4239,"/",""))+1))</f>
        <v/>
      </c>
      <c r="I4239" s="78">
        <f>IF(ISBLANK(G4239),"",IF(D4239="Stock","0",Key!$A$3*H4239*G4239))</f>
        <v/>
      </c>
      <c r="J4239" s="78">
        <f>IF(ISBLANK(E4239),"",IF(ISNUMBER(SEARCH("/",E4239)), IF(LEN(E4239)-LEN(SUBSTITUTE(E4239,"/",""))=1,(RIGHT(E4239,LEN(E4239)-FIND("/",E4239)))-(LEFT(E4239,FIND("/",E4239)-1)),(MID(E4239, SEARCH("/",E4239) + 1, SEARCH("/",E4239, SEARCH("/",E4239)+1) - SEARCH("/",E4239) - 1))-(LEFT(E4239,FIND("/",E4239)-1))), "NA"))</f>
        <v/>
      </c>
      <c r="K4239" s="79">
        <f>IF(A4239&lt;&gt;"", IF(ISBLANK(L4239), TODAY(), K4239), "")</f>
        <v/>
      </c>
      <c r="L4239" s="78" t="n"/>
      <c r="M4239" s="78">
        <f>IF(ISBLANK(L4239),"",IF(D4239="Stock",IF(C4239="Buy",L4239*G4239,IF(C4239="Sell",(L4239*G4239)-I4239, X)),IF(C4239="Buy",(L4239*G4239*100)+I4239,IF(C4239="Sell",(L4239*G4239*100)-I4239, X))))</f>
        <v/>
      </c>
      <c r="N4239" s="78">
        <f>IF(ISBLANK(L4239),"",IF(AND(C4239="Sell",D4239="Stock"),M4239,IF(ISBLANK(L4239),"",IF(C4239="Buy",M4239, IF(AND(C4239="Sell",J4239="NA"),(E4239*G4239*100*0.1)+I4239, IF(C4239="Sell",(J4239-L4239)*(100*G4239)+I4239))))))</f>
        <v/>
      </c>
      <c r="O4239" s="75" t="n"/>
      <c r="P4239" s="75" t="n"/>
      <c r="Q4239" s="75">
        <f>IF(ISBLANK(P4239),"",IF(D4239="Stock",P4239*G4239,IF(P4239=0,"0",G4239*P4239*100-(G4239*$AF$14))))</f>
        <v/>
      </c>
      <c r="R4239" s="79">
        <f>IF(P4239&lt;&gt;"", TODAY(), "")</f>
        <v/>
      </c>
      <c r="S4239" s="78">
        <f>IF(AND(K4239&lt;&gt;"", R4239&lt;&gt;""), R4239-K4239, "")</f>
        <v/>
      </c>
      <c r="T4239" s="78" t="n"/>
      <c r="U4239" s="92">
        <f>IF(ISBLANK(P4239),"",IF(C4239="Buy",Q4239-M4239+T4239, IF(C4239="Sell",M4239-Q4239-T4239, X)))</f>
        <v/>
      </c>
      <c r="V4239" s="81">
        <f>IF(ISBLANK(P4239),"",U4239/N4239)</f>
        <v/>
      </c>
      <c r="W4239" s="81">
        <f>IF(ISBLANK(P4239),"",IF(S4239=0,(365/0.5)*V4239,(365/S4239)*V4239))</f>
        <v/>
      </c>
      <c r="X4239" s="75" t="n"/>
      <c r="Y4239" s="77" t="n"/>
      <c r="Z4239" s="77" t="n"/>
      <c r="AA4239" s="75" t="n"/>
      <c r="AB4239" s="75" t="n"/>
      <c r="AC4239" s="6" t="n"/>
      <c r="AD4239" s="75" t="n"/>
      <c r="AE4239" s="75" t="n"/>
      <c r="AF4239" s="75" t="n"/>
    </row>
    <row r="4240" ht="15.75" customHeight="1" s="133">
      <c r="A4240" s="75" t="n"/>
      <c r="B4240" s="75" t="n"/>
      <c r="C4240" s="75" t="n"/>
      <c r="D4240" s="75" t="n"/>
      <c r="E4240" s="76" t="n"/>
      <c r="F4240" s="77" t="n"/>
      <c r="G4240" s="75" t="n"/>
      <c r="H4240" s="75">
        <f>IF(ISBLANK(E4240),"",IF(OR(D4240="Butterfly",D4240="Butterfly ",D4240="Iron Fly", D4240="Iron Fly "),LEN(E4240)-LEN(SUBSTITUTE(E4240,"/",""))+2,LEN(E4240)-LEN(SUBSTITUTE(E4240,"/",""))+1))</f>
        <v/>
      </c>
      <c r="I4240" s="78">
        <f>IF(ISBLANK(G4240),"",IF(D4240="Stock","0",Key!$A$3*H4240*G4240))</f>
        <v/>
      </c>
      <c r="J4240" s="78">
        <f>IF(ISBLANK(E4240),"",IF(ISNUMBER(SEARCH("/",E4240)), IF(LEN(E4240)-LEN(SUBSTITUTE(E4240,"/",""))=1,(RIGHT(E4240,LEN(E4240)-FIND("/",E4240)))-(LEFT(E4240,FIND("/",E4240)-1)),(MID(E4240, SEARCH("/",E4240) + 1, SEARCH("/",E4240, SEARCH("/",E4240)+1) - SEARCH("/",E4240) - 1))-(LEFT(E4240,FIND("/",E4240)-1))), "NA"))</f>
        <v/>
      </c>
      <c r="K4240" s="79">
        <f>IF(A4240&lt;&gt;"", IF(ISBLANK(L4240), TODAY(), K4240), "")</f>
        <v/>
      </c>
      <c r="L4240" s="78" t="n"/>
      <c r="M4240" s="78">
        <f>IF(ISBLANK(L4240),"",IF(D4240="Stock",IF(C4240="Buy",L4240*G4240,IF(C4240="Sell",(L4240*G4240)-I4240, X)),IF(C4240="Buy",(L4240*G4240*100)+I4240,IF(C4240="Sell",(L4240*G4240*100)-I4240, X))))</f>
        <v/>
      </c>
      <c r="N4240" s="78">
        <f>IF(ISBLANK(L4240),"",IF(AND(C4240="Sell",D4240="Stock"),M4240,IF(ISBLANK(L4240),"",IF(C4240="Buy",M4240, IF(AND(C4240="Sell",J4240="NA"),(E4240*G4240*100*0.1)+I4240, IF(C4240="Sell",(J4240-L4240)*(100*G4240)+I4240))))))</f>
        <v/>
      </c>
      <c r="O4240" s="75" t="n"/>
      <c r="P4240" s="75" t="n"/>
      <c r="Q4240" s="75">
        <f>IF(ISBLANK(P4240),"",IF(D4240="Stock",P4240*G4240,IF(P4240=0,"0",G4240*P4240*100-(G4240*$AF$14))))</f>
        <v/>
      </c>
      <c r="R4240" s="79">
        <f>IF(P4240&lt;&gt;"", TODAY(), "")</f>
        <v/>
      </c>
      <c r="S4240" s="78">
        <f>IF(AND(K4240&lt;&gt;"", R4240&lt;&gt;""), R4240-K4240, "")</f>
        <v/>
      </c>
      <c r="T4240" s="78" t="n"/>
      <c r="U4240" s="92">
        <f>IF(ISBLANK(P4240),"",IF(C4240="Buy",Q4240-M4240+T4240, IF(C4240="Sell",M4240-Q4240-T4240, X)))</f>
        <v/>
      </c>
      <c r="V4240" s="81">
        <f>IF(ISBLANK(P4240),"",U4240/N4240)</f>
        <v/>
      </c>
      <c r="W4240" s="81">
        <f>IF(ISBLANK(P4240),"",IF(S4240=0,(365/0.5)*V4240,(365/S4240)*V4240))</f>
        <v/>
      </c>
      <c r="X4240" s="75" t="n"/>
      <c r="Y4240" s="77" t="n"/>
      <c r="Z4240" s="77" t="n"/>
      <c r="AA4240" s="75" t="n"/>
      <c r="AB4240" s="75" t="n"/>
      <c r="AC4240" s="6" t="n"/>
      <c r="AD4240" s="75" t="n"/>
      <c r="AE4240" s="75" t="n"/>
      <c r="AF4240" s="75" t="n"/>
    </row>
    <row r="4241" ht="15.75" customHeight="1" s="133">
      <c r="A4241" s="75" t="n"/>
      <c r="B4241" s="75" t="n"/>
      <c r="C4241" s="75" t="n"/>
      <c r="D4241" s="75" t="n"/>
      <c r="E4241" s="76" t="n"/>
      <c r="F4241" s="77" t="n"/>
      <c r="G4241" s="75" t="n"/>
      <c r="H4241" s="75">
        <f>IF(ISBLANK(E4241),"",IF(OR(D4241="Butterfly",D4241="Butterfly ",D4241="Iron Fly", D4241="Iron Fly "),LEN(E4241)-LEN(SUBSTITUTE(E4241,"/",""))+2,LEN(E4241)-LEN(SUBSTITUTE(E4241,"/",""))+1))</f>
        <v/>
      </c>
      <c r="I4241" s="78">
        <f>IF(ISBLANK(G4241),"",IF(D4241="Stock","0",Key!$A$3*H4241*G4241))</f>
        <v/>
      </c>
      <c r="J4241" s="78">
        <f>IF(ISBLANK(E4241),"",IF(ISNUMBER(SEARCH("/",E4241)), IF(LEN(E4241)-LEN(SUBSTITUTE(E4241,"/",""))=1,(RIGHT(E4241,LEN(E4241)-FIND("/",E4241)))-(LEFT(E4241,FIND("/",E4241)-1)),(MID(E4241, SEARCH("/",E4241) + 1, SEARCH("/",E4241, SEARCH("/",E4241)+1) - SEARCH("/",E4241) - 1))-(LEFT(E4241,FIND("/",E4241)-1))), "NA"))</f>
        <v/>
      </c>
      <c r="K4241" s="79">
        <f>IF(A4241&lt;&gt;"", IF(ISBLANK(L4241), TODAY(), K4241), "")</f>
        <v/>
      </c>
      <c r="L4241" s="78" t="n"/>
      <c r="M4241" s="78">
        <f>IF(ISBLANK(L4241),"",IF(D4241="Stock",IF(C4241="Buy",L4241*G4241,IF(C4241="Sell",(L4241*G4241)-I4241, X)),IF(C4241="Buy",(L4241*G4241*100)+I4241,IF(C4241="Sell",(L4241*G4241*100)-I4241, X))))</f>
        <v/>
      </c>
      <c r="N4241" s="78">
        <f>IF(ISBLANK(L4241),"",IF(AND(C4241="Sell",D4241="Stock"),M4241,IF(ISBLANK(L4241),"",IF(C4241="Buy",M4241, IF(AND(C4241="Sell",J4241="NA"),(E4241*G4241*100*0.1)+I4241, IF(C4241="Sell",(J4241-L4241)*(100*G4241)+I4241))))))</f>
        <v/>
      </c>
      <c r="O4241" s="75" t="n"/>
      <c r="P4241" s="75" t="n"/>
      <c r="Q4241" s="75">
        <f>IF(ISBLANK(P4241),"",IF(D4241="Stock",P4241*G4241,IF(P4241=0,"0",G4241*P4241*100-(G4241*$AF$14))))</f>
        <v/>
      </c>
      <c r="R4241" s="79">
        <f>IF(P4241&lt;&gt;"", TODAY(), "")</f>
        <v/>
      </c>
      <c r="S4241" s="78">
        <f>IF(AND(K4241&lt;&gt;"", R4241&lt;&gt;""), R4241-K4241, "")</f>
        <v/>
      </c>
      <c r="T4241" s="78" t="n"/>
      <c r="U4241" s="92">
        <f>IF(ISBLANK(P4241),"",IF(C4241="Buy",Q4241-M4241+T4241, IF(C4241="Sell",M4241-Q4241-T4241, X)))</f>
        <v/>
      </c>
      <c r="V4241" s="81">
        <f>IF(ISBLANK(P4241),"",U4241/N4241)</f>
        <v/>
      </c>
      <c r="W4241" s="81">
        <f>IF(ISBLANK(P4241),"",IF(S4241=0,(365/0.5)*V4241,(365/S4241)*V4241))</f>
        <v/>
      </c>
      <c r="X4241" s="75" t="n"/>
      <c r="Y4241" s="77" t="n"/>
      <c r="Z4241" s="77" t="n"/>
      <c r="AA4241" s="75" t="n"/>
      <c r="AB4241" s="75" t="n"/>
      <c r="AC4241" s="6" t="n"/>
      <c r="AD4241" s="75" t="n"/>
      <c r="AE4241" s="75" t="n"/>
      <c r="AF4241" s="75" t="n"/>
    </row>
    <row r="4242" ht="15.75" customHeight="1" s="133">
      <c r="A4242" s="75" t="n"/>
      <c r="B4242" s="75" t="n"/>
      <c r="C4242" s="75" t="n"/>
      <c r="D4242" s="75" t="n"/>
      <c r="E4242" s="76" t="n"/>
      <c r="F4242" s="77" t="n"/>
      <c r="G4242" s="75" t="n"/>
      <c r="H4242" s="75">
        <f>IF(ISBLANK(E4242),"",IF(OR(D4242="Butterfly",D4242="Butterfly ",D4242="Iron Fly", D4242="Iron Fly "),LEN(E4242)-LEN(SUBSTITUTE(E4242,"/",""))+2,LEN(E4242)-LEN(SUBSTITUTE(E4242,"/",""))+1))</f>
        <v/>
      </c>
      <c r="I4242" s="78">
        <f>IF(ISBLANK(G4242),"",IF(D4242="Stock","0",Key!$A$3*H4242*G4242))</f>
        <v/>
      </c>
      <c r="J4242" s="78">
        <f>IF(ISBLANK(E4242),"",IF(ISNUMBER(SEARCH("/",E4242)), IF(LEN(E4242)-LEN(SUBSTITUTE(E4242,"/",""))=1,(RIGHT(E4242,LEN(E4242)-FIND("/",E4242)))-(LEFT(E4242,FIND("/",E4242)-1)),(MID(E4242, SEARCH("/",E4242) + 1, SEARCH("/",E4242, SEARCH("/",E4242)+1) - SEARCH("/",E4242) - 1))-(LEFT(E4242,FIND("/",E4242)-1))), "NA"))</f>
        <v/>
      </c>
      <c r="K4242" s="79">
        <f>IF(A4242&lt;&gt;"", IF(ISBLANK(L4242), TODAY(), K4242), "")</f>
        <v/>
      </c>
      <c r="L4242" s="78" t="n"/>
      <c r="M4242" s="78">
        <f>IF(ISBLANK(L4242),"",IF(D4242="Stock",IF(C4242="Buy",L4242*G4242,IF(C4242="Sell",(L4242*G4242)-I4242, X)),IF(C4242="Buy",(L4242*G4242*100)+I4242,IF(C4242="Sell",(L4242*G4242*100)-I4242, X))))</f>
        <v/>
      </c>
      <c r="N4242" s="78">
        <f>IF(ISBLANK(L4242),"",IF(AND(C4242="Sell",D4242="Stock"),M4242,IF(ISBLANK(L4242),"",IF(C4242="Buy",M4242, IF(AND(C4242="Sell",J4242="NA"),(E4242*G4242*100*0.1)+I4242, IF(C4242="Sell",(J4242-L4242)*(100*G4242)+I4242))))))</f>
        <v/>
      </c>
      <c r="O4242" s="75" t="n"/>
      <c r="P4242" s="75" t="n"/>
      <c r="Q4242" s="75">
        <f>IF(ISBLANK(P4242),"",IF(D4242="Stock",P4242*G4242,IF(P4242=0,"0",G4242*P4242*100-(G4242*$AF$14))))</f>
        <v/>
      </c>
      <c r="R4242" s="79">
        <f>IF(P4242&lt;&gt;"", TODAY(), "")</f>
        <v/>
      </c>
      <c r="S4242" s="78">
        <f>IF(AND(K4242&lt;&gt;"", R4242&lt;&gt;""), R4242-K4242, "")</f>
        <v/>
      </c>
      <c r="T4242" s="78" t="n"/>
      <c r="U4242" s="92">
        <f>IF(ISBLANK(P4242),"",IF(C4242="Buy",Q4242-M4242+T4242, IF(C4242="Sell",M4242-Q4242-T4242, X)))</f>
        <v/>
      </c>
      <c r="V4242" s="81">
        <f>IF(ISBLANK(P4242),"",U4242/N4242)</f>
        <v/>
      </c>
      <c r="W4242" s="81">
        <f>IF(ISBLANK(P4242),"",IF(S4242=0,(365/0.5)*V4242,(365/S4242)*V4242))</f>
        <v/>
      </c>
      <c r="X4242" s="75" t="n"/>
      <c r="Y4242" s="77" t="n"/>
      <c r="Z4242" s="77" t="n"/>
      <c r="AA4242" s="75" t="n"/>
      <c r="AB4242" s="75" t="n"/>
      <c r="AC4242" s="6" t="n"/>
      <c r="AD4242" s="75" t="n"/>
      <c r="AE4242" s="75" t="n"/>
      <c r="AF4242" s="75" t="n"/>
    </row>
    <row r="4243" ht="15.75" customHeight="1" s="133">
      <c r="A4243" s="75" t="n"/>
      <c r="B4243" s="75" t="n"/>
      <c r="C4243" s="75" t="n"/>
      <c r="D4243" s="75" t="n"/>
      <c r="E4243" s="76" t="n"/>
      <c r="F4243" s="77" t="n"/>
      <c r="G4243" s="75" t="n"/>
      <c r="H4243" s="75">
        <f>IF(ISBLANK(E4243),"",IF(OR(D4243="Butterfly",D4243="Butterfly ",D4243="Iron Fly", D4243="Iron Fly "),LEN(E4243)-LEN(SUBSTITUTE(E4243,"/",""))+2,LEN(E4243)-LEN(SUBSTITUTE(E4243,"/",""))+1))</f>
        <v/>
      </c>
      <c r="I4243" s="78">
        <f>IF(ISBLANK(G4243),"",IF(D4243="Stock","0",Key!$A$3*H4243*G4243))</f>
        <v/>
      </c>
      <c r="J4243" s="78">
        <f>IF(ISBLANK(E4243),"",IF(ISNUMBER(SEARCH("/",E4243)), IF(LEN(E4243)-LEN(SUBSTITUTE(E4243,"/",""))=1,(RIGHT(E4243,LEN(E4243)-FIND("/",E4243)))-(LEFT(E4243,FIND("/",E4243)-1)),(MID(E4243, SEARCH("/",E4243) + 1, SEARCH("/",E4243, SEARCH("/",E4243)+1) - SEARCH("/",E4243) - 1))-(LEFT(E4243,FIND("/",E4243)-1))), "NA"))</f>
        <v/>
      </c>
      <c r="K4243" s="79">
        <f>IF(A4243&lt;&gt;"", IF(ISBLANK(L4243), TODAY(), K4243), "")</f>
        <v/>
      </c>
      <c r="L4243" s="78" t="n"/>
      <c r="M4243" s="78">
        <f>IF(ISBLANK(L4243),"",IF(D4243="Stock",IF(C4243="Buy",L4243*G4243,IF(C4243="Sell",(L4243*G4243)-I4243, X)),IF(C4243="Buy",(L4243*G4243*100)+I4243,IF(C4243="Sell",(L4243*G4243*100)-I4243, X))))</f>
        <v/>
      </c>
      <c r="N4243" s="78">
        <f>IF(ISBLANK(L4243),"",IF(AND(C4243="Sell",D4243="Stock"),M4243,IF(ISBLANK(L4243),"",IF(C4243="Buy",M4243, IF(AND(C4243="Sell",J4243="NA"),(E4243*G4243*100*0.1)+I4243, IF(C4243="Sell",(J4243-L4243)*(100*G4243)+I4243))))))</f>
        <v/>
      </c>
      <c r="O4243" s="75" t="n"/>
      <c r="P4243" s="75" t="n"/>
      <c r="Q4243" s="75">
        <f>IF(ISBLANK(P4243),"",IF(D4243="Stock",P4243*G4243,IF(P4243=0,"0",G4243*P4243*100-(G4243*$AF$14))))</f>
        <v/>
      </c>
      <c r="R4243" s="79">
        <f>IF(P4243&lt;&gt;"", TODAY(), "")</f>
        <v/>
      </c>
      <c r="S4243" s="78">
        <f>IF(AND(K4243&lt;&gt;"", R4243&lt;&gt;""), R4243-K4243, "")</f>
        <v/>
      </c>
      <c r="T4243" s="78" t="n"/>
      <c r="U4243" s="92">
        <f>IF(ISBLANK(P4243),"",IF(C4243="Buy",Q4243-M4243+T4243, IF(C4243="Sell",M4243-Q4243-T4243, X)))</f>
        <v/>
      </c>
      <c r="V4243" s="81">
        <f>IF(ISBLANK(P4243),"",U4243/N4243)</f>
        <v/>
      </c>
      <c r="W4243" s="81">
        <f>IF(ISBLANK(P4243),"",IF(S4243=0,(365/0.5)*V4243,(365/S4243)*V4243))</f>
        <v/>
      </c>
      <c r="X4243" s="75" t="n"/>
      <c r="Y4243" s="77" t="n"/>
      <c r="Z4243" s="77" t="n"/>
      <c r="AA4243" s="75" t="n"/>
      <c r="AB4243" s="75" t="n"/>
      <c r="AC4243" s="6" t="n"/>
      <c r="AD4243" s="75" t="n"/>
      <c r="AE4243" s="75" t="n"/>
      <c r="AF4243" s="75" t="n"/>
    </row>
    <row r="4244" ht="15.75" customHeight="1" s="133">
      <c r="A4244" s="75" t="n"/>
      <c r="B4244" s="75" t="n"/>
      <c r="C4244" s="75" t="n"/>
      <c r="D4244" s="75" t="n"/>
      <c r="E4244" s="76" t="n"/>
      <c r="F4244" s="77" t="n"/>
      <c r="G4244" s="75" t="n"/>
      <c r="H4244" s="75">
        <f>IF(ISBLANK(E4244),"",IF(OR(D4244="Butterfly",D4244="Butterfly ",D4244="Iron Fly", D4244="Iron Fly "),LEN(E4244)-LEN(SUBSTITUTE(E4244,"/",""))+2,LEN(E4244)-LEN(SUBSTITUTE(E4244,"/",""))+1))</f>
        <v/>
      </c>
      <c r="I4244" s="78">
        <f>IF(ISBLANK(G4244),"",IF(D4244="Stock","0",Key!$A$3*H4244*G4244))</f>
        <v/>
      </c>
      <c r="J4244" s="78">
        <f>IF(ISBLANK(E4244),"",IF(ISNUMBER(SEARCH("/",E4244)), IF(LEN(E4244)-LEN(SUBSTITUTE(E4244,"/",""))=1,(RIGHT(E4244,LEN(E4244)-FIND("/",E4244)))-(LEFT(E4244,FIND("/",E4244)-1)),(MID(E4244, SEARCH("/",E4244) + 1, SEARCH("/",E4244, SEARCH("/",E4244)+1) - SEARCH("/",E4244) - 1))-(LEFT(E4244,FIND("/",E4244)-1))), "NA"))</f>
        <v/>
      </c>
      <c r="K4244" s="79">
        <f>IF(A4244&lt;&gt;"", IF(ISBLANK(L4244), TODAY(), K4244), "")</f>
        <v/>
      </c>
      <c r="L4244" s="78" t="n"/>
      <c r="M4244" s="78">
        <f>IF(ISBLANK(L4244),"",IF(D4244="Stock",IF(C4244="Buy",L4244*G4244,IF(C4244="Sell",(L4244*G4244)-I4244, X)),IF(C4244="Buy",(L4244*G4244*100)+I4244,IF(C4244="Sell",(L4244*G4244*100)-I4244, X))))</f>
        <v/>
      </c>
      <c r="N4244" s="78">
        <f>IF(ISBLANK(L4244),"",IF(AND(C4244="Sell",D4244="Stock"),M4244,IF(ISBLANK(L4244),"",IF(C4244="Buy",M4244, IF(AND(C4244="Sell",J4244="NA"),(E4244*G4244*100*0.1)+I4244, IF(C4244="Sell",(J4244-L4244)*(100*G4244)+I4244))))))</f>
        <v/>
      </c>
      <c r="O4244" s="75" t="n"/>
      <c r="P4244" s="75" t="n"/>
      <c r="Q4244" s="75">
        <f>IF(ISBLANK(P4244),"",IF(D4244="Stock",P4244*G4244,IF(P4244=0,"0",G4244*P4244*100-(G4244*$AF$14))))</f>
        <v/>
      </c>
      <c r="R4244" s="79">
        <f>IF(P4244&lt;&gt;"", TODAY(), "")</f>
        <v/>
      </c>
      <c r="S4244" s="78">
        <f>IF(AND(K4244&lt;&gt;"", R4244&lt;&gt;""), R4244-K4244, "")</f>
        <v/>
      </c>
      <c r="T4244" s="78" t="n"/>
      <c r="U4244" s="92">
        <f>IF(ISBLANK(P4244),"",IF(C4244="Buy",Q4244-M4244+T4244, IF(C4244="Sell",M4244-Q4244-T4244, X)))</f>
        <v/>
      </c>
      <c r="V4244" s="81">
        <f>IF(ISBLANK(P4244),"",U4244/N4244)</f>
        <v/>
      </c>
      <c r="W4244" s="81">
        <f>IF(ISBLANK(P4244),"",IF(S4244=0,(365/0.5)*V4244,(365/S4244)*V4244))</f>
        <v/>
      </c>
      <c r="X4244" s="75" t="n"/>
      <c r="Y4244" s="77" t="n"/>
      <c r="Z4244" s="77" t="n"/>
      <c r="AA4244" s="75" t="n"/>
      <c r="AB4244" s="75" t="n"/>
      <c r="AC4244" s="6" t="n"/>
      <c r="AD4244" s="75" t="n"/>
      <c r="AE4244" s="75" t="n"/>
      <c r="AF4244" s="75" t="n"/>
    </row>
    <row r="4245" ht="15.75" customHeight="1" s="133">
      <c r="A4245" s="75" t="n"/>
      <c r="B4245" s="75" t="n"/>
      <c r="C4245" s="75" t="n"/>
      <c r="D4245" s="75" t="n"/>
      <c r="E4245" s="76" t="n"/>
      <c r="F4245" s="77" t="n"/>
      <c r="G4245" s="75" t="n"/>
      <c r="H4245" s="75">
        <f>IF(ISBLANK(E4245),"",IF(OR(D4245="Butterfly",D4245="Butterfly ",D4245="Iron Fly", D4245="Iron Fly "),LEN(E4245)-LEN(SUBSTITUTE(E4245,"/",""))+2,LEN(E4245)-LEN(SUBSTITUTE(E4245,"/",""))+1))</f>
        <v/>
      </c>
      <c r="I4245" s="78">
        <f>IF(ISBLANK(G4245),"",IF(D4245="Stock","0",Key!$A$3*H4245*G4245))</f>
        <v/>
      </c>
      <c r="J4245" s="78">
        <f>IF(ISBLANK(E4245),"",IF(ISNUMBER(SEARCH("/",E4245)), IF(LEN(E4245)-LEN(SUBSTITUTE(E4245,"/",""))=1,(RIGHT(E4245,LEN(E4245)-FIND("/",E4245)))-(LEFT(E4245,FIND("/",E4245)-1)),(MID(E4245, SEARCH("/",E4245) + 1, SEARCH("/",E4245, SEARCH("/",E4245)+1) - SEARCH("/",E4245) - 1))-(LEFT(E4245,FIND("/",E4245)-1))), "NA"))</f>
        <v/>
      </c>
      <c r="K4245" s="79">
        <f>IF(A4245&lt;&gt;"", IF(ISBLANK(L4245), TODAY(), K4245), "")</f>
        <v/>
      </c>
      <c r="L4245" s="78" t="n"/>
      <c r="M4245" s="78">
        <f>IF(ISBLANK(L4245),"",IF(D4245="Stock",IF(C4245="Buy",L4245*G4245,IF(C4245="Sell",(L4245*G4245)-I4245, X)),IF(C4245="Buy",(L4245*G4245*100)+I4245,IF(C4245="Sell",(L4245*G4245*100)-I4245, X))))</f>
        <v/>
      </c>
      <c r="N4245" s="78">
        <f>IF(ISBLANK(L4245),"",IF(AND(C4245="Sell",D4245="Stock"),M4245,IF(ISBLANK(L4245),"",IF(C4245="Buy",M4245, IF(AND(C4245="Sell",J4245="NA"),(E4245*G4245*100*0.1)+I4245, IF(C4245="Sell",(J4245-L4245)*(100*G4245)+I4245))))))</f>
        <v/>
      </c>
      <c r="O4245" s="75" t="n"/>
      <c r="P4245" s="75" t="n"/>
      <c r="Q4245" s="75">
        <f>IF(ISBLANK(P4245),"",IF(D4245="Stock",P4245*G4245,IF(P4245=0,"0",G4245*P4245*100-(G4245*$AF$14))))</f>
        <v/>
      </c>
      <c r="R4245" s="79">
        <f>IF(P4245&lt;&gt;"", TODAY(), "")</f>
        <v/>
      </c>
      <c r="S4245" s="78">
        <f>IF(AND(K4245&lt;&gt;"", R4245&lt;&gt;""), R4245-K4245, "")</f>
        <v/>
      </c>
      <c r="T4245" s="78" t="n"/>
      <c r="U4245" s="92">
        <f>IF(ISBLANK(P4245),"",IF(C4245="Buy",Q4245-M4245+T4245, IF(C4245="Sell",M4245-Q4245-T4245, X)))</f>
        <v/>
      </c>
      <c r="V4245" s="81">
        <f>IF(ISBLANK(P4245),"",U4245/N4245)</f>
        <v/>
      </c>
      <c r="W4245" s="81">
        <f>IF(ISBLANK(P4245),"",IF(S4245=0,(365/0.5)*V4245,(365/S4245)*V4245))</f>
        <v/>
      </c>
      <c r="X4245" s="75" t="n"/>
      <c r="Y4245" s="77" t="n"/>
      <c r="Z4245" s="77" t="n"/>
      <c r="AA4245" s="75" t="n"/>
      <c r="AB4245" s="75" t="n"/>
      <c r="AC4245" s="6" t="n"/>
      <c r="AD4245" s="75" t="n"/>
      <c r="AE4245" s="75" t="n"/>
      <c r="AF4245" s="75" t="n"/>
    </row>
    <row r="4246" ht="15.75" customHeight="1" s="133">
      <c r="A4246" s="75" t="n"/>
      <c r="B4246" s="75" t="n"/>
      <c r="C4246" s="75" t="n"/>
      <c r="D4246" s="75" t="n"/>
      <c r="E4246" s="76" t="n"/>
      <c r="F4246" s="77" t="n"/>
      <c r="G4246" s="75" t="n"/>
      <c r="H4246" s="75">
        <f>IF(ISBLANK(E4246),"",IF(OR(D4246="Butterfly",D4246="Butterfly ",D4246="Iron Fly", D4246="Iron Fly "),LEN(E4246)-LEN(SUBSTITUTE(E4246,"/",""))+2,LEN(E4246)-LEN(SUBSTITUTE(E4246,"/",""))+1))</f>
        <v/>
      </c>
      <c r="I4246" s="78">
        <f>IF(ISBLANK(G4246),"",IF(D4246="Stock","0",Key!$A$3*H4246*G4246))</f>
        <v/>
      </c>
      <c r="J4246" s="78">
        <f>IF(ISBLANK(E4246),"",IF(ISNUMBER(SEARCH("/",E4246)), IF(LEN(E4246)-LEN(SUBSTITUTE(E4246,"/",""))=1,(RIGHT(E4246,LEN(E4246)-FIND("/",E4246)))-(LEFT(E4246,FIND("/",E4246)-1)),(MID(E4246, SEARCH("/",E4246) + 1, SEARCH("/",E4246, SEARCH("/",E4246)+1) - SEARCH("/",E4246) - 1))-(LEFT(E4246,FIND("/",E4246)-1))), "NA"))</f>
        <v/>
      </c>
      <c r="K4246" s="79">
        <f>IF(A4246&lt;&gt;"", IF(ISBLANK(L4246), TODAY(), K4246), "")</f>
        <v/>
      </c>
      <c r="L4246" s="78" t="n"/>
      <c r="M4246" s="78">
        <f>IF(ISBLANK(L4246),"",IF(D4246="Stock",IF(C4246="Buy",L4246*G4246,IF(C4246="Sell",(L4246*G4246)-I4246, X)),IF(C4246="Buy",(L4246*G4246*100)+I4246,IF(C4246="Sell",(L4246*G4246*100)-I4246, X))))</f>
        <v/>
      </c>
      <c r="N4246" s="78">
        <f>IF(ISBLANK(L4246),"",IF(AND(C4246="Sell",D4246="Stock"),M4246,IF(ISBLANK(L4246),"",IF(C4246="Buy",M4246, IF(AND(C4246="Sell",J4246="NA"),(E4246*G4246*100*0.1)+I4246, IF(C4246="Sell",(J4246-L4246)*(100*G4246)+I4246))))))</f>
        <v/>
      </c>
      <c r="O4246" s="75" t="n"/>
      <c r="P4246" s="75" t="n"/>
      <c r="Q4246" s="75">
        <f>IF(ISBLANK(P4246),"",IF(D4246="Stock",P4246*G4246,IF(P4246=0,"0",G4246*P4246*100-(G4246*$AF$14))))</f>
        <v/>
      </c>
      <c r="R4246" s="79">
        <f>IF(P4246&lt;&gt;"", TODAY(), "")</f>
        <v/>
      </c>
      <c r="S4246" s="78">
        <f>IF(AND(K4246&lt;&gt;"", R4246&lt;&gt;""), R4246-K4246, "")</f>
        <v/>
      </c>
      <c r="T4246" s="78" t="n"/>
      <c r="U4246" s="92">
        <f>IF(ISBLANK(P4246),"",IF(C4246="Buy",Q4246-M4246+T4246, IF(C4246="Sell",M4246-Q4246-T4246, X)))</f>
        <v/>
      </c>
      <c r="V4246" s="81">
        <f>IF(ISBLANK(P4246),"",U4246/N4246)</f>
        <v/>
      </c>
      <c r="W4246" s="81">
        <f>IF(ISBLANK(P4246),"",IF(S4246=0,(365/0.5)*V4246,(365/S4246)*V4246))</f>
        <v/>
      </c>
      <c r="X4246" s="75" t="n"/>
      <c r="Y4246" s="77" t="n"/>
      <c r="Z4246" s="77" t="n"/>
      <c r="AA4246" s="75" t="n"/>
      <c r="AB4246" s="75" t="n"/>
      <c r="AC4246" s="6" t="n"/>
      <c r="AD4246" s="75" t="n"/>
      <c r="AE4246" s="75" t="n"/>
      <c r="AF4246" s="75" t="n"/>
    </row>
    <row r="4247" ht="15.75" customHeight="1" s="133">
      <c r="A4247" s="75" t="n"/>
      <c r="B4247" s="75" t="n"/>
      <c r="C4247" s="75" t="n"/>
      <c r="D4247" s="75" t="n"/>
      <c r="E4247" s="76" t="n"/>
      <c r="F4247" s="77" t="n"/>
      <c r="G4247" s="75" t="n"/>
      <c r="H4247" s="75">
        <f>IF(ISBLANK(E4247),"",IF(OR(D4247="Butterfly",D4247="Butterfly ",D4247="Iron Fly", D4247="Iron Fly "),LEN(E4247)-LEN(SUBSTITUTE(E4247,"/",""))+2,LEN(E4247)-LEN(SUBSTITUTE(E4247,"/",""))+1))</f>
        <v/>
      </c>
      <c r="I4247" s="78">
        <f>IF(ISBLANK(G4247),"",IF(D4247="Stock","0",Key!$A$3*H4247*G4247))</f>
        <v/>
      </c>
      <c r="J4247" s="78">
        <f>IF(ISBLANK(E4247),"",IF(ISNUMBER(SEARCH("/",E4247)), IF(LEN(E4247)-LEN(SUBSTITUTE(E4247,"/",""))=1,(RIGHT(E4247,LEN(E4247)-FIND("/",E4247)))-(LEFT(E4247,FIND("/",E4247)-1)),(MID(E4247, SEARCH("/",E4247) + 1, SEARCH("/",E4247, SEARCH("/",E4247)+1) - SEARCH("/",E4247) - 1))-(LEFT(E4247,FIND("/",E4247)-1))), "NA"))</f>
        <v/>
      </c>
      <c r="K4247" s="79">
        <f>IF(A4247&lt;&gt;"", IF(ISBLANK(L4247), TODAY(), K4247), "")</f>
        <v/>
      </c>
      <c r="L4247" s="78" t="n"/>
      <c r="M4247" s="78">
        <f>IF(ISBLANK(L4247),"",IF(D4247="Stock",IF(C4247="Buy",L4247*G4247,IF(C4247="Sell",(L4247*G4247)-I4247, X)),IF(C4247="Buy",(L4247*G4247*100)+I4247,IF(C4247="Sell",(L4247*G4247*100)-I4247, X))))</f>
        <v/>
      </c>
      <c r="N4247" s="78">
        <f>IF(ISBLANK(L4247),"",IF(AND(C4247="Sell",D4247="Stock"),M4247,IF(ISBLANK(L4247),"",IF(C4247="Buy",M4247, IF(AND(C4247="Sell",J4247="NA"),(E4247*G4247*100*0.1)+I4247, IF(C4247="Sell",(J4247-L4247)*(100*G4247)+I4247))))))</f>
        <v/>
      </c>
      <c r="O4247" s="75" t="n"/>
      <c r="P4247" s="75" t="n"/>
      <c r="Q4247" s="75">
        <f>IF(ISBLANK(P4247),"",IF(D4247="Stock",P4247*G4247,IF(P4247=0,"0",G4247*P4247*100-(G4247*$AF$14))))</f>
        <v/>
      </c>
      <c r="R4247" s="79">
        <f>IF(P4247&lt;&gt;"", TODAY(), "")</f>
        <v/>
      </c>
      <c r="S4247" s="78">
        <f>IF(AND(K4247&lt;&gt;"", R4247&lt;&gt;""), R4247-K4247, "")</f>
        <v/>
      </c>
      <c r="T4247" s="78" t="n"/>
      <c r="U4247" s="92">
        <f>IF(ISBLANK(P4247),"",IF(C4247="Buy",Q4247-M4247+T4247, IF(C4247="Sell",M4247-Q4247-T4247, X)))</f>
        <v/>
      </c>
      <c r="V4247" s="81">
        <f>IF(ISBLANK(P4247),"",U4247/N4247)</f>
        <v/>
      </c>
      <c r="W4247" s="81">
        <f>IF(ISBLANK(P4247),"",IF(S4247=0,(365/0.5)*V4247,(365/S4247)*V4247))</f>
        <v/>
      </c>
      <c r="X4247" s="75" t="n"/>
      <c r="Y4247" s="77" t="n"/>
      <c r="Z4247" s="77" t="n"/>
      <c r="AA4247" s="75" t="n"/>
      <c r="AB4247" s="75" t="n"/>
      <c r="AC4247" s="6" t="n"/>
      <c r="AD4247" s="75" t="n"/>
      <c r="AE4247" s="75" t="n"/>
      <c r="AF4247" s="75" t="n"/>
    </row>
    <row r="4248" ht="15.75" customHeight="1" s="133">
      <c r="A4248" s="75" t="n"/>
      <c r="B4248" s="75" t="n"/>
      <c r="C4248" s="75" t="n"/>
      <c r="D4248" s="75" t="n"/>
      <c r="E4248" s="76" t="n"/>
      <c r="F4248" s="77" t="n"/>
      <c r="G4248" s="75" t="n"/>
      <c r="H4248" s="75">
        <f>IF(ISBLANK(E4248),"",IF(OR(D4248="Butterfly",D4248="Butterfly ",D4248="Iron Fly", D4248="Iron Fly "),LEN(E4248)-LEN(SUBSTITUTE(E4248,"/",""))+2,LEN(E4248)-LEN(SUBSTITUTE(E4248,"/",""))+1))</f>
        <v/>
      </c>
      <c r="I4248" s="78">
        <f>IF(ISBLANK(G4248),"",IF(D4248="Stock","0",Key!$A$3*H4248*G4248))</f>
        <v/>
      </c>
      <c r="J4248" s="78">
        <f>IF(ISBLANK(E4248),"",IF(ISNUMBER(SEARCH("/",E4248)), IF(LEN(E4248)-LEN(SUBSTITUTE(E4248,"/",""))=1,(RIGHT(E4248,LEN(E4248)-FIND("/",E4248)))-(LEFT(E4248,FIND("/",E4248)-1)),(MID(E4248, SEARCH("/",E4248) + 1, SEARCH("/",E4248, SEARCH("/",E4248)+1) - SEARCH("/",E4248) - 1))-(LEFT(E4248,FIND("/",E4248)-1))), "NA"))</f>
        <v/>
      </c>
      <c r="K4248" s="79">
        <f>IF(A4248&lt;&gt;"", IF(ISBLANK(L4248), TODAY(), K4248), "")</f>
        <v/>
      </c>
      <c r="L4248" s="78" t="n"/>
      <c r="M4248" s="78">
        <f>IF(ISBLANK(L4248),"",IF(D4248="Stock",IF(C4248="Buy",L4248*G4248,IF(C4248="Sell",(L4248*G4248)-I4248, X)),IF(C4248="Buy",(L4248*G4248*100)+I4248,IF(C4248="Sell",(L4248*G4248*100)-I4248, X))))</f>
        <v/>
      </c>
      <c r="N4248" s="78">
        <f>IF(ISBLANK(L4248),"",IF(AND(C4248="Sell",D4248="Stock"),M4248,IF(ISBLANK(L4248),"",IF(C4248="Buy",M4248, IF(AND(C4248="Sell",J4248="NA"),(E4248*G4248*100*0.1)+I4248, IF(C4248="Sell",(J4248-L4248)*(100*G4248)+I4248))))))</f>
        <v/>
      </c>
      <c r="O4248" s="75" t="n"/>
      <c r="P4248" s="75" t="n"/>
      <c r="Q4248" s="75">
        <f>IF(ISBLANK(P4248),"",IF(D4248="Stock",P4248*G4248,IF(P4248=0,"0",G4248*P4248*100-(G4248*$AF$14))))</f>
        <v/>
      </c>
      <c r="R4248" s="79">
        <f>IF(P4248&lt;&gt;"", TODAY(), "")</f>
        <v/>
      </c>
      <c r="S4248" s="78">
        <f>IF(AND(K4248&lt;&gt;"", R4248&lt;&gt;""), R4248-K4248, "")</f>
        <v/>
      </c>
      <c r="T4248" s="78" t="n"/>
      <c r="U4248" s="92">
        <f>IF(ISBLANK(P4248),"",IF(C4248="Buy",Q4248-M4248+T4248, IF(C4248="Sell",M4248-Q4248-T4248, X)))</f>
        <v/>
      </c>
      <c r="V4248" s="81">
        <f>IF(ISBLANK(P4248),"",U4248/N4248)</f>
        <v/>
      </c>
      <c r="W4248" s="81">
        <f>IF(ISBLANK(P4248),"",IF(S4248=0,(365/0.5)*V4248,(365/S4248)*V4248))</f>
        <v/>
      </c>
      <c r="X4248" s="75" t="n"/>
      <c r="Y4248" s="77" t="n"/>
      <c r="Z4248" s="77" t="n"/>
      <c r="AA4248" s="75" t="n"/>
      <c r="AB4248" s="75" t="n"/>
      <c r="AC4248" s="6" t="n"/>
      <c r="AD4248" s="75" t="n"/>
      <c r="AE4248" s="75" t="n"/>
      <c r="AF4248" s="75" t="n"/>
    </row>
    <row r="4249" ht="15.75" customHeight="1" s="133">
      <c r="A4249" s="75" t="n"/>
      <c r="B4249" s="75" t="n"/>
      <c r="C4249" s="75" t="n"/>
      <c r="D4249" s="75" t="n"/>
      <c r="E4249" s="76" t="n"/>
      <c r="F4249" s="77" t="n"/>
      <c r="G4249" s="75" t="n"/>
      <c r="H4249" s="75">
        <f>IF(ISBLANK(E4249),"",IF(OR(D4249="Butterfly",D4249="Butterfly ",D4249="Iron Fly", D4249="Iron Fly "),LEN(E4249)-LEN(SUBSTITUTE(E4249,"/",""))+2,LEN(E4249)-LEN(SUBSTITUTE(E4249,"/",""))+1))</f>
        <v/>
      </c>
      <c r="I4249" s="78">
        <f>IF(ISBLANK(G4249),"",IF(D4249="Stock","0",Key!$A$3*H4249*G4249))</f>
        <v/>
      </c>
      <c r="J4249" s="78">
        <f>IF(ISBLANK(E4249),"",IF(ISNUMBER(SEARCH("/",E4249)), IF(LEN(E4249)-LEN(SUBSTITUTE(E4249,"/",""))=1,(RIGHT(E4249,LEN(E4249)-FIND("/",E4249)))-(LEFT(E4249,FIND("/",E4249)-1)),(MID(E4249, SEARCH("/",E4249) + 1, SEARCH("/",E4249, SEARCH("/",E4249)+1) - SEARCH("/",E4249) - 1))-(LEFT(E4249,FIND("/",E4249)-1))), "NA"))</f>
        <v/>
      </c>
      <c r="K4249" s="79">
        <f>IF(A4249&lt;&gt;"", IF(ISBLANK(L4249), TODAY(), K4249), "")</f>
        <v/>
      </c>
      <c r="L4249" s="78" t="n"/>
      <c r="M4249" s="78">
        <f>IF(ISBLANK(L4249),"",IF(D4249="Stock",IF(C4249="Buy",L4249*G4249,IF(C4249="Sell",(L4249*G4249)-I4249, X)),IF(C4249="Buy",(L4249*G4249*100)+I4249,IF(C4249="Sell",(L4249*G4249*100)-I4249, X))))</f>
        <v/>
      </c>
      <c r="N4249" s="78">
        <f>IF(ISBLANK(L4249),"",IF(AND(C4249="Sell",D4249="Stock"),M4249,IF(ISBLANK(L4249),"",IF(C4249="Buy",M4249, IF(AND(C4249="Sell",J4249="NA"),(E4249*G4249*100*0.1)+I4249, IF(C4249="Sell",(J4249-L4249)*(100*G4249)+I4249))))))</f>
        <v/>
      </c>
      <c r="O4249" s="75" t="n"/>
      <c r="P4249" s="75" t="n"/>
      <c r="Q4249" s="75">
        <f>IF(ISBLANK(P4249),"",IF(D4249="Stock",P4249*G4249,IF(P4249=0,"0",G4249*P4249*100-(G4249*$AF$14))))</f>
        <v/>
      </c>
      <c r="R4249" s="79">
        <f>IF(P4249&lt;&gt;"", TODAY(), "")</f>
        <v/>
      </c>
      <c r="S4249" s="78">
        <f>IF(AND(K4249&lt;&gt;"", R4249&lt;&gt;""), R4249-K4249, "")</f>
        <v/>
      </c>
      <c r="T4249" s="78" t="n"/>
      <c r="U4249" s="92">
        <f>IF(ISBLANK(P4249),"",IF(C4249="Buy",Q4249-M4249+T4249, IF(C4249="Sell",M4249-Q4249-T4249, X)))</f>
        <v/>
      </c>
      <c r="V4249" s="81">
        <f>IF(ISBLANK(P4249),"",U4249/N4249)</f>
        <v/>
      </c>
      <c r="W4249" s="81">
        <f>IF(ISBLANK(P4249),"",IF(S4249=0,(365/0.5)*V4249,(365/S4249)*V4249))</f>
        <v/>
      </c>
      <c r="X4249" s="75" t="n"/>
      <c r="Y4249" s="77" t="n"/>
      <c r="Z4249" s="77" t="n"/>
      <c r="AA4249" s="75" t="n"/>
      <c r="AB4249" s="75" t="n"/>
      <c r="AC4249" s="6" t="n"/>
      <c r="AD4249" s="75" t="n"/>
      <c r="AE4249" s="75" t="n"/>
      <c r="AF4249" s="75" t="n"/>
    </row>
    <row r="4250" ht="15.75" customHeight="1" s="133">
      <c r="A4250" s="75" t="n"/>
      <c r="B4250" s="75" t="n"/>
      <c r="C4250" s="75" t="n"/>
      <c r="D4250" s="75" t="n"/>
      <c r="E4250" s="76" t="n"/>
      <c r="F4250" s="77" t="n"/>
      <c r="G4250" s="75" t="n"/>
      <c r="H4250" s="75">
        <f>IF(ISBLANK(E4250),"",IF(OR(D4250="Butterfly",D4250="Butterfly ",D4250="Iron Fly", D4250="Iron Fly "),LEN(E4250)-LEN(SUBSTITUTE(E4250,"/",""))+2,LEN(E4250)-LEN(SUBSTITUTE(E4250,"/",""))+1))</f>
        <v/>
      </c>
      <c r="I4250" s="78">
        <f>IF(ISBLANK(G4250),"",IF(D4250="Stock","0",Key!$A$3*H4250*G4250))</f>
        <v/>
      </c>
      <c r="J4250" s="78">
        <f>IF(ISBLANK(E4250),"",IF(ISNUMBER(SEARCH("/",E4250)), IF(LEN(E4250)-LEN(SUBSTITUTE(E4250,"/",""))=1,(RIGHT(E4250,LEN(E4250)-FIND("/",E4250)))-(LEFT(E4250,FIND("/",E4250)-1)),(MID(E4250, SEARCH("/",E4250) + 1, SEARCH("/",E4250, SEARCH("/",E4250)+1) - SEARCH("/",E4250) - 1))-(LEFT(E4250,FIND("/",E4250)-1))), "NA"))</f>
        <v/>
      </c>
      <c r="K4250" s="79">
        <f>IF(A4250&lt;&gt;"", IF(ISBLANK(L4250), TODAY(), K4250), "")</f>
        <v/>
      </c>
      <c r="L4250" s="78" t="n"/>
      <c r="M4250" s="78">
        <f>IF(ISBLANK(L4250),"",IF(D4250="Stock",IF(C4250="Buy",L4250*G4250,IF(C4250="Sell",(L4250*G4250)-I4250, X)),IF(C4250="Buy",(L4250*G4250*100)+I4250,IF(C4250="Sell",(L4250*G4250*100)-I4250, X))))</f>
        <v/>
      </c>
      <c r="N4250" s="78">
        <f>IF(ISBLANK(L4250),"",IF(AND(C4250="Sell",D4250="Stock"),M4250,IF(ISBLANK(L4250),"",IF(C4250="Buy",M4250, IF(AND(C4250="Sell",J4250="NA"),(E4250*G4250*100*0.1)+I4250, IF(C4250="Sell",(J4250-L4250)*(100*G4250)+I4250))))))</f>
        <v/>
      </c>
      <c r="O4250" s="75" t="n"/>
      <c r="P4250" s="75" t="n"/>
      <c r="Q4250" s="75">
        <f>IF(ISBLANK(P4250),"",IF(D4250="Stock",P4250*G4250,IF(P4250=0,"0",G4250*P4250*100-(G4250*$AF$14))))</f>
        <v/>
      </c>
      <c r="R4250" s="79">
        <f>IF(P4250&lt;&gt;"", TODAY(), "")</f>
        <v/>
      </c>
      <c r="S4250" s="78">
        <f>IF(AND(K4250&lt;&gt;"", R4250&lt;&gt;""), R4250-K4250, "")</f>
        <v/>
      </c>
      <c r="T4250" s="78" t="n"/>
      <c r="U4250" s="92">
        <f>IF(ISBLANK(P4250),"",IF(C4250="Buy",Q4250-M4250+T4250, IF(C4250="Sell",M4250-Q4250-T4250, X)))</f>
        <v/>
      </c>
      <c r="V4250" s="81">
        <f>IF(ISBLANK(P4250),"",U4250/N4250)</f>
        <v/>
      </c>
      <c r="W4250" s="81">
        <f>IF(ISBLANK(P4250),"",IF(S4250=0,(365/0.5)*V4250,(365/S4250)*V4250))</f>
        <v/>
      </c>
      <c r="X4250" s="75" t="n"/>
      <c r="Y4250" s="77" t="n"/>
      <c r="Z4250" s="77" t="n"/>
      <c r="AA4250" s="75" t="n"/>
      <c r="AB4250" s="75" t="n"/>
      <c r="AC4250" s="6" t="n"/>
      <c r="AD4250" s="75" t="n"/>
      <c r="AE4250" s="75" t="n"/>
      <c r="AF4250" s="75" t="n"/>
    </row>
    <row r="4251" ht="15.75" customHeight="1" s="133">
      <c r="A4251" s="75" t="n"/>
      <c r="B4251" s="75" t="n"/>
      <c r="C4251" s="75" t="n"/>
      <c r="D4251" s="75" t="n"/>
      <c r="E4251" s="76" t="n"/>
      <c r="F4251" s="77" t="n"/>
      <c r="G4251" s="75" t="n"/>
      <c r="H4251" s="75">
        <f>IF(ISBLANK(E4251),"",IF(OR(D4251="Butterfly",D4251="Butterfly ",D4251="Iron Fly", D4251="Iron Fly "),LEN(E4251)-LEN(SUBSTITUTE(E4251,"/",""))+2,LEN(E4251)-LEN(SUBSTITUTE(E4251,"/",""))+1))</f>
        <v/>
      </c>
      <c r="I4251" s="78">
        <f>IF(ISBLANK(G4251),"",IF(D4251="Stock","0",Key!$A$3*H4251*G4251))</f>
        <v/>
      </c>
      <c r="J4251" s="78">
        <f>IF(ISBLANK(E4251),"",IF(ISNUMBER(SEARCH("/",E4251)), IF(LEN(E4251)-LEN(SUBSTITUTE(E4251,"/",""))=1,(RIGHT(E4251,LEN(E4251)-FIND("/",E4251)))-(LEFT(E4251,FIND("/",E4251)-1)),(MID(E4251, SEARCH("/",E4251) + 1, SEARCH("/",E4251, SEARCH("/",E4251)+1) - SEARCH("/",E4251) - 1))-(LEFT(E4251,FIND("/",E4251)-1))), "NA"))</f>
        <v/>
      </c>
      <c r="K4251" s="79">
        <f>IF(A4251&lt;&gt;"", IF(ISBLANK(L4251), TODAY(), K4251), "")</f>
        <v/>
      </c>
      <c r="L4251" s="78" t="n"/>
      <c r="M4251" s="78">
        <f>IF(ISBLANK(L4251),"",IF(D4251="Stock",IF(C4251="Buy",L4251*G4251,IF(C4251="Sell",(L4251*G4251)-I4251, X)),IF(C4251="Buy",(L4251*G4251*100)+I4251,IF(C4251="Sell",(L4251*G4251*100)-I4251, X))))</f>
        <v/>
      </c>
      <c r="N4251" s="78">
        <f>IF(ISBLANK(L4251),"",IF(AND(C4251="Sell",D4251="Stock"),M4251,IF(ISBLANK(L4251),"",IF(C4251="Buy",M4251, IF(AND(C4251="Sell",J4251="NA"),(E4251*G4251*100*0.1)+I4251, IF(C4251="Sell",(J4251-L4251)*(100*G4251)+I4251))))))</f>
        <v/>
      </c>
      <c r="O4251" s="75" t="n"/>
      <c r="P4251" s="75" t="n"/>
      <c r="Q4251" s="75">
        <f>IF(ISBLANK(P4251),"",IF(D4251="Stock",P4251*G4251,IF(P4251=0,"0",G4251*P4251*100-(G4251*$AF$14))))</f>
        <v/>
      </c>
      <c r="R4251" s="79">
        <f>IF(P4251&lt;&gt;"", TODAY(), "")</f>
        <v/>
      </c>
      <c r="S4251" s="78">
        <f>IF(AND(K4251&lt;&gt;"", R4251&lt;&gt;""), R4251-K4251, "")</f>
        <v/>
      </c>
      <c r="T4251" s="78" t="n"/>
      <c r="U4251" s="92">
        <f>IF(ISBLANK(P4251),"",IF(C4251="Buy",Q4251-M4251+T4251, IF(C4251="Sell",M4251-Q4251-T4251, X)))</f>
        <v/>
      </c>
      <c r="V4251" s="81">
        <f>IF(ISBLANK(P4251),"",U4251/N4251)</f>
        <v/>
      </c>
      <c r="W4251" s="81">
        <f>IF(ISBLANK(P4251),"",IF(S4251=0,(365/0.5)*V4251,(365/S4251)*V4251))</f>
        <v/>
      </c>
      <c r="X4251" s="75" t="n"/>
      <c r="Y4251" s="77" t="n"/>
      <c r="Z4251" s="77" t="n"/>
      <c r="AA4251" s="75" t="n"/>
      <c r="AB4251" s="75" t="n"/>
      <c r="AC4251" s="6" t="n"/>
      <c r="AD4251" s="75" t="n"/>
      <c r="AE4251" s="75" t="n"/>
      <c r="AF4251" s="75" t="n"/>
    </row>
    <row r="4252" ht="15.75" customHeight="1" s="133">
      <c r="A4252" s="75" t="n"/>
      <c r="B4252" s="75" t="n"/>
      <c r="C4252" s="75" t="n"/>
      <c r="D4252" s="75" t="n"/>
      <c r="E4252" s="76" t="n"/>
      <c r="F4252" s="77" t="n"/>
      <c r="G4252" s="75" t="n"/>
      <c r="H4252" s="75">
        <f>IF(ISBLANK(E4252),"",IF(OR(D4252="Butterfly",D4252="Butterfly ",D4252="Iron Fly", D4252="Iron Fly "),LEN(E4252)-LEN(SUBSTITUTE(E4252,"/",""))+2,LEN(E4252)-LEN(SUBSTITUTE(E4252,"/",""))+1))</f>
        <v/>
      </c>
      <c r="I4252" s="78">
        <f>IF(ISBLANK(G4252),"",IF(D4252="Stock","0",Key!$A$3*H4252*G4252))</f>
        <v/>
      </c>
      <c r="J4252" s="78">
        <f>IF(ISBLANK(E4252),"",IF(ISNUMBER(SEARCH("/",E4252)), IF(LEN(E4252)-LEN(SUBSTITUTE(E4252,"/",""))=1,(RIGHT(E4252,LEN(E4252)-FIND("/",E4252)))-(LEFT(E4252,FIND("/",E4252)-1)),(MID(E4252, SEARCH("/",E4252) + 1, SEARCH("/",E4252, SEARCH("/",E4252)+1) - SEARCH("/",E4252) - 1))-(LEFT(E4252,FIND("/",E4252)-1))), "NA"))</f>
        <v/>
      </c>
      <c r="K4252" s="79">
        <f>IF(A4252&lt;&gt;"", IF(ISBLANK(L4252), TODAY(), K4252), "")</f>
        <v/>
      </c>
      <c r="L4252" s="78" t="n"/>
      <c r="M4252" s="78">
        <f>IF(ISBLANK(L4252),"",IF(D4252="Stock",IF(C4252="Buy",L4252*G4252,IF(C4252="Sell",(L4252*G4252)-I4252, X)),IF(C4252="Buy",(L4252*G4252*100)+I4252,IF(C4252="Sell",(L4252*G4252*100)-I4252, X))))</f>
        <v/>
      </c>
      <c r="N4252" s="78">
        <f>IF(ISBLANK(L4252),"",IF(AND(C4252="Sell",D4252="Stock"),M4252,IF(ISBLANK(L4252),"",IF(C4252="Buy",M4252, IF(AND(C4252="Sell",J4252="NA"),(E4252*G4252*100*0.1)+I4252, IF(C4252="Sell",(J4252-L4252)*(100*G4252)+I4252))))))</f>
        <v/>
      </c>
      <c r="O4252" s="75" t="n"/>
      <c r="P4252" s="75" t="n"/>
      <c r="Q4252" s="75">
        <f>IF(ISBLANK(P4252),"",IF(D4252="Stock",P4252*G4252,IF(P4252=0,"0",G4252*P4252*100-(G4252*$AF$14))))</f>
        <v/>
      </c>
      <c r="R4252" s="79">
        <f>IF(P4252&lt;&gt;"", TODAY(), "")</f>
        <v/>
      </c>
      <c r="S4252" s="78">
        <f>IF(AND(K4252&lt;&gt;"", R4252&lt;&gt;""), R4252-K4252, "")</f>
        <v/>
      </c>
      <c r="T4252" s="78" t="n"/>
      <c r="U4252" s="92">
        <f>IF(ISBLANK(P4252),"",IF(C4252="Buy",Q4252-M4252+T4252, IF(C4252="Sell",M4252-Q4252-T4252, X)))</f>
        <v/>
      </c>
      <c r="V4252" s="81">
        <f>IF(ISBLANK(P4252),"",U4252/N4252)</f>
        <v/>
      </c>
      <c r="W4252" s="81">
        <f>IF(ISBLANK(P4252),"",IF(S4252=0,(365/0.5)*V4252,(365/S4252)*V4252))</f>
        <v/>
      </c>
      <c r="X4252" s="75" t="n"/>
      <c r="Y4252" s="77" t="n"/>
      <c r="Z4252" s="77" t="n"/>
      <c r="AA4252" s="75" t="n"/>
      <c r="AB4252" s="75" t="n"/>
      <c r="AC4252" s="6" t="n"/>
      <c r="AD4252" s="75" t="n"/>
      <c r="AE4252" s="75" t="n"/>
      <c r="AF4252" s="75" t="n"/>
    </row>
    <row r="4253" ht="15.75" customHeight="1" s="133">
      <c r="A4253" s="75" t="n"/>
      <c r="B4253" s="75" t="n"/>
      <c r="C4253" s="75" t="n"/>
      <c r="D4253" s="75" t="n"/>
      <c r="E4253" s="76" t="n"/>
      <c r="F4253" s="77" t="n"/>
      <c r="G4253" s="75" t="n"/>
      <c r="H4253" s="75">
        <f>IF(ISBLANK(E4253),"",IF(OR(D4253="Butterfly",D4253="Butterfly ",D4253="Iron Fly", D4253="Iron Fly "),LEN(E4253)-LEN(SUBSTITUTE(E4253,"/",""))+2,LEN(E4253)-LEN(SUBSTITUTE(E4253,"/",""))+1))</f>
        <v/>
      </c>
      <c r="I4253" s="78">
        <f>IF(ISBLANK(G4253),"",IF(D4253="Stock","0",Key!$A$3*H4253*G4253))</f>
        <v/>
      </c>
      <c r="J4253" s="78">
        <f>IF(ISBLANK(E4253),"",IF(ISNUMBER(SEARCH("/",E4253)), IF(LEN(E4253)-LEN(SUBSTITUTE(E4253,"/",""))=1,(RIGHT(E4253,LEN(E4253)-FIND("/",E4253)))-(LEFT(E4253,FIND("/",E4253)-1)),(MID(E4253, SEARCH("/",E4253) + 1, SEARCH("/",E4253, SEARCH("/",E4253)+1) - SEARCH("/",E4253) - 1))-(LEFT(E4253,FIND("/",E4253)-1))), "NA"))</f>
        <v/>
      </c>
      <c r="K4253" s="79">
        <f>IF(A4253&lt;&gt;"", IF(ISBLANK(L4253), TODAY(), K4253), "")</f>
        <v/>
      </c>
      <c r="L4253" s="78" t="n"/>
      <c r="M4253" s="78">
        <f>IF(ISBLANK(L4253),"",IF(D4253="Stock",IF(C4253="Buy",L4253*G4253,IF(C4253="Sell",(L4253*G4253)-I4253, X)),IF(C4253="Buy",(L4253*G4253*100)+I4253,IF(C4253="Sell",(L4253*G4253*100)-I4253, X))))</f>
        <v/>
      </c>
      <c r="N4253" s="78">
        <f>IF(ISBLANK(L4253),"",IF(AND(C4253="Sell",D4253="Stock"),M4253,IF(ISBLANK(L4253),"",IF(C4253="Buy",M4253, IF(AND(C4253="Sell",J4253="NA"),(E4253*G4253*100*0.1)+I4253, IF(C4253="Sell",(J4253-L4253)*(100*G4253)+I4253))))))</f>
        <v/>
      </c>
      <c r="O4253" s="75" t="n"/>
      <c r="P4253" s="75" t="n"/>
      <c r="Q4253" s="75">
        <f>IF(ISBLANK(P4253),"",IF(D4253="Stock",P4253*G4253,IF(P4253=0,"0",G4253*P4253*100-(G4253*$AF$14))))</f>
        <v/>
      </c>
      <c r="R4253" s="79">
        <f>IF(P4253&lt;&gt;"", TODAY(), "")</f>
        <v/>
      </c>
      <c r="S4253" s="78">
        <f>IF(AND(K4253&lt;&gt;"", R4253&lt;&gt;""), R4253-K4253, "")</f>
        <v/>
      </c>
      <c r="T4253" s="78" t="n"/>
      <c r="U4253" s="92">
        <f>IF(ISBLANK(P4253),"",IF(C4253="Buy",Q4253-M4253+T4253, IF(C4253="Sell",M4253-Q4253-T4253, X)))</f>
        <v/>
      </c>
      <c r="V4253" s="81">
        <f>IF(ISBLANK(P4253),"",U4253/N4253)</f>
        <v/>
      </c>
      <c r="W4253" s="81">
        <f>IF(ISBLANK(P4253),"",IF(S4253=0,(365/0.5)*V4253,(365/S4253)*V4253))</f>
        <v/>
      </c>
      <c r="X4253" s="75" t="n"/>
      <c r="Y4253" s="77" t="n"/>
      <c r="Z4253" s="77" t="n"/>
      <c r="AA4253" s="75" t="n"/>
      <c r="AB4253" s="75" t="n"/>
      <c r="AC4253" s="6" t="n"/>
      <c r="AD4253" s="75" t="n"/>
      <c r="AE4253" s="75" t="n"/>
      <c r="AF4253" s="75" t="n"/>
    </row>
    <row r="4254" ht="15.75" customHeight="1" s="133">
      <c r="A4254" s="75" t="n"/>
      <c r="B4254" s="75" t="n"/>
      <c r="C4254" s="75" t="n"/>
      <c r="D4254" s="75" t="n"/>
      <c r="E4254" s="76" t="n"/>
      <c r="F4254" s="77" t="n"/>
      <c r="G4254" s="75" t="n"/>
      <c r="H4254" s="75">
        <f>IF(ISBLANK(E4254),"",IF(OR(D4254="Butterfly",D4254="Butterfly ",D4254="Iron Fly", D4254="Iron Fly "),LEN(E4254)-LEN(SUBSTITUTE(E4254,"/",""))+2,LEN(E4254)-LEN(SUBSTITUTE(E4254,"/",""))+1))</f>
        <v/>
      </c>
      <c r="I4254" s="78">
        <f>IF(ISBLANK(G4254),"",IF(D4254="Stock","0",Key!$A$3*H4254*G4254))</f>
        <v/>
      </c>
      <c r="J4254" s="78">
        <f>IF(ISBLANK(E4254),"",IF(ISNUMBER(SEARCH("/",E4254)), IF(LEN(E4254)-LEN(SUBSTITUTE(E4254,"/",""))=1,(RIGHT(E4254,LEN(E4254)-FIND("/",E4254)))-(LEFT(E4254,FIND("/",E4254)-1)),(MID(E4254, SEARCH("/",E4254) + 1, SEARCH("/",E4254, SEARCH("/",E4254)+1) - SEARCH("/",E4254) - 1))-(LEFT(E4254,FIND("/",E4254)-1))), "NA"))</f>
        <v/>
      </c>
      <c r="K4254" s="79">
        <f>IF(A4254&lt;&gt;"", IF(ISBLANK(L4254), TODAY(), K4254), "")</f>
        <v/>
      </c>
      <c r="L4254" s="78" t="n"/>
      <c r="M4254" s="78">
        <f>IF(ISBLANK(L4254),"",IF(D4254="Stock",IF(C4254="Buy",L4254*G4254,IF(C4254="Sell",(L4254*G4254)-I4254, X)),IF(C4254="Buy",(L4254*G4254*100)+I4254,IF(C4254="Sell",(L4254*G4254*100)-I4254, X))))</f>
        <v/>
      </c>
      <c r="N4254" s="78">
        <f>IF(ISBLANK(L4254),"",IF(AND(C4254="Sell",D4254="Stock"),M4254,IF(ISBLANK(L4254),"",IF(C4254="Buy",M4254, IF(AND(C4254="Sell",J4254="NA"),(E4254*G4254*100*0.1)+I4254, IF(C4254="Sell",(J4254-L4254)*(100*G4254)+I4254))))))</f>
        <v/>
      </c>
      <c r="O4254" s="75" t="n"/>
      <c r="P4254" s="75" t="n"/>
      <c r="Q4254" s="75">
        <f>IF(ISBLANK(P4254),"",IF(D4254="Stock",P4254*G4254,IF(P4254=0,"0",G4254*P4254*100-(G4254*$AF$14))))</f>
        <v/>
      </c>
      <c r="R4254" s="79">
        <f>IF(P4254&lt;&gt;"", TODAY(), "")</f>
        <v/>
      </c>
      <c r="S4254" s="78">
        <f>IF(AND(K4254&lt;&gt;"", R4254&lt;&gt;""), R4254-K4254, "")</f>
        <v/>
      </c>
      <c r="T4254" s="78" t="n"/>
      <c r="U4254" s="92">
        <f>IF(ISBLANK(P4254),"",IF(C4254="Buy",Q4254-M4254+T4254, IF(C4254="Sell",M4254-Q4254-T4254, X)))</f>
        <v/>
      </c>
      <c r="V4254" s="81">
        <f>IF(ISBLANK(P4254),"",U4254/N4254)</f>
        <v/>
      </c>
      <c r="W4254" s="81">
        <f>IF(ISBLANK(P4254),"",IF(S4254=0,(365/0.5)*V4254,(365/S4254)*V4254))</f>
        <v/>
      </c>
      <c r="X4254" s="75" t="n"/>
      <c r="Y4254" s="77" t="n"/>
      <c r="Z4254" s="77" t="n"/>
      <c r="AA4254" s="75" t="n"/>
      <c r="AB4254" s="75" t="n"/>
      <c r="AC4254" s="6" t="n"/>
      <c r="AD4254" s="75" t="n"/>
      <c r="AE4254" s="75" t="n"/>
      <c r="AF4254" s="75" t="n"/>
    </row>
    <row r="4255" ht="15.75" customHeight="1" s="133">
      <c r="A4255" s="75" t="n"/>
      <c r="B4255" s="75" t="n"/>
      <c r="C4255" s="75" t="n"/>
      <c r="D4255" s="75" t="n"/>
      <c r="E4255" s="76" t="n"/>
      <c r="F4255" s="77" t="n"/>
      <c r="G4255" s="75" t="n"/>
      <c r="H4255" s="75">
        <f>IF(ISBLANK(E4255),"",IF(OR(D4255="Butterfly",D4255="Butterfly ",D4255="Iron Fly", D4255="Iron Fly "),LEN(E4255)-LEN(SUBSTITUTE(E4255,"/",""))+2,LEN(E4255)-LEN(SUBSTITUTE(E4255,"/",""))+1))</f>
        <v/>
      </c>
      <c r="I4255" s="78">
        <f>IF(ISBLANK(G4255),"",IF(D4255="Stock","0",Key!$A$3*H4255*G4255))</f>
        <v/>
      </c>
      <c r="J4255" s="78">
        <f>IF(ISBLANK(E4255),"",IF(ISNUMBER(SEARCH("/",E4255)), IF(LEN(E4255)-LEN(SUBSTITUTE(E4255,"/",""))=1,(RIGHT(E4255,LEN(E4255)-FIND("/",E4255)))-(LEFT(E4255,FIND("/",E4255)-1)),(MID(E4255, SEARCH("/",E4255) + 1, SEARCH("/",E4255, SEARCH("/",E4255)+1) - SEARCH("/",E4255) - 1))-(LEFT(E4255,FIND("/",E4255)-1))), "NA"))</f>
        <v/>
      </c>
      <c r="K4255" s="79">
        <f>IF(A4255&lt;&gt;"", IF(ISBLANK(L4255), TODAY(), K4255), "")</f>
        <v/>
      </c>
      <c r="L4255" s="78" t="n"/>
      <c r="M4255" s="78">
        <f>IF(ISBLANK(L4255),"",IF(D4255="Stock",IF(C4255="Buy",L4255*G4255,IF(C4255="Sell",(L4255*G4255)-I4255, X)),IF(C4255="Buy",(L4255*G4255*100)+I4255,IF(C4255="Sell",(L4255*G4255*100)-I4255, X))))</f>
        <v/>
      </c>
      <c r="N4255" s="78">
        <f>IF(ISBLANK(L4255),"",IF(AND(C4255="Sell",D4255="Stock"),M4255,IF(ISBLANK(L4255),"",IF(C4255="Buy",M4255, IF(AND(C4255="Sell",J4255="NA"),(E4255*G4255*100*0.1)+I4255, IF(C4255="Sell",(J4255-L4255)*(100*G4255)+I4255))))))</f>
        <v/>
      </c>
      <c r="O4255" s="75" t="n"/>
      <c r="P4255" s="75" t="n"/>
      <c r="Q4255" s="75">
        <f>IF(ISBLANK(P4255),"",IF(D4255="Stock",P4255*G4255,IF(P4255=0,"0",G4255*P4255*100-(G4255*$AF$14))))</f>
        <v/>
      </c>
      <c r="R4255" s="79">
        <f>IF(P4255&lt;&gt;"", TODAY(), "")</f>
        <v/>
      </c>
      <c r="S4255" s="78">
        <f>IF(AND(K4255&lt;&gt;"", R4255&lt;&gt;""), R4255-K4255, "")</f>
        <v/>
      </c>
      <c r="T4255" s="78" t="n"/>
      <c r="U4255" s="92">
        <f>IF(ISBLANK(P4255),"",IF(C4255="Buy",Q4255-M4255+T4255, IF(C4255="Sell",M4255-Q4255-T4255, X)))</f>
        <v/>
      </c>
      <c r="V4255" s="81">
        <f>IF(ISBLANK(P4255),"",U4255/N4255)</f>
        <v/>
      </c>
      <c r="W4255" s="81">
        <f>IF(ISBLANK(P4255),"",IF(S4255=0,(365/0.5)*V4255,(365/S4255)*V4255))</f>
        <v/>
      </c>
      <c r="X4255" s="75" t="n"/>
      <c r="Y4255" s="77" t="n"/>
      <c r="Z4255" s="77" t="n"/>
      <c r="AA4255" s="75" t="n"/>
      <c r="AB4255" s="75" t="n"/>
      <c r="AC4255" s="6" t="n"/>
      <c r="AD4255" s="75" t="n"/>
      <c r="AE4255" s="75" t="n"/>
      <c r="AF4255" s="75" t="n"/>
    </row>
    <row r="4256" ht="15.75" customHeight="1" s="133">
      <c r="A4256" s="75" t="n"/>
      <c r="B4256" s="75" t="n"/>
      <c r="C4256" s="75" t="n"/>
      <c r="D4256" s="75" t="n"/>
      <c r="E4256" s="76" t="n"/>
      <c r="F4256" s="77" t="n"/>
      <c r="G4256" s="75" t="n"/>
      <c r="H4256" s="75">
        <f>IF(ISBLANK(E4256),"",IF(OR(D4256="Butterfly",D4256="Butterfly ",D4256="Iron Fly", D4256="Iron Fly "),LEN(E4256)-LEN(SUBSTITUTE(E4256,"/",""))+2,LEN(E4256)-LEN(SUBSTITUTE(E4256,"/",""))+1))</f>
        <v/>
      </c>
      <c r="I4256" s="78">
        <f>IF(ISBLANK(G4256),"",IF(D4256="Stock","0",Key!$A$3*H4256*G4256))</f>
        <v/>
      </c>
      <c r="J4256" s="78">
        <f>IF(ISBLANK(E4256),"",IF(ISNUMBER(SEARCH("/",E4256)), IF(LEN(E4256)-LEN(SUBSTITUTE(E4256,"/",""))=1,(RIGHT(E4256,LEN(E4256)-FIND("/",E4256)))-(LEFT(E4256,FIND("/",E4256)-1)),(MID(E4256, SEARCH("/",E4256) + 1, SEARCH("/",E4256, SEARCH("/",E4256)+1) - SEARCH("/",E4256) - 1))-(LEFT(E4256,FIND("/",E4256)-1))), "NA"))</f>
        <v/>
      </c>
      <c r="K4256" s="79">
        <f>IF(A4256&lt;&gt;"", IF(ISBLANK(L4256), TODAY(), K4256), "")</f>
        <v/>
      </c>
      <c r="L4256" s="78" t="n"/>
      <c r="M4256" s="78">
        <f>IF(ISBLANK(L4256),"",IF(D4256="Stock",IF(C4256="Buy",L4256*G4256,IF(C4256="Sell",(L4256*G4256)-I4256, X)),IF(C4256="Buy",(L4256*G4256*100)+I4256,IF(C4256="Sell",(L4256*G4256*100)-I4256, X))))</f>
        <v/>
      </c>
      <c r="N4256" s="78">
        <f>IF(ISBLANK(L4256),"",IF(AND(C4256="Sell",D4256="Stock"),M4256,IF(ISBLANK(L4256),"",IF(C4256="Buy",M4256, IF(AND(C4256="Sell",J4256="NA"),(E4256*G4256*100*0.1)+I4256, IF(C4256="Sell",(J4256-L4256)*(100*G4256)+I4256))))))</f>
        <v/>
      </c>
      <c r="O4256" s="75" t="n"/>
      <c r="P4256" s="75" t="n"/>
      <c r="Q4256" s="75">
        <f>IF(ISBLANK(P4256),"",IF(D4256="Stock",P4256*G4256,IF(P4256=0,"0",G4256*P4256*100-(G4256*$AF$14))))</f>
        <v/>
      </c>
      <c r="R4256" s="79">
        <f>IF(P4256&lt;&gt;"", TODAY(), "")</f>
        <v/>
      </c>
      <c r="S4256" s="78">
        <f>IF(AND(K4256&lt;&gt;"", R4256&lt;&gt;""), R4256-K4256, "")</f>
        <v/>
      </c>
      <c r="T4256" s="78" t="n"/>
      <c r="U4256" s="92">
        <f>IF(ISBLANK(P4256),"",IF(C4256="Buy",Q4256-M4256+T4256, IF(C4256="Sell",M4256-Q4256-T4256, X)))</f>
        <v/>
      </c>
      <c r="V4256" s="81">
        <f>IF(ISBLANK(P4256),"",U4256/N4256)</f>
        <v/>
      </c>
      <c r="W4256" s="81">
        <f>IF(ISBLANK(P4256),"",IF(S4256=0,(365/0.5)*V4256,(365/S4256)*V4256))</f>
        <v/>
      </c>
      <c r="X4256" s="75" t="n"/>
      <c r="Y4256" s="77" t="n"/>
      <c r="Z4256" s="77" t="n"/>
      <c r="AA4256" s="75" t="n"/>
      <c r="AB4256" s="75" t="n"/>
      <c r="AC4256" s="6" t="n"/>
      <c r="AD4256" s="75" t="n"/>
      <c r="AE4256" s="75" t="n"/>
      <c r="AF4256" s="75" t="n"/>
    </row>
    <row r="4257" ht="15.75" customHeight="1" s="133">
      <c r="A4257" s="75" t="n"/>
      <c r="B4257" s="75" t="n"/>
      <c r="C4257" s="75" t="n"/>
      <c r="D4257" s="75" t="n"/>
      <c r="E4257" s="76" t="n"/>
      <c r="F4257" s="77" t="n"/>
      <c r="G4257" s="75" t="n"/>
      <c r="H4257" s="75">
        <f>IF(ISBLANK(E4257),"",IF(OR(D4257="Butterfly",D4257="Butterfly ",D4257="Iron Fly", D4257="Iron Fly "),LEN(E4257)-LEN(SUBSTITUTE(E4257,"/",""))+2,LEN(E4257)-LEN(SUBSTITUTE(E4257,"/",""))+1))</f>
        <v/>
      </c>
      <c r="I4257" s="78">
        <f>IF(ISBLANK(G4257),"",IF(D4257="Stock","0",Key!$A$3*H4257*G4257))</f>
        <v/>
      </c>
      <c r="J4257" s="78">
        <f>IF(ISBLANK(E4257),"",IF(ISNUMBER(SEARCH("/",E4257)), IF(LEN(E4257)-LEN(SUBSTITUTE(E4257,"/",""))=1,(RIGHT(E4257,LEN(E4257)-FIND("/",E4257)))-(LEFT(E4257,FIND("/",E4257)-1)),(MID(E4257, SEARCH("/",E4257) + 1, SEARCH("/",E4257, SEARCH("/",E4257)+1) - SEARCH("/",E4257) - 1))-(LEFT(E4257,FIND("/",E4257)-1))), "NA"))</f>
        <v/>
      </c>
      <c r="K4257" s="79">
        <f>IF(A4257&lt;&gt;"", IF(ISBLANK(L4257), TODAY(), K4257), "")</f>
        <v/>
      </c>
      <c r="L4257" s="78" t="n"/>
      <c r="M4257" s="78">
        <f>IF(ISBLANK(L4257),"",IF(D4257="Stock",IF(C4257="Buy",L4257*G4257,IF(C4257="Sell",(L4257*G4257)-I4257, X)),IF(C4257="Buy",(L4257*G4257*100)+I4257,IF(C4257="Sell",(L4257*G4257*100)-I4257, X))))</f>
        <v/>
      </c>
      <c r="N4257" s="78">
        <f>IF(ISBLANK(L4257),"",IF(AND(C4257="Sell",D4257="Stock"),M4257,IF(ISBLANK(L4257),"",IF(C4257="Buy",M4257, IF(AND(C4257="Sell",J4257="NA"),(E4257*G4257*100*0.1)+I4257, IF(C4257="Sell",(J4257-L4257)*(100*G4257)+I4257))))))</f>
        <v/>
      </c>
      <c r="O4257" s="75" t="n"/>
      <c r="P4257" s="75" t="n"/>
      <c r="Q4257" s="75">
        <f>IF(ISBLANK(P4257),"",IF(D4257="Stock",P4257*G4257,IF(P4257=0,"0",G4257*P4257*100-(G4257*$AF$14))))</f>
        <v/>
      </c>
      <c r="R4257" s="79">
        <f>IF(P4257&lt;&gt;"", TODAY(), "")</f>
        <v/>
      </c>
      <c r="S4257" s="78">
        <f>IF(AND(K4257&lt;&gt;"", R4257&lt;&gt;""), R4257-K4257, "")</f>
        <v/>
      </c>
      <c r="T4257" s="78" t="n"/>
      <c r="U4257" s="92">
        <f>IF(ISBLANK(P4257),"",IF(C4257="Buy",Q4257-M4257+T4257, IF(C4257="Sell",M4257-Q4257-T4257, X)))</f>
        <v/>
      </c>
      <c r="V4257" s="81">
        <f>IF(ISBLANK(P4257),"",U4257/N4257)</f>
        <v/>
      </c>
      <c r="W4257" s="81">
        <f>IF(ISBLANK(P4257),"",IF(S4257=0,(365/0.5)*V4257,(365/S4257)*V4257))</f>
        <v/>
      </c>
      <c r="X4257" s="75" t="n"/>
      <c r="Y4257" s="77" t="n"/>
      <c r="Z4257" s="77" t="n"/>
      <c r="AA4257" s="75" t="n"/>
      <c r="AB4257" s="75" t="n"/>
      <c r="AC4257" s="6" t="n"/>
      <c r="AD4257" s="75" t="n"/>
      <c r="AE4257" s="75" t="n"/>
      <c r="AF4257" s="75" t="n"/>
    </row>
    <row r="4258" ht="15.75" customHeight="1" s="133">
      <c r="A4258" s="75" t="n"/>
      <c r="B4258" s="75" t="n"/>
      <c r="C4258" s="75" t="n"/>
      <c r="D4258" s="75" t="n"/>
      <c r="E4258" s="76" t="n"/>
      <c r="F4258" s="77" t="n"/>
      <c r="G4258" s="75" t="n"/>
      <c r="H4258" s="75">
        <f>IF(ISBLANK(E4258),"",IF(OR(D4258="Butterfly",D4258="Butterfly ",D4258="Iron Fly", D4258="Iron Fly "),LEN(E4258)-LEN(SUBSTITUTE(E4258,"/",""))+2,LEN(E4258)-LEN(SUBSTITUTE(E4258,"/",""))+1))</f>
        <v/>
      </c>
      <c r="I4258" s="78">
        <f>IF(ISBLANK(G4258),"",IF(D4258="Stock","0",Key!$A$3*H4258*G4258))</f>
        <v/>
      </c>
      <c r="J4258" s="78">
        <f>IF(ISBLANK(E4258),"",IF(ISNUMBER(SEARCH("/",E4258)), IF(LEN(E4258)-LEN(SUBSTITUTE(E4258,"/",""))=1,(RIGHT(E4258,LEN(E4258)-FIND("/",E4258)))-(LEFT(E4258,FIND("/",E4258)-1)),(MID(E4258, SEARCH("/",E4258) + 1, SEARCH("/",E4258, SEARCH("/",E4258)+1) - SEARCH("/",E4258) - 1))-(LEFT(E4258,FIND("/",E4258)-1))), "NA"))</f>
        <v/>
      </c>
      <c r="K4258" s="79">
        <f>IF(A4258&lt;&gt;"", IF(ISBLANK(L4258), TODAY(), K4258), "")</f>
        <v/>
      </c>
      <c r="L4258" s="78" t="n"/>
      <c r="M4258" s="78">
        <f>IF(ISBLANK(L4258),"",IF(D4258="Stock",IF(C4258="Buy",L4258*G4258,IF(C4258="Sell",(L4258*G4258)-I4258, X)),IF(C4258="Buy",(L4258*G4258*100)+I4258,IF(C4258="Sell",(L4258*G4258*100)-I4258, X))))</f>
        <v/>
      </c>
      <c r="N4258" s="78">
        <f>IF(ISBLANK(L4258),"",IF(AND(C4258="Sell",D4258="Stock"),M4258,IF(ISBLANK(L4258),"",IF(C4258="Buy",M4258, IF(AND(C4258="Sell",J4258="NA"),(E4258*G4258*100*0.1)+I4258, IF(C4258="Sell",(J4258-L4258)*(100*G4258)+I4258))))))</f>
        <v/>
      </c>
      <c r="O4258" s="75" t="n"/>
      <c r="P4258" s="75" t="n"/>
      <c r="Q4258" s="75">
        <f>IF(ISBLANK(P4258),"",IF(D4258="Stock",P4258*G4258,IF(P4258=0,"0",G4258*P4258*100-(G4258*$AF$14))))</f>
        <v/>
      </c>
      <c r="R4258" s="79">
        <f>IF(P4258&lt;&gt;"", TODAY(), "")</f>
        <v/>
      </c>
      <c r="S4258" s="78">
        <f>IF(AND(K4258&lt;&gt;"", R4258&lt;&gt;""), R4258-K4258, "")</f>
        <v/>
      </c>
      <c r="T4258" s="78" t="n"/>
      <c r="U4258" s="92">
        <f>IF(ISBLANK(P4258),"",IF(C4258="Buy",Q4258-M4258+T4258, IF(C4258="Sell",M4258-Q4258-T4258, X)))</f>
        <v/>
      </c>
      <c r="V4258" s="81">
        <f>IF(ISBLANK(P4258),"",U4258/N4258)</f>
        <v/>
      </c>
      <c r="W4258" s="81">
        <f>IF(ISBLANK(P4258),"",IF(S4258=0,(365/0.5)*V4258,(365/S4258)*V4258))</f>
        <v/>
      </c>
      <c r="X4258" s="75" t="n"/>
      <c r="Y4258" s="77" t="n"/>
      <c r="Z4258" s="77" t="n"/>
      <c r="AA4258" s="75" t="n"/>
      <c r="AB4258" s="75" t="n"/>
      <c r="AC4258" s="6" t="n"/>
      <c r="AD4258" s="75" t="n"/>
      <c r="AE4258" s="75" t="n"/>
      <c r="AF4258" s="75" t="n"/>
    </row>
    <row r="4259" ht="15.75" customHeight="1" s="133">
      <c r="A4259" s="75" t="n"/>
      <c r="B4259" s="75" t="n"/>
      <c r="C4259" s="75" t="n"/>
      <c r="D4259" s="75" t="n"/>
      <c r="E4259" s="76" t="n"/>
      <c r="F4259" s="77" t="n"/>
      <c r="G4259" s="75" t="n"/>
      <c r="H4259" s="75">
        <f>IF(ISBLANK(E4259),"",IF(OR(D4259="Butterfly",D4259="Butterfly ",D4259="Iron Fly", D4259="Iron Fly "),LEN(E4259)-LEN(SUBSTITUTE(E4259,"/",""))+2,LEN(E4259)-LEN(SUBSTITUTE(E4259,"/",""))+1))</f>
        <v/>
      </c>
      <c r="I4259" s="78">
        <f>IF(ISBLANK(G4259),"",IF(D4259="Stock","0",Key!$A$3*H4259*G4259))</f>
        <v/>
      </c>
      <c r="J4259" s="78">
        <f>IF(ISBLANK(E4259),"",IF(ISNUMBER(SEARCH("/",E4259)), IF(LEN(E4259)-LEN(SUBSTITUTE(E4259,"/",""))=1,(RIGHT(E4259,LEN(E4259)-FIND("/",E4259)))-(LEFT(E4259,FIND("/",E4259)-1)),(MID(E4259, SEARCH("/",E4259) + 1, SEARCH("/",E4259, SEARCH("/",E4259)+1) - SEARCH("/",E4259) - 1))-(LEFT(E4259,FIND("/",E4259)-1))), "NA"))</f>
        <v/>
      </c>
      <c r="K4259" s="79">
        <f>IF(A4259&lt;&gt;"", IF(ISBLANK(L4259), TODAY(), K4259), "")</f>
        <v/>
      </c>
      <c r="L4259" s="78" t="n"/>
      <c r="M4259" s="78">
        <f>IF(ISBLANK(L4259),"",IF(D4259="Stock",IF(C4259="Buy",L4259*G4259,IF(C4259="Sell",(L4259*G4259)-I4259, X)),IF(C4259="Buy",(L4259*G4259*100)+I4259,IF(C4259="Sell",(L4259*G4259*100)-I4259, X))))</f>
        <v/>
      </c>
      <c r="N4259" s="78">
        <f>IF(ISBLANK(L4259),"",IF(AND(C4259="Sell",D4259="Stock"),M4259,IF(ISBLANK(L4259),"",IF(C4259="Buy",M4259, IF(AND(C4259="Sell",J4259="NA"),(E4259*G4259*100*0.1)+I4259, IF(C4259="Sell",(J4259-L4259)*(100*G4259)+I4259))))))</f>
        <v/>
      </c>
      <c r="O4259" s="75" t="n"/>
      <c r="P4259" s="75" t="n"/>
      <c r="Q4259" s="75">
        <f>IF(ISBLANK(P4259),"",IF(D4259="Stock",P4259*G4259,IF(P4259=0,"0",G4259*P4259*100-(G4259*$AF$14))))</f>
        <v/>
      </c>
      <c r="R4259" s="79">
        <f>IF(P4259&lt;&gt;"", TODAY(), "")</f>
        <v/>
      </c>
      <c r="S4259" s="78">
        <f>IF(AND(K4259&lt;&gt;"", R4259&lt;&gt;""), R4259-K4259, "")</f>
        <v/>
      </c>
      <c r="T4259" s="78" t="n"/>
      <c r="U4259" s="92">
        <f>IF(ISBLANK(P4259),"",IF(C4259="Buy",Q4259-M4259+T4259, IF(C4259="Sell",M4259-Q4259-T4259, X)))</f>
        <v/>
      </c>
      <c r="V4259" s="81">
        <f>IF(ISBLANK(P4259),"",U4259/N4259)</f>
        <v/>
      </c>
      <c r="W4259" s="81">
        <f>IF(ISBLANK(P4259),"",IF(S4259=0,(365/0.5)*V4259,(365/S4259)*V4259))</f>
        <v/>
      </c>
      <c r="X4259" s="75" t="n"/>
      <c r="Y4259" s="77" t="n"/>
      <c r="Z4259" s="77" t="n"/>
      <c r="AA4259" s="75" t="n"/>
      <c r="AB4259" s="75" t="n"/>
      <c r="AC4259" s="6" t="n"/>
      <c r="AD4259" s="75" t="n"/>
      <c r="AE4259" s="75" t="n"/>
      <c r="AF4259" s="75" t="n"/>
    </row>
    <row r="4260" ht="15.75" customHeight="1" s="133">
      <c r="A4260" s="75" t="n"/>
      <c r="B4260" s="75" t="n"/>
      <c r="C4260" s="75" t="n"/>
      <c r="D4260" s="75" t="n"/>
      <c r="E4260" s="76" t="n"/>
      <c r="F4260" s="77" t="n"/>
      <c r="G4260" s="75" t="n"/>
      <c r="H4260" s="75">
        <f>IF(ISBLANK(E4260),"",IF(OR(D4260="Butterfly",D4260="Butterfly ",D4260="Iron Fly", D4260="Iron Fly "),LEN(E4260)-LEN(SUBSTITUTE(E4260,"/",""))+2,LEN(E4260)-LEN(SUBSTITUTE(E4260,"/",""))+1))</f>
        <v/>
      </c>
      <c r="I4260" s="78">
        <f>IF(ISBLANK(G4260),"",IF(D4260="Stock","0",Key!$A$3*H4260*G4260))</f>
        <v/>
      </c>
      <c r="J4260" s="78">
        <f>IF(ISBLANK(E4260),"",IF(ISNUMBER(SEARCH("/",E4260)), IF(LEN(E4260)-LEN(SUBSTITUTE(E4260,"/",""))=1,(RIGHT(E4260,LEN(E4260)-FIND("/",E4260)))-(LEFT(E4260,FIND("/",E4260)-1)),(MID(E4260, SEARCH("/",E4260) + 1, SEARCH("/",E4260, SEARCH("/",E4260)+1) - SEARCH("/",E4260) - 1))-(LEFT(E4260,FIND("/",E4260)-1))), "NA"))</f>
        <v/>
      </c>
      <c r="K4260" s="79">
        <f>IF(A4260&lt;&gt;"", IF(ISBLANK(L4260), TODAY(), K4260), "")</f>
        <v/>
      </c>
      <c r="L4260" s="78" t="n"/>
      <c r="M4260" s="78">
        <f>IF(ISBLANK(L4260),"",IF(D4260="Stock",IF(C4260="Buy",L4260*G4260,IF(C4260="Sell",(L4260*G4260)-I4260, X)),IF(C4260="Buy",(L4260*G4260*100)+I4260,IF(C4260="Sell",(L4260*G4260*100)-I4260, X))))</f>
        <v/>
      </c>
      <c r="N4260" s="78">
        <f>IF(ISBLANK(L4260),"",IF(AND(C4260="Sell",D4260="Stock"),M4260,IF(ISBLANK(L4260),"",IF(C4260="Buy",M4260, IF(AND(C4260="Sell",J4260="NA"),(E4260*G4260*100*0.1)+I4260, IF(C4260="Sell",(J4260-L4260)*(100*G4260)+I4260))))))</f>
        <v/>
      </c>
      <c r="O4260" s="75" t="n"/>
      <c r="P4260" s="75" t="n"/>
      <c r="Q4260" s="75">
        <f>IF(ISBLANK(P4260),"",IF(D4260="Stock",P4260*G4260,IF(P4260=0,"0",G4260*P4260*100-(G4260*$AF$14))))</f>
        <v/>
      </c>
      <c r="R4260" s="79">
        <f>IF(P4260&lt;&gt;"", TODAY(), "")</f>
        <v/>
      </c>
      <c r="S4260" s="78">
        <f>IF(AND(K4260&lt;&gt;"", R4260&lt;&gt;""), R4260-K4260, "")</f>
        <v/>
      </c>
      <c r="T4260" s="78" t="n"/>
      <c r="U4260" s="92">
        <f>IF(ISBLANK(P4260),"",IF(C4260="Buy",Q4260-M4260+T4260, IF(C4260="Sell",M4260-Q4260-T4260, X)))</f>
        <v/>
      </c>
      <c r="V4260" s="81">
        <f>IF(ISBLANK(P4260),"",U4260/N4260)</f>
        <v/>
      </c>
      <c r="W4260" s="81">
        <f>IF(ISBLANK(P4260),"",IF(S4260=0,(365/0.5)*V4260,(365/S4260)*V4260))</f>
        <v/>
      </c>
      <c r="X4260" s="75" t="n"/>
      <c r="Y4260" s="77" t="n"/>
      <c r="Z4260" s="77" t="n"/>
      <c r="AA4260" s="75" t="n"/>
      <c r="AB4260" s="75" t="n"/>
      <c r="AC4260" s="6" t="n"/>
      <c r="AD4260" s="75" t="n"/>
      <c r="AE4260" s="75" t="n"/>
      <c r="AF4260" s="75" t="n"/>
    </row>
    <row r="4261" ht="15.75" customHeight="1" s="133">
      <c r="A4261" s="75" t="n"/>
      <c r="B4261" s="75" t="n"/>
      <c r="C4261" s="75" t="n"/>
      <c r="D4261" s="75" t="n"/>
      <c r="E4261" s="76" t="n"/>
      <c r="F4261" s="77" t="n"/>
      <c r="G4261" s="75" t="n"/>
      <c r="H4261" s="75">
        <f>IF(ISBLANK(E4261),"",IF(OR(D4261="Butterfly",D4261="Butterfly ",D4261="Iron Fly", D4261="Iron Fly "),LEN(E4261)-LEN(SUBSTITUTE(E4261,"/",""))+2,LEN(E4261)-LEN(SUBSTITUTE(E4261,"/",""))+1))</f>
        <v/>
      </c>
      <c r="I4261" s="78">
        <f>IF(ISBLANK(G4261),"",IF(D4261="Stock","0",Key!$A$3*H4261*G4261))</f>
        <v/>
      </c>
      <c r="J4261" s="78">
        <f>IF(ISBLANK(E4261),"",IF(ISNUMBER(SEARCH("/",E4261)), IF(LEN(E4261)-LEN(SUBSTITUTE(E4261,"/",""))=1,(RIGHT(E4261,LEN(E4261)-FIND("/",E4261)))-(LEFT(E4261,FIND("/",E4261)-1)),(MID(E4261, SEARCH("/",E4261) + 1, SEARCH("/",E4261, SEARCH("/",E4261)+1) - SEARCH("/",E4261) - 1))-(LEFT(E4261,FIND("/",E4261)-1))), "NA"))</f>
        <v/>
      </c>
      <c r="K4261" s="79">
        <f>IF(A4261&lt;&gt;"", IF(ISBLANK(L4261), TODAY(), K4261), "")</f>
        <v/>
      </c>
      <c r="L4261" s="78" t="n"/>
      <c r="M4261" s="78">
        <f>IF(ISBLANK(L4261),"",IF(D4261="Stock",IF(C4261="Buy",L4261*G4261,IF(C4261="Sell",(L4261*G4261)-I4261, X)),IF(C4261="Buy",(L4261*G4261*100)+I4261,IF(C4261="Sell",(L4261*G4261*100)-I4261, X))))</f>
        <v/>
      </c>
      <c r="N4261" s="78">
        <f>IF(ISBLANK(L4261),"",IF(AND(C4261="Sell",D4261="Stock"),M4261,IF(ISBLANK(L4261),"",IF(C4261="Buy",M4261, IF(AND(C4261="Sell",J4261="NA"),(E4261*G4261*100*0.1)+I4261, IF(C4261="Sell",(J4261-L4261)*(100*G4261)+I4261))))))</f>
        <v/>
      </c>
      <c r="O4261" s="75" t="n"/>
      <c r="P4261" s="75" t="n"/>
      <c r="Q4261" s="75">
        <f>IF(ISBLANK(P4261),"",IF(D4261="Stock",P4261*G4261,IF(P4261=0,"0",G4261*P4261*100-(G4261*$AF$14))))</f>
        <v/>
      </c>
      <c r="R4261" s="79">
        <f>IF(P4261&lt;&gt;"", TODAY(), "")</f>
        <v/>
      </c>
      <c r="S4261" s="78">
        <f>IF(AND(K4261&lt;&gt;"", R4261&lt;&gt;""), R4261-K4261, "")</f>
        <v/>
      </c>
      <c r="T4261" s="78" t="n"/>
      <c r="U4261" s="92">
        <f>IF(ISBLANK(P4261),"",IF(C4261="Buy",Q4261-M4261+T4261, IF(C4261="Sell",M4261-Q4261-T4261, X)))</f>
        <v/>
      </c>
      <c r="V4261" s="81">
        <f>IF(ISBLANK(P4261),"",U4261/N4261)</f>
        <v/>
      </c>
      <c r="W4261" s="81">
        <f>IF(ISBLANK(P4261),"",IF(S4261=0,(365/0.5)*V4261,(365/S4261)*V4261))</f>
        <v/>
      </c>
      <c r="X4261" s="75" t="n"/>
      <c r="Y4261" s="77" t="n"/>
      <c r="Z4261" s="77" t="n"/>
      <c r="AA4261" s="75" t="n"/>
      <c r="AB4261" s="75" t="n"/>
      <c r="AC4261" s="6" t="n"/>
      <c r="AD4261" s="75" t="n"/>
      <c r="AE4261" s="75" t="n"/>
      <c r="AF4261" s="75" t="n"/>
    </row>
    <row r="4262" ht="15.75" customHeight="1" s="133">
      <c r="A4262" s="75" t="n"/>
      <c r="B4262" s="75" t="n"/>
      <c r="C4262" s="75" t="n"/>
      <c r="D4262" s="75" t="n"/>
      <c r="E4262" s="76" t="n"/>
      <c r="F4262" s="77" t="n"/>
      <c r="G4262" s="75" t="n"/>
      <c r="H4262" s="75">
        <f>IF(ISBLANK(E4262),"",IF(OR(D4262="Butterfly",D4262="Butterfly ",D4262="Iron Fly", D4262="Iron Fly "),LEN(E4262)-LEN(SUBSTITUTE(E4262,"/",""))+2,LEN(E4262)-LEN(SUBSTITUTE(E4262,"/",""))+1))</f>
        <v/>
      </c>
      <c r="I4262" s="78">
        <f>IF(ISBLANK(G4262),"",IF(D4262="Stock","0",Key!$A$3*H4262*G4262))</f>
        <v/>
      </c>
      <c r="J4262" s="78">
        <f>IF(ISBLANK(E4262),"",IF(ISNUMBER(SEARCH("/",E4262)), IF(LEN(E4262)-LEN(SUBSTITUTE(E4262,"/",""))=1,(RIGHT(E4262,LEN(E4262)-FIND("/",E4262)))-(LEFT(E4262,FIND("/",E4262)-1)),(MID(E4262, SEARCH("/",E4262) + 1, SEARCH("/",E4262, SEARCH("/",E4262)+1) - SEARCH("/",E4262) - 1))-(LEFT(E4262,FIND("/",E4262)-1))), "NA"))</f>
        <v/>
      </c>
      <c r="K4262" s="79">
        <f>IF(A4262&lt;&gt;"", IF(ISBLANK(L4262), TODAY(), K4262), "")</f>
        <v/>
      </c>
      <c r="L4262" s="78" t="n"/>
      <c r="M4262" s="78">
        <f>IF(ISBLANK(L4262),"",IF(D4262="Stock",IF(C4262="Buy",L4262*G4262,IF(C4262="Sell",(L4262*G4262)-I4262, X)),IF(C4262="Buy",(L4262*G4262*100)+I4262,IF(C4262="Sell",(L4262*G4262*100)-I4262, X))))</f>
        <v/>
      </c>
      <c r="N4262" s="78">
        <f>IF(ISBLANK(L4262),"",IF(AND(C4262="Sell",D4262="Stock"),M4262,IF(ISBLANK(L4262),"",IF(C4262="Buy",M4262, IF(AND(C4262="Sell",J4262="NA"),(E4262*G4262*100*0.1)+I4262, IF(C4262="Sell",(J4262-L4262)*(100*G4262)+I4262))))))</f>
        <v/>
      </c>
      <c r="O4262" s="75" t="n"/>
      <c r="P4262" s="75" t="n"/>
      <c r="Q4262" s="75">
        <f>IF(ISBLANK(P4262),"",IF(D4262="Stock",P4262*G4262,IF(P4262=0,"0",G4262*P4262*100-(G4262*$AF$14))))</f>
        <v/>
      </c>
      <c r="R4262" s="79">
        <f>IF(P4262&lt;&gt;"", TODAY(), "")</f>
        <v/>
      </c>
      <c r="S4262" s="78">
        <f>IF(AND(K4262&lt;&gt;"", R4262&lt;&gt;""), R4262-K4262, "")</f>
        <v/>
      </c>
      <c r="T4262" s="78" t="n"/>
      <c r="U4262" s="92">
        <f>IF(ISBLANK(P4262),"",IF(C4262="Buy",Q4262-M4262+T4262, IF(C4262="Sell",M4262-Q4262-T4262, X)))</f>
        <v/>
      </c>
      <c r="V4262" s="81">
        <f>IF(ISBLANK(P4262),"",U4262/N4262)</f>
        <v/>
      </c>
      <c r="W4262" s="81">
        <f>IF(ISBLANK(P4262),"",IF(S4262=0,(365/0.5)*V4262,(365/S4262)*V4262))</f>
        <v/>
      </c>
      <c r="X4262" s="75" t="n"/>
      <c r="Y4262" s="77" t="n"/>
      <c r="Z4262" s="77" t="n"/>
      <c r="AA4262" s="75" t="n"/>
      <c r="AB4262" s="75" t="n"/>
      <c r="AC4262" s="6" t="n"/>
      <c r="AD4262" s="75" t="n"/>
      <c r="AE4262" s="75" t="n"/>
      <c r="AF4262" s="75" t="n"/>
    </row>
    <row r="4263" ht="15.75" customHeight="1" s="133">
      <c r="A4263" s="75" t="n"/>
      <c r="B4263" s="75" t="n"/>
      <c r="C4263" s="75" t="n"/>
      <c r="D4263" s="75" t="n"/>
      <c r="E4263" s="76" t="n"/>
      <c r="F4263" s="77" t="n"/>
      <c r="G4263" s="75" t="n"/>
      <c r="H4263" s="75">
        <f>IF(ISBLANK(E4263),"",IF(OR(D4263="Butterfly",D4263="Butterfly ",D4263="Iron Fly", D4263="Iron Fly "),LEN(E4263)-LEN(SUBSTITUTE(E4263,"/",""))+2,LEN(E4263)-LEN(SUBSTITUTE(E4263,"/",""))+1))</f>
        <v/>
      </c>
      <c r="I4263" s="78">
        <f>IF(ISBLANK(G4263),"",IF(D4263="Stock","0",Key!$A$3*H4263*G4263))</f>
        <v/>
      </c>
      <c r="J4263" s="78">
        <f>IF(ISBLANK(E4263),"",IF(ISNUMBER(SEARCH("/",E4263)), IF(LEN(E4263)-LEN(SUBSTITUTE(E4263,"/",""))=1,(RIGHT(E4263,LEN(E4263)-FIND("/",E4263)))-(LEFT(E4263,FIND("/",E4263)-1)),(MID(E4263, SEARCH("/",E4263) + 1, SEARCH("/",E4263, SEARCH("/",E4263)+1) - SEARCH("/",E4263) - 1))-(LEFT(E4263,FIND("/",E4263)-1))), "NA"))</f>
        <v/>
      </c>
      <c r="K4263" s="79">
        <f>IF(A4263&lt;&gt;"", IF(ISBLANK(L4263), TODAY(), K4263), "")</f>
        <v/>
      </c>
      <c r="L4263" s="78" t="n"/>
      <c r="M4263" s="78">
        <f>IF(ISBLANK(L4263),"",IF(D4263="Stock",IF(C4263="Buy",L4263*G4263,IF(C4263="Sell",(L4263*G4263)-I4263, X)),IF(C4263="Buy",(L4263*G4263*100)+I4263,IF(C4263="Sell",(L4263*G4263*100)-I4263, X))))</f>
        <v/>
      </c>
      <c r="N4263" s="78">
        <f>IF(ISBLANK(L4263),"",IF(AND(C4263="Sell",D4263="Stock"),M4263,IF(ISBLANK(L4263),"",IF(C4263="Buy",M4263, IF(AND(C4263="Sell",J4263="NA"),(E4263*G4263*100*0.1)+I4263, IF(C4263="Sell",(J4263-L4263)*(100*G4263)+I4263))))))</f>
        <v/>
      </c>
      <c r="O4263" s="75" t="n"/>
      <c r="P4263" s="75" t="n"/>
      <c r="Q4263" s="75">
        <f>IF(ISBLANK(P4263),"",IF(D4263="Stock",P4263*G4263,IF(P4263=0,"0",G4263*P4263*100-(G4263*$AF$14))))</f>
        <v/>
      </c>
      <c r="R4263" s="79">
        <f>IF(P4263&lt;&gt;"", TODAY(), "")</f>
        <v/>
      </c>
      <c r="S4263" s="78">
        <f>IF(AND(K4263&lt;&gt;"", R4263&lt;&gt;""), R4263-K4263, "")</f>
        <v/>
      </c>
      <c r="T4263" s="78" t="n"/>
      <c r="U4263" s="92">
        <f>IF(ISBLANK(P4263),"",IF(C4263="Buy",Q4263-M4263+T4263, IF(C4263="Sell",M4263-Q4263-T4263, X)))</f>
        <v/>
      </c>
      <c r="V4263" s="81">
        <f>IF(ISBLANK(P4263),"",U4263/N4263)</f>
        <v/>
      </c>
      <c r="W4263" s="81">
        <f>IF(ISBLANK(P4263),"",IF(S4263=0,(365/0.5)*V4263,(365/S4263)*V4263))</f>
        <v/>
      </c>
      <c r="X4263" s="75" t="n"/>
      <c r="Y4263" s="77" t="n"/>
      <c r="Z4263" s="77" t="n"/>
      <c r="AA4263" s="75" t="n"/>
      <c r="AB4263" s="75" t="n"/>
      <c r="AC4263" s="6" t="n"/>
      <c r="AD4263" s="75" t="n"/>
      <c r="AE4263" s="75" t="n"/>
      <c r="AF4263" s="75" t="n"/>
    </row>
    <row r="4264" ht="15.75" customHeight="1" s="133">
      <c r="A4264" s="75" t="n"/>
      <c r="B4264" s="75" t="n"/>
      <c r="C4264" s="75" t="n"/>
      <c r="D4264" s="75" t="n"/>
      <c r="E4264" s="76" t="n"/>
      <c r="F4264" s="77" t="n"/>
      <c r="G4264" s="75" t="n"/>
      <c r="H4264" s="75">
        <f>IF(ISBLANK(E4264),"",IF(OR(D4264="Butterfly",D4264="Butterfly ",D4264="Iron Fly", D4264="Iron Fly "),LEN(E4264)-LEN(SUBSTITUTE(E4264,"/",""))+2,LEN(E4264)-LEN(SUBSTITUTE(E4264,"/",""))+1))</f>
        <v/>
      </c>
      <c r="I4264" s="78">
        <f>IF(ISBLANK(G4264),"",IF(D4264="Stock","0",Key!$A$3*H4264*G4264))</f>
        <v/>
      </c>
      <c r="J4264" s="78">
        <f>IF(ISBLANK(E4264),"",IF(ISNUMBER(SEARCH("/",E4264)), IF(LEN(E4264)-LEN(SUBSTITUTE(E4264,"/",""))=1,(RIGHT(E4264,LEN(E4264)-FIND("/",E4264)))-(LEFT(E4264,FIND("/",E4264)-1)),(MID(E4264, SEARCH("/",E4264) + 1, SEARCH("/",E4264, SEARCH("/",E4264)+1) - SEARCH("/",E4264) - 1))-(LEFT(E4264,FIND("/",E4264)-1))), "NA"))</f>
        <v/>
      </c>
      <c r="K4264" s="79">
        <f>IF(A4264&lt;&gt;"", IF(ISBLANK(L4264), TODAY(), K4264), "")</f>
        <v/>
      </c>
      <c r="L4264" s="78" t="n"/>
      <c r="M4264" s="78">
        <f>IF(ISBLANK(L4264),"",IF(D4264="Stock",IF(C4264="Buy",L4264*G4264,IF(C4264="Sell",(L4264*G4264)-I4264, X)),IF(C4264="Buy",(L4264*G4264*100)+I4264,IF(C4264="Sell",(L4264*G4264*100)-I4264, X))))</f>
        <v/>
      </c>
      <c r="N4264" s="78">
        <f>IF(ISBLANK(L4264),"",IF(AND(C4264="Sell",D4264="Stock"),M4264,IF(ISBLANK(L4264),"",IF(C4264="Buy",M4264, IF(AND(C4264="Sell",J4264="NA"),(E4264*G4264*100*0.1)+I4264, IF(C4264="Sell",(J4264-L4264)*(100*G4264)+I4264))))))</f>
        <v/>
      </c>
      <c r="O4264" s="75" t="n"/>
      <c r="P4264" s="75" t="n"/>
      <c r="Q4264" s="75">
        <f>IF(ISBLANK(P4264),"",IF(D4264="Stock",P4264*G4264,IF(P4264=0,"0",G4264*P4264*100-(G4264*$AF$14))))</f>
        <v/>
      </c>
      <c r="R4264" s="79">
        <f>IF(P4264&lt;&gt;"", TODAY(), "")</f>
        <v/>
      </c>
      <c r="S4264" s="78">
        <f>IF(AND(K4264&lt;&gt;"", R4264&lt;&gt;""), R4264-K4264, "")</f>
        <v/>
      </c>
      <c r="T4264" s="78" t="n"/>
      <c r="U4264" s="92">
        <f>IF(ISBLANK(P4264),"",IF(C4264="Buy",Q4264-M4264+T4264, IF(C4264="Sell",M4264-Q4264-T4264, X)))</f>
        <v/>
      </c>
      <c r="V4264" s="81">
        <f>IF(ISBLANK(P4264),"",U4264/N4264)</f>
        <v/>
      </c>
      <c r="W4264" s="81">
        <f>IF(ISBLANK(P4264),"",IF(S4264=0,(365/0.5)*V4264,(365/S4264)*V4264))</f>
        <v/>
      </c>
      <c r="X4264" s="75" t="n"/>
      <c r="Y4264" s="77" t="n"/>
      <c r="Z4264" s="77" t="n"/>
      <c r="AA4264" s="75" t="n"/>
      <c r="AB4264" s="75" t="n"/>
      <c r="AC4264" s="6" t="n"/>
      <c r="AD4264" s="75" t="n"/>
      <c r="AE4264" s="75" t="n"/>
      <c r="AF4264" s="75" t="n"/>
    </row>
    <row r="4265" ht="15.75" customHeight="1" s="133">
      <c r="A4265" s="75" t="n"/>
      <c r="B4265" s="75" t="n"/>
      <c r="C4265" s="75" t="n"/>
      <c r="D4265" s="75" t="n"/>
      <c r="E4265" s="76" t="n"/>
      <c r="F4265" s="77" t="n"/>
      <c r="G4265" s="75" t="n"/>
      <c r="H4265" s="75">
        <f>IF(ISBLANK(E4265),"",IF(OR(D4265="Butterfly",D4265="Butterfly ",D4265="Iron Fly", D4265="Iron Fly "),LEN(E4265)-LEN(SUBSTITUTE(E4265,"/",""))+2,LEN(E4265)-LEN(SUBSTITUTE(E4265,"/",""))+1))</f>
        <v/>
      </c>
      <c r="I4265" s="78">
        <f>IF(ISBLANK(G4265),"",IF(D4265="Stock","0",Key!$A$3*H4265*G4265))</f>
        <v/>
      </c>
      <c r="J4265" s="78">
        <f>IF(ISBLANK(E4265),"",IF(ISNUMBER(SEARCH("/",E4265)), IF(LEN(E4265)-LEN(SUBSTITUTE(E4265,"/",""))=1,(RIGHT(E4265,LEN(E4265)-FIND("/",E4265)))-(LEFT(E4265,FIND("/",E4265)-1)),(MID(E4265, SEARCH("/",E4265) + 1, SEARCH("/",E4265, SEARCH("/",E4265)+1) - SEARCH("/",E4265) - 1))-(LEFT(E4265,FIND("/",E4265)-1))), "NA"))</f>
        <v/>
      </c>
      <c r="K4265" s="79">
        <f>IF(A4265&lt;&gt;"", IF(ISBLANK(L4265), TODAY(), K4265), "")</f>
        <v/>
      </c>
      <c r="L4265" s="78" t="n"/>
      <c r="M4265" s="78">
        <f>IF(ISBLANK(L4265),"",IF(D4265="Stock",IF(C4265="Buy",L4265*G4265,IF(C4265="Sell",(L4265*G4265)-I4265, X)),IF(C4265="Buy",(L4265*G4265*100)+I4265,IF(C4265="Sell",(L4265*G4265*100)-I4265, X))))</f>
        <v/>
      </c>
      <c r="N4265" s="78">
        <f>IF(ISBLANK(L4265),"",IF(AND(C4265="Sell",D4265="Stock"),M4265,IF(ISBLANK(L4265),"",IF(C4265="Buy",M4265, IF(AND(C4265="Sell",J4265="NA"),(E4265*G4265*100*0.1)+I4265, IF(C4265="Sell",(J4265-L4265)*(100*G4265)+I4265))))))</f>
        <v/>
      </c>
      <c r="O4265" s="75" t="n"/>
      <c r="P4265" s="75" t="n"/>
      <c r="Q4265" s="75">
        <f>IF(ISBLANK(P4265),"",IF(D4265="Stock",P4265*G4265,IF(P4265=0,"0",G4265*P4265*100-(G4265*$AF$14))))</f>
        <v/>
      </c>
      <c r="R4265" s="79">
        <f>IF(P4265&lt;&gt;"", TODAY(), "")</f>
        <v/>
      </c>
      <c r="S4265" s="78">
        <f>IF(AND(K4265&lt;&gt;"", R4265&lt;&gt;""), R4265-K4265, "")</f>
        <v/>
      </c>
      <c r="T4265" s="78" t="n"/>
      <c r="U4265" s="92">
        <f>IF(ISBLANK(P4265),"",IF(C4265="Buy",Q4265-M4265+T4265, IF(C4265="Sell",M4265-Q4265-T4265, X)))</f>
        <v/>
      </c>
      <c r="V4265" s="81">
        <f>IF(ISBLANK(P4265),"",U4265/N4265)</f>
        <v/>
      </c>
      <c r="W4265" s="81">
        <f>IF(ISBLANK(P4265),"",IF(S4265=0,(365/0.5)*V4265,(365/S4265)*V4265))</f>
        <v/>
      </c>
      <c r="X4265" s="75" t="n"/>
      <c r="Y4265" s="77" t="n"/>
      <c r="Z4265" s="77" t="n"/>
      <c r="AA4265" s="75" t="n"/>
      <c r="AB4265" s="75" t="n"/>
      <c r="AC4265" s="6" t="n"/>
      <c r="AD4265" s="75" t="n"/>
      <c r="AE4265" s="75" t="n"/>
      <c r="AF4265" s="75" t="n"/>
    </row>
    <row r="4266" ht="15.75" customHeight="1" s="133">
      <c r="A4266" s="75" t="n"/>
      <c r="B4266" s="75" t="n"/>
      <c r="C4266" s="75" t="n"/>
      <c r="D4266" s="75" t="n"/>
      <c r="E4266" s="76" t="n"/>
      <c r="F4266" s="77" t="n"/>
      <c r="G4266" s="75" t="n"/>
      <c r="H4266" s="75">
        <f>IF(ISBLANK(E4266),"",IF(OR(D4266="Butterfly",D4266="Butterfly ",D4266="Iron Fly", D4266="Iron Fly "),LEN(E4266)-LEN(SUBSTITUTE(E4266,"/",""))+2,LEN(E4266)-LEN(SUBSTITUTE(E4266,"/",""))+1))</f>
        <v/>
      </c>
      <c r="I4266" s="78">
        <f>IF(ISBLANK(G4266),"",IF(D4266="Stock","0",Key!$A$3*H4266*G4266))</f>
        <v/>
      </c>
      <c r="J4266" s="78">
        <f>IF(ISBLANK(E4266),"",IF(ISNUMBER(SEARCH("/",E4266)), IF(LEN(E4266)-LEN(SUBSTITUTE(E4266,"/",""))=1,(RIGHT(E4266,LEN(E4266)-FIND("/",E4266)))-(LEFT(E4266,FIND("/",E4266)-1)),(MID(E4266, SEARCH("/",E4266) + 1, SEARCH("/",E4266, SEARCH("/",E4266)+1) - SEARCH("/",E4266) - 1))-(LEFT(E4266,FIND("/",E4266)-1))), "NA"))</f>
        <v/>
      </c>
      <c r="K4266" s="79">
        <f>IF(A4266&lt;&gt;"", IF(ISBLANK(L4266), TODAY(), K4266), "")</f>
        <v/>
      </c>
      <c r="L4266" s="78" t="n"/>
      <c r="M4266" s="78">
        <f>IF(ISBLANK(L4266),"",IF(D4266="Stock",IF(C4266="Buy",L4266*G4266,IF(C4266="Sell",(L4266*G4266)-I4266, X)),IF(C4266="Buy",(L4266*G4266*100)+I4266,IF(C4266="Sell",(L4266*G4266*100)-I4266, X))))</f>
        <v/>
      </c>
      <c r="N4266" s="78">
        <f>IF(ISBLANK(L4266),"",IF(AND(C4266="Sell",D4266="Stock"),M4266,IF(ISBLANK(L4266),"",IF(C4266="Buy",M4266, IF(AND(C4266="Sell",J4266="NA"),(E4266*G4266*100*0.1)+I4266, IF(C4266="Sell",(J4266-L4266)*(100*G4266)+I4266))))))</f>
        <v/>
      </c>
      <c r="O4266" s="75" t="n"/>
      <c r="P4266" s="75" t="n"/>
      <c r="Q4266" s="75">
        <f>IF(ISBLANK(P4266),"",IF(D4266="Stock",P4266*G4266,IF(P4266=0,"0",G4266*P4266*100-(G4266*$AF$14))))</f>
        <v/>
      </c>
      <c r="R4266" s="79">
        <f>IF(P4266&lt;&gt;"", TODAY(), "")</f>
        <v/>
      </c>
      <c r="S4266" s="78">
        <f>IF(AND(K4266&lt;&gt;"", R4266&lt;&gt;""), R4266-K4266, "")</f>
        <v/>
      </c>
      <c r="T4266" s="78" t="n"/>
      <c r="U4266" s="92">
        <f>IF(ISBLANK(P4266),"",IF(C4266="Buy",Q4266-M4266+T4266, IF(C4266="Sell",M4266-Q4266-T4266, X)))</f>
        <v/>
      </c>
      <c r="V4266" s="81">
        <f>IF(ISBLANK(P4266),"",U4266/N4266)</f>
        <v/>
      </c>
      <c r="W4266" s="81">
        <f>IF(ISBLANK(P4266),"",IF(S4266=0,(365/0.5)*V4266,(365/S4266)*V4266))</f>
        <v/>
      </c>
      <c r="X4266" s="75" t="n"/>
      <c r="Y4266" s="77" t="n"/>
      <c r="Z4266" s="77" t="n"/>
      <c r="AA4266" s="75" t="n"/>
      <c r="AB4266" s="75" t="n"/>
      <c r="AC4266" s="6" t="n"/>
      <c r="AD4266" s="75" t="n"/>
      <c r="AE4266" s="75" t="n"/>
      <c r="AF4266" s="75" t="n"/>
    </row>
    <row r="4267" ht="15.75" customHeight="1" s="133">
      <c r="A4267" s="75" t="n"/>
      <c r="B4267" s="75" t="n"/>
      <c r="C4267" s="75" t="n"/>
      <c r="D4267" s="75" t="n"/>
      <c r="E4267" s="76" t="n"/>
      <c r="F4267" s="77" t="n"/>
      <c r="G4267" s="75" t="n"/>
      <c r="H4267" s="75">
        <f>IF(ISBLANK(E4267),"",IF(OR(D4267="Butterfly",D4267="Butterfly ",D4267="Iron Fly", D4267="Iron Fly "),LEN(E4267)-LEN(SUBSTITUTE(E4267,"/",""))+2,LEN(E4267)-LEN(SUBSTITUTE(E4267,"/",""))+1))</f>
        <v/>
      </c>
      <c r="I4267" s="78">
        <f>IF(ISBLANK(G4267),"",IF(D4267="Stock","0",Key!$A$3*H4267*G4267))</f>
        <v/>
      </c>
      <c r="J4267" s="78">
        <f>IF(ISBLANK(E4267),"",IF(ISNUMBER(SEARCH("/",E4267)), IF(LEN(E4267)-LEN(SUBSTITUTE(E4267,"/",""))=1,(RIGHT(E4267,LEN(E4267)-FIND("/",E4267)))-(LEFT(E4267,FIND("/",E4267)-1)),(MID(E4267, SEARCH("/",E4267) + 1, SEARCH("/",E4267, SEARCH("/",E4267)+1) - SEARCH("/",E4267) - 1))-(LEFT(E4267,FIND("/",E4267)-1))), "NA"))</f>
        <v/>
      </c>
      <c r="K4267" s="79">
        <f>IF(A4267&lt;&gt;"", IF(ISBLANK(L4267), TODAY(), K4267), "")</f>
        <v/>
      </c>
      <c r="L4267" s="78" t="n"/>
      <c r="M4267" s="78">
        <f>IF(ISBLANK(L4267),"",IF(D4267="Stock",IF(C4267="Buy",L4267*G4267,IF(C4267="Sell",(L4267*G4267)-I4267, X)),IF(C4267="Buy",(L4267*G4267*100)+I4267,IF(C4267="Sell",(L4267*G4267*100)-I4267, X))))</f>
        <v/>
      </c>
      <c r="N4267" s="78">
        <f>IF(ISBLANK(L4267),"",IF(AND(C4267="Sell",D4267="Stock"),M4267,IF(ISBLANK(L4267),"",IF(C4267="Buy",M4267, IF(AND(C4267="Sell",J4267="NA"),(E4267*G4267*100*0.1)+I4267, IF(C4267="Sell",(J4267-L4267)*(100*G4267)+I4267))))))</f>
        <v/>
      </c>
      <c r="O4267" s="75" t="n"/>
      <c r="P4267" s="75" t="n"/>
      <c r="Q4267" s="75">
        <f>IF(ISBLANK(P4267),"",IF(D4267="Stock",P4267*G4267,IF(P4267=0,"0",G4267*P4267*100-(G4267*$AF$14))))</f>
        <v/>
      </c>
      <c r="R4267" s="79">
        <f>IF(P4267&lt;&gt;"", TODAY(), "")</f>
        <v/>
      </c>
      <c r="S4267" s="78">
        <f>IF(AND(K4267&lt;&gt;"", R4267&lt;&gt;""), R4267-K4267, "")</f>
        <v/>
      </c>
      <c r="T4267" s="78" t="n"/>
      <c r="U4267" s="92">
        <f>IF(ISBLANK(P4267),"",IF(C4267="Buy",Q4267-M4267+T4267, IF(C4267="Sell",M4267-Q4267-T4267, X)))</f>
        <v/>
      </c>
      <c r="V4267" s="81">
        <f>IF(ISBLANK(P4267),"",U4267/N4267)</f>
        <v/>
      </c>
      <c r="W4267" s="81">
        <f>IF(ISBLANK(P4267),"",IF(S4267=0,(365/0.5)*V4267,(365/S4267)*V4267))</f>
        <v/>
      </c>
      <c r="X4267" s="75" t="n"/>
      <c r="Y4267" s="77" t="n"/>
      <c r="Z4267" s="77" t="n"/>
      <c r="AA4267" s="75" t="n"/>
      <c r="AB4267" s="75" t="n"/>
      <c r="AC4267" s="6" t="n"/>
      <c r="AD4267" s="75" t="n"/>
      <c r="AE4267" s="75" t="n"/>
      <c r="AF4267" s="75" t="n"/>
    </row>
    <row r="4268" ht="15.75" customHeight="1" s="133">
      <c r="A4268" s="75" t="n"/>
      <c r="B4268" s="75" t="n"/>
      <c r="C4268" s="75" t="n"/>
      <c r="D4268" s="75" t="n"/>
      <c r="E4268" s="76" t="n"/>
      <c r="F4268" s="77" t="n"/>
      <c r="G4268" s="75" t="n"/>
      <c r="H4268" s="75">
        <f>IF(ISBLANK(E4268),"",IF(OR(D4268="Butterfly",D4268="Butterfly ",D4268="Iron Fly", D4268="Iron Fly "),LEN(E4268)-LEN(SUBSTITUTE(E4268,"/",""))+2,LEN(E4268)-LEN(SUBSTITUTE(E4268,"/",""))+1))</f>
        <v/>
      </c>
      <c r="I4268" s="78">
        <f>IF(ISBLANK(G4268),"",IF(D4268="Stock","0",Key!$A$3*H4268*G4268))</f>
        <v/>
      </c>
      <c r="J4268" s="78">
        <f>IF(ISBLANK(E4268),"",IF(ISNUMBER(SEARCH("/",E4268)), IF(LEN(E4268)-LEN(SUBSTITUTE(E4268,"/",""))=1,(RIGHT(E4268,LEN(E4268)-FIND("/",E4268)))-(LEFT(E4268,FIND("/",E4268)-1)),(MID(E4268, SEARCH("/",E4268) + 1, SEARCH("/",E4268, SEARCH("/",E4268)+1) - SEARCH("/",E4268) - 1))-(LEFT(E4268,FIND("/",E4268)-1))), "NA"))</f>
        <v/>
      </c>
      <c r="K4268" s="79">
        <f>IF(A4268&lt;&gt;"", IF(ISBLANK(L4268), TODAY(), K4268), "")</f>
        <v/>
      </c>
      <c r="L4268" s="78" t="n"/>
      <c r="M4268" s="78">
        <f>IF(ISBLANK(L4268),"",IF(D4268="Stock",IF(C4268="Buy",L4268*G4268,IF(C4268="Sell",(L4268*G4268)-I4268, X)),IF(C4268="Buy",(L4268*G4268*100)+I4268,IF(C4268="Sell",(L4268*G4268*100)-I4268, X))))</f>
        <v/>
      </c>
      <c r="N4268" s="78">
        <f>IF(ISBLANK(L4268),"",IF(AND(C4268="Sell",D4268="Stock"),M4268,IF(ISBLANK(L4268),"",IF(C4268="Buy",M4268, IF(AND(C4268="Sell",J4268="NA"),(E4268*G4268*100*0.1)+I4268, IF(C4268="Sell",(J4268-L4268)*(100*G4268)+I4268))))))</f>
        <v/>
      </c>
      <c r="O4268" s="75" t="n"/>
      <c r="P4268" s="75" t="n"/>
      <c r="Q4268" s="75">
        <f>IF(ISBLANK(P4268),"",IF(D4268="Stock",P4268*G4268,IF(P4268=0,"0",G4268*P4268*100-(G4268*$AF$14))))</f>
        <v/>
      </c>
      <c r="R4268" s="79">
        <f>IF(P4268&lt;&gt;"", TODAY(), "")</f>
        <v/>
      </c>
      <c r="S4268" s="78">
        <f>IF(AND(K4268&lt;&gt;"", R4268&lt;&gt;""), R4268-K4268, "")</f>
        <v/>
      </c>
      <c r="T4268" s="78" t="n"/>
      <c r="U4268" s="92">
        <f>IF(ISBLANK(P4268),"",IF(C4268="Buy",Q4268-M4268+T4268, IF(C4268="Sell",M4268-Q4268-T4268, X)))</f>
        <v/>
      </c>
      <c r="V4268" s="81">
        <f>IF(ISBLANK(P4268),"",U4268/N4268)</f>
        <v/>
      </c>
      <c r="W4268" s="81">
        <f>IF(ISBLANK(P4268),"",IF(S4268=0,(365/0.5)*V4268,(365/S4268)*V4268))</f>
        <v/>
      </c>
      <c r="X4268" s="75" t="n"/>
      <c r="Y4268" s="77" t="n"/>
      <c r="Z4268" s="77" t="n"/>
      <c r="AA4268" s="75" t="n"/>
      <c r="AB4268" s="75" t="n"/>
      <c r="AC4268" s="6" t="n"/>
      <c r="AD4268" s="75" t="n"/>
      <c r="AE4268" s="75" t="n"/>
      <c r="AF4268" s="75" t="n"/>
    </row>
    <row r="4269" ht="15.75" customHeight="1" s="133">
      <c r="A4269" s="75" t="n"/>
      <c r="B4269" s="75" t="n"/>
      <c r="C4269" s="75" t="n"/>
      <c r="D4269" s="75" t="n"/>
      <c r="E4269" s="76" t="n"/>
      <c r="F4269" s="77" t="n"/>
      <c r="G4269" s="75" t="n"/>
      <c r="H4269" s="75">
        <f>IF(ISBLANK(E4269),"",IF(OR(D4269="Butterfly",D4269="Butterfly ",D4269="Iron Fly", D4269="Iron Fly "),LEN(E4269)-LEN(SUBSTITUTE(E4269,"/",""))+2,LEN(E4269)-LEN(SUBSTITUTE(E4269,"/",""))+1))</f>
        <v/>
      </c>
      <c r="I4269" s="78">
        <f>IF(ISBLANK(G4269),"",IF(D4269="Stock","0",Key!$A$3*H4269*G4269))</f>
        <v/>
      </c>
      <c r="J4269" s="78">
        <f>IF(ISBLANK(E4269),"",IF(ISNUMBER(SEARCH("/",E4269)), IF(LEN(E4269)-LEN(SUBSTITUTE(E4269,"/",""))=1,(RIGHT(E4269,LEN(E4269)-FIND("/",E4269)))-(LEFT(E4269,FIND("/",E4269)-1)),(MID(E4269, SEARCH("/",E4269) + 1, SEARCH("/",E4269, SEARCH("/",E4269)+1) - SEARCH("/",E4269) - 1))-(LEFT(E4269,FIND("/",E4269)-1))), "NA"))</f>
        <v/>
      </c>
      <c r="K4269" s="79">
        <f>IF(A4269&lt;&gt;"", IF(ISBLANK(L4269), TODAY(), K4269), "")</f>
        <v/>
      </c>
      <c r="L4269" s="78" t="n"/>
      <c r="M4269" s="78">
        <f>IF(ISBLANK(L4269),"",IF(D4269="Stock",IF(C4269="Buy",L4269*G4269,IF(C4269="Sell",(L4269*G4269)-I4269, X)),IF(C4269="Buy",(L4269*G4269*100)+I4269,IF(C4269="Sell",(L4269*G4269*100)-I4269, X))))</f>
        <v/>
      </c>
      <c r="N4269" s="78">
        <f>IF(ISBLANK(L4269),"",IF(AND(C4269="Sell",D4269="Stock"),M4269,IF(ISBLANK(L4269),"",IF(C4269="Buy",M4269, IF(AND(C4269="Sell",J4269="NA"),(E4269*G4269*100*0.1)+I4269, IF(C4269="Sell",(J4269-L4269)*(100*G4269)+I4269))))))</f>
        <v/>
      </c>
      <c r="O4269" s="75" t="n"/>
      <c r="P4269" s="75" t="n"/>
      <c r="Q4269" s="75">
        <f>IF(ISBLANK(P4269),"",IF(D4269="Stock",P4269*G4269,IF(P4269=0,"0",G4269*P4269*100-(G4269*$AF$14))))</f>
        <v/>
      </c>
      <c r="R4269" s="79">
        <f>IF(P4269&lt;&gt;"", TODAY(), "")</f>
        <v/>
      </c>
      <c r="S4269" s="78">
        <f>IF(AND(K4269&lt;&gt;"", R4269&lt;&gt;""), R4269-K4269, "")</f>
        <v/>
      </c>
      <c r="T4269" s="78" t="n"/>
      <c r="U4269" s="92">
        <f>IF(ISBLANK(P4269),"",IF(C4269="Buy",Q4269-M4269+T4269, IF(C4269="Sell",M4269-Q4269-T4269, X)))</f>
        <v/>
      </c>
      <c r="V4269" s="81">
        <f>IF(ISBLANK(P4269),"",U4269/N4269)</f>
        <v/>
      </c>
      <c r="W4269" s="81">
        <f>IF(ISBLANK(P4269),"",IF(S4269=0,(365/0.5)*V4269,(365/S4269)*V4269))</f>
        <v/>
      </c>
      <c r="X4269" s="75" t="n"/>
      <c r="Y4269" s="77" t="n"/>
      <c r="Z4269" s="77" t="n"/>
      <c r="AA4269" s="75" t="n"/>
      <c r="AB4269" s="75" t="n"/>
      <c r="AC4269" s="6" t="n"/>
      <c r="AD4269" s="75" t="n"/>
      <c r="AE4269" s="75" t="n"/>
      <c r="AF4269" s="75" t="n"/>
    </row>
    <row r="4270" ht="15.75" customHeight="1" s="133">
      <c r="A4270" s="75" t="n"/>
      <c r="B4270" s="75" t="n"/>
      <c r="C4270" s="75" t="n"/>
      <c r="D4270" s="75" t="n"/>
      <c r="E4270" s="76" t="n"/>
      <c r="F4270" s="77" t="n"/>
      <c r="G4270" s="75" t="n"/>
      <c r="H4270" s="75">
        <f>IF(ISBLANK(E4270),"",IF(OR(D4270="Butterfly",D4270="Butterfly ",D4270="Iron Fly", D4270="Iron Fly "),LEN(E4270)-LEN(SUBSTITUTE(E4270,"/",""))+2,LEN(E4270)-LEN(SUBSTITUTE(E4270,"/",""))+1))</f>
        <v/>
      </c>
      <c r="I4270" s="78">
        <f>IF(ISBLANK(G4270),"",IF(D4270="Stock","0",Key!$A$3*H4270*G4270))</f>
        <v/>
      </c>
      <c r="J4270" s="78">
        <f>IF(ISBLANK(E4270),"",IF(ISNUMBER(SEARCH("/",E4270)), IF(LEN(E4270)-LEN(SUBSTITUTE(E4270,"/",""))=1,(RIGHT(E4270,LEN(E4270)-FIND("/",E4270)))-(LEFT(E4270,FIND("/",E4270)-1)),(MID(E4270, SEARCH("/",E4270) + 1, SEARCH("/",E4270, SEARCH("/",E4270)+1) - SEARCH("/",E4270) - 1))-(LEFT(E4270,FIND("/",E4270)-1))), "NA"))</f>
        <v/>
      </c>
      <c r="K4270" s="79">
        <f>IF(A4270&lt;&gt;"", IF(ISBLANK(L4270), TODAY(), K4270), "")</f>
        <v/>
      </c>
      <c r="L4270" s="78" t="n"/>
      <c r="M4270" s="78">
        <f>IF(ISBLANK(L4270),"",IF(D4270="Stock",IF(C4270="Buy",L4270*G4270,IF(C4270="Sell",(L4270*G4270)-I4270, X)),IF(C4270="Buy",(L4270*G4270*100)+I4270,IF(C4270="Sell",(L4270*G4270*100)-I4270, X))))</f>
        <v/>
      </c>
      <c r="N4270" s="78">
        <f>IF(ISBLANK(L4270),"",IF(AND(C4270="Sell",D4270="Stock"),M4270,IF(ISBLANK(L4270),"",IF(C4270="Buy",M4270, IF(AND(C4270="Sell",J4270="NA"),(E4270*G4270*100*0.1)+I4270, IF(C4270="Sell",(J4270-L4270)*(100*G4270)+I4270))))))</f>
        <v/>
      </c>
      <c r="O4270" s="75" t="n"/>
      <c r="P4270" s="75" t="n"/>
      <c r="Q4270" s="75">
        <f>IF(ISBLANK(P4270),"",IF(D4270="Stock",P4270*G4270,IF(P4270=0,"0",G4270*P4270*100-(G4270*$AF$14))))</f>
        <v/>
      </c>
      <c r="R4270" s="79">
        <f>IF(P4270&lt;&gt;"", TODAY(), "")</f>
        <v/>
      </c>
      <c r="S4270" s="78">
        <f>IF(AND(K4270&lt;&gt;"", R4270&lt;&gt;""), R4270-K4270, "")</f>
        <v/>
      </c>
      <c r="T4270" s="78" t="n"/>
      <c r="U4270" s="92">
        <f>IF(ISBLANK(P4270),"",IF(C4270="Buy",Q4270-M4270+T4270, IF(C4270="Sell",M4270-Q4270-T4270, X)))</f>
        <v/>
      </c>
      <c r="V4270" s="81">
        <f>IF(ISBLANK(P4270),"",U4270/N4270)</f>
        <v/>
      </c>
      <c r="W4270" s="81">
        <f>IF(ISBLANK(P4270),"",IF(S4270=0,(365/0.5)*V4270,(365/S4270)*V4270))</f>
        <v/>
      </c>
      <c r="X4270" s="75" t="n"/>
      <c r="Y4270" s="77" t="n"/>
      <c r="Z4270" s="77" t="n"/>
      <c r="AA4270" s="75" t="n"/>
      <c r="AB4270" s="75" t="n"/>
      <c r="AC4270" s="6" t="n"/>
      <c r="AD4270" s="75" t="n"/>
      <c r="AE4270" s="75" t="n"/>
      <c r="AF4270" s="75" t="n"/>
    </row>
    <row r="4271" ht="15.75" customHeight="1" s="133">
      <c r="A4271" s="75" t="n"/>
      <c r="B4271" s="75" t="n"/>
      <c r="C4271" s="75" t="n"/>
      <c r="D4271" s="75" t="n"/>
      <c r="E4271" s="76" t="n"/>
      <c r="F4271" s="77" t="n"/>
      <c r="G4271" s="75" t="n"/>
      <c r="H4271" s="75">
        <f>IF(ISBLANK(E4271),"",IF(OR(D4271="Butterfly",D4271="Butterfly ",D4271="Iron Fly", D4271="Iron Fly "),LEN(E4271)-LEN(SUBSTITUTE(E4271,"/",""))+2,LEN(E4271)-LEN(SUBSTITUTE(E4271,"/",""))+1))</f>
        <v/>
      </c>
      <c r="I4271" s="78">
        <f>IF(ISBLANK(G4271),"",IF(D4271="Stock","0",Key!$A$3*H4271*G4271))</f>
        <v/>
      </c>
      <c r="J4271" s="78">
        <f>IF(ISBLANK(E4271),"",IF(ISNUMBER(SEARCH("/",E4271)), IF(LEN(E4271)-LEN(SUBSTITUTE(E4271,"/",""))=1,(RIGHT(E4271,LEN(E4271)-FIND("/",E4271)))-(LEFT(E4271,FIND("/",E4271)-1)),(MID(E4271, SEARCH("/",E4271) + 1, SEARCH("/",E4271, SEARCH("/",E4271)+1) - SEARCH("/",E4271) - 1))-(LEFT(E4271,FIND("/",E4271)-1))), "NA"))</f>
        <v/>
      </c>
      <c r="K4271" s="79">
        <f>IF(A4271&lt;&gt;"", IF(ISBLANK(L4271), TODAY(), K4271), "")</f>
        <v/>
      </c>
      <c r="L4271" s="78" t="n"/>
      <c r="M4271" s="78">
        <f>IF(ISBLANK(L4271),"",IF(D4271="Stock",IF(C4271="Buy",L4271*G4271,IF(C4271="Sell",(L4271*G4271)-I4271, X)),IF(C4271="Buy",(L4271*G4271*100)+I4271,IF(C4271="Sell",(L4271*G4271*100)-I4271, X))))</f>
        <v/>
      </c>
      <c r="N4271" s="78">
        <f>IF(ISBLANK(L4271),"",IF(AND(C4271="Sell",D4271="Stock"),M4271,IF(ISBLANK(L4271),"",IF(C4271="Buy",M4271, IF(AND(C4271="Sell",J4271="NA"),(E4271*G4271*100*0.1)+I4271, IF(C4271="Sell",(J4271-L4271)*(100*G4271)+I4271))))))</f>
        <v/>
      </c>
      <c r="O4271" s="75" t="n"/>
      <c r="P4271" s="75" t="n"/>
      <c r="Q4271" s="75">
        <f>IF(ISBLANK(P4271),"",IF(D4271="Stock",P4271*G4271,IF(P4271=0,"0",G4271*P4271*100-(G4271*$AF$14))))</f>
        <v/>
      </c>
      <c r="R4271" s="79">
        <f>IF(P4271&lt;&gt;"", TODAY(), "")</f>
        <v/>
      </c>
      <c r="S4271" s="78">
        <f>IF(AND(K4271&lt;&gt;"", R4271&lt;&gt;""), R4271-K4271, "")</f>
        <v/>
      </c>
      <c r="T4271" s="78" t="n"/>
      <c r="U4271" s="92">
        <f>IF(ISBLANK(P4271),"",IF(C4271="Buy",Q4271-M4271+T4271, IF(C4271="Sell",M4271-Q4271-T4271, X)))</f>
        <v/>
      </c>
      <c r="V4271" s="81">
        <f>IF(ISBLANK(P4271),"",U4271/N4271)</f>
        <v/>
      </c>
      <c r="W4271" s="81">
        <f>IF(ISBLANK(P4271),"",IF(S4271=0,(365/0.5)*V4271,(365/S4271)*V4271))</f>
        <v/>
      </c>
      <c r="X4271" s="75" t="n"/>
      <c r="Y4271" s="77" t="n"/>
      <c r="Z4271" s="77" t="n"/>
      <c r="AA4271" s="75" t="n"/>
      <c r="AB4271" s="75" t="n"/>
      <c r="AC4271" s="6" t="n"/>
      <c r="AD4271" s="75" t="n"/>
      <c r="AE4271" s="75" t="n"/>
      <c r="AF4271" s="75" t="n"/>
    </row>
    <row r="4272" ht="15.75" customHeight="1" s="133">
      <c r="A4272" s="75" t="n"/>
      <c r="B4272" s="75" t="n"/>
      <c r="C4272" s="75" t="n"/>
      <c r="D4272" s="75" t="n"/>
      <c r="E4272" s="76" t="n"/>
      <c r="F4272" s="77" t="n"/>
      <c r="G4272" s="75" t="n"/>
      <c r="H4272" s="75">
        <f>IF(ISBLANK(E4272),"",IF(OR(D4272="Butterfly",D4272="Butterfly ",D4272="Iron Fly", D4272="Iron Fly "),LEN(E4272)-LEN(SUBSTITUTE(E4272,"/",""))+2,LEN(E4272)-LEN(SUBSTITUTE(E4272,"/",""))+1))</f>
        <v/>
      </c>
      <c r="I4272" s="78">
        <f>IF(ISBLANK(G4272),"",IF(D4272="Stock","0",Key!$A$3*H4272*G4272))</f>
        <v/>
      </c>
      <c r="J4272" s="78">
        <f>IF(ISBLANK(E4272),"",IF(ISNUMBER(SEARCH("/",E4272)), IF(LEN(E4272)-LEN(SUBSTITUTE(E4272,"/",""))=1,(RIGHT(E4272,LEN(E4272)-FIND("/",E4272)))-(LEFT(E4272,FIND("/",E4272)-1)),(MID(E4272, SEARCH("/",E4272) + 1, SEARCH("/",E4272, SEARCH("/",E4272)+1) - SEARCH("/",E4272) - 1))-(LEFT(E4272,FIND("/",E4272)-1))), "NA"))</f>
        <v/>
      </c>
      <c r="K4272" s="79">
        <f>IF(A4272&lt;&gt;"", IF(ISBLANK(L4272), TODAY(), K4272), "")</f>
        <v/>
      </c>
      <c r="L4272" s="78" t="n"/>
      <c r="M4272" s="78">
        <f>IF(ISBLANK(L4272),"",IF(D4272="Stock",IF(C4272="Buy",L4272*G4272,IF(C4272="Sell",(L4272*G4272)-I4272, X)),IF(C4272="Buy",(L4272*G4272*100)+I4272,IF(C4272="Sell",(L4272*G4272*100)-I4272, X))))</f>
        <v/>
      </c>
      <c r="N4272" s="78">
        <f>IF(ISBLANK(L4272),"",IF(AND(C4272="Sell",D4272="Stock"),M4272,IF(ISBLANK(L4272),"",IF(C4272="Buy",M4272, IF(AND(C4272="Sell",J4272="NA"),(E4272*G4272*100*0.1)+I4272, IF(C4272="Sell",(J4272-L4272)*(100*G4272)+I4272))))))</f>
        <v/>
      </c>
      <c r="O4272" s="75" t="n"/>
      <c r="P4272" s="75" t="n"/>
      <c r="Q4272" s="75">
        <f>IF(ISBLANK(P4272),"",IF(D4272="Stock",P4272*G4272,IF(P4272=0,"0",G4272*P4272*100-(G4272*$AF$14))))</f>
        <v/>
      </c>
      <c r="R4272" s="79">
        <f>IF(P4272&lt;&gt;"", TODAY(), "")</f>
        <v/>
      </c>
      <c r="S4272" s="78">
        <f>IF(AND(K4272&lt;&gt;"", R4272&lt;&gt;""), R4272-K4272, "")</f>
        <v/>
      </c>
      <c r="T4272" s="78" t="n"/>
      <c r="U4272" s="92">
        <f>IF(ISBLANK(P4272),"",IF(C4272="Buy",Q4272-M4272+T4272, IF(C4272="Sell",M4272-Q4272-T4272, X)))</f>
        <v/>
      </c>
      <c r="V4272" s="81">
        <f>IF(ISBLANK(P4272),"",U4272/N4272)</f>
        <v/>
      </c>
      <c r="W4272" s="81">
        <f>IF(ISBLANK(P4272),"",IF(S4272=0,(365/0.5)*V4272,(365/S4272)*V4272))</f>
        <v/>
      </c>
      <c r="X4272" s="75" t="n"/>
      <c r="Y4272" s="77" t="n"/>
      <c r="Z4272" s="77" t="n"/>
      <c r="AA4272" s="75" t="n"/>
      <c r="AB4272" s="75" t="n"/>
      <c r="AC4272" s="6" t="n"/>
      <c r="AD4272" s="75" t="n"/>
      <c r="AE4272" s="75" t="n"/>
      <c r="AF4272" s="75" t="n"/>
    </row>
    <row r="4273" ht="15.75" customHeight="1" s="133">
      <c r="A4273" s="75" t="n"/>
      <c r="B4273" s="75" t="n"/>
      <c r="C4273" s="75" t="n"/>
      <c r="D4273" s="75" t="n"/>
      <c r="E4273" s="76" t="n"/>
      <c r="F4273" s="77" t="n"/>
      <c r="G4273" s="75" t="n"/>
      <c r="H4273" s="75">
        <f>IF(ISBLANK(E4273),"",IF(OR(D4273="Butterfly",D4273="Butterfly ",D4273="Iron Fly", D4273="Iron Fly "),LEN(E4273)-LEN(SUBSTITUTE(E4273,"/",""))+2,LEN(E4273)-LEN(SUBSTITUTE(E4273,"/",""))+1))</f>
        <v/>
      </c>
      <c r="I4273" s="78">
        <f>IF(ISBLANK(G4273),"",IF(D4273="Stock","0",Key!$A$3*H4273*G4273))</f>
        <v/>
      </c>
      <c r="J4273" s="78">
        <f>IF(ISBLANK(E4273),"",IF(ISNUMBER(SEARCH("/",E4273)), IF(LEN(E4273)-LEN(SUBSTITUTE(E4273,"/",""))=1,(RIGHT(E4273,LEN(E4273)-FIND("/",E4273)))-(LEFT(E4273,FIND("/",E4273)-1)),(MID(E4273, SEARCH("/",E4273) + 1, SEARCH("/",E4273, SEARCH("/",E4273)+1) - SEARCH("/",E4273) - 1))-(LEFT(E4273,FIND("/",E4273)-1))), "NA"))</f>
        <v/>
      </c>
      <c r="K4273" s="79">
        <f>IF(A4273&lt;&gt;"", IF(ISBLANK(L4273), TODAY(), K4273), "")</f>
        <v/>
      </c>
      <c r="L4273" s="78" t="n"/>
      <c r="M4273" s="78">
        <f>IF(ISBLANK(L4273),"",IF(D4273="Stock",IF(C4273="Buy",L4273*G4273,IF(C4273="Sell",(L4273*G4273)-I4273, X)),IF(C4273="Buy",(L4273*G4273*100)+I4273,IF(C4273="Sell",(L4273*G4273*100)-I4273, X))))</f>
        <v/>
      </c>
      <c r="N4273" s="78">
        <f>IF(ISBLANK(L4273),"",IF(AND(C4273="Sell",D4273="Stock"),M4273,IF(ISBLANK(L4273),"",IF(C4273="Buy",M4273, IF(AND(C4273="Sell",J4273="NA"),(E4273*G4273*100*0.1)+I4273, IF(C4273="Sell",(J4273-L4273)*(100*G4273)+I4273))))))</f>
        <v/>
      </c>
      <c r="O4273" s="75" t="n"/>
      <c r="P4273" s="75" t="n"/>
      <c r="Q4273" s="75">
        <f>IF(ISBLANK(P4273),"",IF(D4273="Stock",P4273*G4273,IF(P4273=0,"0",G4273*P4273*100-(G4273*$AF$14))))</f>
        <v/>
      </c>
      <c r="R4273" s="79">
        <f>IF(P4273&lt;&gt;"", TODAY(), "")</f>
        <v/>
      </c>
      <c r="S4273" s="78">
        <f>IF(AND(K4273&lt;&gt;"", R4273&lt;&gt;""), R4273-K4273, "")</f>
        <v/>
      </c>
      <c r="T4273" s="78" t="n"/>
      <c r="U4273" s="92">
        <f>IF(ISBLANK(P4273),"",IF(C4273="Buy",Q4273-M4273+T4273, IF(C4273="Sell",M4273-Q4273-T4273, X)))</f>
        <v/>
      </c>
      <c r="V4273" s="81">
        <f>IF(ISBLANK(P4273),"",U4273/N4273)</f>
        <v/>
      </c>
      <c r="W4273" s="81">
        <f>IF(ISBLANK(P4273),"",IF(S4273=0,(365/0.5)*V4273,(365/S4273)*V4273))</f>
        <v/>
      </c>
      <c r="X4273" s="75" t="n"/>
      <c r="Y4273" s="77" t="n"/>
      <c r="Z4273" s="77" t="n"/>
      <c r="AA4273" s="75" t="n"/>
      <c r="AB4273" s="75" t="n"/>
      <c r="AC4273" s="6" t="n"/>
      <c r="AD4273" s="75" t="n"/>
      <c r="AE4273" s="75" t="n"/>
      <c r="AF4273" s="75" t="n"/>
    </row>
    <row r="4274" ht="15.75" customHeight="1" s="133">
      <c r="A4274" s="75" t="n"/>
      <c r="B4274" s="75" t="n"/>
      <c r="C4274" s="75" t="n"/>
      <c r="D4274" s="75" t="n"/>
      <c r="E4274" s="76" t="n"/>
      <c r="F4274" s="77" t="n"/>
      <c r="G4274" s="75" t="n"/>
      <c r="H4274" s="75">
        <f>IF(ISBLANK(E4274),"",IF(OR(D4274="Butterfly",D4274="Butterfly ",D4274="Iron Fly", D4274="Iron Fly "),LEN(E4274)-LEN(SUBSTITUTE(E4274,"/",""))+2,LEN(E4274)-LEN(SUBSTITUTE(E4274,"/",""))+1))</f>
        <v/>
      </c>
      <c r="I4274" s="78">
        <f>IF(ISBLANK(G4274),"",IF(D4274="Stock","0",Key!$A$3*H4274*G4274))</f>
        <v/>
      </c>
      <c r="J4274" s="78">
        <f>IF(ISBLANK(E4274),"",IF(ISNUMBER(SEARCH("/",E4274)), IF(LEN(E4274)-LEN(SUBSTITUTE(E4274,"/",""))=1,(RIGHT(E4274,LEN(E4274)-FIND("/",E4274)))-(LEFT(E4274,FIND("/",E4274)-1)),(MID(E4274, SEARCH("/",E4274) + 1, SEARCH("/",E4274, SEARCH("/",E4274)+1) - SEARCH("/",E4274) - 1))-(LEFT(E4274,FIND("/",E4274)-1))), "NA"))</f>
        <v/>
      </c>
      <c r="K4274" s="79">
        <f>IF(A4274&lt;&gt;"", IF(ISBLANK(L4274), TODAY(), K4274), "")</f>
        <v/>
      </c>
      <c r="L4274" s="78" t="n"/>
      <c r="M4274" s="78">
        <f>IF(ISBLANK(L4274),"",IF(D4274="Stock",IF(C4274="Buy",L4274*G4274,IF(C4274="Sell",(L4274*G4274)-I4274, X)),IF(C4274="Buy",(L4274*G4274*100)+I4274,IF(C4274="Sell",(L4274*G4274*100)-I4274, X))))</f>
        <v/>
      </c>
      <c r="N4274" s="78">
        <f>IF(ISBLANK(L4274),"",IF(AND(C4274="Sell",D4274="Stock"),M4274,IF(ISBLANK(L4274),"",IF(C4274="Buy",M4274, IF(AND(C4274="Sell",J4274="NA"),(E4274*G4274*100*0.1)+I4274, IF(C4274="Sell",(J4274-L4274)*(100*G4274)+I4274))))))</f>
        <v/>
      </c>
      <c r="O4274" s="75" t="n"/>
      <c r="P4274" s="75" t="n"/>
      <c r="Q4274" s="75">
        <f>IF(ISBLANK(P4274),"",IF(D4274="Stock",P4274*G4274,IF(P4274=0,"0",G4274*P4274*100-(G4274*$AF$14))))</f>
        <v/>
      </c>
      <c r="R4274" s="79">
        <f>IF(P4274&lt;&gt;"", TODAY(), "")</f>
        <v/>
      </c>
      <c r="S4274" s="78">
        <f>IF(AND(K4274&lt;&gt;"", R4274&lt;&gt;""), R4274-K4274, "")</f>
        <v/>
      </c>
      <c r="T4274" s="78" t="n"/>
      <c r="U4274" s="92">
        <f>IF(ISBLANK(P4274),"",IF(C4274="Buy",Q4274-M4274+T4274, IF(C4274="Sell",M4274-Q4274-T4274, X)))</f>
        <v/>
      </c>
      <c r="V4274" s="81">
        <f>IF(ISBLANK(P4274),"",U4274/N4274)</f>
        <v/>
      </c>
      <c r="W4274" s="81">
        <f>IF(ISBLANK(P4274),"",IF(S4274=0,(365/0.5)*V4274,(365/S4274)*V4274))</f>
        <v/>
      </c>
      <c r="X4274" s="75" t="n"/>
      <c r="Y4274" s="77" t="n"/>
      <c r="Z4274" s="77" t="n"/>
      <c r="AA4274" s="75" t="n"/>
      <c r="AB4274" s="75" t="n"/>
      <c r="AC4274" s="6" t="n"/>
      <c r="AD4274" s="75" t="n"/>
      <c r="AE4274" s="75" t="n"/>
      <c r="AF4274" s="75" t="n"/>
    </row>
    <row r="4275" ht="15.75" customHeight="1" s="133">
      <c r="A4275" s="75" t="n"/>
      <c r="B4275" s="75" t="n"/>
      <c r="C4275" s="75" t="n"/>
      <c r="D4275" s="75" t="n"/>
      <c r="E4275" s="76" t="n"/>
      <c r="F4275" s="77" t="n"/>
      <c r="G4275" s="75" t="n"/>
      <c r="H4275" s="75">
        <f>IF(ISBLANK(E4275),"",IF(OR(D4275="Butterfly",D4275="Butterfly ",D4275="Iron Fly", D4275="Iron Fly "),LEN(E4275)-LEN(SUBSTITUTE(E4275,"/",""))+2,LEN(E4275)-LEN(SUBSTITUTE(E4275,"/",""))+1))</f>
        <v/>
      </c>
      <c r="I4275" s="78">
        <f>IF(ISBLANK(G4275),"",IF(D4275="Stock","0",Key!$A$3*H4275*G4275))</f>
        <v/>
      </c>
      <c r="J4275" s="78">
        <f>IF(ISBLANK(E4275),"",IF(ISNUMBER(SEARCH("/",E4275)), IF(LEN(E4275)-LEN(SUBSTITUTE(E4275,"/",""))=1,(RIGHT(E4275,LEN(E4275)-FIND("/",E4275)))-(LEFT(E4275,FIND("/",E4275)-1)),(MID(E4275, SEARCH("/",E4275) + 1, SEARCH("/",E4275, SEARCH("/",E4275)+1) - SEARCH("/",E4275) - 1))-(LEFT(E4275,FIND("/",E4275)-1))), "NA"))</f>
        <v/>
      </c>
      <c r="K4275" s="79">
        <f>IF(A4275&lt;&gt;"", IF(ISBLANK(L4275), TODAY(), K4275), "")</f>
        <v/>
      </c>
      <c r="L4275" s="78" t="n"/>
      <c r="M4275" s="78">
        <f>IF(ISBLANK(L4275),"",IF(D4275="Stock",IF(C4275="Buy",L4275*G4275,IF(C4275="Sell",(L4275*G4275)-I4275, X)),IF(C4275="Buy",(L4275*G4275*100)+I4275,IF(C4275="Sell",(L4275*G4275*100)-I4275, X))))</f>
        <v/>
      </c>
      <c r="N4275" s="78">
        <f>IF(ISBLANK(L4275),"",IF(AND(C4275="Sell",D4275="Stock"),M4275,IF(ISBLANK(L4275),"",IF(C4275="Buy",M4275, IF(AND(C4275="Sell",J4275="NA"),(E4275*G4275*100*0.1)+I4275, IF(C4275="Sell",(J4275-L4275)*(100*G4275)+I4275))))))</f>
        <v/>
      </c>
      <c r="O4275" s="75" t="n"/>
      <c r="P4275" s="75" t="n"/>
      <c r="Q4275" s="75">
        <f>IF(ISBLANK(P4275),"",IF(D4275="Stock",P4275*G4275,IF(P4275=0,"0",G4275*P4275*100-(G4275*$AF$14))))</f>
        <v/>
      </c>
      <c r="R4275" s="79">
        <f>IF(P4275&lt;&gt;"", TODAY(), "")</f>
        <v/>
      </c>
      <c r="S4275" s="78">
        <f>IF(AND(K4275&lt;&gt;"", R4275&lt;&gt;""), R4275-K4275, "")</f>
        <v/>
      </c>
      <c r="T4275" s="78" t="n"/>
      <c r="U4275" s="92">
        <f>IF(ISBLANK(P4275),"",IF(C4275="Buy",Q4275-M4275+T4275, IF(C4275="Sell",M4275-Q4275-T4275, X)))</f>
        <v/>
      </c>
      <c r="V4275" s="81">
        <f>IF(ISBLANK(P4275),"",U4275/N4275)</f>
        <v/>
      </c>
      <c r="W4275" s="81">
        <f>IF(ISBLANK(P4275),"",IF(S4275=0,(365/0.5)*V4275,(365/S4275)*V4275))</f>
        <v/>
      </c>
      <c r="X4275" s="75" t="n"/>
      <c r="Y4275" s="77" t="n"/>
      <c r="Z4275" s="77" t="n"/>
      <c r="AA4275" s="75" t="n"/>
      <c r="AB4275" s="75" t="n"/>
      <c r="AC4275" s="6" t="n"/>
      <c r="AD4275" s="75" t="n"/>
      <c r="AE4275" s="75" t="n"/>
      <c r="AF4275" s="75" t="n"/>
    </row>
    <row r="4276" ht="15.75" customHeight="1" s="133">
      <c r="A4276" s="75" t="n"/>
      <c r="B4276" s="75" t="n"/>
      <c r="C4276" s="75" t="n"/>
      <c r="D4276" s="75" t="n"/>
      <c r="E4276" s="76" t="n"/>
      <c r="F4276" s="77" t="n"/>
      <c r="G4276" s="75" t="n"/>
      <c r="H4276" s="75">
        <f>IF(ISBLANK(E4276),"",IF(OR(D4276="Butterfly",D4276="Butterfly ",D4276="Iron Fly", D4276="Iron Fly "),LEN(E4276)-LEN(SUBSTITUTE(E4276,"/",""))+2,LEN(E4276)-LEN(SUBSTITUTE(E4276,"/",""))+1))</f>
        <v/>
      </c>
      <c r="I4276" s="78">
        <f>IF(ISBLANK(G4276),"",IF(D4276="Stock","0",Key!$A$3*H4276*G4276))</f>
        <v/>
      </c>
      <c r="J4276" s="78">
        <f>IF(ISBLANK(E4276),"",IF(ISNUMBER(SEARCH("/",E4276)), IF(LEN(E4276)-LEN(SUBSTITUTE(E4276,"/",""))=1,(RIGHT(E4276,LEN(E4276)-FIND("/",E4276)))-(LEFT(E4276,FIND("/",E4276)-1)),(MID(E4276, SEARCH("/",E4276) + 1, SEARCH("/",E4276, SEARCH("/",E4276)+1) - SEARCH("/",E4276) - 1))-(LEFT(E4276,FIND("/",E4276)-1))), "NA"))</f>
        <v/>
      </c>
      <c r="K4276" s="79">
        <f>IF(A4276&lt;&gt;"", IF(ISBLANK(L4276), TODAY(), K4276), "")</f>
        <v/>
      </c>
      <c r="L4276" s="78" t="n"/>
      <c r="M4276" s="78">
        <f>IF(ISBLANK(L4276),"",IF(D4276="Stock",IF(C4276="Buy",L4276*G4276,IF(C4276="Sell",(L4276*G4276)-I4276, X)),IF(C4276="Buy",(L4276*G4276*100)+I4276,IF(C4276="Sell",(L4276*G4276*100)-I4276, X))))</f>
        <v/>
      </c>
      <c r="N4276" s="78">
        <f>IF(ISBLANK(L4276),"",IF(AND(C4276="Sell",D4276="Stock"),M4276,IF(ISBLANK(L4276),"",IF(C4276="Buy",M4276, IF(AND(C4276="Sell",J4276="NA"),(E4276*G4276*100*0.1)+I4276, IF(C4276="Sell",(J4276-L4276)*(100*G4276)+I4276))))))</f>
        <v/>
      </c>
      <c r="O4276" s="75" t="n"/>
      <c r="P4276" s="75" t="n"/>
      <c r="Q4276" s="75">
        <f>IF(ISBLANK(P4276),"",IF(D4276="Stock",P4276*G4276,IF(P4276=0,"0",G4276*P4276*100-(G4276*$AF$14))))</f>
        <v/>
      </c>
      <c r="R4276" s="79">
        <f>IF(P4276&lt;&gt;"", TODAY(), "")</f>
        <v/>
      </c>
      <c r="S4276" s="78">
        <f>IF(AND(K4276&lt;&gt;"", R4276&lt;&gt;""), R4276-K4276, "")</f>
        <v/>
      </c>
      <c r="T4276" s="78" t="n"/>
      <c r="U4276" s="92">
        <f>IF(ISBLANK(P4276),"",IF(C4276="Buy",Q4276-M4276+T4276, IF(C4276="Sell",M4276-Q4276-T4276, X)))</f>
        <v/>
      </c>
      <c r="V4276" s="81">
        <f>IF(ISBLANK(P4276),"",U4276/N4276)</f>
        <v/>
      </c>
      <c r="W4276" s="81">
        <f>IF(ISBLANK(P4276),"",IF(S4276=0,(365/0.5)*V4276,(365/S4276)*V4276))</f>
        <v/>
      </c>
      <c r="X4276" s="75" t="n"/>
      <c r="Y4276" s="77" t="n"/>
      <c r="Z4276" s="77" t="n"/>
      <c r="AA4276" s="75" t="n"/>
      <c r="AB4276" s="75" t="n"/>
      <c r="AC4276" s="6" t="n"/>
      <c r="AD4276" s="75" t="n"/>
      <c r="AE4276" s="75" t="n"/>
      <c r="AF4276" s="75" t="n"/>
    </row>
    <row r="4277" ht="15.75" customHeight="1" s="133">
      <c r="A4277" s="75" t="n"/>
      <c r="B4277" s="75" t="n"/>
      <c r="C4277" s="75" t="n"/>
      <c r="D4277" s="75" t="n"/>
      <c r="E4277" s="76" t="n"/>
      <c r="F4277" s="77" t="n"/>
      <c r="G4277" s="75" t="n"/>
      <c r="H4277" s="75">
        <f>IF(ISBLANK(E4277),"",IF(OR(D4277="Butterfly",D4277="Butterfly ",D4277="Iron Fly", D4277="Iron Fly "),LEN(E4277)-LEN(SUBSTITUTE(E4277,"/",""))+2,LEN(E4277)-LEN(SUBSTITUTE(E4277,"/",""))+1))</f>
        <v/>
      </c>
      <c r="I4277" s="78">
        <f>IF(ISBLANK(G4277),"",IF(D4277="Stock","0",Key!$A$3*H4277*G4277))</f>
        <v/>
      </c>
      <c r="J4277" s="78">
        <f>IF(ISBLANK(E4277),"",IF(ISNUMBER(SEARCH("/",E4277)), IF(LEN(E4277)-LEN(SUBSTITUTE(E4277,"/",""))=1,(RIGHT(E4277,LEN(E4277)-FIND("/",E4277)))-(LEFT(E4277,FIND("/",E4277)-1)),(MID(E4277, SEARCH("/",E4277) + 1, SEARCH("/",E4277, SEARCH("/",E4277)+1) - SEARCH("/",E4277) - 1))-(LEFT(E4277,FIND("/",E4277)-1))), "NA"))</f>
        <v/>
      </c>
      <c r="K4277" s="79">
        <f>IF(A4277&lt;&gt;"", IF(ISBLANK(L4277), TODAY(), K4277), "")</f>
        <v/>
      </c>
      <c r="L4277" s="78" t="n"/>
      <c r="M4277" s="78">
        <f>IF(ISBLANK(L4277),"",IF(D4277="Stock",IF(C4277="Buy",L4277*G4277,IF(C4277="Sell",(L4277*G4277)-I4277, X)),IF(C4277="Buy",(L4277*G4277*100)+I4277,IF(C4277="Sell",(L4277*G4277*100)-I4277, X))))</f>
        <v/>
      </c>
      <c r="N4277" s="78">
        <f>IF(ISBLANK(L4277),"",IF(AND(C4277="Sell",D4277="Stock"),M4277,IF(ISBLANK(L4277),"",IF(C4277="Buy",M4277, IF(AND(C4277="Sell",J4277="NA"),(E4277*G4277*100*0.1)+I4277, IF(C4277="Sell",(J4277-L4277)*(100*G4277)+I4277))))))</f>
        <v/>
      </c>
      <c r="O4277" s="75" t="n"/>
      <c r="P4277" s="75" t="n"/>
      <c r="Q4277" s="75">
        <f>IF(ISBLANK(P4277),"",IF(D4277="Stock",P4277*G4277,IF(P4277=0,"0",G4277*P4277*100-(G4277*$AF$14))))</f>
        <v/>
      </c>
      <c r="R4277" s="79">
        <f>IF(P4277&lt;&gt;"", TODAY(), "")</f>
        <v/>
      </c>
      <c r="S4277" s="78">
        <f>IF(AND(K4277&lt;&gt;"", R4277&lt;&gt;""), R4277-K4277, "")</f>
        <v/>
      </c>
      <c r="T4277" s="78" t="n"/>
      <c r="U4277" s="92">
        <f>IF(ISBLANK(P4277),"",IF(C4277="Buy",Q4277-M4277+T4277, IF(C4277="Sell",M4277-Q4277-T4277, X)))</f>
        <v/>
      </c>
      <c r="V4277" s="81">
        <f>IF(ISBLANK(P4277),"",U4277/N4277)</f>
        <v/>
      </c>
      <c r="W4277" s="81">
        <f>IF(ISBLANK(P4277),"",IF(S4277=0,(365/0.5)*V4277,(365/S4277)*V4277))</f>
        <v/>
      </c>
      <c r="X4277" s="75" t="n"/>
      <c r="Y4277" s="77" t="n"/>
      <c r="Z4277" s="77" t="n"/>
      <c r="AA4277" s="75" t="n"/>
      <c r="AB4277" s="75" t="n"/>
      <c r="AC4277" s="6" t="n"/>
      <c r="AD4277" s="75" t="n"/>
      <c r="AE4277" s="75" t="n"/>
      <c r="AF4277" s="75" t="n"/>
    </row>
    <row r="4278" ht="15.75" customHeight="1" s="133">
      <c r="A4278" s="75" t="n"/>
      <c r="B4278" s="75" t="n"/>
      <c r="C4278" s="75" t="n"/>
      <c r="D4278" s="75" t="n"/>
      <c r="E4278" s="76" t="n"/>
      <c r="F4278" s="77" t="n"/>
      <c r="G4278" s="75" t="n"/>
      <c r="H4278" s="75">
        <f>IF(ISBLANK(E4278),"",IF(OR(D4278="Butterfly",D4278="Butterfly ",D4278="Iron Fly", D4278="Iron Fly "),LEN(E4278)-LEN(SUBSTITUTE(E4278,"/",""))+2,LEN(E4278)-LEN(SUBSTITUTE(E4278,"/",""))+1))</f>
        <v/>
      </c>
      <c r="I4278" s="78">
        <f>IF(ISBLANK(G4278),"",IF(D4278="Stock","0",Key!$A$3*H4278*G4278))</f>
        <v/>
      </c>
      <c r="J4278" s="78">
        <f>IF(ISBLANK(E4278),"",IF(ISNUMBER(SEARCH("/",E4278)), IF(LEN(E4278)-LEN(SUBSTITUTE(E4278,"/",""))=1,(RIGHT(E4278,LEN(E4278)-FIND("/",E4278)))-(LEFT(E4278,FIND("/",E4278)-1)),(MID(E4278, SEARCH("/",E4278) + 1, SEARCH("/",E4278, SEARCH("/",E4278)+1) - SEARCH("/",E4278) - 1))-(LEFT(E4278,FIND("/",E4278)-1))), "NA"))</f>
        <v/>
      </c>
      <c r="K4278" s="79">
        <f>IF(A4278&lt;&gt;"", IF(ISBLANK(L4278), TODAY(), K4278), "")</f>
        <v/>
      </c>
      <c r="L4278" s="78" t="n"/>
      <c r="M4278" s="78">
        <f>IF(ISBLANK(L4278),"",IF(D4278="Stock",IF(C4278="Buy",L4278*G4278,IF(C4278="Sell",(L4278*G4278)-I4278, X)),IF(C4278="Buy",(L4278*G4278*100)+I4278,IF(C4278="Sell",(L4278*G4278*100)-I4278, X))))</f>
        <v/>
      </c>
      <c r="N4278" s="78">
        <f>IF(ISBLANK(L4278),"",IF(AND(C4278="Sell",D4278="Stock"),M4278,IF(ISBLANK(L4278),"",IF(C4278="Buy",M4278, IF(AND(C4278="Sell",J4278="NA"),(E4278*G4278*100*0.1)+I4278, IF(C4278="Sell",(J4278-L4278)*(100*G4278)+I4278))))))</f>
        <v/>
      </c>
      <c r="O4278" s="75" t="n"/>
      <c r="P4278" s="75" t="n"/>
      <c r="Q4278" s="75">
        <f>IF(ISBLANK(P4278),"",IF(D4278="Stock",P4278*G4278,IF(P4278=0,"0",G4278*P4278*100-(G4278*$AF$14))))</f>
        <v/>
      </c>
      <c r="R4278" s="79">
        <f>IF(P4278&lt;&gt;"", TODAY(), "")</f>
        <v/>
      </c>
      <c r="S4278" s="78">
        <f>IF(AND(K4278&lt;&gt;"", R4278&lt;&gt;""), R4278-K4278, "")</f>
        <v/>
      </c>
      <c r="T4278" s="78" t="n"/>
      <c r="U4278" s="92">
        <f>IF(ISBLANK(P4278),"",IF(C4278="Buy",Q4278-M4278+T4278, IF(C4278="Sell",M4278-Q4278-T4278, X)))</f>
        <v/>
      </c>
      <c r="V4278" s="81">
        <f>IF(ISBLANK(P4278),"",U4278/N4278)</f>
        <v/>
      </c>
      <c r="W4278" s="81">
        <f>IF(ISBLANK(P4278),"",IF(S4278=0,(365/0.5)*V4278,(365/S4278)*V4278))</f>
        <v/>
      </c>
      <c r="X4278" s="75" t="n"/>
      <c r="Y4278" s="77" t="n"/>
      <c r="Z4278" s="77" t="n"/>
      <c r="AA4278" s="75" t="n"/>
      <c r="AB4278" s="75" t="n"/>
      <c r="AC4278" s="6" t="n"/>
      <c r="AD4278" s="75" t="n"/>
      <c r="AE4278" s="75" t="n"/>
      <c r="AF4278" s="75" t="n"/>
    </row>
    <row r="4279" ht="15.75" customHeight="1" s="133">
      <c r="A4279" s="75" t="n"/>
      <c r="B4279" s="75" t="n"/>
      <c r="C4279" s="75" t="n"/>
      <c r="D4279" s="75" t="n"/>
      <c r="E4279" s="76" t="n"/>
      <c r="F4279" s="77" t="n"/>
      <c r="G4279" s="75" t="n"/>
      <c r="H4279" s="75">
        <f>IF(ISBLANK(E4279),"",IF(OR(D4279="Butterfly",D4279="Butterfly ",D4279="Iron Fly", D4279="Iron Fly "),LEN(E4279)-LEN(SUBSTITUTE(E4279,"/",""))+2,LEN(E4279)-LEN(SUBSTITUTE(E4279,"/",""))+1))</f>
        <v/>
      </c>
      <c r="I4279" s="78">
        <f>IF(ISBLANK(G4279),"",IF(D4279="Stock","0",Key!$A$3*H4279*G4279))</f>
        <v/>
      </c>
      <c r="J4279" s="78">
        <f>IF(ISBLANK(E4279),"",IF(ISNUMBER(SEARCH("/",E4279)), IF(LEN(E4279)-LEN(SUBSTITUTE(E4279,"/",""))=1,(RIGHT(E4279,LEN(E4279)-FIND("/",E4279)))-(LEFT(E4279,FIND("/",E4279)-1)),(MID(E4279, SEARCH("/",E4279) + 1, SEARCH("/",E4279, SEARCH("/",E4279)+1) - SEARCH("/",E4279) - 1))-(LEFT(E4279,FIND("/",E4279)-1))), "NA"))</f>
        <v/>
      </c>
      <c r="K4279" s="79">
        <f>IF(A4279&lt;&gt;"", IF(ISBLANK(L4279), TODAY(), K4279), "")</f>
        <v/>
      </c>
      <c r="L4279" s="78" t="n"/>
      <c r="M4279" s="78">
        <f>IF(ISBLANK(L4279),"",IF(D4279="Stock",IF(C4279="Buy",L4279*G4279,IF(C4279="Sell",(L4279*G4279)-I4279, X)),IF(C4279="Buy",(L4279*G4279*100)+I4279,IF(C4279="Sell",(L4279*G4279*100)-I4279, X))))</f>
        <v/>
      </c>
      <c r="N4279" s="78">
        <f>IF(ISBLANK(L4279),"",IF(AND(C4279="Sell",D4279="Stock"),M4279,IF(ISBLANK(L4279),"",IF(C4279="Buy",M4279, IF(AND(C4279="Sell",J4279="NA"),(E4279*G4279*100*0.1)+I4279, IF(C4279="Sell",(J4279-L4279)*(100*G4279)+I4279))))))</f>
        <v/>
      </c>
      <c r="O4279" s="75" t="n"/>
      <c r="P4279" s="75" t="n"/>
      <c r="Q4279" s="75">
        <f>IF(ISBLANK(P4279),"",IF(D4279="Stock",P4279*G4279,IF(P4279=0,"0",G4279*P4279*100-(G4279*$AF$14))))</f>
        <v/>
      </c>
      <c r="R4279" s="79">
        <f>IF(P4279&lt;&gt;"", TODAY(), "")</f>
        <v/>
      </c>
      <c r="S4279" s="78">
        <f>IF(AND(K4279&lt;&gt;"", R4279&lt;&gt;""), R4279-K4279, "")</f>
        <v/>
      </c>
      <c r="T4279" s="78" t="n"/>
      <c r="U4279" s="92">
        <f>IF(ISBLANK(P4279),"",IF(C4279="Buy",Q4279-M4279+T4279, IF(C4279="Sell",M4279-Q4279-T4279, X)))</f>
        <v/>
      </c>
      <c r="V4279" s="81">
        <f>IF(ISBLANK(P4279),"",U4279/N4279)</f>
        <v/>
      </c>
      <c r="W4279" s="81">
        <f>IF(ISBLANK(P4279),"",IF(S4279=0,(365/0.5)*V4279,(365/S4279)*V4279))</f>
        <v/>
      </c>
      <c r="X4279" s="75" t="n"/>
      <c r="Y4279" s="77" t="n"/>
      <c r="Z4279" s="77" t="n"/>
      <c r="AA4279" s="75" t="n"/>
      <c r="AB4279" s="75" t="n"/>
      <c r="AC4279" s="6" t="n"/>
      <c r="AD4279" s="75" t="n"/>
      <c r="AE4279" s="75" t="n"/>
      <c r="AF4279" s="75" t="n"/>
    </row>
    <row r="4280" ht="15.75" customHeight="1" s="133">
      <c r="A4280" s="75" t="n"/>
      <c r="B4280" s="75" t="n"/>
      <c r="C4280" s="75" t="n"/>
      <c r="D4280" s="75" t="n"/>
      <c r="E4280" s="76" t="n"/>
      <c r="F4280" s="77" t="n"/>
      <c r="G4280" s="75" t="n"/>
      <c r="H4280" s="75">
        <f>IF(ISBLANK(E4280),"",IF(OR(D4280="Butterfly",D4280="Butterfly ",D4280="Iron Fly", D4280="Iron Fly "),LEN(E4280)-LEN(SUBSTITUTE(E4280,"/",""))+2,LEN(E4280)-LEN(SUBSTITUTE(E4280,"/",""))+1))</f>
        <v/>
      </c>
      <c r="I4280" s="78">
        <f>IF(ISBLANK(G4280),"",IF(D4280="Stock","0",Key!$A$3*H4280*G4280))</f>
        <v/>
      </c>
      <c r="J4280" s="78">
        <f>IF(ISBLANK(E4280),"",IF(ISNUMBER(SEARCH("/",E4280)), IF(LEN(E4280)-LEN(SUBSTITUTE(E4280,"/",""))=1,(RIGHT(E4280,LEN(E4280)-FIND("/",E4280)))-(LEFT(E4280,FIND("/",E4280)-1)),(MID(E4280, SEARCH("/",E4280) + 1, SEARCH("/",E4280, SEARCH("/",E4280)+1) - SEARCH("/",E4280) - 1))-(LEFT(E4280,FIND("/",E4280)-1))), "NA"))</f>
        <v/>
      </c>
      <c r="K4280" s="79">
        <f>IF(A4280&lt;&gt;"", IF(ISBLANK(L4280), TODAY(), K4280), "")</f>
        <v/>
      </c>
      <c r="L4280" s="78" t="n"/>
      <c r="M4280" s="78">
        <f>IF(ISBLANK(L4280),"",IF(D4280="Stock",IF(C4280="Buy",L4280*G4280,IF(C4280="Sell",(L4280*G4280)-I4280, X)),IF(C4280="Buy",(L4280*G4280*100)+I4280,IF(C4280="Sell",(L4280*G4280*100)-I4280, X))))</f>
        <v/>
      </c>
      <c r="N4280" s="78">
        <f>IF(ISBLANK(L4280),"",IF(AND(C4280="Sell",D4280="Stock"),M4280,IF(ISBLANK(L4280),"",IF(C4280="Buy",M4280, IF(AND(C4280="Sell",J4280="NA"),(E4280*G4280*100*0.1)+I4280, IF(C4280="Sell",(J4280-L4280)*(100*G4280)+I4280))))))</f>
        <v/>
      </c>
      <c r="O4280" s="75" t="n"/>
      <c r="P4280" s="75" t="n"/>
      <c r="Q4280" s="75">
        <f>IF(ISBLANK(P4280),"",IF(D4280="Stock",P4280*G4280,IF(P4280=0,"0",G4280*P4280*100-(G4280*$AF$14))))</f>
        <v/>
      </c>
      <c r="R4280" s="79">
        <f>IF(P4280&lt;&gt;"", TODAY(), "")</f>
        <v/>
      </c>
      <c r="S4280" s="78">
        <f>IF(AND(K4280&lt;&gt;"", R4280&lt;&gt;""), R4280-K4280, "")</f>
        <v/>
      </c>
      <c r="T4280" s="78" t="n"/>
      <c r="U4280" s="92">
        <f>IF(ISBLANK(P4280),"",IF(C4280="Buy",Q4280-M4280+T4280, IF(C4280="Sell",M4280-Q4280-T4280, X)))</f>
        <v/>
      </c>
      <c r="V4280" s="81">
        <f>IF(ISBLANK(P4280),"",U4280/N4280)</f>
        <v/>
      </c>
      <c r="W4280" s="81">
        <f>IF(ISBLANK(P4280),"",IF(S4280=0,(365/0.5)*V4280,(365/S4280)*V4280))</f>
        <v/>
      </c>
      <c r="X4280" s="75" t="n"/>
      <c r="Y4280" s="77" t="n"/>
      <c r="Z4280" s="77" t="n"/>
      <c r="AA4280" s="75" t="n"/>
      <c r="AB4280" s="75" t="n"/>
      <c r="AC4280" s="6" t="n"/>
      <c r="AD4280" s="75" t="n"/>
      <c r="AE4280" s="75" t="n"/>
      <c r="AF4280" s="75" t="n"/>
    </row>
    <row r="4281" ht="15.75" customHeight="1" s="133">
      <c r="A4281" s="75" t="n"/>
      <c r="B4281" s="75" t="n"/>
      <c r="C4281" s="75" t="n"/>
      <c r="D4281" s="75" t="n"/>
      <c r="E4281" s="76" t="n"/>
      <c r="F4281" s="77" t="n"/>
      <c r="G4281" s="75" t="n"/>
      <c r="H4281" s="75">
        <f>IF(ISBLANK(E4281),"",IF(OR(D4281="Butterfly",D4281="Butterfly ",D4281="Iron Fly", D4281="Iron Fly "),LEN(E4281)-LEN(SUBSTITUTE(E4281,"/",""))+2,LEN(E4281)-LEN(SUBSTITUTE(E4281,"/",""))+1))</f>
        <v/>
      </c>
      <c r="I4281" s="78">
        <f>IF(ISBLANK(G4281),"",IF(D4281="Stock","0",Key!$A$3*H4281*G4281))</f>
        <v/>
      </c>
      <c r="J4281" s="78">
        <f>IF(ISBLANK(E4281),"",IF(ISNUMBER(SEARCH("/",E4281)), IF(LEN(E4281)-LEN(SUBSTITUTE(E4281,"/",""))=1,(RIGHT(E4281,LEN(E4281)-FIND("/",E4281)))-(LEFT(E4281,FIND("/",E4281)-1)),(MID(E4281, SEARCH("/",E4281) + 1, SEARCH("/",E4281, SEARCH("/",E4281)+1) - SEARCH("/",E4281) - 1))-(LEFT(E4281,FIND("/",E4281)-1))), "NA"))</f>
        <v/>
      </c>
      <c r="K4281" s="79">
        <f>IF(A4281&lt;&gt;"", IF(ISBLANK(L4281), TODAY(), K4281), "")</f>
        <v/>
      </c>
      <c r="L4281" s="78" t="n"/>
      <c r="M4281" s="78">
        <f>IF(ISBLANK(L4281),"",IF(D4281="Stock",IF(C4281="Buy",L4281*G4281,IF(C4281="Sell",(L4281*G4281)-I4281, X)),IF(C4281="Buy",(L4281*G4281*100)+I4281,IF(C4281="Sell",(L4281*G4281*100)-I4281, X))))</f>
        <v/>
      </c>
      <c r="N4281" s="78">
        <f>IF(ISBLANK(L4281),"",IF(AND(C4281="Sell",D4281="Stock"),M4281,IF(ISBLANK(L4281),"",IF(C4281="Buy",M4281, IF(AND(C4281="Sell",J4281="NA"),(E4281*G4281*100*0.1)+I4281, IF(C4281="Sell",(J4281-L4281)*(100*G4281)+I4281))))))</f>
        <v/>
      </c>
      <c r="O4281" s="75" t="n"/>
      <c r="P4281" s="75" t="n"/>
      <c r="Q4281" s="75">
        <f>IF(ISBLANK(P4281),"",IF(D4281="Stock",P4281*G4281,IF(P4281=0,"0",G4281*P4281*100-(G4281*$AF$14))))</f>
        <v/>
      </c>
      <c r="R4281" s="79">
        <f>IF(P4281&lt;&gt;"", TODAY(), "")</f>
        <v/>
      </c>
      <c r="S4281" s="78">
        <f>IF(AND(K4281&lt;&gt;"", R4281&lt;&gt;""), R4281-K4281, "")</f>
        <v/>
      </c>
      <c r="T4281" s="78" t="n"/>
      <c r="U4281" s="92">
        <f>IF(ISBLANK(P4281),"",IF(C4281="Buy",Q4281-M4281+T4281, IF(C4281="Sell",M4281-Q4281-T4281, X)))</f>
        <v/>
      </c>
      <c r="V4281" s="81">
        <f>IF(ISBLANK(P4281),"",U4281/N4281)</f>
        <v/>
      </c>
      <c r="W4281" s="81">
        <f>IF(ISBLANK(P4281),"",IF(S4281=0,(365/0.5)*V4281,(365/S4281)*V4281))</f>
        <v/>
      </c>
      <c r="X4281" s="75" t="n"/>
      <c r="Y4281" s="77" t="n"/>
      <c r="Z4281" s="77" t="n"/>
      <c r="AA4281" s="75" t="n"/>
      <c r="AB4281" s="75" t="n"/>
      <c r="AC4281" s="6" t="n"/>
      <c r="AD4281" s="75" t="n"/>
      <c r="AE4281" s="75" t="n"/>
      <c r="AF4281" s="75" t="n"/>
    </row>
    <row r="4282" ht="15.75" customHeight="1" s="133">
      <c r="A4282" s="75" t="n"/>
      <c r="B4282" s="75" t="n"/>
      <c r="C4282" s="75" t="n"/>
      <c r="D4282" s="75" t="n"/>
      <c r="E4282" s="76" t="n"/>
      <c r="F4282" s="77" t="n"/>
      <c r="G4282" s="75" t="n"/>
      <c r="H4282" s="75">
        <f>IF(ISBLANK(E4282),"",IF(OR(D4282="Butterfly",D4282="Butterfly ",D4282="Iron Fly", D4282="Iron Fly "),LEN(E4282)-LEN(SUBSTITUTE(E4282,"/",""))+2,LEN(E4282)-LEN(SUBSTITUTE(E4282,"/",""))+1))</f>
        <v/>
      </c>
      <c r="I4282" s="78">
        <f>IF(ISBLANK(G4282),"",IF(D4282="Stock","0",Key!$A$3*H4282*G4282))</f>
        <v/>
      </c>
      <c r="J4282" s="78">
        <f>IF(ISBLANK(E4282),"",IF(ISNUMBER(SEARCH("/",E4282)), IF(LEN(E4282)-LEN(SUBSTITUTE(E4282,"/",""))=1,(RIGHT(E4282,LEN(E4282)-FIND("/",E4282)))-(LEFT(E4282,FIND("/",E4282)-1)),(MID(E4282, SEARCH("/",E4282) + 1, SEARCH("/",E4282, SEARCH("/",E4282)+1) - SEARCH("/",E4282) - 1))-(LEFT(E4282,FIND("/",E4282)-1))), "NA"))</f>
        <v/>
      </c>
      <c r="K4282" s="79">
        <f>IF(A4282&lt;&gt;"", IF(ISBLANK(L4282), TODAY(), K4282), "")</f>
        <v/>
      </c>
      <c r="L4282" s="78" t="n"/>
      <c r="M4282" s="78">
        <f>IF(ISBLANK(L4282),"",IF(D4282="Stock",IF(C4282="Buy",L4282*G4282,IF(C4282="Sell",(L4282*G4282)-I4282, X)),IF(C4282="Buy",(L4282*G4282*100)+I4282,IF(C4282="Sell",(L4282*G4282*100)-I4282, X))))</f>
        <v/>
      </c>
      <c r="N4282" s="78">
        <f>IF(ISBLANK(L4282),"",IF(AND(C4282="Sell",D4282="Stock"),M4282,IF(ISBLANK(L4282),"",IF(C4282="Buy",M4282, IF(AND(C4282="Sell",J4282="NA"),(E4282*G4282*100*0.1)+I4282, IF(C4282="Sell",(J4282-L4282)*(100*G4282)+I4282))))))</f>
        <v/>
      </c>
      <c r="O4282" s="75" t="n"/>
      <c r="P4282" s="75" t="n"/>
      <c r="Q4282" s="75">
        <f>IF(ISBLANK(P4282),"",IF(D4282="Stock",P4282*G4282,IF(P4282=0,"0",G4282*P4282*100-(G4282*$AF$14))))</f>
        <v/>
      </c>
      <c r="R4282" s="79">
        <f>IF(P4282&lt;&gt;"", TODAY(), "")</f>
        <v/>
      </c>
      <c r="S4282" s="78">
        <f>IF(AND(K4282&lt;&gt;"", R4282&lt;&gt;""), R4282-K4282, "")</f>
        <v/>
      </c>
      <c r="T4282" s="78" t="n"/>
      <c r="U4282" s="92">
        <f>IF(ISBLANK(P4282),"",IF(C4282="Buy",Q4282-M4282+T4282, IF(C4282="Sell",M4282-Q4282-T4282, X)))</f>
        <v/>
      </c>
      <c r="V4282" s="81">
        <f>IF(ISBLANK(P4282),"",U4282/N4282)</f>
        <v/>
      </c>
      <c r="W4282" s="81">
        <f>IF(ISBLANK(P4282),"",IF(S4282=0,(365/0.5)*V4282,(365/S4282)*V4282))</f>
        <v/>
      </c>
      <c r="X4282" s="75" t="n"/>
      <c r="Y4282" s="77" t="n"/>
      <c r="Z4282" s="77" t="n"/>
      <c r="AA4282" s="75" t="n"/>
      <c r="AB4282" s="75" t="n"/>
      <c r="AC4282" s="6" t="n"/>
      <c r="AD4282" s="75" t="n"/>
      <c r="AE4282" s="75" t="n"/>
      <c r="AF4282" s="75" t="n"/>
    </row>
    <row r="4283" ht="15.75" customHeight="1" s="133">
      <c r="A4283" s="75" t="n"/>
      <c r="B4283" s="75" t="n"/>
      <c r="C4283" s="75" t="n"/>
      <c r="D4283" s="75" t="n"/>
      <c r="E4283" s="76" t="n"/>
      <c r="F4283" s="77" t="n"/>
      <c r="G4283" s="75" t="n"/>
      <c r="H4283" s="75">
        <f>IF(ISBLANK(E4283),"",IF(OR(D4283="Butterfly",D4283="Butterfly ",D4283="Iron Fly", D4283="Iron Fly "),LEN(E4283)-LEN(SUBSTITUTE(E4283,"/",""))+2,LEN(E4283)-LEN(SUBSTITUTE(E4283,"/",""))+1))</f>
        <v/>
      </c>
      <c r="I4283" s="78">
        <f>IF(ISBLANK(G4283),"",IF(D4283="Stock","0",Key!$A$3*H4283*G4283))</f>
        <v/>
      </c>
      <c r="J4283" s="78">
        <f>IF(ISBLANK(E4283),"",IF(ISNUMBER(SEARCH("/",E4283)), IF(LEN(E4283)-LEN(SUBSTITUTE(E4283,"/",""))=1,(RIGHT(E4283,LEN(E4283)-FIND("/",E4283)))-(LEFT(E4283,FIND("/",E4283)-1)),(MID(E4283, SEARCH("/",E4283) + 1, SEARCH("/",E4283, SEARCH("/",E4283)+1) - SEARCH("/",E4283) - 1))-(LEFT(E4283,FIND("/",E4283)-1))), "NA"))</f>
        <v/>
      </c>
      <c r="K4283" s="79">
        <f>IF(A4283&lt;&gt;"", IF(ISBLANK(L4283), TODAY(), K4283), "")</f>
        <v/>
      </c>
      <c r="L4283" s="78" t="n"/>
      <c r="M4283" s="78">
        <f>IF(ISBLANK(L4283),"",IF(D4283="Stock",IF(C4283="Buy",L4283*G4283,IF(C4283="Sell",(L4283*G4283)-I4283, X)),IF(C4283="Buy",(L4283*G4283*100)+I4283,IF(C4283="Sell",(L4283*G4283*100)-I4283, X))))</f>
        <v/>
      </c>
      <c r="N4283" s="78">
        <f>IF(ISBLANK(L4283),"",IF(AND(C4283="Sell",D4283="Stock"),M4283,IF(ISBLANK(L4283),"",IF(C4283="Buy",M4283, IF(AND(C4283="Sell",J4283="NA"),(E4283*G4283*100*0.1)+I4283, IF(C4283="Sell",(J4283-L4283)*(100*G4283)+I4283))))))</f>
        <v/>
      </c>
      <c r="O4283" s="75" t="n"/>
      <c r="P4283" s="75" t="n"/>
      <c r="Q4283" s="75">
        <f>IF(ISBLANK(P4283),"",IF(D4283="Stock",P4283*G4283,IF(P4283=0,"0",G4283*P4283*100-(G4283*$AF$14))))</f>
        <v/>
      </c>
      <c r="R4283" s="79">
        <f>IF(P4283&lt;&gt;"", TODAY(), "")</f>
        <v/>
      </c>
      <c r="S4283" s="78">
        <f>IF(AND(K4283&lt;&gt;"", R4283&lt;&gt;""), R4283-K4283, "")</f>
        <v/>
      </c>
      <c r="T4283" s="78" t="n"/>
      <c r="U4283" s="92">
        <f>IF(ISBLANK(P4283),"",IF(C4283="Buy",Q4283-M4283+T4283, IF(C4283="Sell",M4283-Q4283-T4283, X)))</f>
        <v/>
      </c>
      <c r="V4283" s="81">
        <f>IF(ISBLANK(P4283),"",U4283/N4283)</f>
        <v/>
      </c>
      <c r="W4283" s="81">
        <f>IF(ISBLANK(P4283),"",IF(S4283=0,(365/0.5)*V4283,(365/S4283)*V4283))</f>
        <v/>
      </c>
      <c r="X4283" s="75" t="n"/>
      <c r="Y4283" s="77" t="n"/>
      <c r="Z4283" s="77" t="n"/>
      <c r="AA4283" s="75" t="n"/>
      <c r="AB4283" s="75" t="n"/>
      <c r="AC4283" s="6" t="n"/>
      <c r="AD4283" s="75" t="n"/>
      <c r="AE4283" s="75" t="n"/>
      <c r="AF4283" s="75" t="n"/>
    </row>
    <row r="4284" ht="15.75" customHeight="1" s="133">
      <c r="A4284" s="75" t="n"/>
      <c r="B4284" s="75" t="n"/>
      <c r="C4284" s="75" t="n"/>
      <c r="D4284" s="75" t="n"/>
      <c r="E4284" s="76" t="n"/>
      <c r="F4284" s="77" t="n"/>
      <c r="G4284" s="75" t="n"/>
      <c r="H4284" s="75">
        <f>IF(ISBLANK(E4284),"",IF(OR(D4284="Butterfly",D4284="Butterfly ",D4284="Iron Fly", D4284="Iron Fly "),LEN(E4284)-LEN(SUBSTITUTE(E4284,"/",""))+2,LEN(E4284)-LEN(SUBSTITUTE(E4284,"/",""))+1))</f>
        <v/>
      </c>
      <c r="I4284" s="78">
        <f>IF(ISBLANK(G4284),"",IF(D4284="Stock","0",Key!$A$3*H4284*G4284))</f>
        <v/>
      </c>
      <c r="J4284" s="78">
        <f>IF(ISBLANK(E4284),"",IF(ISNUMBER(SEARCH("/",E4284)), IF(LEN(E4284)-LEN(SUBSTITUTE(E4284,"/",""))=1,(RIGHT(E4284,LEN(E4284)-FIND("/",E4284)))-(LEFT(E4284,FIND("/",E4284)-1)),(MID(E4284, SEARCH("/",E4284) + 1, SEARCH("/",E4284, SEARCH("/",E4284)+1) - SEARCH("/",E4284) - 1))-(LEFT(E4284,FIND("/",E4284)-1))), "NA"))</f>
        <v/>
      </c>
      <c r="K4284" s="79">
        <f>IF(A4284&lt;&gt;"", IF(ISBLANK(L4284), TODAY(), K4284), "")</f>
        <v/>
      </c>
      <c r="L4284" s="78" t="n"/>
      <c r="M4284" s="78">
        <f>IF(ISBLANK(L4284),"",IF(D4284="Stock",IF(C4284="Buy",L4284*G4284,IF(C4284="Sell",(L4284*G4284)-I4284, X)),IF(C4284="Buy",(L4284*G4284*100)+I4284,IF(C4284="Sell",(L4284*G4284*100)-I4284, X))))</f>
        <v/>
      </c>
      <c r="N4284" s="78">
        <f>IF(ISBLANK(L4284),"",IF(AND(C4284="Sell",D4284="Stock"),M4284,IF(ISBLANK(L4284),"",IF(C4284="Buy",M4284, IF(AND(C4284="Sell",J4284="NA"),(E4284*G4284*100*0.1)+I4284, IF(C4284="Sell",(J4284-L4284)*(100*G4284)+I4284))))))</f>
        <v/>
      </c>
      <c r="O4284" s="75" t="n"/>
      <c r="P4284" s="75" t="n"/>
      <c r="Q4284" s="75">
        <f>IF(ISBLANK(P4284),"",IF(D4284="Stock",P4284*G4284,IF(P4284=0,"0",G4284*P4284*100-(G4284*$AF$14))))</f>
        <v/>
      </c>
      <c r="R4284" s="79">
        <f>IF(P4284&lt;&gt;"", TODAY(), "")</f>
        <v/>
      </c>
      <c r="S4284" s="78">
        <f>IF(AND(K4284&lt;&gt;"", R4284&lt;&gt;""), R4284-K4284, "")</f>
        <v/>
      </c>
      <c r="T4284" s="78" t="n"/>
      <c r="U4284" s="92">
        <f>IF(ISBLANK(P4284),"",IF(C4284="Buy",Q4284-M4284+T4284, IF(C4284="Sell",M4284-Q4284-T4284, X)))</f>
        <v/>
      </c>
      <c r="V4284" s="81">
        <f>IF(ISBLANK(P4284),"",U4284/N4284)</f>
        <v/>
      </c>
      <c r="W4284" s="81">
        <f>IF(ISBLANK(P4284),"",IF(S4284=0,(365/0.5)*V4284,(365/S4284)*V4284))</f>
        <v/>
      </c>
      <c r="X4284" s="75" t="n"/>
      <c r="Y4284" s="77" t="n"/>
      <c r="Z4284" s="77" t="n"/>
      <c r="AA4284" s="75" t="n"/>
      <c r="AB4284" s="75" t="n"/>
      <c r="AC4284" s="6" t="n"/>
      <c r="AD4284" s="75" t="n"/>
      <c r="AE4284" s="75" t="n"/>
      <c r="AF4284" s="75" t="n"/>
    </row>
    <row r="4285" ht="15.75" customHeight="1" s="133">
      <c r="A4285" s="75" t="n"/>
      <c r="B4285" s="75" t="n"/>
      <c r="C4285" s="75" t="n"/>
      <c r="D4285" s="75" t="n"/>
      <c r="E4285" s="76" t="n"/>
      <c r="F4285" s="77" t="n"/>
      <c r="G4285" s="75" t="n"/>
      <c r="H4285" s="75">
        <f>IF(ISBLANK(E4285),"",IF(OR(D4285="Butterfly",D4285="Butterfly ",D4285="Iron Fly", D4285="Iron Fly "),LEN(E4285)-LEN(SUBSTITUTE(E4285,"/",""))+2,LEN(E4285)-LEN(SUBSTITUTE(E4285,"/",""))+1))</f>
        <v/>
      </c>
      <c r="I4285" s="78">
        <f>IF(ISBLANK(G4285),"",IF(D4285="Stock","0",Key!$A$3*H4285*G4285))</f>
        <v/>
      </c>
      <c r="J4285" s="78">
        <f>IF(ISBLANK(E4285),"",IF(ISNUMBER(SEARCH("/",E4285)), IF(LEN(E4285)-LEN(SUBSTITUTE(E4285,"/",""))=1,(RIGHT(E4285,LEN(E4285)-FIND("/",E4285)))-(LEFT(E4285,FIND("/",E4285)-1)),(MID(E4285, SEARCH("/",E4285) + 1, SEARCH("/",E4285, SEARCH("/",E4285)+1) - SEARCH("/",E4285) - 1))-(LEFT(E4285,FIND("/",E4285)-1))), "NA"))</f>
        <v/>
      </c>
      <c r="K4285" s="79">
        <f>IF(A4285&lt;&gt;"", IF(ISBLANK(L4285), TODAY(), K4285), "")</f>
        <v/>
      </c>
      <c r="L4285" s="78" t="n"/>
      <c r="M4285" s="78">
        <f>IF(ISBLANK(L4285),"",IF(D4285="Stock",IF(C4285="Buy",L4285*G4285,IF(C4285="Sell",(L4285*G4285)-I4285, X)),IF(C4285="Buy",(L4285*G4285*100)+I4285,IF(C4285="Sell",(L4285*G4285*100)-I4285, X))))</f>
        <v/>
      </c>
      <c r="N4285" s="78">
        <f>IF(ISBLANK(L4285),"",IF(AND(C4285="Sell",D4285="Stock"),M4285,IF(ISBLANK(L4285),"",IF(C4285="Buy",M4285, IF(AND(C4285="Sell",J4285="NA"),(E4285*G4285*100*0.1)+I4285, IF(C4285="Sell",(J4285-L4285)*(100*G4285)+I4285))))))</f>
        <v/>
      </c>
      <c r="O4285" s="75" t="n"/>
      <c r="P4285" s="75" t="n"/>
      <c r="Q4285" s="75">
        <f>IF(ISBLANK(P4285),"",IF(D4285="Stock",P4285*G4285,IF(P4285=0,"0",G4285*P4285*100-(G4285*$AF$14))))</f>
        <v/>
      </c>
      <c r="R4285" s="79">
        <f>IF(P4285&lt;&gt;"", TODAY(), "")</f>
        <v/>
      </c>
      <c r="S4285" s="78">
        <f>IF(AND(K4285&lt;&gt;"", R4285&lt;&gt;""), R4285-K4285, "")</f>
        <v/>
      </c>
      <c r="T4285" s="78" t="n"/>
      <c r="U4285" s="92">
        <f>IF(ISBLANK(P4285),"",IF(C4285="Buy",Q4285-M4285+T4285, IF(C4285="Sell",M4285-Q4285-T4285, X)))</f>
        <v/>
      </c>
      <c r="V4285" s="81">
        <f>IF(ISBLANK(P4285),"",U4285/N4285)</f>
        <v/>
      </c>
      <c r="W4285" s="81">
        <f>IF(ISBLANK(P4285),"",IF(S4285=0,(365/0.5)*V4285,(365/S4285)*V4285))</f>
        <v/>
      </c>
      <c r="X4285" s="75" t="n"/>
      <c r="Y4285" s="77" t="n"/>
      <c r="Z4285" s="77" t="n"/>
      <c r="AA4285" s="75" t="n"/>
      <c r="AB4285" s="75" t="n"/>
      <c r="AC4285" s="6" t="n"/>
      <c r="AD4285" s="75" t="n"/>
      <c r="AE4285" s="75" t="n"/>
      <c r="AF4285" s="75" t="n"/>
    </row>
    <row r="4286" ht="15.75" customHeight="1" s="133">
      <c r="A4286" s="75" t="n"/>
      <c r="B4286" s="75" t="n"/>
      <c r="C4286" s="75" t="n"/>
      <c r="D4286" s="75" t="n"/>
      <c r="E4286" s="76" t="n"/>
      <c r="F4286" s="77" t="n"/>
      <c r="G4286" s="75" t="n"/>
      <c r="H4286" s="75">
        <f>IF(ISBLANK(E4286),"",IF(OR(D4286="Butterfly",D4286="Butterfly ",D4286="Iron Fly", D4286="Iron Fly "),LEN(E4286)-LEN(SUBSTITUTE(E4286,"/",""))+2,LEN(E4286)-LEN(SUBSTITUTE(E4286,"/",""))+1))</f>
        <v/>
      </c>
      <c r="I4286" s="78">
        <f>IF(ISBLANK(G4286),"",IF(D4286="Stock","0",Key!$A$3*H4286*G4286))</f>
        <v/>
      </c>
      <c r="J4286" s="78">
        <f>IF(ISBLANK(E4286),"",IF(ISNUMBER(SEARCH("/",E4286)), IF(LEN(E4286)-LEN(SUBSTITUTE(E4286,"/",""))=1,(RIGHT(E4286,LEN(E4286)-FIND("/",E4286)))-(LEFT(E4286,FIND("/",E4286)-1)),(MID(E4286, SEARCH("/",E4286) + 1, SEARCH("/",E4286, SEARCH("/",E4286)+1) - SEARCH("/",E4286) - 1))-(LEFT(E4286,FIND("/",E4286)-1))), "NA"))</f>
        <v/>
      </c>
      <c r="K4286" s="79">
        <f>IF(A4286&lt;&gt;"", IF(ISBLANK(L4286), TODAY(), K4286), "")</f>
        <v/>
      </c>
      <c r="L4286" s="78" t="n"/>
      <c r="M4286" s="78">
        <f>IF(ISBLANK(L4286),"",IF(D4286="Stock",IF(C4286="Buy",L4286*G4286,IF(C4286="Sell",(L4286*G4286)-I4286, X)),IF(C4286="Buy",(L4286*G4286*100)+I4286,IF(C4286="Sell",(L4286*G4286*100)-I4286, X))))</f>
        <v/>
      </c>
      <c r="N4286" s="78">
        <f>IF(ISBLANK(L4286),"",IF(AND(C4286="Sell",D4286="Stock"),M4286,IF(ISBLANK(L4286),"",IF(C4286="Buy",M4286, IF(AND(C4286="Sell",J4286="NA"),(E4286*G4286*100*0.1)+I4286, IF(C4286="Sell",(J4286-L4286)*(100*G4286)+I4286))))))</f>
        <v/>
      </c>
      <c r="O4286" s="75" t="n"/>
      <c r="P4286" s="75" t="n"/>
      <c r="Q4286" s="75">
        <f>IF(ISBLANK(P4286),"",IF(D4286="Stock",P4286*G4286,IF(P4286=0,"0",G4286*P4286*100-(G4286*$AF$14))))</f>
        <v/>
      </c>
      <c r="R4286" s="79">
        <f>IF(P4286&lt;&gt;"", TODAY(), "")</f>
        <v/>
      </c>
      <c r="S4286" s="78">
        <f>IF(AND(K4286&lt;&gt;"", R4286&lt;&gt;""), R4286-K4286, "")</f>
        <v/>
      </c>
      <c r="T4286" s="78" t="n"/>
      <c r="U4286" s="92">
        <f>IF(ISBLANK(P4286),"",IF(C4286="Buy",Q4286-M4286+T4286, IF(C4286="Sell",M4286-Q4286-T4286, X)))</f>
        <v/>
      </c>
      <c r="V4286" s="81">
        <f>IF(ISBLANK(P4286),"",U4286/N4286)</f>
        <v/>
      </c>
      <c r="W4286" s="81">
        <f>IF(ISBLANK(P4286),"",IF(S4286=0,(365/0.5)*V4286,(365/S4286)*V4286))</f>
        <v/>
      </c>
      <c r="X4286" s="75" t="n"/>
      <c r="Y4286" s="77" t="n"/>
      <c r="Z4286" s="77" t="n"/>
      <c r="AA4286" s="75" t="n"/>
      <c r="AB4286" s="75" t="n"/>
      <c r="AC4286" s="6" t="n"/>
      <c r="AD4286" s="75" t="n"/>
      <c r="AE4286" s="75" t="n"/>
      <c r="AF4286" s="75" t="n"/>
    </row>
    <row r="4287" ht="15.75" customHeight="1" s="133">
      <c r="A4287" s="75" t="n"/>
      <c r="B4287" s="75" t="n"/>
      <c r="C4287" s="75" t="n"/>
      <c r="D4287" s="75" t="n"/>
      <c r="E4287" s="76" t="n"/>
      <c r="F4287" s="77" t="n"/>
      <c r="G4287" s="75" t="n"/>
      <c r="H4287" s="75">
        <f>IF(ISBLANK(E4287),"",IF(OR(D4287="Butterfly",D4287="Butterfly ",D4287="Iron Fly", D4287="Iron Fly "),LEN(E4287)-LEN(SUBSTITUTE(E4287,"/",""))+2,LEN(E4287)-LEN(SUBSTITUTE(E4287,"/",""))+1))</f>
        <v/>
      </c>
      <c r="I4287" s="78">
        <f>IF(ISBLANK(G4287),"",IF(D4287="Stock","0",Key!$A$3*H4287*G4287))</f>
        <v/>
      </c>
      <c r="J4287" s="78">
        <f>IF(ISBLANK(E4287),"",IF(ISNUMBER(SEARCH("/",E4287)), IF(LEN(E4287)-LEN(SUBSTITUTE(E4287,"/",""))=1,(RIGHT(E4287,LEN(E4287)-FIND("/",E4287)))-(LEFT(E4287,FIND("/",E4287)-1)),(MID(E4287, SEARCH("/",E4287) + 1, SEARCH("/",E4287, SEARCH("/",E4287)+1) - SEARCH("/",E4287) - 1))-(LEFT(E4287,FIND("/",E4287)-1))), "NA"))</f>
        <v/>
      </c>
      <c r="K4287" s="79">
        <f>IF(A4287&lt;&gt;"", IF(ISBLANK(L4287), TODAY(), K4287), "")</f>
        <v/>
      </c>
      <c r="L4287" s="78" t="n"/>
      <c r="M4287" s="78">
        <f>IF(ISBLANK(L4287),"",IF(D4287="Stock",IF(C4287="Buy",L4287*G4287,IF(C4287="Sell",(L4287*G4287)-I4287, X)),IF(C4287="Buy",(L4287*G4287*100)+I4287,IF(C4287="Sell",(L4287*G4287*100)-I4287, X))))</f>
        <v/>
      </c>
      <c r="N4287" s="78">
        <f>IF(ISBLANK(L4287),"",IF(AND(C4287="Sell",D4287="Stock"),M4287,IF(ISBLANK(L4287),"",IF(C4287="Buy",M4287, IF(AND(C4287="Sell",J4287="NA"),(E4287*G4287*100*0.1)+I4287, IF(C4287="Sell",(J4287-L4287)*(100*G4287)+I4287))))))</f>
        <v/>
      </c>
      <c r="O4287" s="75" t="n"/>
      <c r="P4287" s="75" t="n"/>
      <c r="Q4287" s="75">
        <f>IF(ISBLANK(P4287),"",IF(D4287="Stock",P4287*G4287,IF(P4287=0,"0",G4287*P4287*100-(G4287*$AF$14))))</f>
        <v/>
      </c>
      <c r="R4287" s="79">
        <f>IF(P4287&lt;&gt;"", TODAY(), "")</f>
        <v/>
      </c>
      <c r="S4287" s="78">
        <f>IF(AND(K4287&lt;&gt;"", R4287&lt;&gt;""), R4287-K4287, "")</f>
        <v/>
      </c>
      <c r="T4287" s="78" t="n"/>
      <c r="U4287" s="92">
        <f>IF(ISBLANK(P4287),"",IF(C4287="Buy",Q4287-M4287+T4287, IF(C4287="Sell",M4287-Q4287-T4287, X)))</f>
        <v/>
      </c>
      <c r="V4287" s="81">
        <f>IF(ISBLANK(P4287),"",U4287/N4287)</f>
        <v/>
      </c>
      <c r="W4287" s="81">
        <f>IF(ISBLANK(P4287),"",IF(S4287=0,(365/0.5)*V4287,(365/S4287)*V4287))</f>
        <v/>
      </c>
      <c r="X4287" s="75" t="n"/>
      <c r="Y4287" s="77" t="n"/>
      <c r="Z4287" s="77" t="n"/>
      <c r="AA4287" s="75" t="n"/>
      <c r="AB4287" s="75" t="n"/>
      <c r="AC4287" s="6" t="n"/>
      <c r="AD4287" s="75" t="n"/>
      <c r="AE4287" s="75" t="n"/>
      <c r="AF4287" s="75" t="n"/>
    </row>
    <row r="4288" ht="15.75" customHeight="1" s="133">
      <c r="A4288" s="75" t="n"/>
      <c r="B4288" s="75" t="n"/>
      <c r="C4288" s="75" t="n"/>
      <c r="D4288" s="75" t="n"/>
      <c r="E4288" s="76" t="n"/>
      <c r="F4288" s="77" t="n"/>
      <c r="G4288" s="75" t="n"/>
      <c r="H4288" s="75">
        <f>IF(ISBLANK(E4288),"",IF(OR(D4288="Butterfly",D4288="Butterfly ",D4288="Iron Fly", D4288="Iron Fly "),LEN(E4288)-LEN(SUBSTITUTE(E4288,"/",""))+2,LEN(E4288)-LEN(SUBSTITUTE(E4288,"/",""))+1))</f>
        <v/>
      </c>
      <c r="I4288" s="78">
        <f>IF(ISBLANK(G4288),"",IF(D4288="Stock","0",Key!$A$3*H4288*G4288))</f>
        <v/>
      </c>
      <c r="J4288" s="78">
        <f>IF(ISBLANK(E4288),"",IF(ISNUMBER(SEARCH("/",E4288)), IF(LEN(E4288)-LEN(SUBSTITUTE(E4288,"/",""))=1,(RIGHT(E4288,LEN(E4288)-FIND("/",E4288)))-(LEFT(E4288,FIND("/",E4288)-1)),(MID(E4288, SEARCH("/",E4288) + 1, SEARCH("/",E4288, SEARCH("/",E4288)+1) - SEARCH("/",E4288) - 1))-(LEFT(E4288,FIND("/",E4288)-1))), "NA"))</f>
        <v/>
      </c>
      <c r="K4288" s="79">
        <f>IF(A4288&lt;&gt;"", IF(ISBLANK(L4288), TODAY(), K4288), "")</f>
        <v/>
      </c>
      <c r="L4288" s="78" t="n"/>
      <c r="M4288" s="78">
        <f>IF(ISBLANK(L4288),"",IF(D4288="Stock",IF(C4288="Buy",L4288*G4288,IF(C4288="Sell",(L4288*G4288)-I4288, X)),IF(C4288="Buy",(L4288*G4288*100)+I4288,IF(C4288="Sell",(L4288*G4288*100)-I4288, X))))</f>
        <v/>
      </c>
      <c r="N4288" s="78">
        <f>IF(ISBLANK(L4288),"",IF(AND(C4288="Sell",D4288="Stock"),M4288,IF(ISBLANK(L4288),"",IF(C4288="Buy",M4288, IF(AND(C4288="Sell",J4288="NA"),(E4288*G4288*100*0.1)+I4288, IF(C4288="Sell",(J4288-L4288)*(100*G4288)+I4288))))))</f>
        <v/>
      </c>
      <c r="O4288" s="75" t="n"/>
      <c r="P4288" s="75" t="n"/>
      <c r="Q4288" s="75">
        <f>IF(ISBLANK(P4288),"",IF(D4288="Stock",P4288*G4288,IF(P4288=0,"0",G4288*P4288*100-(G4288*$AF$14))))</f>
        <v/>
      </c>
      <c r="R4288" s="79">
        <f>IF(P4288&lt;&gt;"", TODAY(), "")</f>
        <v/>
      </c>
      <c r="S4288" s="78">
        <f>IF(AND(K4288&lt;&gt;"", R4288&lt;&gt;""), R4288-K4288, "")</f>
        <v/>
      </c>
      <c r="T4288" s="78" t="n"/>
      <c r="U4288" s="92">
        <f>IF(ISBLANK(P4288),"",IF(C4288="Buy",Q4288-M4288+T4288, IF(C4288="Sell",M4288-Q4288-T4288, X)))</f>
        <v/>
      </c>
      <c r="V4288" s="81">
        <f>IF(ISBLANK(P4288),"",U4288/N4288)</f>
        <v/>
      </c>
      <c r="W4288" s="81">
        <f>IF(ISBLANK(P4288),"",IF(S4288=0,(365/0.5)*V4288,(365/S4288)*V4288))</f>
        <v/>
      </c>
      <c r="X4288" s="75" t="n"/>
      <c r="Y4288" s="77" t="n"/>
      <c r="Z4288" s="77" t="n"/>
      <c r="AA4288" s="75" t="n"/>
      <c r="AB4288" s="75" t="n"/>
      <c r="AC4288" s="6" t="n"/>
      <c r="AD4288" s="75" t="n"/>
      <c r="AE4288" s="75" t="n"/>
      <c r="AF4288" s="75" t="n"/>
    </row>
    <row r="4289" ht="15.75" customHeight="1" s="133">
      <c r="A4289" s="75" t="n"/>
      <c r="B4289" s="75" t="n"/>
      <c r="C4289" s="75" t="n"/>
      <c r="D4289" s="75" t="n"/>
      <c r="E4289" s="76" t="n"/>
      <c r="F4289" s="77" t="n"/>
      <c r="G4289" s="75" t="n"/>
      <c r="H4289" s="75">
        <f>IF(ISBLANK(E4289),"",IF(OR(D4289="Butterfly",D4289="Butterfly ",D4289="Iron Fly", D4289="Iron Fly "),LEN(E4289)-LEN(SUBSTITUTE(E4289,"/",""))+2,LEN(E4289)-LEN(SUBSTITUTE(E4289,"/",""))+1))</f>
        <v/>
      </c>
      <c r="I4289" s="78">
        <f>IF(ISBLANK(G4289),"",IF(D4289="Stock","0",Key!$A$3*H4289*G4289))</f>
        <v/>
      </c>
      <c r="J4289" s="78">
        <f>IF(ISBLANK(E4289),"",IF(ISNUMBER(SEARCH("/",E4289)), IF(LEN(E4289)-LEN(SUBSTITUTE(E4289,"/",""))=1,(RIGHT(E4289,LEN(E4289)-FIND("/",E4289)))-(LEFT(E4289,FIND("/",E4289)-1)),(MID(E4289, SEARCH("/",E4289) + 1, SEARCH("/",E4289, SEARCH("/",E4289)+1) - SEARCH("/",E4289) - 1))-(LEFT(E4289,FIND("/",E4289)-1))), "NA"))</f>
        <v/>
      </c>
      <c r="K4289" s="79">
        <f>IF(A4289&lt;&gt;"", IF(ISBLANK(L4289), TODAY(), K4289), "")</f>
        <v/>
      </c>
      <c r="L4289" s="78" t="n"/>
      <c r="M4289" s="78">
        <f>IF(ISBLANK(L4289),"",IF(D4289="Stock",IF(C4289="Buy",L4289*G4289,IF(C4289="Sell",(L4289*G4289)-I4289, X)),IF(C4289="Buy",(L4289*G4289*100)+I4289,IF(C4289="Sell",(L4289*G4289*100)-I4289, X))))</f>
        <v/>
      </c>
      <c r="N4289" s="78">
        <f>IF(ISBLANK(L4289),"",IF(AND(C4289="Sell",D4289="Stock"),M4289,IF(ISBLANK(L4289),"",IF(C4289="Buy",M4289, IF(AND(C4289="Sell",J4289="NA"),(E4289*G4289*100*0.1)+I4289, IF(C4289="Sell",(J4289-L4289)*(100*G4289)+I4289))))))</f>
        <v/>
      </c>
      <c r="O4289" s="75" t="n"/>
      <c r="P4289" s="75" t="n"/>
      <c r="Q4289" s="75">
        <f>IF(ISBLANK(P4289),"",IF(D4289="Stock",P4289*G4289,IF(P4289=0,"0",G4289*P4289*100-(G4289*$AF$14))))</f>
        <v/>
      </c>
      <c r="R4289" s="79">
        <f>IF(P4289&lt;&gt;"", TODAY(), "")</f>
        <v/>
      </c>
      <c r="S4289" s="78">
        <f>IF(AND(K4289&lt;&gt;"", R4289&lt;&gt;""), R4289-K4289, "")</f>
        <v/>
      </c>
      <c r="T4289" s="78" t="n"/>
      <c r="U4289" s="92">
        <f>IF(ISBLANK(P4289),"",IF(C4289="Buy",Q4289-M4289+T4289, IF(C4289="Sell",M4289-Q4289-T4289, X)))</f>
        <v/>
      </c>
      <c r="V4289" s="81">
        <f>IF(ISBLANK(P4289),"",U4289/N4289)</f>
        <v/>
      </c>
      <c r="W4289" s="81">
        <f>IF(ISBLANK(P4289),"",IF(S4289=0,(365/0.5)*V4289,(365/S4289)*V4289))</f>
        <v/>
      </c>
      <c r="X4289" s="75" t="n"/>
      <c r="Y4289" s="77" t="n"/>
      <c r="Z4289" s="77" t="n"/>
      <c r="AA4289" s="75" t="n"/>
      <c r="AB4289" s="75" t="n"/>
      <c r="AC4289" s="6" t="n"/>
      <c r="AD4289" s="75" t="n"/>
      <c r="AE4289" s="75" t="n"/>
      <c r="AF4289" s="75" t="n"/>
    </row>
    <row r="4290" ht="15.75" customHeight="1" s="133">
      <c r="A4290" s="75" t="n"/>
      <c r="B4290" s="75" t="n"/>
      <c r="C4290" s="75" t="n"/>
      <c r="D4290" s="75" t="n"/>
      <c r="E4290" s="76" t="n"/>
      <c r="F4290" s="77" t="n"/>
      <c r="G4290" s="75" t="n"/>
      <c r="H4290" s="75">
        <f>IF(ISBLANK(E4290),"",IF(OR(D4290="Butterfly",D4290="Butterfly ",D4290="Iron Fly", D4290="Iron Fly "),LEN(E4290)-LEN(SUBSTITUTE(E4290,"/",""))+2,LEN(E4290)-LEN(SUBSTITUTE(E4290,"/",""))+1))</f>
        <v/>
      </c>
      <c r="I4290" s="78">
        <f>IF(ISBLANK(G4290),"",IF(D4290="Stock","0",Key!$A$3*H4290*G4290))</f>
        <v/>
      </c>
      <c r="J4290" s="78">
        <f>IF(ISBLANK(E4290),"",IF(ISNUMBER(SEARCH("/",E4290)), IF(LEN(E4290)-LEN(SUBSTITUTE(E4290,"/",""))=1,(RIGHT(E4290,LEN(E4290)-FIND("/",E4290)))-(LEFT(E4290,FIND("/",E4290)-1)),(MID(E4290, SEARCH("/",E4290) + 1, SEARCH("/",E4290, SEARCH("/",E4290)+1) - SEARCH("/",E4290) - 1))-(LEFT(E4290,FIND("/",E4290)-1))), "NA"))</f>
        <v/>
      </c>
      <c r="K4290" s="79">
        <f>IF(A4290&lt;&gt;"", IF(ISBLANK(L4290), TODAY(), K4290), "")</f>
        <v/>
      </c>
      <c r="L4290" s="78" t="n"/>
      <c r="M4290" s="78">
        <f>IF(ISBLANK(L4290),"",IF(D4290="Stock",IF(C4290="Buy",L4290*G4290,IF(C4290="Sell",(L4290*G4290)-I4290, X)),IF(C4290="Buy",(L4290*G4290*100)+I4290,IF(C4290="Sell",(L4290*G4290*100)-I4290, X))))</f>
        <v/>
      </c>
      <c r="N4290" s="78">
        <f>IF(ISBLANK(L4290),"",IF(AND(C4290="Sell",D4290="Stock"),M4290,IF(ISBLANK(L4290),"",IF(C4290="Buy",M4290, IF(AND(C4290="Sell",J4290="NA"),(E4290*G4290*100*0.1)+I4290, IF(C4290="Sell",(J4290-L4290)*(100*G4290)+I4290))))))</f>
        <v/>
      </c>
      <c r="O4290" s="75" t="n"/>
      <c r="P4290" s="75" t="n"/>
      <c r="Q4290" s="75">
        <f>IF(ISBLANK(P4290),"",IF(D4290="Stock",P4290*G4290,IF(P4290=0,"0",G4290*P4290*100-(G4290*$AF$14))))</f>
        <v/>
      </c>
      <c r="R4290" s="79">
        <f>IF(P4290&lt;&gt;"", TODAY(), "")</f>
        <v/>
      </c>
      <c r="S4290" s="78">
        <f>IF(AND(K4290&lt;&gt;"", R4290&lt;&gt;""), R4290-K4290, "")</f>
        <v/>
      </c>
      <c r="T4290" s="78" t="n"/>
      <c r="U4290" s="92">
        <f>IF(ISBLANK(P4290),"",IF(C4290="Buy",Q4290-M4290+T4290, IF(C4290="Sell",M4290-Q4290-T4290, X)))</f>
        <v/>
      </c>
      <c r="V4290" s="81">
        <f>IF(ISBLANK(P4290),"",U4290/N4290)</f>
        <v/>
      </c>
      <c r="W4290" s="81">
        <f>IF(ISBLANK(P4290),"",IF(S4290=0,(365/0.5)*V4290,(365/S4290)*V4290))</f>
        <v/>
      </c>
      <c r="X4290" s="75" t="n"/>
      <c r="Y4290" s="77" t="n"/>
      <c r="Z4290" s="77" t="n"/>
      <c r="AA4290" s="75" t="n"/>
      <c r="AB4290" s="75" t="n"/>
      <c r="AC4290" s="6" t="n"/>
      <c r="AD4290" s="75" t="n"/>
      <c r="AE4290" s="75" t="n"/>
      <c r="AF4290" s="75" t="n"/>
    </row>
    <row r="4291" ht="15.75" customHeight="1" s="133">
      <c r="A4291" s="75" t="n"/>
      <c r="B4291" s="75" t="n"/>
      <c r="C4291" s="75" t="n"/>
      <c r="D4291" s="75" t="n"/>
      <c r="E4291" s="76" t="n"/>
      <c r="F4291" s="77" t="n"/>
      <c r="G4291" s="75" t="n"/>
      <c r="H4291" s="75">
        <f>IF(ISBLANK(E4291),"",IF(OR(D4291="Butterfly",D4291="Butterfly ",D4291="Iron Fly", D4291="Iron Fly "),LEN(E4291)-LEN(SUBSTITUTE(E4291,"/",""))+2,LEN(E4291)-LEN(SUBSTITUTE(E4291,"/",""))+1))</f>
        <v/>
      </c>
      <c r="I4291" s="78">
        <f>IF(ISBLANK(G4291),"",IF(D4291="Stock","0",Key!$A$3*H4291*G4291))</f>
        <v/>
      </c>
      <c r="J4291" s="78">
        <f>IF(ISBLANK(E4291),"",IF(ISNUMBER(SEARCH("/",E4291)), IF(LEN(E4291)-LEN(SUBSTITUTE(E4291,"/",""))=1,(RIGHT(E4291,LEN(E4291)-FIND("/",E4291)))-(LEFT(E4291,FIND("/",E4291)-1)),(MID(E4291, SEARCH("/",E4291) + 1, SEARCH("/",E4291, SEARCH("/",E4291)+1) - SEARCH("/",E4291) - 1))-(LEFT(E4291,FIND("/",E4291)-1))), "NA"))</f>
        <v/>
      </c>
      <c r="K4291" s="79">
        <f>IF(A4291&lt;&gt;"", IF(ISBLANK(L4291), TODAY(), K4291), "")</f>
        <v/>
      </c>
      <c r="L4291" s="78" t="n"/>
      <c r="M4291" s="78">
        <f>IF(ISBLANK(L4291),"",IF(D4291="Stock",IF(C4291="Buy",L4291*G4291,IF(C4291="Sell",(L4291*G4291)-I4291, X)),IF(C4291="Buy",(L4291*G4291*100)+I4291,IF(C4291="Sell",(L4291*G4291*100)-I4291, X))))</f>
        <v/>
      </c>
      <c r="N4291" s="78">
        <f>IF(ISBLANK(L4291),"",IF(AND(C4291="Sell",D4291="Stock"),M4291,IF(ISBLANK(L4291),"",IF(C4291="Buy",M4291, IF(AND(C4291="Sell",J4291="NA"),(E4291*G4291*100*0.1)+I4291, IF(C4291="Sell",(J4291-L4291)*(100*G4291)+I4291))))))</f>
        <v/>
      </c>
      <c r="O4291" s="75" t="n"/>
      <c r="P4291" s="75" t="n"/>
      <c r="Q4291" s="75">
        <f>IF(ISBLANK(P4291),"",IF(D4291="Stock",P4291*G4291,IF(P4291=0,"0",G4291*P4291*100-(G4291*$AF$14))))</f>
        <v/>
      </c>
      <c r="R4291" s="79">
        <f>IF(P4291&lt;&gt;"", TODAY(), "")</f>
        <v/>
      </c>
      <c r="S4291" s="78">
        <f>IF(AND(K4291&lt;&gt;"", R4291&lt;&gt;""), R4291-K4291, "")</f>
        <v/>
      </c>
      <c r="T4291" s="78" t="n"/>
      <c r="U4291" s="92">
        <f>IF(ISBLANK(P4291),"",IF(C4291="Buy",Q4291-M4291+T4291, IF(C4291="Sell",M4291-Q4291-T4291, X)))</f>
        <v/>
      </c>
      <c r="V4291" s="81">
        <f>IF(ISBLANK(P4291),"",U4291/N4291)</f>
        <v/>
      </c>
      <c r="W4291" s="81">
        <f>IF(ISBLANK(P4291),"",IF(S4291=0,(365/0.5)*V4291,(365/S4291)*V4291))</f>
        <v/>
      </c>
      <c r="X4291" s="75" t="n"/>
      <c r="Y4291" s="77" t="n"/>
      <c r="Z4291" s="77" t="n"/>
      <c r="AA4291" s="75" t="n"/>
      <c r="AB4291" s="75" t="n"/>
      <c r="AC4291" s="6" t="n"/>
      <c r="AD4291" s="75" t="n"/>
      <c r="AE4291" s="75" t="n"/>
      <c r="AF4291" s="75" t="n"/>
    </row>
    <row r="4292" ht="15.75" customHeight="1" s="133">
      <c r="A4292" s="75" t="n"/>
      <c r="B4292" s="75" t="n"/>
      <c r="C4292" s="75" t="n"/>
      <c r="D4292" s="75" t="n"/>
      <c r="E4292" s="76" t="n"/>
      <c r="F4292" s="77" t="n"/>
      <c r="G4292" s="75" t="n"/>
      <c r="H4292" s="75">
        <f>IF(ISBLANK(E4292),"",IF(OR(D4292="Butterfly",D4292="Butterfly ",D4292="Iron Fly", D4292="Iron Fly "),LEN(E4292)-LEN(SUBSTITUTE(E4292,"/",""))+2,LEN(E4292)-LEN(SUBSTITUTE(E4292,"/",""))+1))</f>
        <v/>
      </c>
      <c r="I4292" s="78">
        <f>IF(ISBLANK(G4292),"",IF(D4292="Stock","0",Key!$A$3*H4292*G4292))</f>
        <v/>
      </c>
      <c r="J4292" s="78">
        <f>IF(ISBLANK(E4292),"",IF(ISNUMBER(SEARCH("/",E4292)), IF(LEN(E4292)-LEN(SUBSTITUTE(E4292,"/",""))=1,(RIGHT(E4292,LEN(E4292)-FIND("/",E4292)))-(LEFT(E4292,FIND("/",E4292)-1)),(MID(E4292, SEARCH("/",E4292) + 1, SEARCH("/",E4292, SEARCH("/",E4292)+1) - SEARCH("/",E4292) - 1))-(LEFT(E4292,FIND("/",E4292)-1))), "NA"))</f>
        <v/>
      </c>
      <c r="K4292" s="79">
        <f>IF(A4292&lt;&gt;"", IF(ISBLANK(L4292), TODAY(), K4292), "")</f>
        <v/>
      </c>
      <c r="L4292" s="78" t="n"/>
      <c r="M4292" s="78">
        <f>IF(ISBLANK(L4292),"",IF(D4292="Stock",IF(C4292="Buy",L4292*G4292,IF(C4292="Sell",(L4292*G4292)-I4292, X)),IF(C4292="Buy",(L4292*G4292*100)+I4292,IF(C4292="Sell",(L4292*G4292*100)-I4292, X))))</f>
        <v/>
      </c>
      <c r="N4292" s="78">
        <f>IF(ISBLANK(L4292),"",IF(AND(C4292="Sell",D4292="Stock"),M4292,IF(ISBLANK(L4292),"",IF(C4292="Buy",M4292, IF(AND(C4292="Sell",J4292="NA"),(E4292*G4292*100*0.1)+I4292, IF(C4292="Sell",(J4292-L4292)*(100*G4292)+I4292))))))</f>
        <v/>
      </c>
      <c r="O4292" s="75" t="n"/>
      <c r="P4292" s="75" t="n"/>
      <c r="Q4292" s="75">
        <f>IF(ISBLANK(P4292),"",IF(D4292="Stock",P4292*G4292,IF(P4292=0,"0",G4292*P4292*100-(G4292*$AF$14))))</f>
        <v/>
      </c>
      <c r="R4292" s="79">
        <f>IF(P4292&lt;&gt;"", TODAY(), "")</f>
        <v/>
      </c>
      <c r="S4292" s="78">
        <f>IF(AND(K4292&lt;&gt;"", R4292&lt;&gt;""), R4292-K4292, "")</f>
        <v/>
      </c>
      <c r="T4292" s="78" t="n"/>
      <c r="U4292" s="92">
        <f>IF(ISBLANK(P4292),"",IF(C4292="Buy",Q4292-M4292+T4292, IF(C4292="Sell",M4292-Q4292-T4292, X)))</f>
        <v/>
      </c>
      <c r="V4292" s="81">
        <f>IF(ISBLANK(P4292),"",U4292/N4292)</f>
        <v/>
      </c>
      <c r="W4292" s="81">
        <f>IF(ISBLANK(P4292),"",IF(S4292=0,(365/0.5)*V4292,(365/S4292)*V4292))</f>
        <v/>
      </c>
      <c r="X4292" s="75" t="n"/>
      <c r="Y4292" s="77" t="n"/>
      <c r="Z4292" s="77" t="n"/>
      <c r="AA4292" s="75" t="n"/>
      <c r="AB4292" s="75" t="n"/>
      <c r="AC4292" s="6" t="n"/>
      <c r="AD4292" s="75" t="n"/>
      <c r="AE4292" s="75" t="n"/>
      <c r="AF4292" s="75" t="n"/>
    </row>
    <row r="4293" ht="15.75" customHeight="1" s="133">
      <c r="A4293" s="75" t="n"/>
      <c r="B4293" s="75" t="n"/>
      <c r="C4293" s="75" t="n"/>
      <c r="D4293" s="75" t="n"/>
      <c r="E4293" s="76" t="n"/>
      <c r="F4293" s="77" t="n"/>
      <c r="G4293" s="75" t="n"/>
      <c r="H4293" s="75">
        <f>IF(ISBLANK(E4293),"",IF(OR(D4293="Butterfly",D4293="Butterfly ",D4293="Iron Fly", D4293="Iron Fly "),LEN(E4293)-LEN(SUBSTITUTE(E4293,"/",""))+2,LEN(E4293)-LEN(SUBSTITUTE(E4293,"/",""))+1))</f>
        <v/>
      </c>
      <c r="I4293" s="78">
        <f>IF(ISBLANK(G4293),"",IF(D4293="Stock","0",Key!$A$3*H4293*G4293))</f>
        <v/>
      </c>
      <c r="J4293" s="78">
        <f>IF(ISBLANK(E4293),"",IF(ISNUMBER(SEARCH("/",E4293)), IF(LEN(E4293)-LEN(SUBSTITUTE(E4293,"/",""))=1,(RIGHT(E4293,LEN(E4293)-FIND("/",E4293)))-(LEFT(E4293,FIND("/",E4293)-1)),(MID(E4293, SEARCH("/",E4293) + 1, SEARCH("/",E4293, SEARCH("/",E4293)+1) - SEARCH("/",E4293) - 1))-(LEFT(E4293,FIND("/",E4293)-1))), "NA"))</f>
        <v/>
      </c>
      <c r="K4293" s="79">
        <f>IF(A4293&lt;&gt;"", IF(ISBLANK(L4293), TODAY(), K4293), "")</f>
        <v/>
      </c>
      <c r="L4293" s="78" t="n"/>
      <c r="M4293" s="78">
        <f>IF(ISBLANK(L4293),"",IF(D4293="Stock",IF(C4293="Buy",L4293*G4293,IF(C4293="Sell",(L4293*G4293)-I4293, X)),IF(C4293="Buy",(L4293*G4293*100)+I4293,IF(C4293="Sell",(L4293*G4293*100)-I4293, X))))</f>
        <v/>
      </c>
      <c r="N4293" s="78">
        <f>IF(ISBLANK(L4293),"",IF(AND(C4293="Sell",D4293="Stock"),M4293,IF(ISBLANK(L4293),"",IF(C4293="Buy",M4293, IF(AND(C4293="Sell",J4293="NA"),(E4293*G4293*100*0.1)+I4293, IF(C4293="Sell",(J4293-L4293)*(100*G4293)+I4293))))))</f>
        <v/>
      </c>
      <c r="O4293" s="75" t="n"/>
      <c r="P4293" s="75" t="n"/>
      <c r="Q4293" s="75">
        <f>IF(ISBLANK(P4293),"",IF(D4293="Stock",P4293*G4293,IF(P4293=0,"0",G4293*P4293*100-(G4293*$AF$14))))</f>
        <v/>
      </c>
      <c r="R4293" s="79">
        <f>IF(P4293&lt;&gt;"", TODAY(), "")</f>
        <v/>
      </c>
      <c r="S4293" s="78">
        <f>IF(AND(K4293&lt;&gt;"", R4293&lt;&gt;""), R4293-K4293, "")</f>
        <v/>
      </c>
      <c r="T4293" s="78" t="n"/>
      <c r="U4293" s="92">
        <f>IF(ISBLANK(P4293),"",IF(C4293="Buy",Q4293-M4293+T4293, IF(C4293="Sell",M4293-Q4293-T4293, X)))</f>
        <v/>
      </c>
      <c r="V4293" s="81">
        <f>IF(ISBLANK(P4293),"",U4293/N4293)</f>
        <v/>
      </c>
      <c r="W4293" s="81">
        <f>IF(ISBLANK(P4293),"",IF(S4293=0,(365/0.5)*V4293,(365/S4293)*V4293))</f>
        <v/>
      </c>
      <c r="X4293" s="75" t="n"/>
      <c r="Y4293" s="77" t="n"/>
      <c r="Z4293" s="77" t="n"/>
      <c r="AA4293" s="75" t="n"/>
      <c r="AB4293" s="75" t="n"/>
      <c r="AC4293" s="6" t="n"/>
      <c r="AD4293" s="75" t="n"/>
      <c r="AE4293" s="75" t="n"/>
      <c r="AF4293" s="75" t="n"/>
    </row>
    <row r="4294" ht="15.75" customHeight="1" s="133">
      <c r="A4294" s="75" t="n"/>
      <c r="B4294" s="75" t="n"/>
      <c r="C4294" s="75" t="n"/>
      <c r="D4294" s="75" t="n"/>
      <c r="E4294" s="76" t="n"/>
      <c r="F4294" s="77" t="n"/>
      <c r="G4294" s="75" t="n"/>
      <c r="H4294" s="75">
        <f>IF(ISBLANK(E4294),"",IF(OR(D4294="Butterfly",D4294="Butterfly ",D4294="Iron Fly", D4294="Iron Fly "),LEN(E4294)-LEN(SUBSTITUTE(E4294,"/",""))+2,LEN(E4294)-LEN(SUBSTITUTE(E4294,"/",""))+1))</f>
        <v/>
      </c>
      <c r="I4294" s="78">
        <f>IF(ISBLANK(G4294),"",IF(D4294="Stock","0",Key!$A$3*H4294*G4294))</f>
        <v/>
      </c>
      <c r="J4294" s="78">
        <f>IF(ISBLANK(E4294),"",IF(ISNUMBER(SEARCH("/",E4294)), IF(LEN(E4294)-LEN(SUBSTITUTE(E4294,"/",""))=1,(RIGHT(E4294,LEN(E4294)-FIND("/",E4294)))-(LEFT(E4294,FIND("/",E4294)-1)),(MID(E4294, SEARCH("/",E4294) + 1, SEARCH("/",E4294, SEARCH("/",E4294)+1) - SEARCH("/",E4294) - 1))-(LEFT(E4294,FIND("/",E4294)-1))), "NA"))</f>
        <v/>
      </c>
      <c r="K4294" s="79">
        <f>IF(A4294&lt;&gt;"", IF(ISBLANK(L4294), TODAY(), K4294), "")</f>
        <v/>
      </c>
      <c r="L4294" s="78" t="n"/>
      <c r="M4294" s="78">
        <f>IF(ISBLANK(L4294),"",IF(D4294="Stock",IF(C4294="Buy",L4294*G4294,IF(C4294="Sell",(L4294*G4294)-I4294, X)),IF(C4294="Buy",(L4294*G4294*100)+I4294,IF(C4294="Sell",(L4294*G4294*100)-I4294, X))))</f>
        <v/>
      </c>
      <c r="N4294" s="78">
        <f>IF(ISBLANK(L4294),"",IF(AND(C4294="Sell",D4294="Stock"),M4294,IF(ISBLANK(L4294),"",IF(C4294="Buy",M4294, IF(AND(C4294="Sell",J4294="NA"),(E4294*G4294*100*0.1)+I4294, IF(C4294="Sell",(J4294-L4294)*(100*G4294)+I4294))))))</f>
        <v/>
      </c>
      <c r="O4294" s="75" t="n"/>
      <c r="P4294" s="75" t="n"/>
      <c r="Q4294" s="75">
        <f>IF(ISBLANK(P4294),"",IF(D4294="Stock",P4294*G4294,IF(P4294=0,"0",G4294*P4294*100-(G4294*$AF$14))))</f>
        <v/>
      </c>
      <c r="R4294" s="79">
        <f>IF(P4294&lt;&gt;"", TODAY(), "")</f>
        <v/>
      </c>
      <c r="S4294" s="78">
        <f>IF(AND(K4294&lt;&gt;"", R4294&lt;&gt;""), R4294-K4294, "")</f>
        <v/>
      </c>
      <c r="T4294" s="78" t="n"/>
      <c r="U4294" s="92">
        <f>IF(ISBLANK(P4294),"",IF(C4294="Buy",Q4294-M4294+T4294, IF(C4294="Sell",M4294-Q4294-T4294, X)))</f>
        <v/>
      </c>
      <c r="V4294" s="81">
        <f>IF(ISBLANK(P4294),"",U4294/N4294)</f>
        <v/>
      </c>
      <c r="W4294" s="81">
        <f>IF(ISBLANK(P4294),"",IF(S4294=0,(365/0.5)*V4294,(365/S4294)*V4294))</f>
        <v/>
      </c>
      <c r="X4294" s="75" t="n"/>
      <c r="Y4294" s="77" t="n"/>
      <c r="Z4294" s="77" t="n"/>
      <c r="AA4294" s="75" t="n"/>
      <c r="AB4294" s="75" t="n"/>
      <c r="AC4294" s="6" t="n"/>
      <c r="AD4294" s="75" t="n"/>
      <c r="AE4294" s="75" t="n"/>
      <c r="AF4294" s="75" t="n"/>
    </row>
    <row r="4295" ht="15.75" customHeight="1" s="133">
      <c r="A4295" s="75" t="n"/>
      <c r="B4295" s="75" t="n"/>
      <c r="C4295" s="75" t="n"/>
      <c r="D4295" s="75" t="n"/>
      <c r="E4295" s="76" t="n"/>
      <c r="F4295" s="77" t="n"/>
      <c r="G4295" s="75" t="n"/>
      <c r="H4295" s="75">
        <f>IF(ISBLANK(E4295),"",IF(OR(D4295="Butterfly",D4295="Butterfly ",D4295="Iron Fly", D4295="Iron Fly "),LEN(E4295)-LEN(SUBSTITUTE(E4295,"/",""))+2,LEN(E4295)-LEN(SUBSTITUTE(E4295,"/",""))+1))</f>
        <v/>
      </c>
      <c r="I4295" s="78">
        <f>IF(ISBLANK(G4295),"",IF(D4295="Stock","0",Key!$A$3*H4295*G4295))</f>
        <v/>
      </c>
      <c r="J4295" s="78">
        <f>IF(ISBLANK(E4295),"",IF(ISNUMBER(SEARCH("/",E4295)), IF(LEN(E4295)-LEN(SUBSTITUTE(E4295,"/",""))=1,(RIGHT(E4295,LEN(E4295)-FIND("/",E4295)))-(LEFT(E4295,FIND("/",E4295)-1)),(MID(E4295, SEARCH("/",E4295) + 1, SEARCH("/",E4295, SEARCH("/",E4295)+1) - SEARCH("/",E4295) - 1))-(LEFT(E4295,FIND("/",E4295)-1))), "NA"))</f>
        <v/>
      </c>
      <c r="K4295" s="79">
        <f>IF(A4295&lt;&gt;"", IF(ISBLANK(L4295), TODAY(), K4295), "")</f>
        <v/>
      </c>
      <c r="L4295" s="78" t="n"/>
      <c r="M4295" s="78">
        <f>IF(ISBLANK(L4295),"",IF(D4295="Stock",IF(C4295="Buy",L4295*G4295,IF(C4295="Sell",(L4295*G4295)-I4295, X)),IF(C4295="Buy",(L4295*G4295*100)+I4295,IF(C4295="Sell",(L4295*G4295*100)-I4295, X))))</f>
        <v/>
      </c>
      <c r="N4295" s="78">
        <f>IF(ISBLANK(L4295),"",IF(AND(C4295="Sell",D4295="Stock"),M4295,IF(ISBLANK(L4295),"",IF(C4295="Buy",M4295, IF(AND(C4295="Sell",J4295="NA"),(E4295*G4295*100*0.1)+I4295, IF(C4295="Sell",(J4295-L4295)*(100*G4295)+I4295))))))</f>
        <v/>
      </c>
      <c r="O4295" s="75" t="n"/>
      <c r="P4295" s="75" t="n"/>
      <c r="Q4295" s="75">
        <f>IF(ISBLANK(P4295),"",IF(D4295="Stock",P4295*G4295,IF(P4295=0,"0",G4295*P4295*100-(G4295*$AF$14))))</f>
        <v/>
      </c>
      <c r="R4295" s="79">
        <f>IF(P4295&lt;&gt;"", TODAY(), "")</f>
        <v/>
      </c>
      <c r="S4295" s="78">
        <f>IF(AND(K4295&lt;&gt;"", R4295&lt;&gt;""), R4295-K4295, "")</f>
        <v/>
      </c>
      <c r="T4295" s="78" t="n"/>
      <c r="U4295" s="92">
        <f>IF(ISBLANK(P4295),"",IF(C4295="Buy",Q4295-M4295+T4295, IF(C4295="Sell",M4295-Q4295-T4295, X)))</f>
        <v/>
      </c>
      <c r="V4295" s="81">
        <f>IF(ISBLANK(P4295),"",U4295/N4295)</f>
        <v/>
      </c>
      <c r="W4295" s="81">
        <f>IF(ISBLANK(P4295),"",IF(S4295=0,(365/0.5)*V4295,(365/S4295)*V4295))</f>
        <v/>
      </c>
      <c r="X4295" s="75" t="n"/>
      <c r="Y4295" s="77" t="n"/>
      <c r="Z4295" s="77" t="n"/>
      <c r="AA4295" s="75" t="n"/>
      <c r="AB4295" s="75" t="n"/>
      <c r="AC4295" s="6" t="n"/>
      <c r="AD4295" s="75" t="n"/>
      <c r="AE4295" s="75" t="n"/>
      <c r="AF4295" s="75" t="n"/>
    </row>
    <row r="4296" ht="15.75" customHeight="1" s="133">
      <c r="A4296" s="75" t="n"/>
      <c r="B4296" s="75" t="n"/>
      <c r="C4296" s="75" t="n"/>
      <c r="D4296" s="75" t="n"/>
      <c r="E4296" s="76" t="n"/>
      <c r="F4296" s="77" t="n"/>
      <c r="G4296" s="75" t="n"/>
      <c r="H4296" s="75">
        <f>IF(ISBLANK(E4296),"",IF(OR(D4296="Butterfly",D4296="Butterfly ",D4296="Iron Fly", D4296="Iron Fly "),LEN(E4296)-LEN(SUBSTITUTE(E4296,"/",""))+2,LEN(E4296)-LEN(SUBSTITUTE(E4296,"/",""))+1))</f>
        <v/>
      </c>
      <c r="I4296" s="78">
        <f>IF(ISBLANK(G4296),"",IF(D4296="Stock","0",Key!$A$3*H4296*G4296))</f>
        <v/>
      </c>
      <c r="J4296" s="78">
        <f>IF(ISBLANK(E4296),"",IF(ISNUMBER(SEARCH("/",E4296)), IF(LEN(E4296)-LEN(SUBSTITUTE(E4296,"/",""))=1,(RIGHT(E4296,LEN(E4296)-FIND("/",E4296)))-(LEFT(E4296,FIND("/",E4296)-1)),(MID(E4296, SEARCH("/",E4296) + 1, SEARCH("/",E4296, SEARCH("/",E4296)+1) - SEARCH("/",E4296) - 1))-(LEFT(E4296,FIND("/",E4296)-1))), "NA"))</f>
        <v/>
      </c>
      <c r="K4296" s="79">
        <f>IF(A4296&lt;&gt;"", IF(ISBLANK(L4296), TODAY(), K4296), "")</f>
        <v/>
      </c>
      <c r="L4296" s="78" t="n"/>
      <c r="M4296" s="78">
        <f>IF(ISBLANK(L4296),"",IF(D4296="Stock",IF(C4296="Buy",L4296*G4296,IF(C4296="Sell",(L4296*G4296)-I4296, X)),IF(C4296="Buy",(L4296*G4296*100)+I4296,IF(C4296="Sell",(L4296*G4296*100)-I4296, X))))</f>
        <v/>
      </c>
      <c r="N4296" s="78">
        <f>IF(ISBLANK(L4296),"",IF(AND(C4296="Sell",D4296="Stock"),M4296,IF(ISBLANK(L4296),"",IF(C4296="Buy",M4296, IF(AND(C4296="Sell",J4296="NA"),(E4296*G4296*100*0.1)+I4296, IF(C4296="Sell",(J4296-L4296)*(100*G4296)+I4296))))))</f>
        <v/>
      </c>
      <c r="O4296" s="75" t="n"/>
      <c r="P4296" s="75" t="n"/>
      <c r="Q4296" s="75">
        <f>IF(ISBLANK(P4296),"",IF(D4296="Stock",P4296*G4296,IF(P4296=0,"0",G4296*P4296*100-(G4296*$AF$14))))</f>
        <v/>
      </c>
      <c r="R4296" s="79">
        <f>IF(P4296&lt;&gt;"", TODAY(), "")</f>
        <v/>
      </c>
      <c r="S4296" s="78">
        <f>IF(AND(K4296&lt;&gt;"", R4296&lt;&gt;""), R4296-K4296, "")</f>
        <v/>
      </c>
      <c r="T4296" s="78" t="n"/>
      <c r="U4296" s="92">
        <f>IF(ISBLANK(P4296),"",IF(C4296="Buy",Q4296-M4296+T4296, IF(C4296="Sell",M4296-Q4296-T4296, X)))</f>
        <v/>
      </c>
      <c r="V4296" s="81">
        <f>IF(ISBLANK(P4296),"",U4296/N4296)</f>
        <v/>
      </c>
      <c r="W4296" s="81">
        <f>IF(ISBLANK(P4296),"",IF(S4296=0,(365/0.5)*V4296,(365/S4296)*V4296))</f>
        <v/>
      </c>
      <c r="X4296" s="75" t="n"/>
      <c r="Y4296" s="77" t="n"/>
      <c r="Z4296" s="77" t="n"/>
      <c r="AA4296" s="75" t="n"/>
      <c r="AB4296" s="75" t="n"/>
      <c r="AC4296" s="6" t="n"/>
      <c r="AD4296" s="75" t="n"/>
      <c r="AE4296" s="75" t="n"/>
      <c r="AF4296" s="75" t="n"/>
    </row>
    <row r="4297" ht="15.75" customHeight="1" s="133">
      <c r="A4297" s="75" t="n"/>
      <c r="B4297" s="75" t="n"/>
      <c r="C4297" s="75" t="n"/>
      <c r="D4297" s="75" t="n"/>
      <c r="E4297" s="76" t="n"/>
      <c r="F4297" s="77" t="n"/>
      <c r="G4297" s="75" t="n"/>
      <c r="H4297" s="75">
        <f>IF(ISBLANK(E4297),"",IF(OR(D4297="Butterfly",D4297="Butterfly ",D4297="Iron Fly", D4297="Iron Fly "),LEN(E4297)-LEN(SUBSTITUTE(E4297,"/",""))+2,LEN(E4297)-LEN(SUBSTITUTE(E4297,"/",""))+1))</f>
        <v/>
      </c>
      <c r="I4297" s="78">
        <f>IF(ISBLANK(G4297),"",IF(D4297="Stock","0",Key!$A$3*H4297*G4297))</f>
        <v/>
      </c>
      <c r="J4297" s="78">
        <f>IF(ISBLANK(E4297),"",IF(ISNUMBER(SEARCH("/",E4297)), IF(LEN(E4297)-LEN(SUBSTITUTE(E4297,"/",""))=1,(RIGHT(E4297,LEN(E4297)-FIND("/",E4297)))-(LEFT(E4297,FIND("/",E4297)-1)),(MID(E4297, SEARCH("/",E4297) + 1, SEARCH("/",E4297, SEARCH("/",E4297)+1) - SEARCH("/",E4297) - 1))-(LEFT(E4297,FIND("/",E4297)-1))), "NA"))</f>
        <v/>
      </c>
      <c r="K4297" s="79">
        <f>IF(A4297&lt;&gt;"", IF(ISBLANK(L4297), TODAY(), K4297), "")</f>
        <v/>
      </c>
      <c r="L4297" s="78" t="n"/>
      <c r="M4297" s="78">
        <f>IF(ISBLANK(L4297),"",IF(D4297="Stock",IF(C4297="Buy",L4297*G4297,IF(C4297="Sell",(L4297*G4297)-I4297, X)),IF(C4297="Buy",(L4297*G4297*100)+I4297,IF(C4297="Sell",(L4297*G4297*100)-I4297, X))))</f>
        <v/>
      </c>
      <c r="N4297" s="78">
        <f>IF(ISBLANK(L4297),"",IF(AND(C4297="Sell",D4297="Stock"),M4297,IF(ISBLANK(L4297),"",IF(C4297="Buy",M4297, IF(AND(C4297="Sell",J4297="NA"),(E4297*G4297*100*0.1)+I4297, IF(C4297="Sell",(J4297-L4297)*(100*G4297)+I4297))))))</f>
        <v/>
      </c>
      <c r="O4297" s="75" t="n"/>
      <c r="P4297" s="75" t="n"/>
      <c r="Q4297" s="75">
        <f>IF(ISBLANK(P4297),"",IF(D4297="Stock",P4297*G4297,IF(P4297=0,"0",G4297*P4297*100-(G4297*$AF$14))))</f>
        <v/>
      </c>
      <c r="R4297" s="79">
        <f>IF(P4297&lt;&gt;"", TODAY(), "")</f>
        <v/>
      </c>
      <c r="S4297" s="78">
        <f>IF(AND(K4297&lt;&gt;"", R4297&lt;&gt;""), R4297-K4297, "")</f>
        <v/>
      </c>
      <c r="T4297" s="78" t="n"/>
      <c r="U4297" s="92">
        <f>IF(ISBLANK(P4297),"",IF(C4297="Buy",Q4297-M4297+T4297, IF(C4297="Sell",M4297-Q4297-T4297, X)))</f>
        <v/>
      </c>
      <c r="V4297" s="81">
        <f>IF(ISBLANK(P4297),"",U4297/N4297)</f>
        <v/>
      </c>
      <c r="W4297" s="81">
        <f>IF(ISBLANK(P4297),"",IF(S4297=0,(365/0.5)*V4297,(365/S4297)*V4297))</f>
        <v/>
      </c>
      <c r="X4297" s="75" t="n"/>
      <c r="Y4297" s="77" t="n"/>
      <c r="Z4297" s="77" t="n"/>
      <c r="AA4297" s="75" t="n"/>
      <c r="AB4297" s="75" t="n"/>
      <c r="AC4297" s="6" t="n"/>
      <c r="AD4297" s="75" t="n"/>
      <c r="AE4297" s="75" t="n"/>
      <c r="AF4297" s="75" t="n"/>
    </row>
    <row r="4298" ht="15.75" customHeight="1" s="133">
      <c r="A4298" s="75" t="n"/>
      <c r="B4298" s="75" t="n"/>
      <c r="C4298" s="75" t="n"/>
      <c r="D4298" s="75" t="n"/>
      <c r="E4298" s="76" t="n"/>
      <c r="F4298" s="77" t="n"/>
      <c r="G4298" s="75" t="n"/>
      <c r="H4298" s="75">
        <f>IF(ISBLANK(E4298),"",IF(OR(D4298="Butterfly",D4298="Butterfly ",D4298="Iron Fly", D4298="Iron Fly "),LEN(E4298)-LEN(SUBSTITUTE(E4298,"/",""))+2,LEN(E4298)-LEN(SUBSTITUTE(E4298,"/",""))+1))</f>
        <v/>
      </c>
      <c r="I4298" s="78">
        <f>IF(ISBLANK(G4298),"",IF(D4298="Stock","0",Key!$A$3*H4298*G4298))</f>
        <v/>
      </c>
      <c r="J4298" s="78">
        <f>IF(ISBLANK(E4298),"",IF(ISNUMBER(SEARCH("/",E4298)), IF(LEN(E4298)-LEN(SUBSTITUTE(E4298,"/",""))=1,(RIGHT(E4298,LEN(E4298)-FIND("/",E4298)))-(LEFT(E4298,FIND("/",E4298)-1)),(MID(E4298, SEARCH("/",E4298) + 1, SEARCH("/",E4298, SEARCH("/",E4298)+1) - SEARCH("/",E4298) - 1))-(LEFT(E4298,FIND("/",E4298)-1))), "NA"))</f>
        <v/>
      </c>
      <c r="K4298" s="79">
        <f>IF(A4298&lt;&gt;"", IF(ISBLANK(L4298), TODAY(), K4298), "")</f>
        <v/>
      </c>
      <c r="L4298" s="78" t="n"/>
      <c r="M4298" s="78">
        <f>IF(ISBLANK(L4298),"",IF(D4298="Stock",IF(C4298="Buy",L4298*G4298,IF(C4298="Sell",(L4298*G4298)-I4298, X)),IF(C4298="Buy",(L4298*G4298*100)+I4298,IF(C4298="Sell",(L4298*G4298*100)-I4298, X))))</f>
        <v/>
      </c>
      <c r="N4298" s="78">
        <f>IF(ISBLANK(L4298),"",IF(AND(C4298="Sell",D4298="Stock"),M4298,IF(ISBLANK(L4298),"",IF(C4298="Buy",M4298, IF(AND(C4298="Sell",J4298="NA"),(E4298*G4298*100*0.1)+I4298, IF(C4298="Sell",(J4298-L4298)*(100*G4298)+I4298))))))</f>
        <v/>
      </c>
      <c r="O4298" s="75" t="n"/>
      <c r="P4298" s="75" t="n"/>
      <c r="Q4298" s="75">
        <f>IF(ISBLANK(P4298),"",IF(D4298="Stock",P4298*G4298,IF(P4298=0,"0",G4298*P4298*100-(G4298*$AF$14))))</f>
        <v/>
      </c>
      <c r="R4298" s="79">
        <f>IF(P4298&lt;&gt;"", TODAY(), "")</f>
        <v/>
      </c>
      <c r="S4298" s="78">
        <f>IF(AND(K4298&lt;&gt;"", R4298&lt;&gt;""), R4298-K4298, "")</f>
        <v/>
      </c>
      <c r="T4298" s="78" t="n"/>
      <c r="U4298" s="92">
        <f>IF(ISBLANK(P4298),"",IF(C4298="Buy",Q4298-M4298+T4298, IF(C4298="Sell",M4298-Q4298-T4298, X)))</f>
        <v/>
      </c>
      <c r="V4298" s="81">
        <f>IF(ISBLANK(P4298),"",U4298/N4298)</f>
        <v/>
      </c>
      <c r="W4298" s="81">
        <f>IF(ISBLANK(P4298),"",IF(S4298=0,(365/0.5)*V4298,(365/S4298)*V4298))</f>
        <v/>
      </c>
      <c r="X4298" s="75" t="n"/>
      <c r="Y4298" s="77" t="n"/>
      <c r="Z4298" s="77" t="n"/>
      <c r="AA4298" s="75" t="n"/>
      <c r="AB4298" s="75" t="n"/>
      <c r="AC4298" s="6" t="n"/>
      <c r="AD4298" s="75" t="n"/>
      <c r="AE4298" s="75" t="n"/>
      <c r="AF4298" s="75" t="n"/>
    </row>
    <row r="4299" ht="15.75" customHeight="1" s="133">
      <c r="A4299" s="75" t="n"/>
      <c r="B4299" s="75" t="n"/>
      <c r="C4299" s="75" t="n"/>
      <c r="D4299" s="75" t="n"/>
      <c r="E4299" s="76" t="n"/>
      <c r="F4299" s="77" t="n"/>
      <c r="G4299" s="75" t="n"/>
      <c r="H4299" s="75">
        <f>IF(ISBLANK(E4299),"",IF(OR(D4299="Butterfly",D4299="Butterfly ",D4299="Iron Fly", D4299="Iron Fly "),LEN(E4299)-LEN(SUBSTITUTE(E4299,"/",""))+2,LEN(E4299)-LEN(SUBSTITUTE(E4299,"/",""))+1))</f>
        <v/>
      </c>
      <c r="I4299" s="78">
        <f>IF(ISBLANK(G4299),"",IF(D4299="Stock","0",Key!$A$3*H4299*G4299))</f>
        <v/>
      </c>
      <c r="J4299" s="78">
        <f>IF(ISBLANK(E4299),"",IF(ISNUMBER(SEARCH("/",E4299)), IF(LEN(E4299)-LEN(SUBSTITUTE(E4299,"/",""))=1,(RIGHT(E4299,LEN(E4299)-FIND("/",E4299)))-(LEFT(E4299,FIND("/",E4299)-1)),(MID(E4299, SEARCH("/",E4299) + 1, SEARCH("/",E4299, SEARCH("/",E4299)+1) - SEARCH("/",E4299) - 1))-(LEFT(E4299,FIND("/",E4299)-1))), "NA"))</f>
        <v/>
      </c>
      <c r="K4299" s="79">
        <f>IF(A4299&lt;&gt;"", IF(ISBLANK(L4299), TODAY(), K4299), "")</f>
        <v/>
      </c>
      <c r="L4299" s="78" t="n"/>
      <c r="M4299" s="78">
        <f>IF(ISBLANK(L4299),"",IF(D4299="Stock",IF(C4299="Buy",L4299*G4299,IF(C4299="Sell",(L4299*G4299)-I4299, X)),IF(C4299="Buy",(L4299*G4299*100)+I4299,IF(C4299="Sell",(L4299*G4299*100)-I4299, X))))</f>
        <v/>
      </c>
      <c r="N4299" s="78">
        <f>IF(ISBLANK(L4299),"",IF(AND(C4299="Sell",D4299="Stock"),M4299,IF(ISBLANK(L4299),"",IF(C4299="Buy",M4299, IF(AND(C4299="Sell",J4299="NA"),(E4299*G4299*100*0.1)+I4299, IF(C4299="Sell",(J4299-L4299)*(100*G4299)+I4299))))))</f>
        <v/>
      </c>
      <c r="O4299" s="75" t="n"/>
      <c r="P4299" s="75" t="n"/>
      <c r="Q4299" s="75">
        <f>IF(ISBLANK(P4299),"",IF(D4299="Stock",P4299*G4299,IF(P4299=0,"0",G4299*P4299*100-(G4299*$AF$14))))</f>
        <v/>
      </c>
      <c r="R4299" s="79">
        <f>IF(P4299&lt;&gt;"", TODAY(), "")</f>
        <v/>
      </c>
      <c r="S4299" s="78">
        <f>IF(AND(K4299&lt;&gt;"", R4299&lt;&gt;""), R4299-K4299, "")</f>
        <v/>
      </c>
      <c r="T4299" s="78" t="n"/>
      <c r="U4299" s="92">
        <f>IF(ISBLANK(P4299),"",IF(C4299="Buy",Q4299-M4299+T4299, IF(C4299="Sell",M4299-Q4299-T4299, X)))</f>
        <v/>
      </c>
      <c r="V4299" s="81">
        <f>IF(ISBLANK(P4299),"",U4299/N4299)</f>
        <v/>
      </c>
      <c r="W4299" s="81">
        <f>IF(ISBLANK(P4299),"",IF(S4299=0,(365/0.5)*V4299,(365/S4299)*V4299))</f>
        <v/>
      </c>
      <c r="X4299" s="75" t="n"/>
      <c r="Y4299" s="77" t="n"/>
      <c r="Z4299" s="77" t="n"/>
      <c r="AA4299" s="75" t="n"/>
      <c r="AB4299" s="75" t="n"/>
      <c r="AC4299" s="6" t="n"/>
      <c r="AD4299" s="75" t="n"/>
      <c r="AE4299" s="75" t="n"/>
      <c r="AF4299" s="75" t="n"/>
    </row>
    <row r="4300" ht="15.75" customHeight="1" s="133">
      <c r="A4300" s="75" t="n"/>
      <c r="B4300" s="75" t="n"/>
      <c r="C4300" s="75" t="n"/>
      <c r="D4300" s="75" t="n"/>
      <c r="E4300" s="76" t="n"/>
      <c r="F4300" s="77" t="n"/>
      <c r="G4300" s="75" t="n"/>
      <c r="H4300" s="75">
        <f>IF(ISBLANK(E4300),"",IF(OR(D4300="Butterfly",D4300="Butterfly ",D4300="Iron Fly", D4300="Iron Fly "),LEN(E4300)-LEN(SUBSTITUTE(E4300,"/",""))+2,LEN(E4300)-LEN(SUBSTITUTE(E4300,"/",""))+1))</f>
        <v/>
      </c>
      <c r="I4300" s="78">
        <f>IF(ISBLANK(G4300),"",IF(D4300="Stock","0",Key!$A$3*H4300*G4300))</f>
        <v/>
      </c>
      <c r="J4300" s="78">
        <f>IF(ISBLANK(E4300),"",IF(ISNUMBER(SEARCH("/",E4300)), IF(LEN(E4300)-LEN(SUBSTITUTE(E4300,"/",""))=1,(RIGHT(E4300,LEN(E4300)-FIND("/",E4300)))-(LEFT(E4300,FIND("/",E4300)-1)),(MID(E4300, SEARCH("/",E4300) + 1, SEARCH("/",E4300, SEARCH("/",E4300)+1) - SEARCH("/",E4300) - 1))-(LEFT(E4300,FIND("/",E4300)-1))), "NA"))</f>
        <v/>
      </c>
      <c r="K4300" s="79">
        <f>IF(A4300&lt;&gt;"", IF(ISBLANK(L4300), TODAY(), K4300), "")</f>
        <v/>
      </c>
      <c r="L4300" s="78" t="n"/>
      <c r="M4300" s="78">
        <f>IF(ISBLANK(L4300),"",IF(D4300="Stock",IF(C4300="Buy",L4300*G4300,IF(C4300="Sell",(L4300*G4300)-I4300, X)),IF(C4300="Buy",(L4300*G4300*100)+I4300,IF(C4300="Sell",(L4300*G4300*100)-I4300, X))))</f>
        <v/>
      </c>
      <c r="N4300" s="78">
        <f>IF(ISBLANK(L4300),"",IF(AND(C4300="Sell",D4300="Stock"),M4300,IF(ISBLANK(L4300),"",IF(C4300="Buy",M4300, IF(AND(C4300="Sell",J4300="NA"),(E4300*G4300*100*0.1)+I4300, IF(C4300="Sell",(J4300-L4300)*(100*G4300)+I4300))))))</f>
        <v/>
      </c>
      <c r="O4300" s="75" t="n"/>
      <c r="P4300" s="75" t="n"/>
      <c r="Q4300" s="75">
        <f>IF(ISBLANK(P4300),"",IF(D4300="Stock",P4300*G4300,IF(P4300=0,"0",G4300*P4300*100-(G4300*$AF$14))))</f>
        <v/>
      </c>
      <c r="R4300" s="79">
        <f>IF(P4300&lt;&gt;"", TODAY(), "")</f>
        <v/>
      </c>
      <c r="S4300" s="78">
        <f>IF(AND(K4300&lt;&gt;"", R4300&lt;&gt;""), R4300-K4300, "")</f>
        <v/>
      </c>
      <c r="T4300" s="78" t="n"/>
      <c r="U4300" s="92">
        <f>IF(ISBLANK(P4300),"",IF(C4300="Buy",Q4300-M4300+T4300, IF(C4300="Sell",M4300-Q4300-T4300, X)))</f>
        <v/>
      </c>
      <c r="V4300" s="81">
        <f>IF(ISBLANK(P4300),"",U4300/N4300)</f>
        <v/>
      </c>
      <c r="W4300" s="81">
        <f>IF(ISBLANK(P4300),"",IF(S4300=0,(365/0.5)*V4300,(365/S4300)*V4300))</f>
        <v/>
      </c>
      <c r="X4300" s="75" t="n"/>
      <c r="Y4300" s="77" t="n"/>
      <c r="Z4300" s="77" t="n"/>
      <c r="AA4300" s="75" t="n"/>
      <c r="AB4300" s="75" t="n"/>
      <c r="AC4300" s="6" t="n"/>
      <c r="AD4300" s="75" t="n"/>
      <c r="AE4300" s="75" t="n"/>
      <c r="AF4300" s="75" t="n"/>
    </row>
    <row r="4301" ht="15.75" customHeight="1" s="133">
      <c r="A4301" s="75" t="n"/>
      <c r="B4301" s="75" t="n"/>
      <c r="C4301" s="75" t="n"/>
      <c r="D4301" s="75" t="n"/>
      <c r="E4301" s="76" t="n"/>
      <c r="F4301" s="77" t="n"/>
      <c r="G4301" s="75" t="n"/>
      <c r="H4301" s="75">
        <f>IF(ISBLANK(E4301),"",IF(OR(D4301="Butterfly",D4301="Butterfly ",D4301="Iron Fly", D4301="Iron Fly "),LEN(E4301)-LEN(SUBSTITUTE(E4301,"/",""))+2,LEN(E4301)-LEN(SUBSTITUTE(E4301,"/",""))+1))</f>
        <v/>
      </c>
      <c r="I4301" s="78">
        <f>IF(ISBLANK(G4301),"",IF(D4301="Stock","0",Key!$A$3*H4301*G4301))</f>
        <v/>
      </c>
      <c r="J4301" s="78">
        <f>IF(ISBLANK(E4301),"",IF(ISNUMBER(SEARCH("/",E4301)), IF(LEN(E4301)-LEN(SUBSTITUTE(E4301,"/",""))=1,(RIGHT(E4301,LEN(E4301)-FIND("/",E4301)))-(LEFT(E4301,FIND("/",E4301)-1)),(MID(E4301, SEARCH("/",E4301) + 1, SEARCH("/",E4301, SEARCH("/",E4301)+1) - SEARCH("/",E4301) - 1))-(LEFT(E4301,FIND("/",E4301)-1))), "NA"))</f>
        <v/>
      </c>
      <c r="K4301" s="79">
        <f>IF(A4301&lt;&gt;"", IF(ISBLANK(L4301), TODAY(), K4301), "")</f>
        <v/>
      </c>
      <c r="L4301" s="78" t="n"/>
      <c r="M4301" s="78">
        <f>IF(ISBLANK(L4301),"",IF(D4301="Stock",IF(C4301="Buy",L4301*G4301,IF(C4301="Sell",(L4301*G4301)-I4301, X)),IF(C4301="Buy",(L4301*G4301*100)+I4301,IF(C4301="Sell",(L4301*G4301*100)-I4301, X))))</f>
        <v/>
      </c>
      <c r="N4301" s="78">
        <f>IF(ISBLANK(L4301),"",IF(AND(C4301="Sell",D4301="Stock"),M4301,IF(ISBLANK(L4301),"",IF(C4301="Buy",M4301, IF(AND(C4301="Sell",J4301="NA"),(E4301*G4301*100*0.1)+I4301, IF(C4301="Sell",(J4301-L4301)*(100*G4301)+I4301))))))</f>
        <v/>
      </c>
      <c r="O4301" s="75" t="n"/>
      <c r="P4301" s="75" t="n"/>
      <c r="Q4301" s="75">
        <f>IF(ISBLANK(P4301),"",IF(D4301="Stock",P4301*G4301,IF(P4301=0,"0",G4301*P4301*100-(G4301*$AF$14))))</f>
        <v/>
      </c>
      <c r="R4301" s="79">
        <f>IF(P4301&lt;&gt;"", TODAY(), "")</f>
        <v/>
      </c>
      <c r="S4301" s="78">
        <f>IF(AND(K4301&lt;&gt;"", R4301&lt;&gt;""), R4301-K4301, "")</f>
        <v/>
      </c>
      <c r="T4301" s="78" t="n"/>
      <c r="U4301" s="92">
        <f>IF(ISBLANK(P4301),"",IF(C4301="Buy",Q4301-M4301+T4301, IF(C4301="Sell",M4301-Q4301-T4301, X)))</f>
        <v/>
      </c>
      <c r="V4301" s="81">
        <f>IF(ISBLANK(P4301),"",U4301/N4301)</f>
        <v/>
      </c>
      <c r="W4301" s="81">
        <f>IF(ISBLANK(P4301),"",IF(S4301=0,(365/0.5)*V4301,(365/S4301)*V4301))</f>
        <v/>
      </c>
      <c r="X4301" s="75" t="n"/>
      <c r="Y4301" s="77" t="n"/>
      <c r="Z4301" s="77" t="n"/>
      <c r="AA4301" s="75" t="n"/>
      <c r="AB4301" s="75" t="n"/>
      <c r="AC4301" s="6" t="n"/>
      <c r="AD4301" s="75" t="n"/>
      <c r="AE4301" s="75" t="n"/>
      <c r="AF4301" s="75" t="n"/>
    </row>
    <row r="4302" ht="15.75" customHeight="1" s="133">
      <c r="A4302" s="75" t="n"/>
      <c r="B4302" s="75" t="n"/>
      <c r="C4302" s="75" t="n"/>
      <c r="D4302" s="75" t="n"/>
      <c r="E4302" s="76" t="n"/>
      <c r="F4302" s="77" t="n"/>
      <c r="G4302" s="75" t="n"/>
      <c r="H4302" s="75">
        <f>IF(ISBLANK(E4302),"",IF(OR(D4302="Butterfly",D4302="Butterfly ",D4302="Iron Fly", D4302="Iron Fly "),LEN(E4302)-LEN(SUBSTITUTE(E4302,"/",""))+2,LEN(E4302)-LEN(SUBSTITUTE(E4302,"/",""))+1))</f>
        <v/>
      </c>
      <c r="I4302" s="78">
        <f>IF(ISBLANK(G4302),"",IF(D4302="Stock","0",Key!$A$3*H4302*G4302))</f>
        <v/>
      </c>
      <c r="J4302" s="78">
        <f>IF(ISBLANK(E4302),"",IF(ISNUMBER(SEARCH("/",E4302)), IF(LEN(E4302)-LEN(SUBSTITUTE(E4302,"/",""))=1,(RIGHT(E4302,LEN(E4302)-FIND("/",E4302)))-(LEFT(E4302,FIND("/",E4302)-1)),(MID(E4302, SEARCH("/",E4302) + 1, SEARCH("/",E4302, SEARCH("/",E4302)+1) - SEARCH("/",E4302) - 1))-(LEFT(E4302,FIND("/",E4302)-1))), "NA"))</f>
        <v/>
      </c>
      <c r="K4302" s="79">
        <f>IF(A4302&lt;&gt;"", IF(ISBLANK(L4302), TODAY(), K4302), "")</f>
        <v/>
      </c>
      <c r="L4302" s="78" t="n"/>
      <c r="M4302" s="78">
        <f>IF(ISBLANK(L4302),"",IF(D4302="Stock",IF(C4302="Buy",L4302*G4302,IF(C4302="Sell",(L4302*G4302)-I4302, X)),IF(C4302="Buy",(L4302*G4302*100)+I4302,IF(C4302="Sell",(L4302*G4302*100)-I4302, X))))</f>
        <v/>
      </c>
      <c r="N4302" s="78">
        <f>IF(ISBLANK(L4302),"",IF(AND(C4302="Sell",D4302="Stock"),M4302,IF(ISBLANK(L4302),"",IF(C4302="Buy",M4302, IF(AND(C4302="Sell",J4302="NA"),(E4302*G4302*100*0.1)+I4302, IF(C4302="Sell",(J4302-L4302)*(100*G4302)+I4302))))))</f>
        <v/>
      </c>
      <c r="O4302" s="75" t="n"/>
      <c r="P4302" s="75" t="n"/>
      <c r="Q4302" s="75">
        <f>IF(ISBLANK(P4302),"",IF(D4302="Stock",P4302*G4302,IF(P4302=0,"0",G4302*P4302*100-(G4302*$AF$14))))</f>
        <v/>
      </c>
      <c r="R4302" s="79">
        <f>IF(P4302&lt;&gt;"", TODAY(), "")</f>
        <v/>
      </c>
      <c r="S4302" s="78">
        <f>IF(AND(K4302&lt;&gt;"", R4302&lt;&gt;""), R4302-K4302, "")</f>
        <v/>
      </c>
      <c r="T4302" s="78" t="n"/>
      <c r="U4302" s="92">
        <f>IF(ISBLANK(P4302),"",IF(C4302="Buy",Q4302-M4302+T4302, IF(C4302="Sell",M4302-Q4302-T4302, X)))</f>
        <v/>
      </c>
      <c r="V4302" s="81">
        <f>IF(ISBLANK(P4302),"",U4302/N4302)</f>
        <v/>
      </c>
      <c r="W4302" s="81">
        <f>IF(ISBLANK(P4302),"",IF(S4302=0,(365/0.5)*V4302,(365/S4302)*V4302))</f>
        <v/>
      </c>
      <c r="X4302" s="75" t="n"/>
      <c r="Y4302" s="77" t="n"/>
      <c r="Z4302" s="77" t="n"/>
      <c r="AA4302" s="75" t="n"/>
      <c r="AB4302" s="75" t="n"/>
      <c r="AC4302" s="6" t="n"/>
      <c r="AD4302" s="75" t="n"/>
      <c r="AE4302" s="75" t="n"/>
      <c r="AF4302" s="75" t="n"/>
    </row>
    <row r="4303" ht="15.75" customHeight="1" s="133">
      <c r="A4303" s="75" t="n"/>
      <c r="B4303" s="75" t="n"/>
      <c r="C4303" s="75" t="n"/>
      <c r="D4303" s="75" t="n"/>
      <c r="E4303" s="76" t="n"/>
      <c r="F4303" s="77" t="n"/>
      <c r="G4303" s="75" t="n"/>
      <c r="H4303" s="75">
        <f>IF(ISBLANK(E4303),"",IF(OR(D4303="Butterfly",D4303="Butterfly ",D4303="Iron Fly", D4303="Iron Fly "),LEN(E4303)-LEN(SUBSTITUTE(E4303,"/",""))+2,LEN(E4303)-LEN(SUBSTITUTE(E4303,"/",""))+1))</f>
        <v/>
      </c>
      <c r="I4303" s="78">
        <f>IF(ISBLANK(G4303),"",IF(D4303="Stock","0",Key!$A$3*H4303*G4303))</f>
        <v/>
      </c>
      <c r="J4303" s="78">
        <f>IF(ISBLANK(E4303),"",IF(ISNUMBER(SEARCH("/",E4303)), IF(LEN(E4303)-LEN(SUBSTITUTE(E4303,"/",""))=1,(RIGHT(E4303,LEN(E4303)-FIND("/",E4303)))-(LEFT(E4303,FIND("/",E4303)-1)),(MID(E4303, SEARCH("/",E4303) + 1, SEARCH("/",E4303, SEARCH("/",E4303)+1) - SEARCH("/",E4303) - 1))-(LEFT(E4303,FIND("/",E4303)-1))), "NA"))</f>
        <v/>
      </c>
      <c r="K4303" s="79">
        <f>IF(A4303&lt;&gt;"", IF(ISBLANK(L4303), TODAY(), K4303), "")</f>
        <v/>
      </c>
      <c r="L4303" s="78" t="n"/>
      <c r="M4303" s="78">
        <f>IF(ISBLANK(L4303),"",IF(D4303="Stock",IF(C4303="Buy",L4303*G4303,IF(C4303="Sell",(L4303*G4303)-I4303, X)),IF(C4303="Buy",(L4303*G4303*100)+I4303,IF(C4303="Sell",(L4303*G4303*100)-I4303, X))))</f>
        <v/>
      </c>
      <c r="N4303" s="78">
        <f>IF(ISBLANK(L4303),"",IF(AND(C4303="Sell",D4303="Stock"),M4303,IF(ISBLANK(L4303),"",IF(C4303="Buy",M4303, IF(AND(C4303="Sell",J4303="NA"),(E4303*G4303*100*0.1)+I4303, IF(C4303="Sell",(J4303-L4303)*(100*G4303)+I4303))))))</f>
        <v/>
      </c>
      <c r="O4303" s="75" t="n"/>
      <c r="P4303" s="75" t="n"/>
      <c r="Q4303" s="75">
        <f>IF(ISBLANK(P4303),"",IF(D4303="Stock",P4303*G4303,IF(P4303=0,"0",G4303*P4303*100-(G4303*$AF$14))))</f>
        <v/>
      </c>
      <c r="R4303" s="79">
        <f>IF(P4303&lt;&gt;"", TODAY(), "")</f>
        <v/>
      </c>
      <c r="S4303" s="78">
        <f>IF(AND(K4303&lt;&gt;"", R4303&lt;&gt;""), R4303-K4303, "")</f>
        <v/>
      </c>
      <c r="T4303" s="78" t="n"/>
      <c r="U4303" s="92">
        <f>IF(ISBLANK(P4303),"",IF(C4303="Buy",Q4303-M4303+T4303, IF(C4303="Sell",M4303-Q4303-T4303, X)))</f>
        <v/>
      </c>
      <c r="V4303" s="81">
        <f>IF(ISBLANK(P4303),"",U4303/N4303)</f>
        <v/>
      </c>
      <c r="W4303" s="81">
        <f>IF(ISBLANK(P4303),"",IF(S4303=0,(365/0.5)*V4303,(365/S4303)*V4303))</f>
        <v/>
      </c>
      <c r="X4303" s="75" t="n"/>
      <c r="Y4303" s="77" t="n"/>
      <c r="Z4303" s="77" t="n"/>
      <c r="AA4303" s="75" t="n"/>
      <c r="AB4303" s="75" t="n"/>
      <c r="AC4303" s="6" t="n"/>
      <c r="AD4303" s="75" t="n"/>
      <c r="AE4303" s="75" t="n"/>
      <c r="AF4303" s="75" t="n"/>
    </row>
    <row r="4304" ht="15.75" customHeight="1" s="133">
      <c r="A4304" s="75" t="n"/>
      <c r="B4304" s="75" t="n"/>
      <c r="C4304" s="75" t="n"/>
      <c r="D4304" s="75" t="n"/>
      <c r="E4304" s="76" t="n"/>
      <c r="F4304" s="77" t="n"/>
      <c r="G4304" s="75" t="n"/>
      <c r="H4304" s="75">
        <f>IF(ISBLANK(E4304),"",IF(OR(D4304="Butterfly",D4304="Butterfly ",D4304="Iron Fly", D4304="Iron Fly "),LEN(E4304)-LEN(SUBSTITUTE(E4304,"/",""))+2,LEN(E4304)-LEN(SUBSTITUTE(E4304,"/",""))+1))</f>
        <v/>
      </c>
      <c r="I4304" s="78">
        <f>IF(ISBLANK(G4304),"",IF(D4304="Stock","0",Key!$A$3*H4304*G4304))</f>
        <v/>
      </c>
      <c r="J4304" s="78">
        <f>IF(ISBLANK(E4304),"",IF(ISNUMBER(SEARCH("/",E4304)), IF(LEN(E4304)-LEN(SUBSTITUTE(E4304,"/",""))=1,(RIGHT(E4304,LEN(E4304)-FIND("/",E4304)))-(LEFT(E4304,FIND("/",E4304)-1)),(MID(E4304, SEARCH("/",E4304) + 1, SEARCH("/",E4304, SEARCH("/",E4304)+1) - SEARCH("/",E4304) - 1))-(LEFT(E4304,FIND("/",E4304)-1))), "NA"))</f>
        <v/>
      </c>
      <c r="K4304" s="79">
        <f>IF(A4304&lt;&gt;"", IF(ISBLANK(L4304), TODAY(), K4304), "")</f>
        <v/>
      </c>
      <c r="L4304" s="78" t="n"/>
      <c r="M4304" s="78">
        <f>IF(ISBLANK(L4304),"",IF(D4304="Stock",IF(C4304="Buy",L4304*G4304,IF(C4304="Sell",(L4304*G4304)-I4304, X)),IF(C4304="Buy",(L4304*G4304*100)+I4304,IF(C4304="Sell",(L4304*G4304*100)-I4304, X))))</f>
        <v/>
      </c>
      <c r="N4304" s="78">
        <f>IF(ISBLANK(L4304),"",IF(AND(C4304="Sell",D4304="Stock"),M4304,IF(ISBLANK(L4304),"",IF(C4304="Buy",M4304, IF(AND(C4304="Sell",J4304="NA"),(E4304*G4304*100*0.1)+I4304, IF(C4304="Sell",(J4304-L4304)*(100*G4304)+I4304))))))</f>
        <v/>
      </c>
      <c r="O4304" s="75" t="n"/>
      <c r="P4304" s="75" t="n"/>
      <c r="Q4304" s="75">
        <f>IF(ISBLANK(P4304),"",IF(D4304="Stock",P4304*G4304,IF(P4304=0,"0",G4304*P4304*100-(G4304*$AF$14))))</f>
        <v/>
      </c>
      <c r="R4304" s="79">
        <f>IF(P4304&lt;&gt;"", TODAY(), "")</f>
        <v/>
      </c>
      <c r="S4304" s="78">
        <f>IF(AND(K4304&lt;&gt;"", R4304&lt;&gt;""), R4304-K4304, "")</f>
        <v/>
      </c>
      <c r="T4304" s="78" t="n"/>
      <c r="U4304" s="92">
        <f>IF(ISBLANK(P4304),"",IF(C4304="Buy",Q4304-M4304+T4304, IF(C4304="Sell",M4304-Q4304-T4304, X)))</f>
        <v/>
      </c>
      <c r="V4304" s="81">
        <f>IF(ISBLANK(P4304),"",U4304/N4304)</f>
        <v/>
      </c>
      <c r="W4304" s="81">
        <f>IF(ISBLANK(P4304),"",IF(S4304=0,(365/0.5)*V4304,(365/S4304)*V4304))</f>
        <v/>
      </c>
      <c r="X4304" s="75" t="n"/>
      <c r="Y4304" s="77" t="n"/>
      <c r="Z4304" s="77" t="n"/>
      <c r="AA4304" s="75" t="n"/>
      <c r="AB4304" s="75" t="n"/>
      <c r="AC4304" s="6" t="n"/>
      <c r="AD4304" s="75" t="n"/>
      <c r="AE4304" s="75" t="n"/>
      <c r="AF4304" s="75" t="n"/>
    </row>
    <row r="4305" ht="15.75" customHeight="1" s="133">
      <c r="A4305" s="75" t="n"/>
      <c r="B4305" s="75" t="n"/>
      <c r="C4305" s="75" t="n"/>
      <c r="D4305" s="75" t="n"/>
      <c r="E4305" s="76" t="n"/>
      <c r="F4305" s="77" t="n"/>
      <c r="G4305" s="75" t="n"/>
      <c r="H4305" s="75">
        <f>IF(ISBLANK(E4305),"",IF(OR(D4305="Butterfly",D4305="Butterfly ",D4305="Iron Fly", D4305="Iron Fly "),LEN(E4305)-LEN(SUBSTITUTE(E4305,"/",""))+2,LEN(E4305)-LEN(SUBSTITUTE(E4305,"/",""))+1))</f>
        <v/>
      </c>
      <c r="I4305" s="78">
        <f>IF(ISBLANK(G4305),"",IF(D4305="Stock","0",Key!$A$3*H4305*G4305))</f>
        <v/>
      </c>
      <c r="J4305" s="78">
        <f>IF(ISBLANK(E4305),"",IF(ISNUMBER(SEARCH("/",E4305)), IF(LEN(E4305)-LEN(SUBSTITUTE(E4305,"/",""))=1,(RIGHT(E4305,LEN(E4305)-FIND("/",E4305)))-(LEFT(E4305,FIND("/",E4305)-1)),(MID(E4305, SEARCH("/",E4305) + 1, SEARCH("/",E4305, SEARCH("/",E4305)+1) - SEARCH("/",E4305) - 1))-(LEFT(E4305,FIND("/",E4305)-1))), "NA"))</f>
        <v/>
      </c>
      <c r="K4305" s="79">
        <f>IF(A4305&lt;&gt;"", IF(ISBLANK(L4305), TODAY(), K4305), "")</f>
        <v/>
      </c>
      <c r="L4305" s="78" t="n"/>
      <c r="M4305" s="78">
        <f>IF(ISBLANK(L4305),"",IF(D4305="Stock",IF(C4305="Buy",L4305*G4305,IF(C4305="Sell",(L4305*G4305)-I4305, X)),IF(C4305="Buy",(L4305*G4305*100)+I4305,IF(C4305="Sell",(L4305*G4305*100)-I4305, X))))</f>
        <v/>
      </c>
      <c r="N4305" s="78">
        <f>IF(ISBLANK(L4305),"",IF(AND(C4305="Sell",D4305="Stock"),M4305,IF(ISBLANK(L4305),"",IF(C4305="Buy",M4305, IF(AND(C4305="Sell",J4305="NA"),(E4305*G4305*100*0.1)+I4305, IF(C4305="Sell",(J4305-L4305)*(100*G4305)+I4305))))))</f>
        <v/>
      </c>
      <c r="O4305" s="75" t="n"/>
      <c r="P4305" s="75" t="n"/>
      <c r="Q4305" s="75">
        <f>IF(ISBLANK(P4305),"",IF(D4305="Stock",P4305*G4305,IF(P4305=0,"0",G4305*P4305*100-(G4305*$AF$14))))</f>
        <v/>
      </c>
      <c r="R4305" s="79">
        <f>IF(P4305&lt;&gt;"", TODAY(), "")</f>
        <v/>
      </c>
      <c r="S4305" s="78">
        <f>IF(AND(K4305&lt;&gt;"", R4305&lt;&gt;""), R4305-K4305, "")</f>
        <v/>
      </c>
      <c r="T4305" s="78" t="n"/>
      <c r="U4305" s="92">
        <f>IF(ISBLANK(P4305),"",IF(C4305="Buy",Q4305-M4305+T4305, IF(C4305="Sell",M4305-Q4305-T4305, X)))</f>
        <v/>
      </c>
      <c r="V4305" s="81">
        <f>IF(ISBLANK(P4305),"",U4305/N4305)</f>
        <v/>
      </c>
      <c r="W4305" s="81">
        <f>IF(ISBLANK(P4305),"",IF(S4305=0,(365/0.5)*V4305,(365/S4305)*V4305))</f>
        <v/>
      </c>
      <c r="X4305" s="75" t="n"/>
      <c r="Y4305" s="77" t="n"/>
      <c r="Z4305" s="77" t="n"/>
      <c r="AA4305" s="75" t="n"/>
      <c r="AB4305" s="75" t="n"/>
      <c r="AC4305" s="6" t="n"/>
      <c r="AD4305" s="75" t="n"/>
      <c r="AE4305" s="75" t="n"/>
      <c r="AF4305" s="75" t="n"/>
    </row>
    <row r="4306" ht="15.75" customHeight="1" s="133">
      <c r="A4306" s="75" t="n"/>
      <c r="B4306" s="75" t="n"/>
      <c r="C4306" s="75" t="n"/>
      <c r="D4306" s="75" t="n"/>
      <c r="E4306" s="76" t="n"/>
      <c r="F4306" s="77" t="n"/>
      <c r="G4306" s="75" t="n"/>
      <c r="H4306" s="75">
        <f>IF(ISBLANK(E4306),"",IF(OR(D4306="Butterfly",D4306="Butterfly ",D4306="Iron Fly", D4306="Iron Fly "),LEN(E4306)-LEN(SUBSTITUTE(E4306,"/",""))+2,LEN(E4306)-LEN(SUBSTITUTE(E4306,"/",""))+1))</f>
        <v/>
      </c>
      <c r="I4306" s="78">
        <f>IF(ISBLANK(G4306),"",IF(D4306="Stock","0",Key!$A$3*H4306*G4306))</f>
        <v/>
      </c>
      <c r="J4306" s="78">
        <f>IF(ISBLANK(E4306),"",IF(ISNUMBER(SEARCH("/",E4306)), IF(LEN(E4306)-LEN(SUBSTITUTE(E4306,"/",""))=1,(RIGHT(E4306,LEN(E4306)-FIND("/",E4306)))-(LEFT(E4306,FIND("/",E4306)-1)),(MID(E4306, SEARCH("/",E4306) + 1, SEARCH("/",E4306, SEARCH("/",E4306)+1) - SEARCH("/",E4306) - 1))-(LEFT(E4306,FIND("/",E4306)-1))), "NA"))</f>
        <v/>
      </c>
      <c r="K4306" s="79">
        <f>IF(A4306&lt;&gt;"", IF(ISBLANK(L4306), TODAY(), K4306), "")</f>
        <v/>
      </c>
      <c r="L4306" s="78" t="n"/>
      <c r="M4306" s="78">
        <f>IF(ISBLANK(L4306),"",IF(D4306="Stock",IF(C4306="Buy",L4306*G4306,IF(C4306="Sell",(L4306*G4306)-I4306, X)),IF(C4306="Buy",(L4306*G4306*100)+I4306,IF(C4306="Sell",(L4306*G4306*100)-I4306, X))))</f>
        <v/>
      </c>
      <c r="N4306" s="78">
        <f>IF(ISBLANK(L4306),"",IF(AND(C4306="Sell",D4306="Stock"),M4306,IF(ISBLANK(L4306),"",IF(C4306="Buy",M4306, IF(AND(C4306="Sell",J4306="NA"),(E4306*G4306*100*0.1)+I4306, IF(C4306="Sell",(J4306-L4306)*(100*G4306)+I4306))))))</f>
        <v/>
      </c>
      <c r="O4306" s="75" t="n"/>
      <c r="P4306" s="75" t="n"/>
      <c r="Q4306" s="75">
        <f>IF(ISBLANK(P4306),"",IF(D4306="Stock",P4306*G4306,IF(P4306=0,"0",G4306*P4306*100-(G4306*$AF$14))))</f>
        <v/>
      </c>
      <c r="R4306" s="79">
        <f>IF(P4306&lt;&gt;"", TODAY(), "")</f>
        <v/>
      </c>
      <c r="S4306" s="78">
        <f>IF(AND(K4306&lt;&gt;"", R4306&lt;&gt;""), R4306-K4306, "")</f>
        <v/>
      </c>
      <c r="T4306" s="78" t="n"/>
      <c r="U4306" s="92">
        <f>IF(ISBLANK(P4306),"",IF(C4306="Buy",Q4306-M4306+T4306, IF(C4306="Sell",M4306-Q4306-T4306, X)))</f>
        <v/>
      </c>
      <c r="V4306" s="81">
        <f>IF(ISBLANK(P4306),"",U4306/N4306)</f>
        <v/>
      </c>
      <c r="W4306" s="81">
        <f>IF(ISBLANK(P4306),"",IF(S4306=0,(365/0.5)*V4306,(365/S4306)*V4306))</f>
        <v/>
      </c>
      <c r="X4306" s="75" t="n"/>
      <c r="Y4306" s="77" t="n"/>
      <c r="Z4306" s="77" t="n"/>
      <c r="AA4306" s="75" t="n"/>
      <c r="AB4306" s="75" t="n"/>
      <c r="AC4306" s="6" t="n"/>
      <c r="AD4306" s="75" t="n"/>
      <c r="AE4306" s="75" t="n"/>
      <c r="AF4306" s="75" t="n"/>
    </row>
    <row r="4307" ht="15.75" customHeight="1" s="133">
      <c r="A4307" s="75" t="n"/>
      <c r="B4307" s="75" t="n"/>
      <c r="C4307" s="75" t="n"/>
      <c r="D4307" s="75" t="n"/>
      <c r="E4307" s="76" t="n"/>
      <c r="F4307" s="77" t="n"/>
      <c r="G4307" s="75" t="n"/>
      <c r="H4307" s="75">
        <f>IF(ISBLANK(E4307),"",IF(OR(D4307="Butterfly",D4307="Butterfly ",D4307="Iron Fly", D4307="Iron Fly "),LEN(E4307)-LEN(SUBSTITUTE(E4307,"/",""))+2,LEN(E4307)-LEN(SUBSTITUTE(E4307,"/",""))+1))</f>
        <v/>
      </c>
      <c r="I4307" s="78">
        <f>IF(ISBLANK(G4307),"",IF(D4307="Stock","0",Key!$A$3*H4307*G4307))</f>
        <v/>
      </c>
      <c r="J4307" s="78">
        <f>IF(ISBLANK(E4307),"",IF(ISNUMBER(SEARCH("/",E4307)), IF(LEN(E4307)-LEN(SUBSTITUTE(E4307,"/",""))=1,(RIGHT(E4307,LEN(E4307)-FIND("/",E4307)))-(LEFT(E4307,FIND("/",E4307)-1)),(MID(E4307, SEARCH("/",E4307) + 1, SEARCH("/",E4307, SEARCH("/",E4307)+1) - SEARCH("/",E4307) - 1))-(LEFT(E4307,FIND("/",E4307)-1))), "NA"))</f>
        <v/>
      </c>
      <c r="K4307" s="79">
        <f>IF(A4307&lt;&gt;"", IF(ISBLANK(L4307), TODAY(), K4307), "")</f>
        <v/>
      </c>
      <c r="L4307" s="78" t="n"/>
      <c r="M4307" s="78">
        <f>IF(ISBLANK(L4307),"",IF(D4307="Stock",IF(C4307="Buy",L4307*G4307,IF(C4307="Sell",(L4307*G4307)-I4307, X)),IF(C4307="Buy",(L4307*G4307*100)+I4307,IF(C4307="Sell",(L4307*G4307*100)-I4307, X))))</f>
        <v/>
      </c>
      <c r="N4307" s="78">
        <f>IF(ISBLANK(L4307),"",IF(AND(C4307="Sell",D4307="Stock"),M4307,IF(ISBLANK(L4307),"",IF(C4307="Buy",M4307, IF(AND(C4307="Sell",J4307="NA"),(E4307*G4307*100*0.1)+I4307, IF(C4307="Sell",(J4307-L4307)*(100*G4307)+I4307))))))</f>
        <v/>
      </c>
      <c r="O4307" s="75" t="n"/>
      <c r="P4307" s="75" t="n"/>
      <c r="Q4307" s="75">
        <f>IF(ISBLANK(P4307),"",IF(D4307="Stock",P4307*G4307,IF(P4307=0,"0",G4307*P4307*100-(G4307*$AF$14))))</f>
        <v/>
      </c>
      <c r="R4307" s="79">
        <f>IF(P4307&lt;&gt;"", TODAY(), "")</f>
        <v/>
      </c>
      <c r="S4307" s="78">
        <f>IF(AND(K4307&lt;&gt;"", R4307&lt;&gt;""), R4307-K4307, "")</f>
        <v/>
      </c>
      <c r="T4307" s="78" t="n"/>
      <c r="U4307" s="92">
        <f>IF(ISBLANK(P4307),"",IF(C4307="Buy",Q4307-M4307+T4307, IF(C4307="Sell",M4307-Q4307-T4307, X)))</f>
        <v/>
      </c>
      <c r="V4307" s="81">
        <f>IF(ISBLANK(P4307),"",U4307/N4307)</f>
        <v/>
      </c>
      <c r="W4307" s="81">
        <f>IF(ISBLANK(P4307),"",IF(S4307=0,(365/0.5)*V4307,(365/S4307)*V4307))</f>
        <v/>
      </c>
      <c r="X4307" s="75" t="n"/>
      <c r="Y4307" s="77" t="n"/>
      <c r="Z4307" s="77" t="n"/>
      <c r="AA4307" s="75" t="n"/>
      <c r="AB4307" s="75" t="n"/>
      <c r="AC4307" s="6" t="n"/>
      <c r="AD4307" s="75" t="n"/>
      <c r="AE4307" s="75" t="n"/>
      <c r="AF4307" s="75" t="n"/>
    </row>
    <row r="4308" ht="15.75" customHeight="1" s="133">
      <c r="A4308" s="75" t="n"/>
      <c r="B4308" s="75" t="n"/>
      <c r="C4308" s="75" t="n"/>
      <c r="D4308" s="75" t="n"/>
      <c r="E4308" s="76" t="n"/>
      <c r="F4308" s="77" t="n"/>
      <c r="G4308" s="75" t="n"/>
      <c r="H4308" s="75">
        <f>IF(ISBLANK(E4308),"",IF(OR(D4308="Butterfly",D4308="Butterfly ",D4308="Iron Fly", D4308="Iron Fly "),LEN(E4308)-LEN(SUBSTITUTE(E4308,"/",""))+2,LEN(E4308)-LEN(SUBSTITUTE(E4308,"/",""))+1))</f>
        <v/>
      </c>
      <c r="I4308" s="78">
        <f>IF(ISBLANK(G4308),"",IF(D4308="Stock","0",Key!$A$3*H4308*G4308))</f>
        <v/>
      </c>
      <c r="J4308" s="78">
        <f>IF(ISBLANK(E4308),"",IF(ISNUMBER(SEARCH("/",E4308)), IF(LEN(E4308)-LEN(SUBSTITUTE(E4308,"/",""))=1,(RIGHT(E4308,LEN(E4308)-FIND("/",E4308)))-(LEFT(E4308,FIND("/",E4308)-1)),(MID(E4308, SEARCH("/",E4308) + 1, SEARCH("/",E4308, SEARCH("/",E4308)+1) - SEARCH("/",E4308) - 1))-(LEFT(E4308,FIND("/",E4308)-1))), "NA"))</f>
        <v/>
      </c>
      <c r="K4308" s="79">
        <f>IF(A4308&lt;&gt;"", IF(ISBLANK(L4308), TODAY(), K4308), "")</f>
        <v/>
      </c>
      <c r="L4308" s="78" t="n"/>
      <c r="M4308" s="78">
        <f>IF(ISBLANK(L4308),"",IF(D4308="Stock",IF(C4308="Buy",L4308*G4308,IF(C4308="Sell",(L4308*G4308)-I4308, X)),IF(C4308="Buy",(L4308*G4308*100)+I4308,IF(C4308="Sell",(L4308*G4308*100)-I4308, X))))</f>
        <v/>
      </c>
      <c r="N4308" s="78">
        <f>IF(ISBLANK(L4308),"",IF(AND(C4308="Sell",D4308="Stock"),M4308,IF(ISBLANK(L4308),"",IF(C4308="Buy",M4308, IF(AND(C4308="Sell",J4308="NA"),(E4308*G4308*100*0.1)+I4308, IF(C4308="Sell",(J4308-L4308)*(100*G4308)+I4308))))))</f>
        <v/>
      </c>
      <c r="O4308" s="75" t="n"/>
      <c r="P4308" s="75" t="n"/>
      <c r="Q4308" s="75">
        <f>IF(ISBLANK(P4308),"",IF(D4308="Stock",P4308*G4308,IF(P4308=0,"0",G4308*P4308*100-(G4308*$AF$14))))</f>
        <v/>
      </c>
      <c r="R4308" s="79">
        <f>IF(P4308&lt;&gt;"", TODAY(), "")</f>
        <v/>
      </c>
      <c r="S4308" s="78">
        <f>IF(AND(K4308&lt;&gt;"", R4308&lt;&gt;""), R4308-K4308, "")</f>
        <v/>
      </c>
      <c r="T4308" s="78" t="n"/>
      <c r="U4308" s="92">
        <f>IF(ISBLANK(P4308),"",IF(C4308="Buy",Q4308-M4308+T4308, IF(C4308="Sell",M4308-Q4308-T4308, X)))</f>
        <v/>
      </c>
      <c r="V4308" s="81">
        <f>IF(ISBLANK(P4308),"",U4308/N4308)</f>
        <v/>
      </c>
      <c r="W4308" s="81">
        <f>IF(ISBLANK(P4308),"",IF(S4308=0,(365/0.5)*V4308,(365/S4308)*V4308))</f>
        <v/>
      </c>
      <c r="X4308" s="75" t="n"/>
      <c r="Y4308" s="77" t="n"/>
      <c r="Z4308" s="77" t="n"/>
      <c r="AA4308" s="75" t="n"/>
      <c r="AB4308" s="75" t="n"/>
      <c r="AC4308" s="6" t="n"/>
      <c r="AD4308" s="75" t="n"/>
      <c r="AE4308" s="75" t="n"/>
      <c r="AF4308" s="75" t="n"/>
    </row>
    <row r="4309" ht="15.75" customHeight="1" s="133">
      <c r="A4309" s="75" t="n"/>
      <c r="B4309" s="75" t="n"/>
      <c r="C4309" s="75" t="n"/>
      <c r="D4309" s="75" t="n"/>
      <c r="E4309" s="76" t="n"/>
      <c r="F4309" s="77" t="n"/>
      <c r="G4309" s="75" t="n"/>
      <c r="H4309" s="75">
        <f>IF(ISBLANK(E4309),"",IF(OR(D4309="Butterfly",D4309="Butterfly ",D4309="Iron Fly", D4309="Iron Fly "),LEN(E4309)-LEN(SUBSTITUTE(E4309,"/",""))+2,LEN(E4309)-LEN(SUBSTITUTE(E4309,"/",""))+1))</f>
        <v/>
      </c>
      <c r="I4309" s="78">
        <f>IF(ISBLANK(G4309),"",IF(D4309="Stock","0",Key!$A$3*H4309*G4309))</f>
        <v/>
      </c>
      <c r="J4309" s="78">
        <f>IF(ISBLANK(E4309),"",IF(ISNUMBER(SEARCH("/",E4309)), IF(LEN(E4309)-LEN(SUBSTITUTE(E4309,"/",""))=1,(RIGHT(E4309,LEN(E4309)-FIND("/",E4309)))-(LEFT(E4309,FIND("/",E4309)-1)),(MID(E4309, SEARCH("/",E4309) + 1, SEARCH("/",E4309, SEARCH("/",E4309)+1) - SEARCH("/",E4309) - 1))-(LEFT(E4309,FIND("/",E4309)-1))), "NA"))</f>
        <v/>
      </c>
      <c r="K4309" s="79">
        <f>IF(A4309&lt;&gt;"", IF(ISBLANK(L4309), TODAY(), K4309), "")</f>
        <v/>
      </c>
      <c r="L4309" s="78" t="n"/>
      <c r="M4309" s="78">
        <f>IF(ISBLANK(L4309),"",IF(D4309="Stock",IF(C4309="Buy",L4309*G4309,IF(C4309="Sell",(L4309*G4309)-I4309, X)),IF(C4309="Buy",(L4309*G4309*100)+I4309,IF(C4309="Sell",(L4309*G4309*100)-I4309, X))))</f>
        <v/>
      </c>
      <c r="N4309" s="78">
        <f>IF(ISBLANK(L4309),"",IF(AND(C4309="Sell",D4309="Stock"),M4309,IF(ISBLANK(L4309),"",IF(C4309="Buy",M4309, IF(AND(C4309="Sell",J4309="NA"),(E4309*G4309*100*0.1)+I4309, IF(C4309="Sell",(J4309-L4309)*(100*G4309)+I4309))))))</f>
        <v/>
      </c>
      <c r="O4309" s="75" t="n"/>
      <c r="P4309" s="75" t="n"/>
      <c r="Q4309" s="75">
        <f>IF(ISBLANK(P4309),"",IF(D4309="Stock",P4309*G4309,IF(P4309=0,"0",G4309*P4309*100-(G4309*$AF$14))))</f>
        <v/>
      </c>
      <c r="R4309" s="79">
        <f>IF(P4309&lt;&gt;"", TODAY(), "")</f>
        <v/>
      </c>
      <c r="S4309" s="78">
        <f>IF(AND(K4309&lt;&gt;"", R4309&lt;&gt;""), R4309-K4309, "")</f>
        <v/>
      </c>
      <c r="T4309" s="78" t="n"/>
      <c r="U4309" s="92">
        <f>IF(ISBLANK(P4309),"",IF(C4309="Buy",Q4309-M4309+T4309, IF(C4309="Sell",M4309-Q4309-T4309, X)))</f>
        <v/>
      </c>
      <c r="V4309" s="81">
        <f>IF(ISBLANK(P4309),"",U4309/N4309)</f>
        <v/>
      </c>
      <c r="W4309" s="81">
        <f>IF(ISBLANK(P4309),"",IF(S4309=0,(365/0.5)*V4309,(365/S4309)*V4309))</f>
        <v/>
      </c>
      <c r="X4309" s="75" t="n"/>
      <c r="Y4309" s="77" t="n"/>
      <c r="Z4309" s="77" t="n"/>
      <c r="AA4309" s="75" t="n"/>
      <c r="AB4309" s="75" t="n"/>
      <c r="AC4309" s="6" t="n"/>
      <c r="AD4309" s="75" t="n"/>
      <c r="AE4309" s="75" t="n"/>
      <c r="AF4309" s="75" t="n"/>
    </row>
    <row r="4310" ht="15.75" customHeight="1" s="133">
      <c r="A4310" s="75" t="n"/>
      <c r="B4310" s="75" t="n"/>
      <c r="C4310" s="75" t="n"/>
      <c r="D4310" s="75" t="n"/>
      <c r="E4310" s="76" t="n"/>
      <c r="F4310" s="77" t="n"/>
      <c r="G4310" s="75" t="n"/>
      <c r="H4310" s="75">
        <f>IF(ISBLANK(E4310),"",IF(OR(D4310="Butterfly",D4310="Butterfly ",D4310="Iron Fly", D4310="Iron Fly "),LEN(E4310)-LEN(SUBSTITUTE(E4310,"/",""))+2,LEN(E4310)-LEN(SUBSTITUTE(E4310,"/",""))+1))</f>
        <v/>
      </c>
      <c r="I4310" s="78">
        <f>IF(ISBLANK(G4310),"",IF(D4310="Stock","0",Key!$A$3*H4310*G4310))</f>
        <v/>
      </c>
      <c r="J4310" s="78">
        <f>IF(ISBLANK(E4310),"",IF(ISNUMBER(SEARCH("/",E4310)), IF(LEN(E4310)-LEN(SUBSTITUTE(E4310,"/",""))=1,(RIGHT(E4310,LEN(E4310)-FIND("/",E4310)))-(LEFT(E4310,FIND("/",E4310)-1)),(MID(E4310, SEARCH("/",E4310) + 1, SEARCH("/",E4310, SEARCH("/",E4310)+1) - SEARCH("/",E4310) - 1))-(LEFT(E4310,FIND("/",E4310)-1))), "NA"))</f>
        <v/>
      </c>
      <c r="K4310" s="79">
        <f>IF(A4310&lt;&gt;"", IF(ISBLANK(L4310), TODAY(), K4310), "")</f>
        <v/>
      </c>
      <c r="L4310" s="78" t="n"/>
      <c r="M4310" s="78">
        <f>IF(ISBLANK(L4310),"",IF(D4310="Stock",IF(C4310="Buy",L4310*G4310,IF(C4310="Sell",(L4310*G4310)-I4310, X)),IF(C4310="Buy",(L4310*G4310*100)+I4310,IF(C4310="Sell",(L4310*G4310*100)-I4310, X))))</f>
        <v/>
      </c>
      <c r="N4310" s="78">
        <f>IF(ISBLANK(L4310),"",IF(AND(C4310="Sell",D4310="Stock"),M4310,IF(ISBLANK(L4310),"",IF(C4310="Buy",M4310, IF(AND(C4310="Sell",J4310="NA"),(E4310*G4310*100*0.1)+I4310, IF(C4310="Sell",(J4310-L4310)*(100*G4310)+I4310))))))</f>
        <v/>
      </c>
      <c r="O4310" s="75" t="n"/>
      <c r="P4310" s="75" t="n"/>
      <c r="Q4310" s="75">
        <f>IF(ISBLANK(P4310),"",IF(D4310="Stock",P4310*G4310,IF(P4310=0,"0",G4310*P4310*100-(G4310*$AF$14))))</f>
        <v/>
      </c>
      <c r="R4310" s="79">
        <f>IF(P4310&lt;&gt;"", TODAY(), "")</f>
        <v/>
      </c>
      <c r="S4310" s="78">
        <f>IF(AND(K4310&lt;&gt;"", R4310&lt;&gt;""), R4310-K4310, "")</f>
        <v/>
      </c>
      <c r="T4310" s="78" t="n"/>
      <c r="U4310" s="92">
        <f>IF(ISBLANK(P4310),"",IF(C4310="Buy",Q4310-M4310+T4310, IF(C4310="Sell",M4310-Q4310-T4310, X)))</f>
        <v/>
      </c>
      <c r="V4310" s="81">
        <f>IF(ISBLANK(P4310),"",U4310/N4310)</f>
        <v/>
      </c>
      <c r="W4310" s="81">
        <f>IF(ISBLANK(P4310),"",IF(S4310=0,(365/0.5)*V4310,(365/S4310)*V4310))</f>
        <v/>
      </c>
      <c r="X4310" s="75" t="n"/>
      <c r="Y4310" s="77" t="n"/>
      <c r="Z4310" s="77" t="n"/>
      <c r="AA4310" s="75" t="n"/>
      <c r="AB4310" s="75" t="n"/>
      <c r="AC4310" s="6" t="n"/>
      <c r="AD4310" s="75" t="n"/>
      <c r="AE4310" s="75" t="n"/>
      <c r="AF4310" s="75" t="n"/>
    </row>
    <row r="4311" ht="15.75" customHeight="1" s="133">
      <c r="A4311" s="75" t="n"/>
      <c r="B4311" s="75" t="n"/>
      <c r="C4311" s="75" t="n"/>
      <c r="D4311" s="75" t="n"/>
      <c r="E4311" s="76" t="n"/>
      <c r="F4311" s="77" t="n"/>
      <c r="G4311" s="75" t="n"/>
      <c r="H4311" s="75">
        <f>IF(ISBLANK(E4311),"",IF(OR(D4311="Butterfly",D4311="Butterfly ",D4311="Iron Fly", D4311="Iron Fly "),LEN(E4311)-LEN(SUBSTITUTE(E4311,"/",""))+2,LEN(E4311)-LEN(SUBSTITUTE(E4311,"/",""))+1))</f>
        <v/>
      </c>
      <c r="I4311" s="78">
        <f>IF(ISBLANK(G4311),"",IF(D4311="Stock","0",Key!$A$3*H4311*G4311))</f>
        <v/>
      </c>
      <c r="J4311" s="78">
        <f>IF(ISBLANK(E4311),"",IF(ISNUMBER(SEARCH("/",E4311)), IF(LEN(E4311)-LEN(SUBSTITUTE(E4311,"/",""))=1,(RIGHT(E4311,LEN(E4311)-FIND("/",E4311)))-(LEFT(E4311,FIND("/",E4311)-1)),(MID(E4311, SEARCH("/",E4311) + 1, SEARCH("/",E4311, SEARCH("/",E4311)+1) - SEARCH("/",E4311) - 1))-(LEFT(E4311,FIND("/",E4311)-1))), "NA"))</f>
        <v/>
      </c>
      <c r="K4311" s="79">
        <f>IF(A4311&lt;&gt;"", IF(ISBLANK(L4311), TODAY(), K4311), "")</f>
        <v/>
      </c>
      <c r="L4311" s="78" t="n"/>
      <c r="M4311" s="78">
        <f>IF(ISBLANK(L4311),"",IF(D4311="Stock",IF(C4311="Buy",L4311*G4311,IF(C4311="Sell",(L4311*G4311)-I4311, X)),IF(C4311="Buy",(L4311*G4311*100)+I4311,IF(C4311="Sell",(L4311*G4311*100)-I4311, X))))</f>
        <v/>
      </c>
      <c r="N4311" s="78">
        <f>IF(ISBLANK(L4311),"",IF(AND(C4311="Sell",D4311="Stock"),M4311,IF(ISBLANK(L4311),"",IF(C4311="Buy",M4311, IF(AND(C4311="Sell",J4311="NA"),(E4311*G4311*100*0.1)+I4311, IF(C4311="Sell",(J4311-L4311)*(100*G4311)+I4311))))))</f>
        <v/>
      </c>
      <c r="O4311" s="75" t="n"/>
      <c r="P4311" s="75" t="n"/>
      <c r="Q4311" s="75">
        <f>IF(ISBLANK(P4311),"",IF(D4311="Stock",P4311*G4311,IF(P4311=0,"0",G4311*P4311*100-(G4311*$AF$14))))</f>
        <v/>
      </c>
      <c r="R4311" s="79">
        <f>IF(P4311&lt;&gt;"", TODAY(), "")</f>
        <v/>
      </c>
      <c r="S4311" s="78">
        <f>IF(AND(K4311&lt;&gt;"", R4311&lt;&gt;""), R4311-K4311, "")</f>
        <v/>
      </c>
      <c r="T4311" s="78" t="n"/>
      <c r="U4311" s="92">
        <f>IF(ISBLANK(P4311),"",IF(C4311="Buy",Q4311-M4311+T4311, IF(C4311="Sell",M4311-Q4311-T4311, X)))</f>
        <v/>
      </c>
      <c r="V4311" s="81">
        <f>IF(ISBLANK(P4311),"",U4311/N4311)</f>
        <v/>
      </c>
      <c r="W4311" s="81">
        <f>IF(ISBLANK(P4311),"",IF(S4311=0,(365/0.5)*V4311,(365/S4311)*V4311))</f>
        <v/>
      </c>
      <c r="X4311" s="75" t="n"/>
      <c r="Y4311" s="77" t="n"/>
      <c r="Z4311" s="77" t="n"/>
      <c r="AA4311" s="75" t="n"/>
      <c r="AB4311" s="75" t="n"/>
      <c r="AC4311" s="6" t="n"/>
      <c r="AD4311" s="75" t="n"/>
      <c r="AE4311" s="75" t="n"/>
      <c r="AF4311" s="75" t="n"/>
    </row>
    <row r="4312" ht="15.75" customHeight="1" s="133">
      <c r="A4312" s="75" t="n"/>
      <c r="B4312" s="75" t="n"/>
      <c r="C4312" s="75" t="n"/>
      <c r="D4312" s="75" t="n"/>
      <c r="E4312" s="76" t="n"/>
      <c r="F4312" s="77" t="n"/>
      <c r="G4312" s="75" t="n"/>
      <c r="H4312" s="75">
        <f>IF(ISBLANK(E4312),"",IF(OR(D4312="Butterfly",D4312="Butterfly ",D4312="Iron Fly", D4312="Iron Fly "),LEN(E4312)-LEN(SUBSTITUTE(E4312,"/",""))+2,LEN(E4312)-LEN(SUBSTITUTE(E4312,"/",""))+1))</f>
        <v/>
      </c>
      <c r="I4312" s="78">
        <f>IF(ISBLANK(G4312),"",IF(D4312="Stock","0",Key!$A$3*H4312*G4312))</f>
        <v/>
      </c>
      <c r="J4312" s="78">
        <f>IF(ISBLANK(E4312),"",IF(ISNUMBER(SEARCH("/",E4312)), IF(LEN(E4312)-LEN(SUBSTITUTE(E4312,"/",""))=1,(RIGHT(E4312,LEN(E4312)-FIND("/",E4312)))-(LEFT(E4312,FIND("/",E4312)-1)),(MID(E4312, SEARCH("/",E4312) + 1, SEARCH("/",E4312, SEARCH("/",E4312)+1) - SEARCH("/",E4312) - 1))-(LEFT(E4312,FIND("/",E4312)-1))), "NA"))</f>
        <v/>
      </c>
      <c r="K4312" s="79">
        <f>IF(A4312&lt;&gt;"", IF(ISBLANK(L4312), TODAY(), K4312), "")</f>
        <v/>
      </c>
      <c r="L4312" s="78" t="n"/>
      <c r="M4312" s="78">
        <f>IF(ISBLANK(L4312),"",IF(D4312="Stock",IF(C4312="Buy",L4312*G4312,IF(C4312="Sell",(L4312*G4312)-I4312, X)),IF(C4312="Buy",(L4312*G4312*100)+I4312,IF(C4312="Sell",(L4312*G4312*100)-I4312, X))))</f>
        <v/>
      </c>
      <c r="N4312" s="78">
        <f>IF(ISBLANK(L4312),"",IF(AND(C4312="Sell",D4312="Stock"),M4312,IF(ISBLANK(L4312),"",IF(C4312="Buy",M4312, IF(AND(C4312="Sell",J4312="NA"),(E4312*G4312*100*0.1)+I4312, IF(C4312="Sell",(J4312-L4312)*(100*G4312)+I4312))))))</f>
        <v/>
      </c>
      <c r="O4312" s="75" t="n"/>
      <c r="P4312" s="75" t="n"/>
      <c r="Q4312" s="75">
        <f>IF(ISBLANK(P4312),"",IF(D4312="Stock",P4312*G4312,IF(P4312=0,"0",G4312*P4312*100-(G4312*$AF$14))))</f>
        <v/>
      </c>
      <c r="R4312" s="79">
        <f>IF(P4312&lt;&gt;"", TODAY(), "")</f>
        <v/>
      </c>
      <c r="S4312" s="78">
        <f>IF(AND(K4312&lt;&gt;"", R4312&lt;&gt;""), R4312-K4312, "")</f>
        <v/>
      </c>
      <c r="T4312" s="78" t="n"/>
      <c r="U4312" s="92">
        <f>IF(ISBLANK(P4312),"",IF(C4312="Buy",Q4312-M4312+T4312, IF(C4312="Sell",M4312-Q4312-T4312, X)))</f>
        <v/>
      </c>
      <c r="V4312" s="81">
        <f>IF(ISBLANK(P4312),"",U4312/N4312)</f>
        <v/>
      </c>
      <c r="W4312" s="81">
        <f>IF(ISBLANK(P4312),"",IF(S4312=0,(365/0.5)*V4312,(365/S4312)*V4312))</f>
        <v/>
      </c>
      <c r="X4312" s="75" t="n"/>
      <c r="Y4312" s="77" t="n"/>
      <c r="Z4312" s="77" t="n"/>
      <c r="AA4312" s="75" t="n"/>
      <c r="AB4312" s="75" t="n"/>
      <c r="AC4312" s="6" t="n"/>
      <c r="AD4312" s="75" t="n"/>
      <c r="AE4312" s="75" t="n"/>
      <c r="AF4312" s="75" t="n"/>
    </row>
    <row r="4313" ht="15.75" customHeight="1" s="133">
      <c r="A4313" s="75" t="n"/>
      <c r="B4313" s="75" t="n"/>
      <c r="C4313" s="75" t="n"/>
      <c r="D4313" s="75" t="n"/>
      <c r="E4313" s="76" t="n"/>
      <c r="F4313" s="77" t="n"/>
      <c r="G4313" s="75" t="n"/>
      <c r="H4313" s="75">
        <f>IF(ISBLANK(E4313),"",IF(OR(D4313="Butterfly",D4313="Butterfly ",D4313="Iron Fly", D4313="Iron Fly "),LEN(E4313)-LEN(SUBSTITUTE(E4313,"/",""))+2,LEN(E4313)-LEN(SUBSTITUTE(E4313,"/",""))+1))</f>
        <v/>
      </c>
      <c r="I4313" s="78">
        <f>IF(ISBLANK(G4313),"",IF(D4313="Stock","0",Key!$A$3*H4313*G4313))</f>
        <v/>
      </c>
      <c r="J4313" s="78">
        <f>IF(ISBLANK(E4313),"",IF(ISNUMBER(SEARCH("/",E4313)), IF(LEN(E4313)-LEN(SUBSTITUTE(E4313,"/",""))=1,(RIGHT(E4313,LEN(E4313)-FIND("/",E4313)))-(LEFT(E4313,FIND("/",E4313)-1)),(MID(E4313, SEARCH("/",E4313) + 1, SEARCH("/",E4313, SEARCH("/",E4313)+1) - SEARCH("/",E4313) - 1))-(LEFT(E4313,FIND("/",E4313)-1))), "NA"))</f>
        <v/>
      </c>
      <c r="K4313" s="79">
        <f>IF(A4313&lt;&gt;"", IF(ISBLANK(L4313), TODAY(), K4313), "")</f>
        <v/>
      </c>
      <c r="L4313" s="78" t="n"/>
      <c r="M4313" s="78">
        <f>IF(ISBLANK(L4313),"",IF(D4313="Stock",IF(C4313="Buy",L4313*G4313,IF(C4313="Sell",(L4313*G4313)-I4313, X)),IF(C4313="Buy",(L4313*G4313*100)+I4313,IF(C4313="Sell",(L4313*G4313*100)-I4313, X))))</f>
        <v/>
      </c>
      <c r="N4313" s="78">
        <f>IF(ISBLANK(L4313),"",IF(AND(C4313="Sell",D4313="Stock"),M4313,IF(ISBLANK(L4313),"",IF(C4313="Buy",M4313, IF(AND(C4313="Sell",J4313="NA"),(E4313*G4313*100*0.1)+I4313, IF(C4313="Sell",(J4313-L4313)*(100*G4313)+I4313))))))</f>
        <v/>
      </c>
      <c r="O4313" s="75" t="n"/>
      <c r="P4313" s="75" t="n"/>
      <c r="Q4313" s="75">
        <f>IF(ISBLANK(P4313),"",IF(D4313="Stock",P4313*G4313,IF(P4313=0,"0",G4313*P4313*100-(G4313*$AF$14))))</f>
        <v/>
      </c>
      <c r="R4313" s="79">
        <f>IF(P4313&lt;&gt;"", TODAY(), "")</f>
        <v/>
      </c>
      <c r="S4313" s="78">
        <f>IF(AND(K4313&lt;&gt;"", R4313&lt;&gt;""), R4313-K4313, "")</f>
        <v/>
      </c>
      <c r="T4313" s="78" t="n"/>
      <c r="U4313" s="92">
        <f>IF(ISBLANK(P4313),"",IF(C4313="Buy",Q4313-M4313+T4313, IF(C4313="Sell",M4313-Q4313-T4313, X)))</f>
        <v/>
      </c>
      <c r="V4313" s="81">
        <f>IF(ISBLANK(P4313),"",U4313/N4313)</f>
        <v/>
      </c>
      <c r="W4313" s="81">
        <f>IF(ISBLANK(P4313),"",IF(S4313=0,(365/0.5)*V4313,(365/S4313)*V4313))</f>
        <v/>
      </c>
      <c r="X4313" s="75" t="n"/>
      <c r="Y4313" s="77" t="n"/>
      <c r="Z4313" s="77" t="n"/>
      <c r="AA4313" s="75" t="n"/>
      <c r="AB4313" s="75" t="n"/>
      <c r="AC4313" s="6" t="n"/>
      <c r="AD4313" s="75" t="n"/>
      <c r="AE4313" s="75" t="n"/>
      <c r="AF4313" s="75" t="n"/>
    </row>
    <row r="4314" ht="15.75" customHeight="1" s="133">
      <c r="A4314" s="75" t="n"/>
      <c r="B4314" s="75" t="n"/>
      <c r="C4314" s="75" t="n"/>
      <c r="D4314" s="75" t="n"/>
      <c r="E4314" s="76" t="n"/>
      <c r="F4314" s="77" t="n"/>
      <c r="G4314" s="75" t="n"/>
      <c r="H4314" s="75">
        <f>IF(ISBLANK(E4314),"",IF(OR(D4314="Butterfly",D4314="Butterfly ",D4314="Iron Fly", D4314="Iron Fly "),LEN(E4314)-LEN(SUBSTITUTE(E4314,"/",""))+2,LEN(E4314)-LEN(SUBSTITUTE(E4314,"/",""))+1))</f>
        <v/>
      </c>
      <c r="I4314" s="78">
        <f>IF(ISBLANK(G4314),"",IF(D4314="Stock","0",Key!$A$3*H4314*G4314))</f>
        <v/>
      </c>
      <c r="J4314" s="78">
        <f>IF(ISBLANK(E4314),"",IF(ISNUMBER(SEARCH("/",E4314)), IF(LEN(E4314)-LEN(SUBSTITUTE(E4314,"/",""))=1,(RIGHT(E4314,LEN(E4314)-FIND("/",E4314)))-(LEFT(E4314,FIND("/",E4314)-1)),(MID(E4314, SEARCH("/",E4314) + 1, SEARCH("/",E4314, SEARCH("/",E4314)+1) - SEARCH("/",E4314) - 1))-(LEFT(E4314,FIND("/",E4314)-1))), "NA"))</f>
        <v/>
      </c>
      <c r="K4314" s="79">
        <f>IF(A4314&lt;&gt;"", IF(ISBLANK(L4314), TODAY(), K4314), "")</f>
        <v/>
      </c>
      <c r="L4314" s="78" t="n"/>
      <c r="M4314" s="78">
        <f>IF(ISBLANK(L4314),"",IF(D4314="Stock",IF(C4314="Buy",L4314*G4314,IF(C4314="Sell",(L4314*G4314)-I4314, X)),IF(C4314="Buy",(L4314*G4314*100)+I4314,IF(C4314="Sell",(L4314*G4314*100)-I4314, X))))</f>
        <v/>
      </c>
      <c r="N4314" s="78">
        <f>IF(ISBLANK(L4314),"",IF(AND(C4314="Sell",D4314="Stock"),M4314,IF(ISBLANK(L4314),"",IF(C4314="Buy",M4314, IF(AND(C4314="Sell",J4314="NA"),(E4314*G4314*100*0.1)+I4314, IF(C4314="Sell",(J4314-L4314)*(100*G4314)+I4314))))))</f>
        <v/>
      </c>
      <c r="O4314" s="75" t="n"/>
      <c r="P4314" s="75" t="n"/>
      <c r="Q4314" s="75">
        <f>IF(ISBLANK(P4314),"",IF(D4314="Stock",P4314*G4314,IF(P4314=0,"0",G4314*P4314*100-(G4314*$AF$14))))</f>
        <v/>
      </c>
      <c r="R4314" s="79">
        <f>IF(P4314&lt;&gt;"", TODAY(), "")</f>
        <v/>
      </c>
      <c r="S4314" s="78">
        <f>IF(AND(K4314&lt;&gt;"", R4314&lt;&gt;""), R4314-K4314, "")</f>
        <v/>
      </c>
      <c r="T4314" s="78" t="n"/>
      <c r="U4314" s="92">
        <f>IF(ISBLANK(P4314),"",IF(C4314="Buy",Q4314-M4314+T4314, IF(C4314="Sell",M4314-Q4314-T4314, X)))</f>
        <v/>
      </c>
      <c r="V4314" s="81">
        <f>IF(ISBLANK(P4314),"",U4314/N4314)</f>
        <v/>
      </c>
      <c r="W4314" s="81">
        <f>IF(ISBLANK(P4314),"",IF(S4314=0,(365/0.5)*V4314,(365/S4314)*V4314))</f>
        <v/>
      </c>
      <c r="X4314" s="75" t="n"/>
      <c r="Y4314" s="77" t="n"/>
      <c r="Z4314" s="77" t="n"/>
      <c r="AA4314" s="75" t="n"/>
      <c r="AB4314" s="75" t="n"/>
      <c r="AC4314" s="6" t="n"/>
      <c r="AD4314" s="75" t="n"/>
      <c r="AE4314" s="75" t="n"/>
      <c r="AF4314" s="75" t="n"/>
    </row>
    <row r="4315" ht="15.75" customHeight="1" s="133">
      <c r="A4315" s="75" t="n"/>
      <c r="B4315" s="75" t="n"/>
      <c r="C4315" s="75" t="n"/>
      <c r="D4315" s="75" t="n"/>
      <c r="E4315" s="76" t="n"/>
      <c r="F4315" s="77" t="n"/>
      <c r="G4315" s="75" t="n"/>
      <c r="H4315" s="75">
        <f>IF(ISBLANK(E4315),"",IF(OR(D4315="Butterfly",D4315="Butterfly ",D4315="Iron Fly", D4315="Iron Fly "),LEN(E4315)-LEN(SUBSTITUTE(E4315,"/",""))+2,LEN(E4315)-LEN(SUBSTITUTE(E4315,"/",""))+1))</f>
        <v/>
      </c>
      <c r="I4315" s="78">
        <f>IF(ISBLANK(G4315),"",IF(D4315="Stock","0",Key!$A$3*H4315*G4315))</f>
        <v/>
      </c>
      <c r="J4315" s="78">
        <f>IF(ISBLANK(E4315),"",IF(ISNUMBER(SEARCH("/",E4315)), IF(LEN(E4315)-LEN(SUBSTITUTE(E4315,"/",""))=1,(RIGHT(E4315,LEN(E4315)-FIND("/",E4315)))-(LEFT(E4315,FIND("/",E4315)-1)),(MID(E4315, SEARCH("/",E4315) + 1, SEARCH("/",E4315, SEARCH("/",E4315)+1) - SEARCH("/",E4315) - 1))-(LEFT(E4315,FIND("/",E4315)-1))), "NA"))</f>
        <v/>
      </c>
      <c r="K4315" s="79">
        <f>IF(A4315&lt;&gt;"", IF(ISBLANK(L4315), TODAY(), K4315), "")</f>
        <v/>
      </c>
      <c r="L4315" s="78" t="n"/>
      <c r="M4315" s="78">
        <f>IF(ISBLANK(L4315),"",IF(D4315="Stock",IF(C4315="Buy",L4315*G4315,IF(C4315="Sell",(L4315*G4315)-I4315, X)),IF(C4315="Buy",(L4315*G4315*100)+I4315,IF(C4315="Sell",(L4315*G4315*100)-I4315, X))))</f>
        <v/>
      </c>
      <c r="N4315" s="78">
        <f>IF(ISBLANK(L4315),"",IF(AND(C4315="Sell",D4315="Stock"),M4315,IF(ISBLANK(L4315),"",IF(C4315="Buy",M4315, IF(AND(C4315="Sell",J4315="NA"),(E4315*G4315*100*0.1)+I4315, IF(C4315="Sell",(J4315-L4315)*(100*G4315)+I4315))))))</f>
        <v/>
      </c>
      <c r="O4315" s="75" t="n"/>
      <c r="P4315" s="75" t="n"/>
      <c r="Q4315" s="75">
        <f>IF(ISBLANK(P4315),"",IF(D4315="Stock",P4315*G4315,IF(P4315=0,"0",G4315*P4315*100-(G4315*$AF$14))))</f>
        <v/>
      </c>
      <c r="R4315" s="79">
        <f>IF(P4315&lt;&gt;"", TODAY(), "")</f>
        <v/>
      </c>
      <c r="S4315" s="78">
        <f>IF(AND(K4315&lt;&gt;"", R4315&lt;&gt;""), R4315-K4315, "")</f>
        <v/>
      </c>
      <c r="T4315" s="78" t="n"/>
      <c r="U4315" s="92">
        <f>IF(ISBLANK(P4315),"",IF(C4315="Buy",Q4315-M4315+T4315, IF(C4315="Sell",M4315-Q4315-T4315, X)))</f>
        <v/>
      </c>
      <c r="V4315" s="81">
        <f>IF(ISBLANK(P4315),"",U4315/N4315)</f>
        <v/>
      </c>
      <c r="W4315" s="81">
        <f>IF(ISBLANK(P4315),"",IF(S4315=0,(365/0.5)*V4315,(365/S4315)*V4315))</f>
        <v/>
      </c>
      <c r="X4315" s="75" t="n"/>
      <c r="Y4315" s="77" t="n"/>
      <c r="Z4315" s="77" t="n"/>
      <c r="AA4315" s="75" t="n"/>
      <c r="AB4315" s="75" t="n"/>
      <c r="AC4315" s="6" t="n"/>
      <c r="AD4315" s="75" t="n"/>
      <c r="AE4315" s="75" t="n"/>
      <c r="AF4315" s="75" t="n"/>
    </row>
    <row r="4316" ht="15.75" customHeight="1" s="133">
      <c r="A4316" s="75" t="n"/>
      <c r="B4316" s="75" t="n"/>
      <c r="C4316" s="75" t="n"/>
      <c r="D4316" s="75" t="n"/>
      <c r="E4316" s="76" t="n"/>
      <c r="F4316" s="77" t="n"/>
      <c r="G4316" s="75" t="n"/>
      <c r="H4316" s="75">
        <f>IF(ISBLANK(E4316),"",IF(OR(D4316="Butterfly",D4316="Butterfly ",D4316="Iron Fly", D4316="Iron Fly "),LEN(E4316)-LEN(SUBSTITUTE(E4316,"/",""))+2,LEN(E4316)-LEN(SUBSTITUTE(E4316,"/",""))+1))</f>
        <v/>
      </c>
      <c r="I4316" s="78">
        <f>IF(ISBLANK(G4316),"",IF(D4316="Stock","0",Key!$A$3*H4316*G4316))</f>
        <v/>
      </c>
      <c r="J4316" s="78">
        <f>IF(ISBLANK(E4316),"",IF(ISNUMBER(SEARCH("/",E4316)), IF(LEN(E4316)-LEN(SUBSTITUTE(E4316,"/",""))=1,(RIGHT(E4316,LEN(E4316)-FIND("/",E4316)))-(LEFT(E4316,FIND("/",E4316)-1)),(MID(E4316, SEARCH("/",E4316) + 1, SEARCH("/",E4316, SEARCH("/",E4316)+1) - SEARCH("/",E4316) - 1))-(LEFT(E4316,FIND("/",E4316)-1))), "NA"))</f>
        <v/>
      </c>
      <c r="K4316" s="79">
        <f>IF(A4316&lt;&gt;"", IF(ISBLANK(L4316), TODAY(), K4316), "")</f>
        <v/>
      </c>
      <c r="L4316" s="78" t="n"/>
      <c r="M4316" s="78">
        <f>IF(ISBLANK(L4316),"",IF(D4316="Stock",IF(C4316="Buy",L4316*G4316,IF(C4316="Sell",(L4316*G4316)-I4316, X)),IF(C4316="Buy",(L4316*G4316*100)+I4316,IF(C4316="Sell",(L4316*G4316*100)-I4316, X))))</f>
        <v/>
      </c>
      <c r="N4316" s="78">
        <f>IF(ISBLANK(L4316),"",IF(AND(C4316="Sell",D4316="Stock"),M4316,IF(ISBLANK(L4316),"",IF(C4316="Buy",M4316, IF(AND(C4316="Sell",J4316="NA"),(E4316*G4316*100*0.1)+I4316, IF(C4316="Sell",(J4316-L4316)*(100*G4316)+I4316))))))</f>
        <v/>
      </c>
      <c r="O4316" s="75" t="n"/>
      <c r="P4316" s="75" t="n"/>
      <c r="Q4316" s="75">
        <f>IF(ISBLANK(P4316),"",IF(D4316="Stock",P4316*G4316,IF(P4316=0,"0",G4316*P4316*100-(G4316*$AF$14))))</f>
        <v/>
      </c>
      <c r="R4316" s="79">
        <f>IF(P4316&lt;&gt;"", TODAY(), "")</f>
        <v/>
      </c>
      <c r="S4316" s="78">
        <f>IF(AND(K4316&lt;&gt;"", R4316&lt;&gt;""), R4316-K4316, "")</f>
        <v/>
      </c>
      <c r="T4316" s="78" t="n"/>
      <c r="U4316" s="92">
        <f>IF(ISBLANK(P4316),"",IF(C4316="Buy",Q4316-M4316+T4316, IF(C4316="Sell",M4316-Q4316-T4316, X)))</f>
        <v/>
      </c>
      <c r="V4316" s="81">
        <f>IF(ISBLANK(P4316),"",U4316/N4316)</f>
        <v/>
      </c>
      <c r="W4316" s="81">
        <f>IF(ISBLANK(P4316),"",IF(S4316=0,(365/0.5)*V4316,(365/S4316)*V4316))</f>
        <v/>
      </c>
      <c r="X4316" s="75" t="n"/>
      <c r="Y4316" s="77" t="n"/>
      <c r="Z4316" s="77" t="n"/>
      <c r="AA4316" s="75" t="n"/>
      <c r="AB4316" s="75" t="n"/>
      <c r="AC4316" s="6" t="n"/>
      <c r="AD4316" s="75" t="n"/>
      <c r="AE4316" s="75" t="n"/>
      <c r="AF4316" s="75" t="n"/>
    </row>
    <row r="4317" ht="15.75" customHeight="1" s="133">
      <c r="A4317" s="75" t="n"/>
      <c r="B4317" s="75" t="n"/>
      <c r="C4317" s="75" t="n"/>
      <c r="D4317" s="75" t="n"/>
      <c r="E4317" s="76" t="n"/>
      <c r="F4317" s="77" t="n"/>
      <c r="G4317" s="75" t="n"/>
      <c r="H4317" s="75">
        <f>IF(ISBLANK(E4317),"",IF(OR(D4317="Butterfly",D4317="Butterfly ",D4317="Iron Fly", D4317="Iron Fly "),LEN(E4317)-LEN(SUBSTITUTE(E4317,"/",""))+2,LEN(E4317)-LEN(SUBSTITUTE(E4317,"/",""))+1))</f>
        <v/>
      </c>
      <c r="I4317" s="78">
        <f>IF(ISBLANK(G4317),"",IF(D4317="Stock","0",Key!$A$3*H4317*G4317))</f>
        <v/>
      </c>
      <c r="J4317" s="78">
        <f>IF(ISBLANK(E4317),"",IF(ISNUMBER(SEARCH("/",E4317)), IF(LEN(E4317)-LEN(SUBSTITUTE(E4317,"/",""))=1,(RIGHT(E4317,LEN(E4317)-FIND("/",E4317)))-(LEFT(E4317,FIND("/",E4317)-1)),(MID(E4317, SEARCH("/",E4317) + 1, SEARCH("/",E4317, SEARCH("/",E4317)+1) - SEARCH("/",E4317) - 1))-(LEFT(E4317,FIND("/",E4317)-1))), "NA"))</f>
        <v/>
      </c>
      <c r="K4317" s="79">
        <f>IF(A4317&lt;&gt;"", IF(ISBLANK(L4317), TODAY(), K4317), "")</f>
        <v/>
      </c>
      <c r="L4317" s="78" t="n"/>
      <c r="M4317" s="78">
        <f>IF(ISBLANK(L4317),"",IF(D4317="Stock",IF(C4317="Buy",L4317*G4317,IF(C4317="Sell",(L4317*G4317)-I4317, X)),IF(C4317="Buy",(L4317*G4317*100)+I4317,IF(C4317="Sell",(L4317*G4317*100)-I4317, X))))</f>
        <v/>
      </c>
      <c r="N4317" s="78">
        <f>IF(ISBLANK(L4317),"",IF(AND(C4317="Sell",D4317="Stock"),M4317,IF(ISBLANK(L4317),"",IF(C4317="Buy",M4317, IF(AND(C4317="Sell",J4317="NA"),(E4317*G4317*100*0.1)+I4317, IF(C4317="Sell",(J4317-L4317)*(100*G4317)+I4317))))))</f>
        <v/>
      </c>
      <c r="O4317" s="75" t="n"/>
      <c r="P4317" s="75" t="n"/>
      <c r="Q4317" s="75">
        <f>IF(ISBLANK(P4317),"",IF(D4317="Stock",P4317*G4317,IF(P4317=0,"0",G4317*P4317*100-(G4317*$AF$14))))</f>
        <v/>
      </c>
      <c r="R4317" s="79">
        <f>IF(P4317&lt;&gt;"", TODAY(), "")</f>
        <v/>
      </c>
      <c r="S4317" s="78">
        <f>IF(AND(K4317&lt;&gt;"", R4317&lt;&gt;""), R4317-K4317, "")</f>
        <v/>
      </c>
      <c r="T4317" s="78" t="n"/>
      <c r="U4317" s="92">
        <f>IF(ISBLANK(P4317),"",IF(C4317="Buy",Q4317-M4317+T4317, IF(C4317="Sell",M4317-Q4317-T4317, X)))</f>
        <v/>
      </c>
      <c r="V4317" s="81">
        <f>IF(ISBLANK(P4317),"",U4317/N4317)</f>
        <v/>
      </c>
      <c r="W4317" s="81">
        <f>IF(ISBLANK(P4317),"",IF(S4317=0,(365/0.5)*V4317,(365/S4317)*V4317))</f>
        <v/>
      </c>
      <c r="X4317" s="75" t="n"/>
      <c r="Y4317" s="77" t="n"/>
      <c r="Z4317" s="77" t="n"/>
      <c r="AA4317" s="75" t="n"/>
      <c r="AB4317" s="75" t="n"/>
      <c r="AC4317" s="6" t="n"/>
      <c r="AD4317" s="75" t="n"/>
      <c r="AE4317" s="75" t="n"/>
      <c r="AF4317" s="75" t="n"/>
    </row>
    <row r="4318" ht="15.75" customHeight="1" s="133">
      <c r="A4318" s="75" t="n"/>
      <c r="B4318" s="75" t="n"/>
      <c r="C4318" s="75" t="n"/>
      <c r="D4318" s="75" t="n"/>
      <c r="E4318" s="76" t="n"/>
      <c r="F4318" s="77" t="n"/>
      <c r="G4318" s="75" t="n"/>
      <c r="H4318" s="75">
        <f>IF(ISBLANK(E4318),"",IF(OR(D4318="Butterfly",D4318="Butterfly ",D4318="Iron Fly", D4318="Iron Fly "),LEN(E4318)-LEN(SUBSTITUTE(E4318,"/",""))+2,LEN(E4318)-LEN(SUBSTITUTE(E4318,"/",""))+1))</f>
        <v/>
      </c>
      <c r="I4318" s="78">
        <f>IF(ISBLANK(G4318),"",IF(D4318="Stock","0",Key!$A$3*H4318*G4318))</f>
        <v/>
      </c>
      <c r="J4318" s="78">
        <f>IF(ISBLANK(E4318),"",IF(ISNUMBER(SEARCH("/",E4318)), IF(LEN(E4318)-LEN(SUBSTITUTE(E4318,"/",""))=1,(RIGHT(E4318,LEN(E4318)-FIND("/",E4318)))-(LEFT(E4318,FIND("/",E4318)-1)),(MID(E4318, SEARCH("/",E4318) + 1, SEARCH("/",E4318, SEARCH("/",E4318)+1) - SEARCH("/",E4318) - 1))-(LEFT(E4318,FIND("/",E4318)-1))), "NA"))</f>
        <v/>
      </c>
      <c r="K4318" s="79">
        <f>IF(A4318&lt;&gt;"", IF(ISBLANK(L4318), TODAY(), K4318), "")</f>
        <v/>
      </c>
      <c r="L4318" s="78" t="n"/>
      <c r="M4318" s="78">
        <f>IF(ISBLANK(L4318),"",IF(D4318="Stock",IF(C4318="Buy",L4318*G4318,IF(C4318="Sell",(L4318*G4318)-I4318, X)),IF(C4318="Buy",(L4318*G4318*100)+I4318,IF(C4318="Sell",(L4318*G4318*100)-I4318, X))))</f>
        <v/>
      </c>
      <c r="N4318" s="78">
        <f>IF(ISBLANK(L4318),"",IF(AND(C4318="Sell",D4318="Stock"),M4318,IF(ISBLANK(L4318),"",IF(C4318="Buy",M4318, IF(AND(C4318="Sell",J4318="NA"),(E4318*G4318*100*0.1)+I4318, IF(C4318="Sell",(J4318-L4318)*(100*G4318)+I4318))))))</f>
        <v/>
      </c>
      <c r="O4318" s="75" t="n"/>
      <c r="P4318" s="75" t="n"/>
      <c r="Q4318" s="75">
        <f>IF(ISBLANK(P4318),"",IF(D4318="Stock",P4318*G4318,IF(P4318=0,"0",G4318*P4318*100-(G4318*$AF$14))))</f>
        <v/>
      </c>
      <c r="R4318" s="79">
        <f>IF(P4318&lt;&gt;"", TODAY(), "")</f>
        <v/>
      </c>
      <c r="S4318" s="78">
        <f>IF(AND(K4318&lt;&gt;"", R4318&lt;&gt;""), R4318-K4318, "")</f>
        <v/>
      </c>
      <c r="T4318" s="78" t="n"/>
      <c r="U4318" s="92">
        <f>IF(ISBLANK(P4318),"",IF(C4318="Buy",Q4318-M4318+T4318, IF(C4318="Sell",M4318-Q4318-T4318, X)))</f>
        <v/>
      </c>
      <c r="V4318" s="81">
        <f>IF(ISBLANK(P4318),"",U4318/N4318)</f>
        <v/>
      </c>
      <c r="W4318" s="81">
        <f>IF(ISBLANK(P4318),"",IF(S4318=0,(365/0.5)*V4318,(365/S4318)*V4318))</f>
        <v/>
      </c>
      <c r="X4318" s="75" t="n"/>
      <c r="Y4318" s="77" t="n"/>
      <c r="Z4318" s="77" t="n"/>
      <c r="AA4318" s="75" t="n"/>
      <c r="AB4318" s="75" t="n"/>
      <c r="AC4318" s="6" t="n"/>
      <c r="AD4318" s="75" t="n"/>
      <c r="AE4318" s="75" t="n"/>
      <c r="AF4318" s="75" t="n"/>
    </row>
    <row r="4319" ht="15.75" customHeight="1" s="133">
      <c r="A4319" s="75" t="n"/>
      <c r="B4319" s="75" t="n"/>
      <c r="C4319" s="75" t="n"/>
      <c r="D4319" s="75" t="n"/>
      <c r="E4319" s="76" t="n"/>
      <c r="F4319" s="77" t="n"/>
      <c r="G4319" s="75" t="n"/>
      <c r="H4319" s="75">
        <f>IF(ISBLANK(E4319),"",IF(OR(D4319="Butterfly",D4319="Butterfly ",D4319="Iron Fly", D4319="Iron Fly "),LEN(E4319)-LEN(SUBSTITUTE(E4319,"/",""))+2,LEN(E4319)-LEN(SUBSTITUTE(E4319,"/",""))+1))</f>
        <v/>
      </c>
      <c r="I4319" s="78">
        <f>IF(ISBLANK(G4319),"",IF(D4319="Stock","0",Key!$A$3*H4319*G4319))</f>
        <v/>
      </c>
      <c r="J4319" s="78">
        <f>IF(ISBLANK(E4319),"",IF(ISNUMBER(SEARCH("/",E4319)), IF(LEN(E4319)-LEN(SUBSTITUTE(E4319,"/",""))=1,(RIGHT(E4319,LEN(E4319)-FIND("/",E4319)))-(LEFT(E4319,FIND("/",E4319)-1)),(MID(E4319, SEARCH("/",E4319) + 1, SEARCH("/",E4319, SEARCH("/",E4319)+1) - SEARCH("/",E4319) - 1))-(LEFT(E4319,FIND("/",E4319)-1))), "NA"))</f>
        <v/>
      </c>
      <c r="K4319" s="79">
        <f>IF(A4319&lt;&gt;"", IF(ISBLANK(L4319), TODAY(), K4319), "")</f>
        <v/>
      </c>
      <c r="L4319" s="78" t="n"/>
      <c r="M4319" s="78">
        <f>IF(ISBLANK(L4319),"",IF(D4319="Stock",IF(C4319="Buy",L4319*G4319,IF(C4319="Sell",(L4319*G4319)-I4319, X)),IF(C4319="Buy",(L4319*G4319*100)+I4319,IF(C4319="Sell",(L4319*G4319*100)-I4319, X))))</f>
        <v/>
      </c>
      <c r="N4319" s="78">
        <f>IF(ISBLANK(L4319),"",IF(AND(C4319="Sell",D4319="Stock"),M4319,IF(ISBLANK(L4319),"",IF(C4319="Buy",M4319, IF(AND(C4319="Sell",J4319="NA"),(E4319*G4319*100*0.1)+I4319, IF(C4319="Sell",(J4319-L4319)*(100*G4319)+I4319))))))</f>
        <v/>
      </c>
      <c r="O4319" s="75" t="n"/>
      <c r="P4319" s="75" t="n"/>
      <c r="Q4319" s="75">
        <f>IF(ISBLANK(P4319),"",IF(D4319="Stock",P4319*G4319,IF(P4319=0,"0",G4319*P4319*100-(G4319*$AF$14))))</f>
        <v/>
      </c>
      <c r="R4319" s="79">
        <f>IF(P4319&lt;&gt;"", TODAY(), "")</f>
        <v/>
      </c>
      <c r="S4319" s="78">
        <f>IF(AND(K4319&lt;&gt;"", R4319&lt;&gt;""), R4319-K4319, "")</f>
        <v/>
      </c>
      <c r="T4319" s="78" t="n"/>
      <c r="U4319" s="92">
        <f>IF(ISBLANK(P4319),"",IF(C4319="Buy",Q4319-M4319+T4319, IF(C4319="Sell",M4319-Q4319-T4319, X)))</f>
        <v/>
      </c>
      <c r="V4319" s="81">
        <f>IF(ISBLANK(P4319),"",U4319/N4319)</f>
        <v/>
      </c>
      <c r="W4319" s="81">
        <f>IF(ISBLANK(P4319),"",IF(S4319=0,(365/0.5)*V4319,(365/S4319)*V4319))</f>
        <v/>
      </c>
      <c r="X4319" s="75" t="n"/>
      <c r="Y4319" s="77" t="n"/>
      <c r="Z4319" s="77" t="n"/>
      <c r="AA4319" s="75" t="n"/>
      <c r="AB4319" s="75" t="n"/>
      <c r="AC4319" s="6" t="n"/>
      <c r="AD4319" s="75" t="n"/>
      <c r="AE4319" s="75" t="n"/>
      <c r="AF4319" s="75" t="n"/>
    </row>
    <row r="4320" ht="15.75" customHeight="1" s="133">
      <c r="A4320" s="75" t="n"/>
      <c r="B4320" s="75" t="n"/>
      <c r="C4320" s="75" t="n"/>
      <c r="D4320" s="75" t="n"/>
      <c r="E4320" s="76" t="n"/>
      <c r="F4320" s="77" t="n"/>
      <c r="G4320" s="75" t="n"/>
      <c r="H4320" s="75">
        <f>IF(ISBLANK(E4320),"",IF(OR(D4320="Butterfly",D4320="Butterfly ",D4320="Iron Fly", D4320="Iron Fly "),LEN(E4320)-LEN(SUBSTITUTE(E4320,"/",""))+2,LEN(E4320)-LEN(SUBSTITUTE(E4320,"/",""))+1))</f>
        <v/>
      </c>
      <c r="I4320" s="78">
        <f>IF(ISBLANK(G4320),"",IF(D4320="Stock","0",Key!$A$3*H4320*G4320))</f>
        <v/>
      </c>
      <c r="J4320" s="78">
        <f>IF(ISBLANK(E4320),"",IF(ISNUMBER(SEARCH("/",E4320)), IF(LEN(E4320)-LEN(SUBSTITUTE(E4320,"/",""))=1,(RIGHT(E4320,LEN(E4320)-FIND("/",E4320)))-(LEFT(E4320,FIND("/",E4320)-1)),(MID(E4320, SEARCH("/",E4320) + 1, SEARCH("/",E4320, SEARCH("/",E4320)+1) - SEARCH("/",E4320) - 1))-(LEFT(E4320,FIND("/",E4320)-1))), "NA"))</f>
        <v/>
      </c>
      <c r="K4320" s="79">
        <f>IF(A4320&lt;&gt;"", IF(ISBLANK(L4320), TODAY(), K4320), "")</f>
        <v/>
      </c>
      <c r="L4320" s="78" t="n"/>
      <c r="M4320" s="78">
        <f>IF(ISBLANK(L4320),"",IF(D4320="Stock",IF(C4320="Buy",L4320*G4320,IF(C4320="Sell",(L4320*G4320)-I4320, X)),IF(C4320="Buy",(L4320*G4320*100)+I4320,IF(C4320="Sell",(L4320*G4320*100)-I4320, X))))</f>
        <v/>
      </c>
      <c r="N4320" s="78">
        <f>IF(ISBLANK(L4320),"",IF(AND(C4320="Sell",D4320="Stock"),M4320,IF(ISBLANK(L4320),"",IF(C4320="Buy",M4320, IF(AND(C4320="Sell",J4320="NA"),(E4320*G4320*100*0.1)+I4320, IF(C4320="Sell",(J4320-L4320)*(100*G4320)+I4320))))))</f>
        <v/>
      </c>
      <c r="O4320" s="75" t="n"/>
      <c r="P4320" s="75" t="n"/>
      <c r="Q4320" s="75">
        <f>IF(ISBLANK(P4320),"",IF(D4320="Stock",P4320*G4320,IF(P4320=0,"0",G4320*P4320*100-(G4320*$AF$14))))</f>
        <v/>
      </c>
      <c r="R4320" s="79">
        <f>IF(P4320&lt;&gt;"", TODAY(), "")</f>
        <v/>
      </c>
      <c r="S4320" s="78">
        <f>IF(AND(K4320&lt;&gt;"", R4320&lt;&gt;""), R4320-K4320, "")</f>
        <v/>
      </c>
      <c r="T4320" s="78" t="n"/>
      <c r="U4320" s="92">
        <f>IF(ISBLANK(P4320),"",IF(C4320="Buy",Q4320-M4320+T4320, IF(C4320="Sell",M4320-Q4320-T4320, X)))</f>
        <v/>
      </c>
      <c r="V4320" s="81">
        <f>IF(ISBLANK(P4320),"",U4320/N4320)</f>
        <v/>
      </c>
      <c r="W4320" s="81">
        <f>IF(ISBLANK(P4320),"",IF(S4320=0,(365/0.5)*V4320,(365/S4320)*V4320))</f>
        <v/>
      </c>
      <c r="X4320" s="75" t="n"/>
      <c r="Y4320" s="77" t="n"/>
      <c r="Z4320" s="77" t="n"/>
      <c r="AA4320" s="75" t="n"/>
      <c r="AB4320" s="75" t="n"/>
      <c r="AC4320" s="6" t="n"/>
      <c r="AD4320" s="75" t="n"/>
      <c r="AE4320" s="75" t="n"/>
      <c r="AF4320" s="75" t="n"/>
    </row>
    <row r="4321" ht="15.75" customHeight="1" s="133">
      <c r="A4321" s="75" t="n"/>
      <c r="B4321" s="75" t="n"/>
      <c r="C4321" s="75" t="n"/>
      <c r="D4321" s="75" t="n"/>
      <c r="E4321" s="76" t="n"/>
      <c r="F4321" s="77" t="n"/>
      <c r="G4321" s="75" t="n"/>
      <c r="H4321" s="75">
        <f>IF(ISBLANK(E4321),"",IF(OR(D4321="Butterfly",D4321="Butterfly ",D4321="Iron Fly", D4321="Iron Fly "),LEN(E4321)-LEN(SUBSTITUTE(E4321,"/",""))+2,LEN(E4321)-LEN(SUBSTITUTE(E4321,"/",""))+1))</f>
        <v/>
      </c>
      <c r="I4321" s="78">
        <f>IF(ISBLANK(G4321),"",IF(D4321="Stock","0",Key!$A$3*H4321*G4321))</f>
        <v/>
      </c>
      <c r="J4321" s="78">
        <f>IF(ISBLANK(E4321),"",IF(ISNUMBER(SEARCH("/",E4321)), IF(LEN(E4321)-LEN(SUBSTITUTE(E4321,"/",""))=1,(RIGHT(E4321,LEN(E4321)-FIND("/",E4321)))-(LEFT(E4321,FIND("/",E4321)-1)),(MID(E4321, SEARCH("/",E4321) + 1, SEARCH("/",E4321, SEARCH("/",E4321)+1) - SEARCH("/",E4321) - 1))-(LEFT(E4321,FIND("/",E4321)-1))), "NA"))</f>
        <v/>
      </c>
      <c r="K4321" s="79">
        <f>IF(A4321&lt;&gt;"", IF(ISBLANK(L4321), TODAY(), K4321), "")</f>
        <v/>
      </c>
      <c r="L4321" s="78" t="n"/>
      <c r="M4321" s="78">
        <f>IF(ISBLANK(L4321),"",IF(D4321="Stock",IF(C4321="Buy",L4321*G4321,IF(C4321="Sell",(L4321*G4321)-I4321, X)),IF(C4321="Buy",(L4321*G4321*100)+I4321,IF(C4321="Sell",(L4321*G4321*100)-I4321, X))))</f>
        <v/>
      </c>
      <c r="N4321" s="78">
        <f>IF(ISBLANK(L4321),"",IF(AND(C4321="Sell",D4321="Stock"),M4321,IF(ISBLANK(L4321),"",IF(C4321="Buy",M4321, IF(AND(C4321="Sell",J4321="NA"),(E4321*G4321*100*0.1)+I4321, IF(C4321="Sell",(J4321-L4321)*(100*G4321)+I4321))))))</f>
        <v/>
      </c>
      <c r="O4321" s="75" t="n"/>
      <c r="P4321" s="75" t="n"/>
      <c r="Q4321" s="75">
        <f>IF(ISBLANK(P4321),"",IF(D4321="Stock",P4321*G4321,IF(P4321=0,"0",G4321*P4321*100-(G4321*$AF$14))))</f>
        <v/>
      </c>
      <c r="R4321" s="79">
        <f>IF(P4321&lt;&gt;"", TODAY(), "")</f>
        <v/>
      </c>
      <c r="S4321" s="78">
        <f>IF(AND(K4321&lt;&gt;"", R4321&lt;&gt;""), R4321-K4321, "")</f>
        <v/>
      </c>
      <c r="T4321" s="78" t="n"/>
      <c r="U4321" s="92">
        <f>IF(ISBLANK(P4321),"",IF(C4321="Buy",Q4321-M4321+T4321, IF(C4321="Sell",M4321-Q4321-T4321, X)))</f>
        <v/>
      </c>
      <c r="V4321" s="81">
        <f>IF(ISBLANK(P4321),"",U4321/N4321)</f>
        <v/>
      </c>
      <c r="W4321" s="81">
        <f>IF(ISBLANK(P4321),"",IF(S4321=0,(365/0.5)*V4321,(365/S4321)*V4321))</f>
        <v/>
      </c>
      <c r="X4321" s="75" t="n"/>
      <c r="Y4321" s="77" t="n"/>
      <c r="Z4321" s="77" t="n"/>
      <c r="AA4321" s="75" t="n"/>
      <c r="AB4321" s="75" t="n"/>
      <c r="AC4321" s="6" t="n"/>
      <c r="AD4321" s="75" t="n"/>
      <c r="AE4321" s="75" t="n"/>
      <c r="AF4321" s="75" t="n"/>
    </row>
    <row r="4322" ht="15.75" customHeight="1" s="133">
      <c r="A4322" s="75" t="n"/>
      <c r="B4322" s="75" t="n"/>
      <c r="C4322" s="75" t="n"/>
      <c r="D4322" s="75" t="n"/>
      <c r="E4322" s="76" t="n"/>
      <c r="F4322" s="77" t="n"/>
      <c r="G4322" s="75" t="n"/>
      <c r="H4322" s="75">
        <f>IF(ISBLANK(E4322),"",IF(OR(D4322="Butterfly",D4322="Butterfly ",D4322="Iron Fly", D4322="Iron Fly "),LEN(E4322)-LEN(SUBSTITUTE(E4322,"/",""))+2,LEN(E4322)-LEN(SUBSTITUTE(E4322,"/",""))+1))</f>
        <v/>
      </c>
      <c r="I4322" s="78">
        <f>IF(ISBLANK(G4322),"",IF(D4322="Stock","0",Key!$A$3*H4322*G4322))</f>
        <v/>
      </c>
      <c r="J4322" s="78">
        <f>IF(ISBLANK(E4322),"",IF(ISNUMBER(SEARCH("/",E4322)), IF(LEN(E4322)-LEN(SUBSTITUTE(E4322,"/",""))=1,(RIGHT(E4322,LEN(E4322)-FIND("/",E4322)))-(LEFT(E4322,FIND("/",E4322)-1)),(MID(E4322, SEARCH("/",E4322) + 1, SEARCH("/",E4322, SEARCH("/",E4322)+1) - SEARCH("/",E4322) - 1))-(LEFT(E4322,FIND("/",E4322)-1))), "NA"))</f>
        <v/>
      </c>
      <c r="K4322" s="79">
        <f>IF(A4322&lt;&gt;"", IF(ISBLANK(L4322), TODAY(), K4322), "")</f>
        <v/>
      </c>
      <c r="L4322" s="78" t="n"/>
      <c r="M4322" s="78">
        <f>IF(ISBLANK(L4322),"",IF(D4322="Stock",IF(C4322="Buy",L4322*G4322,IF(C4322="Sell",(L4322*G4322)-I4322, X)),IF(C4322="Buy",(L4322*G4322*100)+I4322,IF(C4322="Sell",(L4322*G4322*100)-I4322, X))))</f>
        <v/>
      </c>
      <c r="N4322" s="78">
        <f>IF(ISBLANK(L4322),"",IF(AND(C4322="Sell",D4322="Stock"),M4322,IF(ISBLANK(L4322),"",IF(C4322="Buy",M4322, IF(AND(C4322="Sell",J4322="NA"),(E4322*G4322*100*0.1)+I4322, IF(C4322="Sell",(J4322-L4322)*(100*G4322)+I4322))))))</f>
        <v/>
      </c>
      <c r="O4322" s="75" t="n"/>
      <c r="P4322" s="75" t="n"/>
      <c r="Q4322" s="75">
        <f>IF(ISBLANK(P4322),"",IF(D4322="Stock",P4322*G4322,IF(P4322=0,"0",G4322*P4322*100-(G4322*$AF$14))))</f>
        <v/>
      </c>
      <c r="R4322" s="79">
        <f>IF(P4322&lt;&gt;"", TODAY(), "")</f>
        <v/>
      </c>
      <c r="S4322" s="78">
        <f>IF(AND(K4322&lt;&gt;"", R4322&lt;&gt;""), R4322-K4322, "")</f>
        <v/>
      </c>
      <c r="T4322" s="78" t="n"/>
      <c r="U4322" s="92">
        <f>IF(ISBLANK(P4322),"",IF(C4322="Buy",Q4322-M4322+T4322, IF(C4322="Sell",M4322-Q4322-T4322, X)))</f>
        <v/>
      </c>
      <c r="V4322" s="81">
        <f>IF(ISBLANK(P4322),"",U4322/N4322)</f>
        <v/>
      </c>
      <c r="W4322" s="81">
        <f>IF(ISBLANK(P4322),"",IF(S4322=0,(365/0.5)*V4322,(365/S4322)*V4322))</f>
        <v/>
      </c>
      <c r="X4322" s="75" t="n"/>
      <c r="Y4322" s="77" t="n"/>
      <c r="Z4322" s="77" t="n"/>
      <c r="AA4322" s="75" t="n"/>
      <c r="AB4322" s="75" t="n"/>
      <c r="AC4322" s="6" t="n"/>
      <c r="AD4322" s="75" t="n"/>
      <c r="AE4322" s="75" t="n"/>
      <c r="AF4322" s="75" t="n"/>
    </row>
    <row r="4323" ht="15.75" customHeight="1" s="133">
      <c r="A4323" s="75" t="n"/>
      <c r="B4323" s="75" t="n"/>
      <c r="C4323" s="75" t="n"/>
      <c r="D4323" s="75" t="n"/>
      <c r="E4323" s="76" t="n"/>
      <c r="F4323" s="77" t="n"/>
      <c r="G4323" s="75" t="n"/>
      <c r="H4323" s="75">
        <f>IF(ISBLANK(E4323),"",IF(OR(D4323="Butterfly",D4323="Butterfly ",D4323="Iron Fly", D4323="Iron Fly "),LEN(E4323)-LEN(SUBSTITUTE(E4323,"/",""))+2,LEN(E4323)-LEN(SUBSTITUTE(E4323,"/",""))+1))</f>
        <v/>
      </c>
      <c r="I4323" s="78">
        <f>IF(ISBLANK(G4323),"",IF(D4323="Stock","0",Key!$A$3*H4323*G4323))</f>
        <v/>
      </c>
      <c r="J4323" s="78">
        <f>IF(ISBLANK(E4323),"",IF(ISNUMBER(SEARCH("/",E4323)), IF(LEN(E4323)-LEN(SUBSTITUTE(E4323,"/",""))=1,(RIGHT(E4323,LEN(E4323)-FIND("/",E4323)))-(LEFT(E4323,FIND("/",E4323)-1)),(MID(E4323, SEARCH("/",E4323) + 1, SEARCH("/",E4323, SEARCH("/",E4323)+1) - SEARCH("/",E4323) - 1))-(LEFT(E4323,FIND("/",E4323)-1))), "NA"))</f>
        <v/>
      </c>
      <c r="K4323" s="79">
        <f>IF(A4323&lt;&gt;"", IF(ISBLANK(L4323), TODAY(), K4323), "")</f>
        <v/>
      </c>
      <c r="L4323" s="78" t="n"/>
      <c r="M4323" s="78">
        <f>IF(ISBLANK(L4323),"",IF(D4323="Stock",IF(C4323="Buy",L4323*G4323,IF(C4323="Sell",(L4323*G4323)-I4323, X)),IF(C4323="Buy",(L4323*G4323*100)+I4323,IF(C4323="Sell",(L4323*G4323*100)-I4323, X))))</f>
        <v/>
      </c>
      <c r="N4323" s="78">
        <f>IF(ISBLANK(L4323),"",IF(AND(C4323="Sell",D4323="Stock"),M4323,IF(ISBLANK(L4323),"",IF(C4323="Buy",M4323, IF(AND(C4323="Sell",J4323="NA"),(E4323*G4323*100*0.1)+I4323, IF(C4323="Sell",(J4323-L4323)*(100*G4323)+I4323))))))</f>
        <v/>
      </c>
      <c r="O4323" s="75" t="n"/>
      <c r="P4323" s="75" t="n"/>
      <c r="Q4323" s="75">
        <f>IF(ISBLANK(P4323),"",IF(D4323="Stock",P4323*G4323,IF(P4323=0,"0",G4323*P4323*100-(G4323*$AF$14))))</f>
        <v/>
      </c>
      <c r="R4323" s="79">
        <f>IF(P4323&lt;&gt;"", TODAY(), "")</f>
        <v/>
      </c>
      <c r="S4323" s="78">
        <f>IF(AND(K4323&lt;&gt;"", R4323&lt;&gt;""), R4323-K4323, "")</f>
        <v/>
      </c>
      <c r="T4323" s="78" t="n"/>
      <c r="U4323" s="92">
        <f>IF(ISBLANK(P4323),"",IF(C4323="Buy",Q4323-M4323+T4323, IF(C4323="Sell",M4323-Q4323-T4323, X)))</f>
        <v/>
      </c>
      <c r="V4323" s="81">
        <f>IF(ISBLANK(P4323),"",U4323/N4323)</f>
        <v/>
      </c>
      <c r="W4323" s="81">
        <f>IF(ISBLANK(P4323),"",IF(S4323=0,(365/0.5)*V4323,(365/S4323)*V4323))</f>
        <v/>
      </c>
      <c r="X4323" s="75" t="n"/>
      <c r="Y4323" s="77" t="n"/>
      <c r="Z4323" s="77" t="n"/>
      <c r="AA4323" s="75" t="n"/>
      <c r="AB4323" s="75" t="n"/>
      <c r="AC4323" s="6" t="n"/>
      <c r="AD4323" s="75" t="n"/>
      <c r="AE4323" s="75" t="n"/>
      <c r="AF4323" s="75" t="n"/>
    </row>
    <row r="4324" ht="15.75" customHeight="1" s="133">
      <c r="A4324" s="75" t="n"/>
      <c r="B4324" s="75" t="n"/>
      <c r="C4324" s="75" t="n"/>
      <c r="D4324" s="75" t="n"/>
      <c r="E4324" s="76" t="n"/>
      <c r="F4324" s="77" t="n"/>
      <c r="G4324" s="75" t="n"/>
      <c r="H4324" s="75">
        <f>IF(ISBLANK(E4324),"",IF(OR(D4324="Butterfly",D4324="Butterfly ",D4324="Iron Fly", D4324="Iron Fly "),LEN(E4324)-LEN(SUBSTITUTE(E4324,"/",""))+2,LEN(E4324)-LEN(SUBSTITUTE(E4324,"/",""))+1))</f>
        <v/>
      </c>
      <c r="I4324" s="78">
        <f>IF(ISBLANK(G4324),"",IF(D4324="Stock","0",Key!$A$3*H4324*G4324))</f>
        <v/>
      </c>
      <c r="J4324" s="78">
        <f>IF(ISBLANK(E4324),"",IF(ISNUMBER(SEARCH("/",E4324)), IF(LEN(E4324)-LEN(SUBSTITUTE(E4324,"/",""))=1,(RIGHT(E4324,LEN(E4324)-FIND("/",E4324)))-(LEFT(E4324,FIND("/",E4324)-1)),(MID(E4324, SEARCH("/",E4324) + 1, SEARCH("/",E4324, SEARCH("/",E4324)+1) - SEARCH("/",E4324) - 1))-(LEFT(E4324,FIND("/",E4324)-1))), "NA"))</f>
        <v/>
      </c>
      <c r="K4324" s="79">
        <f>IF(A4324&lt;&gt;"", IF(ISBLANK(L4324), TODAY(), K4324), "")</f>
        <v/>
      </c>
      <c r="L4324" s="78" t="n"/>
      <c r="M4324" s="78">
        <f>IF(ISBLANK(L4324),"",IF(D4324="Stock",IF(C4324="Buy",L4324*G4324,IF(C4324="Sell",(L4324*G4324)-I4324, X)),IF(C4324="Buy",(L4324*G4324*100)+I4324,IF(C4324="Sell",(L4324*G4324*100)-I4324, X))))</f>
        <v/>
      </c>
      <c r="N4324" s="78">
        <f>IF(ISBLANK(L4324),"",IF(AND(C4324="Sell",D4324="Stock"),M4324,IF(ISBLANK(L4324),"",IF(C4324="Buy",M4324, IF(AND(C4324="Sell",J4324="NA"),(E4324*G4324*100*0.1)+I4324, IF(C4324="Sell",(J4324-L4324)*(100*G4324)+I4324))))))</f>
        <v/>
      </c>
      <c r="O4324" s="75" t="n"/>
      <c r="P4324" s="75" t="n"/>
      <c r="Q4324" s="75">
        <f>IF(ISBLANK(P4324),"",IF(D4324="Stock",P4324*G4324,IF(P4324=0,"0",G4324*P4324*100-(G4324*$AF$14))))</f>
        <v/>
      </c>
      <c r="R4324" s="79">
        <f>IF(P4324&lt;&gt;"", TODAY(), "")</f>
        <v/>
      </c>
      <c r="S4324" s="78">
        <f>IF(AND(K4324&lt;&gt;"", R4324&lt;&gt;""), R4324-K4324, "")</f>
        <v/>
      </c>
      <c r="T4324" s="78" t="n"/>
      <c r="U4324" s="92">
        <f>IF(ISBLANK(P4324),"",IF(C4324="Buy",Q4324-M4324+T4324, IF(C4324="Sell",M4324-Q4324-T4324, X)))</f>
        <v/>
      </c>
      <c r="V4324" s="81">
        <f>IF(ISBLANK(P4324),"",U4324/N4324)</f>
        <v/>
      </c>
      <c r="W4324" s="81">
        <f>IF(ISBLANK(P4324),"",IF(S4324=0,(365/0.5)*V4324,(365/S4324)*V4324))</f>
        <v/>
      </c>
      <c r="X4324" s="75" t="n"/>
      <c r="Y4324" s="77" t="n"/>
      <c r="Z4324" s="77" t="n"/>
      <c r="AA4324" s="75" t="n"/>
      <c r="AB4324" s="75" t="n"/>
      <c r="AC4324" s="6" t="n"/>
      <c r="AD4324" s="75" t="n"/>
      <c r="AE4324" s="75" t="n"/>
      <c r="AF4324" s="75" t="n"/>
    </row>
    <row r="4325" ht="15.75" customHeight="1" s="133">
      <c r="A4325" s="75" t="n"/>
      <c r="B4325" s="75" t="n"/>
      <c r="C4325" s="75" t="n"/>
      <c r="D4325" s="75" t="n"/>
      <c r="E4325" s="76" t="n"/>
      <c r="F4325" s="77" t="n"/>
      <c r="G4325" s="75" t="n"/>
      <c r="H4325" s="75">
        <f>IF(ISBLANK(E4325),"",IF(OR(D4325="Butterfly",D4325="Butterfly ",D4325="Iron Fly", D4325="Iron Fly "),LEN(E4325)-LEN(SUBSTITUTE(E4325,"/",""))+2,LEN(E4325)-LEN(SUBSTITUTE(E4325,"/",""))+1))</f>
        <v/>
      </c>
      <c r="I4325" s="78">
        <f>IF(ISBLANK(G4325),"",IF(D4325="Stock","0",Key!$A$3*H4325*G4325))</f>
        <v/>
      </c>
      <c r="J4325" s="78">
        <f>IF(ISBLANK(E4325),"",IF(ISNUMBER(SEARCH("/",E4325)), IF(LEN(E4325)-LEN(SUBSTITUTE(E4325,"/",""))=1,(RIGHT(E4325,LEN(E4325)-FIND("/",E4325)))-(LEFT(E4325,FIND("/",E4325)-1)),(MID(E4325, SEARCH("/",E4325) + 1, SEARCH("/",E4325, SEARCH("/",E4325)+1) - SEARCH("/",E4325) - 1))-(LEFT(E4325,FIND("/",E4325)-1))), "NA"))</f>
        <v/>
      </c>
      <c r="K4325" s="79">
        <f>IF(A4325&lt;&gt;"", IF(ISBLANK(L4325), TODAY(), K4325), "")</f>
        <v/>
      </c>
      <c r="L4325" s="78" t="n"/>
      <c r="M4325" s="78">
        <f>IF(ISBLANK(L4325),"",IF(D4325="Stock",IF(C4325="Buy",L4325*G4325,IF(C4325="Sell",(L4325*G4325)-I4325, X)),IF(C4325="Buy",(L4325*G4325*100)+I4325,IF(C4325="Sell",(L4325*G4325*100)-I4325, X))))</f>
        <v/>
      </c>
      <c r="N4325" s="78">
        <f>IF(ISBLANK(L4325),"",IF(AND(C4325="Sell",D4325="Stock"),M4325,IF(ISBLANK(L4325),"",IF(C4325="Buy",M4325, IF(AND(C4325="Sell",J4325="NA"),(E4325*G4325*100*0.1)+I4325, IF(C4325="Sell",(J4325-L4325)*(100*G4325)+I4325))))))</f>
        <v/>
      </c>
      <c r="O4325" s="75" t="n"/>
      <c r="P4325" s="75" t="n"/>
      <c r="Q4325" s="75">
        <f>IF(ISBLANK(P4325),"",IF(D4325="Stock",P4325*G4325,IF(P4325=0,"0",G4325*P4325*100-(G4325*$AF$14))))</f>
        <v/>
      </c>
      <c r="R4325" s="79">
        <f>IF(P4325&lt;&gt;"", TODAY(), "")</f>
        <v/>
      </c>
      <c r="S4325" s="78">
        <f>IF(AND(K4325&lt;&gt;"", R4325&lt;&gt;""), R4325-K4325, "")</f>
        <v/>
      </c>
      <c r="T4325" s="78" t="n"/>
      <c r="U4325" s="92">
        <f>IF(ISBLANK(P4325),"",IF(C4325="Buy",Q4325-M4325+T4325, IF(C4325="Sell",M4325-Q4325-T4325, X)))</f>
        <v/>
      </c>
      <c r="V4325" s="81">
        <f>IF(ISBLANK(P4325),"",U4325/N4325)</f>
        <v/>
      </c>
      <c r="W4325" s="81">
        <f>IF(ISBLANK(P4325),"",IF(S4325=0,(365/0.5)*V4325,(365/S4325)*V4325))</f>
        <v/>
      </c>
      <c r="X4325" s="75" t="n"/>
      <c r="Y4325" s="77" t="n"/>
      <c r="Z4325" s="77" t="n"/>
      <c r="AA4325" s="75" t="n"/>
      <c r="AB4325" s="75" t="n"/>
      <c r="AC4325" s="6" t="n"/>
      <c r="AD4325" s="75" t="n"/>
      <c r="AE4325" s="75" t="n"/>
      <c r="AF4325" s="75" t="n"/>
    </row>
    <row r="4326" ht="15.75" customHeight="1" s="133">
      <c r="A4326" s="75" t="n"/>
      <c r="B4326" s="75" t="n"/>
      <c r="C4326" s="75" t="n"/>
      <c r="D4326" s="75" t="n"/>
      <c r="E4326" s="76" t="n"/>
      <c r="F4326" s="77" t="n"/>
      <c r="G4326" s="75" t="n"/>
      <c r="H4326" s="75">
        <f>IF(ISBLANK(E4326),"",IF(OR(D4326="Butterfly",D4326="Butterfly ",D4326="Iron Fly", D4326="Iron Fly "),LEN(E4326)-LEN(SUBSTITUTE(E4326,"/",""))+2,LEN(E4326)-LEN(SUBSTITUTE(E4326,"/",""))+1))</f>
        <v/>
      </c>
      <c r="I4326" s="78">
        <f>IF(ISBLANK(G4326),"",IF(D4326="Stock","0",Key!$A$3*H4326*G4326))</f>
        <v/>
      </c>
      <c r="J4326" s="78">
        <f>IF(ISBLANK(E4326),"",IF(ISNUMBER(SEARCH("/",E4326)), IF(LEN(E4326)-LEN(SUBSTITUTE(E4326,"/",""))=1,(RIGHT(E4326,LEN(E4326)-FIND("/",E4326)))-(LEFT(E4326,FIND("/",E4326)-1)),(MID(E4326, SEARCH("/",E4326) + 1, SEARCH("/",E4326, SEARCH("/",E4326)+1) - SEARCH("/",E4326) - 1))-(LEFT(E4326,FIND("/",E4326)-1))), "NA"))</f>
        <v/>
      </c>
      <c r="K4326" s="79">
        <f>IF(A4326&lt;&gt;"", IF(ISBLANK(L4326), TODAY(), K4326), "")</f>
        <v/>
      </c>
      <c r="L4326" s="78" t="n"/>
      <c r="M4326" s="78">
        <f>IF(ISBLANK(L4326),"",IF(D4326="Stock",IF(C4326="Buy",L4326*G4326,IF(C4326="Sell",(L4326*G4326)-I4326, X)),IF(C4326="Buy",(L4326*G4326*100)+I4326,IF(C4326="Sell",(L4326*G4326*100)-I4326, X))))</f>
        <v/>
      </c>
      <c r="N4326" s="78">
        <f>IF(ISBLANK(L4326),"",IF(AND(C4326="Sell",D4326="Stock"),M4326,IF(ISBLANK(L4326),"",IF(C4326="Buy",M4326, IF(AND(C4326="Sell",J4326="NA"),(E4326*G4326*100*0.1)+I4326, IF(C4326="Sell",(J4326-L4326)*(100*G4326)+I4326))))))</f>
        <v/>
      </c>
      <c r="O4326" s="75" t="n"/>
      <c r="P4326" s="75" t="n"/>
      <c r="Q4326" s="75">
        <f>IF(ISBLANK(P4326),"",IF(D4326="Stock",P4326*G4326,IF(P4326=0,"0",G4326*P4326*100-(G4326*$AF$14))))</f>
        <v/>
      </c>
      <c r="R4326" s="79">
        <f>IF(P4326&lt;&gt;"", TODAY(), "")</f>
        <v/>
      </c>
      <c r="S4326" s="78">
        <f>IF(AND(K4326&lt;&gt;"", R4326&lt;&gt;""), R4326-K4326, "")</f>
        <v/>
      </c>
      <c r="T4326" s="78" t="n"/>
      <c r="U4326" s="92">
        <f>IF(ISBLANK(P4326),"",IF(C4326="Buy",Q4326-M4326+T4326, IF(C4326="Sell",M4326-Q4326-T4326, X)))</f>
        <v/>
      </c>
      <c r="V4326" s="81">
        <f>IF(ISBLANK(P4326),"",U4326/N4326)</f>
        <v/>
      </c>
      <c r="W4326" s="81">
        <f>IF(ISBLANK(P4326),"",IF(S4326=0,(365/0.5)*V4326,(365/S4326)*V4326))</f>
        <v/>
      </c>
      <c r="X4326" s="75" t="n"/>
      <c r="Y4326" s="77" t="n"/>
      <c r="Z4326" s="77" t="n"/>
      <c r="AA4326" s="75" t="n"/>
      <c r="AB4326" s="75" t="n"/>
      <c r="AC4326" s="6" t="n"/>
      <c r="AD4326" s="75" t="n"/>
      <c r="AE4326" s="75" t="n"/>
      <c r="AF4326" s="75" t="n"/>
    </row>
    <row r="4327" ht="15.75" customHeight="1" s="133">
      <c r="A4327" s="75" t="n"/>
      <c r="B4327" s="75" t="n"/>
      <c r="C4327" s="75" t="n"/>
      <c r="D4327" s="75" t="n"/>
      <c r="E4327" s="76" t="n"/>
      <c r="F4327" s="77" t="n"/>
      <c r="G4327" s="75" t="n"/>
      <c r="H4327" s="75">
        <f>IF(ISBLANK(E4327),"",IF(OR(D4327="Butterfly",D4327="Butterfly ",D4327="Iron Fly", D4327="Iron Fly "),LEN(E4327)-LEN(SUBSTITUTE(E4327,"/",""))+2,LEN(E4327)-LEN(SUBSTITUTE(E4327,"/",""))+1))</f>
        <v/>
      </c>
      <c r="I4327" s="78">
        <f>IF(ISBLANK(G4327),"",IF(D4327="Stock","0",Key!$A$3*H4327*G4327))</f>
        <v/>
      </c>
      <c r="J4327" s="78">
        <f>IF(ISBLANK(E4327),"",IF(ISNUMBER(SEARCH("/",E4327)), IF(LEN(E4327)-LEN(SUBSTITUTE(E4327,"/",""))=1,(RIGHT(E4327,LEN(E4327)-FIND("/",E4327)))-(LEFT(E4327,FIND("/",E4327)-1)),(MID(E4327, SEARCH("/",E4327) + 1, SEARCH("/",E4327, SEARCH("/",E4327)+1) - SEARCH("/",E4327) - 1))-(LEFT(E4327,FIND("/",E4327)-1))), "NA"))</f>
        <v/>
      </c>
      <c r="K4327" s="79">
        <f>IF(A4327&lt;&gt;"", IF(ISBLANK(L4327), TODAY(), K4327), "")</f>
        <v/>
      </c>
      <c r="L4327" s="78" t="n"/>
      <c r="M4327" s="78">
        <f>IF(ISBLANK(L4327),"",IF(D4327="Stock",IF(C4327="Buy",L4327*G4327,IF(C4327="Sell",(L4327*G4327)-I4327, X)),IF(C4327="Buy",(L4327*G4327*100)+I4327,IF(C4327="Sell",(L4327*G4327*100)-I4327, X))))</f>
        <v/>
      </c>
      <c r="N4327" s="78">
        <f>IF(ISBLANK(L4327),"",IF(AND(C4327="Sell",D4327="Stock"),M4327,IF(ISBLANK(L4327),"",IF(C4327="Buy",M4327, IF(AND(C4327="Sell",J4327="NA"),(E4327*G4327*100*0.1)+I4327, IF(C4327="Sell",(J4327-L4327)*(100*G4327)+I4327))))))</f>
        <v/>
      </c>
      <c r="O4327" s="75" t="n"/>
      <c r="P4327" s="75" t="n"/>
      <c r="Q4327" s="75">
        <f>IF(ISBLANK(P4327),"",IF(D4327="Stock",P4327*G4327,IF(P4327=0,"0",G4327*P4327*100-(G4327*$AF$14))))</f>
        <v/>
      </c>
      <c r="R4327" s="79">
        <f>IF(P4327&lt;&gt;"", TODAY(), "")</f>
        <v/>
      </c>
      <c r="S4327" s="78">
        <f>IF(AND(K4327&lt;&gt;"", R4327&lt;&gt;""), R4327-K4327, "")</f>
        <v/>
      </c>
      <c r="T4327" s="78" t="n"/>
      <c r="U4327" s="92">
        <f>IF(ISBLANK(P4327),"",IF(C4327="Buy",Q4327-M4327+T4327, IF(C4327="Sell",M4327-Q4327-T4327, X)))</f>
        <v/>
      </c>
      <c r="V4327" s="81">
        <f>IF(ISBLANK(P4327),"",U4327/N4327)</f>
        <v/>
      </c>
      <c r="W4327" s="81">
        <f>IF(ISBLANK(P4327),"",IF(S4327=0,(365/0.5)*V4327,(365/S4327)*V4327))</f>
        <v/>
      </c>
      <c r="X4327" s="75" t="n"/>
      <c r="Y4327" s="77" t="n"/>
      <c r="Z4327" s="77" t="n"/>
      <c r="AA4327" s="75" t="n"/>
      <c r="AB4327" s="75" t="n"/>
      <c r="AC4327" s="6" t="n"/>
      <c r="AD4327" s="75" t="n"/>
      <c r="AE4327" s="75" t="n"/>
      <c r="AF4327" s="75" t="n"/>
    </row>
    <row r="4328" ht="15.75" customHeight="1" s="133">
      <c r="A4328" s="75" t="n"/>
      <c r="B4328" s="75" t="n"/>
      <c r="C4328" s="75" t="n"/>
      <c r="D4328" s="75" t="n"/>
      <c r="E4328" s="76" t="n"/>
      <c r="F4328" s="77" t="n"/>
      <c r="G4328" s="75" t="n"/>
      <c r="H4328" s="75">
        <f>IF(ISBLANK(E4328),"",IF(OR(D4328="Butterfly",D4328="Butterfly ",D4328="Iron Fly", D4328="Iron Fly "),LEN(E4328)-LEN(SUBSTITUTE(E4328,"/",""))+2,LEN(E4328)-LEN(SUBSTITUTE(E4328,"/",""))+1))</f>
        <v/>
      </c>
      <c r="I4328" s="78">
        <f>IF(ISBLANK(G4328),"",IF(D4328="Stock","0",Key!$A$3*H4328*G4328))</f>
        <v/>
      </c>
      <c r="J4328" s="78">
        <f>IF(ISBLANK(E4328),"",IF(ISNUMBER(SEARCH("/",E4328)), IF(LEN(E4328)-LEN(SUBSTITUTE(E4328,"/",""))=1,(RIGHT(E4328,LEN(E4328)-FIND("/",E4328)))-(LEFT(E4328,FIND("/",E4328)-1)),(MID(E4328, SEARCH("/",E4328) + 1, SEARCH("/",E4328, SEARCH("/",E4328)+1) - SEARCH("/",E4328) - 1))-(LEFT(E4328,FIND("/",E4328)-1))), "NA"))</f>
        <v/>
      </c>
      <c r="K4328" s="79">
        <f>IF(A4328&lt;&gt;"", IF(ISBLANK(L4328), TODAY(), K4328), "")</f>
        <v/>
      </c>
      <c r="L4328" s="78" t="n"/>
      <c r="M4328" s="78">
        <f>IF(ISBLANK(L4328),"",IF(D4328="Stock",IF(C4328="Buy",L4328*G4328,IF(C4328="Sell",(L4328*G4328)-I4328, X)),IF(C4328="Buy",(L4328*G4328*100)+I4328,IF(C4328="Sell",(L4328*G4328*100)-I4328, X))))</f>
        <v/>
      </c>
      <c r="N4328" s="78">
        <f>IF(ISBLANK(L4328),"",IF(AND(C4328="Sell",D4328="Stock"),M4328,IF(ISBLANK(L4328),"",IF(C4328="Buy",M4328, IF(AND(C4328="Sell",J4328="NA"),(E4328*G4328*100*0.1)+I4328, IF(C4328="Sell",(J4328-L4328)*(100*G4328)+I4328))))))</f>
        <v/>
      </c>
      <c r="O4328" s="75" t="n"/>
      <c r="P4328" s="75" t="n"/>
      <c r="Q4328" s="75">
        <f>IF(ISBLANK(P4328),"",IF(D4328="Stock",P4328*G4328,IF(P4328=0,"0",G4328*P4328*100-(G4328*$AF$14))))</f>
        <v/>
      </c>
      <c r="R4328" s="79">
        <f>IF(P4328&lt;&gt;"", TODAY(), "")</f>
        <v/>
      </c>
      <c r="S4328" s="78">
        <f>IF(AND(K4328&lt;&gt;"", R4328&lt;&gt;""), R4328-K4328, "")</f>
        <v/>
      </c>
      <c r="T4328" s="78" t="n"/>
      <c r="U4328" s="92">
        <f>IF(ISBLANK(P4328),"",IF(C4328="Buy",Q4328-M4328+T4328, IF(C4328="Sell",M4328-Q4328-T4328, X)))</f>
        <v/>
      </c>
      <c r="V4328" s="81">
        <f>IF(ISBLANK(P4328),"",U4328/N4328)</f>
        <v/>
      </c>
      <c r="W4328" s="81">
        <f>IF(ISBLANK(P4328),"",IF(S4328=0,(365/0.5)*V4328,(365/S4328)*V4328))</f>
        <v/>
      </c>
      <c r="X4328" s="75" t="n"/>
      <c r="Y4328" s="77" t="n"/>
      <c r="Z4328" s="77" t="n"/>
      <c r="AA4328" s="75" t="n"/>
      <c r="AB4328" s="75" t="n"/>
      <c r="AC4328" s="6" t="n"/>
      <c r="AD4328" s="75" t="n"/>
      <c r="AE4328" s="75" t="n"/>
      <c r="AF4328" s="75" t="n"/>
    </row>
    <row r="4329" ht="15.75" customHeight="1" s="133">
      <c r="A4329" s="75" t="n"/>
      <c r="B4329" s="75" t="n"/>
      <c r="C4329" s="75" t="n"/>
      <c r="D4329" s="75" t="n"/>
      <c r="E4329" s="76" t="n"/>
      <c r="F4329" s="77" t="n"/>
      <c r="G4329" s="75" t="n"/>
      <c r="H4329" s="75">
        <f>IF(ISBLANK(E4329),"",IF(OR(D4329="Butterfly",D4329="Butterfly ",D4329="Iron Fly", D4329="Iron Fly "),LEN(E4329)-LEN(SUBSTITUTE(E4329,"/",""))+2,LEN(E4329)-LEN(SUBSTITUTE(E4329,"/",""))+1))</f>
        <v/>
      </c>
      <c r="I4329" s="78">
        <f>IF(ISBLANK(G4329),"",IF(D4329="Stock","0",Key!$A$3*H4329*G4329))</f>
        <v/>
      </c>
      <c r="J4329" s="78">
        <f>IF(ISBLANK(E4329),"",IF(ISNUMBER(SEARCH("/",E4329)), IF(LEN(E4329)-LEN(SUBSTITUTE(E4329,"/",""))=1,(RIGHT(E4329,LEN(E4329)-FIND("/",E4329)))-(LEFT(E4329,FIND("/",E4329)-1)),(MID(E4329, SEARCH("/",E4329) + 1, SEARCH("/",E4329, SEARCH("/",E4329)+1) - SEARCH("/",E4329) - 1))-(LEFT(E4329,FIND("/",E4329)-1))), "NA"))</f>
        <v/>
      </c>
      <c r="K4329" s="79">
        <f>IF(A4329&lt;&gt;"", IF(ISBLANK(L4329), TODAY(), K4329), "")</f>
        <v/>
      </c>
      <c r="L4329" s="78" t="n"/>
      <c r="M4329" s="78">
        <f>IF(ISBLANK(L4329),"",IF(D4329="Stock",IF(C4329="Buy",L4329*G4329,IF(C4329="Sell",(L4329*G4329)-I4329, X)),IF(C4329="Buy",(L4329*G4329*100)+I4329,IF(C4329="Sell",(L4329*G4329*100)-I4329, X))))</f>
        <v/>
      </c>
      <c r="N4329" s="78">
        <f>IF(ISBLANK(L4329),"",IF(AND(C4329="Sell",D4329="Stock"),M4329,IF(ISBLANK(L4329),"",IF(C4329="Buy",M4329, IF(AND(C4329="Sell",J4329="NA"),(E4329*G4329*100*0.1)+I4329, IF(C4329="Sell",(J4329-L4329)*(100*G4329)+I4329))))))</f>
        <v/>
      </c>
      <c r="O4329" s="75" t="n"/>
      <c r="P4329" s="75" t="n"/>
      <c r="Q4329" s="75">
        <f>IF(ISBLANK(P4329),"",IF(D4329="Stock",P4329*G4329,IF(P4329=0,"0",G4329*P4329*100-(G4329*$AF$14))))</f>
        <v/>
      </c>
      <c r="R4329" s="79">
        <f>IF(P4329&lt;&gt;"", TODAY(), "")</f>
        <v/>
      </c>
      <c r="S4329" s="78">
        <f>IF(AND(K4329&lt;&gt;"", R4329&lt;&gt;""), R4329-K4329, "")</f>
        <v/>
      </c>
      <c r="T4329" s="78" t="n"/>
      <c r="U4329" s="92">
        <f>IF(ISBLANK(P4329),"",IF(C4329="Buy",Q4329-M4329+T4329, IF(C4329="Sell",M4329-Q4329-T4329, X)))</f>
        <v/>
      </c>
      <c r="V4329" s="81">
        <f>IF(ISBLANK(P4329),"",U4329/N4329)</f>
        <v/>
      </c>
      <c r="W4329" s="81">
        <f>IF(ISBLANK(P4329),"",IF(S4329=0,(365/0.5)*V4329,(365/S4329)*V4329))</f>
        <v/>
      </c>
      <c r="X4329" s="75" t="n"/>
      <c r="Y4329" s="77" t="n"/>
      <c r="Z4329" s="77" t="n"/>
      <c r="AA4329" s="75" t="n"/>
      <c r="AB4329" s="75" t="n"/>
      <c r="AC4329" s="6" t="n"/>
      <c r="AD4329" s="75" t="n"/>
      <c r="AE4329" s="75" t="n"/>
      <c r="AF4329" s="75" t="n"/>
    </row>
    <row r="4330" ht="15.75" customHeight="1" s="133">
      <c r="A4330" s="75" t="n"/>
      <c r="B4330" s="75" t="n"/>
      <c r="C4330" s="75" t="n"/>
      <c r="D4330" s="75" t="n"/>
      <c r="E4330" s="76" t="n"/>
      <c r="F4330" s="77" t="n"/>
      <c r="G4330" s="75" t="n"/>
      <c r="H4330" s="75">
        <f>IF(ISBLANK(E4330),"",IF(OR(D4330="Butterfly",D4330="Butterfly ",D4330="Iron Fly", D4330="Iron Fly "),LEN(E4330)-LEN(SUBSTITUTE(E4330,"/",""))+2,LEN(E4330)-LEN(SUBSTITUTE(E4330,"/",""))+1))</f>
        <v/>
      </c>
      <c r="I4330" s="78">
        <f>IF(ISBLANK(G4330),"",IF(D4330="Stock","0",Key!$A$3*H4330*G4330))</f>
        <v/>
      </c>
      <c r="J4330" s="78">
        <f>IF(ISBLANK(E4330),"",IF(ISNUMBER(SEARCH("/",E4330)), IF(LEN(E4330)-LEN(SUBSTITUTE(E4330,"/",""))=1,(RIGHT(E4330,LEN(E4330)-FIND("/",E4330)))-(LEFT(E4330,FIND("/",E4330)-1)),(MID(E4330, SEARCH("/",E4330) + 1, SEARCH("/",E4330, SEARCH("/",E4330)+1) - SEARCH("/",E4330) - 1))-(LEFT(E4330,FIND("/",E4330)-1))), "NA"))</f>
        <v/>
      </c>
      <c r="K4330" s="79">
        <f>IF(A4330&lt;&gt;"", IF(ISBLANK(L4330), TODAY(), K4330), "")</f>
        <v/>
      </c>
      <c r="L4330" s="78" t="n"/>
      <c r="M4330" s="78">
        <f>IF(ISBLANK(L4330),"",IF(D4330="Stock",IF(C4330="Buy",L4330*G4330,IF(C4330="Sell",(L4330*G4330)-I4330, X)),IF(C4330="Buy",(L4330*G4330*100)+I4330,IF(C4330="Sell",(L4330*G4330*100)-I4330, X))))</f>
        <v/>
      </c>
      <c r="N4330" s="78">
        <f>IF(ISBLANK(L4330),"",IF(AND(C4330="Sell",D4330="Stock"),M4330,IF(ISBLANK(L4330),"",IF(C4330="Buy",M4330, IF(AND(C4330="Sell",J4330="NA"),(E4330*G4330*100*0.1)+I4330, IF(C4330="Sell",(J4330-L4330)*(100*G4330)+I4330))))))</f>
        <v/>
      </c>
      <c r="O4330" s="75" t="n"/>
      <c r="P4330" s="75" t="n"/>
      <c r="Q4330" s="75">
        <f>IF(ISBLANK(P4330),"",IF(D4330="Stock",P4330*G4330,IF(P4330=0,"0",G4330*P4330*100-(G4330*$AF$14))))</f>
        <v/>
      </c>
      <c r="R4330" s="79">
        <f>IF(P4330&lt;&gt;"", TODAY(), "")</f>
        <v/>
      </c>
      <c r="S4330" s="78">
        <f>IF(AND(K4330&lt;&gt;"", R4330&lt;&gt;""), R4330-K4330, "")</f>
        <v/>
      </c>
      <c r="T4330" s="78" t="n"/>
      <c r="U4330" s="92">
        <f>IF(ISBLANK(P4330),"",IF(C4330="Buy",Q4330-M4330+T4330, IF(C4330="Sell",M4330-Q4330-T4330, X)))</f>
        <v/>
      </c>
      <c r="V4330" s="81">
        <f>IF(ISBLANK(P4330),"",U4330/N4330)</f>
        <v/>
      </c>
      <c r="W4330" s="81">
        <f>IF(ISBLANK(P4330),"",IF(S4330=0,(365/0.5)*V4330,(365/S4330)*V4330))</f>
        <v/>
      </c>
      <c r="X4330" s="75" t="n"/>
      <c r="Y4330" s="77" t="n"/>
      <c r="Z4330" s="77" t="n"/>
      <c r="AA4330" s="75" t="n"/>
      <c r="AB4330" s="75" t="n"/>
      <c r="AC4330" s="6" t="n"/>
      <c r="AD4330" s="75" t="n"/>
      <c r="AE4330" s="75" t="n"/>
      <c r="AF4330" s="75" t="n"/>
    </row>
    <row r="4331" ht="15.75" customHeight="1" s="133">
      <c r="A4331" s="75" t="n"/>
      <c r="B4331" s="75" t="n"/>
      <c r="C4331" s="75" t="n"/>
      <c r="D4331" s="75" t="n"/>
      <c r="E4331" s="76" t="n"/>
      <c r="F4331" s="77" t="n"/>
      <c r="G4331" s="75" t="n"/>
      <c r="H4331" s="75">
        <f>IF(ISBLANK(E4331),"",IF(OR(D4331="Butterfly",D4331="Butterfly ",D4331="Iron Fly", D4331="Iron Fly "),LEN(E4331)-LEN(SUBSTITUTE(E4331,"/",""))+2,LEN(E4331)-LEN(SUBSTITUTE(E4331,"/",""))+1))</f>
        <v/>
      </c>
      <c r="I4331" s="78">
        <f>IF(ISBLANK(G4331),"",IF(D4331="Stock","0",Key!$A$3*H4331*G4331))</f>
        <v/>
      </c>
      <c r="J4331" s="78">
        <f>IF(ISBLANK(E4331),"",IF(ISNUMBER(SEARCH("/",E4331)), IF(LEN(E4331)-LEN(SUBSTITUTE(E4331,"/",""))=1,(RIGHT(E4331,LEN(E4331)-FIND("/",E4331)))-(LEFT(E4331,FIND("/",E4331)-1)),(MID(E4331, SEARCH("/",E4331) + 1, SEARCH("/",E4331, SEARCH("/",E4331)+1) - SEARCH("/",E4331) - 1))-(LEFT(E4331,FIND("/",E4331)-1))), "NA"))</f>
        <v/>
      </c>
      <c r="K4331" s="79">
        <f>IF(A4331&lt;&gt;"", IF(ISBLANK(L4331), TODAY(), K4331), "")</f>
        <v/>
      </c>
      <c r="L4331" s="78" t="n"/>
      <c r="M4331" s="78">
        <f>IF(ISBLANK(L4331),"",IF(D4331="Stock",IF(C4331="Buy",L4331*G4331,IF(C4331="Sell",(L4331*G4331)-I4331, X)),IF(C4331="Buy",(L4331*G4331*100)+I4331,IF(C4331="Sell",(L4331*G4331*100)-I4331, X))))</f>
        <v/>
      </c>
      <c r="N4331" s="78">
        <f>IF(ISBLANK(L4331),"",IF(AND(C4331="Sell",D4331="Stock"),M4331,IF(ISBLANK(L4331),"",IF(C4331="Buy",M4331, IF(AND(C4331="Sell",J4331="NA"),(E4331*G4331*100*0.1)+I4331, IF(C4331="Sell",(J4331-L4331)*(100*G4331)+I4331))))))</f>
        <v/>
      </c>
      <c r="O4331" s="75" t="n"/>
      <c r="P4331" s="75" t="n"/>
      <c r="Q4331" s="75">
        <f>IF(ISBLANK(P4331),"",IF(D4331="Stock",P4331*G4331,IF(P4331=0,"0",G4331*P4331*100-(G4331*$AF$14))))</f>
        <v/>
      </c>
      <c r="R4331" s="79">
        <f>IF(P4331&lt;&gt;"", TODAY(), "")</f>
        <v/>
      </c>
      <c r="S4331" s="78">
        <f>IF(AND(K4331&lt;&gt;"", R4331&lt;&gt;""), R4331-K4331, "")</f>
        <v/>
      </c>
      <c r="T4331" s="78" t="n"/>
      <c r="U4331" s="92">
        <f>IF(ISBLANK(P4331),"",IF(C4331="Buy",Q4331-M4331+T4331, IF(C4331="Sell",M4331-Q4331-T4331, X)))</f>
        <v/>
      </c>
      <c r="V4331" s="81">
        <f>IF(ISBLANK(P4331),"",U4331/N4331)</f>
        <v/>
      </c>
      <c r="W4331" s="81">
        <f>IF(ISBLANK(P4331),"",IF(S4331=0,(365/0.5)*V4331,(365/S4331)*V4331))</f>
        <v/>
      </c>
      <c r="X4331" s="75" t="n"/>
      <c r="Y4331" s="77" t="n"/>
      <c r="Z4331" s="77" t="n"/>
      <c r="AA4331" s="75" t="n"/>
      <c r="AB4331" s="75" t="n"/>
      <c r="AC4331" s="6" t="n"/>
      <c r="AD4331" s="75" t="n"/>
      <c r="AE4331" s="75" t="n"/>
      <c r="AF4331" s="75" t="n"/>
    </row>
    <row r="4332" ht="15.75" customHeight="1" s="133">
      <c r="A4332" s="75" t="n"/>
      <c r="B4332" s="75" t="n"/>
      <c r="C4332" s="75" t="n"/>
      <c r="D4332" s="75" t="n"/>
      <c r="E4332" s="76" t="n"/>
      <c r="F4332" s="77" t="n"/>
      <c r="G4332" s="75" t="n"/>
      <c r="H4332" s="75">
        <f>IF(ISBLANK(E4332),"",IF(OR(D4332="Butterfly",D4332="Butterfly ",D4332="Iron Fly", D4332="Iron Fly "),LEN(E4332)-LEN(SUBSTITUTE(E4332,"/",""))+2,LEN(E4332)-LEN(SUBSTITUTE(E4332,"/",""))+1))</f>
        <v/>
      </c>
      <c r="I4332" s="78">
        <f>IF(ISBLANK(G4332),"",IF(D4332="Stock","0",Key!$A$3*H4332*G4332))</f>
        <v/>
      </c>
      <c r="J4332" s="78">
        <f>IF(ISBLANK(E4332),"",IF(ISNUMBER(SEARCH("/",E4332)), IF(LEN(E4332)-LEN(SUBSTITUTE(E4332,"/",""))=1,(RIGHT(E4332,LEN(E4332)-FIND("/",E4332)))-(LEFT(E4332,FIND("/",E4332)-1)),(MID(E4332, SEARCH("/",E4332) + 1, SEARCH("/",E4332, SEARCH("/",E4332)+1) - SEARCH("/",E4332) - 1))-(LEFT(E4332,FIND("/",E4332)-1))), "NA"))</f>
        <v/>
      </c>
      <c r="K4332" s="79">
        <f>IF(A4332&lt;&gt;"", IF(ISBLANK(L4332), TODAY(), K4332), "")</f>
        <v/>
      </c>
      <c r="L4332" s="78" t="n"/>
      <c r="M4332" s="78">
        <f>IF(ISBLANK(L4332),"",IF(D4332="Stock",IF(C4332="Buy",L4332*G4332,IF(C4332="Sell",(L4332*G4332)-I4332, X)),IF(C4332="Buy",(L4332*G4332*100)+I4332,IF(C4332="Sell",(L4332*G4332*100)-I4332, X))))</f>
        <v/>
      </c>
      <c r="N4332" s="78">
        <f>IF(ISBLANK(L4332),"",IF(AND(C4332="Sell",D4332="Stock"),M4332,IF(ISBLANK(L4332),"",IF(C4332="Buy",M4332, IF(AND(C4332="Sell",J4332="NA"),(E4332*G4332*100*0.1)+I4332, IF(C4332="Sell",(J4332-L4332)*(100*G4332)+I4332))))))</f>
        <v/>
      </c>
      <c r="O4332" s="75" t="n"/>
      <c r="P4332" s="75" t="n"/>
      <c r="Q4332" s="75">
        <f>IF(ISBLANK(P4332),"",IF(D4332="Stock",P4332*G4332,IF(P4332=0,"0",G4332*P4332*100-(G4332*$AF$14))))</f>
        <v/>
      </c>
      <c r="R4332" s="79">
        <f>IF(P4332&lt;&gt;"", TODAY(), "")</f>
        <v/>
      </c>
      <c r="S4332" s="78">
        <f>IF(AND(K4332&lt;&gt;"", R4332&lt;&gt;""), R4332-K4332, "")</f>
        <v/>
      </c>
      <c r="T4332" s="78" t="n"/>
      <c r="U4332" s="92">
        <f>IF(ISBLANK(P4332),"",IF(C4332="Buy",Q4332-M4332+T4332, IF(C4332="Sell",M4332-Q4332-T4332, X)))</f>
        <v/>
      </c>
      <c r="V4332" s="81">
        <f>IF(ISBLANK(P4332),"",U4332/N4332)</f>
        <v/>
      </c>
      <c r="W4332" s="81">
        <f>IF(ISBLANK(P4332),"",IF(S4332=0,(365/0.5)*V4332,(365/S4332)*V4332))</f>
        <v/>
      </c>
      <c r="X4332" s="75" t="n"/>
      <c r="Y4332" s="77" t="n"/>
      <c r="Z4332" s="77" t="n"/>
      <c r="AA4332" s="75" t="n"/>
      <c r="AB4332" s="75" t="n"/>
      <c r="AC4332" s="6" t="n"/>
      <c r="AD4332" s="75" t="n"/>
      <c r="AE4332" s="75" t="n"/>
      <c r="AF4332" s="75" t="n"/>
    </row>
    <row r="4333" ht="15.75" customHeight="1" s="133">
      <c r="A4333" s="75" t="n"/>
      <c r="B4333" s="75" t="n"/>
      <c r="C4333" s="75" t="n"/>
      <c r="D4333" s="75" t="n"/>
      <c r="E4333" s="76" t="n"/>
      <c r="F4333" s="77" t="n"/>
      <c r="G4333" s="75" t="n"/>
      <c r="H4333" s="75">
        <f>IF(ISBLANK(E4333),"",IF(OR(D4333="Butterfly",D4333="Butterfly ",D4333="Iron Fly", D4333="Iron Fly "),LEN(E4333)-LEN(SUBSTITUTE(E4333,"/",""))+2,LEN(E4333)-LEN(SUBSTITUTE(E4333,"/",""))+1))</f>
        <v/>
      </c>
      <c r="I4333" s="78">
        <f>IF(ISBLANK(G4333),"",IF(D4333="Stock","0",Key!$A$3*H4333*G4333))</f>
        <v/>
      </c>
      <c r="J4333" s="78">
        <f>IF(ISBLANK(E4333),"",IF(ISNUMBER(SEARCH("/",E4333)), IF(LEN(E4333)-LEN(SUBSTITUTE(E4333,"/",""))=1,(RIGHT(E4333,LEN(E4333)-FIND("/",E4333)))-(LEFT(E4333,FIND("/",E4333)-1)),(MID(E4333, SEARCH("/",E4333) + 1, SEARCH("/",E4333, SEARCH("/",E4333)+1) - SEARCH("/",E4333) - 1))-(LEFT(E4333,FIND("/",E4333)-1))), "NA"))</f>
        <v/>
      </c>
      <c r="K4333" s="79">
        <f>IF(A4333&lt;&gt;"", IF(ISBLANK(L4333), TODAY(), K4333), "")</f>
        <v/>
      </c>
      <c r="L4333" s="78" t="n"/>
      <c r="M4333" s="78">
        <f>IF(ISBLANK(L4333),"",IF(D4333="Stock",IF(C4333="Buy",L4333*G4333,IF(C4333="Sell",(L4333*G4333)-I4333, X)),IF(C4333="Buy",(L4333*G4333*100)+I4333,IF(C4333="Sell",(L4333*G4333*100)-I4333, X))))</f>
        <v/>
      </c>
      <c r="N4333" s="78">
        <f>IF(ISBLANK(L4333),"",IF(AND(C4333="Sell",D4333="Stock"),M4333,IF(ISBLANK(L4333),"",IF(C4333="Buy",M4333, IF(AND(C4333="Sell",J4333="NA"),(E4333*G4333*100*0.1)+I4333, IF(C4333="Sell",(J4333-L4333)*(100*G4333)+I4333))))))</f>
        <v/>
      </c>
      <c r="O4333" s="75" t="n"/>
      <c r="P4333" s="75" t="n"/>
      <c r="Q4333" s="75">
        <f>IF(ISBLANK(P4333),"",IF(D4333="Stock",P4333*G4333,IF(P4333=0,"0",G4333*P4333*100-(G4333*$AF$14))))</f>
        <v/>
      </c>
      <c r="R4333" s="79">
        <f>IF(P4333&lt;&gt;"", TODAY(), "")</f>
        <v/>
      </c>
      <c r="S4333" s="78">
        <f>IF(AND(K4333&lt;&gt;"", R4333&lt;&gt;""), R4333-K4333, "")</f>
        <v/>
      </c>
      <c r="T4333" s="78" t="n"/>
      <c r="U4333" s="92">
        <f>IF(ISBLANK(P4333),"",IF(C4333="Buy",Q4333-M4333+T4333, IF(C4333="Sell",M4333-Q4333-T4333, X)))</f>
        <v/>
      </c>
      <c r="V4333" s="81">
        <f>IF(ISBLANK(P4333),"",U4333/N4333)</f>
        <v/>
      </c>
      <c r="W4333" s="81">
        <f>IF(ISBLANK(P4333),"",IF(S4333=0,(365/0.5)*V4333,(365/S4333)*V4333))</f>
        <v/>
      </c>
      <c r="X4333" s="75" t="n"/>
      <c r="Y4333" s="77" t="n"/>
      <c r="Z4333" s="77" t="n"/>
      <c r="AA4333" s="75" t="n"/>
      <c r="AB4333" s="75" t="n"/>
      <c r="AC4333" s="6" t="n"/>
      <c r="AD4333" s="75" t="n"/>
      <c r="AE4333" s="75" t="n"/>
      <c r="AF4333" s="75" t="n"/>
    </row>
    <row r="4334" ht="15.75" customHeight="1" s="133">
      <c r="A4334" s="75" t="n"/>
      <c r="B4334" s="75" t="n"/>
      <c r="C4334" s="75" t="n"/>
      <c r="D4334" s="75" t="n"/>
      <c r="E4334" s="76" t="n"/>
      <c r="F4334" s="77" t="n"/>
      <c r="G4334" s="75" t="n"/>
      <c r="H4334" s="75">
        <f>IF(ISBLANK(E4334),"",IF(OR(D4334="Butterfly",D4334="Butterfly ",D4334="Iron Fly", D4334="Iron Fly "),LEN(E4334)-LEN(SUBSTITUTE(E4334,"/",""))+2,LEN(E4334)-LEN(SUBSTITUTE(E4334,"/",""))+1))</f>
        <v/>
      </c>
      <c r="I4334" s="78">
        <f>IF(ISBLANK(G4334),"",IF(D4334="Stock","0",Key!$A$3*H4334*G4334))</f>
        <v/>
      </c>
      <c r="J4334" s="78">
        <f>IF(ISBLANK(E4334),"",IF(ISNUMBER(SEARCH("/",E4334)), IF(LEN(E4334)-LEN(SUBSTITUTE(E4334,"/",""))=1,(RIGHT(E4334,LEN(E4334)-FIND("/",E4334)))-(LEFT(E4334,FIND("/",E4334)-1)),(MID(E4334, SEARCH("/",E4334) + 1, SEARCH("/",E4334, SEARCH("/",E4334)+1) - SEARCH("/",E4334) - 1))-(LEFT(E4334,FIND("/",E4334)-1))), "NA"))</f>
        <v/>
      </c>
      <c r="K4334" s="79">
        <f>IF(A4334&lt;&gt;"", IF(ISBLANK(L4334), TODAY(), K4334), "")</f>
        <v/>
      </c>
      <c r="L4334" s="78" t="n"/>
      <c r="M4334" s="78">
        <f>IF(ISBLANK(L4334),"",IF(D4334="Stock",IF(C4334="Buy",L4334*G4334,IF(C4334="Sell",(L4334*G4334)-I4334, X)),IF(C4334="Buy",(L4334*G4334*100)+I4334,IF(C4334="Sell",(L4334*G4334*100)-I4334, X))))</f>
        <v/>
      </c>
      <c r="N4334" s="78">
        <f>IF(ISBLANK(L4334),"",IF(AND(C4334="Sell",D4334="Stock"),M4334,IF(ISBLANK(L4334),"",IF(C4334="Buy",M4334, IF(AND(C4334="Sell",J4334="NA"),(E4334*G4334*100*0.1)+I4334, IF(C4334="Sell",(J4334-L4334)*(100*G4334)+I4334))))))</f>
        <v/>
      </c>
      <c r="O4334" s="75" t="n"/>
      <c r="P4334" s="75" t="n"/>
      <c r="Q4334" s="75">
        <f>IF(ISBLANK(P4334),"",IF(D4334="Stock",P4334*G4334,IF(P4334=0,"0",G4334*P4334*100-(G4334*$AF$14))))</f>
        <v/>
      </c>
      <c r="R4334" s="79">
        <f>IF(P4334&lt;&gt;"", TODAY(), "")</f>
        <v/>
      </c>
      <c r="S4334" s="78">
        <f>IF(AND(K4334&lt;&gt;"", R4334&lt;&gt;""), R4334-K4334, "")</f>
        <v/>
      </c>
      <c r="T4334" s="78" t="n"/>
      <c r="U4334" s="92">
        <f>IF(ISBLANK(P4334),"",IF(C4334="Buy",Q4334-M4334+T4334, IF(C4334="Sell",M4334-Q4334-T4334, X)))</f>
        <v/>
      </c>
      <c r="V4334" s="81">
        <f>IF(ISBLANK(P4334),"",U4334/N4334)</f>
        <v/>
      </c>
      <c r="W4334" s="81">
        <f>IF(ISBLANK(P4334),"",IF(S4334=0,(365/0.5)*V4334,(365/S4334)*V4334))</f>
        <v/>
      </c>
      <c r="X4334" s="75" t="n"/>
      <c r="Y4334" s="77" t="n"/>
      <c r="Z4334" s="77" t="n"/>
      <c r="AA4334" s="75" t="n"/>
      <c r="AB4334" s="75" t="n"/>
      <c r="AC4334" s="6" t="n"/>
      <c r="AD4334" s="75" t="n"/>
      <c r="AE4334" s="75" t="n"/>
      <c r="AF4334" s="75" t="n"/>
    </row>
    <row r="4335" ht="15.75" customHeight="1" s="133">
      <c r="A4335" s="75" t="n"/>
      <c r="B4335" s="75" t="n"/>
      <c r="C4335" s="75" t="n"/>
      <c r="D4335" s="75" t="n"/>
      <c r="E4335" s="76" t="n"/>
      <c r="F4335" s="77" t="n"/>
      <c r="G4335" s="75" t="n"/>
      <c r="H4335" s="75">
        <f>IF(ISBLANK(E4335),"",IF(OR(D4335="Butterfly",D4335="Butterfly ",D4335="Iron Fly", D4335="Iron Fly "),LEN(E4335)-LEN(SUBSTITUTE(E4335,"/",""))+2,LEN(E4335)-LEN(SUBSTITUTE(E4335,"/",""))+1))</f>
        <v/>
      </c>
      <c r="I4335" s="78">
        <f>IF(ISBLANK(G4335),"",IF(D4335="Stock","0",Key!$A$3*H4335*G4335))</f>
        <v/>
      </c>
      <c r="J4335" s="78">
        <f>IF(ISBLANK(E4335),"",IF(ISNUMBER(SEARCH("/",E4335)), IF(LEN(E4335)-LEN(SUBSTITUTE(E4335,"/",""))=1,(RIGHT(E4335,LEN(E4335)-FIND("/",E4335)))-(LEFT(E4335,FIND("/",E4335)-1)),(MID(E4335, SEARCH("/",E4335) + 1, SEARCH("/",E4335, SEARCH("/",E4335)+1) - SEARCH("/",E4335) - 1))-(LEFT(E4335,FIND("/",E4335)-1))), "NA"))</f>
        <v/>
      </c>
      <c r="K4335" s="79">
        <f>IF(A4335&lt;&gt;"", IF(ISBLANK(L4335), TODAY(), K4335), "")</f>
        <v/>
      </c>
      <c r="L4335" s="78" t="n"/>
      <c r="M4335" s="78">
        <f>IF(ISBLANK(L4335),"",IF(D4335="Stock",IF(C4335="Buy",L4335*G4335,IF(C4335="Sell",(L4335*G4335)-I4335, X)),IF(C4335="Buy",(L4335*G4335*100)+I4335,IF(C4335="Sell",(L4335*G4335*100)-I4335, X))))</f>
        <v/>
      </c>
      <c r="N4335" s="78">
        <f>IF(ISBLANK(L4335),"",IF(AND(C4335="Sell",D4335="Stock"),M4335,IF(ISBLANK(L4335),"",IF(C4335="Buy",M4335, IF(AND(C4335="Sell",J4335="NA"),(E4335*G4335*100*0.1)+I4335, IF(C4335="Sell",(J4335-L4335)*(100*G4335)+I4335))))))</f>
        <v/>
      </c>
      <c r="O4335" s="75" t="n"/>
      <c r="P4335" s="75" t="n"/>
      <c r="Q4335" s="75">
        <f>IF(ISBLANK(P4335),"",IF(D4335="Stock",P4335*G4335,IF(P4335=0,"0",G4335*P4335*100-(G4335*$AF$14))))</f>
        <v/>
      </c>
      <c r="R4335" s="79">
        <f>IF(P4335&lt;&gt;"", TODAY(), "")</f>
        <v/>
      </c>
      <c r="S4335" s="78">
        <f>IF(AND(K4335&lt;&gt;"", R4335&lt;&gt;""), R4335-K4335, "")</f>
        <v/>
      </c>
      <c r="T4335" s="78" t="n"/>
      <c r="U4335" s="92">
        <f>IF(ISBLANK(P4335),"",IF(C4335="Buy",Q4335-M4335+T4335, IF(C4335="Sell",M4335-Q4335-T4335, X)))</f>
        <v/>
      </c>
      <c r="V4335" s="81">
        <f>IF(ISBLANK(P4335),"",U4335/N4335)</f>
        <v/>
      </c>
      <c r="W4335" s="81">
        <f>IF(ISBLANK(P4335),"",IF(S4335=0,(365/0.5)*V4335,(365/S4335)*V4335))</f>
        <v/>
      </c>
      <c r="X4335" s="75" t="n"/>
      <c r="Y4335" s="77" t="n"/>
      <c r="Z4335" s="77" t="n"/>
      <c r="AA4335" s="75" t="n"/>
      <c r="AB4335" s="75" t="n"/>
      <c r="AC4335" s="6" t="n"/>
      <c r="AD4335" s="75" t="n"/>
      <c r="AE4335" s="75" t="n"/>
      <c r="AF4335" s="75" t="n"/>
    </row>
    <row r="4336" ht="15.75" customHeight="1" s="133">
      <c r="A4336" s="75" t="n"/>
      <c r="B4336" s="75" t="n"/>
      <c r="C4336" s="75" t="n"/>
      <c r="D4336" s="75" t="n"/>
      <c r="E4336" s="76" t="n"/>
      <c r="F4336" s="77" t="n"/>
      <c r="G4336" s="75" t="n"/>
      <c r="H4336" s="75">
        <f>IF(ISBLANK(E4336),"",IF(OR(D4336="Butterfly",D4336="Butterfly ",D4336="Iron Fly", D4336="Iron Fly "),LEN(E4336)-LEN(SUBSTITUTE(E4336,"/",""))+2,LEN(E4336)-LEN(SUBSTITUTE(E4336,"/",""))+1))</f>
        <v/>
      </c>
      <c r="I4336" s="78">
        <f>IF(ISBLANK(G4336),"",IF(D4336="Stock","0",Key!$A$3*H4336*G4336))</f>
        <v/>
      </c>
      <c r="J4336" s="78">
        <f>IF(ISBLANK(E4336),"",IF(ISNUMBER(SEARCH("/",E4336)), IF(LEN(E4336)-LEN(SUBSTITUTE(E4336,"/",""))=1,(RIGHT(E4336,LEN(E4336)-FIND("/",E4336)))-(LEFT(E4336,FIND("/",E4336)-1)),(MID(E4336, SEARCH("/",E4336) + 1, SEARCH("/",E4336, SEARCH("/",E4336)+1) - SEARCH("/",E4336) - 1))-(LEFT(E4336,FIND("/",E4336)-1))), "NA"))</f>
        <v/>
      </c>
      <c r="K4336" s="79">
        <f>IF(A4336&lt;&gt;"", IF(ISBLANK(L4336), TODAY(), K4336), "")</f>
        <v/>
      </c>
      <c r="L4336" s="78" t="n"/>
      <c r="M4336" s="78">
        <f>IF(ISBLANK(L4336),"",IF(D4336="Stock",IF(C4336="Buy",L4336*G4336,IF(C4336="Sell",(L4336*G4336)-I4336, X)),IF(C4336="Buy",(L4336*G4336*100)+I4336,IF(C4336="Sell",(L4336*G4336*100)-I4336, X))))</f>
        <v/>
      </c>
      <c r="N4336" s="78">
        <f>IF(ISBLANK(L4336),"",IF(AND(C4336="Sell",D4336="Stock"),M4336,IF(ISBLANK(L4336),"",IF(C4336="Buy",M4336, IF(AND(C4336="Sell",J4336="NA"),(E4336*G4336*100*0.1)+I4336, IF(C4336="Sell",(J4336-L4336)*(100*G4336)+I4336))))))</f>
        <v/>
      </c>
      <c r="O4336" s="75" t="n"/>
      <c r="P4336" s="75" t="n"/>
      <c r="Q4336" s="75">
        <f>IF(ISBLANK(P4336),"",IF(D4336="Stock",P4336*G4336,IF(P4336=0,"0",G4336*P4336*100-(G4336*$AF$14))))</f>
        <v/>
      </c>
      <c r="R4336" s="79">
        <f>IF(P4336&lt;&gt;"", TODAY(), "")</f>
        <v/>
      </c>
      <c r="S4336" s="78">
        <f>IF(AND(K4336&lt;&gt;"", R4336&lt;&gt;""), R4336-K4336, "")</f>
        <v/>
      </c>
      <c r="T4336" s="78" t="n"/>
      <c r="U4336" s="92">
        <f>IF(ISBLANK(P4336),"",IF(C4336="Buy",Q4336-M4336+T4336, IF(C4336="Sell",M4336-Q4336-T4336, X)))</f>
        <v/>
      </c>
      <c r="V4336" s="81">
        <f>IF(ISBLANK(P4336),"",U4336/N4336)</f>
        <v/>
      </c>
      <c r="W4336" s="81">
        <f>IF(ISBLANK(P4336),"",IF(S4336=0,(365/0.5)*V4336,(365/S4336)*V4336))</f>
        <v/>
      </c>
      <c r="X4336" s="75" t="n"/>
      <c r="Y4336" s="77" t="n"/>
      <c r="Z4336" s="77" t="n"/>
      <c r="AA4336" s="75" t="n"/>
      <c r="AB4336" s="75" t="n"/>
      <c r="AC4336" s="6" t="n"/>
      <c r="AD4336" s="75" t="n"/>
      <c r="AE4336" s="75" t="n"/>
      <c r="AF4336" s="75" t="n"/>
    </row>
    <row r="4337" ht="15.75" customHeight="1" s="133">
      <c r="A4337" s="75" t="n"/>
      <c r="B4337" s="75" t="n"/>
      <c r="C4337" s="75" t="n"/>
      <c r="D4337" s="75" t="n"/>
      <c r="E4337" s="76" t="n"/>
      <c r="F4337" s="77" t="n"/>
      <c r="G4337" s="75" t="n"/>
      <c r="H4337" s="75">
        <f>IF(ISBLANK(E4337),"",IF(OR(D4337="Butterfly",D4337="Butterfly ",D4337="Iron Fly", D4337="Iron Fly "),LEN(E4337)-LEN(SUBSTITUTE(E4337,"/",""))+2,LEN(E4337)-LEN(SUBSTITUTE(E4337,"/",""))+1))</f>
        <v/>
      </c>
      <c r="I4337" s="78">
        <f>IF(ISBLANK(G4337),"",IF(D4337="Stock","0",Key!$A$3*H4337*G4337))</f>
        <v/>
      </c>
      <c r="J4337" s="78">
        <f>IF(ISBLANK(E4337),"",IF(ISNUMBER(SEARCH("/",E4337)), IF(LEN(E4337)-LEN(SUBSTITUTE(E4337,"/",""))=1,(RIGHT(E4337,LEN(E4337)-FIND("/",E4337)))-(LEFT(E4337,FIND("/",E4337)-1)),(MID(E4337, SEARCH("/",E4337) + 1, SEARCH("/",E4337, SEARCH("/",E4337)+1) - SEARCH("/",E4337) - 1))-(LEFT(E4337,FIND("/",E4337)-1))), "NA"))</f>
        <v/>
      </c>
      <c r="K4337" s="79">
        <f>IF(A4337&lt;&gt;"", IF(ISBLANK(L4337), TODAY(), K4337), "")</f>
        <v/>
      </c>
      <c r="L4337" s="78" t="n"/>
      <c r="M4337" s="78">
        <f>IF(ISBLANK(L4337),"",IF(D4337="Stock",IF(C4337="Buy",L4337*G4337,IF(C4337="Sell",(L4337*G4337)-I4337, X)),IF(C4337="Buy",(L4337*G4337*100)+I4337,IF(C4337="Sell",(L4337*G4337*100)-I4337, X))))</f>
        <v/>
      </c>
      <c r="N4337" s="78">
        <f>IF(ISBLANK(L4337),"",IF(AND(C4337="Sell",D4337="Stock"),M4337,IF(ISBLANK(L4337),"",IF(C4337="Buy",M4337, IF(AND(C4337="Sell",J4337="NA"),(E4337*G4337*100*0.1)+I4337, IF(C4337="Sell",(J4337-L4337)*(100*G4337)+I4337))))))</f>
        <v/>
      </c>
      <c r="O4337" s="75" t="n"/>
      <c r="P4337" s="75" t="n"/>
      <c r="Q4337" s="75">
        <f>IF(ISBLANK(P4337),"",IF(D4337="Stock",P4337*G4337,IF(P4337=0,"0",G4337*P4337*100-(G4337*$AF$14))))</f>
        <v/>
      </c>
      <c r="R4337" s="79">
        <f>IF(P4337&lt;&gt;"", TODAY(), "")</f>
        <v/>
      </c>
      <c r="S4337" s="78">
        <f>IF(AND(K4337&lt;&gt;"", R4337&lt;&gt;""), R4337-K4337, "")</f>
        <v/>
      </c>
      <c r="T4337" s="78" t="n"/>
      <c r="U4337" s="92">
        <f>IF(ISBLANK(P4337),"",IF(C4337="Buy",Q4337-M4337+T4337, IF(C4337="Sell",M4337-Q4337-T4337, X)))</f>
        <v/>
      </c>
      <c r="V4337" s="81">
        <f>IF(ISBLANK(P4337),"",U4337/N4337)</f>
        <v/>
      </c>
      <c r="W4337" s="81">
        <f>IF(ISBLANK(P4337),"",IF(S4337=0,(365/0.5)*V4337,(365/S4337)*V4337))</f>
        <v/>
      </c>
      <c r="X4337" s="75" t="n"/>
      <c r="Y4337" s="77" t="n"/>
      <c r="Z4337" s="77" t="n"/>
      <c r="AA4337" s="75" t="n"/>
      <c r="AB4337" s="75" t="n"/>
      <c r="AC4337" s="6" t="n"/>
      <c r="AD4337" s="75" t="n"/>
      <c r="AE4337" s="75" t="n"/>
      <c r="AF4337" s="75" t="n"/>
    </row>
    <row r="4338" ht="15.75" customHeight="1" s="133">
      <c r="A4338" s="75" t="n"/>
      <c r="B4338" s="75" t="n"/>
      <c r="C4338" s="75" t="n"/>
      <c r="D4338" s="75" t="n"/>
      <c r="E4338" s="76" t="n"/>
      <c r="F4338" s="77" t="n"/>
      <c r="G4338" s="75" t="n"/>
      <c r="H4338" s="75">
        <f>IF(ISBLANK(E4338),"",IF(OR(D4338="Butterfly",D4338="Butterfly ",D4338="Iron Fly", D4338="Iron Fly "),LEN(E4338)-LEN(SUBSTITUTE(E4338,"/",""))+2,LEN(E4338)-LEN(SUBSTITUTE(E4338,"/",""))+1))</f>
        <v/>
      </c>
      <c r="I4338" s="78">
        <f>IF(ISBLANK(G4338),"",IF(D4338="Stock","0",Key!$A$3*H4338*G4338))</f>
        <v/>
      </c>
      <c r="J4338" s="78">
        <f>IF(ISBLANK(E4338),"",IF(ISNUMBER(SEARCH("/",E4338)), IF(LEN(E4338)-LEN(SUBSTITUTE(E4338,"/",""))=1,(RIGHT(E4338,LEN(E4338)-FIND("/",E4338)))-(LEFT(E4338,FIND("/",E4338)-1)),(MID(E4338, SEARCH("/",E4338) + 1, SEARCH("/",E4338, SEARCH("/",E4338)+1) - SEARCH("/",E4338) - 1))-(LEFT(E4338,FIND("/",E4338)-1))), "NA"))</f>
        <v/>
      </c>
      <c r="K4338" s="79">
        <f>IF(A4338&lt;&gt;"", IF(ISBLANK(L4338), TODAY(), K4338), "")</f>
        <v/>
      </c>
      <c r="L4338" s="78" t="n"/>
      <c r="M4338" s="78">
        <f>IF(ISBLANK(L4338),"",IF(D4338="Stock",IF(C4338="Buy",L4338*G4338,IF(C4338="Sell",(L4338*G4338)-I4338, X)),IF(C4338="Buy",(L4338*G4338*100)+I4338,IF(C4338="Sell",(L4338*G4338*100)-I4338, X))))</f>
        <v/>
      </c>
      <c r="N4338" s="78">
        <f>IF(ISBLANK(L4338),"",IF(AND(C4338="Sell",D4338="Stock"),M4338,IF(ISBLANK(L4338),"",IF(C4338="Buy",M4338, IF(AND(C4338="Sell",J4338="NA"),(E4338*G4338*100*0.1)+I4338, IF(C4338="Sell",(J4338-L4338)*(100*G4338)+I4338))))))</f>
        <v/>
      </c>
      <c r="O4338" s="75" t="n"/>
      <c r="P4338" s="75" t="n"/>
      <c r="Q4338" s="75">
        <f>IF(ISBLANK(P4338),"",IF(D4338="Stock",P4338*G4338,IF(P4338=0,"0",G4338*P4338*100-(G4338*$AF$14))))</f>
        <v/>
      </c>
      <c r="R4338" s="79">
        <f>IF(P4338&lt;&gt;"", TODAY(), "")</f>
        <v/>
      </c>
      <c r="S4338" s="78">
        <f>IF(AND(K4338&lt;&gt;"", R4338&lt;&gt;""), R4338-K4338, "")</f>
        <v/>
      </c>
      <c r="T4338" s="78" t="n"/>
      <c r="U4338" s="92">
        <f>IF(ISBLANK(P4338),"",IF(C4338="Buy",Q4338-M4338+T4338, IF(C4338="Sell",M4338-Q4338-T4338, X)))</f>
        <v/>
      </c>
      <c r="V4338" s="81">
        <f>IF(ISBLANK(P4338),"",U4338/N4338)</f>
        <v/>
      </c>
      <c r="W4338" s="81">
        <f>IF(ISBLANK(P4338),"",IF(S4338=0,(365/0.5)*V4338,(365/S4338)*V4338))</f>
        <v/>
      </c>
      <c r="X4338" s="75" t="n"/>
      <c r="Y4338" s="77" t="n"/>
      <c r="Z4338" s="77" t="n"/>
      <c r="AA4338" s="75" t="n"/>
      <c r="AB4338" s="75" t="n"/>
      <c r="AC4338" s="6" t="n"/>
      <c r="AD4338" s="75" t="n"/>
      <c r="AE4338" s="75" t="n"/>
      <c r="AF4338" s="75" t="n"/>
    </row>
    <row r="4339" ht="15.75" customHeight="1" s="133">
      <c r="A4339" s="75" t="n"/>
      <c r="B4339" s="75" t="n"/>
      <c r="C4339" s="75" t="n"/>
      <c r="D4339" s="75" t="n"/>
      <c r="E4339" s="76" t="n"/>
      <c r="F4339" s="77" t="n"/>
      <c r="G4339" s="75" t="n"/>
      <c r="H4339" s="75">
        <f>IF(ISBLANK(E4339),"",IF(OR(D4339="Butterfly",D4339="Butterfly ",D4339="Iron Fly", D4339="Iron Fly "),LEN(E4339)-LEN(SUBSTITUTE(E4339,"/",""))+2,LEN(E4339)-LEN(SUBSTITUTE(E4339,"/",""))+1))</f>
        <v/>
      </c>
      <c r="I4339" s="78">
        <f>IF(ISBLANK(G4339),"",IF(D4339="Stock","0",Key!$A$3*H4339*G4339))</f>
        <v/>
      </c>
      <c r="J4339" s="78">
        <f>IF(ISBLANK(E4339),"",IF(ISNUMBER(SEARCH("/",E4339)), IF(LEN(E4339)-LEN(SUBSTITUTE(E4339,"/",""))=1,(RIGHT(E4339,LEN(E4339)-FIND("/",E4339)))-(LEFT(E4339,FIND("/",E4339)-1)),(MID(E4339, SEARCH("/",E4339) + 1, SEARCH("/",E4339, SEARCH("/",E4339)+1) - SEARCH("/",E4339) - 1))-(LEFT(E4339,FIND("/",E4339)-1))), "NA"))</f>
        <v/>
      </c>
      <c r="K4339" s="79">
        <f>IF(A4339&lt;&gt;"", IF(ISBLANK(L4339), TODAY(), K4339), "")</f>
        <v/>
      </c>
      <c r="L4339" s="78" t="n"/>
      <c r="M4339" s="78">
        <f>IF(ISBLANK(L4339),"",IF(D4339="Stock",IF(C4339="Buy",L4339*G4339,IF(C4339="Sell",(L4339*G4339)-I4339, X)),IF(C4339="Buy",(L4339*G4339*100)+I4339,IF(C4339="Sell",(L4339*G4339*100)-I4339, X))))</f>
        <v/>
      </c>
      <c r="N4339" s="78">
        <f>IF(ISBLANK(L4339),"",IF(AND(C4339="Sell",D4339="Stock"),M4339,IF(ISBLANK(L4339),"",IF(C4339="Buy",M4339, IF(AND(C4339="Sell",J4339="NA"),(E4339*G4339*100*0.1)+I4339, IF(C4339="Sell",(J4339-L4339)*(100*G4339)+I4339))))))</f>
        <v/>
      </c>
      <c r="O4339" s="75" t="n"/>
      <c r="P4339" s="75" t="n"/>
      <c r="Q4339" s="75">
        <f>IF(ISBLANK(P4339),"",IF(D4339="Stock",P4339*G4339,IF(P4339=0,"0",G4339*P4339*100-(G4339*$AF$14))))</f>
        <v/>
      </c>
      <c r="R4339" s="79">
        <f>IF(P4339&lt;&gt;"", TODAY(), "")</f>
        <v/>
      </c>
      <c r="S4339" s="78">
        <f>IF(AND(K4339&lt;&gt;"", R4339&lt;&gt;""), R4339-K4339, "")</f>
        <v/>
      </c>
      <c r="T4339" s="78" t="n"/>
      <c r="U4339" s="92">
        <f>IF(ISBLANK(P4339),"",IF(C4339="Buy",Q4339-M4339+T4339, IF(C4339="Sell",M4339-Q4339-T4339, X)))</f>
        <v/>
      </c>
      <c r="V4339" s="81">
        <f>IF(ISBLANK(P4339),"",U4339/N4339)</f>
        <v/>
      </c>
      <c r="W4339" s="81">
        <f>IF(ISBLANK(P4339),"",IF(S4339=0,(365/0.5)*V4339,(365/S4339)*V4339))</f>
        <v/>
      </c>
      <c r="X4339" s="75" t="n"/>
      <c r="Y4339" s="77" t="n"/>
      <c r="Z4339" s="77" t="n"/>
      <c r="AA4339" s="75" t="n"/>
      <c r="AB4339" s="75" t="n"/>
      <c r="AC4339" s="6" t="n"/>
      <c r="AD4339" s="75" t="n"/>
      <c r="AE4339" s="75" t="n"/>
      <c r="AF4339" s="75" t="n"/>
    </row>
    <row r="4340" ht="15.75" customHeight="1" s="133">
      <c r="A4340" s="75" t="n"/>
      <c r="B4340" s="75" t="n"/>
      <c r="C4340" s="75" t="n"/>
      <c r="D4340" s="75" t="n"/>
      <c r="E4340" s="76" t="n"/>
      <c r="F4340" s="77" t="n"/>
      <c r="G4340" s="75" t="n"/>
      <c r="H4340" s="75">
        <f>IF(ISBLANK(E4340),"",IF(OR(D4340="Butterfly",D4340="Butterfly ",D4340="Iron Fly", D4340="Iron Fly "),LEN(E4340)-LEN(SUBSTITUTE(E4340,"/",""))+2,LEN(E4340)-LEN(SUBSTITUTE(E4340,"/",""))+1))</f>
        <v/>
      </c>
      <c r="I4340" s="78">
        <f>IF(ISBLANK(G4340),"",IF(D4340="Stock","0",Key!$A$3*H4340*G4340))</f>
        <v/>
      </c>
      <c r="J4340" s="78">
        <f>IF(ISBLANK(E4340),"",IF(ISNUMBER(SEARCH("/",E4340)), IF(LEN(E4340)-LEN(SUBSTITUTE(E4340,"/",""))=1,(RIGHT(E4340,LEN(E4340)-FIND("/",E4340)))-(LEFT(E4340,FIND("/",E4340)-1)),(MID(E4340, SEARCH("/",E4340) + 1, SEARCH("/",E4340, SEARCH("/",E4340)+1) - SEARCH("/",E4340) - 1))-(LEFT(E4340,FIND("/",E4340)-1))), "NA"))</f>
        <v/>
      </c>
      <c r="K4340" s="79">
        <f>IF(A4340&lt;&gt;"", IF(ISBLANK(L4340), TODAY(), K4340), "")</f>
        <v/>
      </c>
      <c r="L4340" s="78" t="n"/>
      <c r="M4340" s="78">
        <f>IF(ISBLANK(L4340),"",IF(D4340="Stock",IF(C4340="Buy",L4340*G4340,IF(C4340="Sell",(L4340*G4340)-I4340, X)),IF(C4340="Buy",(L4340*G4340*100)+I4340,IF(C4340="Sell",(L4340*G4340*100)-I4340, X))))</f>
        <v/>
      </c>
      <c r="N4340" s="78">
        <f>IF(ISBLANK(L4340),"",IF(AND(C4340="Sell",D4340="Stock"),M4340,IF(ISBLANK(L4340),"",IF(C4340="Buy",M4340, IF(AND(C4340="Sell",J4340="NA"),(E4340*G4340*100*0.1)+I4340, IF(C4340="Sell",(J4340-L4340)*(100*G4340)+I4340))))))</f>
        <v/>
      </c>
      <c r="O4340" s="75" t="n"/>
      <c r="P4340" s="75" t="n"/>
      <c r="Q4340" s="75">
        <f>IF(ISBLANK(P4340),"",IF(D4340="Stock",P4340*G4340,IF(P4340=0,"0",G4340*P4340*100-(G4340*$AF$14))))</f>
        <v/>
      </c>
      <c r="R4340" s="79">
        <f>IF(P4340&lt;&gt;"", TODAY(), "")</f>
        <v/>
      </c>
      <c r="S4340" s="78">
        <f>IF(AND(K4340&lt;&gt;"", R4340&lt;&gt;""), R4340-K4340, "")</f>
        <v/>
      </c>
      <c r="T4340" s="78" t="n"/>
      <c r="U4340" s="92">
        <f>IF(ISBLANK(P4340),"",IF(C4340="Buy",Q4340-M4340+T4340, IF(C4340="Sell",M4340-Q4340-T4340, X)))</f>
        <v/>
      </c>
      <c r="V4340" s="81">
        <f>IF(ISBLANK(P4340),"",U4340/N4340)</f>
        <v/>
      </c>
      <c r="W4340" s="81">
        <f>IF(ISBLANK(P4340),"",IF(S4340=0,(365/0.5)*V4340,(365/S4340)*V4340))</f>
        <v/>
      </c>
      <c r="X4340" s="75" t="n"/>
      <c r="Y4340" s="77" t="n"/>
      <c r="Z4340" s="77" t="n"/>
      <c r="AA4340" s="75" t="n"/>
      <c r="AB4340" s="75" t="n"/>
      <c r="AC4340" s="6" t="n"/>
      <c r="AD4340" s="75" t="n"/>
      <c r="AE4340" s="75" t="n"/>
      <c r="AF4340" s="75" t="n"/>
    </row>
    <row r="4341" ht="15.75" customHeight="1" s="133">
      <c r="A4341" s="75" t="n"/>
      <c r="B4341" s="75" t="n"/>
      <c r="C4341" s="75" t="n"/>
      <c r="D4341" s="75" t="n"/>
      <c r="E4341" s="76" t="n"/>
      <c r="F4341" s="77" t="n"/>
      <c r="G4341" s="75" t="n"/>
      <c r="H4341" s="75">
        <f>IF(ISBLANK(E4341),"",IF(OR(D4341="Butterfly",D4341="Butterfly ",D4341="Iron Fly", D4341="Iron Fly "),LEN(E4341)-LEN(SUBSTITUTE(E4341,"/",""))+2,LEN(E4341)-LEN(SUBSTITUTE(E4341,"/",""))+1))</f>
        <v/>
      </c>
      <c r="I4341" s="78">
        <f>IF(ISBLANK(G4341),"",IF(D4341="Stock","0",Key!$A$3*H4341*G4341))</f>
        <v/>
      </c>
      <c r="J4341" s="78">
        <f>IF(ISBLANK(E4341),"",IF(ISNUMBER(SEARCH("/",E4341)), IF(LEN(E4341)-LEN(SUBSTITUTE(E4341,"/",""))=1,(RIGHT(E4341,LEN(E4341)-FIND("/",E4341)))-(LEFT(E4341,FIND("/",E4341)-1)),(MID(E4341, SEARCH("/",E4341) + 1, SEARCH("/",E4341, SEARCH("/",E4341)+1) - SEARCH("/",E4341) - 1))-(LEFT(E4341,FIND("/",E4341)-1))), "NA"))</f>
        <v/>
      </c>
      <c r="K4341" s="79">
        <f>IF(A4341&lt;&gt;"", IF(ISBLANK(L4341), TODAY(), K4341), "")</f>
        <v/>
      </c>
      <c r="L4341" s="78" t="n"/>
      <c r="M4341" s="78">
        <f>IF(ISBLANK(L4341),"",IF(D4341="Stock",IF(C4341="Buy",L4341*G4341,IF(C4341="Sell",(L4341*G4341)-I4341, X)),IF(C4341="Buy",(L4341*G4341*100)+I4341,IF(C4341="Sell",(L4341*G4341*100)-I4341, X))))</f>
        <v/>
      </c>
      <c r="N4341" s="78">
        <f>IF(ISBLANK(L4341),"",IF(AND(C4341="Sell",D4341="Stock"),M4341,IF(ISBLANK(L4341),"",IF(C4341="Buy",M4341, IF(AND(C4341="Sell",J4341="NA"),(E4341*G4341*100*0.1)+I4341, IF(C4341="Sell",(J4341-L4341)*(100*G4341)+I4341))))))</f>
        <v/>
      </c>
      <c r="O4341" s="75" t="n"/>
      <c r="P4341" s="75" t="n"/>
      <c r="Q4341" s="75">
        <f>IF(ISBLANK(P4341),"",IF(D4341="Stock",P4341*G4341,IF(P4341=0,"0",G4341*P4341*100-(G4341*$AF$14))))</f>
        <v/>
      </c>
      <c r="R4341" s="79">
        <f>IF(P4341&lt;&gt;"", TODAY(), "")</f>
        <v/>
      </c>
      <c r="S4341" s="78">
        <f>IF(AND(K4341&lt;&gt;"", R4341&lt;&gt;""), R4341-K4341, "")</f>
        <v/>
      </c>
      <c r="T4341" s="78" t="n"/>
      <c r="U4341" s="92">
        <f>IF(ISBLANK(P4341),"",IF(C4341="Buy",Q4341-M4341+T4341, IF(C4341="Sell",M4341-Q4341-T4341, X)))</f>
        <v/>
      </c>
      <c r="V4341" s="81">
        <f>IF(ISBLANK(P4341),"",U4341/N4341)</f>
        <v/>
      </c>
      <c r="W4341" s="81">
        <f>IF(ISBLANK(P4341),"",IF(S4341=0,(365/0.5)*V4341,(365/S4341)*V4341))</f>
        <v/>
      </c>
      <c r="X4341" s="75" t="n"/>
      <c r="Y4341" s="77" t="n"/>
      <c r="Z4341" s="77" t="n"/>
      <c r="AA4341" s="75" t="n"/>
      <c r="AB4341" s="75" t="n"/>
      <c r="AC4341" s="6" t="n"/>
      <c r="AD4341" s="75" t="n"/>
      <c r="AE4341" s="75" t="n"/>
      <c r="AF4341" s="75" t="n"/>
    </row>
    <row r="4342" ht="15.75" customHeight="1" s="133">
      <c r="A4342" s="75" t="n"/>
      <c r="B4342" s="75" t="n"/>
      <c r="C4342" s="75" t="n"/>
      <c r="D4342" s="75" t="n"/>
      <c r="E4342" s="76" t="n"/>
      <c r="F4342" s="77" t="n"/>
      <c r="G4342" s="75" t="n"/>
      <c r="H4342" s="75">
        <f>IF(ISBLANK(E4342),"",IF(OR(D4342="Butterfly",D4342="Butterfly ",D4342="Iron Fly", D4342="Iron Fly "),LEN(E4342)-LEN(SUBSTITUTE(E4342,"/",""))+2,LEN(E4342)-LEN(SUBSTITUTE(E4342,"/",""))+1))</f>
        <v/>
      </c>
      <c r="I4342" s="78">
        <f>IF(ISBLANK(G4342),"",IF(D4342="Stock","0",Key!$A$3*H4342*G4342))</f>
        <v/>
      </c>
      <c r="J4342" s="78">
        <f>IF(ISBLANK(E4342),"",IF(ISNUMBER(SEARCH("/",E4342)), IF(LEN(E4342)-LEN(SUBSTITUTE(E4342,"/",""))=1,(RIGHT(E4342,LEN(E4342)-FIND("/",E4342)))-(LEFT(E4342,FIND("/",E4342)-1)),(MID(E4342, SEARCH("/",E4342) + 1, SEARCH("/",E4342, SEARCH("/",E4342)+1) - SEARCH("/",E4342) - 1))-(LEFT(E4342,FIND("/",E4342)-1))), "NA"))</f>
        <v/>
      </c>
      <c r="K4342" s="79">
        <f>IF(A4342&lt;&gt;"", IF(ISBLANK(L4342), TODAY(), K4342), "")</f>
        <v/>
      </c>
      <c r="L4342" s="78" t="n"/>
      <c r="M4342" s="78">
        <f>IF(ISBLANK(L4342),"",IF(D4342="Stock",IF(C4342="Buy",L4342*G4342,IF(C4342="Sell",(L4342*G4342)-I4342, X)),IF(C4342="Buy",(L4342*G4342*100)+I4342,IF(C4342="Sell",(L4342*G4342*100)-I4342, X))))</f>
        <v/>
      </c>
      <c r="N4342" s="78">
        <f>IF(ISBLANK(L4342),"",IF(AND(C4342="Sell",D4342="Stock"),M4342,IF(ISBLANK(L4342),"",IF(C4342="Buy",M4342, IF(AND(C4342="Sell",J4342="NA"),(E4342*G4342*100*0.1)+I4342, IF(C4342="Sell",(J4342-L4342)*(100*G4342)+I4342))))))</f>
        <v/>
      </c>
      <c r="O4342" s="75" t="n"/>
      <c r="P4342" s="75" t="n"/>
      <c r="Q4342" s="75">
        <f>IF(ISBLANK(P4342),"",IF(D4342="Stock",P4342*G4342,IF(P4342=0,"0",G4342*P4342*100-(G4342*$AF$14))))</f>
        <v/>
      </c>
      <c r="R4342" s="79">
        <f>IF(P4342&lt;&gt;"", TODAY(), "")</f>
        <v/>
      </c>
      <c r="S4342" s="78">
        <f>IF(AND(K4342&lt;&gt;"", R4342&lt;&gt;""), R4342-K4342, "")</f>
        <v/>
      </c>
      <c r="T4342" s="78" t="n"/>
      <c r="U4342" s="92">
        <f>IF(ISBLANK(P4342),"",IF(C4342="Buy",Q4342-M4342+T4342, IF(C4342="Sell",M4342-Q4342-T4342, X)))</f>
        <v/>
      </c>
      <c r="V4342" s="81">
        <f>IF(ISBLANK(P4342),"",U4342/N4342)</f>
        <v/>
      </c>
      <c r="W4342" s="81">
        <f>IF(ISBLANK(P4342),"",IF(S4342=0,(365/0.5)*V4342,(365/S4342)*V4342))</f>
        <v/>
      </c>
      <c r="X4342" s="75" t="n"/>
      <c r="Y4342" s="77" t="n"/>
      <c r="Z4342" s="77" t="n"/>
      <c r="AA4342" s="75" t="n"/>
      <c r="AB4342" s="75" t="n"/>
      <c r="AC4342" s="6" t="n"/>
      <c r="AD4342" s="75" t="n"/>
      <c r="AE4342" s="75" t="n"/>
      <c r="AF4342" s="75" t="n"/>
    </row>
    <row r="4343" ht="15.75" customHeight="1" s="133">
      <c r="A4343" s="75" t="n"/>
      <c r="B4343" s="75" t="n"/>
      <c r="C4343" s="75" t="n"/>
      <c r="D4343" s="75" t="n"/>
      <c r="E4343" s="76" t="n"/>
      <c r="F4343" s="77" t="n"/>
      <c r="G4343" s="75" t="n"/>
      <c r="H4343" s="75">
        <f>IF(ISBLANK(E4343),"",IF(OR(D4343="Butterfly",D4343="Butterfly ",D4343="Iron Fly", D4343="Iron Fly "),LEN(E4343)-LEN(SUBSTITUTE(E4343,"/",""))+2,LEN(E4343)-LEN(SUBSTITUTE(E4343,"/",""))+1))</f>
        <v/>
      </c>
      <c r="I4343" s="78">
        <f>IF(ISBLANK(G4343),"",IF(D4343="Stock","0",Key!$A$3*H4343*G4343))</f>
        <v/>
      </c>
      <c r="J4343" s="78">
        <f>IF(ISBLANK(E4343),"",IF(ISNUMBER(SEARCH("/",E4343)), IF(LEN(E4343)-LEN(SUBSTITUTE(E4343,"/",""))=1,(RIGHT(E4343,LEN(E4343)-FIND("/",E4343)))-(LEFT(E4343,FIND("/",E4343)-1)),(MID(E4343, SEARCH("/",E4343) + 1, SEARCH("/",E4343, SEARCH("/",E4343)+1) - SEARCH("/",E4343) - 1))-(LEFT(E4343,FIND("/",E4343)-1))), "NA"))</f>
        <v/>
      </c>
      <c r="K4343" s="79">
        <f>IF(A4343&lt;&gt;"", IF(ISBLANK(L4343), TODAY(), K4343), "")</f>
        <v/>
      </c>
      <c r="L4343" s="78" t="n"/>
      <c r="M4343" s="78">
        <f>IF(ISBLANK(L4343),"",IF(D4343="Stock",IF(C4343="Buy",L4343*G4343,IF(C4343="Sell",(L4343*G4343)-I4343, X)),IF(C4343="Buy",(L4343*G4343*100)+I4343,IF(C4343="Sell",(L4343*G4343*100)-I4343, X))))</f>
        <v/>
      </c>
      <c r="N4343" s="78">
        <f>IF(ISBLANK(L4343),"",IF(AND(C4343="Sell",D4343="Stock"),M4343,IF(ISBLANK(L4343),"",IF(C4343="Buy",M4343, IF(AND(C4343="Sell",J4343="NA"),(E4343*G4343*100*0.1)+I4343, IF(C4343="Sell",(J4343-L4343)*(100*G4343)+I4343))))))</f>
        <v/>
      </c>
      <c r="O4343" s="75" t="n"/>
      <c r="P4343" s="75" t="n"/>
      <c r="Q4343" s="75">
        <f>IF(ISBLANK(P4343),"",IF(D4343="Stock",P4343*G4343,IF(P4343=0,"0",G4343*P4343*100-(G4343*$AF$14))))</f>
        <v/>
      </c>
      <c r="R4343" s="79">
        <f>IF(P4343&lt;&gt;"", TODAY(), "")</f>
        <v/>
      </c>
      <c r="S4343" s="78">
        <f>IF(AND(K4343&lt;&gt;"", R4343&lt;&gt;""), R4343-K4343, "")</f>
        <v/>
      </c>
      <c r="T4343" s="78" t="n"/>
      <c r="U4343" s="92">
        <f>IF(ISBLANK(P4343),"",IF(C4343="Buy",Q4343-M4343+T4343, IF(C4343="Sell",M4343-Q4343-T4343, X)))</f>
        <v/>
      </c>
      <c r="V4343" s="81">
        <f>IF(ISBLANK(P4343),"",U4343/N4343)</f>
        <v/>
      </c>
      <c r="W4343" s="81">
        <f>IF(ISBLANK(P4343),"",IF(S4343=0,(365/0.5)*V4343,(365/S4343)*V4343))</f>
        <v/>
      </c>
      <c r="X4343" s="75" t="n"/>
      <c r="Y4343" s="77" t="n"/>
      <c r="Z4343" s="77" t="n"/>
      <c r="AA4343" s="75" t="n"/>
      <c r="AB4343" s="75" t="n"/>
      <c r="AC4343" s="6" t="n"/>
      <c r="AD4343" s="75" t="n"/>
      <c r="AE4343" s="75" t="n"/>
      <c r="AF4343" s="75" t="n"/>
    </row>
    <row r="4344" ht="15.75" customHeight="1" s="133">
      <c r="A4344" s="75" t="n"/>
      <c r="B4344" s="75" t="n"/>
      <c r="C4344" s="75" t="n"/>
      <c r="D4344" s="75" t="n"/>
      <c r="E4344" s="76" t="n"/>
      <c r="F4344" s="77" t="n"/>
      <c r="G4344" s="75" t="n"/>
      <c r="H4344" s="75">
        <f>IF(ISBLANK(E4344),"",IF(OR(D4344="Butterfly",D4344="Butterfly ",D4344="Iron Fly", D4344="Iron Fly "),LEN(E4344)-LEN(SUBSTITUTE(E4344,"/",""))+2,LEN(E4344)-LEN(SUBSTITUTE(E4344,"/",""))+1))</f>
        <v/>
      </c>
      <c r="I4344" s="78">
        <f>IF(ISBLANK(G4344),"",IF(D4344="Stock","0",Key!$A$3*H4344*G4344))</f>
        <v/>
      </c>
      <c r="J4344" s="78">
        <f>IF(ISBLANK(E4344),"",IF(ISNUMBER(SEARCH("/",E4344)), IF(LEN(E4344)-LEN(SUBSTITUTE(E4344,"/",""))=1,(RIGHT(E4344,LEN(E4344)-FIND("/",E4344)))-(LEFT(E4344,FIND("/",E4344)-1)),(MID(E4344, SEARCH("/",E4344) + 1, SEARCH("/",E4344, SEARCH("/",E4344)+1) - SEARCH("/",E4344) - 1))-(LEFT(E4344,FIND("/",E4344)-1))), "NA"))</f>
        <v/>
      </c>
      <c r="K4344" s="79">
        <f>IF(A4344&lt;&gt;"", IF(ISBLANK(L4344), TODAY(), K4344), "")</f>
        <v/>
      </c>
      <c r="L4344" s="78" t="n"/>
      <c r="M4344" s="78">
        <f>IF(ISBLANK(L4344),"",IF(D4344="Stock",IF(C4344="Buy",L4344*G4344,IF(C4344="Sell",(L4344*G4344)-I4344, X)),IF(C4344="Buy",(L4344*G4344*100)+I4344,IF(C4344="Sell",(L4344*G4344*100)-I4344, X))))</f>
        <v/>
      </c>
      <c r="N4344" s="78">
        <f>IF(ISBLANK(L4344),"",IF(AND(C4344="Sell",D4344="Stock"),M4344,IF(ISBLANK(L4344),"",IF(C4344="Buy",M4344, IF(AND(C4344="Sell",J4344="NA"),(E4344*G4344*100*0.1)+I4344, IF(C4344="Sell",(J4344-L4344)*(100*G4344)+I4344))))))</f>
        <v/>
      </c>
      <c r="O4344" s="75" t="n"/>
      <c r="P4344" s="75" t="n"/>
      <c r="Q4344" s="75">
        <f>IF(ISBLANK(P4344),"",IF(D4344="Stock",P4344*G4344,IF(P4344=0,"0",G4344*P4344*100-(G4344*$AF$14))))</f>
        <v/>
      </c>
      <c r="R4344" s="79">
        <f>IF(P4344&lt;&gt;"", TODAY(), "")</f>
        <v/>
      </c>
      <c r="S4344" s="78">
        <f>IF(AND(K4344&lt;&gt;"", R4344&lt;&gt;""), R4344-K4344, "")</f>
        <v/>
      </c>
      <c r="T4344" s="78" t="n"/>
      <c r="U4344" s="92">
        <f>IF(ISBLANK(P4344),"",IF(C4344="Buy",Q4344-M4344+T4344, IF(C4344="Sell",M4344-Q4344-T4344, X)))</f>
        <v/>
      </c>
      <c r="V4344" s="81">
        <f>IF(ISBLANK(P4344),"",U4344/N4344)</f>
        <v/>
      </c>
      <c r="W4344" s="81">
        <f>IF(ISBLANK(P4344),"",IF(S4344=0,(365/0.5)*V4344,(365/S4344)*V4344))</f>
        <v/>
      </c>
      <c r="X4344" s="75" t="n"/>
      <c r="Y4344" s="77" t="n"/>
      <c r="Z4344" s="77" t="n"/>
      <c r="AA4344" s="75" t="n"/>
      <c r="AB4344" s="75" t="n"/>
      <c r="AC4344" s="6" t="n"/>
      <c r="AD4344" s="75" t="n"/>
      <c r="AE4344" s="75" t="n"/>
      <c r="AF4344" s="75" t="n"/>
    </row>
    <row r="4345" ht="15.75" customHeight="1" s="133">
      <c r="A4345" s="75" t="n"/>
      <c r="B4345" s="75" t="n"/>
      <c r="C4345" s="75" t="n"/>
      <c r="D4345" s="75" t="n"/>
      <c r="E4345" s="76" t="n"/>
      <c r="F4345" s="77" t="n"/>
      <c r="G4345" s="75" t="n"/>
      <c r="H4345" s="75">
        <f>IF(ISBLANK(E4345),"",IF(OR(D4345="Butterfly",D4345="Butterfly ",D4345="Iron Fly", D4345="Iron Fly "),LEN(E4345)-LEN(SUBSTITUTE(E4345,"/",""))+2,LEN(E4345)-LEN(SUBSTITUTE(E4345,"/",""))+1))</f>
        <v/>
      </c>
      <c r="I4345" s="78">
        <f>IF(ISBLANK(G4345),"",IF(D4345="Stock","0",Key!$A$3*H4345*G4345))</f>
        <v/>
      </c>
      <c r="J4345" s="78">
        <f>IF(ISBLANK(E4345),"",IF(ISNUMBER(SEARCH("/",E4345)), IF(LEN(E4345)-LEN(SUBSTITUTE(E4345,"/",""))=1,(RIGHT(E4345,LEN(E4345)-FIND("/",E4345)))-(LEFT(E4345,FIND("/",E4345)-1)),(MID(E4345, SEARCH("/",E4345) + 1, SEARCH("/",E4345, SEARCH("/",E4345)+1) - SEARCH("/",E4345) - 1))-(LEFT(E4345,FIND("/",E4345)-1))), "NA"))</f>
        <v/>
      </c>
      <c r="K4345" s="79">
        <f>IF(A4345&lt;&gt;"", IF(ISBLANK(L4345), TODAY(), K4345), "")</f>
        <v/>
      </c>
      <c r="L4345" s="78" t="n"/>
      <c r="M4345" s="78">
        <f>IF(ISBLANK(L4345),"",IF(D4345="Stock",IF(C4345="Buy",L4345*G4345,IF(C4345="Sell",(L4345*G4345)-I4345, X)),IF(C4345="Buy",(L4345*G4345*100)+I4345,IF(C4345="Sell",(L4345*G4345*100)-I4345, X))))</f>
        <v/>
      </c>
      <c r="N4345" s="78">
        <f>IF(ISBLANK(L4345),"",IF(AND(C4345="Sell",D4345="Stock"),M4345,IF(ISBLANK(L4345),"",IF(C4345="Buy",M4345, IF(AND(C4345="Sell",J4345="NA"),(E4345*G4345*100*0.1)+I4345, IF(C4345="Sell",(J4345-L4345)*(100*G4345)+I4345))))))</f>
        <v/>
      </c>
      <c r="O4345" s="75" t="n"/>
      <c r="P4345" s="75" t="n"/>
      <c r="Q4345" s="75">
        <f>IF(ISBLANK(P4345),"",IF(D4345="Stock",P4345*G4345,IF(P4345=0,"0",G4345*P4345*100-(G4345*$AF$14))))</f>
        <v/>
      </c>
      <c r="R4345" s="79">
        <f>IF(P4345&lt;&gt;"", TODAY(), "")</f>
        <v/>
      </c>
      <c r="S4345" s="78">
        <f>IF(AND(K4345&lt;&gt;"", R4345&lt;&gt;""), R4345-K4345, "")</f>
        <v/>
      </c>
      <c r="T4345" s="78" t="n"/>
      <c r="U4345" s="92">
        <f>IF(ISBLANK(P4345),"",IF(C4345="Buy",Q4345-M4345+T4345, IF(C4345="Sell",M4345-Q4345-T4345, X)))</f>
        <v/>
      </c>
      <c r="V4345" s="81">
        <f>IF(ISBLANK(P4345),"",U4345/N4345)</f>
        <v/>
      </c>
      <c r="W4345" s="81">
        <f>IF(ISBLANK(P4345),"",IF(S4345=0,(365/0.5)*V4345,(365/S4345)*V4345))</f>
        <v/>
      </c>
      <c r="X4345" s="75" t="n"/>
      <c r="Y4345" s="77" t="n"/>
      <c r="Z4345" s="77" t="n"/>
      <c r="AA4345" s="75" t="n"/>
      <c r="AB4345" s="75" t="n"/>
      <c r="AC4345" s="6" t="n"/>
      <c r="AD4345" s="75" t="n"/>
      <c r="AE4345" s="75" t="n"/>
      <c r="AF4345" s="75" t="n"/>
    </row>
    <row r="4346" ht="15.75" customHeight="1" s="133">
      <c r="A4346" s="75" t="n"/>
      <c r="B4346" s="75" t="n"/>
      <c r="C4346" s="75" t="n"/>
      <c r="D4346" s="75" t="n"/>
      <c r="E4346" s="76" t="n"/>
      <c r="F4346" s="77" t="n"/>
      <c r="G4346" s="75" t="n"/>
      <c r="H4346" s="75">
        <f>IF(ISBLANK(E4346),"",IF(OR(D4346="Butterfly",D4346="Butterfly ",D4346="Iron Fly", D4346="Iron Fly "),LEN(E4346)-LEN(SUBSTITUTE(E4346,"/",""))+2,LEN(E4346)-LEN(SUBSTITUTE(E4346,"/",""))+1))</f>
        <v/>
      </c>
      <c r="I4346" s="78">
        <f>IF(ISBLANK(G4346),"",IF(D4346="Stock","0",Key!$A$3*H4346*G4346))</f>
        <v/>
      </c>
      <c r="J4346" s="78">
        <f>IF(ISBLANK(E4346),"",IF(ISNUMBER(SEARCH("/",E4346)), IF(LEN(E4346)-LEN(SUBSTITUTE(E4346,"/",""))=1,(RIGHT(E4346,LEN(E4346)-FIND("/",E4346)))-(LEFT(E4346,FIND("/",E4346)-1)),(MID(E4346, SEARCH("/",E4346) + 1, SEARCH("/",E4346, SEARCH("/",E4346)+1) - SEARCH("/",E4346) - 1))-(LEFT(E4346,FIND("/",E4346)-1))), "NA"))</f>
        <v/>
      </c>
      <c r="K4346" s="79">
        <f>IF(A4346&lt;&gt;"", IF(ISBLANK(L4346), TODAY(), K4346), "")</f>
        <v/>
      </c>
      <c r="L4346" s="78" t="n"/>
      <c r="M4346" s="78">
        <f>IF(ISBLANK(L4346),"",IF(D4346="Stock",IF(C4346="Buy",L4346*G4346,IF(C4346="Sell",(L4346*G4346)-I4346, X)),IF(C4346="Buy",(L4346*G4346*100)+I4346,IF(C4346="Sell",(L4346*G4346*100)-I4346, X))))</f>
        <v/>
      </c>
      <c r="N4346" s="78">
        <f>IF(ISBLANK(L4346),"",IF(AND(C4346="Sell",D4346="Stock"),M4346,IF(ISBLANK(L4346),"",IF(C4346="Buy",M4346, IF(AND(C4346="Sell",J4346="NA"),(E4346*G4346*100*0.1)+I4346, IF(C4346="Sell",(J4346-L4346)*(100*G4346)+I4346))))))</f>
        <v/>
      </c>
      <c r="O4346" s="75" t="n"/>
      <c r="P4346" s="75" t="n"/>
      <c r="Q4346" s="75">
        <f>IF(ISBLANK(P4346),"",IF(D4346="Stock",P4346*G4346,IF(P4346=0,"0",G4346*P4346*100-(G4346*$AF$14))))</f>
        <v/>
      </c>
      <c r="R4346" s="79">
        <f>IF(P4346&lt;&gt;"", TODAY(), "")</f>
        <v/>
      </c>
      <c r="S4346" s="78">
        <f>IF(AND(K4346&lt;&gt;"", R4346&lt;&gt;""), R4346-K4346, "")</f>
        <v/>
      </c>
      <c r="T4346" s="78" t="n"/>
      <c r="U4346" s="92">
        <f>IF(ISBLANK(P4346),"",IF(C4346="Buy",Q4346-M4346+T4346, IF(C4346="Sell",M4346-Q4346-T4346, X)))</f>
        <v/>
      </c>
      <c r="V4346" s="81">
        <f>IF(ISBLANK(P4346),"",U4346/N4346)</f>
        <v/>
      </c>
      <c r="W4346" s="81">
        <f>IF(ISBLANK(P4346),"",IF(S4346=0,(365/0.5)*V4346,(365/S4346)*V4346))</f>
        <v/>
      </c>
      <c r="X4346" s="75" t="n"/>
      <c r="Y4346" s="77" t="n"/>
      <c r="Z4346" s="77" t="n"/>
      <c r="AA4346" s="75" t="n"/>
      <c r="AB4346" s="75" t="n"/>
      <c r="AC4346" s="6" t="n"/>
      <c r="AD4346" s="75" t="n"/>
      <c r="AE4346" s="75" t="n"/>
      <c r="AF4346" s="75" t="n"/>
    </row>
    <row r="4347" ht="15.75" customHeight="1" s="133">
      <c r="A4347" s="75" t="n"/>
      <c r="B4347" s="75" t="n"/>
      <c r="C4347" s="75" t="n"/>
      <c r="D4347" s="75" t="n"/>
      <c r="E4347" s="76" t="n"/>
      <c r="F4347" s="77" t="n"/>
      <c r="G4347" s="75" t="n"/>
      <c r="H4347" s="75">
        <f>IF(ISBLANK(E4347),"",IF(OR(D4347="Butterfly",D4347="Butterfly ",D4347="Iron Fly", D4347="Iron Fly "),LEN(E4347)-LEN(SUBSTITUTE(E4347,"/",""))+2,LEN(E4347)-LEN(SUBSTITUTE(E4347,"/",""))+1))</f>
        <v/>
      </c>
      <c r="I4347" s="78">
        <f>IF(ISBLANK(G4347),"",IF(D4347="Stock","0",Key!$A$3*H4347*G4347))</f>
        <v/>
      </c>
      <c r="J4347" s="78">
        <f>IF(ISBLANK(E4347),"",IF(ISNUMBER(SEARCH("/",E4347)), IF(LEN(E4347)-LEN(SUBSTITUTE(E4347,"/",""))=1,(RIGHT(E4347,LEN(E4347)-FIND("/",E4347)))-(LEFT(E4347,FIND("/",E4347)-1)),(MID(E4347, SEARCH("/",E4347) + 1, SEARCH("/",E4347, SEARCH("/",E4347)+1) - SEARCH("/",E4347) - 1))-(LEFT(E4347,FIND("/",E4347)-1))), "NA"))</f>
        <v/>
      </c>
      <c r="K4347" s="79">
        <f>IF(A4347&lt;&gt;"", IF(ISBLANK(L4347), TODAY(), K4347), "")</f>
        <v/>
      </c>
      <c r="L4347" s="78" t="n"/>
      <c r="M4347" s="78">
        <f>IF(ISBLANK(L4347),"",IF(D4347="Stock",IF(C4347="Buy",L4347*G4347,IF(C4347="Sell",(L4347*G4347)-I4347, X)),IF(C4347="Buy",(L4347*G4347*100)+I4347,IF(C4347="Sell",(L4347*G4347*100)-I4347, X))))</f>
        <v/>
      </c>
      <c r="N4347" s="78">
        <f>IF(ISBLANK(L4347),"",IF(AND(C4347="Sell",D4347="Stock"),M4347,IF(ISBLANK(L4347),"",IF(C4347="Buy",M4347, IF(AND(C4347="Sell",J4347="NA"),(E4347*G4347*100*0.1)+I4347, IF(C4347="Sell",(J4347-L4347)*(100*G4347)+I4347))))))</f>
        <v/>
      </c>
      <c r="O4347" s="75" t="n"/>
      <c r="P4347" s="75" t="n"/>
      <c r="Q4347" s="75">
        <f>IF(ISBLANK(P4347),"",IF(D4347="Stock",P4347*G4347,IF(P4347=0,"0",G4347*P4347*100-(G4347*$AF$14))))</f>
        <v/>
      </c>
      <c r="R4347" s="79">
        <f>IF(P4347&lt;&gt;"", TODAY(), "")</f>
        <v/>
      </c>
      <c r="S4347" s="78">
        <f>IF(AND(K4347&lt;&gt;"", R4347&lt;&gt;""), R4347-K4347, "")</f>
        <v/>
      </c>
      <c r="T4347" s="78" t="n"/>
      <c r="U4347" s="92">
        <f>IF(ISBLANK(P4347),"",IF(C4347="Buy",Q4347-M4347+T4347, IF(C4347="Sell",M4347-Q4347-T4347, X)))</f>
        <v/>
      </c>
      <c r="V4347" s="81">
        <f>IF(ISBLANK(P4347),"",U4347/N4347)</f>
        <v/>
      </c>
      <c r="W4347" s="81">
        <f>IF(ISBLANK(P4347),"",IF(S4347=0,(365/0.5)*V4347,(365/S4347)*V4347))</f>
        <v/>
      </c>
      <c r="X4347" s="75" t="n"/>
      <c r="Y4347" s="77" t="n"/>
      <c r="Z4347" s="77" t="n"/>
      <c r="AA4347" s="75" t="n"/>
      <c r="AB4347" s="75" t="n"/>
      <c r="AC4347" s="6" t="n"/>
      <c r="AD4347" s="75" t="n"/>
      <c r="AE4347" s="75" t="n"/>
      <c r="AF4347" s="75" t="n"/>
    </row>
    <row r="4348" ht="15.75" customHeight="1" s="133">
      <c r="A4348" s="75" t="n"/>
      <c r="B4348" s="75" t="n"/>
      <c r="C4348" s="75" t="n"/>
      <c r="D4348" s="75" t="n"/>
      <c r="E4348" s="76" t="n"/>
      <c r="F4348" s="77" t="n"/>
      <c r="G4348" s="75" t="n"/>
      <c r="H4348" s="75">
        <f>IF(ISBLANK(E4348),"",IF(OR(D4348="Butterfly",D4348="Butterfly ",D4348="Iron Fly", D4348="Iron Fly "),LEN(E4348)-LEN(SUBSTITUTE(E4348,"/",""))+2,LEN(E4348)-LEN(SUBSTITUTE(E4348,"/",""))+1))</f>
        <v/>
      </c>
      <c r="I4348" s="78">
        <f>IF(ISBLANK(G4348),"",IF(D4348="Stock","0",Key!$A$3*H4348*G4348))</f>
        <v/>
      </c>
      <c r="J4348" s="78">
        <f>IF(ISBLANK(E4348),"",IF(ISNUMBER(SEARCH("/",E4348)), IF(LEN(E4348)-LEN(SUBSTITUTE(E4348,"/",""))=1,(RIGHT(E4348,LEN(E4348)-FIND("/",E4348)))-(LEFT(E4348,FIND("/",E4348)-1)),(MID(E4348, SEARCH("/",E4348) + 1, SEARCH("/",E4348, SEARCH("/",E4348)+1) - SEARCH("/",E4348) - 1))-(LEFT(E4348,FIND("/",E4348)-1))), "NA"))</f>
        <v/>
      </c>
      <c r="K4348" s="79">
        <f>IF(A4348&lt;&gt;"", IF(ISBLANK(L4348), TODAY(), K4348), "")</f>
        <v/>
      </c>
      <c r="L4348" s="78" t="n"/>
      <c r="M4348" s="78">
        <f>IF(ISBLANK(L4348),"",IF(D4348="Stock",IF(C4348="Buy",L4348*G4348,IF(C4348="Sell",(L4348*G4348)-I4348, X)),IF(C4348="Buy",(L4348*G4348*100)+I4348,IF(C4348="Sell",(L4348*G4348*100)-I4348, X))))</f>
        <v/>
      </c>
      <c r="N4348" s="78">
        <f>IF(ISBLANK(L4348),"",IF(AND(C4348="Sell",D4348="Stock"),M4348,IF(ISBLANK(L4348),"",IF(C4348="Buy",M4348, IF(AND(C4348="Sell",J4348="NA"),(E4348*G4348*100*0.1)+I4348, IF(C4348="Sell",(J4348-L4348)*(100*G4348)+I4348))))))</f>
        <v/>
      </c>
      <c r="O4348" s="75" t="n"/>
      <c r="P4348" s="75" t="n"/>
      <c r="Q4348" s="75">
        <f>IF(ISBLANK(P4348),"",IF(D4348="Stock",P4348*G4348,IF(P4348=0,"0",G4348*P4348*100-(G4348*$AF$14))))</f>
        <v/>
      </c>
      <c r="R4348" s="79">
        <f>IF(P4348&lt;&gt;"", TODAY(), "")</f>
        <v/>
      </c>
      <c r="S4348" s="78">
        <f>IF(AND(K4348&lt;&gt;"", R4348&lt;&gt;""), R4348-K4348, "")</f>
        <v/>
      </c>
      <c r="T4348" s="78" t="n"/>
      <c r="U4348" s="92">
        <f>IF(ISBLANK(P4348),"",IF(C4348="Buy",Q4348-M4348+T4348, IF(C4348="Sell",M4348-Q4348-T4348, X)))</f>
        <v/>
      </c>
      <c r="V4348" s="81">
        <f>IF(ISBLANK(P4348),"",U4348/N4348)</f>
        <v/>
      </c>
      <c r="W4348" s="81">
        <f>IF(ISBLANK(P4348),"",IF(S4348=0,(365/0.5)*V4348,(365/S4348)*V4348))</f>
        <v/>
      </c>
      <c r="X4348" s="75" t="n"/>
      <c r="Y4348" s="77" t="n"/>
      <c r="Z4348" s="77" t="n"/>
      <c r="AA4348" s="75" t="n"/>
      <c r="AB4348" s="75" t="n"/>
      <c r="AC4348" s="6" t="n"/>
      <c r="AD4348" s="75" t="n"/>
      <c r="AE4348" s="75" t="n"/>
      <c r="AF4348" s="75" t="n"/>
    </row>
    <row r="4349" ht="15.75" customHeight="1" s="133">
      <c r="A4349" s="75" t="n"/>
      <c r="B4349" s="75" t="n"/>
      <c r="C4349" s="75" t="n"/>
      <c r="D4349" s="75" t="n"/>
      <c r="E4349" s="76" t="n"/>
      <c r="F4349" s="77" t="n"/>
      <c r="G4349" s="75" t="n"/>
      <c r="H4349" s="75">
        <f>IF(ISBLANK(E4349),"",IF(OR(D4349="Butterfly",D4349="Butterfly ",D4349="Iron Fly", D4349="Iron Fly "),LEN(E4349)-LEN(SUBSTITUTE(E4349,"/",""))+2,LEN(E4349)-LEN(SUBSTITUTE(E4349,"/",""))+1))</f>
        <v/>
      </c>
      <c r="I4349" s="78">
        <f>IF(ISBLANK(G4349),"",IF(D4349="Stock","0",Key!$A$3*H4349*G4349))</f>
        <v/>
      </c>
      <c r="J4349" s="78">
        <f>IF(ISBLANK(E4349),"",IF(ISNUMBER(SEARCH("/",E4349)), IF(LEN(E4349)-LEN(SUBSTITUTE(E4349,"/",""))=1,(RIGHT(E4349,LEN(E4349)-FIND("/",E4349)))-(LEFT(E4349,FIND("/",E4349)-1)),(MID(E4349, SEARCH("/",E4349) + 1, SEARCH("/",E4349, SEARCH("/",E4349)+1) - SEARCH("/",E4349) - 1))-(LEFT(E4349,FIND("/",E4349)-1))), "NA"))</f>
        <v/>
      </c>
      <c r="K4349" s="79">
        <f>IF(A4349&lt;&gt;"", IF(ISBLANK(L4349), TODAY(), K4349), "")</f>
        <v/>
      </c>
      <c r="L4349" s="78" t="n"/>
      <c r="M4349" s="78">
        <f>IF(ISBLANK(L4349),"",IF(D4349="Stock",IF(C4349="Buy",L4349*G4349,IF(C4349="Sell",(L4349*G4349)-I4349, X)),IF(C4349="Buy",(L4349*G4349*100)+I4349,IF(C4349="Sell",(L4349*G4349*100)-I4349, X))))</f>
        <v/>
      </c>
      <c r="N4349" s="78">
        <f>IF(ISBLANK(L4349),"",IF(AND(C4349="Sell",D4349="Stock"),M4349,IF(ISBLANK(L4349),"",IF(C4349="Buy",M4349, IF(AND(C4349="Sell",J4349="NA"),(E4349*G4349*100*0.1)+I4349, IF(C4349="Sell",(J4349-L4349)*(100*G4349)+I4349))))))</f>
        <v/>
      </c>
      <c r="O4349" s="75" t="n"/>
      <c r="P4349" s="75" t="n"/>
      <c r="Q4349" s="75">
        <f>IF(ISBLANK(P4349),"",IF(D4349="Stock",P4349*G4349,IF(P4349=0,"0",G4349*P4349*100-(G4349*$AF$14))))</f>
        <v/>
      </c>
      <c r="R4349" s="79">
        <f>IF(P4349&lt;&gt;"", TODAY(), "")</f>
        <v/>
      </c>
      <c r="S4349" s="78">
        <f>IF(AND(K4349&lt;&gt;"", R4349&lt;&gt;""), R4349-K4349, "")</f>
        <v/>
      </c>
      <c r="T4349" s="78" t="n"/>
      <c r="U4349" s="92">
        <f>IF(ISBLANK(P4349),"",IF(C4349="Buy",Q4349-M4349+T4349, IF(C4349="Sell",M4349-Q4349-T4349, X)))</f>
        <v/>
      </c>
      <c r="V4349" s="81">
        <f>IF(ISBLANK(P4349),"",U4349/N4349)</f>
        <v/>
      </c>
      <c r="W4349" s="81">
        <f>IF(ISBLANK(P4349),"",IF(S4349=0,(365/0.5)*V4349,(365/S4349)*V4349))</f>
        <v/>
      </c>
      <c r="X4349" s="75" t="n"/>
      <c r="Y4349" s="77" t="n"/>
      <c r="Z4349" s="77" t="n"/>
      <c r="AA4349" s="75" t="n"/>
      <c r="AB4349" s="75" t="n"/>
      <c r="AC4349" s="6" t="n"/>
      <c r="AD4349" s="75" t="n"/>
      <c r="AE4349" s="75" t="n"/>
      <c r="AF4349" s="75" t="n"/>
    </row>
    <row r="4350" ht="15.75" customHeight="1" s="133">
      <c r="A4350" s="75" t="n"/>
      <c r="B4350" s="75" t="n"/>
      <c r="C4350" s="75" t="n"/>
      <c r="D4350" s="75" t="n"/>
      <c r="E4350" s="76" t="n"/>
      <c r="F4350" s="77" t="n"/>
      <c r="G4350" s="75" t="n"/>
      <c r="H4350" s="75">
        <f>IF(ISBLANK(E4350),"",IF(OR(D4350="Butterfly",D4350="Butterfly ",D4350="Iron Fly", D4350="Iron Fly "),LEN(E4350)-LEN(SUBSTITUTE(E4350,"/",""))+2,LEN(E4350)-LEN(SUBSTITUTE(E4350,"/",""))+1))</f>
        <v/>
      </c>
      <c r="I4350" s="78">
        <f>IF(ISBLANK(G4350),"",IF(D4350="Stock","0",Key!$A$3*H4350*G4350))</f>
        <v/>
      </c>
      <c r="J4350" s="78">
        <f>IF(ISBLANK(E4350),"",IF(ISNUMBER(SEARCH("/",E4350)), IF(LEN(E4350)-LEN(SUBSTITUTE(E4350,"/",""))=1,(RIGHT(E4350,LEN(E4350)-FIND("/",E4350)))-(LEFT(E4350,FIND("/",E4350)-1)),(MID(E4350, SEARCH("/",E4350) + 1, SEARCH("/",E4350, SEARCH("/",E4350)+1) - SEARCH("/",E4350) - 1))-(LEFT(E4350,FIND("/",E4350)-1))), "NA"))</f>
        <v/>
      </c>
      <c r="K4350" s="79">
        <f>IF(A4350&lt;&gt;"", IF(ISBLANK(L4350), TODAY(), K4350), "")</f>
        <v/>
      </c>
      <c r="L4350" s="78" t="n"/>
      <c r="M4350" s="78">
        <f>IF(ISBLANK(L4350),"",IF(D4350="Stock",IF(C4350="Buy",L4350*G4350,IF(C4350="Sell",(L4350*G4350)-I4350, X)),IF(C4350="Buy",(L4350*G4350*100)+I4350,IF(C4350="Sell",(L4350*G4350*100)-I4350, X))))</f>
        <v/>
      </c>
      <c r="N4350" s="78">
        <f>IF(ISBLANK(L4350),"",IF(AND(C4350="Sell",D4350="Stock"),M4350,IF(ISBLANK(L4350),"",IF(C4350="Buy",M4350, IF(AND(C4350="Sell",J4350="NA"),(E4350*G4350*100*0.1)+I4350, IF(C4350="Sell",(J4350-L4350)*(100*G4350)+I4350))))))</f>
        <v/>
      </c>
      <c r="O4350" s="75" t="n"/>
      <c r="P4350" s="75" t="n"/>
      <c r="Q4350" s="75">
        <f>IF(ISBLANK(P4350),"",IF(D4350="Stock",P4350*G4350,IF(P4350=0,"0",G4350*P4350*100-(G4350*$AF$14))))</f>
        <v/>
      </c>
      <c r="R4350" s="79">
        <f>IF(P4350&lt;&gt;"", TODAY(), "")</f>
        <v/>
      </c>
      <c r="S4350" s="78">
        <f>IF(AND(K4350&lt;&gt;"", R4350&lt;&gt;""), R4350-K4350, "")</f>
        <v/>
      </c>
      <c r="T4350" s="78" t="n"/>
      <c r="U4350" s="92">
        <f>IF(ISBLANK(P4350),"",IF(C4350="Buy",Q4350-M4350+T4350, IF(C4350="Sell",M4350-Q4350-T4350, X)))</f>
        <v/>
      </c>
      <c r="V4350" s="81">
        <f>IF(ISBLANK(P4350),"",U4350/N4350)</f>
        <v/>
      </c>
      <c r="W4350" s="81">
        <f>IF(ISBLANK(P4350),"",IF(S4350=0,(365/0.5)*V4350,(365/S4350)*V4350))</f>
        <v/>
      </c>
      <c r="X4350" s="75" t="n"/>
      <c r="Y4350" s="77" t="n"/>
      <c r="Z4350" s="77" t="n"/>
      <c r="AA4350" s="75" t="n"/>
      <c r="AB4350" s="75" t="n"/>
      <c r="AC4350" s="6" t="n"/>
      <c r="AD4350" s="75" t="n"/>
      <c r="AE4350" s="75" t="n"/>
      <c r="AF4350" s="75" t="n"/>
    </row>
    <row r="4351" ht="15.75" customHeight="1" s="133">
      <c r="A4351" s="75" t="n"/>
      <c r="B4351" s="75" t="n"/>
      <c r="C4351" s="75" t="n"/>
      <c r="D4351" s="75" t="n"/>
      <c r="E4351" s="76" t="n"/>
      <c r="F4351" s="77" t="n"/>
      <c r="G4351" s="75" t="n"/>
      <c r="H4351" s="75">
        <f>IF(ISBLANK(E4351),"",IF(OR(D4351="Butterfly",D4351="Butterfly ",D4351="Iron Fly", D4351="Iron Fly "),LEN(E4351)-LEN(SUBSTITUTE(E4351,"/",""))+2,LEN(E4351)-LEN(SUBSTITUTE(E4351,"/",""))+1))</f>
        <v/>
      </c>
      <c r="I4351" s="78">
        <f>IF(ISBLANK(G4351),"",IF(D4351="Stock","0",Key!$A$3*H4351*G4351))</f>
        <v/>
      </c>
      <c r="J4351" s="78">
        <f>IF(ISBLANK(E4351),"",IF(ISNUMBER(SEARCH("/",E4351)), IF(LEN(E4351)-LEN(SUBSTITUTE(E4351,"/",""))=1,(RIGHT(E4351,LEN(E4351)-FIND("/",E4351)))-(LEFT(E4351,FIND("/",E4351)-1)),(MID(E4351, SEARCH("/",E4351) + 1, SEARCH("/",E4351, SEARCH("/",E4351)+1) - SEARCH("/",E4351) - 1))-(LEFT(E4351,FIND("/",E4351)-1))), "NA"))</f>
        <v/>
      </c>
      <c r="K4351" s="79">
        <f>IF(A4351&lt;&gt;"", IF(ISBLANK(L4351), TODAY(), K4351), "")</f>
        <v/>
      </c>
      <c r="L4351" s="78" t="n"/>
      <c r="M4351" s="78">
        <f>IF(ISBLANK(L4351),"",IF(D4351="Stock",IF(C4351="Buy",L4351*G4351,IF(C4351="Sell",(L4351*G4351)-I4351, X)),IF(C4351="Buy",(L4351*G4351*100)+I4351,IF(C4351="Sell",(L4351*G4351*100)-I4351, X))))</f>
        <v/>
      </c>
      <c r="N4351" s="78">
        <f>IF(ISBLANK(L4351),"",IF(AND(C4351="Sell",D4351="Stock"),M4351,IF(ISBLANK(L4351),"",IF(C4351="Buy",M4351, IF(AND(C4351="Sell",J4351="NA"),(E4351*G4351*100*0.1)+I4351, IF(C4351="Sell",(J4351-L4351)*(100*G4351)+I4351))))))</f>
        <v/>
      </c>
      <c r="O4351" s="75" t="n"/>
      <c r="P4351" s="75" t="n"/>
      <c r="Q4351" s="75">
        <f>IF(ISBLANK(P4351),"",IF(D4351="Stock",P4351*G4351,IF(P4351=0,"0",G4351*P4351*100-(G4351*$AF$14))))</f>
        <v/>
      </c>
      <c r="R4351" s="79">
        <f>IF(P4351&lt;&gt;"", TODAY(), "")</f>
        <v/>
      </c>
      <c r="S4351" s="78">
        <f>IF(AND(K4351&lt;&gt;"", R4351&lt;&gt;""), R4351-K4351, "")</f>
        <v/>
      </c>
      <c r="T4351" s="78" t="n"/>
      <c r="U4351" s="92">
        <f>IF(ISBLANK(P4351),"",IF(C4351="Buy",Q4351-M4351+T4351, IF(C4351="Sell",M4351-Q4351-T4351, X)))</f>
        <v/>
      </c>
      <c r="V4351" s="81">
        <f>IF(ISBLANK(P4351),"",U4351/N4351)</f>
        <v/>
      </c>
      <c r="W4351" s="81">
        <f>IF(ISBLANK(P4351),"",IF(S4351=0,(365/0.5)*V4351,(365/S4351)*V4351))</f>
        <v/>
      </c>
      <c r="X4351" s="75" t="n"/>
      <c r="Y4351" s="77" t="n"/>
      <c r="Z4351" s="77" t="n"/>
      <c r="AA4351" s="75" t="n"/>
      <c r="AB4351" s="75" t="n"/>
      <c r="AC4351" s="6" t="n"/>
      <c r="AD4351" s="75" t="n"/>
      <c r="AE4351" s="75" t="n"/>
      <c r="AF4351" s="75" t="n"/>
    </row>
    <row r="4352" ht="15.75" customHeight="1" s="133">
      <c r="A4352" s="75" t="n"/>
      <c r="B4352" s="75" t="n"/>
      <c r="C4352" s="75" t="n"/>
      <c r="D4352" s="75" t="n"/>
      <c r="E4352" s="76" t="n"/>
      <c r="F4352" s="77" t="n"/>
      <c r="G4352" s="75" t="n"/>
      <c r="H4352" s="75">
        <f>IF(ISBLANK(E4352),"",IF(OR(D4352="Butterfly",D4352="Butterfly ",D4352="Iron Fly", D4352="Iron Fly "),LEN(E4352)-LEN(SUBSTITUTE(E4352,"/",""))+2,LEN(E4352)-LEN(SUBSTITUTE(E4352,"/",""))+1))</f>
        <v/>
      </c>
      <c r="I4352" s="78">
        <f>IF(ISBLANK(G4352),"",IF(D4352="Stock","0",Key!$A$3*H4352*G4352))</f>
        <v/>
      </c>
      <c r="J4352" s="78">
        <f>IF(ISBLANK(E4352),"",IF(ISNUMBER(SEARCH("/",E4352)), IF(LEN(E4352)-LEN(SUBSTITUTE(E4352,"/",""))=1,(RIGHT(E4352,LEN(E4352)-FIND("/",E4352)))-(LEFT(E4352,FIND("/",E4352)-1)),(MID(E4352, SEARCH("/",E4352) + 1, SEARCH("/",E4352, SEARCH("/",E4352)+1) - SEARCH("/",E4352) - 1))-(LEFT(E4352,FIND("/",E4352)-1))), "NA"))</f>
        <v/>
      </c>
      <c r="K4352" s="79">
        <f>IF(A4352&lt;&gt;"", IF(ISBLANK(L4352), TODAY(), K4352), "")</f>
        <v/>
      </c>
      <c r="L4352" s="78" t="n"/>
      <c r="M4352" s="78">
        <f>IF(ISBLANK(L4352),"",IF(D4352="Stock",IF(C4352="Buy",L4352*G4352,IF(C4352="Sell",(L4352*G4352)-I4352, X)),IF(C4352="Buy",(L4352*G4352*100)+I4352,IF(C4352="Sell",(L4352*G4352*100)-I4352, X))))</f>
        <v/>
      </c>
      <c r="N4352" s="78">
        <f>IF(ISBLANK(L4352),"",IF(AND(C4352="Sell",D4352="Stock"),M4352,IF(ISBLANK(L4352),"",IF(C4352="Buy",M4352, IF(AND(C4352="Sell",J4352="NA"),(E4352*G4352*100*0.1)+I4352, IF(C4352="Sell",(J4352-L4352)*(100*G4352)+I4352))))))</f>
        <v/>
      </c>
      <c r="O4352" s="75" t="n"/>
      <c r="P4352" s="75" t="n"/>
      <c r="Q4352" s="75">
        <f>IF(ISBLANK(P4352),"",IF(D4352="Stock",P4352*G4352,IF(P4352=0,"0",G4352*P4352*100-(G4352*$AF$14))))</f>
        <v/>
      </c>
      <c r="R4352" s="79">
        <f>IF(P4352&lt;&gt;"", TODAY(), "")</f>
        <v/>
      </c>
      <c r="S4352" s="78">
        <f>IF(AND(K4352&lt;&gt;"", R4352&lt;&gt;""), R4352-K4352, "")</f>
        <v/>
      </c>
      <c r="T4352" s="78" t="n"/>
      <c r="U4352" s="92">
        <f>IF(ISBLANK(P4352),"",IF(C4352="Buy",Q4352-M4352+T4352, IF(C4352="Sell",M4352-Q4352-T4352, X)))</f>
        <v/>
      </c>
      <c r="V4352" s="81">
        <f>IF(ISBLANK(P4352),"",U4352/N4352)</f>
        <v/>
      </c>
      <c r="W4352" s="81">
        <f>IF(ISBLANK(P4352),"",IF(S4352=0,(365/0.5)*V4352,(365/S4352)*V4352))</f>
        <v/>
      </c>
      <c r="X4352" s="75" t="n"/>
      <c r="Y4352" s="77" t="n"/>
      <c r="Z4352" s="77" t="n"/>
      <c r="AA4352" s="75" t="n"/>
      <c r="AB4352" s="75" t="n"/>
      <c r="AC4352" s="6" t="n"/>
      <c r="AD4352" s="75" t="n"/>
      <c r="AE4352" s="75" t="n"/>
      <c r="AF4352" s="75" t="n"/>
    </row>
    <row r="4353" ht="15.75" customHeight="1" s="133">
      <c r="A4353" s="75" t="n"/>
      <c r="B4353" s="75" t="n"/>
      <c r="C4353" s="75" t="n"/>
      <c r="D4353" s="75" t="n"/>
      <c r="E4353" s="76" t="n"/>
      <c r="F4353" s="77" t="n"/>
      <c r="G4353" s="75" t="n"/>
      <c r="H4353" s="75">
        <f>IF(ISBLANK(E4353),"",IF(OR(D4353="Butterfly",D4353="Butterfly ",D4353="Iron Fly", D4353="Iron Fly "),LEN(E4353)-LEN(SUBSTITUTE(E4353,"/",""))+2,LEN(E4353)-LEN(SUBSTITUTE(E4353,"/",""))+1))</f>
        <v/>
      </c>
      <c r="I4353" s="78">
        <f>IF(ISBLANK(G4353),"",IF(D4353="Stock","0",Key!$A$3*H4353*G4353))</f>
        <v/>
      </c>
      <c r="J4353" s="78">
        <f>IF(ISBLANK(E4353),"",IF(ISNUMBER(SEARCH("/",E4353)), IF(LEN(E4353)-LEN(SUBSTITUTE(E4353,"/",""))=1,(RIGHT(E4353,LEN(E4353)-FIND("/",E4353)))-(LEFT(E4353,FIND("/",E4353)-1)),(MID(E4353, SEARCH("/",E4353) + 1, SEARCH("/",E4353, SEARCH("/",E4353)+1) - SEARCH("/",E4353) - 1))-(LEFT(E4353,FIND("/",E4353)-1))), "NA"))</f>
        <v/>
      </c>
      <c r="K4353" s="79">
        <f>IF(A4353&lt;&gt;"", IF(ISBLANK(L4353), TODAY(), K4353), "")</f>
        <v/>
      </c>
      <c r="L4353" s="78" t="n"/>
      <c r="M4353" s="78">
        <f>IF(ISBLANK(L4353),"",IF(D4353="Stock",IF(C4353="Buy",L4353*G4353,IF(C4353="Sell",(L4353*G4353)-I4353, X)),IF(C4353="Buy",(L4353*G4353*100)+I4353,IF(C4353="Sell",(L4353*G4353*100)-I4353, X))))</f>
        <v/>
      </c>
      <c r="N4353" s="78">
        <f>IF(ISBLANK(L4353),"",IF(AND(C4353="Sell",D4353="Stock"),M4353,IF(ISBLANK(L4353),"",IF(C4353="Buy",M4353, IF(AND(C4353="Sell",J4353="NA"),(E4353*G4353*100*0.1)+I4353, IF(C4353="Sell",(J4353-L4353)*(100*G4353)+I4353))))))</f>
        <v/>
      </c>
      <c r="O4353" s="75" t="n"/>
      <c r="P4353" s="75" t="n"/>
      <c r="Q4353" s="75">
        <f>IF(ISBLANK(P4353),"",IF(D4353="Stock",P4353*G4353,IF(P4353=0,"0",G4353*P4353*100-(G4353*$AF$14))))</f>
        <v/>
      </c>
      <c r="R4353" s="79">
        <f>IF(P4353&lt;&gt;"", TODAY(), "")</f>
        <v/>
      </c>
      <c r="S4353" s="78">
        <f>IF(AND(K4353&lt;&gt;"", R4353&lt;&gt;""), R4353-K4353, "")</f>
        <v/>
      </c>
      <c r="T4353" s="78" t="n"/>
      <c r="U4353" s="92">
        <f>IF(ISBLANK(P4353),"",IF(C4353="Buy",Q4353-M4353+T4353, IF(C4353="Sell",M4353-Q4353-T4353, X)))</f>
        <v/>
      </c>
      <c r="V4353" s="81">
        <f>IF(ISBLANK(P4353),"",U4353/N4353)</f>
        <v/>
      </c>
      <c r="W4353" s="81">
        <f>IF(ISBLANK(P4353),"",IF(S4353=0,(365/0.5)*V4353,(365/S4353)*V4353))</f>
        <v/>
      </c>
      <c r="X4353" s="75" t="n"/>
      <c r="Y4353" s="77" t="n"/>
      <c r="Z4353" s="77" t="n"/>
      <c r="AA4353" s="75" t="n"/>
      <c r="AB4353" s="75" t="n"/>
      <c r="AC4353" s="6" t="n"/>
      <c r="AD4353" s="75" t="n"/>
      <c r="AE4353" s="75" t="n"/>
      <c r="AF4353" s="75" t="n"/>
    </row>
    <row r="4354" ht="15.75" customHeight="1" s="133">
      <c r="A4354" s="75" t="n"/>
      <c r="B4354" s="75" t="n"/>
      <c r="C4354" s="75" t="n"/>
      <c r="D4354" s="75" t="n"/>
      <c r="E4354" s="76" t="n"/>
      <c r="F4354" s="77" t="n"/>
      <c r="G4354" s="75" t="n"/>
      <c r="H4354" s="75">
        <f>IF(ISBLANK(E4354),"",IF(OR(D4354="Butterfly",D4354="Butterfly ",D4354="Iron Fly", D4354="Iron Fly "),LEN(E4354)-LEN(SUBSTITUTE(E4354,"/",""))+2,LEN(E4354)-LEN(SUBSTITUTE(E4354,"/",""))+1))</f>
        <v/>
      </c>
      <c r="I4354" s="78">
        <f>IF(ISBLANK(G4354),"",IF(D4354="Stock","0",Key!$A$3*H4354*G4354))</f>
        <v/>
      </c>
      <c r="J4354" s="78">
        <f>IF(ISBLANK(E4354),"",IF(ISNUMBER(SEARCH("/",E4354)), IF(LEN(E4354)-LEN(SUBSTITUTE(E4354,"/",""))=1,(RIGHT(E4354,LEN(E4354)-FIND("/",E4354)))-(LEFT(E4354,FIND("/",E4354)-1)),(MID(E4354, SEARCH("/",E4354) + 1, SEARCH("/",E4354, SEARCH("/",E4354)+1) - SEARCH("/",E4354) - 1))-(LEFT(E4354,FIND("/",E4354)-1))), "NA"))</f>
        <v/>
      </c>
      <c r="K4354" s="79">
        <f>IF(A4354&lt;&gt;"", IF(ISBLANK(L4354), TODAY(), K4354), "")</f>
        <v/>
      </c>
      <c r="L4354" s="78" t="n"/>
      <c r="M4354" s="78">
        <f>IF(ISBLANK(L4354),"",IF(D4354="Stock",IF(C4354="Buy",L4354*G4354,IF(C4354="Sell",(L4354*G4354)-I4354, X)),IF(C4354="Buy",(L4354*G4354*100)+I4354,IF(C4354="Sell",(L4354*G4354*100)-I4354, X))))</f>
        <v/>
      </c>
      <c r="N4354" s="78">
        <f>IF(ISBLANK(L4354),"",IF(AND(C4354="Sell",D4354="Stock"),M4354,IF(ISBLANK(L4354),"",IF(C4354="Buy",M4354, IF(AND(C4354="Sell",J4354="NA"),(E4354*G4354*100*0.1)+I4354, IF(C4354="Sell",(J4354-L4354)*(100*G4354)+I4354))))))</f>
        <v/>
      </c>
      <c r="O4354" s="75" t="n"/>
      <c r="P4354" s="75" t="n"/>
      <c r="Q4354" s="75">
        <f>IF(ISBLANK(P4354),"",IF(D4354="Stock",P4354*G4354,IF(P4354=0,"0",G4354*P4354*100-(G4354*$AF$14))))</f>
        <v/>
      </c>
      <c r="R4354" s="79">
        <f>IF(P4354&lt;&gt;"", TODAY(), "")</f>
        <v/>
      </c>
      <c r="S4354" s="78">
        <f>IF(AND(K4354&lt;&gt;"", R4354&lt;&gt;""), R4354-K4354, "")</f>
        <v/>
      </c>
      <c r="T4354" s="78" t="n"/>
      <c r="U4354" s="92">
        <f>IF(ISBLANK(P4354),"",IF(C4354="Buy",Q4354-M4354+T4354, IF(C4354="Sell",M4354-Q4354-T4354, X)))</f>
        <v/>
      </c>
      <c r="V4354" s="81">
        <f>IF(ISBLANK(P4354),"",U4354/N4354)</f>
        <v/>
      </c>
      <c r="W4354" s="81">
        <f>IF(ISBLANK(P4354),"",IF(S4354=0,(365/0.5)*V4354,(365/S4354)*V4354))</f>
        <v/>
      </c>
      <c r="X4354" s="75" t="n"/>
      <c r="Y4354" s="77" t="n"/>
      <c r="Z4354" s="77" t="n"/>
      <c r="AA4354" s="75" t="n"/>
      <c r="AB4354" s="75" t="n"/>
      <c r="AC4354" s="6" t="n"/>
      <c r="AD4354" s="75" t="n"/>
      <c r="AE4354" s="75" t="n"/>
      <c r="AF4354" s="75" t="n"/>
    </row>
    <row r="4355" ht="15.75" customHeight="1" s="133">
      <c r="A4355" s="75" t="n"/>
      <c r="B4355" s="75" t="n"/>
      <c r="C4355" s="75" t="n"/>
      <c r="D4355" s="75" t="n"/>
      <c r="E4355" s="76" t="n"/>
      <c r="F4355" s="77" t="n"/>
      <c r="G4355" s="75" t="n"/>
      <c r="H4355" s="75">
        <f>IF(ISBLANK(E4355),"",IF(OR(D4355="Butterfly",D4355="Butterfly ",D4355="Iron Fly", D4355="Iron Fly "),LEN(E4355)-LEN(SUBSTITUTE(E4355,"/",""))+2,LEN(E4355)-LEN(SUBSTITUTE(E4355,"/",""))+1))</f>
        <v/>
      </c>
      <c r="I4355" s="78">
        <f>IF(ISBLANK(G4355),"",IF(D4355="Stock","0",Key!$A$3*H4355*G4355))</f>
        <v/>
      </c>
      <c r="J4355" s="78">
        <f>IF(ISBLANK(E4355),"",IF(ISNUMBER(SEARCH("/",E4355)), IF(LEN(E4355)-LEN(SUBSTITUTE(E4355,"/",""))=1,(RIGHT(E4355,LEN(E4355)-FIND("/",E4355)))-(LEFT(E4355,FIND("/",E4355)-1)),(MID(E4355, SEARCH("/",E4355) + 1, SEARCH("/",E4355, SEARCH("/",E4355)+1) - SEARCH("/",E4355) - 1))-(LEFT(E4355,FIND("/",E4355)-1))), "NA"))</f>
        <v/>
      </c>
      <c r="K4355" s="79">
        <f>IF(A4355&lt;&gt;"", IF(ISBLANK(L4355), TODAY(), K4355), "")</f>
        <v/>
      </c>
      <c r="L4355" s="78" t="n"/>
      <c r="M4355" s="78">
        <f>IF(ISBLANK(L4355),"",IF(D4355="Stock",IF(C4355="Buy",L4355*G4355,IF(C4355="Sell",(L4355*G4355)-I4355, X)),IF(C4355="Buy",(L4355*G4355*100)+I4355,IF(C4355="Sell",(L4355*G4355*100)-I4355, X))))</f>
        <v/>
      </c>
      <c r="N4355" s="78">
        <f>IF(ISBLANK(L4355),"",IF(AND(C4355="Sell",D4355="Stock"),M4355,IF(ISBLANK(L4355),"",IF(C4355="Buy",M4355, IF(AND(C4355="Sell",J4355="NA"),(E4355*G4355*100*0.1)+I4355, IF(C4355="Sell",(J4355-L4355)*(100*G4355)+I4355))))))</f>
        <v/>
      </c>
      <c r="O4355" s="75" t="n"/>
      <c r="P4355" s="75" t="n"/>
      <c r="Q4355" s="75">
        <f>IF(ISBLANK(P4355),"",IF(D4355="Stock",P4355*G4355,IF(P4355=0,"0",G4355*P4355*100-(G4355*$AF$14))))</f>
        <v/>
      </c>
      <c r="R4355" s="79">
        <f>IF(P4355&lt;&gt;"", TODAY(), "")</f>
        <v/>
      </c>
      <c r="S4355" s="78">
        <f>IF(AND(K4355&lt;&gt;"", R4355&lt;&gt;""), R4355-K4355, "")</f>
        <v/>
      </c>
      <c r="T4355" s="78" t="n"/>
      <c r="U4355" s="92">
        <f>IF(ISBLANK(P4355),"",IF(C4355="Buy",Q4355-M4355+T4355, IF(C4355="Sell",M4355-Q4355-T4355, X)))</f>
        <v/>
      </c>
      <c r="V4355" s="81">
        <f>IF(ISBLANK(P4355),"",U4355/N4355)</f>
        <v/>
      </c>
      <c r="W4355" s="81">
        <f>IF(ISBLANK(P4355),"",IF(S4355=0,(365/0.5)*V4355,(365/S4355)*V4355))</f>
        <v/>
      </c>
      <c r="X4355" s="75" t="n"/>
      <c r="Y4355" s="77" t="n"/>
      <c r="Z4355" s="77" t="n"/>
      <c r="AA4355" s="75" t="n"/>
      <c r="AB4355" s="75" t="n"/>
      <c r="AC4355" s="6" t="n"/>
      <c r="AD4355" s="75" t="n"/>
      <c r="AE4355" s="75" t="n"/>
      <c r="AF4355" s="75" t="n"/>
    </row>
    <row r="4356" ht="15.75" customHeight="1" s="133">
      <c r="A4356" s="75" t="n"/>
      <c r="B4356" s="75" t="n"/>
      <c r="C4356" s="75" t="n"/>
      <c r="D4356" s="75" t="n"/>
      <c r="E4356" s="76" t="n"/>
      <c r="F4356" s="77" t="n"/>
      <c r="G4356" s="75" t="n"/>
      <c r="H4356" s="75">
        <f>IF(ISBLANK(E4356),"",IF(OR(D4356="Butterfly",D4356="Butterfly ",D4356="Iron Fly", D4356="Iron Fly "),LEN(E4356)-LEN(SUBSTITUTE(E4356,"/",""))+2,LEN(E4356)-LEN(SUBSTITUTE(E4356,"/",""))+1))</f>
        <v/>
      </c>
      <c r="I4356" s="78">
        <f>IF(ISBLANK(G4356),"",IF(D4356="Stock","0",Key!$A$3*H4356*G4356))</f>
        <v/>
      </c>
      <c r="J4356" s="78">
        <f>IF(ISBLANK(E4356),"",IF(ISNUMBER(SEARCH("/",E4356)), IF(LEN(E4356)-LEN(SUBSTITUTE(E4356,"/",""))=1,(RIGHT(E4356,LEN(E4356)-FIND("/",E4356)))-(LEFT(E4356,FIND("/",E4356)-1)),(MID(E4356, SEARCH("/",E4356) + 1, SEARCH("/",E4356, SEARCH("/",E4356)+1) - SEARCH("/",E4356) - 1))-(LEFT(E4356,FIND("/",E4356)-1))), "NA"))</f>
        <v/>
      </c>
      <c r="K4356" s="79">
        <f>IF(A4356&lt;&gt;"", IF(ISBLANK(L4356), TODAY(), K4356), "")</f>
        <v/>
      </c>
      <c r="L4356" s="78" t="n"/>
      <c r="M4356" s="78">
        <f>IF(ISBLANK(L4356),"",IF(D4356="Stock",IF(C4356="Buy",L4356*G4356,IF(C4356="Sell",(L4356*G4356)-I4356, X)),IF(C4356="Buy",(L4356*G4356*100)+I4356,IF(C4356="Sell",(L4356*G4356*100)-I4356, X))))</f>
        <v/>
      </c>
      <c r="N4356" s="78">
        <f>IF(ISBLANK(L4356),"",IF(AND(C4356="Sell",D4356="Stock"),M4356,IF(ISBLANK(L4356),"",IF(C4356="Buy",M4356, IF(AND(C4356="Sell",J4356="NA"),(E4356*G4356*100*0.1)+I4356, IF(C4356="Sell",(J4356-L4356)*(100*G4356)+I4356))))))</f>
        <v/>
      </c>
      <c r="O4356" s="75" t="n"/>
      <c r="P4356" s="75" t="n"/>
      <c r="Q4356" s="75">
        <f>IF(ISBLANK(P4356),"",IF(D4356="Stock",P4356*G4356,IF(P4356=0,"0",G4356*P4356*100-(G4356*$AF$14))))</f>
        <v/>
      </c>
      <c r="R4356" s="79">
        <f>IF(P4356&lt;&gt;"", TODAY(), "")</f>
        <v/>
      </c>
      <c r="S4356" s="78">
        <f>IF(AND(K4356&lt;&gt;"", R4356&lt;&gt;""), R4356-K4356, "")</f>
        <v/>
      </c>
      <c r="T4356" s="78" t="n"/>
      <c r="U4356" s="92">
        <f>IF(ISBLANK(P4356),"",IF(C4356="Buy",Q4356-M4356+T4356, IF(C4356="Sell",M4356-Q4356-T4356, X)))</f>
        <v/>
      </c>
      <c r="V4356" s="81">
        <f>IF(ISBLANK(P4356),"",U4356/N4356)</f>
        <v/>
      </c>
      <c r="W4356" s="81">
        <f>IF(ISBLANK(P4356),"",IF(S4356=0,(365/0.5)*V4356,(365/S4356)*V4356))</f>
        <v/>
      </c>
      <c r="X4356" s="75" t="n"/>
      <c r="Y4356" s="77" t="n"/>
      <c r="Z4356" s="77" t="n"/>
      <c r="AA4356" s="75" t="n"/>
      <c r="AB4356" s="75" t="n"/>
      <c r="AC4356" s="6" t="n"/>
      <c r="AD4356" s="75" t="n"/>
      <c r="AE4356" s="75" t="n"/>
      <c r="AF4356" s="75" t="n"/>
    </row>
    <row r="4357" ht="15.75" customHeight="1" s="133">
      <c r="A4357" s="75" t="n"/>
      <c r="B4357" s="75" t="n"/>
      <c r="C4357" s="75" t="n"/>
      <c r="D4357" s="75" t="n"/>
      <c r="E4357" s="76" t="n"/>
      <c r="F4357" s="77" t="n"/>
      <c r="G4357" s="75" t="n"/>
      <c r="H4357" s="75">
        <f>IF(ISBLANK(E4357),"",IF(OR(D4357="Butterfly",D4357="Butterfly ",D4357="Iron Fly", D4357="Iron Fly "),LEN(E4357)-LEN(SUBSTITUTE(E4357,"/",""))+2,LEN(E4357)-LEN(SUBSTITUTE(E4357,"/",""))+1))</f>
        <v/>
      </c>
      <c r="I4357" s="78">
        <f>IF(ISBLANK(G4357),"",IF(D4357="Stock","0",Key!$A$3*H4357*G4357))</f>
        <v/>
      </c>
      <c r="J4357" s="78">
        <f>IF(ISBLANK(E4357),"",IF(ISNUMBER(SEARCH("/",E4357)), IF(LEN(E4357)-LEN(SUBSTITUTE(E4357,"/",""))=1,(RIGHT(E4357,LEN(E4357)-FIND("/",E4357)))-(LEFT(E4357,FIND("/",E4357)-1)),(MID(E4357, SEARCH("/",E4357) + 1, SEARCH("/",E4357, SEARCH("/",E4357)+1) - SEARCH("/",E4357) - 1))-(LEFT(E4357,FIND("/",E4357)-1))), "NA"))</f>
        <v/>
      </c>
      <c r="K4357" s="79">
        <f>IF(A4357&lt;&gt;"", IF(ISBLANK(L4357), TODAY(), K4357), "")</f>
        <v/>
      </c>
      <c r="L4357" s="78" t="n"/>
      <c r="M4357" s="78">
        <f>IF(ISBLANK(L4357),"",IF(D4357="Stock",IF(C4357="Buy",L4357*G4357,IF(C4357="Sell",(L4357*G4357)-I4357, X)),IF(C4357="Buy",(L4357*G4357*100)+I4357,IF(C4357="Sell",(L4357*G4357*100)-I4357, X))))</f>
        <v/>
      </c>
      <c r="N4357" s="78">
        <f>IF(ISBLANK(L4357),"",IF(AND(C4357="Sell",D4357="Stock"),M4357,IF(ISBLANK(L4357),"",IF(C4357="Buy",M4357, IF(AND(C4357="Sell",J4357="NA"),(E4357*G4357*100*0.1)+I4357, IF(C4357="Sell",(J4357-L4357)*(100*G4357)+I4357))))))</f>
        <v/>
      </c>
      <c r="O4357" s="75" t="n"/>
      <c r="P4357" s="75" t="n"/>
      <c r="Q4357" s="75">
        <f>IF(ISBLANK(P4357),"",IF(D4357="Stock",P4357*G4357,IF(P4357=0,"0",G4357*P4357*100-(G4357*$AF$14))))</f>
        <v/>
      </c>
      <c r="R4357" s="79">
        <f>IF(P4357&lt;&gt;"", TODAY(), "")</f>
        <v/>
      </c>
      <c r="S4357" s="78">
        <f>IF(AND(K4357&lt;&gt;"", R4357&lt;&gt;""), R4357-K4357, "")</f>
        <v/>
      </c>
      <c r="T4357" s="78" t="n"/>
      <c r="U4357" s="92">
        <f>IF(ISBLANK(P4357),"",IF(C4357="Buy",Q4357-M4357+T4357, IF(C4357="Sell",M4357-Q4357-T4357, X)))</f>
        <v/>
      </c>
      <c r="V4357" s="81">
        <f>IF(ISBLANK(P4357),"",U4357/N4357)</f>
        <v/>
      </c>
      <c r="W4357" s="81">
        <f>IF(ISBLANK(P4357),"",IF(S4357=0,(365/0.5)*V4357,(365/S4357)*V4357))</f>
        <v/>
      </c>
      <c r="X4357" s="75" t="n"/>
      <c r="Y4357" s="77" t="n"/>
      <c r="Z4357" s="77" t="n"/>
      <c r="AA4357" s="75" t="n"/>
      <c r="AB4357" s="75" t="n"/>
      <c r="AC4357" s="6" t="n"/>
      <c r="AD4357" s="75" t="n"/>
      <c r="AE4357" s="75" t="n"/>
      <c r="AF4357" s="75" t="n"/>
    </row>
    <row r="4358" ht="15.75" customHeight="1" s="133">
      <c r="A4358" s="75" t="n"/>
      <c r="B4358" s="75" t="n"/>
      <c r="C4358" s="75" t="n"/>
      <c r="D4358" s="75" t="n"/>
      <c r="E4358" s="76" t="n"/>
      <c r="F4358" s="77" t="n"/>
      <c r="G4358" s="75" t="n"/>
      <c r="H4358" s="75">
        <f>IF(ISBLANK(E4358),"",IF(OR(D4358="Butterfly",D4358="Butterfly ",D4358="Iron Fly", D4358="Iron Fly "),LEN(E4358)-LEN(SUBSTITUTE(E4358,"/",""))+2,LEN(E4358)-LEN(SUBSTITUTE(E4358,"/",""))+1))</f>
        <v/>
      </c>
      <c r="I4358" s="78">
        <f>IF(ISBLANK(G4358),"",IF(D4358="Stock","0",Key!$A$3*H4358*G4358))</f>
        <v/>
      </c>
      <c r="J4358" s="78">
        <f>IF(ISBLANK(E4358),"",IF(ISNUMBER(SEARCH("/",E4358)), IF(LEN(E4358)-LEN(SUBSTITUTE(E4358,"/",""))=1,(RIGHT(E4358,LEN(E4358)-FIND("/",E4358)))-(LEFT(E4358,FIND("/",E4358)-1)),(MID(E4358, SEARCH("/",E4358) + 1, SEARCH("/",E4358, SEARCH("/",E4358)+1) - SEARCH("/",E4358) - 1))-(LEFT(E4358,FIND("/",E4358)-1))), "NA"))</f>
        <v/>
      </c>
      <c r="K4358" s="79">
        <f>IF(A4358&lt;&gt;"", IF(ISBLANK(L4358), TODAY(), K4358), "")</f>
        <v/>
      </c>
      <c r="L4358" s="78" t="n"/>
      <c r="M4358" s="78">
        <f>IF(ISBLANK(L4358),"",IF(D4358="Stock",IF(C4358="Buy",L4358*G4358,IF(C4358="Sell",(L4358*G4358)-I4358, X)),IF(C4358="Buy",(L4358*G4358*100)+I4358,IF(C4358="Sell",(L4358*G4358*100)-I4358, X))))</f>
        <v/>
      </c>
      <c r="N4358" s="78">
        <f>IF(ISBLANK(L4358),"",IF(AND(C4358="Sell",D4358="Stock"),M4358,IF(ISBLANK(L4358),"",IF(C4358="Buy",M4358, IF(AND(C4358="Sell",J4358="NA"),(E4358*G4358*100*0.1)+I4358, IF(C4358="Sell",(J4358-L4358)*(100*G4358)+I4358))))))</f>
        <v/>
      </c>
      <c r="O4358" s="75" t="n"/>
      <c r="P4358" s="75" t="n"/>
      <c r="Q4358" s="75">
        <f>IF(ISBLANK(P4358),"",IF(D4358="Stock",P4358*G4358,IF(P4358=0,"0",G4358*P4358*100-(G4358*$AF$14))))</f>
        <v/>
      </c>
      <c r="R4358" s="79">
        <f>IF(P4358&lt;&gt;"", TODAY(), "")</f>
        <v/>
      </c>
      <c r="S4358" s="78">
        <f>IF(AND(K4358&lt;&gt;"", R4358&lt;&gt;""), R4358-K4358, "")</f>
        <v/>
      </c>
      <c r="T4358" s="78" t="n"/>
      <c r="U4358" s="92">
        <f>IF(ISBLANK(P4358),"",IF(C4358="Buy",Q4358-M4358+T4358, IF(C4358="Sell",M4358-Q4358-T4358, X)))</f>
        <v/>
      </c>
      <c r="V4358" s="81">
        <f>IF(ISBLANK(P4358),"",U4358/N4358)</f>
        <v/>
      </c>
      <c r="W4358" s="81">
        <f>IF(ISBLANK(P4358),"",IF(S4358=0,(365/0.5)*V4358,(365/S4358)*V4358))</f>
        <v/>
      </c>
      <c r="X4358" s="75" t="n"/>
      <c r="Y4358" s="77" t="n"/>
      <c r="Z4358" s="77" t="n"/>
      <c r="AA4358" s="75" t="n"/>
      <c r="AB4358" s="75" t="n"/>
      <c r="AC4358" s="6" t="n"/>
      <c r="AD4358" s="75" t="n"/>
      <c r="AE4358" s="75" t="n"/>
      <c r="AF4358" s="75" t="n"/>
    </row>
    <row r="4359" ht="15.75" customHeight="1" s="133">
      <c r="A4359" s="75" t="n"/>
      <c r="B4359" s="75" t="n"/>
      <c r="C4359" s="75" t="n"/>
      <c r="D4359" s="75" t="n"/>
      <c r="E4359" s="76" t="n"/>
      <c r="F4359" s="77" t="n"/>
      <c r="G4359" s="75" t="n"/>
      <c r="H4359" s="75">
        <f>IF(ISBLANK(E4359),"",IF(OR(D4359="Butterfly",D4359="Butterfly ",D4359="Iron Fly", D4359="Iron Fly "),LEN(E4359)-LEN(SUBSTITUTE(E4359,"/",""))+2,LEN(E4359)-LEN(SUBSTITUTE(E4359,"/",""))+1))</f>
        <v/>
      </c>
      <c r="I4359" s="78">
        <f>IF(ISBLANK(G4359),"",IF(D4359="Stock","0",Key!$A$3*H4359*G4359))</f>
        <v/>
      </c>
      <c r="J4359" s="78">
        <f>IF(ISBLANK(E4359),"",IF(ISNUMBER(SEARCH("/",E4359)), IF(LEN(E4359)-LEN(SUBSTITUTE(E4359,"/",""))=1,(RIGHT(E4359,LEN(E4359)-FIND("/",E4359)))-(LEFT(E4359,FIND("/",E4359)-1)),(MID(E4359, SEARCH("/",E4359) + 1, SEARCH("/",E4359, SEARCH("/",E4359)+1) - SEARCH("/",E4359) - 1))-(LEFT(E4359,FIND("/",E4359)-1))), "NA"))</f>
        <v/>
      </c>
      <c r="K4359" s="79">
        <f>IF(A4359&lt;&gt;"", IF(ISBLANK(L4359), TODAY(), K4359), "")</f>
        <v/>
      </c>
      <c r="L4359" s="78" t="n"/>
      <c r="M4359" s="78">
        <f>IF(ISBLANK(L4359),"",IF(D4359="Stock",IF(C4359="Buy",L4359*G4359,IF(C4359="Sell",(L4359*G4359)-I4359, X)),IF(C4359="Buy",(L4359*G4359*100)+I4359,IF(C4359="Sell",(L4359*G4359*100)-I4359, X))))</f>
        <v/>
      </c>
      <c r="N4359" s="78">
        <f>IF(ISBLANK(L4359),"",IF(AND(C4359="Sell",D4359="Stock"),M4359,IF(ISBLANK(L4359),"",IF(C4359="Buy",M4359, IF(AND(C4359="Sell",J4359="NA"),(E4359*G4359*100*0.1)+I4359, IF(C4359="Sell",(J4359-L4359)*(100*G4359)+I4359))))))</f>
        <v/>
      </c>
      <c r="O4359" s="75" t="n"/>
      <c r="P4359" s="75" t="n"/>
      <c r="Q4359" s="75">
        <f>IF(ISBLANK(P4359),"",IF(D4359="Stock",P4359*G4359,IF(P4359=0,"0",G4359*P4359*100-(G4359*$AF$14))))</f>
        <v/>
      </c>
      <c r="R4359" s="79">
        <f>IF(P4359&lt;&gt;"", TODAY(), "")</f>
        <v/>
      </c>
      <c r="S4359" s="78">
        <f>IF(AND(K4359&lt;&gt;"", R4359&lt;&gt;""), R4359-K4359, "")</f>
        <v/>
      </c>
      <c r="T4359" s="78" t="n"/>
      <c r="U4359" s="92">
        <f>IF(ISBLANK(P4359),"",IF(C4359="Buy",Q4359-M4359+T4359, IF(C4359="Sell",M4359-Q4359-T4359, X)))</f>
        <v/>
      </c>
      <c r="V4359" s="81">
        <f>IF(ISBLANK(P4359),"",U4359/N4359)</f>
        <v/>
      </c>
      <c r="W4359" s="81">
        <f>IF(ISBLANK(P4359),"",IF(S4359=0,(365/0.5)*V4359,(365/S4359)*V4359))</f>
        <v/>
      </c>
      <c r="X4359" s="75" t="n"/>
      <c r="Y4359" s="77" t="n"/>
      <c r="Z4359" s="77" t="n"/>
      <c r="AA4359" s="75" t="n"/>
      <c r="AB4359" s="75" t="n"/>
      <c r="AC4359" s="6" t="n"/>
      <c r="AD4359" s="75" t="n"/>
      <c r="AE4359" s="75" t="n"/>
      <c r="AF4359" s="75" t="n"/>
    </row>
    <row r="4360" ht="15.75" customHeight="1" s="133">
      <c r="A4360" s="75" t="n"/>
      <c r="B4360" s="75" t="n"/>
      <c r="C4360" s="75" t="n"/>
      <c r="D4360" s="75" t="n"/>
      <c r="E4360" s="76" t="n"/>
      <c r="F4360" s="77" t="n"/>
      <c r="G4360" s="75" t="n"/>
      <c r="H4360" s="75">
        <f>IF(ISBLANK(E4360),"",IF(OR(D4360="Butterfly",D4360="Butterfly ",D4360="Iron Fly", D4360="Iron Fly "),LEN(E4360)-LEN(SUBSTITUTE(E4360,"/",""))+2,LEN(E4360)-LEN(SUBSTITUTE(E4360,"/",""))+1))</f>
        <v/>
      </c>
      <c r="I4360" s="78">
        <f>IF(ISBLANK(G4360),"",IF(D4360="Stock","0",Key!$A$3*H4360*G4360))</f>
        <v/>
      </c>
      <c r="J4360" s="78">
        <f>IF(ISBLANK(E4360),"",IF(ISNUMBER(SEARCH("/",E4360)), IF(LEN(E4360)-LEN(SUBSTITUTE(E4360,"/",""))=1,(RIGHT(E4360,LEN(E4360)-FIND("/",E4360)))-(LEFT(E4360,FIND("/",E4360)-1)),(MID(E4360, SEARCH("/",E4360) + 1, SEARCH("/",E4360, SEARCH("/",E4360)+1) - SEARCH("/",E4360) - 1))-(LEFT(E4360,FIND("/",E4360)-1))), "NA"))</f>
        <v/>
      </c>
      <c r="K4360" s="79">
        <f>IF(A4360&lt;&gt;"", IF(ISBLANK(L4360), TODAY(), K4360), "")</f>
        <v/>
      </c>
      <c r="L4360" s="78" t="n"/>
      <c r="M4360" s="78">
        <f>IF(ISBLANK(L4360),"",IF(D4360="Stock",IF(C4360="Buy",L4360*G4360,IF(C4360="Sell",(L4360*G4360)-I4360, X)),IF(C4360="Buy",(L4360*G4360*100)+I4360,IF(C4360="Sell",(L4360*G4360*100)-I4360, X))))</f>
        <v/>
      </c>
      <c r="N4360" s="78">
        <f>IF(ISBLANK(L4360),"",IF(AND(C4360="Sell",D4360="Stock"),M4360,IF(ISBLANK(L4360),"",IF(C4360="Buy",M4360, IF(AND(C4360="Sell",J4360="NA"),(E4360*G4360*100*0.1)+I4360, IF(C4360="Sell",(J4360-L4360)*(100*G4360)+I4360))))))</f>
        <v/>
      </c>
      <c r="O4360" s="75" t="n"/>
      <c r="P4360" s="75" t="n"/>
      <c r="Q4360" s="75">
        <f>IF(ISBLANK(P4360),"",IF(D4360="Stock",P4360*G4360,IF(P4360=0,"0",G4360*P4360*100-(G4360*$AF$14))))</f>
        <v/>
      </c>
      <c r="R4360" s="79">
        <f>IF(P4360&lt;&gt;"", TODAY(), "")</f>
        <v/>
      </c>
      <c r="S4360" s="78">
        <f>IF(AND(K4360&lt;&gt;"", R4360&lt;&gt;""), R4360-K4360, "")</f>
        <v/>
      </c>
      <c r="T4360" s="78" t="n"/>
      <c r="U4360" s="92">
        <f>IF(ISBLANK(P4360),"",IF(C4360="Buy",Q4360-M4360+T4360, IF(C4360="Sell",M4360-Q4360-T4360, X)))</f>
        <v/>
      </c>
      <c r="V4360" s="81">
        <f>IF(ISBLANK(P4360),"",U4360/N4360)</f>
        <v/>
      </c>
      <c r="W4360" s="81">
        <f>IF(ISBLANK(P4360),"",IF(S4360=0,(365/0.5)*V4360,(365/S4360)*V4360))</f>
        <v/>
      </c>
      <c r="X4360" s="75" t="n"/>
      <c r="Y4360" s="77" t="n"/>
      <c r="Z4360" s="77" t="n"/>
      <c r="AA4360" s="75" t="n"/>
      <c r="AB4360" s="75" t="n"/>
      <c r="AC4360" s="6" t="n"/>
      <c r="AD4360" s="75" t="n"/>
      <c r="AE4360" s="75" t="n"/>
      <c r="AF4360" s="75" t="n"/>
    </row>
    <row r="4361" ht="15.75" customHeight="1" s="133">
      <c r="A4361" s="75" t="n"/>
      <c r="B4361" s="75" t="n"/>
      <c r="C4361" s="75" t="n"/>
      <c r="D4361" s="75" t="n"/>
      <c r="E4361" s="76" t="n"/>
      <c r="F4361" s="77" t="n"/>
      <c r="G4361" s="75" t="n"/>
      <c r="H4361" s="75">
        <f>IF(ISBLANK(E4361),"",IF(OR(D4361="Butterfly",D4361="Butterfly ",D4361="Iron Fly", D4361="Iron Fly "),LEN(E4361)-LEN(SUBSTITUTE(E4361,"/",""))+2,LEN(E4361)-LEN(SUBSTITUTE(E4361,"/",""))+1))</f>
        <v/>
      </c>
      <c r="I4361" s="78">
        <f>IF(ISBLANK(G4361),"",IF(D4361="Stock","0",Key!$A$3*H4361*G4361))</f>
        <v/>
      </c>
      <c r="J4361" s="78">
        <f>IF(ISBLANK(E4361),"",IF(ISNUMBER(SEARCH("/",E4361)), IF(LEN(E4361)-LEN(SUBSTITUTE(E4361,"/",""))=1,(RIGHT(E4361,LEN(E4361)-FIND("/",E4361)))-(LEFT(E4361,FIND("/",E4361)-1)),(MID(E4361, SEARCH("/",E4361) + 1, SEARCH("/",E4361, SEARCH("/",E4361)+1) - SEARCH("/",E4361) - 1))-(LEFT(E4361,FIND("/",E4361)-1))), "NA"))</f>
        <v/>
      </c>
      <c r="K4361" s="79">
        <f>IF(A4361&lt;&gt;"", IF(ISBLANK(L4361), TODAY(), K4361), "")</f>
        <v/>
      </c>
      <c r="L4361" s="78" t="n"/>
      <c r="M4361" s="78">
        <f>IF(ISBLANK(L4361),"",IF(D4361="Stock",IF(C4361="Buy",L4361*G4361,IF(C4361="Sell",(L4361*G4361)-I4361, X)),IF(C4361="Buy",(L4361*G4361*100)+I4361,IF(C4361="Sell",(L4361*G4361*100)-I4361, X))))</f>
        <v/>
      </c>
      <c r="N4361" s="78">
        <f>IF(ISBLANK(L4361),"",IF(AND(C4361="Sell",D4361="Stock"),M4361,IF(ISBLANK(L4361),"",IF(C4361="Buy",M4361, IF(AND(C4361="Sell",J4361="NA"),(E4361*G4361*100*0.1)+I4361, IF(C4361="Sell",(J4361-L4361)*(100*G4361)+I4361))))))</f>
        <v/>
      </c>
      <c r="O4361" s="75" t="n"/>
      <c r="P4361" s="75" t="n"/>
      <c r="Q4361" s="75">
        <f>IF(ISBLANK(P4361),"",IF(D4361="Stock",P4361*G4361,IF(P4361=0,"0",G4361*P4361*100-(G4361*$AF$14))))</f>
        <v/>
      </c>
      <c r="R4361" s="79">
        <f>IF(P4361&lt;&gt;"", TODAY(), "")</f>
        <v/>
      </c>
      <c r="S4361" s="78">
        <f>IF(AND(K4361&lt;&gt;"", R4361&lt;&gt;""), R4361-K4361, "")</f>
        <v/>
      </c>
      <c r="T4361" s="78" t="n"/>
      <c r="U4361" s="92">
        <f>IF(ISBLANK(P4361),"",IF(C4361="Buy",Q4361-M4361+T4361, IF(C4361="Sell",M4361-Q4361-T4361, X)))</f>
        <v/>
      </c>
      <c r="V4361" s="81">
        <f>IF(ISBLANK(P4361),"",U4361/N4361)</f>
        <v/>
      </c>
      <c r="W4361" s="81">
        <f>IF(ISBLANK(P4361),"",IF(S4361=0,(365/0.5)*V4361,(365/S4361)*V4361))</f>
        <v/>
      </c>
      <c r="X4361" s="75" t="n"/>
      <c r="Y4361" s="77" t="n"/>
      <c r="Z4361" s="77" t="n"/>
      <c r="AA4361" s="75" t="n"/>
      <c r="AB4361" s="75" t="n"/>
      <c r="AC4361" s="6" t="n"/>
      <c r="AD4361" s="75" t="n"/>
      <c r="AE4361" s="75" t="n"/>
      <c r="AF4361" s="75" t="n"/>
    </row>
    <row r="4362" ht="15.75" customHeight="1" s="133">
      <c r="A4362" s="75" t="n"/>
      <c r="B4362" s="75" t="n"/>
      <c r="C4362" s="75" t="n"/>
      <c r="D4362" s="75" t="n"/>
      <c r="E4362" s="76" t="n"/>
      <c r="F4362" s="77" t="n"/>
      <c r="G4362" s="75" t="n"/>
      <c r="H4362" s="75">
        <f>IF(ISBLANK(E4362),"",IF(OR(D4362="Butterfly",D4362="Butterfly ",D4362="Iron Fly", D4362="Iron Fly "),LEN(E4362)-LEN(SUBSTITUTE(E4362,"/",""))+2,LEN(E4362)-LEN(SUBSTITUTE(E4362,"/",""))+1))</f>
        <v/>
      </c>
      <c r="I4362" s="78">
        <f>IF(ISBLANK(G4362),"",IF(D4362="Stock","0",Key!$A$3*H4362*G4362))</f>
        <v/>
      </c>
      <c r="J4362" s="78">
        <f>IF(ISBLANK(E4362),"",IF(ISNUMBER(SEARCH("/",E4362)), IF(LEN(E4362)-LEN(SUBSTITUTE(E4362,"/",""))=1,(RIGHT(E4362,LEN(E4362)-FIND("/",E4362)))-(LEFT(E4362,FIND("/",E4362)-1)),(MID(E4362, SEARCH("/",E4362) + 1, SEARCH("/",E4362, SEARCH("/",E4362)+1) - SEARCH("/",E4362) - 1))-(LEFT(E4362,FIND("/",E4362)-1))), "NA"))</f>
        <v/>
      </c>
      <c r="K4362" s="79">
        <f>IF(A4362&lt;&gt;"", IF(ISBLANK(L4362), TODAY(), K4362), "")</f>
        <v/>
      </c>
      <c r="L4362" s="78" t="n"/>
      <c r="M4362" s="78">
        <f>IF(ISBLANK(L4362),"",IF(D4362="Stock",IF(C4362="Buy",L4362*G4362,IF(C4362="Sell",(L4362*G4362)-I4362, X)),IF(C4362="Buy",(L4362*G4362*100)+I4362,IF(C4362="Sell",(L4362*G4362*100)-I4362, X))))</f>
        <v/>
      </c>
      <c r="N4362" s="78">
        <f>IF(ISBLANK(L4362),"",IF(AND(C4362="Sell",D4362="Stock"),M4362,IF(ISBLANK(L4362),"",IF(C4362="Buy",M4362, IF(AND(C4362="Sell",J4362="NA"),(E4362*G4362*100*0.1)+I4362, IF(C4362="Sell",(J4362-L4362)*(100*G4362)+I4362))))))</f>
        <v/>
      </c>
      <c r="O4362" s="75" t="n"/>
      <c r="P4362" s="75" t="n"/>
      <c r="Q4362" s="75">
        <f>IF(ISBLANK(P4362),"",IF(D4362="Stock",P4362*G4362,IF(P4362=0,"0",G4362*P4362*100-(G4362*$AF$14))))</f>
        <v/>
      </c>
      <c r="R4362" s="79">
        <f>IF(P4362&lt;&gt;"", TODAY(), "")</f>
        <v/>
      </c>
      <c r="S4362" s="78">
        <f>IF(AND(K4362&lt;&gt;"", R4362&lt;&gt;""), R4362-K4362, "")</f>
        <v/>
      </c>
      <c r="T4362" s="78" t="n"/>
      <c r="U4362" s="92">
        <f>IF(ISBLANK(P4362),"",IF(C4362="Buy",Q4362-M4362+T4362, IF(C4362="Sell",M4362-Q4362-T4362, X)))</f>
        <v/>
      </c>
      <c r="V4362" s="81">
        <f>IF(ISBLANK(P4362),"",U4362/N4362)</f>
        <v/>
      </c>
      <c r="W4362" s="81">
        <f>IF(ISBLANK(P4362),"",IF(S4362=0,(365/0.5)*V4362,(365/S4362)*V4362))</f>
        <v/>
      </c>
      <c r="X4362" s="75" t="n"/>
      <c r="Y4362" s="77" t="n"/>
      <c r="Z4362" s="77" t="n"/>
      <c r="AA4362" s="75" t="n"/>
      <c r="AB4362" s="75" t="n"/>
      <c r="AC4362" s="6" t="n"/>
      <c r="AD4362" s="75" t="n"/>
      <c r="AE4362" s="75" t="n"/>
      <c r="AF4362" s="75" t="n"/>
    </row>
    <row r="4363" ht="15.75" customHeight="1" s="133">
      <c r="A4363" s="75" t="n"/>
      <c r="B4363" s="75" t="n"/>
      <c r="C4363" s="75" t="n"/>
      <c r="D4363" s="75" t="n"/>
      <c r="E4363" s="76" t="n"/>
      <c r="F4363" s="77" t="n"/>
      <c r="G4363" s="75" t="n"/>
      <c r="H4363" s="75">
        <f>IF(ISBLANK(E4363),"",IF(OR(D4363="Butterfly",D4363="Butterfly ",D4363="Iron Fly", D4363="Iron Fly "),LEN(E4363)-LEN(SUBSTITUTE(E4363,"/",""))+2,LEN(E4363)-LEN(SUBSTITUTE(E4363,"/",""))+1))</f>
        <v/>
      </c>
      <c r="I4363" s="78">
        <f>IF(ISBLANK(G4363),"",IF(D4363="Stock","0",Key!$A$3*H4363*G4363))</f>
        <v/>
      </c>
      <c r="J4363" s="78">
        <f>IF(ISBLANK(E4363),"",IF(ISNUMBER(SEARCH("/",E4363)), IF(LEN(E4363)-LEN(SUBSTITUTE(E4363,"/",""))=1,(RIGHT(E4363,LEN(E4363)-FIND("/",E4363)))-(LEFT(E4363,FIND("/",E4363)-1)),(MID(E4363, SEARCH("/",E4363) + 1, SEARCH("/",E4363, SEARCH("/",E4363)+1) - SEARCH("/",E4363) - 1))-(LEFT(E4363,FIND("/",E4363)-1))), "NA"))</f>
        <v/>
      </c>
      <c r="K4363" s="79">
        <f>IF(A4363&lt;&gt;"", IF(ISBLANK(L4363), TODAY(), K4363), "")</f>
        <v/>
      </c>
      <c r="L4363" s="78" t="n"/>
      <c r="M4363" s="78">
        <f>IF(ISBLANK(L4363),"",IF(D4363="Stock",IF(C4363="Buy",L4363*G4363,IF(C4363="Sell",(L4363*G4363)-I4363, X)),IF(C4363="Buy",(L4363*G4363*100)+I4363,IF(C4363="Sell",(L4363*G4363*100)-I4363, X))))</f>
        <v/>
      </c>
      <c r="N4363" s="78">
        <f>IF(ISBLANK(L4363),"",IF(AND(C4363="Sell",D4363="Stock"),M4363,IF(ISBLANK(L4363),"",IF(C4363="Buy",M4363, IF(AND(C4363="Sell",J4363="NA"),(E4363*G4363*100*0.1)+I4363, IF(C4363="Sell",(J4363-L4363)*(100*G4363)+I4363))))))</f>
        <v/>
      </c>
      <c r="O4363" s="75" t="n"/>
      <c r="P4363" s="75" t="n"/>
      <c r="Q4363" s="75">
        <f>IF(ISBLANK(P4363),"",IF(D4363="Stock",P4363*G4363,IF(P4363=0,"0",G4363*P4363*100-(G4363*$AF$14))))</f>
        <v/>
      </c>
      <c r="R4363" s="79">
        <f>IF(P4363&lt;&gt;"", TODAY(), "")</f>
        <v/>
      </c>
      <c r="S4363" s="78">
        <f>IF(AND(K4363&lt;&gt;"", R4363&lt;&gt;""), R4363-K4363, "")</f>
        <v/>
      </c>
      <c r="T4363" s="78" t="n"/>
      <c r="U4363" s="92">
        <f>IF(ISBLANK(P4363),"",IF(C4363="Buy",Q4363-M4363+T4363, IF(C4363="Sell",M4363-Q4363-T4363, X)))</f>
        <v/>
      </c>
      <c r="V4363" s="81">
        <f>IF(ISBLANK(P4363),"",U4363/N4363)</f>
        <v/>
      </c>
      <c r="W4363" s="81">
        <f>IF(ISBLANK(P4363),"",IF(S4363=0,(365/0.5)*V4363,(365/S4363)*V4363))</f>
        <v/>
      </c>
      <c r="X4363" s="75" t="n"/>
      <c r="Y4363" s="77" t="n"/>
      <c r="Z4363" s="77" t="n"/>
      <c r="AA4363" s="75" t="n"/>
      <c r="AB4363" s="75" t="n"/>
      <c r="AC4363" s="6" t="n"/>
      <c r="AD4363" s="75" t="n"/>
      <c r="AE4363" s="75" t="n"/>
      <c r="AF4363" s="75" t="n"/>
    </row>
    <row r="4364" ht="15.75" customHeight="1" s="133">
      <c r="A4364" s="75" t="n"/>
      <c r="B4364" s="75" t="n"/>
      <c r="C4364" s="75" t="n"/>
      <c r="D4364" s="75" t="n"/>
      <c r="E4364" s="76" t="n"/>
      <c r="F4364" s="77" t="n"/>
      <c r="G4364" s="75" t="n"/>
      <c r="H4364" s="75">
        <f>IF(ISBLANK(E4364),"",IF(OR(D4364="Butterfly",D4364="Butterfly ",D4364="Iron Fly", D4364="Iron Fly "),LEN(E4364)-LEN(SUBSTITUTE(E4364,"/",""))+2,LEN(E4364)-LEN(SUBSTITUTE(E4364,"/",""))+1))</f>
        <v/>
      </c>
      <c r="I4364" s="78">
        <f>IF(ISBLANK(G4364),"",IF(D4364="Stock","0",Key!$A$3*H4364*G4364))</f>
        <v/>
      </c>
      <c r="J4364" s="78">
        <f>IF(ISBLANK(E4364),"",IF(ISNUMBER(SEARCH("/",E4364)), IF(LEN(E4364)-LEN(SUBSTITUTE(E4364,"/",""))=1,(RIGHT(E4364,LEN(E4364)-FIND("/",E4364)))-(LEFT(E4364,FIND("/",E4364)-1)),(MID(E4364, SEARCH("/",E4364) + 1, SEARCH("/",E4364, SEARCH("/",E4364)+1) - SEARCH("/",E4364) - 1))-(LEFT(E4364,FIND("/",E4364)-1))), "NA"))</f>
        <v/>
      </c>
      <c r="K4364" s="79">
        <f>IF(A4364&lt;&gt;"", IF(ISBLANK(L4364), TODAY(), K4364), "")</f>
        <v/>
      </c>
      <c r="L4364" s="78" t="n"/>
      <c r="M4364" s="78">
        <f>IF(ISBLANK(L4364),"",IF(D4364="Stock",IF(C4364="Buy",L4364*G4364,IF(C4364="Sell",(L4364*G4364)-I4364, X)),IF(C4364="Buy",(L4364*G4364*100)+I4364,IF(C4364="Sell",(L4364*G4364*100)-I4364, X))))</f>
        <v/>
      </c>
      <c r="N4364" s="78">
        <f>IF(ISBLANK(L4364),"",IF(AND(C4364="Sell",D4364="Stock"),M4364,IF(ISBLANK(L4364),"",IF(C4364="Buy",M4364, IF(AND(C4364="Sell",J4364="NA"),(E4364*G4364*100*0.1)+I4364, IF(C4364="Sell",(J4364-L4364)*(100*G4364)+I4364))))))</f>
        <v/>
      </c>
      <c r="O4364" s="75" t="n"/>
      <c r="P4364" s="75" t="n"/>
      <c r="Q4364" s="75">
        <f>IF(ISBLANK(P4364),"",IF(D4364="Stock",P4364*G4364,IF(P4364=0,"0",G4364*P4364*100-(G4364*$AF$14))))</f>
        <v/>
      </c>
      <c r="R4364" s="79">
        <f>IF(P4364&lt;&gt;"", TODAY(), "")</f>
        <v/>
      </c>
      <c r="S4364" s="78">
        <f>IF(AND(K4364&lt;&gt;"", R4364&lt;&gt;""), R4364-K4364, "")</f>
        <v/>
      </c>
      <c r="T4364" s="78" t="n"/>
      <c r="U4364" s="92">
        <f>IF(ISBLANK(P4364),"",IF(C4364="Buy",Q4364-M4364+T4364, IF(C4364="Sell",M4364-Q4364-T4364, X)))</f>
        <v/>
      </c>
      <c r="V4364" s="81">
        <f>IF(ISBLANK(P4364),"",U4364/N4364)</f>
        <v/>
      </c>
      <c r="W4364" s="81">
        <f>IF(ISBLANK(P4364),"",IF(S4364=0,(365/0.5)*V4364,(365/S4364)*V4364))</f>
        <v/>
      </c>
      <c r="X4364" s="75" t="n"/>
      <c r="Y4364" s="77" t="n"/>
      <c r="Z4364" s="77" t="n"/>
      <c r="AA4364" s="75" t="n"/>
      <c r="AB4364" s="75" t="n"/>
      <c r="AC4364" s="6" t="n"/>
      <c r="AD4364" s="75" t="n"/>
      <c r="AE4364" s="75" t="n"/>
      <c r="AF4364" s="75" t="n"/>
    </row>
    <row r="4365" ht="15.75" customHeight="1" s="133">
      <c r="A4365" s="75" t="n"/>
      <c r="B4365" s="75" t="n"/>
      <c r="C4365" s="75" t="n"/>
      <c r="D4365" s="75" t="n"/>
      <c r="E4365" s="76" t="n"/>
      <c r="F4365" s="77" t="n"/>
      <c r="G4365" s="75" t="n"/>
      <c r="H4365" s="75">
        <f>IF(ISBLANK(E4365),"",IF(OR(D4365="Butterfly",D4365="Butterfly ",D4365="Iron Fly", D4365="Iron Fly "),LEN(E4365)-LEN(SUBSTITUTE(E4365,"/",""))+2,LEN(E4365)-LEN(SUBSTITUTE(E4365,"/",""))+1))</f>
        <v/>
      </c>
      <c r="I4365" s="78">
        <f>IF(ISBLANK(G4365),"",IF(D4365="Stock","0",Key!$A$3*H4365*G4365))</f>
        <v/>
      </c>
      <c r="J4365" s="78">
        <f>IF(ISBLANK(E4365),"",IF(ISNUMBER(SEARCH("/",E4365)), IF(LEN(E4365)-LEN(SUBSTITUTE(E4365,"/",""))=1,(RIGHT(E4365,LEN(E4365)-FIND("/",E4365)))-(LEFT(E4365,FIND("/",E4365)-1)),(MID(E4365, SEARCH("/",E4365) + 1, SEARCH("/",E4365, SEARCH("/",E4365)+1) - SEARCH("/",E4365) - 1))-(LEFT(E4365,FIND("/",E4365)-1))), "NA"))</f>
        <v/>
      </c>
      <c r="K4365" s="79">
        <f>IF(A4365&lt;&gt;"", IF(ISBLANK(L4365), TODAY(), K4365), "")</f>
        <v/>
      </c>
      <c r="L4365" s="78" t="n"/>
      <c r="M4365" s="78">
        <f>IF(ISBLANK(L4365),"",IF(D4365="Stock",IF(C4365="Buy",L4365*G4365,IF(C4365="Sell",(L4365*G4365)-I4365, X)),IF(C4365="Buy",(L4365*G4365*100)+I4365,IF(C4365="Sell",(L4365*G4365*100)-I4365, X))))</f>
        <v/>
      </c>
      <c r="N4365" s="78">
        <f>IF(ISBLANK(L4365),"",IF(AND(C4365="Sell",D4365="Stock"),M4365,IF(ISBLANK(L4365),"",IF(C4365="Buy",M4365, IF(AND(C4365="Sell",J4365="NA"),(E4365*G4365*100*0.1)+I4365, IF(C4365="Sell",(J4365-L4365)*(100*G4365)+I4365))))))</f>
        <v/>
      </c>
      <c r="O4365" s="75" t="n"/>
      <c r="P4365" s="75" t="n"/>
      <c r="Q4365" s="75">
        <f>IF(ISBLANK(P4365),"",IF(D4365="Stock",P4365*G4365,IF(P4365=0,"0",G4365*P4365*100-(G4365*$AF$14))))</f>
        <v/>
      </c>
      <c r="R4365" s="79">
        <f>IF(P4365&lt;&gt;"", TODAY(), "")</f>
        <v/>
      </c>
      <c r="S4365" s="78">
        <f>IF(AND(K4365&lt;&gt;"", R4365&lt;&gt;""), R4365-K4365, "")</f>
        <v/>
      </c>
      <c r="T4365" s="78" t="n"/>
      <c r="U4365" s="92">
        <f>IF(ISBLANK(P4365),"",IF(C4365="Buy",Q4365-M4365+T4365, IF(C4365="Sell",M4365-Q4365-T4365, X)))</f>
        <v/>
      </c>
      <c r="V4365" s="81">
        <f>IF(ISBLANK(P4365),"",U4365/N4365)</f>
        <v/>
      </c>
      <c r="W4365" s="81">
        <f>IF(ISBLANK(P4365),"",IF(S4365=0,(365/0.5)*V4365,(365/S4365)*V4365))</f>
        <v/>
      </c>
      <c r="X4365" s="75" t="n"/>
      <c r="Y4365" s="77" t="n"/>
      <c r="Z4365" s="77" t="n"/>
      <c r="AA4365" s="75" t="n"/>
      <c r="AB4365" s="75" t="n"/>
      <c r="AC4365" s="6" t="n"/>
      <c r="AD4365" s="75" t="n"/>
      <c r="AE4365" s="75" t="n"/>
      <c r="AF4365" s="75" t="n"/>
    </row>
    <row r="4366" ht="15.75" customHeight="1" s="133">
      <c r="A4366" s="75" t="n"/>
      <c r="B4366" s="75" t="n"/>
      <c r="C4366" s="75" t="n"/>
      <c r="D4366" s="75" t="n"/>
      <c r="E4366" s="76" t="n"/>
      <c r="F4366" s="77" t="n"/>
      <c r="G4366" s="75" t="n"/>
      <c r="H4366" s="75">
        <f>IF(ISBLANK(E4366),"",IF(OR(D4366="Butterfly",D4366="Butterfly ",D4366="Iron Fly", D4366="Iron Fly "),LEN(E4366)-LEN(SUBSTITUTE(E4366,"/",""))+2,LEN(E4366)-LEN(SUBSTITUTE(E4366,"/",""))+1))</f>
        <v/>
      </c>
      <c r="I4366" s="78">
        <f>IF(ISBLANK(G4366),"",IF(D4366="Stock","0",Key!$A$3*H4366*G4366))</f>
        <v/>
      </c>
      <c r="J4366" s="78">
        <f>IF(ISBLANK(E4366),"",IF(ISNUMBER(SEARCH("/",E4366)), IF(LEN(E4366)-LEN(SUBSTITUTE(E4366,"/",""))=1,(RIGHT(E4366,LEN(E4366)-FIND("/",E4366)))-(LEFT(E4366,FIND("/",E4366)-1)),(MID(E4366, SEARCH("/",E4366) + 1, SEARCH("/",E4366, SEARCH("/",E4366)+1) - SEARCH("/",E4366) - 1))-(LEFT(E4366,FIND("/",E4366)-1))), "NA"))</f>
        <v/>
      </c>
      <c r="K4366" s="79">
        <f>IF(A4366&lt;&gt;"", IF(ISBLANK(L4366), TODAY(), K4366), "")</f>
        <v/>
      </c>
      <c r="L4366" s="78" t="n"/>
      <c r="M4366" s="78">
        <f>IF(ISBLANK(L4366),"",IF(D4366="Stock",IF(C4366="Buy",L4366*G4366,IF(C4366="Sell",(L4366*G4366)-I4366, X)),IF(C4366="Buy",(L4366*G4366*100)+I4366,IF(C4366="Sell",(L4366*G4366*100)-I4366, X))))</f>
        <v/>
      </c>
      <c r="N4366" s="78">
        <f>IF(ISBLANK(L4366),"",IF(AND(C4366="Sell",D4366="Stock"),M4366,IF(ISBLANK(L4366),"",IF(C4366="Buy",M4366, IF(AND(C4366="Sell",J4366="NA"),(E4366*G4366*100*0.1)+I4366, IF(C4366="Sell",(J4366-L4366)*(100*G4366)+I4366))))))</f>
        <v/>
      </c>
      <c r="O4366" s="75" t="n"/>
      <c r="P4366" s="75" t="n"/>
      <c r="Q4366" s="75">
        <f>IF(ISBLANK(P4366),"",IF(D4366="Stock",P4366*G4366,IF(P4366=0,"0",G4366*P4366*100-(G4366*$AF$14))))</f>
        <v/>
      </c>
      <c r="R4366" s="79">
        <f>IF(P4366&lt;&gt;"", TODAY(), "")</f>
        <v/>
      </c>
      <c r="S4366" s="78">
        <f>IF(AND(K4366&lt;&gt;"", R4366&lt;&gt;""), R4366-K4366, "")</f>
        <v/>
      </c>
      <c r="T4366" s="78" t="n"/>
      <c r="U4366" s="92">
        <f>IF(ISBLANK(P4366),"",IF(C4366="Buy",Q4366-M4366+T4366, IF(C4366="Sell",M4366-Q4366-T4366, X)))</f>
        <v/>
      </c>
      <c r="V4366" s="81">
        <f>IF(ISBLANK(P4366),"",U4366/N4366)</f>
        <v/>
      </c>
      <c r="W4366" s="81">
        <f>IF(ISBLANK(P4366),"",IF(S4366=0,(365/0.5)*V4366,(365/S4366)*V4366))</f>
        <v/>
      </c>
      <c r="X4366" s="75" t="n"/>
      <c r="Y4366" s="77" t="n"/>
      <c r="Z4366" s="77" t="n"/>
      <c r="AA4366" s="75" t="n"/>
      <c r="AB4366" s="75" t="n"/>
      <c r="AC4366" s="6" t="n"/>
      <c r="AD4366" s="75" t="n"/>
      <c r="AE4366" s="75" t="n"/>
      <c r="AF4366" s="75" t="n"/>
    </row>
    <row r="4367" ht="15.75" customHeight="1" s="133">
      <c r="A4367" s="75" t="n"/>
      <c r="B4367" s="75" t="n"/>
      <c r="C4367" s="75" t="n"/>
      <c r="D4367" s="75" t="n"/>
      <c r="E4367" s="76" t="n"/>
      <c r="F4367" s="77" t="n"/>
      <c r="G4367" s="75" t="n"/>
      <c r="H4367" s="75">
        <f>IF(ISBLANK(E4367),"",IF(OR(D4367="Butterfly",D4367="Butterfly ",D4367="Iron Fly", D4367="Iron Fly "),LEN(E4367)-LEN(SUBSTITUTE(E4367,"/",""))+2,LEN(E4367)-LEN(SUBSTITUTE(E4367,"/",""))+1))</f>
        <v/>
      </c>
      <c r="I4367" s="78">
        <f>IF(ISBLANK(G4367),"",IF(D4367="Stock","0",Key!$A$3*H4367*G4367))</f>
        <v/>
      </c>
      <c r="J4367" s="78">
        <f>IF(ISBLANK(E4367),"",IF(ISNUMBER(SEARCH("/",E4367)), IF(LEN(E4367)-LEN(SUBSTITUTE(E4367,"/",""))=1,(RIGHT(E4367,LEN(E4367)-FIND("/",E4367)))-(LEFT(E4367,FIND("/",E4367)-1)),(MID(E4367, SEARCH("/",E4367) + 1, SEARCH("/",E4367, SEARCH("/",E4367)+1) - SEARCH("/",E4367) - 1))-(LEFT(E4367,FIND("/",E4367)-1))), "NA"))</f>
        <v/>
      </c>
      <c r="K4367" s="79">
        <f>IF(A4367&lt;&gt;"", IF(ISBLANK(L4367), TODAY(), K4367), "")</f>
        <v/>
      </c>
      <c r="L4367" s="78" t="n"/>
      <c r="M4367" s="78">
        <f>IF(ISBLANK(L4367),"",IF(D4367="Stock",IF(C4367="Buy",L4367*G4367,IF(C4367="Sell",(L4367*G4367)-I4367, X)),IF(C4367="Buy",(L4367*G4367*100)+I4367,IF(C4367="Sell",(L4367*G4367*100)-I4367, X))))</f>
        <v/>
      </c>
      <c r="N4367" s="78">
        <f>IF(ISBLANK(L4367),"",IF(AND(C4367="Sell",D4367="Stock"),M4367,IF(ISBLANK(L4367),"",IF(C4367="Buy",M4367, IF(AND(C4367="Sell",J4367="NA"),(E4367*G4367*100*0.1)+I4367, IF(C4367="Sell",(J4367-L4367)*(100*G4367)+I4367))))))</f>
        <v/>
      </c>
      <c r="O4367" s="75" t="n"/>
      <c r="P4367" s="75" t="n"/>
      <c r="Q4367" s="75">
        <f>IF(ISBLANK(P4367),"",IF(D4367="Stock",P4367*G4367,IF(P4367=0,"0",G4367*P4367*100-(G4367*$AF$14))))</f>
        <v/>
      </c>
      <c r="R4367" s="79">
        <f>IF(P4367&lt;&gt;"", TODAY(), "")</f>
        <v/>
      </c>
      <c r="S4367" s="78">
        <f>IF(AND(K4367&lt;&gt;"", R4367&lt;&gt;""), R4367-K4367, "")</f>
        <v/>
      </c>
      <c r="T4367" s="78" t="n"/>
      <c r="U4367" s="92">
        <f>IF(ISBLANK(P4367),"",IF(C4367="Buy",Q4367-M4367+T4367, IF(C4367="Sell",M4367-Q4367-T4367, X)))</f>
        <v/>
      </c>
      <c r="V4367" s="81">
        <f>IF(ISBLANK(P4367),"",U4367/N4367)</f>
        <v/>
      </c>
      <c r="W4367" s="81">
        <f>IF(ISBLANK(P4367),"",IF(S4367=0,(365/0.5)*V4367,(365/S4367)*V4367))</f>
        <v/>
      </c>
      <c r="X4367" s="75" t="n"/>
      <c r="Y4367" s="77" t="n"/>
      <c r="Z4367" s="77" t="n"/>
      <c r="AA4367" s="75" t="n"/>
      <c r="AB4367" s="75" t="n"/>
      <c r="AC4367" s="6" t="n"/>
      <c r="AD4367" s="75" t="n"/>
      <c r="AE4367" s="75" t="n"/>
      <c r="AF4367" s="75" t="n"/>
    </row>
    <row r="4368" ht="15.75" customHeight="1" s="133">
      <c r="A4368" s="75" t="n"/>
      <c r="B4368" s="75" t="n"/>
      <c r="C4368" s="75" t="n"/>
      <c r="D4368" s="75" t="n"/>
      <c r="E4368" s="76" t="n"/>
      <c r="F4368" s="77" t="n"/>
      <c r="G4368" s="75" t="n"/>
      <c r="H4368" s="75">
        <f>IF(ISBLANK(E4368),"",IF(OR(D4368="Butterfly",D4368="Butterfly ",D4368="Iron Fly", D4368="Iron Fly "),LEN(E4368)-LEN(SUBSTITUTE(E4368,"/",""))+2,LEN(E4368)-LEN(SUBSTITUTE(E4368,"/",""))+1))</f>
        <v/>
      </c>
      <c r="I4368" s="78">
        <f>IF(ISBLANK(G4368),"",IF(D4368="Stock","0",Key!$A$3*H4368*G4368))</f>
        <v/>
      </c>
      <c r="J4368" s="78">
        <f>IF(ISBLANK(E4368),"",IF(ISNUMBER(SEARCH("/",E4368)), IF(LEN(E4368)-LEN(SUBSTITUTE(E4368,"/",""))=1,(RIGHT(E4368,LEN(E4368)-FIND("/",E4368)))-(LEFT(E4368,FIND("/",E4368)-1)),(MID(E4368, SEARCH("/",E4368) + 1, SEARCH("/",E4368, SEARCH("/",E4368)+1) - SEARCH("/",E4368) - 1))-(LEFT(E4368,FIND("/",E4368)-1))), "NA"))</f>
        <v/>
      </c>
      <c r="K4368" s="79">
        <f>IF(A4368&lt;&gt;"", IF(ISBLANK(L4368), TODAY(), K4368), "")</f>
        <v/>
      </c>
      <c r="L4368" s="78" t="n"/>
      <c r="M4368" s="78">
        <f>IF(ISBLANK(L4368),"",IF(D4368="Stock",IF(C4368="Buy",L4368*G4368,IF(C4368="Sell",(L4368*G4368)-I4368, X)),IF(C4368="Buy",(L4368*G4368*100)+I4368,IF(C4368="Sell",(L4368*G4368*100)-I4368, X))))</f>
        <v/>
      </c>
      <c r="N4368" s="78">
        <f>IF(ISBLANK(L4368),"",IF(AND(C4368="Sell",D4368="Stock"),M4368,IF(ISBLANK(L4368),"",IF(C4368="Buy",M4368, IF(AND(C4368="Sell",J4368="NA"),(E4368*G4368*100*0.1)+I4368, IF(C4368="Sell",(J4368-L4368)*(100*G4368)+I4368))))))</f>
        <v/>
      </c>
      <c r="O4368" s="75" t="n"/>
      <c r="P4368" s="75" t="n"/>
      <c r="Q4368" s="75">
        <f>IF(ISBLANK(P4368),"",IF(D4368="Stock",P4368*G4368,IF(P4368=0,"0",G4368*P4368*100-(G4368*$AF$14))))</f>
        <v/>
      </c>
      <c r="R4368" s="79">
        <f>IF(P4368&lt;&gt;"", TODAY(), "")</f>
        <v/>
      </c>
      <c r="S4368" s="78">
        <f>IF(AND(K4368&lt;&gt;"", R4368&lt;&gt;""), R4368-K4368, "")</f>
        <v/>
      </c>
      <c r="T4368" s="78" t="n"/>
      <c r="U4368" s="92">
        <f>IF(ISBLANK(P4368),"",IF(C4368="Buy",Q4368-M4368+T4368, IF(C4368="Sell",M4368-Q4368-T4368, X)))</f>
        <v/>
      </c>
      <c r="V4368" s="81">
        <f>IF(ISBLANK(P4368),"",U4368/N4368)</f>
        <v/>
      </c>
      <c r="W4368" s="81">
        <f>IF(ISBLANK(P4368),"",IF(S4368=0,(365/0.5)*V4368,(365/S4368)*V4368))</f>
        <v/>
      </c>
      <c r="X4368" s="75" t="n"/>
      <c r="Y4368" s="77" t="n"/>
      <c r="Z4368" s="77" t="n"/>
      <c r="AA4368" s="75" t="n"/>
      <c r="AB4368" s="75" t="n"/>
      <c r="AC4368" s="6" t="n"/>
      <c r="AD4368" s="75" t="n"/>
      <c r="AE4368" s="75" t="n"/>
      <c r="AF4368" s="75" t="n"/>
    </row>
    <row r="4369" ht="15.75" customHeight="1" s="133">
      <c r="A4369" s="75" t="n"/>
      <c r="B4369" s="75" t="n"/>
      <c r="C4369" s="75" t="n"/>
      <c r="D4369" s="75" t="n"/>
      <c r="E4369" s="76" t="n"/>
      <c r="F4369" s="77" t="n"/>
      <c r="G4369" s="75" t="n"/>
      <c r="H4369" s="75">
        <f>IF(ISBLANK(E4369),"",IF(OR(D4369="Butterfly",D4369="Butterfly ",D4369="Iron Fly", D4369="Iron Fly "),LEN(E4369)-LEN(SUBSTITUTE(E4369,"/",""))+2,LEN(E4369)-LEN(SUBSTITUTE(E4369,"/",""))+1))</f>
        <v/>
      </c>
      <c r="I4369" s="78">
        <f>IF(ISBLANK(G4369),"",IF(D4369="Stock","0",Key!$A$3*H4369*G4369))</f>
        <v/>
      </c>
      <c r="J4369" s="78">
        <f>IF(ISBLANK(E4369),"",IF(ISNUMBER(SEARCH("/",E4369)), IF(LEN(E4369)-LEN(SUBSTITUTE(E4369,"/",""))=1,(RIGHT(E4369,LEN(E4369)-FIND("/",E4369)))-(LEFT(E4369,FIND("/",E4369)-1)),(MID(E4369, SEARCH("/",E4369) + 1, SEARCH("/",E4369, SEARCH("/",E4369)+1) - SEARCH("/",E4369) - 1))-(LEFT(E4369,FIND("/",E4369)-1))), "NA"))</f>
        <v/>
      </c>
      <c r="K4369" s="79">
        <f>IF(A4369&lt;&gt;"", IF(ISBLANK(L4369), TODAY(), K4369), "")</f>
        <v/>
      </c>
      <c r="L4369" s="78" t="n"/>
      <c r="M4369" s="78">
        <f>IF(ISBLANK(L4369),"",IF(D4369="Stock",IF(C4369="Buy",L4369*G4369,IF(C4369="Sell",(L4369*G4369)-I4369, X)),IF(C4369="Buy",(L4369*G4369*100)+I4369,IF(C4369="Sell",(L4369*G4369*100)-I4369, X))))</f>
        <v/>
      </c>
      <c r="N4369" s="78">
        <f>IF(ISBLANK(L4369),"",IF(AND(C4369="Sell",D4369="Stock"),M4369,IF(ISBLANK(L4369),"",IF(C4369="Buy",M4369, IF(AND(C4369="Sell",J4369="NA"),(E4369*G4369*100*0.1)+I4369, IF(C4369="Sell",(J4369-L4369)*(100*G4369)+I4369))))))</f>
        <v/>
      </c>
      <c r="O4369" s="75" t="n"/>
      <c r="P4369" s="75" t="n"/>
      <c r="Q4369" s="75">
        <f>IF(ISBLANK(P4369),"",IF(D4369="Stock",P4369*G4369,IF(P4369=0,"0",G4369*P4369*100-(G4369*$AF$14))))</f>
        <v/>
      </c>
      <c r="R4369" s="79">
        <f>IF(P4369&lt;&gt;"", TODAY(), "")</f>
        <v/>
      </c>
      <c r="S4369" s="78">
        <f>IF(AND(K4369&lt;&gt;"", R4369&lt;&gt;""), R4369-K4369, "")</f>
        <v/>
      </c>
      <c r="T4369" s="78" t="n"/>
      <c r="U4369" s="92">
        <f>IF(ISBLANK(P4369),"",IF(C4369="Buy",Q4369-M4369+T4369, IF(C4369="Sell",M4369-Q4369-T4369, X)))</f>
        <v/>
      </c>
      <c r="V4369" s="81">
        <f>IF(ISBLANK(P4369),"",U4369/N4369)</f>
        <v/>
      </c>
      <c r="W4369" s="81">
        <f>IF(ISBLANK(P4369),"",IF(S4369=0,(365/0.5)*V4369,(365/S4369)*V4369))</f>
        <v/>
      </c>
      <c r="X4369" s="75" t="n"/>
      <c r="Y4369" s="77" t="n"/>
      <c r="Z4369" s="77" t="n"/>
      <c r="AA4369" s="75" t="n"/>
      <c r="AB4369" s="75" t="n"/>
      <c r="AC4369" s="6" t="n"/>
      <c r="AD4369" s="75" t="n"/>
      <c r="AE4369" s="75" t="n"/>
      <c r="AF4369" s="75" t="n"/>
    </row>
    <row r="4370" ht="15.75" customHeight="1" s="133">
      <c r="A4370" s="75" t="n"/>
      <c r="B4370" s="75" t="n"/>
      <c r="C4370" s="75" t="n"/>
      <c r="D4370" s="75" t="n"/>
      <c r="E4370" s="76" t="n"/>
      <c r="F4370" s="77" t="n"/>
      <c r="G4370" s="75" t="n"/>
      <c r="H4370" s="75">
        <f>IF(ISBLANK(E4370),"",IF(OR(D4370="Butterfly",D4370="Butterfly ",D4370="Iron Fly", D4370="Iron Fly "),LEN(E4370)-LEN(SUBSTITUTE(E4370,"/",""))+2,LEN(E4370)-LEN(SUBSTITUTE(E4370,"/",""))+1))</f>
        <v/>
      </c>
      <c r="I4370" s="78">
        <f>IF(ISBLANK(G4370),"",IF(D4370="Stock","0",Key!$A$3*H4370*G4370))</f>
        <v/>
      </c>
      <c r="J4370" s="78">
        <f>IF(ISBLANK(E4370),"",IF(ISNUMBER(SEARCH("/",E4370)), IF(LEN(E4370)-LEN(SUBSTITUTE(E4370,"/",""))=1,(RIGHT(E4370,LEN(E4370)-FIND("/",E4370)))-(LEFT(E4370,FIND("/",E4370)-1)),(MID(E4370, SEARCH("/",E4370) + 1, SEARCH("/",E4370, SEARCH("/",E4370)+1) - SEARCH("/",E4370) - 1))-(LEFT(E4370,FIND("/",E4370)-1))), "NA"))</f>
        <v/>
      </c>
      <c r="K4370" s="79">
        <f>IF(A4370&lt;&gt;"", IF(ISBLANK(L4370), TODAY(), K4370), "")</f>
        <v/>
      </c>
      <c r="L4370" s="78" t="n"/>
      <c r="M4370" s="78">
        <f>IF(ISBLANK(L4370),"",IF(D4370="Stock",IF(C4370="Buy",L4370*G4370,IF(C4370="Sell",(L4370*G4370)-I4370, X)),IF(C4370="Buy",(L4370*G4370*100)+I4370,IF(C4370="Sell",(L4370*G4370*100)-I4370, X))))</f>
        <v/>
      </c>
      <c r="N4370" s="78">
        <f>IF(ISBLANK(L4370),"",IF(AND(C4370="Sell",D4370="Stock"),M4370,IF(ISBLANK(L4370),"",IF(C4370="Buy",M4370, IF(AND(C4370="Sell",J4370="NA"),(E4370*G4370*100*0.1)+I4370, IF(C4370="Sell",(J4370-L4370)*(100*G4370)+I4370))))))</f>
        <v/>
      </c>
      <c r="O4370" s="75" t="n"/>
      <c r="P4370" s="75" t="n"/>
      <c r="Q4370" s="75">
        <f>IF(ISBLANK(P4370),"",IF(D4370="Stock",P4370*G4370,IF(P4370=0,"0",G4370*P4370*100-(G4370*$AF$14))))</f>
        <v/>
      </c>
      <c r="R4370" s="79">
        <f>IF(P4370&lt;&gt;"", TODAY(), "")</f>
        <v/>
      </c>
      <c r="S4370" s="78">
        <f>IF(AND(K4370&lt;&gt;"", R4370&lt;&gt;""), R4370-K4370, "")</f>
        <v/>
      </c>
      <c r="T4370" s="78" t="n"/>
      <c r="U4370" s="92">
        <f>IF(ISBLANK(P4370),"",IF(C4370="Buy",Q4370-M4370+T4370, IF(C4370="Sell",M4370-Q4370-T4370, X)))</f>
        <v/>
      </c>
      <c r="V4370" s="81">
        <f>IF(ISBLANK(P4370),"",U4370/N4370)</f>
        <v/>
      </c>
      <c r="W4370" s="81">
        <f>IF(ISBLANK(P4370),"",IF(S4370=0,(365/0.5)*V4370,(365/S4370)*V4370))</f>
        <v/>
      </c>
      <c r="X4370" s="75" t="n"/>
      <c r="Y4370" s="77" t="n"/>
      <c r="Z4370" s="77" t="n"/>
      <c r="AA4370" s="75" t="n"/>
      <c r="AB4370" s="75" t="n"/>
      <c r="AC4370" s="6" t="n"/>
      <c r="AD4370" s="75" t="n"/>
      <c r="AE4370" s="75" t="n"/>
      <c r="AF4370" s="75" t="n"/>
    </row>
    <row r="4371" ht="15.75" customHeight="1" s="133">
      <c r="A4371" s="75" t="n"/>
      <c r="B4371" s="75" t="n"/>
      <c r="C4371" s="75" t="n"/>
      <c r="D4371" s="75" t="n"/>
      <c r="E4371" s="76" t="n"/>
      <c r="F4371" s="77" t="n"/>
      <c r="G4371" s="75" t="n"/>
      <c r="H4371" s="75">
        <f>IF(ISBLANK(E4371),"",IF(OR(D4371="Butterfly",D4371="Butterfly ",D4371="Iron Fly", D4371="Iron Fly "),LEN(E4371)-LEN(SUBSTITUTE(E4371,"/",""))+2,LEN(E4371)-LEN(SUBSTITUTE(E4371,"/",""))+1))</f>
        <v/>
      </c>
      <c r="I4371" s="78">
        <f>IF(ISBLANK(G4371),"",IF(D4371="Stock","0",Key!$A$3*H4371*G4371))</f>
        <v/>
      </c>
      <c r="J4371" s="78">
        <f>IF(ISBLANK(E4371),"",IF(ISNUMBER(SEARCH("/",E4371)), IF(LEN(E4371)-LEN(SUBSTITUTE(E4371,"/",""))=1,(RIGHT(E4371,LEN(E4371)-FIND("/",E4371)))-(LEFT(E4371,FIND("/",E4371)-1)),(MID(E4371, SEARCH("/",E4371) + 1, SEARCH("/",E4371, SEARCH("/",E4371)+1) - SEARCH("/",E4371) - 1))-(LEFT(E4371,FIND("/",E4371)-1))), "NA"))</f>
        <v/>
      </c>
      <c r="K4371" s="79">
        <f>IF(A4371&lt;&gt;"", IF(ISBLANK(L4371), TODAY(), K4371), "")</f>
        <v/>
      </c>
      <c r="L4371" s="78" t="n"/>
      <c r="M4371" s="78">
        <f>IF(ISBLANK(L4371),"",IF(D4371="Stock",IF(C4371="Buy",L4371*G4371,IF(C4371="Sell",(L4371*G4371)-I4371, X)),IF(C4371="Buy",(L4371*G4371*100)+I4371,IF(C4371="Sell",(L4371*G4371*100)-I4371, X))))</f>
        <v/>
      </c>
      <c r="N4371" s="78">
        <f>IF(ISBLANK(L4371),"",IF(AND(C4371="Sell",D4371="Stock"),M4371,IF(ISBLANK(L4371),"",IF(C4371="Buy",M4371, IF(AND(C4371="Sell",J4371="NA"),(E4371*G4371*100*0.1)+I4371, IF(C4371="Sell",(J4371-L4371)*(100*G4371)+I4371))))))</f>
        <v/>
      </c>
      <c r="O4371" s="75" t="n"/>
      <c r="P4371" s="75" t="n"/>
      <c r="Q4371" s="75">
        <f>IF(ISBLANK(P4371),"",IF(D4371="Stock",P4371*G4371,IF(P4371=0,"0",G4371*P4371*100-(G4371*$AF$14))))</f>
        <v/>
      </c>
      <c r="R4371" s="79">
        <f>IF(P4371&lt;&gt;"", TODAY(), "")</f>
        <v/>
      </c>
      <c r="S4371" s="78">
        <f>IF(AND(K4371&lt;&gt;"", R4371&lt;&gt;""), R4371-K4371, "")</f>
        <v/>
      </c>
      <c r="T4371" s="78" t="n"/>
      <c r="U4371" s="92">
        <f>IF(ISBLANK(P4371),"",IF(C4371="Buy",Q4371-M4371+T4371, IF(C4371="Sell",M4371-Q4371-T4371, X)))</f>
        <v/>
      </c>
      <c r="V4371" s="81">
        <f>IF(ISBLANK(P4371),"",U4371/N4371)</f>
        <v/>
      </c>
      <c r="W4371" s="81">
        <f>IF(ISBLANK(P4371),"",IF(S4371=0,(365/0.5)*V4371,(365/S4371)*V4371))</f>
        <v/>
      </c>
      <c r="X4371" s="75" t="n"/>
      <c r="Y4371" s="77" t="n"/>
      <c r="Z4371" s="77" t="n"/>
      <c r="AA4371" s="75" t="n"/>
      <c r="AB4371" s="75" t="n"/>
      <c r="AC4371" s="6" t="n"/>
      <c r="AD4371" s="75" t="n"/>
      <c r="AE4371" s="75" t="n"/>
      <c r="AF4371" s="75" t="n"/>
    </row>
    <row r="4372" ht="15.75" customHeight="1" s="133">
      <c r="A4372" s="75" t="n"/>
      <c r="B4372" s="75" t="n"/>
      <c r="C4372" s="75" t="n"/>
      <c r="D4372" s="75" t="n"/>
      <c r="E4372" s="76" t="n"/>
      <c r="F4372" s="77" t="n"/>
      <c r="G4372" s="75" t="n"/>
      <c r="H4372" s="75">
        <f>IF(ISBLANK(E4372),"",IF(OR(D4372="Butterfly",D4372="Butterfly ",D4372="Iron Fly", D4372="Iron Fly "),LEN(E4372)-LEN(SUBSTITUTE(E4372,"/",""))+2,LEN(E4372)-LEN(SUBSTITUTE(E4372,"/",""))+1))</f>
        <v/>
      </c>
      <c r="I4372" s="78">
        <f>IF(ISBLANK(G4372),"",IF(D4372="Stock","0",Key!$A$3*H4372*G4372))</f>
        <v/>
      </c>
      <c r="J4372" s="78">
        <f>IF(ISBLANK(E4372),"",IF(ISNUMBER(SEARCH("/",E4372)), IF(LEN(E4372)-LEN(SUBSTITUTE(E4372,"/",""))=1,(RIGHT(E4372,LEN(E4372)-FIND("/",E4372)))-(LEFT(E4372,FIND("/",E4372)-1)),(MID(E4372, SEARCH("/",E4372) + 1, SEARCH("/",E4372, SEARCH("/",E4372)+1) - SEARCH("/",E4372) - 1))-(LEFT(E4372,FIND("/",E4372)-1))), "NA"))</f>
        <v/>
      </c>
      <c r="K4372" s="79">
        <f>IF(A4372&lt;&gt;"", IF(ISBLANK(L4372), TODAY(), K4372), "")</f>
        <v/>
      </c>
      <c r="L4372" s="78" t="n"/>
      <c r="M4372" s="78">
        <f>IF(ISBLANK(L4372),"",IF(D4372="Stock",IF(C4372="Buy",L4372*G4372,IF(C4372="Sell",(L4372*G4372)-I4372, X)),IF(C4372="Buy",(L4372*G4372*100)+I4372,IF(C4372="Sell",(L4372*G4372*100)-I4372, X))))</f>
        <v/>
      </c>
      <c r="N4372" s="78">
        <f>IF(ISBLANK(L4372),"",IF(AND(C4372="Sell",D4372="Stock"),M4372,IF(ISBLANK(L4372),"",IF(C4372="Buy",M4372, IF(AND(C4372="Sell",J4372="NA"),(E4372*G4372*100*0.1)+I4372, IF(C4372="Sell",(J4372-L4372)*(100*G4372)+I4372))))))</f>
        <v/>
      </c>
      <c r="O4372" s="75" t="n"/>
      <c r="P4372" s="75" t="n"/>
      <c r="Q4372" s="75">
        <f>IF(ISBLANK(P4372),"",IF(D4372="Stock",P4372*G4372,IF(P4372=0,"0",G4372*P4372*100-(G4372*$AF$14))))</f>
        <v/>
      </c>
      <c r="R4372" s="79">
        <f>IF(P4372&lt;&gt;"", TODAY(), "")</f>
        <v/>
      </c>
      <c r="S4372" s="78">
        <f>IF(AND(K4372&lt;&gt;"", R4372&lt;&gt;""), R4372-K4372, "")</f>
        <v/>
      </c>
      <c r="T4372" s="78" t="n"/>
      <c r="U4372" s="92">
        <f>IF(ISBLANK(P4372),"",IF(C4372="Buy",Q4372-M4372+T4372, IF(C4372="Sell",M4372-Q4372-T4372, X)))</f>
        <v/>
      </c>
      <c r="V4372" s="81">
        <f>IF(ISBLANK(P4372),"",U4372/N4372)</f>
        <v/>
      </c>
      <c r="W4372" s="81">
        <f>IF(ISBLANK(P4372),"",IF(S4372=0,(365/0.5)*V4372,(365/S4372)*V4372))</f>
        <v/>
      </c>
      <c r="X4372" s="75" t="n"/>
      <c r="Y4372" s="77" t="n"/>
      <c r="Z4372" s="77" t="n"/>
      <c r="AA4372" s="75" t="n"/>
      <c r="AB4372" s="75" t="n"/>
      <c r="AC4372" s="6" t="n"/>
      <c r="AD4372" s="75" t="n"/>
      <c r="AE4372" s="75" t="n"/>
      <c r="AF4372" s="75" t="n"/>
    </row>
    <row r="4373" ht="15.75" customHeight="1" s="133">
      <c r="A4373" s="75" t="n"/>
      <c r="B4373" s="75" t="n"/>
      <c r="C4373" s="75" t="n"/>
      <c r="D4373" s="75" t="n"/>
      <c r="E4373" s="76" t="n"/>
      <c r="F4373" s="77" t="n"/>
      <c r="G4373" s="75" t="n"/>
      <c r="H4373" s="75">
        <f>IF(ISBLANK(E4373),"",IF(OR(D4373="Butterfly",D4373="Butterfly ",D4373="Iron Fly", D4373="Iron Fly "),LEN(E4373)-LEN(SUBSTITUTE(E4373,"/",""))+2,LEN(E4373)-LEN(SUBSTITUTE(E4373,"/",""))+1))</f>
        <v/>
      </c>
      <c r="I4373" s="78">
        <f>IF(ISBLANK(G4373),"",IF(D4373="Stock","0",Key!$A$3*H4373*G4373))</f>
        <v/>
      </c>
      <c r="J4373" s="78">
        <f>IF(ISBLANK(E4373),"",IF(ISNUMBER(SEARCH("/",E4373)), IF(LEN(E4373)-LEN(SUBSTITUTE(E4373,"/",""))=1,(RIGHT(E4373,LEN(E4373)-FIND("/",E4373)))-(LEFT(E4373,FIND("/",E4373)-1)),(MID(E4373, SEARCH("/",E4373) + 1, SEARCH("/",E4373, SEARCH("/",E4373)+1) - SEARCH("/",E4373) - 1))-(LEFT(E4373,FIND("/",E4373)-1))), "NA"))</f>
        <v/>
      </c>
      <c r="K4373" s="79">
        <f>IF(A4373&lt;&gt;"", IF(ISBLANK(L4373), TODAY(), K4373), "")</f>
        <v/>
      </c>
      <c r="L4373" s="78" t="n"/>
      <c r="M4373" s="78">
        <f>IF(ISBLANK(L4373),"",IF(D4373="Stock",IF(C4373="Buy",L4373*G4373,IF(C4373="Sell",(L4373*G4373)-I4373, X)),IF(C4373="Buy",(L4373*G4373*100)+I4373,IF(C4373="Sell",(L4373*G4373*100)-I4373, X))))</f>
        <v/>
      </c>
      <c r="N4373" s="78">
        <f>IF(ISBLANK(L4373),"",IF(AND(C4373="Sell",D4373="Stock"),M4373,IF(ISBLANK(L4373),"",IF(C4373="Buy",M4373, IF(AND(C4373="Sell",J4373="NA"),(E4373*G4373*100*0.1)+I4373, IF(C4373="Sell",(J4373-L4373)*(100*G4373)+I4373))))))</f>
        <v/>
      </c>
      <c r="O4373" s="75" t="n"/>
      <c r="P4373" s="75" t="n"/>
      <c r="Q4373" s="75">
        <f>IF(ISBLANK(P4373),"",IF(D4373="Stock",P4373*G4373,IF(P4373=0,"0",G4373*P4373*100-(G4373*$AF$14))))</f>
        <v/>
      </c>
      <c r="R4373" s="79">
        <f>IF(P4373&lt;&gt;"", TODAY(), "")</f>
        <v/>
      </c>
      <c r="S4373" s="78">
        <f>IF(AND(K4373&lt;&gt;"", R4373&lt;&gt;""), R4373-K4373, "")</f>
        <v/>
      </c>
      <c r="T4373" s="78" t="n"/>
      <c r="U4373" s="92">
        <f>IF(ISBLANK(P4373),"",IF(C4373="Buy",Q4373-M4373+T4373, IF(C4373="Sell",M4373-Q4373-T4373, X)))</f>
        <v/>
      </c>
      <c r="V4373" s="81">
        <f>IF(ISBLANK(P4373),"",U4373/N4373)</f>
        <v/>
      </c>
      <c r="W4373" s="81">
        <f>IF(ISBLANK(P4373),"",IF(S4373=0,(365/0.5)*V4373,(365/S4373)*V4373))</f>
        <v/>
      </c>
      <c r="X4373" s="75" t="n"/>
      <c r="Y4373" s="77" t="n"/>
      <c r="Z4373" s="77" t="n"/>
      <c r="AA4373" s="75" t="n"/>
      <c r="AB4373" s="75" t="n"/>
      <c r="AC4373" s="6" t="n"/>
      <c r="AD4373" s="75" t="n"/>
      <c r="AE4373" s="75" t="n"/>
      <c r="AF4373" s="75" t="n"/>
    </row>
    <row r="4374" ht="15.75" customHeight="1" s="133">
      <c r="A4374" s="75" t="n"/>
      <c r="B4374" s="75" t="n"/>
      <c r="C4374" s="75" t="n"/>
      <c r="D4374" s="75" t="n"/>
      <c r="E4374" s="76" t="n"/>
      <c r="F4374" s="77" t="n"/>
      <c r="G4374" s="75" t="n"/>
      <c r="H4374" s="75">
        <f>IF(ISBLANK(E4374),"",IF(OR(D4374="Butterfly",D4374="Butterfly ",D4374="Iron Fly", D4374="Iron Fly "),LEN(E4374)-LEN(SUBSTITUTE(E4374,"/",""))+2,LEN(E4374)-LEN(SUBSTITUTE(E4374,"/",""))+1))</f>
        <v/>
      </c>
      <c r="I4374" s="78">
        <f>IF(ISBLANK(G4374),"",IF(D4374="Stock","0",Key!$A$3*H4374*G4374))</f>
        <v/>
      </c>
      <c r="J4374" s="78">
        <f>IF(ISBLANK(E4374),"",IF(ISNUMBER(SEARCH("/",E4374)), IF(LEN(E4374)-LEN(SUBSTITUTE(E4374,"/",""))=1,(RIGHT(E4374,LEN(E4374)-FIND("/",E4374)))-(LEFT(E4374,FIND("/",E4374)-1)),(MID(E4374, SEARCH("/",E4374) + 1, SEARCH("/",E4374, SEARCH("/",E4374)+1) - SEARCH("/",E4374) - 1))-(LEFT(E4374,FIND("/",E4374)-1))), "NA"))</f>
        <v/>
      </c>
      <c r="K4374" s="79">
        <f>IF(A4374&lt;&gt;"", IF(ISBLANK(L4374), TODAY(), K4374), "")</f>
        <v/>
      </c>
      <c r="L4374" s="78" t="n"/>
      <c r="M4374" s="78">
        <f>IF(ISBLANK(L4374),"",IF(D4374="Stock",IF(C4374="Buy",L4374*G4374,IF(C4374="Sell",(L4374*G4374)-I4374, X)),IF(C4374="Buy",(L4374*G4374*100)+I4374,IF(C4374="Sell",(L4374*G4374*100)-I4374, X))))</f>
        <v/>
      </c>
      <c r="N4374" s="78">
        <f>IF(ISBLANK(L4374),"",IF(AND(C4374="Sell",D4374="Stock"),M4374,IF(ISBLANK(L4374),"",IF(C4374="Buy",M4374, IF(AND(C4374="Sell",J4374="NA"),(E4374*G4374*100*0.1)+I4374, IF(C4374="Sell",(J4374-L4374)*(100*G4374)+I4374))))))</f>
        <v/>
      </c>
      <c r="O4374" s="75" t="n"/>
      <c r="P4374" s="75" t="n"/>
      <c r="Q4374" s="75">
        <f>IF(ISBLANK(P4374),"",IF(D4374="Stock",P4374*G4374,IF(P4374=0,"0",G4374*P4374*100-(G4374*$AF$14))))</f>
        <v/>
      </c>
      <c r="R4374" s="79">
        <f>IF(P4374&lt;&gt;"", TODAY(), "")</f>
        <v/>
      </c>
      <c r="S4374" s="78">
        <f>IF(AND(K4374&lt;&gt;"", R4374&lt;&gt;""), R4374-K4374, "")</f>
        <v/>
      </c>
      <c r="T4374" s="78" t="n"/>
      <c r="U4374" s="92">
        <f>IF(ISBLANK(P4374),"",IF(C4374="Buy",Q4374-M4374+T4374, IF(C4374="Sell",M4374-Q4374-T4374, X)))</f>
        <v/>
      </c>
      <c r="V4374" s="81">
        <f>IF(ISBLANK(P4374),"",U4374/N4374)</f>
        <v/>
      </c>
      <c r="W4374" s="81">
        <f>IF(ISBLANK(P4374),"",IF(S4374=0,(365/0.5)*V4374,(365/S4374)*V4374))</f>
        <v/>
      </c>
      <c r="X4374" s="75" t="n"/>
      <c r="Y4374" s="77" t="n"/>
      <c r="Z4374" s="77" t="n"/>
      <c r="AA4374" s="75" t="n"/>
      <c r="AB4374" s="75" t="n"/>
      <c r="AC4374" s="6" t="n"/>
      <c r="AD4374" s="75" t="n"/>
      <c r="AE4374" s="75" t="n"/>
      <c r="AF4374" s="75" t="n"/>
    </row>
    <row r="4375" ht="15.75" customHeight="1" s="133">
      <c r="A4375" s="75" t="n"/>
      <c r="B4375" s="75" t="n"/>
      <c r="C4375" s="75" t="n"/>
      <c r="D4375" s="75" t="n"/>
      <c r="E4375" s="76" t="n"/>
      <c r="F4375" s="77" t="n"/>
      <c r="G4375" s="75" t="n"/>
      <c r="H4375" s="75">
        <f>IF(ISBLANK(E4375),"",IF(OR(D4375="Butterfly",D4375="Butterfly ",D4375="Iron Fly", D4375="Iron Fly "),LEN(E4375)-LEN(SUBSTITUTE(E4375,"/",""))+2,LEN(E4375)-LEN(SUBSTITUTE(E4375,"/",""))+1))</f>
        <v/>
      </c>
      <c r="I4375" s="78">
        <f>IF(ISBLANK(G4375),"",IF(D4375="Stock","0",Key!$A$3*H4375*G4375))</f>
        <v/>
      </c>
      <c r="J4375" s="78">
        <f>IF(ISBLANK(E4375),"",IF(ISNUMBER(SEARCH("/",E4375)), IF(LEN(E4375)-LEN(SUBSTITUTE(E4375,"/",""))=1,(RIGHT(E4375,LEN(E4375)-FIND("/",E4375)))-(LEFT(E4375,FIND("/",E4375)-1)),(MID(E4375, SEARCH("/",E4375) + 1, SEARCH("/",E4375, SEARCH("/",E4375)+1) - SEARCH("/",E4375) - 1))-(LEFT(E4375,FIND("/",E4375)-1))), "NA"))</f>
        <v/>
      </c>
      <c r="K4375" s="79">
        <f>IF(A4375&lt;&gt;"", IF(ISBLANK(L4375), TODAY(), K4375), "")</f>
        <v/>
      </c>
      <c r="L4375" s="78" t="n"/>
      <c r="M4375" s="78">
        <f>IF(ISBLANK(L4375),"",IF(D4375="Stock",IF(C4375="Buy",L4375*G4375,IF(C4375="Sell",(L4375*G4375)-I4375, X)),IF(C4375="Buy",(L4375*G4375*100)+I4375,IF(C4375="Sell",(L4375*G4375*100)-I4375, X))))</f>
        <v/>
      </c>
      <c r="N4375" s="78">
        <f>IF(ISBLANK(L4375),"",IF(AND(C4375="Sell",D4375="Stock"),M4375,IF(ISBLANK(L4375),"",IF(C4375="Buy",M4375, IF(AND(C4375="Sell",J4375="NA"),(E4375*G4375*100*0.1)+I4375, IF(C4375="Sell",(J4375-L4375)*(100*G4375)+I4375))))))</f>
        <v/>
      </c>
      <c r="O4375" s="75" t="n"/>
      <c r="P4375" s="75" t="n"/>
      <c r="Q4375" s="75">
        <f>IF(ISBLANK(P4375),"",IF(D4375="Stock",P4375*G4375,IF(P4375=0,"0",G4375*P4375*100-(G4375*$AF$14))))</f>
        <v/>
      </c>
      <c r="R4375" s="79">
        <f>IF(P4375&lt;&gt;"", TODAY(), "")</f>
        <v/>
      </c>
      <c r="S4375" s="78">
        <f>IF(AND(K4375&lt;&gt;"", R4375&lt;&gt;""), R4375-K4375, "")</f>
        <v/>
      </c>
      <c r="T4375" s="78" t="n"/>
      <c r="U4375" s="92">
        <f>IF(ISBLANK(P4375),"",IF(C4375="Buy",Q4375-M4375+T4375, IF(C4375="Sell",M4375-Q4375-T4375, X)))</f>
        <v/>
      </c>
      <c r="V4375" s="81">
        <f>IF(ISBLANK(P4375),"",U4375/N4375)</f>
        <v/>
      </c>
      <c r="W4375" s="81">
        <f>IF(ISBLANK(P4375),"",IF(S4375=0,(365/0.5)*V4375,(365/S4375)*V4375))</f>
        <v/>
      </c>
      <c r="X4375" s="75" t="n"/>
      <c r="Y4375" s="77" t="n"/>
      <c r="Z4375" s="77" t="n"/>
      <c r="AA4375" s="75" t="n"/>
      <c r="AB4375" s="75" t="n"/>
      <c r="AC4375" s="6" t="n"/>
      <c r="AD4375" s="75" t="n"/>
      <c r="AE4375" s="75" t="n"/>
      <c r="AF4375" s="75" t="n"/>
    </row>
    <row r="4376" ht="15.75" customHeight="1" s="133">
      <c r="A4376" s="75" t="n"/>
      <c r="B4376" s="75" t="n"/>
      <c r="C4376" s="75" t="n"/>
      <c r="D4376" s="75" t="n"/>
      <c r="E4376" s="76" t="n"/>
      <c r="F4376" s="77" t="n"/>
      <c r="G4376" s="75" t="n"/>
      <c r="H4376" s="75">
        <f>IF(ISBLANK(E4376),"",IF(OR(D4376="Butterfly",D4376="Butterfly ",D4376="Iron Fly", D4376="Iron Fly "),LEN(E4376)-LEN(SUBSTITUTE(E4376,"/",""))+2,LEN(E4376)-LEN(SUBSTITUTE(E4376,"/",""))+1))</f>
        <v/>
      </c>
      <c r="I4376" s="78">
        <f>IF(ISBLANK(G4376),"",IF(D4376="Stock","0",Key!$A$3*H4376*G4376))</f>
        <v/>
      </c>
      <c r="J4376" s="78">
        <f>IF(ISBLANK(E4376),"",IF(ISNUMBER(SEARCH("/",E4376)), IF(LEN(E4376)-LEN(SUBSTITUTE(E4376,"/",""))=1,(RIGHT(E4376,LEN(E4376)-FIND("/",E4376)))-(LEFT(E4376,FIND("/",E4376)-1)),(MID(E4376, SEARCH("/",E4376) + 1, SEARCH("/",E4376, SEARCH("/",E4376)+1) - SEARCH("/",E4376) - 1))-(LEFT(E4376,FIND("/",E4376)-1))), "NA"))</f>
        <v/>
      </c>
      <c r="K4376" s="79">
        <f>IF(A4376&lt;&gt;"", IF(ISBLANK(L4376), TODAY(), K4376), "")</f>
        <v/>
      </c>
      <c r="L4376" s="78" t="n"/>
      <c r="M4376" s="78">
        <f>IF(ISBLANK(L4376),"",IF(D4376="Stock",IF(C4376="Buy",L4376*G4376,IF(C4376="Sell",(L4376*G4376)-I4376, X)),IF(C4376="Buy",(L4376*G4376*100)+I4376,IF(C4376="Sell",(L4376*G4376*100)-I4376, X))))</f>
        <v/>
      </c>
      <c r="N4376" s="78">
        <f>IF(ISBLANK(L4376),"",IF(AND(C4376="Sell",D4376="Stock"),M4376,IF(ISBLANK(L4376),"",IF(C4376="Buy",M4376, IF(AND(C4376="Sell",J4376="NA"),(E4376*G4376*100*0.1)+I4376, IF(C4376="Sell",(J4376-L4376)*(100*G4376)+I4376))))))</f>
        <v/>
      </c>
      <c r="O4376" s="75" t="n"/>
      <c r="P4376" s="75" t="n"/>
      <c r="Q4376" s="75">
        <f>IF(ISBLANK(P4376),"",IF(D4376="Stock",P4376*G4376,IF(P4376=0,"0",G4376*P4376*100-(G4376*$AF$14))))</f>
        <v/>
      </c>
      <c r="R4376" s="79">
        <f>IF(P4376&lt;&gt;"", TODAY(), "")</f>
        <v/>
      </c>
      <c r="S4376" s="78">
        <f>IF(AND(K4376&lt;&gt;"", R4376&lt;&gt;""), R4376-K4376, "")</f>
        <v/>
      </c>
      <c r="T4376" s="78" t="n"/>
      <c r="U4376" s="92">
        <f>IF(ISBLANK(P4376),"",IF(C4376="Buy",Q4376-M4376+T4376, IF(C4376="Sell",M4376-Q4376-T4376, X)))</f>
        <v/>
      </c>
      <c r="V4376" s="81">
        <f>IF(ISBLANK(P4376),"",U4376/N4376)</f>
        <v/>
      </c>
      <c r="W4376" s="81">
        <f>IF(ISBLANK(P4376),"",IF(S4376=0,(365/0.5)*V4376,(365/S4376)*V4376))</f>
        <v/>
      </c>
      <c r="X4376" s="75" t="n"/>
      <c r="Y4376" s="77" t="n"/>
      <c r="Z4376" s="77" t="n"/>
      <c r="AA4376" s="75" t="n"/>
      <c r="AB4376" s="75" t="n"/>
      <c r="AC4376" s="6" t="n"/>
      <c r="AD4376" s="75" t="n"/>
      <c r="AE4376" s="75" t="n"/>
      <c r="AF4376" s="75" t="n"/>
    </row>
    <row r="4377" ht="15.75" customHeight="1" s="133">
      <c r="A4377" s="75" t="n"/>
      <c r="B4377" s="75" t="n"/>
      <c r="C4377" s="75" t="n"/>
      <c r="D4377" s="75" t="n"/>
      <c r="E4377" s="76" t="n"/>
      <c r="F4377" s="77" t="n"/>
      <c r="G4377" s="75" t="n"/>
      <c r="H4377" s="75">
        <f>IF(ISBLANK(E4377),"",IF(OR(D4377="Butterfly",D4377="Butterfly ",D4377="Iron Fly", D4377="Iron Fly "),LEN(E4377)-LEN(SUBSTITUTE(E4377,"/",""))+2,LEN(E4377)-LEN(SUBSTITUTE(E4377,"/",""))+1))</f>
        <v/>
      </c>
      <c r="I4377" s="78">
        <f>IF(ISBLANK(G4377),"",IF(D4377="Stock","0",Key!$A$3*H4377*G4377))</f>
        <v/>
      </c>
      <c r="J4377" s="78">
        <f>IF(ISBLANK(E4377),"",IF(ISNUMBER(SEARCH("/",E4377)), IF(LEN(E4377)-LEN(SUBSTITUTE(E4377,"/",""))=1,(RIGHT(E4377,LEN(E4377)-FIND("/",E4377)))-(LEFT(E4377,FIND("/",E4377)-1)),(MID(E4377, SEARCH("/",E4377) + 1, SEARCH("/",E4377, SEARCH("/",E4377)+1) - SEARCH("/",E4377) - 1))-(LEFT(E4377,FIND("/",E4377)-1))), "NA"))</f>
        <v/>
      </c>
      <c r="K4377" s="79">
        <f>IF(A4377&lt;&gt;"", IF(ISBLANK(L4377), TODAY(), K4377), "")</f>
        <v/>
      </c>
      <c r="L4377" s="78" t="n"/>
      <c r="M4377" s="78">
        <f>IF(ISBLANK(L4377),"",IF(D4377="Stock",IF(C4377="Buy",L4377*G4377,IF(C4377="Sell",(L4377*G4377)-I4377, X)),IF(C4377="Buy",(L4377*G4377*100)+I4377,IF(C4377="Sell",(L4377*G4377*100)-I4377, X))))</f>
        <v/>
      </c>
      <c r="N4377" s="78">
        <f>IF(ISBLANK(L4377),"",IF(AND(C4377="Sell",D4377="Stock"),M4377,IF(ISBLANK(L4377),"",IF(C4377="Buy",M4377, IF(AND(C4377="Sell",J4377="NA"),(E4377*G4377*100*0.1)+I4377, IF(C4377="Sell",(J4377-L4377)*(100*G4377)+I4377))))))</f>
        <v/>
      </c>
      <c r="O4377" s="75" t="n"/>
      <c r="P4377" s="75" t="n"/>
      <c r="Q4377" s="75">
        <f>IF(ISBLANK(P4377),"",IF(D4377="Stock",P4377*G4377,IF(P4377=0,"0",G4377*P4377*100-(G4377*$AF$14))))</f>
        <v/>
      </c>
      <c r="R4377" s="79">
        <f>IF(P4377&lt;&gt;"", TODAY(), "")</f>
        <v/>
      </c>
      <c r="S4377" s="78">
        <f>IF(AND(K4377&lt;&gt;"", R4377&lt;&gt;""), R4377-K4377, "")</f>
        <v/>
      </c>
      <c r="T4377" s="78" t="n"/>
      <c r="U4377" s="92">
        <f>IF(ISBLANK(P4377),"",IF(C4377="Buy",Q4377-M4377+T4377, IF(C4377="Sell",M4377-Q4377-T4377, X)))</f>
        <v/>
      </c>
      <c r="V4377" s="81">
        <f>IF(ISBLANK(P4377),"",U4377/N4377)</f>
        <v/>
      </c>
      <c r="W4377" s="81">
        <f>IF(ISBLANK(P4377),"",IF(S4377=0,(365/0.5)*V4377,(365/S4377)*V4377))</f>
        <v/>
      </c>
      <c r="X4377" s="75" t="n"/>
      <c r="Y4377" s="77" t="n"/>
      <c r="Z4377" s="77" t="n"/>
      <c r="AA4377" s="75" t="n"/>
      <c r="AB4377" s="75" t="n"/>
      <c r="AC4377" s="6" t="n"/>
      <c r="AD4377" s="75" t="n"/>
      <c r="AE4377" s="75" t="n"/>
      <c r="AF4377" s="75" t="n"/>
    </row>
    <row r="4378" ht="15.75" customHeight="1" s="133">
      <c r="A4378" s="75" t="n"/>
      <c r="B4378" s="75" t="n"/>
      <c r="C4378" s="75" t="n"/>
      <c r="D4378" s="75" t="n"/>
      <c r="E4378" s="76" t="n"/>
      <c r="F4378" s="77" t="n"/>
      <c r="G4378" s="75" t="n"/>
      <c r="H4378" s="75">
        <f>IF(ISBLANK(E4378),"",IF(OR(D4378="Butterfly",D4378="Butterfly ",D4378="Iron Fly", D4378="Iron Fly "),LEN(E4378)-LEN(SUBSTITUTE(E4378,"/",""))+2,LEN(E4378)-LEN(SUBSTITUTE(E4378,"/",""))+1))</f>
        <v/>
      </c>
      <c r="I4378" s="78">
        <f>IF(ISBLANK(G4378),"",IF(D4378="Stock","0",Key!$A$3*H4378*G4378))</f>
        <v/>
      </c>
      <c r="J4378" s="78">
        <f>IF(ISBLANK(E4378),"",IF(ISNUMBER(SEARCH("/",E4378)), IF(LEN(E4378)-LEN(SUBSTITUTE(E4378,"/",""))=1,(RIGHT(E4378,LEN(E4378)-FIND("/",E4378)))-(LEFT(E4378,FIND("/",E4378)-1)),(MID(E4378, SEARCH("/",E4378) + 1, SEARCH("/",E4378, SEARCH("/",E4378)+1) - SEARCH("/",E4378) - 1))-(LEFT(E4378,FIND("/",E4378)-1))), "NA"))</f>
        <v/>
      </c>
      <c r="K4378" s="79">
        <f>IF(A4378&lt;&gt;"", IF(ISBLANK(L4378), TODAY(), K4378), "")</f>
        <v/>
      </c>
      <c r="L4378" s="78" t="n"/>
      <c r="M4378" s="78">
        <f>IF(ISBLANK(L4378),"",IF(D4378="Stock",IF(C4378="Buy",L4378*G4378,IF(C4378="Sell",(L4378*G4378)-I4378, X)),IF(C4378="Buy",(L4378*G4378*100)+I4378,IF(C4378="Sell",(L4378*G4378*100)-I4378, X))))</f>
        <v/>
      </c>
      <c r="N4378" s="78">
        <f>IF(ISBLANK(L4378),"",IF(AND(C4378="Sell",D4378="Stock"),M4378,IF(ISBLANK(L4378),"",IF(C4378="Buy",M4378, IF(AND(C4378="Sell",J4378="NA"),(E4378*G4378*100*0.1)+I4378, IF(C4378="Sell",(J4378-L4378)*(100*G4378)+I4378))))))</f>
        <v/>
      </c>
      <c r="O4378" s="75" t="n"/>
      <c r="P4378" s="75" t="n"/>
      <c r="Q4378" s="75">
        <f>IF(ISBLANK(P4378),"",IF(D4378="Stock",P4378*G4378,IF(P4378=0,"0",G4378*P4378*100-(G4378*$AF$14))))</f>
        <v/>
      </c>
      <c r="R4378" s="79">
        <f>IF(P4378&lt;&gt;"", TODAY(), "")</f>
        <v/>
      </c>
      <c r="S4378" s="78">
        <f>IF(AND(K4378&lt;&gt;"", R4378&lt;&gt;""), R4378-K4378, "")</f>
        <v/>
      </c>
      <c r="T4378" s="78" t="n"/>
      <c r="U4378" s="92">
        <f>IF(ISBLANK(P4378),"",IF(C4378="Buy",Q4378-M4378+T4378, IF(C4378="Sell",M4378-Q4378-T4378, X)))</f>
        <v/>
      </c>
      <c r="V4378" s="81">
        <f>IF(ISBLANK(P4378),"",U4378/N4378)</f>
        <v/>
      </c>
      <c r="W4378" s="81">
        <f>IF(ISBLANK(P4378),"",IF(S4378=0,(365/0.5)*V4378,(365/S4378)*V4378))</f>
        <v/>
      </c>
      <c r="X4378" s="75" t="n"/>
      <c r="Y4378" s="77" t="n"/>
      <c r="Z4378" s="77" t="n"/>
      <c r="AA4378" s="75" t="n"/>
      <c r="AB4378" s="75" t="n"/>
      <c r="AC4378" s="6" t="n"/>
      <c r="AD4378" s="75" t="n"/>
      <c r="AE4378" s="75" t="n"/>
      <c r="AF4378" s="75" t="n"/>
    </row>
    <row r="4379" ht="15.75" customHeight="1" s="133">
      <c r="A4379" s="75" t="n"/>
      <c r="B4379" s="75" t="n"/>
      <c r="C4379" s="75" t="n"/>
      <c r="D4379" s="75" t="n"/>
      <c r="E4379" s="76" t="n"/>
      <c r="F4379" s="77" t="n"/>
      <c r="G4379" s="75" t="n"/>
      <c r="H4379" s="75">
        <f>IF(ISBLANK(E4379),"",IF(OR(D4379="Butterfly",D4379="Butterfly ",D4379="Iron Fly", D4379="Iron Fly "),LEN(E4379)-LEN(SUBSTITUTE(E4379,"/",""))+2,LEN(E4379)-LEN(SUBSTITUTE(E4379,"/",""))+1))</f>
        <v/>
      </c>
      <c r="I4379" s="78">
        <f>IF(ISBLANK(G4379),"",IF(D4379="Stock","0",Key!$A$3*H4379*G4379))</f>
        <v/>
      </c>
      <c r="J4379" s="78">
        <f>IF(ISBLANK(E4379),"",IF(ISNUMBER(SEARCH("/",E4379)), IF(LEN(E4379)-LEN(SUBSTITUTE(E4379,"/",""))=1,(RIGHT(E4379,LEN(E4379)-FIND("/",E4379)))-(LEFT(E4379,FIND("/",E4379)-1)),(MID(E4379, SEARCH("/",E4379) + 1, SEARCH("/",E4379, SEARCH("/",E4379)+1) - SEARCH("/",E4379) - 1))-(LEFT(E4379,FIND("/",E4379)-1))), "NA"))</f>
        <v/>
      </c>
      <c r="K4379" s="79">
        <f>IF(A4379&lt;&gt;"", IF(ISBLANK(L4379), TODAY(), K4379), "")</f>
        <v/>
      </c>
      <c r="L4379" s="78" t="n"/>
      <c r="M4379" s="78">
        <f>IF(ISBLANK(L4379),"",IF(D4379="Stock",IF(C4379="Buy",L4379*G4379,IF(C4379="Sell",(L4379*G4379)-I4379, X)),IF(C4379="Buy",(L4379*G4379*100)+I4379,IF(C4379="Sell",(L4379*G4379*100)-I4379, X))))</f>
        <v/>
      </c>
      <c r="N4379" s="78">
        <f>IF(ISBLANK(L4379),"",IF(AND(C4379="Sell",D4379="Stock"),M4379,IF(ISBLANK(L4379),"",IF(C4379="Buy",M4379, IF(AND(C4379="Sell",J4379="NA"),(E4379*G4379*100*0.1)+I4379, IF(C4379="Sell",(J4379-L4379)*(100*G4379)+I4379))))))</f>
        <v/>
      </c>
      <c r="O4379" s="75" t="n"/>
      <c r="P4379" s="75" t="n"/>
      <c r="Q4379" s="75">
        <f>IF(ISBLANK(P4379),"",IF(D4379="Stock",P4379*G4379,IF(P4379=0,"0",G4379*P4379*100-(G4379*$AF$14))))</f>
        <v/>
      </c>
      <c r="R4379" s="79">
        <f>IF(P4379&lt;&gt;"", TODAY(), "")</f>
        <v/>
      </c>
      <c r="S4379" s="78">
        <f>IF(AND(K4379&lt;&gt;"", R4379&lt;&gt;""), R4379-K4379, "")</f>
        <v/>
      </c>
      <c r="T4379" s="78" t="n"/>
      <c r="U4379" s="92">
        <f>IF(ISBLANK(P4379),"",IF(C4379="Buy",Q4379-M4379+T4379, IF(C4379="Sell",M4379-Q4379-T4379, X)))</f>
        <v/>
      </c>
      <c r="V4379" s="81">
        <f>IF(ISBLANK(P4379),"",U4379/N4379)</f>
        <v/>
      </c>
      <c r="W4379" s="81">
        <f>IF(ISBLANK(P4379),"",IF(S4379=0,(365/0.5)*V4379,(365/S4379)*V4379))</f>
        <v/>
      </c>
      <c r="X4379" s="75" t="n"/>
      <c r="Y4379" s="77" t="n"/>
      <c r="Z4379" s="77" t="n"/>
      <c r="AA4379" s="75" t="n"/>
      <c r="AB4379" s="75" t="n"/>
      <c r="AC4379" s="6" t="n"/>
      <c r="AD4379" s="75" t="n"/>
      <c r="AE4379" s="75" t="n"/>
      <c r="AF4379" s="75" t="n"/>
    </row>
    <row r="4380" ht="15.75" customHeight="1" s="133">
      <c r="A4380" s="75" t="n"/>
      <c r="B4380" s="75" t="n"/>
      <c r="C4380" s="75" t="n"/>
      <c r="D4380" s="75" t="n"/>
      <c r="E4380" s="76" t="n"/>
      <c r="F4380" s="77" t="n"/>
      <c r="G4380" s="75" t="n"/>
      <c r="H4380" s="75">
        <f>IF(ISBLANK(E4380),"",IF(OR(D4380="Butterfly",D4380="Butterfly ",D4380="Iron Fly", D4380="Iron Fly "),LEN(E4380)-LEN(SUBSTITUTE(E4380,"/",""))+2,LEN(E4380)-LEN(SUBSTITUTE(E4380,"/",""))+1))</f>
        <v/>
      </c>
      <c r="I4380" s="78">
        <f>IF(ISBLANK(G4380),"",IF(D4380="Stock","0",Key!$A$3*H4380*G4380))</f>
        <v/>
      </c>
      <c r="J4380" s="78">
        <f>IF(ISBLANK(E4380),"",IF(ISNUMBER(SEARCH("/",E4380)), IF(LEN(E4380)-LEN(SUBSTITUTE(E4380,"/",""))=1,(RIGHT(E4380,LEN(E4380)-FIND("/",E4380)))-(LEFT(E4380,FIND("/",E4380)-1)),(MID(E4380, SEARCH("/",E4380) + 1, SEARCH("/",E4380, SEARCH("/",E4380)+1) - SEARCH("/",E4380) - 1))-(LEFT(E4380,FIND("/",E4380)-1))), "NA"))</f>
        <v/>
      </c>
      <c r="K4380" s="79">
        <f>IF(A4380&lt;&gt;"", IF(ISBLANK(L4380), TODAY(), K4380), "")</f>
        <v/>
      </c>
      <c r="L4380" s="78" t="n"/>
      <c r="M4380" s="78">
        <f>IF(ISBLANK(L4380),"",IF(D4380="Stock",IF(C4380="Buy",L4380*G4380,IF(C4380="Sell",(L4380*G4380)-I4380, X)),IF(C4380="Buy",(L4380*G4380*100)+I4380,IF(C4380="Sell",(L4380*G4380*100)-I4380, X))))</f>
        <v/>
      </c>
      <c r="N4380" s="78">
        <f>IF(ISBLANK(L4380),"",IF(AND(C4380="Sell",D4380="Stock"),M4380,IF(ISBLANK(L4380),"",IF(C4380="Buy",M4380, IF(AND(C4380="Sell",J4380="NA"),(E4380*G4380*100*0.1)+I4380, IF(C4380="Sell",(J4380-L4380)*(100*G4380)+I4380))))))</f>
        <v/>
      </c>
      <c r="O4380" s="75" t="n"/>
      <c r="P4380" s="75" t="n"/>
      <c r="Q4380" s="75">
        <f>IF(ISBLANK(P4380),"",IF(D4380="Stock",P4380*G4380,IF(P4380=0,"0",G4380*P4380*100-(G4380*$AF$14))))</f>
        <v/>
      </c>
      <c r="R4380" s="79">
        <f>IF(P4380&lt;&gt;"", TODAY(), "")</f>
        <v/>
      </c>
      <c r="S4380" s="78">
        <f>IF(AND(K4380&lt;&gt;"", R4380&lt;&gt;""), R4380-K4380, "")</f>
        <v/>
      </c>
      <c r="T4380" s="78" t="n"/>
      <c r="U4380" s="92">
        <f>IF(ISBLANK(P4380),"",IF(C4380="Buy",Q4380-M4380+T4380, IF(C4380="Sell",M4380-Q4380-T4380, X)))</f>
        <v/>
      </c>
      <c r="V4380" s="81">
        <f>IF(ISBLANK(P4380),"",U4380/N4380)</f>
        <v/>
      </c>
      <c r="W4380" s="81">
        <f>IF(ISBLANK(P4380),"",IF(S4380=0,(365/0.5)*V4380,(365/S4380)*V4380))</f>
        <v/>
      </c>
      <c r="X4380" s="75" t="n"/>
      <c r="Y4380" s="77" t="n"/>
      <c r="Z4380" s="77" t="n"/>
      <c r="AA4380" s="75" t="n"/>
      <c r="AB4380" s="75" t="n"/>
      <c r="AC4380" s="6" t="n"/>
      <c r="AD4380" s="75" t="n"/>
      <c r="AE4380" s="75" t="n"/>
      <c r="AF4380" s="75" t="n"/>
    </row>
    <row r="4381" ht="15.75" customHeight="1" s="133">
      <c r="A4381" s="75" t="n"/>
      <c r="B4381" s="75" t="n"/>
      <c r="C4381" s="75" t="n"/>
      <c r="D4381" s="75" t="n"/>
      <c r="E4381" s="76" t="n"/>
      <c r="F4381" s="77" t="n"/>
      <c r="G4381" s="75" t="n"/>
      <c r="H4381" s="75">
        <f>IF(ISBLANK(E4381),"",IF(OR(D4381="Butterfly",D4381="Butterfly ",D4381="Iron Fly", D4381="Iron Fly "),LEN(E4381)-LEN(SUBSTITUTE(E4381,"/",""))+2,LEN(E4381)-LEN(SUBSTITUTE(E4381,"/",""))+1))</f>
        <v/>
      </c>
      <c r="I4381" s="78">
        <f>IF(ISBLANK(G4381),"",IF(D4381="Stock","0",Key!$A$3*H4381*G4381))</f>
        <v/>
      </c>
      <c r="J4381" s="78">
        <f>IF(ISBLANK(E4381),"",IF(ISNUMBER(SEARCH("/",E4381)), IF(LEN(E4381)-LEN(SUBSTITUTE(E4381,"/",""))=1,(RIGHT(E4381,LEN(E4381)-FIND("/",E4381)))-(LEFT(E4381,FIND("/",E4381)-1)),(MID(E4381, SEARCH("/",E4381) + 1, SEARCH("/",E4381, SEARCH("/",E4381)+1) - SEARCH("/",E4381) - 1))-(LEFT(E4381,FIND("/",E4381)-1))), "NA"))</f>
        <v/>
      </c>
      <c r="K4381" s="79">
        <f>IF(A4381&lt;&gt;"", IF(ISBLANK(L4381), TODAY(), K4381), "")</f>
        <v/>
      </c>
      <c r="L4381" s="78" t="n"/>
      <c r="M4381" s="78">
        <f>IF(ISBLANK(L4381),"",IF(D4381="Stock",IF(C4381="Buy",L4381*G4381,IF(C4381="Sell",(L4381*G4381)-I4381, X)),IF(C4381="Buy",(L4381*G4381*100)+I4381,IF(C4381="Sell",(L4381*G4381*100)-I4381, X))))</f>
        <v/>
      </c>
      <c r="N4381" s="78">
        <f>IF(ISBLANK(L4381),"",IF(AND(C4381="Sell",D4381="Stock"),M4381,IF(ISBLANK(L4381),"",IF(C4381="Buy",M4381, IF(AND(C4381="Sell",J4381="NA"),(E4381*G4381*100*0.1)+I4381, IF(C4381="Sell",(J4381-L4381)*(100*G4381)+I4381))))))</f>
        <v/>
      </c>
      <c r="O4381" s="75" t="n"/>
      <c r="P4381" s="75" t="n"/>
      <c r="Q4381" s="75">
        <f>IF(ISBLANK(P4381),"",IF(D4381="Stock",P4381*G4381,IF(P4381=0,"0",G4381*P4381*100-(G4381*$AF$14))))</f>
        <v/>
      </c>
      <c r="R4381" s="79">
        <f>IF(P4381&lt;&gt;"", TODAY(), "")</f>
        <v/>
      </c>
      <c r="S4381" s="78">
        <f>IF(AND(K4381&lt;&gt;"", R4381&lt;&gt;""), R4381-K4381, "")</f>
        <v/>
      </c>
      <c r="T4381" s="78" t="n"/>
      <c r="U4381" s="92">
        <f>IF(ISBLANK(P4381),"",IF(C4381="Buy",Q4381-M4381+T4381, IF(C4381="Sell",M4381-Q4381-T4381, X)))</f>
        <v/>
      </c>
      <c r="V4381" s="81">
        <f>IF(ISBLANK(P4381),"",U4381/N4381)</f>
        <v/>
      </c>
      <c r="W4381" s="81">
        <f>IF(ISBLANK(P4381),"",IF(S4381=0,(365/0.5)*V4381,(365/S4381)*V4381))</f>
        <v/>
      </c>
      <c r="X4381" s="75" t="n"/>
      <c r="Y4381" s="77" t="n"/>
      <c r="Z4381" s="77" t="n"/>
      <c r="AA4381" s="75" t="n"/>
      <c r="AB4381" s="75" t="n"/>
      <c r="AC4381" s="6" t="n"/>
      <c r="AD4381" s="75" t="n"/>
      <c r="AE4381" s="75" t="n"/>
      <c r="AF4381" s="75" t="n"/>
    </row>
    <row r="4382" ht="15.75" customHeight="1" s="133">
      <c r="A4382" s="75" t="n"/>
      <c r="B4382" s="75" t="n"/>
      <c r="C4382" s="75" t="n"/>
      <c r="D4382" s="75" t="n"/>
      <c r="E4382" s="76" t="n"/>
      <c r="F4382" s="77" t="n"/>
      <c r="G4382" s="75" t="n"/>
      <c r="H4382" s="75">
        <f>IF(ISBLANK(E4382),"",IF(OR(D4382="Butterfly",D4382="Butterfly ",D4382="Iron Fly", D4382="Iron Fly "),LEN(E4382)-LEN(SUBSTITUTE(E4382,"/",""))+2,LEN(E4382)-LEN(SUBSTITUTE(E4382,"/",""))+1))</f>
        <v/>
      </c>
      <c r="I4382" s="78">
        <f>IF(ISBLANK(G4382),"",IF(D4382="Stock","0",Key!$A$3*H4382*G4382))</f>
        <v/>
      </c>
      <c r="J4382" s="78">
        <f>IF(ISBLANK(E4382),"",IF(ISNUMBER(SEARCH("/",E4382)), IF(LEN(E4382)-LEN(SUBSTITUTE(E4382,"/",""))=1,(RIGHT(E4382,LEN(E4382)-FIND("/",E4382)))-(LEFT(E4382,FIND("/",E4382)-1)),(MID(E4382, SEARCH("/",E4382) + 1, SEARCH("/",E4382, SEARCH("/",E4382)+1) - SEARCH("/",E4382) - 1))-(LEFT(E4382,FIND("/",E4382)-1))), "NA"))</f>
        <v/>
      </c>
      <c r="K4382" s="79">
        <f>IF(A4382&lt;&gt;"", IF(ISBLANK(L4382), TODAY(), K4382), "")</f>
        <v/>
      </c>
      <c r="L4382" s="78" t="n"/>
      <c r="M4382" s="78">
        <f>IF(ISBLANK(L4382),"",IF(D4382="Stock",IF(C4382="Buy",L4382*G4382,IF(C4382="Sell",(L4382*G4382)-I4382, X)),IF(C4382="Buy",(L4382*G4382*100)+I4382,IF(C4382="Sell",(L4382*G4382*100)-I4382, X))))</f>
        <v/>
      </c>
      <c r="N4382" s="78">
        <f>IF(ISBLANK(L4382),"",IF(AND(C4382="Sell",D4382="Stock"),M4382,IF(ISBLANK(L4382),"",IF(C4382="Buy",M4382, IF(AND(C4382="Sell",J4382="NA"),(E4382*G4382*100*0.1)+I4382, IF(C4382="Sell",(J4382-L4382)*(100*G4382)+I4382))))))</f>
        <v/>
      </c>
      <c r="O4382" s="75" t="n"/>
      <c r="P4382" s="75" t="n"/>
      <c r="Q4382" s="75">
        <f>IF(ISBLANK(P4382),"",IF(D4382="Stock",P4382*G4382,IF(P4382=0,"0",G4382*P4382*100-(G4382*$AF$14))))</f>
        <v/>
      </c>
      <c r="R4382" s="79">
        <f>IF(P4382&lt;&gt;"", TODAY(), "")</f>
        <v/>
      </c>
      <c r="S4382" s="78">
        <f>IF(AND(K4382&lt;&gt;"", R4382&lt;&gt;""), R4382-K4382, "")</f>
        <v/>
      </c>
      <c r="T4382" s="78" t="n"/>
      <c r="U4382" s="92">
        <f>IF(ISBLANK(P4382),"",IF(C4382="Buy",Q4382-M4382+T4382, IF(C4382="Sell",M4382-Q4382-T4382, X)))</f>
        <v/>
      </c>
      <c r="V4382" s="81">
        <f>IF(ISBLANK(P4382),"",U4382/N4382)</f>
        <v/>
      </c>
      <c r="W4382" s="81">
        <f>IF(ISBLANK(P4382),"",IF(S4382=0,(365/0.5)*V4382,(365/S4382)*V4382))</f>
        <v/>
      </c>
      <c r="X4382" s="75" t="n"/>
      <c r="Y4382" s="77" t="n"/>
      <c r="Z4382" s="77" t="n"/>
      <c r="AA4382" s="75" t="n"/>
      <c r="AB4382" s="75" t="n"/>
      <c r="AC4382" s="6" t="n"/>
      <c r="AD4382" s="75" t="n"/>
      <c r="AE4382" s="75" t="n"/>
      <c r="AF4382" s="75" t="n"/>
    </row>
    <row r="4383" ht="15.75" customHeight="1" s="133">
      <c r="A4383" s="75" t="n"/>
      <c r="B4383" s="75" t="n"/>
      <c r="C4383" s="75" t="n"/>
      <c r="D4383" s="75" t="n"/>
      <c r="E4383" s="76" t="n"/>
      <c r="F4383" s="77" t="n"/>
      <c r="G4383" s="75" t="n"/>
      <c r="H4383" s="75">
        <f>IF(ISBLANK(E4383),"",IF(OR(D4383="Butterfly",D4383="Butterfly ",D4383="Iron Fly", D4383="Iron Fly "),LEN(E4383)-LEN(SUBSTITUTE(E4383,"/",""))+2,LEN(E4383)-LEN(SUBSTITUTE(E4383,"/",""))+1))</f>
        <v/>
      </c>
      <c r="I4383" s="78">
        <f>IF(ISBLANK(G4383),"",IF(D4383="Stock","0",Key!$A$3*H4383*G4383))</f>
        <v/>
      </c>
      <c r="J4383" s="78">
        <f>IF(ISBLANK(E4383),"",IF(ISNUMBER(SEARCH("/",E4383)), IF(LEN(E4383)-LEN(SUBSTITUTE(E4383,"/",""))=1,(RIGHT(E4383,LEN(E4383)-FIND("/",E4383)))-(LEFT(E4383,FIND("/",E4383)-1)),(MID(E4383, SEARCH("/",E4383) + 1, SEARCH("/",E4383, SEARCH("/",E4383)+1) - SEARCH("/",E4383) - 1))-(LEFT(E4383,FIND("/",E4383)-1))), "NA"))</f>
        <v/>
      </c>
      <c r="K4383" s="79">
        <f>IF(A4383&lt;&gt;"", IF(ISBLANK(L4383), TODAY(), K4383), "")</f>
        <v/>
      </c>
      <c r="L4383" s="78" t="n"/>
      <c r="M4383" s="78">
        <f>IF(ISBLANK(L4383),"",IF(D4383="Stock",IF(C4383="Buy",L4383*G4383,IF(C4383="Sell",(L4383*G4383)-I4383, X)),IF(C4383="Buy",(L4383*G4383*100)+I4383,IF(C4383="Sell",(L4383*G4383*100)-I4383, X))))</f>
        <v/>
      </c>
      <c r="N4383" s="78">
        <f>IF(ISBLANK(L4383),"",IF(AND(C4383="Sell",D4383="Stock"),M4383,IF(ISBLANK(L4383),"",IF(C4383="Buy",M4383, IF(AND(C4383="Sell",J4383="NA"),(E4383*G4383*100*0.1)+I4383, IF(C4383="Sell",(J4383-L4383)*(100*G4383)+I4383))))))</f>
        <v/>
      </c>
      <c r="O4383" s="75" t="n"/>
      <c r="P4383" s="75" t="n"/>
      <c r="Q4383" s="75">
        <f>IF(ISBLANK(P4383),"",IF(D4383="Stock",P4383*G4383,IF(P4383=0,"0",G4383*P4383*100-(G4383*$AF$14))))</f>
        <v/>
      </c>
      <c r="R4383" s="79">
        <f>IF(P4383&lt;&gt;"", TODAY(), "")</f>
        <v/>
      </c>
      <c r="S4383" s="78">
        <f>IF(AND(K4383&lt;&gt;"", R4383&lt;&gt;""), R4383-K4383, "")</f>
        <v/>
      </c>
      <c r="T4383" s="78" t="n"/>
      <c r="U4383" s="92">
        <f>IF(ISBLANK(P4383),"",IF(C4383="Buy",Q4383-M4383+T4383, IF(C4383="Sell",M4383-Q4383-T4383, X)))</f>
        <v/>
      </c>
      <c r="V4383" s="81">
        <f>IF(ISBLANK(P4383),"",U4383/N4383)</f>
        <v/>
      </c>
      <c r="W4383" s="81">
        <f>IF(ISBLANK(P4383),"",IF(S4383=0,(365/0.5)*V4383,(365/S4383)*V4383))</f>
        <v/>
      </c>
      <c r="X4383" s="75" t="n"/>
      <c r="Y4383" s="77" t="n"/>
      <c r="Z4383" s="77" t="n"/>
      <c r="AA4383" s="75" t="n"/>
      <c r="AB4383" s="75" t="n"/>
      <c r="AC4383" s="6" t="n"/>
      <c r="AD4383" s="75" t="n"/>
      <c r="AE4383" s="75" t="n"/>
      <c r="AF4383" s="75" t="n"/>
    </row>
    <row r="4384" ht="15.75" customHeight="1" s="133">
      <c r="A4384" s="75" t="n"/>
      <c r="B4384" s="75" t="n"/>
      <c r="C4384" s="75" t="n"/>
      <c r="D4384" s="75" t="n"/>
      <c r="E4384" s="76" t="n"/>
      <c r="F4384" s="77" t="n"/>
      <c r="G4384" s="75" t="n"/>
      <c r="H4384" s="75">
        <f>IF(ISBLANK(E4384),"",IF(OR(D4384="Butterfly",D4384="Butterfly ",D4384="Iron Fly", D4384="Iron Fly "),LEN(E4384)-LEN(SUBSTITUTE(E4384,"/",""))+2,LEN(E4384)-LEN(SUBSTITUTE(E4384,"/",""))+1))</f>
        <v/>
      </c>
      <c r="I4384" s="78">
        <f>IF(ISBLANK(G4384),"",IF(D4384="Stock","0",Key!$A$3*H4384*G4384))</f>
        <v/>
      </c>
      <c r="J4384" s="78">
        <f>IF(ISBLANK(E4384),"",IF(ISNUMBER(SEARCH("/",E4384)), IF(LEN(E4384)-LEN(SUBSTITUTE(E4384,"/",""))=1,(RIGHT(E4384,LEN(E4384)-FIND("/",E4384)))-(LEFT(E4384,FIND("/",E4384)-1)),(MID(E4384, SEARCH("/",E4384) + 1, SEARCH("/",E4384, SEARCH("/",E4384)+1) - SEARCH("/",E4384) - 1))-(LEFT(E4384,FIND("/",E4384)-1))), "NA"))</f>
        <v/>
      </c>
      <c r="K4384" s="79">
        <f>IF(A4384&lt;&gt;"", IF(ISBLANK(L4384), TODAY(), K4384), "")</f>
        <v/>
      </c>
      <c r="L4384" s="78" t="n"/>
      <c r="M4384" s="78">
        <f>IF(ISBLANK(L4384),"",IF(D4384="Stock",IF(C4384="Buy",L4384*G4384,IF(C4384="Sell",(L4384*G4384)-I4384, X)),IF(C4384="Buy",(L4384*G4384*100)+I4384,IF(C4384="Sell",(L4384*G4384*100)-I4384, X))))</f>
        <v/>
      </c>
      <c r="N4384" s="78">
        <f>IF(ISBLANK(L4384),"",IF(AND(C4384="Sell",D4384="Stock"),M4384,IF(ISBLANK(L4384),"",IF(C4384="Buy",M4384, IF(AND(C4384="Sell",J4384="NA"),(E4384*G4384*100*0.1)+I4384, IF(C4384="Sell",(J4384-L4384)*(100*G4384)+I4384))))))</f>
        <v/>
      </c>
      <c r="O4384" s="75" t="n"/>
      <c r="P4384" s="75" t="n"/>
      <c r="Q4384" s="75">
        <f>IF(ISBLANK(P4384),"",IF(D4384="Stock",P4384*G4384,IF(P4384=0,"0",G4384*P4384*100-(G4384*$AF$14))))</f>
        <v/>
      </c>
      <c r="R4384" s="79">
        <f>IF(P4384&lt;&gt;"", TODAY(), "")</f>
        <v/>
      </c>
      <c r="S4384" s="78">
        <f>IF(AND(K4384&lt;&gt;"", R4384&lt;&gt;""), R4384-K4384, "")</f>
        <v/>
      </c>
      <c r="T4384" s="78" t="n"/>
      <c r="U4384" s="92">
        <f>IF(ISBLANK(P4384),"",IF(C4384="Buy",Q4384-M4384+T4384, IF(C4384="Sell",M4384-Q4384-T4384, X)))</f>
        <v/>
      </c>
      <c r="V4384" s="81">
        <f>IF(ISBLANK(P4384),"",U4384/N4384)</f>
        <v/>
      </c>
      <c r="W4384" s="81">
        <f>IF(ISBLANK(P4384),"",IF(S4384=0,(365/0.5)*V4384,(365/S4384)*V4384))</f>
        <v/>
      </c>
      <c r="X4384" s="75" t="n"/>
      <c r="Y4384" s="77" t="n"/>
      <c r="Z4384" s="77" t="n"/>
      <c r="AA4384" s="75" t="n"/>
      <c r="AB4384" s="75" t="n"/>
      <c r="AC4384" s="6" t="n"/>
      <c r="AD4384" s="75" t="n"/>
      <c r="AE4384" s="75" t="n"/>
      <c r="AF4384" s="75" t="n"/>
    </row>
    <row r="4385" ht="15.75" customHeight="1" s="133">
      <c r="A4385" s="75" t="n"/>
      <c r="B4385" s="75" t="n"/>
      <c r="C4385" s="75" t="n"/>
      <c r="D4385" s="75" t="n"/>
      <c r="E4385" s="76" t="n"/>
      <c r="F4385" s="77" t="n"/>
      <c r="G4385" s="75" t="n"/>
      <c r="H4385" s="75">
        <f>IF(ISBLANK(E4385),"",IF(OR(D4385="Butterfly",D4385="Butterfly ",D4385="Iron Fly", D4385="Iron Fly "),LEN(E4385)-LEN(SUBSTITUTE(E4385,"/",""))+2,LEN(E4385)-LEN(SUBSTITUTE(E4385,"/",""))+1))</f>
        <v/>
      </c>
      <c r="I4385" s="78">
        <f>IF(ISBLANK(G4385),"",IF(D4385="Stock","0",Key!$A$3*H4385*G4385))</f>
        <v/>
      </c>
      <c r="J4385" s="78">
        <f>IF(ISBLANK(E4385),"",IF(ISNUMBER(SEARCH("/",E4385)), IF(LEN(E4385)-LEN(SUBSTITUTE(E4385,"/",""))=1,(RIGHT(E4385,LEN(E4385)-FIND("/",E4385)))-(LEFT(E4385,FIND("/",E4385)-1)),(MID(E4385, SEARCH("/",E4385) + 1, SEARCH("/",E4385, SEARCH("/",E4385)+1) - SEARCH("/",E4385) - 1))-(LEFT(E4385,FIND("/",E4385)-1))), "NA"))</f>
        <v/>
      </c>
      <c r="K4385" s="79">
        <f>IF(A4385&lt;&gt;"", IF(ISBLANK(L4385), TODAY(), K4385), "")</f>
        <v/>
      </c>
      <c r="L4385" s="78" t="n"/>
      <c r="M4385" s="78">
        <f>IF(ISBLANK(L4385),"",IF(D4385="Stock",IF(C4385="Buy",L4385*G4385,IF(C4385="Sell",(L4385*G4385)-I4385, X)),IF(C4385="Buy",(L4385*G4385*100)+I4385,IF(C4385="Sell",(L4385*G4385*100)-I4385, X))))</f>
        <v/>
      </c>
      <c r="N4385" s="78">
        <f>IF(ISBLANK(L4385),"",IF(AND(C4385="Sell",D4385="Stock"),M4385,IF(ISBLANK(L4385),"",IF(C4385="Buy",M4385, IF(AND(C4385="Sell",J4385="NA"),(E4385*G4385*100*0.1)+I4385, IF(C4385="Sell",(J4385-L4385)*(100*G4385)+I4385))))))</f>
        <v/>
      </c>
      <c r="O4385" s="75" t="n"/>
      <c r="P4385" s="75" t="n"/>
      <c r="Q4385" s="75">
        <f>IF(ISBLANK(P4385),"",IF(D4385="Stock",P4385*G4385,IF(P4385=0,"0",G4385*P4385*100-(G4385*$AF$14))))</f>
        <v/>
      </c>
      <c r="R4385" s="79">
        <f>IF(P4385&lt;&gt;"", TODAY(), "")</f>
        <v/>
      </c>
      <c r="S4385" s="78">
        <f>IF(AND(K4385&lt;&gt;"", R4385&lt;&gt;""), R4385-K4385, "")</f>
        <v/>
      </c>
      <c r="T4385" s="78" t="n"/>
      <c r="U4385" s="92">
        <f>IF(ISBLANK(P4385),"",IF(C4385="Buy",Q4385-M4385+T4385, IF(C4385="Sell",M4385-Q4385-T4385, X)))</f>
        <v/>
      </c>
      <c r="V4385" s="81">
        <f>IF(ISBLANK(P4385),"",U4385/N4385)</f>
        <v/>
      </c>
      <c r="W4385" s="81">
        <f>IF(ISBLANK(P4385),"",IF(S4385=0,(365/0.5)*V4385,(365/S4385)*V4385))</f>
        <v/>
      </c>
      <c r="X4385" s="75" t="n"/>
      <c r="Y4385" s="77" t="n"/>
      <c r="Z4385" s="77" t="n"/>
      <c r="AA4385" s="75" t="n"/>
      <c r="AB4385" s="75" t="n"/>
      <c r="AC4385" s="6" t="n"/>
      <c r="AD4385" s="75" t="n"/>
      <c r="AE4385" s="75" t="n"/>
      <c r="AF4385" s="75" t="n"/>
    </row>
    <row r="4386" ht="15.75" customHeight="1" s="133">
      <c r="A4386" s="75" t="n"/>
      <c r="B4386" s="75" t="n"/>
      <c r="C4386" s="75" t="n"/>
      <c r="D4386" s="75" t="n"/>
      <c r="E4386" s="76" t="n"/>
      <c r="F4386" s="77" t="n"/>
      <c r="G4386" s="75" t="n"/>
      <c r="H4386" s="75">
        <f>IF(ISBLANK(E4386),"",IF(OR(D4386="Butterfly",D4386="Butterfly ",D4386="Iron Fly", D4386="Iron Fly "),LEN(E4386)-LEN(SUBSTITUTE(E4386,"/",""))+2,LEN(E4386)-LEN(SUBSTITUTE(E4386,"/",""))+1))</f>
        <v/>
      </c>
      <c r="I4386" s="78">
        <f>IF(ISBLANK(G4386),"",IF(D4386="Stock","0",Key!$A$3*H4386*G4386))</f>
        <v/>
      </c>
      <c r="J4386" s="78">
        <f>IF(ISBLANK(E4386),"",IF(ISNUMBER(SEARCH("/",E4386)), IF(LEN(E4386)-LEN(SUBSTITUTE(E4386,"/",""))=1,(RIGHT(E4386,LEN(E4386)-FIND("/",E4386)))-(LEFT(E4386,FIND("/",E4386)-1)),(MID(E4386, SEARCH("/",E4386) + 1, SEARCH("/",E4386, SEARCH("/",E4386)+1) - SEARCH("/",E4386) - 1))-(LEFT(E4386,FIND("/",E4386)-1))), "NA"))</f>
        <v/>
      </c>
      <c r="K4386" s="79">
        <f>IF(A4386&lt;&gt;"", IF(ISBLANK(L4386), TODAY(), K4386), "")</f>
        <v/>
      </c>
      <c r="L4386" s="78" t="n"/>
      <c r="M4386" s="78">
        <f>IF(ISBLANK(L4386),"",IF(D4386="Stock",IF(C4386="Buy",L4386*G4386,IF(C4386="Sell",(L4386*G4386)-I4386, X)),IF(C4386="Buy",(L4386*G4386*100)+I4386,IF(C4386="Sell",(L4386*G4386*100)-I4386, X))))</f>
        <v/>
      </c>
      <c r="N4386" s="78">
        <f>IF(ISBLANK(L4386),"",IF(AND(C4386="Sell",D4386="Stock"),M4386,IF(ISBLANK(L4386),"",IF(C4386="Buy",M4386, IF(AND(C4386="Sell",J4386="NA"),(E4386*G4386*100*0.1)+I4386, IF(C4386="Sell",(J4386-L4386)*(100*G4386)+I4386))))))</f>
        <v/>
      </c>
      <c r="O4386" s="75" t="n"/>
      <c r="P4386" s="75" t="n"/>
      <c r="Q4386" s="75">
        <f>IF(ISBLANK(P4386),"",IF(D4386="Stock",P4386*G4386,IF(P4386=0,"0",G4386*P4386*100-(G4386*$AF$14))))</f>
        <v/>
      </c>
      <c r="R4386" s="79">
        <f>IF(P4386&lt;&gt;"", TODAY(), "")</f>
        <v/>
      </c>
      <c r="S4386" s="78">
        <f>IF(AND(K4386&lt;&gt;"", R4386&lt;&gt;""), R4386-K4386, "")</f>
        <v/>
      </c>
      <c r="T4386" s="78" t="n"/>
      <c r="U4386" s="92">
        <f>IF(ISBLANK(P4386),"",IF(C4386="Buy",Q4386-M4386+T4386, IF(C4386="Sell",M4386-Q4386-T4386, X)))</f>
        <v/>
      </c>
      <c r="V4386" s="81">
        <f>IF(ISBLANK(P4386),"",U4386/N4386)</f>
        <v/>
      </c>
      <c r="W4386" s="81">
        <f>IF(ISBLANK(P4386),"",IF(S4386=0,(365/0.5)*V4386,(365/S4386)*V4386))</f>
        <v/>
      </c>
      <c r="X4386" s="75" t="n"/>
      <c r="Y4386" s="77" t="n"/>
      <c r="Z4386" s="77" t="n"/>
      <c r="AA4386" s="75" t="n"/>
      <c r="AB4386" s="75" t="n"/>
      <c r="AC4386" s="6" t="n"/>
      <c r="AD4386" s="75" t="n"/>
      <c r="AE4386" s="75" t="n"/>
      <c r="AF4386" s="75" t="n"/>
    </row>
    <row r="4387" ht="15.75" customHeight="1" s="133">
      <c r="A4387" s="75" t="n"/>
      <c r="B4387" s="75" t="n"/>
      <c r="C4387" s="75" t="n"/>
      <c r="D4387" s="75" t="n"/>
      <c r="E4387" s="76" t="n"/>
      <c r="F4387" s="77" t="n"/>
      <c r="G4387" s="75" t="n"/>
      <c r="H4387" s="75">
        <f>IF(ISBLANK(E4387),"",IF(OR(D4387="Butterfly",D4387="Butterfly ",D4387="Iron Fly", D4387="Iron Fly "),LEN(E4387)-LEN(SUBSTITUTE(E4387,"/",""))+2,LEN(E4387)-LEN(SUBSTITUTE(E4387,"/",""))+1))</f>
        <v/>
      </c>
      <c r="I4387" s="78">
        <f>IF(ISBLANK(G4387),"",IF(D4387="Stock","0",Key!$A$3*H4387*G4387))</f>
        <v/>
      </c>
      <c r="J4387" s="78">
        <f>IF(ISBLANK(E4387),"",IF(ISNUMBER(SEARCH("/",E4387)), IF(LEN(E4387)-LEN(SUBSTITUTE(E4387,"/",""))=1,(RIGHT(E4387,LEN(E4387)-FIND("/",E4387)))-(LEFT(E4387,FIND("/",E4387)-1)),(MID(E4387, SEARCH("/",E4387) + 1, SEARCH("/",E4387, SEARCH("/",E4387)+1) - SEARCH("/",E4387) - 1))-(LEFT(E4387,FIND("/",E4387)-1))), "NA"))</f>
        <v/>
      </c>
      <c r="K4387" s="79">
        <f>IF(A4387&lt;&gt;"", IF(ISBLANK(L4387), TODAY(), K4387), "")</f>
        <v/>
      </c>
      <c r="L4387" s="78" t="n"/>
      <c r="M4387" s="78">
        <f>IF(ISBLANK(L4387),"",IF(D4387="Stock",IF(C4387="Buy",L4387*G4387,IF(C4387="Sell",(L4387*G4387)-I4387, X)),IF(C4387="Buy",(L4387*G4387*100)+I4387,IF(C4387="Sell",(L4387*G4387*100)-I4387, X))))</f>
        <v/>
      </c>
      <c r="N4387" s="78">
        <f>IF(ISBLANK(L4387),"",IF(AND(C4387="Sell",D4387="Stock"),M4387,IF(ISBLANK(L4387),"",IF(C4387="Buy",M4387, IF(AND(C4387="Sell",J4387="NA"),(E4387*G4387*100*0.1)+I4387, IF(C4387="Sell",(J4387-L4387)*(100*G4387)+I4387))))))</f>
        <v/>
      </c>
      <c r="O4387" s="75" t="n"/>
      <c r="P4387" s="75" t="n"/>
      <c r="Q4387" s="75">
        <f>IF(ISBLANK(P4387),"",IF(D4387="Stock",P4387*G4387,IF(P4387=0,"0",G4387*P4387*100-(G4387*$AF$14))))</f>
        <v/>
      </c>
      <c r="R4387" s="79">
        <f>IF(P4387&lt;&gt;"", TODAY(), "")</f>
        <v/>
      </c>
      <c r="S4387" s="78">
        <f>IF(AND(K4387&lt;&gt;"", R4387&lt;&gt;""), R4387-K4387, "")</f>
        <v/>
      </c>
      <c r="T4387" s="78" t="n"/>
      <c r="U4387" s="92">
        <f>IF(ISBLANK(P4387),"",IF(C4387="Buy",Q4387-M4387+T4387, IF(C4387="Sell",M4387-Q4387-T4387, X)))</f>
        <v/>
      </c>
      <c r="V4387" s="81">
        <f>IF(ISBLANK(P4387),"",U4387/N4387)</f>
        <v/>
      </c>
      <c r="W4387" s="81">
        <f>IF(ISBLANK(P4387),"",IF(S4387=0,(365/0.5)*V4387,(365/S4387)*V4387))</f>
        <v/>
      </c>
      <c r="X4387" s="75" t="n"/>
      <c r="Y4387" s="77" t="n"/>
      <c r="Z4387" s="77" t="n"/>
      <c r="AA4387" s="75" t="n"/>
      <c r="AB4387" s="75" t="n"/>
      <c r="AC4387" s="6" t="n"/>
      <c r="AD4387" s="75" t="n"/>
      <c r="AE4387" s="75" t="n"/>
      <c r="AF4387" s="75" t="n"/>
    </row>
    <row r="4388" ht="15.75" customHeight="1" s="133">
      <c r="A4388" s="75" t="n"/>
      <c r="B4388" s="75" t="n"/>
      <c r="C4388" s="75" t="n"/>
      <c r="D4388" s="75" t="n"/>
      <c r="E4388" s="76" t="n"/>
      <c r="F4388" s="77" t="n"/>
      <c r="G4388" s="75" t="n"/>
      <c r="H4388" s="75">
        <f>IF(ISBLANK(E4388),"",IF(OR(D4388="Butterfly",D4388="Butterfly ",D4388="Iron Fly", D4388="Iron Fly "),LEN(E4388)-LEN(SUBSTITUTE(E4388,"/",""))+2,LEN(E4388)-LEN(SUBSTITUTE(E4388,"/",""))+1))</f>
        <v/>
      </c>
      <c r="I4388" s="78">
        <f>IF(ISBLANK(G4388),"",IF(D4388="Stock","0",Key!$A$3*H4388*G4388))</f>
        <v/>
      </c>
      <c r="J4388" s="78">
        <f>IF(ISBLANK(E4388),"",IF(ISNUMBER(SEARCH("/",E4388)), IF(LEN(E4388)-LEN(SUBSTITUTE(E4388,"/",""))=1,(RIGHT(E4388,LEN(E4388)-FIND("/",E4388)))-(LEFT(E4388,FIND("/",E4388)-1)),(MID(E4388, SEARCH("/",E4388) + 1, SEARCH("/",E4388, SEARCH("/",E4388)+1) - SEARCH("/",E4388) - 1))-(LEFT(E4388,FIND("/",E4388)-1))), "NA"))</f>
        <v/>
      </c>
      <c r="K4388" s="79">
        <f>IF(A4388&lt;&gt;"", IF(ISBLANK(L4388), TODAY(), K4388), "")</f>
        <v/>
      </c>
      <c r="L4388" s="78" t="n"/>
      <c r="M4388" s="78">
        <f>IF(ISBLANK(L4388),"",IF(D4388="Stock",IF(C4388="Buy",L4388*G4388,IF(C4388="Sell",(L4388*G4388)-I4388, X)),IF(C4388="Buy",(L4388*G4388*100)+I4388,IF(C4388="Sell",(L4388*G4388*100)-I4388, X))))</f>
        <v/>
      </c>
      <c r="N4388" s="78">
        <f>IF(ISBLANK(L4388),"",IF(AND(C4388="Sell",D4388="Stock"),M4388,IF(ISBLANK(L4388),"",IF(C4388="Buy",M4388, IF(AND(C4388="Sell",J4388="NA"),(E4388*G4388*100*0.1)+I4388, IF(C4388="Sell",(J4388-L4388)*(100*G4388)+I4388))))))</f>
        <v/>
      </c>
      <c r="O4388" s="75" t="n"/>
      <c r="P4388" s="75" t="n"/>
      <c r="Q4388" s="75">
        <f>IF(ISBLANK(P4388),"",IF(D4388="Stock",P4388*G4388,IF(P4388=0,"0",G4388*P4388*100-(G4388*$AF$14))))</f>
        <v/>
      </c>
      <c r="R4388" s="79">
        <f>IF(P4388&lt;&gt;"", TODAY(), "")</f>
        <v/>
      </c>
      <c r="S4388" s="78">
        <f>IF(AND(K4388&lt;&gt;"", R4388&lt;&gt;""), R4388-K4388, "")</f>
        <v/>
      </c>
      <c r="T4388" s="78" t="n"/>
      <c r="U4388" s="92">
        <f>IF(ISBLANK(P4388),"",IF(C4388="Buy",Q4388-M4388+T4388, IF(C4388="Sell",M4388-Q4388-T4388, X)))</f>
        <v/>
      </c>
      <c r="V4388" s="81">
        <f>IF(ISBLANK(P4388),"",U4388/N4388)</f>
        <v/>
      </c>
      <c r="W4388" s="81">
        <f>IF(ISBLANK(P4388),"",IF(S4388=0,(365/0.5)*V4388,(365/S4388)*V4388))</f>
        <v/>
      </c>
      <c r="X4388" s="75" t="n"/>
      <c r="Y4388" s="77" t="n"/>
      <c r="Z4388" s="77" t="n"/>
      <c r="AA4388" s="75" t="n"/>
      <c r="AB4388" s="75" t="n"/>
      <c r="AC4388" s="6" t="n"/>
      <c r="AD4388" s="75" t="n"/>
      <c r="AE4388" s="75" t="n"/>
      <c r="AF4388" s="75" t="n"/>
    </row>
    <row r="4389" ht="15.75" customHeight="1" s="133">
      <c r="A4389" s="75" t="n"/>
      <c r="B4389" s="75" t="n"/>
      <c r="C4389" s="75" t="n"/>
      <c r="D4389" s="75" t="n"/>
      <c r="E4389" s="76" t="n"/>
      <c r="F4389" s="77" t="n"/>
      <c r="G4389" s="75" t="n"/>
      <c r="H4389" s="75">
        <f>IF(ISBLANK(E4389),"",IF(OR(D4389="Butterfly",D4389="Butterfly ",D4389="Iron Fly", D4389="Iron Fly "),LEN(E4389)-LEN(SUBSTITUTE(E4389,"/",""))+2,LEN(E4389)-LEN(SUBSTITUTE(E4389,"/",""))+1))</f>
        <v/>
      </c>
      <c r="I4389" s="78">
        <f>IF(ISBLANK(G4389),"",IF(D4389="Stock","0",Key!$A$3*H4389*G4389))</f>
        <v/>
      </c>
      <c r="J4389" s="78">
        <f>IF(ISBLANK(E4389),"",IF(ISNUMBER(SEARCH("/",E4389)), IF(LEN(E4389)-LEN(SUBSTITUTE(E4389,"/",""))=1,(RIGHT(E4389,LEN(E4389)-FIND("/",E4389)))-(LEFT(E4389,FIND("/",E4389)-1)),(MID(E4389, SEARCH("/",E4389) + 1, SEARCH("/",E4389, SEARCH("/",E4389)+1) - SEARCH("/",E4389) - 1))-(LEFT(E4389,FIND("/",E4389)-1))), "NA"))</f>
        <v/>
      </c>
      <c r="K4389" s="79">
        <f>IF(A4389&lt;&gt;"", IF(ISBLANK(L4389), TODAY(), K4389), "")</f>
        <v/>
      </c>
      <c r="L4389" s="78" t="n"/>
      <c r="M4389" s="78">
        <f>IF(ISBLANK(L4389),"",IF(D4389="Stock",IF(C4389="Buy",L4389*G4389,IF(C4389="Sell",(L4389*G4389)-I4389, X)),IF(C4389="Buy",(L4389*G4389*100)+I4389,IF(C4389="Sell",(L4389*G4389*100)-I4389, X))))</f>
        <v/>
      </c>
      <c r="N4389" s="78">
        <f>IF(ISBLANK(L4389),"",IF(AND(C4389="Sell",D4389="Stock"),M4389,IF(ISBLANK(L4389),"",IF(C4389="Buy",M4389, IF(AND(C4389="Sell",J4389="NA"),(E4389*G4389*100*0.1)+I4389, IF(C4389="Sell",(J4389-L4389)*(100*G4389)+I4389))))))</f>
        <v/>
      </c>
      <c r="O4389" s="75" t="n"/>
      <c r="P4389" s="75" t="n"/>
      <c r="Q4389" s="75">
        <f>IF(ISBLANK(P4389),"",IF(D4389="Stock",P4389*G4389,IF(P4389=0,"0",G4389*P4389*100-(G4389*$AF$14))))</f>
        <v/>
      </c>
      <c r="R4389" s="79">
        <f>IF(P4389&lt;&gt;"", TODAY(), "")</f>
        <v/>
      </c>
      <c r="S4389" s="78">
        <f>IF(AND(K4389&lt;&gt;"", R4389&lt;&gt;""), R4389-K4389, "")</f>
        <v/>
      </c>
      <c r="T4389" s="78" t="n"/>
      <c r="U4389" s="92">
        <f>IF(ISBLANK(P4389),"",IF(C4389="Buy",Q4389-M4389+T4389, IF(C4389="Sell",M4389-Q4389-T4389, X)))</f>
        <v/>
      </c>
      <c r="V4389" s="81">
        <f>IF(ISBLANK(P4389),"",U4389/N4389)</f>
        <v/>
      </c>
      <c r="W4389" s="81">
        <f>IF(ISBLANK(P4389),"",IF(S4389=0,(365/0.5)*V4389,(365/S4389)*V4389))</f>
        <v/>
      </c>
      <c r="X4389" s="75" t="n"/>
      <c r="Y4389" s="77" t="n"/>
      <c r="Z4389" s="77" t="n"/>
      <c r="AA4389" s="75" t="n"/>
      <c r="AB4389" s="75" t="n"/>
      <c r="AC4389" s="6" t="n"/>
      <c r="AD4389" s="75" t="n"/>
      <c r="AE4389" s="75" t="n"/>
      <c r="AF4389" s="75" t="n"/>
    </row>
    <row r="4390" ht="15.75" customHeight="1" s="133">
      <c r="A4390" s="75" t="n"/>
      <c r="B4390" s="75" t="n"/>
      <c r="C4390" s="75" t="n"/>
      <c r="D4390" s="75" t="n"/>
      <c r="E4390" s="76" t="n"/>
      <c r="F4390" s="77" t="n"/>
      <c r="G4390" s="75" t="n"/>
      <c r="H4390" s="75">
        <f>IF(ISBLANK(E4390),"",IF(OR(D4390="Butterfly",D4390="Butterfly ",D4390="Iron Fly", D4390="Iron Fly "),LEN(E4390)-LEN(SUBSTITUTE(E4390,"/",""))+2,LEN(E4390)-LEN(SUBSTITUTE(E4390,"/",""))+1))</f>
        <v/>
      </c>
      <c r="I4390" s="78">
        <f>IF(ISBLANK(G4390),"",IF(D4390="Stock","0",Key!$A$3*H4390*G4390))</f>
        <v/>
      </c>
      <c r="J4390" s="78">
        <f>IF(ISBLANK(E4390),"",IF(ISNUMBER(SEARCH("/",E4390)), IF(LEN(E4390)-LEN(SUBSTITUTE(E4390,"/",""))=1,(RIGHT(E4390,LEN(E4390)-FIND("/",E4390)))-(LEFT(E4390,FIND("/",E4390)-1)),(MID(E4390, SEARCH("/",E4390) + 1, SEARCH("/",E4390, SEARCH("/",E4390)+1) - SEARCH("/",E4390) - 1))-(LEFT(E4390,FIND("/",E4390)-1))), "NA"))</f>
        <v/>
      </c>
      <c r="K4390" s="79">
        <f>IF(A4390&lt;&gt;"", IF(ISBLANK(L4390), TODAY(), K4390), "")</f>
        <v/>
      </c>
      <c r="L4390" s="78" t="n"/>
      <c r="M4390" s="78">
        <f>IF(ISBLANK(L4390),"",IF(D4390="Stock",IF(C4390="Buy",L4390*G4390,IF(C4390="Sell",(L4390*G4390)-I4390, X)),IF(C4390="Buy",(L4390*G4390*100)+I4390,IF(C4390="Sell",(L4390*G4390*100)-I4390, X))))</f>
        <v/>
      </c>
      <c r="N4390" s="78">
        <f>IF(ISBLANK(L4390),"",IF(AND(C4390="Sell",D4390="Stock"),M4390,IF(ISBLANK(L4390),"",IF(C4390="Buy",M4390, IF(AND(C4390="Sell",J4390="NA"),(E4390*G4390*100*0.1)+I4390, IF(C4390="Sell",(J4390-L4390)*(100*G4390)+I4390))))))</f>
        <v/>
      </c>
      <c r="O4390" s="75" t="n"/>
      <c r="P4390" s="75" t="n"/>
      <c r="Q4390" s="75">
        <f>IF(ISBLANK(P4390),"",IF(D4390="Stock",P4390*G4390,IF(P4390=0,"0",G4390*P4390*100-(G4390*$AF$14))))</f>
        <v/>
      </c>
      <c r="R4390" s="79">
        <f>IF(P4390&lt;&gt;"", TODAY(), "")</f>
        <v/>
      </c>
      <c r="S4390" s="78">
        <f>IF(AND(K4390&lt;&gt;"", R4390&lt;&gt;""), R4390-K4390, "")</f>
        <v/>
      </c>
      <c r="T4390" s="78" t="n"/>
      <c r="U4390" s="92">
        <f>IF(ISBLANK(P4390),"",IF(C4390="Buy",Q4390-M4390+T4390, IF(C4390="Sell",M4390-Q4390-T4390, X)))</f>
        <v/>
      </c>
      <c r="V4390" s="81">
        <f>IF(ISBLANK(P4390),"",U4390/N4390)</f>
        <v/>
      </c>
      <c r="W4390" s="81">
        <f>IF(ISBLANK(P4390),"",IF(S4390=0,(365/0.5)*V4390,(365/S4390)*V4390))</f>
        <v/>
      </c>
      <c r="X4390" s="75" t="n"/>
      <c r="Y4390" s="77" t="n"/>
      <c r="Z4390" s="77" t="n"/>
      <c r="AA4390" s="75" t="n"/>
      <c r="AB4390" s="75" t="n"/>
      <c r="AC4390" s="6" t="n"/>
      <c r="AD4390" s="75" t="n"/>
      <c r="AE4390" s="75" t="n"/>
      <c r="AF4390" s="75" t="n"/>
    </row>
    <row r="4391" ht="15.75" customHeight="1" s="133">
      <c r="A4391" s="75" t="n"/>
      <c r="B4391" s="75" t="n"/>
      <c r="C4391" s="75" t="n"/>
      <c r="D4391" s="75" t="n"/>
      <c r="E4391" s="76" t="n"/>
      <c r="F4391" s="77" t="n"/>
      <c r="G4391" s="75" t="n"/>
      <c r="H4391" s="75">
        <f>IF(ISBLANK(E4391),"",IF(OR(D4391="Butterfly",D4391="Butterfly ",D4391="Iron Fly", D4391="Iron Fly "),LEN(E4391)-LEN(SUBSTITUTE(E4391,"/",""))+2,LEN(E4391)-LEN(SUBSTITUTE(E4391,"/",""))+1))</f>
        <v/>
      </c>
      <c r="I4391" s="78">
        <f>IF(ISBLANK(G4391),"",IF(D4391="Stock","0",Key!$A$3*H4391*G4391))</f>
        <v/>
      </c>
      <c r="J4391" s="78">
        <f>IF(ISBLANK(E4391),"",IF(ISNUMBER(SEARCH("/",E4391)), IF(LEN(E4391)-LEN(SUBSTITUTE(E4391,"/",""))=1,(RIGHT(E4391,LEN(E4391)-FIND("/",E4391)))-(LEFT(E4391,FIND("/",E4391)-1)),(MID(E4391, SEARCH("/",E4391) + 1, SEARCH("/",E4391, SEARCH("/",E4391)+1) - SEARCH("/",E4391) - 1))-(LEFT(E4391,FIND("/",E4391)-1))), "NA"))</f>
        <v/>
      </c>
      <c r="K4391" s="79">
        <f>IF(A4391&lt;&gt;"", IF(ISBLANK(L4391), TODAY(), K4391), "")</f>
        <v/>
      </c>
      <c r="L4391" s="78" t="n"/>
      <c r="M4391" s="78">
        <f>IF(ISBLANK(L4391),"",IF(D4391="Stock",IF(C4391="Buy",L4391*G4391,IF(C4391="Sell",(L4391*G4391)-I4391, X)),IF(C4391="Buy",(L4391*G4391*100)+I4391,IF(C4391="Sell",(L4391*G4391*100)-I4391, X))))</f>
        <v/>
      </c>
      <c r="N4391" s="78">
        <f>IF(ISBLANK(L4391),"",IF(AND(C4391="Sell",D4391="Stock"),M4391,IF(ISBLANK(L4391),"",IF(C4391="Buy",M4391, IF(AND(C4391="Sell",J4391="NA"),(E4391*G4391*100*0.1)+I4391, IF(C4391="Sell",(J4391-L4391)*(100*G4391)+I4391))))))</f>
        <v/>
      </c>
      <c r="O4391" s="75" t="n"/>
      <c r="P4391" s="75" t="n"/>
      <c r="Q4391" s="75">
        <f>IF(ISBLANK(P4391),"",IF(D4391="Stock",P4391*G4391,IF(P4391=0,"0",G4391*P4391*100-(G4391*$AF$14))))</f>
        <v/>
      </c>
      <c r="R4391" s="79">
        <f>IF(P4391&lt;&gt;"", TODAY(), "")</f>
        <v/>
      </c>
      <c r="S4391" s="78">
        <f>IF(AND(K4391&lt;&gt;"", R4391&lt;&gt;""), R4391-K4391, "")</f>
        <v/>
      </c>
      <c r="T4391" s="78" t="n"/>
      <c r="U4391" s="92">
        <f>IF(ISBLANK(P4391),"",IF(C4391="Buy",Q4391-M4391+T4391, IF(C4391="Sell",M4391-Q4391-T4391, X)))</f>
        <v/>
      </c>
      <c r="V4391" s="81">
        <f>IF(ISBLANK(P4391),"",U4391/N4391)</f>
        <v/>
      </c>
      <c r="W4391" s="81">
        <f>IF(ISBLANK(P4391),"",IF(S4391=0,(365/0.5)*V4391,(365/S4391)*V4391))</f>
        <v/>
      </c>
      <c r="X4391" s="75" t="n"/>
      <c r="Y4391" s="77" t="n"/>
      <c r="Z4391" s="77" t="n"/>
      <c r="AA4391" s="75" t="n"/>
      <c r="AB4391" s="75" t="n"/>
      <c r="AC4391" s="6" t="n"/>
      <c r="AD4391" s="75" t="n"/>
      <c r="AE4391" s="75" t="n"/>
      <c r="AF4391" s="75" t="n"/>
    </row>
    <row r="4392" ht="15.75" customHeight="1" s="133">
      <c r="A4392" s="75" t="n"/>
      <c r="B4392" s="75" t="n"/>
      <c r="C4392" s="75" t="n"/>
      <c r="D4392" s="75" t="n"/>
      <c r="E4392" s="76" t="n"/>
      <c r="F4392" s="77" t="n"/>
      <c r="G4392" s="75" t="n"/>
      <c r="H4392" s="75">
        <f>IF(ISBLANK(E4392),"",IF(OR(D4392="Butterfly",D4392="Butterfly ",D4392="Iron Fly", D4392="Iron Fly "),LEN(E4392)-LEN(SUBSTITUTE(E4392,"/",""))+2,LEN(E4392)-LEN(SUBSTITUTE(E4392,"/",""))+1))</f>
        <v/>
      </c>
      <c r="I4392" s="78">
        <f>IF(ISBLANK(G4392),"",IF(D4392="Stock","0",Key!$A$3*H4392*G4392))</f>
        <v/>
      </c>
      <c r="J4392" s="78">
        <f>IF(ISBLANK(E4392),"",IF(ISNUMBER(SEARCH("/",E4392)), IF(LEN(E4392)-LEN(SUBSTITUTE(E4392,"/",""))=1,(RIGHT(E4392,LEN(E4392)-FIND("/",E4392)))-(LEFT(E4392,FIND("/",E4392)-1)),(MID(E4392, SEARCH("/",E4392) + 1, SEARCH("/",E4392, SEARCH("/",E4392)+1) - SEARCH("/",E4392) - 1))-(LEFT(E4392,FIND("/",E4392)-1))), "NA"))</f>
        <v/>
      </c>
      <c r="K4392" s="79">
        <f>IF(A4392&lt;&gt;"", IF(ISBLANK(L4392), TODAY(), K4392), "")</f>
        <v/>
      </c>
      <c r="L4392" s="78" t="n"/>
      <c r="M4392" s="78">
        <f>IF(ISBLANK(L4392),"",IF(D4392="Stock",IF(C4392="Buy",L4392*G4392,IF(C4392="Sell",(L4392*G4392)-I4392, X)),IF(C4392="Buy",(L4392*G4392*100)+I4392,IF(C4392="Sell",(L4392*G4392*100)-I4392, X))))</f>
        <v/>
      </c>
      <c r="N4392" s="78">
        <f>IF(ISBLANK(L4392),"",IF(AND(C4392="Sell",D4392="Stock"),M4392,IF(ISBLANK(L4392),"",IF(C4392="Buy",M4392, IF(AND(C4392="Sell",J4392="NA"),(E4392*G4392*100*0.1)+I4392, IF(C4392="Sell",(J4392-L4392)*(100*G4392)+I4392))))))</f>
        <v/>
      </c>
      <c r="O4392" s="75" t="n"/>
      <c r="P4392" s="75" t="n"/>
      <c r="Q4392" s="75">
        <f>IF(ISBLANK(P4392),"",IF(D4392="Stock",P4392*G4392,IF(P4392=0,"0",G4392*P4392*100-(G4392*$AF$14))))</f>
        <v/>
      </c>
      <c r="R4392" s="79">
        <f>IF(P4392&lt;&gt;"", TODAY(), "")</f>
        <v/>
      </c>
      <c r="S4392" s="78">
        <f>IF(AND(K4392&lt;&gt;"", R4392&lt;&gt;""), R4392-K4392, "")</f>
        <v/>
      </c>
      <c r="T4392" s="78" t="n"/>
      <c r="U4392" s="92">
        <f>IF(ISBLANK(P4392),"",IF(C4392="Buy",Q4392-M4392+T4392, IF(C4392="Sell",M4392-Q4392-T4392, X)))</f>
        <v/>
      </c>
      <c r="V4392" s="81">
        <f>IF(ISBLANK(P4392),"",U4392/N4392)</f>
        <v/>
      </c>
      <c r="W4392" s="81">
        <f>IF(ISBLANK(P4392),"",IF(S4392=0,(365/0.5)*V4392,(365/S4392)*V4392))</f>
        <v/>
      </c>
      <c r="X4392" s="75" t="n"/>
      <c r="Y4392" s="77" t="n"/>
      <c r="Z4392" s="77" t="n"/>
      <c r="AA4392" s="75" t="n"/>
      <c r="AB4392" s="75" t="n"/>
      <c r="AC4392" s="6" t="n"/>
      <c r="AD4392" s="75" t="n"/>
      <c r="AE4392" s="75" t="n"/>
      <c r="AF4392" s="75" t="n"/>
    </row>
    <row r="4393" ht="15.75" customHeight="1" s="133">
      <c r="A4393" s="75" t="n"/>
      <c r="B4393" s="75" t="n"/>
      <c r="C4393" s="75" t="n"/>
      <c r="D4393" s="75" t="n"/>
      <c r="E4393" s="76" t="n"/>
      <c r="F4393" s="77" t="n"/>
      <c r="G4393" s="75" t="n"/>
      <c r="H4393" s="75">
        <f>IF(ISBLANK(E4393),"",IF(OR(D4393="Butterfly",D4393="Butterfly ",D4393="Iron Fly", D4393="Iron Fly "),LEN(E4393)-LEN(SUBSTITUTE(E4393,"/",""))+2,LEN(E4393)-LEN(SUBSTITUTE(E4393,"/",""))+1))</f>
        <v/>
      </c>
      <c r="I4393" s="78">
        <f>IF(ISBLANK(G4393),"",IF(D4393="Stock","0",Key!$A$3*H4393*G4393))</f>
        <v/>
      </c>
      <c r="J4393" s="78">
        <f>IF(ISBLANK(E4393),"",IF(ISNUMBER(SEARCH("/",E4393)), IF(LEN(E4393)-LEN(SUBSTITUTE(E4393,"/",""))=1,(RIGHT(E4393,LEN(E4393)-FIND("/",E4393)))-(LEFT(E4393,FIND("/",E4393)-1)),(MID(E4393, SEARCH("/",E4393) + 1, SEARCH("/",E4393, SEARCH("/",E4393)+1) - SEARCH("/",E4393) - 1))-(LEFT(E4393,FIND("/",E4393)-1))), "NA"))</f>
        <v/>
      </c>
      <c r="K4393" s="79">
        <f>IF(A4393&lt;&gt;"", IF(ISBLANK(L4393), TODAY(), K4393), "")</f>
        <v/>
      </c>
      <c r="L4393" s="78" t="n"/>
      <c r="M4393" s="78">
        <f>IF(ISBLANK(L4393),"",IF(D4393="Stock",IF(C4393="Buy",L4393*G4393,IF(C4393="Sell",(L4393*G4393)-I4393, X)),IF(C4393="Buy",(L4393*G4393*100)+I4393,IF(C4393="Sell",(L4393*G4393*100)-I4393, X))))</f>
        <v/>
      </c>
      <c r="N4393" s="78">
        <f>IF(ISBLANK(L4393),"",IF(AND(C4393="Sell",D4393="Stock"),M4393,IF(ISBLANK(L4393),"",IF(C4393="Buy",M4393, IF(AND(C4393="Sell",J4393="NA"),(E4393*G4393*100*0.1)+I4393, IF(C4393="Sell",(J4393-L4393)*(100*G4393)+I4393))))))</f>
        <v/>
      </c>
      <c r="O4393" s="75" t="n"/>
      <c r="P4393" s="75" t="n"/>
      <c r="Q4393" s="75">
        <f>IF(ISBLANK(P4393),"",IF(D4393="Stock",P4393*G4393,IF(P4393=0,"0",G4393*P4393*100-(G4393*$AF$14))))</f>
        <v/>
      </c>
      <c r="R4393" s="79">
        <f>IF(P4393&lt;&gt;"", TODAY(), "")</f>
        <v/>
      </c>
      <c r="S4393" s="78">
        <f>IF(AND(K4393&lt;&gt;"", R4393&lt;&gt;""), R4393-K4393, "")</f>
        <v/>
      </c>
      <c r="T4393" s="78" t="n"/>
      <c r="U4393" s="92">
        <f>IF(ISBLANK(P4393),"",IF(C4393="Buy",Q4393-M4393+T4393, IF(C4393="Sell",M4393-Q4393-T4393, X)))</f>
        <v/>
      </c>
      <c r="V4393" s="81">
        <f>IF(ISBLANK(P4393),"",U4393/N4393)</f>
        <v/>
      </c>
      <c r="W4393" s="81">
        <f>IF(ISBLANK(P4393),"",IF(S4393=0,(365/0.5)*V4393,(365/S4393)*V4393))</f>
        <v/>
      </c>
      <c r="X4393" s="75" t="n"/>
      <c r="Y4393" s="77" t="n"/>
      <c r="Z4393" s="77" t="n"/>
      <c r="AA4393" s="75" t="n"/>
      <c r="AB4393" s="75" t="n"/>
      <c r="AC4393" s="6" t="n"/>
      <c r="AD4393" s="75" t="n"/>
      <c r="AE4393" s="75" t="n"/>
      <c r="AF4393" s="75" t="n"/>
    </row>
    <row r="4394" ht="15.75" customHeight="1" s="133">
      <c r="A4394" s="75" t="n"/>
      <c r="B4394" s="75" t="n"/>
      <c r="C4394" s="75" t="n"/>
      <c r="D4394" s="75" t="n"/>
      <c r="E4394" s="76" t="n"/>
      <c r="F4394" s="77" t="n"/>
      <c r="G4394" s="75" t="n"/>
      <c r="H4394" s="75">
        <f>IF(ISBLANK(E4394),"",IF(OR(D4394="Butterfly",D4394="Butterfly ",D4394="Iron Fly", D4394="Iron Fly "),LEN(E4394)-LEN(SUBSTITUTE(E4394,"/",""))+2,LEN(E4394)-LEN(SUBSTITUTE(E4394,"/",""))+1))</f>
        <v/>
      </c>
      <c r="I4394" s="78">
        <f>IF(ISBLANK(G4394),"",IF(D4394="Stock","0",Key!$A$3*H4394*G4394))</f>
        <v/>
      </c>
      <c r="J4394" s="78">
        <f>IF(ISBLANK(E4394),"",IF(ISNUMBER(SEARCH("/",E4394)), IF(LEN(E4394)-LEN(SUBSTITUTE(E4394,"/",""))=1,(RIGHT(E4394,LEN(E4394)-FIND("/",E4394)))-(LEFT(E4394,FIND("/",E4394)-1)),(MID(E4394, SEARCH("/",E4394) + 1, SEARCH("/",E4394, SEARCH("/",E4394)+1) - SEARCH("/",E4394) - 1))-(LEFT(E4394,FIND("/",E4394)-1))), "NA"))</f>
        <v/>
      </c>
      <c r="K4394" s="79">
        <f>IF(A4394&lt;&gt;"", IF(ISBLANK(L4394), TODAY(), K4394), "")</f>
        <v/>
      </c>
      <c r="L4394" s="78" t="n"/>
      <c r="M4394" s="78">
        <f>IF(ISBLANK(L4394),"",IF(D4394="Stock",IF(C4394="Buy",L4394*G4394,IF(C4394="Sell",(L4394*G4394)-I4394, X)),IF(C4394="Buy",(L4394*G4394*100)+I4394,IF(C4394="Sell",(L4394*G4394*100)-I4394, X))))</f>
        <v/>
      </c>
      <c r="N4394" s="78">
        <f>IF(ISBLANK(L4394),"",IF(AND(C4394="Sell",D4394="Stock"),M4394,IF(ISBLANK(L4394),"",IF(C4394="Buy",M4394, IF(AND(C4394="Sell",J4394="NA"),(E4394*G4394*100*0.1)+I4394, IF(C4394="Sell",(J4394-L4394)*(100*G4394)+I4394))))))</f>
        <v/>
      </c>
      <c r="O4394" s="75" t="n"/>
      <c r="P4394" s="75" t="n"/>
      <c r="Q4394" s="75">
        <f>IF(ISBLANK(P4394),"",IF(D4394="Stock",P4394*G4394,IF(P4394=0,"0",G4394*P4394*100-(G4394*$AF$14))))</f>
        <v/>
      </c>
      <c r="R4394" s="79">
        <f>IF(P4394&lt;&gt;"", TODAY(), "")</f>
        <v/>
      </c>
      <c r="S4394" s="78">
        <f>IF(AND(K4394&lt;&gt;"", R4394&lt;&gt;""), R4394-K4394, "")</f>
        <v/>
      </c>
      <c r="T4394" s="78" t="n"/>
      <c r="U4394" s="92">
        <f>IF(ISBLANK(P4394),"",IF(C4394="Buy",Q4394-M4394+T4394, IF(C4394="Sell",M4394-Q4394-T4394, X)))</f>
        <v/>
      </c>
      <c r="V4394" s="81">
        <f>IF(ISBLANK(P4394),"",U4394/N4394)</f>
        <v/>
      </c>
      <c r="W4394" s="81">
        <f>IF(ISBLANK(P4394),"",IF(S4394=0,(365/0.5)*V4394,(365/S4394)*V4394))</f>
        <v/>
      </c>
      <c r="X4394" s="75" t="n"/>
      <c r="Y4394" s="77" t="n"/>
      <c r="Z4394" s="77" t="n"/>
      <c r="AA4394" s="75" t="n"/>
      <c r="AB4394" s="75" t="n"/>
      <c r="AC4394" s="6" t="n"/>
      <c r="AD4394" s="75" t="n"/>
      <c r="AE4394" s="75" t="n"/>
      <c r="AF4394" s="75" t="n"/>
    </row>
    <row r="4395" ht="15.75" customHeight="1" s="133">
      <c r="A4395" s="75" t="n"/>
      <c r="B4395" s="75" t="n"/>
      <c r="C4395" s="75" t="n"/>
      <c r="D4395" s="75" t="n"/>
      <c r="E4395" s="76" t="n"/>
      <c r="F4395" s="77" t="n"/>
      <c r="G4395" s="75" t="n"/>
      <c r="H4395" s="75">
        <f>IF(ISBLANK(E4395),"",IF(OR(D4395="Butterfly",D4395="Butterfly ",D4395="Iron Fly", D4395="Iron Fly "),LEN(E4395)-LEN(SUBSTITUTE(E4395,"/",""))+2,LEN(E4395)-LEN(SUBSTITUTE(E4395,"/",""))+1))</f>
        <v/>
      </c>
      <c r="I4395" s="78">
        <f>IF(ISBLANK(G4395),"",IF(D4395="Stock","0",Key!$A$3*H4395*G4395))</f>
        <v/>
      </c>
      <c r="J4395" s="78">
        <f>IF(ISBLANK(E4395),"",IF(ISNUMBER(SEARCH("/",E4395)), IF(LEN(E4395)-LEN(SUBSTITUTE(E4395,"/",""))=1,(RIGHT(E4395,LEN(E4395)-FIND("/",E4395)))-(LEFT(E4395,FIND("/",E4395)-1)),(MID(E4395, SEARCH("/",E4395) + 1, SEARCH("/",E4395, SEARCH("/",E4395)+1) - SEARCH("/",E4395) - 1))-(LEFT(E4395,FIND("/",E4395)-1))), "NA"))</f>
        <v/>
      </c>
      <c r="K4395" s="79">
        <f>IF(A4395&lt;&gt;"", IF(ISBLANK(L4395), TODAY(), K4395), "")</f>
        <v/>
      </c>
      <c r="L4395" s="78" t="n"/>
      <c r="M4395" s="78">
        <f>IF(ISBLANK(L4395),"",IF(D4395="Stock",IF(C4395="Buy",L4395*G4395,IF(C4395="Sell",(L4395*G4395)-I4395, X)),IF(C4395="Buy",(L4395*G4395*100)+I4395,IF(C4395="Sell",(L4395*G4395*100)-I4395, X))))</f>
        <v/>
      </c>
      <c r="N4395" s="78">
        <f>IF(ISBLANK(L4395),"",IF(AND(C4395="Sell",D4395="Stock"),M4395,IF(ISBLANK(L4395),"",IF(C4395="Buy",M4395, IF(AND(C4395="Sell",J4395="NA"),(E4395*G4395*100*0.1)+I4395, IF(C4395="Sell",(J4395-L4395)*(100*G4395)+I4395))))))</f>
        <v/>
      </c>
      <c r="O4395" s="75" t="n"/>
      <c r="P4395" s="75" t="n"/>
      <c r="Q4395" s="75">
        <f>IF(ISBLANK(P4395),"",IF(D4395="Stock",P4395*G4395,IF(P4395=0,"0",G4395*P4395*100-(G4395*$AF$14))))</f>
        <v/>
      </c>
      <c r="R4395" s="79">
        <f>IF(P4395&lt;&gt;"", TODAY(), "")</f>
        <v/>
      </c>
      <c r="S4395" s="78">
        <f>IF(AND(K4395&lt;&gt;"", R4395&lt;&gt;""), R4395-K4395, "")</f>
        <v/>
      </c>
      <c r="T4395" s="78" t="n"/>
      <c r="U4395" s="92">
        <f>IF(ISBLANK(P4395),"",IF(C4395="Buy",Q4395-M4395+T4395, IF(C4395="Sell",M4395-Q4395-T4395, X)))</f>
        <v/>
      </c>
      <c r="V4395" s="81">
        <f>IF(ISBLANK(P4395),"",U4395/N4395)</f>
        <v/>
      </c>
      <c r="W4395" s="81">
        <f>IF(ISBLANK(P4395),"",IF(S4395=0,(365/0.5)*V4395,(365/S4395)*V4395))</f>
        <v/>
      </c>
      <c r="X4395" s="75" t="n"/>
      <c r="Y4395" s="77" t="n"/>
      <c r="Z4395" s="77" t="n"/>
      <c r="AA4395" s="75" t="n"/>
      <c r="AB4395" s="75" t="n"/>
      <c r="AC4395" s="6" t="n"/>
      <c r="AD4395" s="75" t="n"/>
      <c r="AE4395" s="75" t="n"/>
      <c r="AF4395" s="75" t="n"/>
    </row>
    <row r="4396" ht="15.75" customHeight="1" s="133">
      <c r="A4396" s="75" t="n"/>
      <c r="B4396" s="75" t="n"/>
      <c r="C4396" s="75" t="n"/>
      <c r="D4396" s="75" t="n"/>
      <c r="E4396" s="76" t="n"/>
      <c r="F4396" s="77" t="n"/>
      <c r="G4396" s="75" t="n"/>
      <c r="H4396" s="75">
        <f>IF(ISBLANK(E4396),"",IF(OR(D4396="Butterfly",D4396="Butterfly ",D4396="Iron Fly", D4396="Iron Fly "),LEN(E4396)-LEN(SUBSTITUTE(E4396,"/",""))+2,LEN(E4396)-LEN(SUBSTITUTE(E4396,"/",""))+1))</f>
        <v/>
      </c>
      <c r="I4396" s="78">
        <f>IF(ISBLANK(G4396),"",IF(D4396="Stock","0",Key!$A$3*H4396*G4396))</f>
        <v/>
      </c>
      <c r="J4396" s="78">
        <f>IF(ISBLANK(E4396),"",IF(ISNUMBER(SEARCH("/",E4396)), IF(LEN(E4396)-LEN(SUBSTITUTE(E4396,"/",""))=1,(RIGHT(E4396,LEN(E4396)-FIND("/",E4396)))-(LEFT(E4396,FIND("/",E4396)-1)),(MID(E4396, SEARCH("/",E4396) + 1, SEARCH("/",E4396, SEARCH("/",E4396)+1) - SEARCH("/",E4396) - 1))-(LEFT(E4396,FIND("/",E4396)-1))), "NA"))</f>
        <v/>
      </c>
      <c r="K4396" s="79">
        <f>IF(A4396&lt;&gt;"", IF(ISBLANK(L4396), TODAY(), K4396), "")</f>
        <v/>
      </c>
      <c r="L4396" s="78" t="n"/>
      <c r="M4396" s="78">
        <f>IF(ISBLANK(L4396),"",IF(D4396="Stock",IF(C4396="Buy",L4396*G4396,IF(C4396="Sell",(L4396*G4396)-I4396, X)),IF(C4396="Buy",(L4396*G4396*100)+I4396,IF(C4396="Sell",(L4396*G4396*100)-I4396, X))))</f>
        <v/>
      </c>
      <c r="N4396" s="78">
        <f>IF(ISBLANK(L4396),"",IF(AND(C4396="Sell",D4396="Stock"),M4396,IF(ISBLANK(L4396),"",IF(C4396="Buy",M4396, IF(AND(C4396="Sell",J4396="NA"),(E4396*G4396*100*0.1)+I4396, IF(C4396="Sell",(J4396-L4396)*(100*G4396)+I4396))))))</f>
        <v/>
      </c>
      <c r="O4396" s="75" t="n"/>
      <c r="P4396" s="75" t="n"/>
      <c r="Q4396" s="75">
        <f>IF(ISBLANK(P4396),"",IF(D4396="Stock",P4396*G4396,IF(P4396=0,"0",G4396*P4396*100-(G4396*$AF$14))))</f>
        <v/>
      </c>
      <c r="R4396" s="79">
        <f>IF(P4396&lt;&gt;"", TODAY(), "")</f>
        <v/>
      </c>
      <c r="S4396" s="78">
        <f>IF(AND(K4396&lt;&gt;"", R4396&lt;&gt;""), R4396-K4396, "")</f>
        <v/>
      </c>
      <c r="T4396" s="78" t="n"/>
      <c r="U4396" s="92">
        <f>IF(ISBLANK(P4396),"",IF(C4396="Buy",Q4396-M4396+T4396, IF(C4396="Sell",M4396-Q4396-T4396, X)))</f>
        <v/>
      </c>
      <c r="V4396" s="81">
        <f>IF(ISBLANK(P4396),"",U4396/N4396)</f>
        <v/>
      </c>
      <c r="W4396" s="81">
        <f>IF(ISBLANK(P4396),"",IF(S4396=0,(365/0.5)*V4396,(365/S4396)*V4396))</f>
        <v/>
      </c>
      <c r="X4396" s="75" t="n"/>
      <c r="Y4396" s="77" t="n"/>
      <c r="Z4396" s="77" t="n"/>
      <c r="AA4396" s="75" t="n"/>
      <c r="AB4396" s="75" t="n"/>
      <c r="AC4396" s="6" t="n"/>
      <c r="AD4396" s="75" t="n"/>
      <c r="AE4396" s="75" t="n"/>
      <c r="AF4396" s="75" t="n"/>
    </row>
    <row r="4397" ht="15.75" customHeight="1" s="133">
      <c r="A4397" s="75" t="n"/>
      <c r="B4397" s="75" t="n"/>
      <c r="C4397" s="75" t="n"/>
      <c r="D4397" s="75" t="n"/>
      <c r="E4397" s="76" t="n"/>
      <c r="F4397" s="77" t="n"/>
      <c r="G4397" s="75" t="n"/>
      <c r="H4397" s="75">
        <f>IF(ISBLANK(E4397),"",IF(OR(D4397="Butterfly",D4397="Butterfly ",D4397="Iron Fly", D4397="Iron Fly "),LEN(E4397)-LEN(SUBSTITUTE(E4397,"/",""))+2,LEN(E4397)-LEN(SUBSTITUTE(E4397,"/",""))+1))</f>
        <v/>
      </c>
      <c r="I4397" s="78">
        <f>IF(ISBLANK(G4397),"",IF(D4397="Stock","0",Key!$A$3*H4397*G4397))</f>
        <v/>
      </c>
      <c r="J4397" s="78">
        <f>IF(ISBLANK(E4397),"",IF(ISNUMBER(SEARCH("/",E4397)), IF(LEN(E4397)-LEN(SUBSTITUTE(E4397,"/",""))=1,(RIGHT(E4397,LEN(E4397)-FIND("/",E4397)))-(LEFT(E4397,FIND("/",E4397)-1)),(MID(E4397, SEARCH("/",E4397) + 1, SEARCH("/",E4397, SEARCH("/",E4397)+1) - SEARCH("/",E4397) - 1))-(LEFT(E4397,FIND("/",E4397)-1))), "NA"))</f>
        <v/>
      </c>
      <c r="K4397" s="79">
        <f>IF(A4397&lt;&gt;"", IF(ISBLANK(L4397), TODAY(), K4397), "")</f>
        <v/>
      </c>
      <c r="L4397" s="78" t="n"/>
      <c r="M4397" s="78">
        <f>IF(ISBLANK(L4397),"",IF(D4397="Stock",IF(C4397="Buy",L4397*G4397,IF(C4397="Sell",(L4397*G4397)-I4397, X)),IF(C4397="Buy",(L4397*G4397*100)+I4397,IF(C4397="Sell",(L4397*G4397*100)-I4397, X))))</f>
        <v/>
      </c>
      <c r="N4397" s="78">
        <f>IF(ISBLANK(L4397),"",IF(AND(C4397="Sell",D4397="Stock"),M4397,IF(ISBLANK(L4397),"",IF(C4397="Buy",M4397, IF(AND(C4397="Sell",J4397="NA"),(E4397*G4397*100*0.1)+I4397, IF(C4397="Sell",(J4397-L4397)*(100*G4397)+I4397))))))</f>
        <v/>
      </c>
      <c r="O4397" s="75" t="n"/>
      <c r="P4397" s="75" t="n"/>
      <c r="Q4397" s="75">
        <f>IF(ISBLANK(P4397),"",IF(D4397="Stock",P4397*G4397,IF(P4397=0,"0",G4397*P4397*100-(G4397*$AF$14))))</f>
        <v/>
      </c>
      <c r="R4397" s="79">
        <f>IF(P4397&lt;&gt;"", TODAY(), "")</f>
        <v/>
      </c>
      <c r="S4397" s="78">
        <f>IF(AND(K4397&lt;&gt;"", R4397&lt;&gt;""), R4397-K4397, "")</f>
        <v/>
      </c>
      <c r="T4397" s="78" t="n"/>
      <c r="U4397" s="92">
        <f>IF(ISBLANK(P4397),"",IF(C4397="Buy",Q4397-M4397+T4397, IF(C4397="Sell",M4397-Q4397-T4397, X)))</f>
        <v/>
      </c>
      <c r="V4397" s="81">
        <f>IF(ISBLANK(P4397),"",U4397/N4397)</f>
        <v/>
      </c>
      <c r="W4397" s="81">
        <f>IF(ISBLANK(P4397),"",IF(S4397=0,(365/0.5)*V4397,(365/S4397)*V4397))</f>
        <v/>
      </c>
      <c r="X4397" s="75" t="n"/>
      <c r="Y4397" s="77" t="n"/>
      <c r="Z4397" s="77" t="n"/>
      <c r="AA4397" s="75" t="n"/>
      <c r="AB4397" s="75" t="n"/>
      <c r="AC4397" s="6" t="n"/>
      <c r="AD4397" s="75" t="n"/>
      <c r="AE4397" s="75" t="n"/>
      <c r="AF4397" s="75" t="n"/>
    </row>
    <row r="4398" ht="15.75" customHeight="1" s="133">
      <c r="A4398" s="75" t="n"/>
      <c r="B4398" s="75" t="n"/>
      <c r="C4398" s="75" t="n"/>
      <c r="D4398" s="75" t="n"/>
      <c r="E4398" s="76" t="n"/>
      <c r="F4398" s="77" t="n"/>
      <c r="G4398" s="75" t="n"/>
      <c r="H4398" s="75">
        <f>IF(ISBLANK(E4398),"",IF(OR(D4398="Butterfly",D4398="Butterfly ",D4398="Iron Fly", D4398="Iron Fly "),LEN(E4398)-LEN(SUBSTITUTE(E4398,"/",""))+2,LEN(E4398)-LEN(SUBSTITUTE(E4398,"/",""))+1))</f>
        <v/>
      </c>
      <c r="I4398" s="78">
        <f>IF(ISBLANK(G4398),"",IF(D4398="Stock","0",Key!$A$3*H4398*G4398))</f>
        <v/>
      </c>
      <c r="J4398" s="78">
        <f>IF(ISBLANK(E4398),"",IF(ISNUMBER(SEARCH("/",E4398)), IF(LEN(E4398)-LEN(SUBSTITUTE(E4398,"/",""))=1,(RIGHT(E4398,LEN(E4398)-FIND("/",E4398)))-(LEFT(E4398,FIND("/",E4398)-1)),(MID(E4398, SEARCH("/",E4398) + 1, SEARCH("/",E4398, SEARCH("/",E4398)+1) - SEARCH("/",E4398) - 1))-(LEFT(E4398,FIND("/",E4398)-1))), "NA"))</f>
        <v/>
      </c>
      <c r="K4398" s="79">
        <f>IF(A4398&lt;&gt;"", IF(ISBLANK(L4398), TODAY(), K4398), "")</f>
        <v/>
      </c>
      <c r="L4398" s="78" t="n"/>
      <c r="M4398" s="78">
        <f>IF(ISBLANK(L4398),"",IF(D4398="Stock",IF(C4398="Buy",L4398*G4398,IF(C4398="Sell",(L4398*G4398)-I4398, X)),IF(C4398="Buy",(L4398*G4398*100)+I4398,IF(C4398="Sell",(L4398*G4398*100)-I4398, X))))</f>
        <v/>
      </c>
      <c r="N4398" s="78">
        <f>IF(ISBLANK(L4398),"",IF(AND(C4398="Sell",D4398="Stock"),M4398,IF(ISBLANK(L4398),"",IF(C4398="Buy",M4398, IF(AND(C4398="Sell",J4398="NA"),(E4398*G4398*100*0.1)+I4398, IF(C4398="Sell",(J4398-L4398)*(100*G4398)+I4398))))))</f>
        <v/>
      </c>
      <c r="O4398" s="75" t="n"/>
      <c r="P4398" s="75" t="n"/>
      <c r="Q4398" s="75">
        <f>IF(ISBLANK(P4398),"",IF(D4398="Stock",P4398*G4398,IF(P4398=0,"0",G4398*P4398*100-(G4398*$AF$14))))</f>
        <v/>
      </c>
      <c r="R4398" s="79">
        <f>IF(P4398&lt;&gt;"", TODAY(), "")</f>
        <v/>
      </c>
      <c r="S4398" s="78">
        <f>IF(AND(K4398&lt;&gt;"", R4398&lt;&gt;""), R4398-K4398, "")</f>
        <v/>
      </c>
      <c r="T4398" s="78" t="n"/>
      <c r="U4398" s="92">
        <f>IF(ISBLANK(P4398),"",IF(C4398="Buy",Q4398-M4398+T4398, IF(C4398="Sell",M4398-Q4398-T4398, X)))</f>
        <v/>
      </c>
      <c r="V4398" s="81">
        <f>IF(ISBLANK(P4398),"",U4398/N4398)</f>
        <v/>
      </c>
      <c r="W4398" s="81">
        <f>IF(ISBLANK(P4398),"",IF(S4398=0,(365/0.5)*V4398,(365/S4398)*V4398))</f>
        <v/>
      </c>
      <c r="X4398" s="75" t="n"/>
      <c r="Y4398" s="77" t="n"/>
      <c r="Z4398" s="77" t="n"/>
      <c r="AA4398" s="75" t="n"/>
      <c r="AB4398" s="75" t="n"/>
      <c r="AC4398" s="6" t="n"/>
      <c r="AD4398" s="75" t="n"/>
      <c r="AE4398" s="75" t="n"/>
      <c r="AF4398" s="75" t="n"/>
    </row>
    <row r="4399" ht="15.75" customHeight="1" s="133">
      <c r="A4399" s="75" t="n"/>
      <c r="B4399" s="75" t="n"/>
      <c r="C4399" s="75" t="n"/>
      <c r="D4399" s="75" t="n"/>
      <c r="E4399" s="76" t="n"/>
      <c r="F4399" s="77" t="n"/>
      <c r="G4399" s="75" t="n"/>
      <c r="H4399" s="75">
        <f>IF(ISBLANK(E4399),"",IF(OR(D4399="Butterfly",D4399="Butterfly ",D4399="Iron Fly", D4399="Iron Fly "),LEN(E4399)-LEN(SUBSTITUTE(E4399,"/",""))+2,LEN(E4399)-LEN(SUBSTITUTE(E4399,"/",""))+1))</f>
        <v/>
      </c>
      <c r="I4399" s="78">
        <f>IF(ISBLANK(G4399),"",IF(D4399="Stock","0",Key!$A$3*H4399*G4399))</f>
        <v/>
      </c>
      <c r="J4399" s="78">
        <f>IF(ISBLANK(E4399),"",IF(ISNUMBER(SEARCH("/",E4399)), IF(LEN(E4399)-LEN(SUBSTITUTE(E4399,"/",""))=1,(RIGHT(E4399,LEN(E4399)-FIND("/",E4399)))-(LEFT(E4399,FIND("/",E4399)-1)),(MID(E4399, SEARCH("/",E4399) + 1, SEARCH("/",E4399, SEARCH("/",E4399)+1) - SEARCH("/",E4399) - 1))-(LEFT(E4399,FIND("/",E4399)-1))), "NA"))</f>
        <v/>
      </c>
      <c r="K4399" s="79">
        <f>IF(A4399&lt;&gt;"", IF(ISBLANK(L4399), TODAY(), K4399), "")</f>
        <v/>
      </c>
      <c r="L4399" s="78" t="n"/>
      <c r="M4399" s="78">
        <f>IF(ISBLANK(L4399),"",IF(D4399="Stock",IF(C4399="Buy",L4399*G4399,IF(C4399="Sell",(L4399*G4399)-I4399, X)),IF(C4399="Buy",(L4399*G4399*100)+I4399,IF(C4399="Sell",(L4399*G4399*100)-I4399, X))))</f>
        <v/>
      </c>
      <c r="N4399" s="78">
        <f>IF(ISBLANK(L4399),"",IF(AND(C4399="Sell",D4399="Stock"),M4399,IF(ISBLANK(L4399),"",IF(C4399="Buy",M4399, IF(AND(C4399="Sell",J4399="NA"),(E4399*G4399*100*0.1)+I4399, IF(C4399="Sell",(J4399-L4399)*(100*G4399)+I4399))))))</f>
        <v/>
      </c>
      <c r="O4399" s="75" t="n"/>
      <c r="P4399" s="75" t="n"/>
      <c r="Q4399" s="75">
        <f>IF(ISBLANK(P4399),"",IF(D4399="Stock",P4399*G4399,IF(P4399=0,"0",G4399*P4399*100-(G4399*$AF$14))))</f>
        <v/>
      </c>
      <c r="R4399" s="79">
        <f>IF(P4399&lt;&gt;"", TODAY(), "")</f>
        <v/>
      </c>
      <c r="S4399" s="78">
        <f>IF(AND(K4399&lt;&gt;"", R4399&lt;&gt;""), R4399-K4399, "")</f>
        <v/>
      </c>
      <c r="T4399" s="78" t="n"/>
      <c r="U4399" s="92">
        <f>IF(ISBLANK(P4399),"",IF(C4399="Buy",Q4399-M4399+T4399, IF(C4399="Sell",M4399-Q4399-T4399, X)))</f>
        <v/>
      </c>
      <c r="V4399" s="81">
        <f>IF(ISBLANK(P4399),"",U4399/N4399)</f>
        <v/>
      </c>
      <c r="W4399" s="81">
        <f>IF(ISBLANK(P4399),"",IF(S4399=0,(365/0.5)*V4399,(365/S4399)*V4399))</f>
        <v/>
      </c>
      <c r="X4399" s="75" t="n"/>
      <c r="Y4399" s="77" t="n"/>
      <c r="Z4399" s="77" t="n"/>
      <c r="AA4399" s="75" t="n"/>
      <c r="AB4399" s="75" t="n"/>
      <c r="AC4399" s="6" t="n"/>
      <c r="AD4399" s="75" t="n"/>
      <c r="AE4399" s="75" t="n"/>
      <c r="AF4399" s="75" t="n"/>
    </row>
    <row r="4400" ht="15.75" customHeight="1" s="133">
      <c r="A4400" s="75" t="n"/>
      <c r="B4400" s="75" t="n"/>
      <c r="C4400" s="75" t="n"/>
      <c r="D4400" s="75" t="n"/>
      <c r="E4400" s="76" t="n"/>
      <c r="F4400" s="77" t="n"/>
      <c r="G4400" s="75" t="n"/>
      <c r="H4400" s="75">
        <f>IF(ISBLANK(E4400),"",IF(OR(D4400="Butterfly",D4400="Butterfly ",D4400="Iron Fly", D4400="Iron Fly "),LEN(E4400)-LEN(SUBSTITUTE(E4400,"/",""))+2,LEN(E4400)-LEN(SUBSTITUTE(E4400,"/",""))+1))</f>
        <v/>
      </c>
      <c r="I4400" s="78">
        <f>IF(ISBLANK(G4400),"",IF(D4400="Stock","0",Key!$A$3*H4400*G4400))</f>
        <v/>
      </c>
      <c r="J4400" s="78">
        <f>IF(ISBLANK(E4400),"",IF(ISNUMBER(SEARCH("/",E4400)), IF(LEN(E4400)-LEN(SUBSTITUTE(E4400,"/",""))=1,(RIGHT(E4400,LEN(E4400)-FIND("/",E4400)))-(LEFT(E4400,FIND("/",E4400)-1)),(MID(E4400, SEARCH("/",E4400) + 1, SEARCH("/",E4400, SEARCH("/",E4400)+1) - SEARCH("/",E4400) - 1))-(LEFT(E4400,FIND("/",E4400)-1))), "NA"))</f>
        <v/>
      </c>
      <c r="K4400" s="79">
        <f>IF(A4400&lt;&gt;"", IF(ISBLANK(L4400), TODAY(), K4400), "")</f>
        <v/>
      </c>
      <c r="L4400" s="78" t="n"/>
      <c r="M4400" s="78">
        <f>IF(ISBLANK(L4400),"",IF(D4400="Stock",IF(C4400="Buy",L4400*G4400,IF(C4400="Sell",(L4400*G4400)-I4400, X)),IF(C4400="Buy",(L4400*G4400*100)+I4400,IF(C4400="Sell",(L4400*G4400*100)-I4400, X))))</f>
        <v/>
      </c>
      <c r="N4400" s="78">
        <f>IF(ISBLANK(L4400),"",IF(AND(C4400="Sell",D4400="Stock"),M4400,IF(ISBLANK(L4400),"",IF(C4400="Buy",M4400, IF(AND(C4400="Sell",J4400="NA"),(E4400*G4400*100*0.1)+I4400, IF(C4400="Sell",(J4400-L4400)*(100*G4400)+I4400))))))</f>
        <v/>
      </c>
      <c r="O4400" s="75" t="n"/>
      <c r="P4400" s="75" t="n"/>
      <c r="Q4400" s="75">
        <f>IF(ISBLANK(P4400),"",IF(D4400="Stock",P4400*G4400,IF(P4400=0,"0",G4400*P4400*100-(G4400*$AF$14))))</f>
        <v/>
      </c>
      <c r="R4400" s="79">
        <f>IF(P4400&lt;&gt;"", TODAY(), "")</f>
        <v/>
      </c>
      <c r="S4400" s="78">
        <f>IF(AND(K4400&lt;&gt;"", R4400&lt;&gt;""), R4400-K4400, "")</f>
        <v/>
      </c>
      <c r="T4400" s="78" t="n"/>
      <c r="U4400" s="92">
        <f>IF(ISBLANK(P4400),"",IF(C4400="Buy",Q4400-M4400+T4400, IF(C4400="Sell",M4400-Q4400-T4400, X)))</f>
        <v/>
      </c>
      <c r="V4400" s="81">
        <f>IF(ISBLANK(P4400),"",U4400/N4400)</f>
        <v/>
      </c>
      <c r="W4400" s="81">
        <f>IF(ISBLANK(P4400),"",IF(S4400=0,(365/0.5)*V4400,(365/S4400)*V4400))</f>
        <v/>
      </c>
      <c r="X4400" s="75" t="n"/>
      <c r="Y4400" s="77" t="n"/>
      <c r="Z4400" s="77" t="n"/>
      <c r="AA4400" s="75" t="n"/>
      <c r="AB4400" s="75" t="n"/>
      <c r="AC4400" s="6" t="n"/>
      <c r="AD4400" s="75" t="n"/>
      <c r="AE4400" s="75" t="n"/>
      <c r="AF4400" s="75" t="n"/>
    </row>
    <row r="4401" ht="15.75" customHeight="1" s="133">
      <c r="A4401" s="75" t="n"/>
      <c r="B4401" s="75" t="n"/>
      <c r="C4401" s="75" t="n"/>
      <c r="D4401" s="75" t="n"/>
      <c r="E4401" s="76" t="n"/>
      <c r="F4401" s="77" t="n"/>
      <c r="G4401" s="75" t="n"/>
      <c r="H4401" s="75">
        <f>IF(ISBLANK(E4401),"",IF(OR(D4401="Butterfly",D4401="Butterfly ",D4401="Iron Fly", D4401="Iron Fly "),LEN(E4401)-LEN(SUBSTITUTE(E4401,"/",""))+2,LEN(E4401)-LEN(SUBSTITUTE(E4401,"/",""))+1))</f>
        <v/>
      </c>
      <c r="I4401" s="78">
        <f>IF(ISBLANK(G4401),"",IF(D4401="Stock","0",Key!$A$3*H4401*G4401))</f>
        <v/>
      </c>
      <c r="J4401" s="78">
        <f>IF(ISBLANK(E4401),"",IF(ISNUMBER(SEARCH("/",E4401)), IF(LEN(E4401)-LEN(SUBSTITUTE(E4401,"/",""))=1,(RIGHT(E4401,LEN(E4401)-FIND("/",E4401)))-(LEFT(E4401,FIND("/",E4401)-1)),(MID(E4401, SEARCH("/",E4401) + 1, SEARCH("/",E4401, SEARCH("/",E4401)+1) - SEARCH("/",E4401) - 1))-(LEFT(E4401,FIND("/",E4401)-1))), "NA"))</f>
        <v/>
      </c>
      <c r="K4401" s="79">
        <f>IF(A4401&lt;&gt;"", IF(ISBLANK(L4401), TODAY(), K4401), "")</f>
        <v/>
      </c>
      <c r="L4401" s="78" t="n"/>
      <c r="M4401" s="78">
        <f>IF(ISBLANK(L4401),"",IF(D4401="Stock",IF(C4401="Buy",L4401*G4401,IF(C4401="Sell",(L4401*G4401)-I4401, X)),IF(C4401="Buy",(L4401*G4401*100)+I4401,IF(C4401="Sell",(L4401*G4401*100)-I4401, X))))</f>
        <v/>
      </c>
      <c r="N4401" s="78">
        <f>IF(ISBLANK(L4401),"",IF(AND(C4401="Sell",D4401="Stock"),M4401,IF(ISBLANK(L4401),"",IF(C4401="Buy",M4401, IF(AND(C4401="Sell",J4401="NA"),(E4401*G4401*100*0.1)+I4401, IF(C4401="Sell",(J4401-L4401)*(100*G4401)+I4401))))))</f>
        <v/>
      </c>
      <c r="O4401" s="75" t="n"/>
      <c r="P4401" s="75" t="n"/>
      <c r="Q4401" s="75">
        <f>IF(ISBLANK(P4401),"",IF(D4401="Stock",P4401*G4401,IF(P4401=0,"0",G4401*P4401*100-(G4401*$AF$14))))</f>
        <v/>
      </c>
      <c r="R4401" s="79">
        <f>IF(P4401&lt;&gt;"", TODAY(), "")</f>
        <v/>
      </c>
      <c r="S4401" s="78">
        <f>IF(AND(K4401&lt;&gt;"", R4401&lt;&gt;""), R4401-K4401, "")</f>
        <v/>
      </c>
      <c r="T4401" s="78" t="n"/>
      <c r="U4401" s="92">
        <f>IF(ISBLANK(P4401),"",IF(C4401="Buy",Q4401-M4401+T4401, IF(C4401="Sell",M4401-Q4401-T4401, X)))</f>
        <v/>
      </c>
      <c r="V4401" s="81">
        <f>IF(ISBLANK(P4401),"",U4401/N4401)</f>
        <v/>
      </c>
      <c r="W4401" s="81">
        <f>IF(ISBLANK(P4401),"",IF(S4401=0,(365/0.5)*V4401,(365/S4401)*V4401))</f>
        <v/>
      </c>
      <c r="X4401" s="75" t="n"/>
      <c r="Y4401" s="77" t="n"/>
      <c r="Z4401" s="77" t="n"/>
      <c r="AA4401" s="75" t="n"/>
      <c r="AB4401" s="75" t="n"/>
      <c r="AC4401" s="6" t="n"/>
      <c r="AD4401" s="75" t="n"/>
      <c r="AE4401" s="75" t="n"/>
      <c r="AF4401" s="75" t="n"/>
    </row>
    <row r="4402" ht="15.75" customHeight="1" s="133">
      <c r="A4402" s="75" t="n"/>
      <c r="B4402" s="75" t="n"/>
      <c r="C4402" s="75" t="n"/>
      <c r="D4402" s="75" t="n"/>
      <c r="E4402" s="76" t="n"/>
      <c r="F4402" s="77" t="n"/>
      <c r="G4402" s="75" t="n"/>
      <c r="H4402" s="75">
        <f>IF(ISBLANK(E4402),"",IF(OR(D4402="Butterfly",D4402="Butterfly ",D4402="Iron Fly", D4402="Iron Fly "),LEN(E4402)-LEN(SUBSTITUTE(E4402,"/",""))+2,LEN(E4402)-LEN(SUBSTITUTE(E4402,"/",""))+1))</f>
        <v/>
      </c>
      <c r="I4402" s="78">
        <f>IF(ISBLANK(G4402),"",IF(D4402="Stock","0",Key!$A$3*H4402*G4402))</f>
        <v/>
      </c>
      <c r="J4402" s="78">
        <f>IF(ISBLANK(E4402),"",IF(ISNUMBER(SEARCH("/",E4402)), IF(LEN(E4402)-LEN(SUBSTITUTE(E4402,"/",""))=1,(RIGHT(E4402,LEN(E4402)-FIND("/",E4402)))-(LEFT(E4402,FIND("/",E4402)-1)),(MID(E4402, SEARCH("/",E4402) + 1, SEARCH("/",E4402, SEARCH("/",E4402)+1) - SEARCH("/",E4402) - 1))-(LEFT(E4402,FIND("/",E4402)-1))), "NA"))</f>
        <v/>
      </c>
      <c r="K4402" s="79">
        <f>IF(A4402&lt;&gt;"", IF(ISBLANK(L4402), TODAY(), K4402), "")</f>
        <v/>
      </c>
      <c r="L4402" s="78" t="n"/>
      <c r="M4402" s="78">
        <f>IF(ISBLANK(L4402),"",IF(D4402="Stock",IF(C4402="Buy",L4402*G4402,IF(C4402="Sell",(L4402*G4402)-I4402, X)),IF(C4402="Buy",(L4402*G4402*100)+I4402,IF(C4402="Sell",(L4402*G4402*100)-I4402, X))))</f>
        <v/>
      </c>
      <c r="N4402" s="78">
        <f>IF(ISBLANK(L4402),"",IF(AND(C4402="Sell",D4402="Stock"),M4402,IF(ISBLANK(L4402),"",IF(C4402="Buy",M4402, IF(AND(C4402="Sell",J4402="NA"),(E4402*G4402*100*0.1)+I4402, IF(C4402="Sell",(J4402-L4402)*(100*G4402)+I4402))))))</f>
        <v/>
      </c>
      <c r="O4402" s="75" t="n"/>
      <c r="P4402" s="75" t="n"/>
      <c r="Q4402" s="75">
        <f>IF(ISBLANK(P4402),"",IF(D4402="Stock",P4402*G4402,IF(P4402=0,"0",G4402*P4402*100-(G4402*$AF$14))))</f>
        <v/>
      </c>
      <c r="R4402" s="79">
        <f>IF(P4402&lt;&gt;"", TODAY(), "")</f>
        <v/>
      </c>
      <c r="S4402" s="78">
        <f>IF(AND(K4402&lt;&gt;"", R4402&lt;&gt;""), R4402-K4402, "")</f>
        <v/>
      </c>
      <c r="T4402" s="78" t="n"/>
      <c r="U4402" s="92">
        <f>IF(ISBLANK(P4402),"",IF(C4402="Buy",Q4402-M4402+T4402, IF(C4402="Sell",M4402-Q4402-T4402, X)))</f>
        <v/>
      </c>
      <c r="V4402" s="81">
        <f>IF(ISBLANK(P4402),"",U4402/N4402)</f>
        <v/>
      </c>
      <c r="W4402" s="81">
        <f>IF(ISBLANK(P4402),"",IF(S4402=0,(365/0.5)*V4402,(365/S4402)*V4402))</f>
        <v/>
      </c>
      <c r="X4402" s="75" t="n"/>
      <c r="Y4402" s="77" t="n"/>
      <c r="Z4402" s="77" t="n"/>
      <c r="AA4402" s="75" t="n"/>
      <c r="AB4402" s="75" t="n"/>
      <c r="AC4402" s="6" t="n"/>
      <c r="AD4402" s="75" t="n"/>
      <c r="AE4402" s="75" t="n"/>
      <c r="AF4402" s="75" t="n"/>
    </row>
    <row r="4403" ht="15.75" customHeight="1" s="133">
      <c r="A4403" s="75" t="n"/>
      <c r="B4403" s="75" t="n"/>
      <c r="C4403" s="75" t="n"/>
      <c r="D4403" s="75" t="n"/>
      <c r="E4403" s="76" t="n"/>
      <c r="F4403" s="77" t="n"/>
      <c r="G4403" s="75" t="n"/>
      <c r="H4403" s="75">
        <f>IF(ISBLANK(E4403),"",IF(OR(D4403="Butterfly",D4403="Butterfly ",D4403="Iron Fly", D4403="Iron Fly "),LEN(E4403)-LEN(SUBSTITUTE(E4403,"/",""))+2,LEN(E4403)-LEN(SUBSTITUTE(E4403,"/",""))+1))</f>
        <v/>
      </c>
      <c r="I4403" s="78">
        <f>IF(ISBLANK(G4403),"",IF(D4403="Stock","0",Key!$A$3*H4403*G4403))</f>
        <v/>
      </c>
      <c r="J4403" s="78">
        <f>IF(ISBLANK(E4403),"",IF(ISNUMBER(SEARCH("/",E4403)), IF(LEN(E4403)-LEN(SUBSTITUTE(E4403,"/",""))=1,(RIGHT(E4403,LEN(E4403)-FIND("/",E4403)))-(LEFT(E4403,FIND("/",E4403)-1)),(MID(E4403, SEARCH("/",E4403) + 1, SEARCH("/",E4403, SEARCH("/",E4403)+1) - SEARCH("/",E4403) - 1))-(LEFT(E4403,FIND("/",E4403)-1))), "NA"))</f>
        <v/>
      </c>
      <c r="K4403" s="79">
        <f>IF(A4403&lt;&gt;"", IF(ISBLANK(L4403), TODAY(), K4403), "")</f>
        <v/>
      </c>
      <c r="L4403" s="78" t="n"/>
      <c r="M4403" s="78">
        <f>IF(ISBLANK(L4403),"",IF(D4403="Stock",IF(C4403="Buy",L4403*G4403,IF(C4403="Sell",(L4403*G4403)-I4403, X)),IF(C4403="Buy",(L4403*G4403*100)+I4403,IF(C4403="Sell",(L4403*G4403*100)-I4403, X))))</f>
        <v/>
      </c>
      <c r="N4403" s="78">
        <f>IF(ISBLANK(L4403),"",IF(AND(C4403="Sell",D4403="Stock"),M4403,IF(ISBLANK(L4403),"",IF(C4403="Buy",M4403, IF(AND(C4403="Sell",J4403="NA"),(E4403*G4403*100*0.1)+I4403, IF(C4403="Sell",(J4403-L4403)*(100*G4403)+I4403))))))</f>
        <v/>
      </c>
      <c r="O4403" s="75" t="n"/>
      <c r="P4403" s="75" t="n"/>
      <c r="Q4403" s="75">
        <f>IF(ISBLANK(P4403),"",IF(D4403="Stock",P4403*G4403,IF(P4403=0,"0",G4403*P4403*100-(G4403*$AF$14))))</f>
        <v/>
      </c>
      <c r="R4403" s="79">
        <f>IF(P4403&lt;&gt;"", TODAY(), "")</f>
        <v/>
      </c>
      <c r="S4403" s="78">
        <f>IF(AND(K4403&lt;&gt;"", R4403&lt;&gt;""), R4403-K4403, "")</f>
        <v/>
      </c>
      <c r="T4403" s="78" t="n"/>
      <c r="U4403" s="92">
        <f>IF(ISBLANK(P4403),"",IF(C4403="Buy",Q4403-M4403+T4403, IF(C4403="Sell",M4403-Q4403-T4403, X)))</f>
        <v/>
      </c>
      <c r="V4403" s="81">
        <f>IF(ISBLANK(P4403),"",U4403/N4403)</f>
        <v/>
      </c>
      <c r="W4403" s="81">
        <f>IF(ISBLANK(P4403),"",IF(S4403=0,(365/0.5)*V4403,(365/S4403)*V4403))</f>
        <v/>
      </c>
      <c r="X4403" s="75" t="n"/>
      <c r="Y4403" s="77" t="n"/>
      <c r="Z4403" s="77" t="n"/>
      <c r="AA4403" s="75" t="n"/>
      <c r="AB4403" s="75" t="n"/>
      <c r="AC4403" s="6" t="n"/>
      <c r="AD4403" s="75" t="n"/>
      <c r="AE4403" s="75" t="n"/>
      <c r="AF4403" s="75" t="n"/>
    </row>
    <row r="4404" ht="15.75" customHeight="1" s="133">
      <c r="A4404" s="75" t="n"/>
      <c r="B4404" s="75" t="n"/>
      <c r="C4404" s="75" t="n"/>
      <c r="D4404" s="75" t="n"/>
      <c r="E4404" s="76" t="n"/>
      <c r="F4404" s="77" t="n"/>
      <c r="G4404" s="75" t="n"/>
      <c r="H4404" s="75">
        <f>IF(ISBLANK(E4404),"",IF(OR(D4404="Butterfly",D4404="Butterfly ",D4404="Iron Fly", D4404="Iron Fly "),LEN(E4404)-LEN(SUBSTITUTE(E4404,"/",""))+2,LEN(E4404)-LEN(SUBSTITUTE(E4404,"/",""))+1))</f>
        <v/>
      </c>
      <c r="I4404" s="78">
        <f>IF(ISBLANK(G4404),"",IF(D4404="Stock","0",Key!$A$3*H4404*G4404))</f>
        <v/>
      </c>
      <c r="J4404" s="78">
        <f>IF(ISBLANK(E4404),"",IF(ISNUMBER(SEARCH("/",E4404)), IF(LEN(E4404)-LEN(SUBSTITUTE(E4404,"/",""))=1,(RIGHT(E4404,LEN(E4404)-FIND("/",E4404)))-(LEFT(E4404,FIND("/",E4404)-1)),(MID(E4404, SEARCH("/",E4404) + 1, SEARCH("/",E4404, SEARCH("/",E4404)+1) - SEARCH("/",E4404) - 1))-(LEFT(E4404,FIND("/",E4404)-1))), "NA"))</f>
        <v/>
      </c>
      <c r="K4404" s="79">
        <f>IF(A4404&lt;&gt;"", IF(ISBLANK(L4404), TODAY(), K4404), "")</f>
        <v/>
      </c>
      <c r="L4404" s="78" t="n"/>
      <c r="M4404" s="78">
        <f>IF(ISBLANK(L4404),"",IF(D4404="Stock",IF(C4404="Buy",L4404*G4404,IF(C4404="Sell",(L4404*G4404)-I4404, X)),IF(C4404="Buy",(L4404*G4404*100)+I4404,IF(C4404="Sell",(L4404*G4404*100)-I4404, X))))</f>
        <v/>
      </c>
      <c r="N4404" s="78">
        <f>IF(ISBLANK(L4404),"",IF(AND(C4404="Sell",D4404="Stock"),M4404,IF(ISBLANK(L4404),"",IF(C4404="Buy",M4404, IF(AND(C4404="Sell",J4404="NA"),(E4404*G4404*100*0.1)+I4404, IF(C4404="Sell",(J4404-L4404)*(100*G4404)+I4404))))))</f>
        <v/>
      </c>
      <c r="O4404" s="75" t="n"/>
      <c r="P4404" s="75" t="n"/>
      <c r="Q4404" s="75">
        <f>IF(ISBLANK(P4404),"",IF(D4404="Stock",P4404*G4404,IF(P4404=0,"0",G4404*P4404*100-(G4404*$AF$14))))</f>
        <v/>
      </c>
      <c r="R4404" s="79">
        <f>IF(P4404&lt;&gt;"", TODAY(), "")</f>
        <v/>
      </c>
      <c r="S4404" s="78">
        <f>IF(AND(K4404&lt;&gt;"", R4404&lt;&gt;""), R4404-K4404, "")</f>
        <v/>
      </c>
      <c r="T4404" s="78" t="n"/>
      <c r="U4404" s="92">
        <f>IF(ISBLANK(P4404),"",IF(C4404="Buy",Q4404-M4404+T4404, IF(C4404="Sell",M4404-Q4404-T4404, X)))</f>
        <v/>
      </c>
      <c r="V4404" s="81">
        <f>IF(ISBLANK(P4404),"",U4404/N4404)</f>
        <v/>
      </c>
      <c r="W4404" s="81">
        <f>IF(ISBLANK(P4404),"",IF(S4404=0,(365/0.5)*V4404,(365/S4404)*V4404))</f>
        <v/>
      </c>
      <c r="X4404" s="75" t="n"/>
      <c r="Y4404" s="77" t="n"/>
      <c r="Z4404" s="77" t="n"/>
      <c r="AA4404" s="75" t="n"/>
      <c r="AB4404" s="75" t="n"/>
      <c r="AC4404" s="6" t="n"/>
      <c r="AD4404" s="75" t="n"/>
      <c r="AE4404" s="75" t="n"/>
      <c r="AF4404" s="75" t="n"/>
    </row>
    <row r="4405" ht="15.75" customHeight="1" s="133">
      <c r="A4405" s="75" t="n"/>
      <c r="B4405" s="75" t="n"/>
      <c r="C4405" s="75" t="n"/>
      <c r="D4405" s="75" t="n"/>
      <c r="E4405" s="76" t="n"/>
      <c r="F4405" s="77" t="n"/>
      <c r="G4405" s="75" t="n"/>
      <c r="H4405" s="75">
        <f>IF(ISBLANK(E4405),"",IF(OR(D4405="Butterfly",D4405="Butterfly ",D4405="Iron Fly", D4405="Iron Fly "),LEN(E4405)-LEN(SUBSTITUTE(E4405,"/",""))+2,LEN(E4405)-LEN(SUBSTITUTE(E4405,"/",""))+1))</f>
        <v/>
      </c>
      <c r="I4405" s="78">
        <f>IF(ISBLANK(G4405),"",IF(D4405="Stock","0",Key!$A$3*H4405*G4405))</f>
        <v/>
      </c>
      <c r="J4405" s="78">
        <f>IF(ISBLANK(E4405),"",IF(ISNUMBER(SEARCH("/",E4405)), IF(LEN(E4405)-LEN(SUBSTITUTE(E4405,"/",""))=1,(RIGHT(E4405,LEN(E4405)-FIND("/",E4405)))-(LEFT(E4405,FIND("/",E4405)-1)),(MID(E4405, SEARCH("/",E4405) + 1, SEARCH("/",E4405, SEARCH("/",E4405)+1) - SEARCH("/",E4405) - 1))-(LEFT(E4405,FIND("/",E4405)-1))), "NA"))</f>
        <v/>
      </c>
      <c r="K4405" s="79">
        <f>IF(A4405&lt;&gt;"", IF(ISBLANK(L4405), TODAY(), K4405), "")</f>
        <v/>
      </c>
      <c r="L4405" s="78" t="n"/>
      <c r="M4405" s="78">
        <f>IF(ISBLANK(L4405),"",IF(D4405="Stock",IF(C4405="Buy",L4405*G4405,IF(C4405="Sell",(L4405*G4405)-I4405, X)),IF(C4405="Buy",(L4405*G4405*100)+I4405,IF(C4405="Sell",(L4405*G4405*100)-I4405, X))))</f>
        <v/>
      </c>
      <c r="N4405" s="78">
        <f>IF(ISBLANK(L4405),"",IF(AND(C4405="Sell",D4405="Stock"),M4405,IF(ISBLANK(L4405),"",IF(C4405="Buy",M4405, IF(AND(C4405="Sell",J4405="NA"),(E4405*G4405*100*0.1)+I4405, IF(C4405="Sell",(J4405-L4405)*(100*G4405)+I4405))))))</f>
        <v/>
      </c>
      <c r="O4405" s="75" t="n"/>
      <c r="P4405" s="75" t="n"/>
      <c r="Q4405" s="75">
        <f>IF(ISBLANK(P4405),"",IF(D4405="Stock",P4405*G4405,IF(P4405=0,"0",G4405*P4405*100-(G4405*$AF$14))))</f>
        <v/>
      </c>
      <c r="R4405" s="79">
        <f>IF(P4405&lt;&gt;"", TODAY(), "")</f>
        <v/>
      </c>
      <c r="S4405" s="78">
        <f>IF(AND(K4405&lt;&gt;"", R4405&lt;&gt;""), R4405-K4405, "")</f>
        <v/>
      </c>
      <c r="T4405" s="78" t="n"/>
      <c r="U4405" s="92">
        <f>IF(ISBLANK(P4405),"",IF(C4405="Buy",Q4405-M4405+T4405, IF(C4405="Sell",M4405-Q4405-T4405, X)))</f>
        <v/>
      </c>
      <c r="V4405" s="81">
        <f>IF(ISBLANK(P4405),"",U4405/N4405)</f>
        <v/>
      </c>
      <c r="W4405" s="81">
        <f>IF(ISBLANK(P4405),"",IF(S4405=0,(365/0.5)*V4405,(365/S4405)*V4405))</f>
        <v/>
      </c>
      <c r="X4405" s="75" t="n"/>
      <c r="Y4405" s="77" t="n"/>
      <c r="Z4405" s="77" t="n"/>
      <c r="AA4405" s="75" t="n"/>
      <c r="AB4405" s="75" t="n"/>
      <c r="AC4405" s="6" t="n"/>
      <c r="AD4405" s="75" t="n"/>
      <c r="AE4405" s="75" t="n"/>
      <c r="AF4405" s="75" t="n"/>
    </row>
    <row r="4406" ht="15.75" customHeight="1" s="133">
      <c r="A4406" s="75" t="n"/>
      <c r="B4406" s="75" t="n"/>
      <c r="C4406" s="75" t="n"/>
      <c r="D4406" s="75" t="n"/>
      <c r="E4406" s="76" t="n"/>
      <c r="F4406" s="77" t="n"/>
      <c r="G4406" s="75" t="n"/>
      <c r="H4406" s="75">
        <f>IF(ISBLANK(E4406),"",IF(OR(D4406="Butterfly",D4406="Butterfly ",D4406="Iron Fly", D4406="Iron Fly "),LEN(E4406)-LEN(SUBSTITUTE(E4406,"/",""))+2,LEN(E4406)-LEN(SUBSTITUTE(E4406,"/",""))+1))</f>
        <v/>
      </c>
      <c r="I4406" s="78">
        <f>IF(ISBLANK(G4406),"",IF(D4406="Stock","0",Key!$A$3*H4406*G4406))</f>
        <v/>
      </c>
      <c r="J4406" s="78">
        <f>IF(ISBLANK(E4406),"",IF(ISNUMBER(SEARCH("/",E4406)), IF(LEN(E4406)-LEN(SUBSTITUTE(E4406,"/",""))=1,(RIGHT(E4406,LEN(E4406)-FIND("/",E4406)))-(LEFT(E4406,FIND("/",E4406)-1)),(MID(E4406, SEARCH("/",E4406) + 1, SEARCH("/",E4406, SEARCH("/",E4406)+1) - SEARCH("/",E4406) - 1))-(LEFT(E4406,FIND("/",E4406)-1))), "NA"))</f>
        <v/>
      </c>
      <c r="K4406" s="79">
        <f>IF(A4406&lt;&gt;"", IF(ISBLANK(L4406), TODAY(), K4406), "")</f>
        <v/>
      </c>
      <c r="L4406" s="78" t="n"/>
      <c r="M4406" s="78">
        <f>IF(ISBLANK(L4406),"",IF(D4406="Stock",IF(C4406="Buy",L4406*G4406,IF(C4406="Sell",(L4406*G4406)-I4406, X)),IF(C4406="Buy",(L4406*G4406*100)+I4406,IF(C4406="Sell",(L4406*G4406*100)-I4406, X))))</f>
        <v/>
      </c>
      <c r="N4406" s="78">
        <f>IF(ISBLANK(L4406),"",IF(AND(C4406="Sell",D4406="Stock"),M4406,IF(ISBLANK(L4406),"",IF(C4406="Buy",M4406, IF(AND(C4406="Sell",J4406="NA"),(E4406*G4406*100*0.1)+I4406, IF(C4406="Sell",(J4406-L4406)*(100*G4406)+I4406))))))</f>
        <v/>
      </c>
      <c r="O4406" s="75" t="n"/>
      <c r="P4406" s="75" t="n"/>
      <c r="Q4406" s="75">
        <f>IF(ISBLANK(P4406),"",IF(D4406="Stock",P4406*G4406,IF(P4406=0,"0",G4406*P4406*100-(G4406*$AF$14))))</f>
        <v/>
      </c>
      <c r="R4406" s="79">
        <f>IF(P4406&lt;&gt;"", TODAY(), "")</f>
        <v/>
      </c>
      <c r="S4406" s="78">
        <f>IF(AND(K4406&lt;&gt;"", R4406&lt;&gt;""), R4406-K4406, "")</f>
        <v/>
      </c>
      <c r="T4406" s="78" t="n"/>
      <c r="U4406" s="92">
        <f>IF(ISBLANK(P4406),"",IF(C4406="Buy",Q4406-M4406+T4406, IF(C4406="Sell",M4406-Q4406-T4406, X)))</f>
        <v/>
      </c>
      <c r="V4406" s="81">
        <f>IF(ISBLANK(P4406),"",U4406/N4406)</f>
        <v/>
      </c>
      <c r="W4406" s="81">
        <f>IF(ISBLANK(P4406),"",IF(S4406=0,(365/0.5)*V4406,(365/S4406)*V4406))</f>
        <v/>
      </c>
      <c r="X4406" s="75" t="n"/>
      <c r="Y4406" s="77" t="n"/>
      <c r="Z4406" s="77" t="n"/>
      <c r="AA4406" s="75" t="n"/>
      <c r="AB4406" s="75" t="n"/>
      <c r="AC4406" s="6" t="n"/>
      <c r="AD4406" s="75" t="n"/>
      <c r="AE4406" s="75" t="n"/>
      <c r="AF4406" s="75" t="n"/>
    </row>
    <row r="4407" ht="15.75" customHeight="1" s="133">
      <c r="A4407" s="75" t="n"/>
      <c r="B4407" s="75" t="n"/>
      <c r="C4407" s="75" t="n"/>
      <c r="D4407" s="75" t="n"/>
      <c r="E4407" s="76" t="n"/>
      <c r="F4407" s="77" t="n"/>
      <c r="G4407" s="75" t="n"/>
      <c r="H4407" s="75">
        <f>IF(ISBLANK(E4407),"",IF(OR(D4407="Butterfly",D4407="Butterfly ",D4407="Iron Fly", D4407="Iron Fly "),LEN(E4407)-LEN(SUBSTITUTE(E4407,"/",""))+2,LEN(E4407)-LEN(SUBSTITUTE(E4407,"/",""))+1))</f>
        <v/>
      </c>
      <c r="I4407" s="78">
        <f>IF(ISBLANK(G4407),"",IF(D4407="Stock","0",Key!$A$3*H4407*G4407))</f>
        <v/>
      </c>
      <c r="J4407" s="78">
        <f>IF(ISBLANK(E4407),"",IF(ISNUMBER(SEARCH("/",E4407)), IF(LEN(E4407)-LEN(SUBSTITUTE(E4407,"/",""))=1,(RIGHT(E4407,LEN(E4407)-FIND("/",E4407)))-(LEFT(E4407,FIND("/",E4407)-1)),(MID(E4407, SEARCH("/",E4407) + 1, SEARCH("/",E4407, SEARCH("/",E4407)+1) - SEARCH("/",E4407) - 1))-(LEFT(E4407,FIND("/",E4407)-1))), "NA"))</f>
        <v/>
      </c>
      <c r="K4407" s="79">
        <f>IF(A4407&lt;&gt;"", IF(ISBLANK(L4407), TODAY(), K4407), "")</f>
        <v/>
      </c>
      <c r="L4407" s="78" t="n"/>
      <c r="M4407" s="78">
        <f>IF(ISBLANK(L4407),"",IF(D4407="Stock",IF(C4407="Buy",L4407*G4407,IF(C4407="Sell",(L4407*G4407)-I4407, X)),IF(C4407="Buy",(L4407*G4407*100)+I4407,IF(C4407="Sell",(L4407*G4407*100)-I4407, X))))</f>
        <v/>
      </c>
      <c r="N4407" s="78">
        <f>IF(ISBLANK(L4407),"",IF(AND(C4407="Sell",D4407="Stock"),M4407,IF(ISBLANK(L4407),"",IF(C4407="Buy",M4407, IF(AND(C4407="Sell",J4407="NA"),(E4407*G4407*100*0.1)+I4407, IF(C4407="Sell",(J4407-L4407)*(100*G4407)+I4407))))))</f>
        <v/>
      </c>
      <c r="O4407" s="75" t="n"/>
      <c r="P4407" s="75" t="n"/>
      <c r="Q4407" s="75">
        <f>IF(ISBLANK(P4407),"",IF(D4407="Stock",P4407*G4407,IF(P4407=0,"0",G4407*P4407*100-(G4407*$AF$14))))</f>
        <v/>
      </c>
      <c r="R4407" s="79">
        <f>IF(P4407&lt;&gt;"", TODAY(), "")</f>
        <v/>
      </c>
      <c r="S4407" s="78">
        <f>IF(AND(K4407&lt;&gt;"", R4407&lt;&gt;""), R4407-K4407, "")</f>
        <v/>
      </c>
      <c r="T4407" s="78" t="n"/>
      <c r="U4407" s="92">
        <f>IF(ISBLANK(P4407),"",IF(C4407="Buy",Q4407-M4407+T4407, IF(C4407="Sell",M4407-Q4407-T4407, X)))</f>
        <v/>
      </c>
      <c r="V4407" s="81">
        <f>IF(ISBLANK(P4407),"",U4407/N4407)</f>
        <v/>
      </c>
      <c r="W4407" s="81">
        <f>IF(ISBLANK(P4407),"",IF(S4407=0,(365/0.5)*V4407,(365/S4407)*V4407))</f>
        <v/>
      </c>
      <c r="X4407" s="75" t="n"/>
      <c r="Y4407" s="77" t="n"/>
      <c r="Z4407" s="77" t="n"/>
      <c r="AA4407" s="75" t="n"/>
      <c r="AB4407" s="75" t="n"/>
      <c r="AC4407" s="6" t="n"/>
      <c r="AD4407" s="75" t="n"/>
      <c r="AE4407" s="75" t="n"/>
      <c r="AF4407" s="75" t="n"/>
    </row>
    <row r="4408" ht="15.75" customHeight="1" s="133">
      <c r="A4408" s="75" t="n"/>
      <c r="B4408" s="75" t="n"/>
      <c r="C4408" s="75" t="n"/>
      <c r="D4408" s="75" t="n"/>
      <c r="E4408" s="76" t="n"/>
      <c r="F4408" s="77" t="n"/>
      <c r="G4408" s="75" t="n"/>
      <c r="H4408" s="75">
        <f>IF(ISBLANK(E4408),"",IF(OR(D4408="Butterfly",D4408="Butterfly ",D4408="Iron Fly", D4408="Iron Fly "),LEN(E4408)-LEN(SUBSTITUTE(E4408,"/",""))+2,LEN(E4408)-LEN(SUBSTITUTE(E4408,"/",""))+1))</f>
        <v/>
      </c>
      <c r="I4408" s="78">
        <f>IF(ISBLANK(G4408),"",IF(D4408="Stock","0",Key!$A$3*H4408*G4408))</f>
        <v/>
      </c>
      <c r="J4408" s="78">
        <f>IF(ISBLANK(E4408),"",IF(ISNUMBER(SEARCH("/",E4408)), IF(LEN(E4408)-LEN(SUBSTITUTE(E4408,"/",""))=1,(RIGHT(E4408,LEN(E4408)-FIND("/",E4408)))-(LEFT(E4408,FIND("/",E4408)-1)),(MID(E4408, SEARCH("/",E4408) + 1, SEARCH("/",E4408, SEARCH("/",E4408)+1) - SEARCH("/",E4408) - 1))-(LEFT(E4408,FIND("/",E4408)-1))), "NA"))</f>
        <v/>
      </c>
      <c r="K4408" s="79">
        <f>IF(A4408&lt;&gt;"", IF(ISBLANK(L4408), TODAY(), K4408), "")</f>
        <v/>
      </c>
      <c r="L4408" s="78" t="n"/>
      <c r="M4408" s="78">
        <f>IF(ISBLANK(L4408),"",IF(D4408="Stock",IF(C4408="Buy",L4408*G4408,IF(C4408="Sell",(L4408*G4408)-I4408, X)),IF(C4408="Buy",(L4408*G4408*100)+I4408,IF(C4408="Sell",(L4408*G4408*100)-I4408, X))))</f>
        <v/>
      </c>
      <c r="N4408" s="78">
        <f>IF(ISBLANK(L4408),"",IF(AND(C4408="Sell",D4408="Stock"),M4408,IF(ISBLANK(L4408),"",IF(C4408="Buy",M4408, IF(AND(C4408="Sell",J4408="NA"),(E4408*G4408*100*0.1)+I4408, IF(C4408="Sell",(J4408-L4408)*(100*G4408)+I4408))))))</f>
        <v/>
      </c>
      <c r="O4408" s="75" t="n"/>
      <c r="P4408" s="75" t="n"/>
      <c r="Q4408" s="75">
        <f>IF(ISBLANK(P4408),"",IF(D4408="Stock",P4408*G4408,IF(P4408=0,"0",G4408*P4408*100-(G4408*$AF$14))))</f>
        <v/>
      </c>
      <c r="R4408" s="79">
        <f>IF(P4408&lt;&gt;"", TODAY(), "")</f>
        <v/>
      </c>
      <c r="S4408" s="78">
        <f>IF(AND(K4408&lt;&gt;"", R4408&lt;&gt;""), R4408-K4408, "")</f>
        <v/>
      </c>
      <c r="T4408" s="78" t="n"/>
      <c r="U4408" s="92">
        <f>IF(ISBLANK(P4408),"",IF(C4408="Buy",Q4408-M4408+T4408, IF(C4408="Sell",M4408-Q4408-T4408, X)))</f>
        <v/>
      </c>
      <c r="V4408" s="81">
        <f>IF(ISBLANK(P4408),"",U4408/N4408)</f>
        <v/>
      </c>
      <c r="W4408" s="81">
        <f>IF(ISBLANK(P4408),"",IF(S4408=0,(365/0.5)*V4408,(365/S4408)*V4408))</f>
        <v/>
      </c>
      <c r="X4408" s="75" t="n"/>
      <c r="Y4408" s="77" t="n"/>
      <c r="Z4408" s="77" t="n"/>
      <c r="AA4408" s="75" t="n"/>
      <c r="AB4408" s="75" t="n"/>
      <c r="AC4408" s="6" t="n"/>
      <c r="AD4408" s="75" t="n"/>
      <c r="AE4408" s="75" t="n"/>
      <c r="AF4408" s="75" t="n"/>
    </row>
    <row r="4409" ht="15.75" customHeight="1" s="133">
      <c r="A4409" s="75" t="n"/>
      <c r="B4409" s="75" t="n"/>
      <c r="C4409" s="75" t="n"/>
      <c r="D4409" s="75" t="n"/>
      <c r="E4409" s="76" t="n"/>
      <c r="F4409" s="77" t="n"/>
      <c r="G4409" s="75" t="n"/>
      <c r="H4409" s="75">
        <f>IF(ISBLANK(E4409),"",IF(OR(D4409="Butterfly",D4409="Butterfly ",D4409="Iron Fly", D4409="Iron Fly "),LEN(E4409)-LEN(SUBSTITUTE(E4409,"/",""))+2,LEN(E4409)-LEN(SUBSTITUTE(E4409,"/",""))+1))</f>
        <v/>
      </c>
      <c r="I4409" s="78">
        <f>IF(ISBLANK(G4409),"",IF(D4409="Stock","0",Key!$A$3*H4409*G4409))</f>
        <v/>
      </c>
      <c r="J4409" s="78">
        <f>IF(ISBLANK(E4409),"",IF(ISNUMBER(SEARCH("/",E4409)), IF(LEN(E4409)-LEN(SUBSTITUTE(E4409,"/",""))=1,(RIGHT(E4409,LEN(E4409)-FIND("/",E4409)))-(LEFT(E4409,FIND("/",E4409)-1)),(MID(E4409, SEARCH("/",E4409) + 1, SEARCH("/",E4409, SEARCH("/",E4409)+1) - SEARCH("/",E4409) - 1))-(LEFT(E4409,FIND("/",E4409)-1))), "NA"))</f>
        <v/>
      </c>
      <c r="K4409" s="79">
        <f>IF(A4409&lt;&gt;"", IF(ISBLANK(L4409), TODAY(), K4409), "")</f>
        <v/>
      </c>
      <c r="L4409" s="78" t="n"/>
      <c r="M4409" s="78">
        <f>IF(ISBLANK(L4409),"",IF(D4409="Stock",IF(C4409="Buy",L4409*G4409,IF(C4409="Sell",(L4409*G4409)-I4409, X)),IF(C4409="Buy",(L4409*G4409*100)+I4409,IF(C4409="Sell",(L4409*G4409*100)-I4409, X))))</f>
        <v/>
      </c>
      <c r="N4409" s="78">
        <f>IF(ISBLANK(L4409),"",IF(AND(C4409="Sell",D4409="Stock"),M4409,IF(ISBLANK(L4409),"",IF(C4409="Buy",M4409, IF(AND(C4409="Sell",J4409="NA"),(E4409*G4409*100*0.1)+I4409, IF(C4409="Sell",(J4409-L4409)*(100*G4409)+I4409))))))</f>
        <v/>
      </c>
      <c r="O4409" s="75" t="n"/>
      <c r="P4409" s="75" t="n"/>
      <c r="Q4409" s="75">
        <f>IF(ISBLANK(P4409),"",IF(D4409="Stock",P4409*G4409,IF(P4409=0,"0",G4409*P4409*100-(G4409*$AF$14))))</f>
        <v/>
      </c>
      <c r="R4409" s="79">
        <f>IF(P4409&lt;&gt;"", TODAY(), "")</f>
        <v/>
      </c>
      <c r="S4409" s="78">
        <f>IF(AND(K4409&lt;&gt;"", R4409&lt;&gt;""), R4409-K4409, "")</f>
        <v/>
      </c>
      <c r="T4409" s="78" t="n"/>
      <c r="U4409" s="92">
        <f>IF(ISBLANK(P4409),"",IF(C4409="Buy",Q4409-M4409+T4409, IF(C4409="Sell",M4409-Q4409-T4409, X)))</f>
        <v/>
      </c>
      <c r="V4409" s="81">
        <f>IF(ISBLANK(P4409),"",U4409/N4409)</f>
        <v/>
      </c>
      <c r="W4409" s="81">
        <f>IF(ISBLANK(P4409),"",IF(S4409=0,(365/0.5)*V4409,(365/S4409)*V4409))</f>
        <v/>
      </c>
      <c r="X4409" s="75" t="n"/>
      <c r="Y4409" s="77" t="n"/>
      <c r="Z4409" s="77" t="n"/>
      <c r="AA4409" s="75" t="n"/>
      <c r="AB4409" s="75" t="n"/>
      <c r="AC4409" s="6" t="n"/>
      <c r="AD4409" s="75" t="n"/>
      <c r="AE4409" s="75" t="n"/>
      <c r="AF4409" s="75" t="n"/>
    </row>
    <row r="4410" ht="15.75" customHeight="1" s="133">
      <c r="A4410" s="75" t="n"/>
      <c r="B4410" s="75" t="n"/>
      <c r="C4410" s="75" t="n"/>
      <c r="D4410" s="75" t="n"/>
      <c r="E4410" s="76" t="n"/>
      <c r="F4410" s="77" t="n"/>
      <c r="G4410" s="75" t="n"/>
      <c r="H4410" s="75">
        <f>IF(ISBLANK(E4410),"",IF(OR(D4410="Butterfly",D4410="Butterfly ",D4410="Iron Fly", D4410="Iron Fly "),LEN(E4410)-LEN(SUBSTITUTE(E4410,"/",""))+2,LEN(E4410)-LEN(SUBSTITUTE(E4410,"/",""))+1))</f>
        <v/>
      </c>
      <c r="I4410" s="78">
        <f>IF(ISBLANK(G4410),"",IF(D4410="Stock","0",Key!$A$3*H4410*G4410))</f>
        <v/>
      </c>
      <c r="J4410" s="78">
        <f>IF(ISBLANK(E4410),"",IF(ISNUMBER(SEARCH("/",E4410)), IF(LEN(E4410)-LEN(SUBSTITUTE(E4410,"/",""))=1,(RIGHT(E4410,LEN(E4410)-FIND("/",E4410)))-(LEFT(E4410,FIND("/",E4410)-1)),(MID(E4410, SEARCH("/",E4410) + 1, SEARCH("/",E4410, SEARCH("/",E4410)+1) - SEARCH("/",E4410) - 1))-(LEFT(E4410,FIND("/",E4410)-1))), "NA"))</f>
        <v/>
      </c>
      <c r="K4410" s="79">
        <f>IF(A4410&lt;&gt;"", IF(ISBLANK(L4410), TODAY(), K4410), "")</f>
        <v/>
      </c>
      <c r="L4410" s="78" t="n"/>
      <c r="M4410" s="78">
        <f>IF(ISBLANK(L4410),"",IF(D4410="Stock",IF(C4410="Buy",L4410*G4410,IF(C4410="Sell",(L4410*G4410)-I4410, X)),IF(C4410="Buy",(L4410*G4410*100)+I4410,IF(C4410="Sell",(L4410*G4410*100)-I4410, X))))</f>
        <v/>
      </c>
      <c r="N4410" s="78">
        <f>IF(ISBLANK(L4410),"",IF(AND(C4410="Sell",D4410="Stock"),M4410,IF(ISBLANK(L4410),"",IF(C4410="Buy",M4410, IF(AND(C4410="Sell",J4410="NA"),(E4410*G4410*100*0.1)+I4410, IF(C4410="Sell",(J4410-L4410)*(100*G4410)+I4410))))))</f>
        <v/>
      </c>
      <c r="O4410" s="75" t="n"/>
      <c r="P4410" s="75" t="n"/>
      <c r="Q4410" s="75">
        <f>IF(ISBLANK(P4410),"",IF(D4410="Stock",P4410*G4410,IF(P4410=0,"0",G4410*P4410*100-(G4410*$AF$14))))</f>
        <v/>
      </c>
      <c r="R4410" s="79">
        <f>IF(P4410&lt;&gt;"", TODAY(), "")</f>
        <v/>
      </c>
      <c r="S4410" s="78">
        <f>IF(AND(K4410&lt;&gt;"", R4410&lt;&gt;""), R4410-K4410, "")</f>
        <v/>
      </c>
      <c r="T4410" s="78" t="n"/>
      <c r="U4410" s="92">
        <f>IF(ISBLANK(P4410),"",IF(C4410="Buy",Q4410-M4410+T4410, IF(C4410="Sell",M4410-Q4410-T4410, X)))</f>
        <v/>
      </c>
      <c r="V4410" s="81">
        <f>IF(ISBLANK(P4410),"",U4410/N4410)</f>
        <v/>
      </c>
      <c r="W4410" s="81">
        <f>IF(ISBLANK(P4410),"",IF(S4410=0,(365/0.5)*V4410,(365/S4410)*V4410))</f>
        <v/>
      </c>
      <c r="X4410" s="75" t="n"/>
      <c r="Y4410" s="77" t="n"/>
      <c r="Z4410" s="77" t="n"/>
      <c r="AA4410" s="75" t="n"/>
      <c r="AB4410" s="75" t="n"/>
      <c r="AC4410" s="6" t="n"/>
      <c r="AD4410" s="75" t="n"/>
      <c r="AE4410" s="75" t="n"/>
      <c r="AF4410" s="75" t="n"/>
    </row>
    <row r="4411" ht="15.75" customHeight="1" s="133">
      <c r="A4411" s="75" t="n"/>
      <c r="B4411" s="75" t="n"/>
      <c r="C4411" s="75" t="n"/>
      <c r="D4411" s="75" t="n"/>
      <c r="E4411" s="76" t="n"/>
      <c r="F4411" s="77" t="n"/>
      <c r="G4411" s="75" t="n"/>
      <c r="H4411" s="75">
        <f>IF(ISBLANK(E4411),"",IF(OR(D4411="Butterfly",D4411="Butterfly ",D4411="Iron Fly", D4411="Iron Fly "),LEN(E4411)-LEN(SUBSTITUTE(E4411,"/",""))+2,LEN(E4411)-LEN(SUBSTITUTE(E4411,"/",""))+1))</f>
        <v/>
      </c>
      <c r="I4411" s="78">
        <f>IF(ISBLANK(G4411),"",IF(D4411="Stock","0",Key!$A$3*H4411*G4411))</f>
        <v/>
      </c>
      <c r="J4411" s="78">
        <f>IF(ISBLANK(E4411),"",IF(ISNUMBER(SEARCH("/",E4411)), IF(LEN(E4411)-LEN(SUBSTITUTE(E4411,"/",""))=1,(RIGHT(E4411,LEN(E4411)-FIND("/",E4411)))-(LEFT(E4411,FIND("/",E4411)-1)),(MID(E4411, SEARCH("/",E4411) + 1, SEARCH("/",E4411, SEARCH("/",E4411)+1) - SEARCH("/",E4411) - 1))-(LEFT(E4411,FIND("/",E4411)-1))), "NA"))</f>
        <v/>
      </c>
      <c r="K4411" s="79">
        <f>IF(A4411&lt;&gt;"", IF(ISBLANK(L4411), TODAY(), K4411), "")</f>
        <v/>
      </c>
      <c r="L4411" s="78" t="n"/>
      <c r="M4411" s="78">
        <f>IF(ISBLANK(L4411),"",IF(D4411="Stock",IF(C4411="Buy",L4411*G4411,IF(C4411="Sell",(L4411*G4411)-I4411, X)),IF(C4411="Buy",(L4411*G4411*100)+I4411,IF(C4411="Sell",(L4411*G4411*100)-I4411, X))))</f>
        <v/>
      </c>
      <c r="N4411" s="78">
        <f>IF(ISBLANK(L4411),"",IF(AND(C4411="Sell",D4411="Stock"),M4411,IF(ISBLANK(L4411),"",IF(C4411="Buy",M4411, IF(AND(C4411="Sell",J4411="NA"),(E4411*G4411*100*0.1)+I4411, IF(C4411="Sell",(J4411-L4411)*(100*G4411)+I4411))))))</f>
        <v/>
      </c>
      <c r="O4411" s="75" t="n"/>
      <c r="P4411" s="75" t="n"/>
      <c r="Q4411" s="75">
        <f>IF(ISBLANK(P4411),"",IF(D4411="Stock",P4411*G4411,IF(P4411=0,"0",G4411*P4411*100-(G4411*$AF$14))))</f>
        <v/>
      </c>
      <c r="R4411" s="79">
        <f>IF(P4411&lt;&gt;"", TODAY(), "")</f>
        <v/>
      </c>
      <c r="S4411" s="78">
        <f>IF(AND(K4411&lt;&gt;"", R4411&lt;&gt;""), R4411-K4411, "")</f>
        <v/>
      </c>
      <c r="T4411" s="78" t="n"/>
      <c r="U4411" s="92">
        <f>IF(ISBLANK(P4411),"",IF(C4411="Buy",Q4411-M4411+T4411, IF(C4411="Sell",M4411-Q4411-T4411, X)))</f>
        <v/>
      </c>
      <c r="V4411" s="81">
        <f>IF(ISBLANK(P4411),"",U4411/N4411)</f>
        <v/>
      </c>
      <c r="W4411" s="81">
        <f>IF(ISBLANK(P4411),"",IF(S4411=0,(365/0.5)*V4411,(365/S4411)*V4411))</f>
        <v/>
      </c>
      <c r="X4411" s="75" t="n"/>
      <c r="Y4411" s="77" t="n"/>
      <c r="Z4411" s="77" t="n"/>
      <c r="AA4411" s="75" t="n"/>
      <c r="AB4411" s="75" t="n"/>
      <c r="AC4411" s="6" t="n"/>
      <c r="AD4411" s="75" t="n"/>
      <c r="AE4411" s="75" t="n"/>
      <c r="AF4411" s="75" t="n"/>
    </row>
    <row r="4412" ht="15.75" customHeight="1" s="133">
      <c r="A4412" s="75" t="n"/>
      <c r="B4412" s="75" t="n"/>
      <c r="C4412" s="75" t="n"/>
      <c r="D4412" s="75" t="n"/>
      <c r="E4412" s="76" t="n"/>
      <c r="F4412" s="77" t="n"/>
      <c r="G4412" s="75" t="n"/>
      <c r="H4412" s="75">
        <f>IF(ISBLANK(E4412),"",IF(OR(D4412="Butterfly",D4412="Butterfly ",D4412="Iron Fly", D4412="Iron Fly "),LEN(E4412)-LEN(SUBSTITUTE(E4412,"/",""))+2,LEN(E4412)-LEN(SUBSTITUTE(E4412,"/",""))+1))</f>
        <v/>
      </c>
      <c r="I4412" s="78">
        <f>IF(ISBLANK(G4412),"",IF(D4412="Stock","0",Key!$A$3*H4412*G4412))</f>
        <v/>
      </c>
      <c r="J4412" s="78">
        <f>IF(ISBLANK(E4412),"",IF(ISNUMBER(SEARCH("/",E4412)), IF(LEN(E4412)-LEN(SUBSTITUTE(E4412,"/",""))=1,(RIGHT(E4412,LEN(E4412)-FIND("/",E4412)))-(LEFT(E4412,FIND("/",E4412)-1)),(MID(E4412, SEARCH("/",E4412) + 1, SEARCH("/",E4412, SEARCH("/",E4412)+1) - SEARCH("/",E4412) - 1))-(LEFT(E4412,FIND("/",E4412)-1))), "NA"))</f>
        <v/>
      </c>
      <c r="K4412" s="79">
        <f>IF(A4412&lt;&gt;"", IF(ISBLANK(L4412), TODAY(), K4412), "")</f>
        <v/>
      </c>
      <c r="L4412" s="78" t="n"/>
      <c r="M4412" s="78">
        <f>IF(ISBLANK(L4412),"",IF(D4412="Stock",IF(C4412="Buy",L4412*G4412,IF(C4412="Sell",(L4412*G4412)-I4412, X)),IF(C4412="Buy",(L4412*G4412*100)+I4412,IF(C4412="Sell",(L4412*G4412*100)-I4412, X))))</f>
        <v/>
      </c>
      <c r="N4412" s="78">
        <f>IF(ISBLANK(L4412),"",IF(AND(C4412="Sell",D4412="Stock"),M4412,IF(ISBLANK(L4412),"",IF(C4412="Buy",M4412, IF(AND(C4412="Sell",J4412="NA"),(E4412*G4412*100*0.1)+I4412, IF(C4412="Sell",(J4412-L4412)*(100*G4412)+I4412))))))</f>
        <v/>
      </c>
      <c r="O4412" s="75" t="n"/>
      <c r="P4412" s="75" t="n"/>
      <c r="Q4412" s="75">
        <f>IF(ISBLANK(P4412),"",IF(D4412="Stock",P4412*G4412,IF(P4412=0,"0",G4412*P4412*100-(G4412*$AF$14))))</f>
        <v/>
      </c>
      <c r="R4412" s="79">
        <f>IF(P4412&lt;&gt;"", TODAY(), "")</f>
        <v/>
      </c>
      <c r="S4412" s="78">
        <f>IF(AND(K4412&lt;&gt;"", R4412&lt;&gt;""), R4412-K4412, "")</f>
        <v/>
      </c>
      <c r="T4412" s="78" t="n"/>
      <c r="U4412" s="92">
        <f>IF(ISBLANK(P4412),"",IF(C4412="Buy",Q4412-M4412+T4412, IF(C4412="Sell",M4412-Q4412-T4412, X)))</f>
        <v/>
      </c>
      <c r="V4412" s="81">
        <f>IF(ISBLANK(P4412),"",U4412/N4412)</f>
        <v/>
      </c>
      <c r="W4412" s="81">
        <f>IF(ISBLANK(P4412),"",IF(S4412=0,(365/0.5)*V4412,(365/S4412)*V4412))</f>
        <v/>
      </c>
      <c r="X4412" s="75" t="n"/>
      <c r="Y4412" s="77" t="n"/>
      <c r="Z4412" s="77" t="n"/>
      <c r="AA4412" s="75" t="n"/>
      <c r="AB4412" s="75" t="n"/>
      <c r="AC4412" s="6" t="n"/>
      <c r="AD4412" s="75" t="n"/>
      <c r="AE4412" s="75" t="n"/>
      <c r="AF4412" s="75" t="n"/>
    </row>
    <row r="4413" ht="15.75" customHeight="1" s="133">
      <c r="A4413" s="75" t="n"/>
      <c r="B4413" s="75" t="n"/>
      <c r="C4413" s="75" t="n"/>
      <c r="D4413" s="75" t="n"/>
      <c r="E4413" s="76" t="n"/>
      <c r="F4413" s="77" t="n"/>
      <c r="G4413" s="75" t="n"/>
      <c r="H4413" s="75">
        <f>IF(ISBLANK(E4413),"",IF(OR(D4413="Butterfly",D4413="Butterfly ",D4413="Iron Fly", D4413="Iron Fly "),LEN(E4413)-LEN(SUBSTITUTE(E4413,"/",""))+2,LEN(E4413)-LEN(SUBSTITUTE(E4413,"/",""))+1))</f>
        <v/>
      </c>
      <c r="I4413" s="78">
        <f>IF(ISBLANK(G4413),"",IF(D4413="Stock","0",Key!$A$3*H4413*G4413))</f>
        <v/>
      </c>
      <c r="J4413" s="78">
        <f>IF(ISBLANK(E4413),"",IF(ISNUMBER(SEARCH("/",E4413)), IF(LEN(E4413)-LEN(SUBSTITUTE(E4413,"/",""))=1,(RIGHT(E4413,LEN(E4413)-FIND("/",E4413)))-(LEFT(E4413,FIND("/",E4413)-1)),(MID(E4413, SEARCH("/",E4413) + 1, SEARCH("/",E4413, SEARCH("/",E4413)+1) - SEARCH("/",E4413) - 1))-(LEFT(E4413,FIND("/",E4413)-1))), "NA"))</f>
        <v/>
      </c>
      <c r="K4413" s="79">
        <f>IF(A4413&lt;&gt;"", IF(ISBLANK(L4413), TODAY(), K4413), "")</f>
        <v/>
      </c>
      <c r="L4413" s="78" t="n"/>
      <c r="M4413" s="78">
        <f>IF(ISBLANK(L4413),"",IF(D4413="Stock",IF(C4413="Buy",L4413*G4413,IF(C4413="Sell",(L4413*G4413)-I4413, X)),IF(C4413="Buy",(L4413*G4413*100)+I4413,IF(C4413="Sell",(L4413*G4413*100)-I4413, X))))</f>
        <v/>
      </c>
      <c r="N4413" s="78">
        <f>IF(ISBLANK(L4413),"",IF(AND(C4413="Sell",D4413="Stock"),M4413,IF(ISBLANK(L4413),"",IF(C4413="Buy",M4413, IF(AND(C4413="Sell",J4413="NA"),(E4413*G4413*100*0.1)+I4413, IF(C4413="Sell",(J4413-L4413)*(100*G4413)+I4413))))))</f>
        <v/>
      </c>
      <c r="O4413" s="75" t="n"/>
      <c r="P4413" s="75" t="n"/>
      <c r="Q4413" s="75">
        <f>IF(ISBLANK(P4413),"",IF(D4413="Stock",P4413*G4413,IF(P4413=0,"0",G4413*P4413*100-(G4413*$AF$14))))</f>
        <v/>
      </c>
      <c r="R4413" s="79">
        <f>IF(P4413&lt;&gt;"", TODAY(), "")</f>
        <v/>
      </c>
      <c r="S4413" s="78">
        <f>IF(AND(K4413&lt;&gt;"", R4413&lt;&gt;""), R4413-K4413, "")</f>
        <v/>
      </c>
      <c r="T4413" s="78" t="n"/>
      <c r="U4413" s="92">
        <f>IF(ISBLANK(P4413),"",IF(C4413="Buy",Q4413-M4413+T4413, IF(C4413="Sell",M4413-Q4413-T4413, X)))</f>
        <v/>
      </c>
      <c r="V4413" s="81">
        <f>IF(ISBLANK(P4413),"",U4413/N4413)</f>
        <v/>
      </c>
      <c r="W4413" s="81">
        <f>IF(ISBLANK(P4413),"",IF(S4413=0,(365/0.5)*V4413,(365/S4413)*V4413))</f>
        <v/>
      </c>
      <c r="X4413" s="75" t="n"/>
      <c r="Y4413" s="77" t="n"/>
      <c r="Z4413" s="77" t="n"/>
      <c r="AA4413" s="75" t="n"/>
      <c r="AB4413" s="75" t="n"/>
      <c r="AC4413" s="6" t="n"/>
      <c r="AD4413" s="75" t="n"/>
      <c r="AE4413" s="75" t="n"/>
      <c r="AF4413" s="75" t="n"/>
    </row>
    <row r="4414" ht="15.75" customHeight="1" s="133">
      <c r="A4414" s="75" t="n"/>
      <c r="B4414" s="75" t="n"/>
      <c r="C4414" s="75" t="n"/>
      <c r="D4414" s="75" t="n"/>
      <c r="E4414" s="76" t="n"/>
      <c r="F4414" s="77" t="n"/>
      <c r="G4414" s="75" t="n"/>
      <c r="H4414" s="75">
        <f>IF(ISBLANK(E4414),"",IF(OR(D4414="Butterfly",D4414="Butterfly ",D4414="Iron Fly", D4414="Iron Fly "),LEN(E4414)-LEN(SUBSTITUTE(E4414,"/",""))+2,LEN(E4414)-LEN(SUBSTITUTE(E4414,"/",""))+1))</f>
        <v/>
      </c>
      <c r="I4414" s="78">
        <f>IF(ISBLANK(G4414),"",IF(D4414="Stock","0",Key!$A$3*H4414*G4414))</f>
        <v/>
      </c>
      <c r="J4414" s="78">
        <f>IF(ISBLANK(E4414),"",IF(ISNUMBER(SEARCH("/",E4414)), IF(LEN(E4414)-LEN(SUBSTITUTE(E4414,"/",""))=1,(RIGHT(E4414,LEN(E4414)-FIND("/",E4414)))-(LEFT(E4414,FIND("/",E4414)-1)),(MID(E4414, SEARCH("/",E4414) + 1, SEARCH("/",E4414, SEARCH("/",E4414)+1) - SEARCH("/",E4414) - 1))-(LEFT(E4414,FIND("/",E4414)-1))), "NA"))</f>
        <v/>
      </c>
      <c r="K4414" s="79">
        <f>IF(A4414&lt;&gt;"", IF(ISBLANK(L4414), TODAY(), K4414), "")</f>
        <v/>
      </c>
      <c r="L4414" s="78" t="n"/>
      <c r="M4414" s="78">
        <f>IF(ISBLANK(L4414),"",IF(D4414="Stock",IF(C4414="Buy",L4414*G4414,IF(C4414="Sell",(L4414*G4414)-I4414, X)),IF(C4414="Buy",(L4414*G4414*100)+I4414,IF(C4414="Sell",(L4414*G4414*100)-I4414, X))))</f>
        <v/>
      </c>
      <c r="N4414" s="78">
        <f>IF(ISBLANK(L4414),"",IF(AND(C4414="Sell",D4414="Stock"),M4414,IF(ISBLANK(L4414),"",IF(C4414="Buy",M4414, IF(AND(C4414="Sell",J4414="NA"),(E4414*G4414*100*0.1)+I4414, IF(C4414="Sell",(J4414-L4414)*(100*G4414)+I4414))))))</f>
        <v/>
      </c>
      <c r="O4414" s="75" t="n"/>
      <c r="P4414" s="75" t="n"/>
      <c r="Q4414" s="75">
        <f>IF(ISBLANK(P4414),"",IF(D4414="Stock",P4414*G4414,IF(P4414=0,"0",G4414*P4414*100-(G4414*$AF$14))))</f>
        <v/>
      </c>
      <c r="R4414" s="79">
        <f>IF(P4414&lt;&gt;"", TODAY(), "")</f>
        <v/>
      </c>
      <c r="S4414" s="78">
        <f>IF(AND(K4414&lt;&gt;"", R4414&lt;&gt;""), R4414-K4414, "")</f>
        <v/>
      </c>
      <c r="T4414" s="78" t="n"/>
      <c r="U4414" s="92">
        <f>IF(ISBLANK(P4414),"",IF(C4414="Buy",Q4414-M4414+T4414, IF(C4414="Sell",M4414-Q4414-T4414, X)))</f>
        <v/>
      </c>
      <c r="V4414" s="81">
        <f>IF(ISBLANK(P4414),"",U4414/N4414)</f>
        <v/>
      </c>
      <c r="W4414" s="81">
        <f>IF(ISBLANK(P4414),"",IF(S4414=0,(365/0.5)*V4414,(365/S4414)*V4414))</f>
        <v/>
      </c>
      <c r="X4414" s="75" t="n"/>
      <c r="Y4414" s="77" t="n"/>
      <c r="Z4414" s="77" t="n"/>
      <c r="AA4414" s="75" t="n"/>
      <c r="AB4414" s="75" t="n"/>
      <c r="AC4414" s="6" t="n"/>
      <c r="AD4414" s="75" t="n"/>
      <c r="AE4414" s="75" t="n"/>
      <c r="AF4414" s="75" t="n"/>
    </row>
    <row r="4415" ht="15.75" customHeight="1" s="133">
      <c r="A4415" s="75" t="n"/>
      <c r="B4415" s="75" t="n"/>
      <c r="C4415" s="75" t="n"/>
      <c r="D4415" s="75" t="n"/>
      <c r="E4415" s="76" t="n"/>
      <c r="F4415" s="77" t="n"/>
      <c r="G4415" s="75" t="n"/>
      <c r="H4415" s="75">
        <f>IF(ISBLANK(E4415),"",IF(OR(D4415="Butterfly",D4415="Butterfly ",D4415="Iron Fly", D4415="Iron Fly "),LEN(E4415)-LEN(SUBSTITUTE(E4415,"/",""))+2,LEN(E4415)-LEN(SUBSTITUTE(E4415,"/",""))+1))</f>
        <v/>
      </c>
      <c r="I4415" s="78">
        <f>IF(ISBLANK(G4415),"",IF(D4415="Stock","0",Key!$A$3*H4415*G4415))</f>
        <v/>
      </c>
      <c r="J4415" s="78">
        <f>IF(ISBLANK(E4415),"",IF(ISNUMBER(SEARCH("/",E4415)), IF(LEN(E4415)-LEN(SUBSTITUTE(E4415,"/",""))=1,(RIGHT(E4415,LEN(E4415)-FIND("/",E4415)))-(LEFT(E4415,FIND("/",E4415)-1)),(MID(E4415, SEARCH("/",E4415) + 1, SEARCH("/",E4415, SEARCH("/",E4415)+1) - SEARCH("/",E4415) - 1))-(LEFT(E4415,FIND("/",E4415)-1))), "NA"))</f>
        <v/>
      </c>
      <c r="K4415" s="79">
        <f>IF(A4415&lt;&gt;"", IF(ISBLANK(L4415), TODAY(), K4415), "")</f>
        <v/>
      </c>
      <c r="L4415" s="78" t="n"/>
      <c r="M4415" s="78">
        <f>IF(ISBLANK(L4415),"",IF(D4415="Stock",IF(C4415="Buy",L4415*G4415,IF(C4415="Sell",(L4415*G4415)-I4415, X)),IF(C4415="Buy",(L4415*G4415*100)+I4415,IF(C4415="Sell",(L4415*G4415*100)-I4415, X))))</f>
        <v/>
      </c>
      <c r="N4415" s="78">
        <f>IF(ISBLANK(L4415),"",IF(AND(C4415="Sell",D4415="Stock"),M4415,IF(ISBLANK(L4415),"",IF(C4415="Buy",M4415, IF(AND(C4415="Sell",J4415="NA"),(E4415*G4415*100*0.1)+I4415, IF(C4415="Sell",(J4415-L4415)*(100*G4415)+I4415))))))</f>
        <v/>
      </c>
      <c r="O4415" s="75" t="n"/>
      <c r="P4415" s="75" t="n"/>
      <c r="Q4415" s="75">
        <f>IF(ISBLANK(P4415),"",IF(D4415="Stock",P4415*G4415,IF(P4415=0,"0",G4415*P4415*100-(G4415*$AF$14))))</f>
        <v/>
      </c>
      <c r="R4415" s="79">
        <f>IF(P4415&lt;&gt;"", TODAY(), "")</f>
        <v/>
      </c>
      <c r="S4415" s="78">
        <f>IF(AND(K4415&lt;&gt;"", R4415&lt;&gt;""), R4415-K4415, "")</f>
        <v/>
      </c>
      <c r="T4415" s="78" t="n"/>
      <c r="U4415" s="92">
        <f>IF(ISBLANK(P4415),"",IF(C4415="Buy",Q4415-M4415+T4415, IF(C4415="Sell",M4415-Q4415-T4415, X)))</f>
        <v/>
      </c>
      <c r="V4415" s="81">
        <f>IF(ISBLANK(P4415),"",U4415/N4415)</f>
        <v/>
      </c>
      <c r="W4415" s="81">
        <f>IF(ISBLANK(P4415),"",IF(S4415=0,(365/0.5)*V4415,(365/S4415)*V4415))</f>
        <v/>
      </c>
      <c r="X4415" s="75" t="n"/>
      <c r="Y4415" s="77" t="n"/>
      <c r="Z4415" s="77" t="n"/>
      <c r="AA4415" s="75" t="n"/>
      <c r="AB4415" s="75" t="n"/>
      <c r="AC4415" s="6" t="n"/>
      <c r="AD4415" s="75" t="n"/>
      <c r="AE4415" s="75" t="n"/>
      <c r="AF4415" s="75" t="n"/>
    </row>
    <row r="4416" ht="15.75" customHeight="1" s="133">
      <c r="A4416" s="75" t="n"/>
      <c r="B4416" s="75" t="n"/>
      <c r="C4416" s="75" t="n"/>
      <c r="D4416" s="75" t="n"/>
      <c r="E4416" s="76" t="n"/>
      <c r="F4416" s="77" t="n"/>
      <c r="G4416" s="75" t="n"/>
      <c r="H4416" s="75">
        <f>IF(ISBLANK(E4416),"",IF(OR(D4416="Butterfly",D4416="Butterfly ",D4416="Iron Fly", D4416="Iron Fly "),LEN(E4416)-LEN(SUBSTITUTE(E4416,"/",""))+2,LEN(E4416)-LEN(SUBSTITUTE(E4416,"/",""))+1))</f>
        <v/>
      </c>
      <c r="I4416" s="78">
        <f>IF(ISBLANK(G4416),"",IF(D4416="Stock","0",Key!$A$3*H4416*G4416))</f>
        <v/>
      </c>
      <c r="J4416" s="78">
        <f>IF(ISBLANK(E4416),"",IF(ISNUMBER(SEARCH("/",E4416)), IF(LEN(E4416)-LEN(SUBSTITUTE(E4416,"/",""))=1,(RIGHT(E4416,LEN(E4416)-FIND("/",E4416)))-(LEFT(E4416,FIND("/",E4416)-1)),(MID(E4416, SEARCH("/",E4416) + 1, SEARCH("/",E4416, SEARCH("/",E4416)+1) - SEARCH("/",E4416) - 1))-(LEFT(E4416,FIND("/",E4416)-1))), "NA"))</f>
        <v/>
      </c>
      <c r="K4416" s="79">
        <f>IF(A4416&lt;&gt;"", IF(ISBLANK(L4416), TODAY(), K4416), "")</f>
        <v/>
      </c>
      <c r="L4416" s="78" t="n"/>
      <c r="M4416" s="78">
        <f>IF(ISBLANK(L4416),"",IF(D4416="Stock",IF(C4416="Buy",L4416*G4416,IF(C4416="Sell",(L4416*G4416)-I4416, X)),IF(C4416="Buy",(L4416*G4416*100)+I4416,IF(C4416="Sell",(L4416*G4416*100)-I4416, X))))</f>
        <v/>
      </c>
      <c r="N4416" s="78">
        <f>IF(ISBLANK(L4416),"",IF(AND(C4416="Sell",D4416="Stock"),M4416,IF(ISBLANK(L4416),"",IF(C4416="Buy",M4416, IF(AND(C4416="Sell",J4416="NA"),(E4416*G4416*100*0.1)+I4416, IF(C4416="Sell",(J4416-L4416)*(100*G4416)+I4416))))))</f>
        <v/>
      </c>
      <c r="O4416" s="75" t="n"/>
      <c r="P4416" s="75" t="n"/>
      <c r="Q4416" s="75">
        <f>IF(ISBLANK(P4416),"",IF(D4416="Stock",P4416*G4416,IF(P4416=0,"0",G4416*P4416*100-(G4416*$AF$14))))</f>
        <v/>
      </c>
      <c r="R4416" s="79">
        <f>IF(P4416&lt;&gt;"", TODAY(), "")</f>
        <v/>
      </c>
      <c r="S4416" s="78">
        <f>IF(AND(K4416&lt;&gt;"", R4416&lt;&gt;""), R4416-K4416, "")</f>
        <v/>
      </c>
      <c r="T4416" s="78" t="n"/>
      <c r="U4416" s="92">
        <f>IF(ISBLANK(P4416),"",IF(C4416="Buy",Q4416-M4416+T4416, IF(C4416="Sell",M4416-Q4416-T4416, X)))</f>
        <v/>
      </c>
      <c r="V4416" s="81">
        <f>IF(ISBLANK(P4416),"",U4416/N4416)</f>
        <v/>
      </c>
      <c r="W4416" s="81">
        <f>IF(ISBLANK(P4416),"",IF(S4416=0,(365/0.5)*V4416,(365/S4416)*V4416))</f>
        <v/>
      </c>
      <c r="X4416" s="75" t="n"/>
      <c r="Y4416" s="77" t="n"/>
      <c r="Z4416" s="77" t="n"/>
      <c r="AA4416" s="75" t="n"/>
      <c r="AB4416" s="75" t="n"/>
      <c r="AC4416" s="6" t="n"/>
      <c r="AD4416" s="75" t="n"/>
      <c r="AE4416" s="75" t="n"/>
      <c r="AF4416" s="75" t="n"/>
    </row>
    <row r="4417" ht="15.75" customHeight="1" s="133">
      <c r="A4417" s="75" t="n"/>
      <c r="B4417" s="75" t="n"/>
      <c r="C4417" s="75" t="n"/>
      <c r="D4417" s="75" t="n"/>
      <c r="E4417" s="76" t="n"/>
      <c r="F4417" s="77" t="n"/>
      <c r="G4417" s="75" t="n"/>
      <c r="H4417" s="75">
        <f>IF(ISBLANK(E4417),"",IF(OR(D4417="Butterfly",D4417="Butterfly ",D4417="Iron Fly", D4417="Iron Fly "),LEN(E4417)-LEN(SUBSTITUTE(E4417,"/",""))+2,LEN(E4417)-LEN(SUBSTITUTE(E4417,"/",""))+1))</f>
        <v/>
      </c>
      <c r="I4417" s="78">
        <f>IF(ISBLANK(G4417),"",IF(D4417="Stock","0",Key!$A$3*H4417*G4417))</f>
        <v/>
      </c>
      <c r="J4417" s="78">
        <f>IF(ISBLANK(E4417),"",IF(ISNUMBER(SEARCH("/",E4417)), IF(LEN(E4417)-LEN(SUBSTITUTE(E4417,"/",""))=1,(RIGHT(E4417,LEN(E4417)-FIND("/",E4417)))-(LEFT(E4417,FIND("/",E4417)-1)),(MID(E4417, SEARCH("/",E4417) + 1, SEARCH("/",E4417, SEARCH("/",E4417)+1) - SEARCH("/",E4417) - 1))-(LEFT(E4417,FIND("/",E4417)-1))), "NA"))</f>
        <v/>
      </c>
      <c r="K4417" s="79">
        <f>IF(A4417&lt;&gt;"", IF(ISBLANK(L4417), TODAY(), K4417), "")</f>
        <v/>
      </c>
      <c r="L4417" s="78" t="n"/>
      <c r="M4417" s="78">
        <f>IF(ISBLANK(L4417),"",IF(D4417="Stock",IF(C4417="Buy",L4417*G4417,IF(C4417="Sell",(L4417*G4417)-I4417, X)),IF(C4417="Buy",(L4417*G4417*100)+I4417,IF(C4417="Sell",(L4417*G4417*100)-I4417, X))))</f>
        <v/>
      </c>
      <c r="N4417" s="78">
        <f>IF(ISBLANK(L4417),"",IF(AND(C4417="Sell",D4417="Stock"),M4417,IF(ISBLANK(L4417),"",IF(C4417="Buy",M4417, IF(AND(C4417="Sell",J4417="NA"),(E4417*G4417*100*0.1)+I4417, IF(C4417="Sell",(J4417-L4417)*(100*G4417)+I4417))))))</f>
        <v/>
      </c>
      <c r="O4417" s="75" t="n"/>
      <c r="P4417" s="75" t="n"/>
      <c r="Q4417" s="75">
        <f>IF(ISBLANK(P4417),"",IF(D4417="Stock",P4417*G4417,IF(P4417=0,"0",G4417*P4417*100-(G4417*$AF$14))))</f>
        <v/>
      </c>
      <c r="R4417" s="79">
        <f>IF(P4417&lt;&gt;"", TODAY(), "")</f>
        <v/>
      </c>
      <c r="S4417" s="78">
        <f>IF(AND(K4417&lt;&gt;"", R4417&lt;&gt;""), R4417-K4417, "")</f>
        <v/>
      </c>
      <c r="T4417" s="78" t="n"/>
      <c r="U4417" s="92">
        <f>IF(ISBLANK(P4417),"",IF(C4417="Buy",Q4417-M4417+T4417, IF(C4417="Sell",M4417-Q4417-T4417, X)))</f>
        <v/>
      </c>
      <c r="V4417" s="81">
        <f>IF(ISBLANK(P4417),"",U4417/N4417)</f>
        <v/>
      </c>
      <c r="W4417" s="81">
        <f>IF(ISBLANK(P4417),"",IF(S4417=0,(365/0.5)*V4417,(365/S4417)*V4417))</f>
        <v/>
      </c>
      <c r="X4417" s="75" t="n"/>
      <c r="Y4417" s="77" t="n"/>
      <c r="Z4417" s="77" t="n"/>
      <c r="AA4417" s="75" t="n"/>
      <c r="AB4417" s="75" t="n"/>
      <c r="AC4417" s="6" t="n"/>
      <c r="AD4417" s="75" t="n"/>
      <c r="AE4417" s="75" t="n"/>
      <c r="AF4417" s="75" t="n"/>
    </row>
    <row r="4418" ht="15.75" customHeight="1" s="133">
      <c r="A4418" s="75" t="n"/>
      <c r="B4418" s="75" t="n"/>
      <c r="C4418" s="75" t="n"/>
      <c r="D4418" s="75" t="n"/>
      <c r="E4418" s="76" t="n"/>
      <c r="F4418" s="77" t="n"/>
      <c r="G4418" s="75" t="n"/>
      <c r="H4418" s="75">
        <f>IF(ISBLANK(E4418),"",IF(OR(D4418="Butterfly",D4418="Butterfly ",D4418="Iron Fly", D4418="Iron Fly "),LEN(E4418)-LEN(SUBSTITUTE(E4418,"/",""))+2,LEN(E4418)-LEN(SUBSTITUTE(E4418,"/",""))+1))</f>
        <v/>
      </c>
      <c r="I4418" s="78">
        <f>IF(ISBLANK(G4418),"",IF(D4418="Stock","0",Key!$A$3*H4418*G4418))</f>
        <v/>
      </c>
      <c r="J4418" s="78">
        <f>IF(ISBLANK(E4418),"",IF(ISNUMBER(SEARCH("/",E4418)), IF(LEN(E4418)-LEN(SUBSTITUTE(E4418,"/",""))=1,(RIGHT(E4418,LEN(E4418)-FIND("/",E4418)))-(LEFT(E4418,FIND("/",E4418)-1)),(MID(E4418, SEARCH("/",E4418) + 1, SEARCH("/",E4418, SEARCH("/",E4418)+1) - SEARCH("/",E4418) - 1))-(LEFT(E4418,FIND("/",E4418)-1))), "NA"))</f>
        <v/>
      </c>
      <c r="K4418" s="79">
        <f>IF(A4418&lt;&gt;"", IF(ISBLANK(L4418), TODAY(), K4418), "")</f>
        <v/>
      </c>
      <c r="L4418" s="78" t="n"/>
      <c r="M4418" s="78">
        <f>IF(ISBLANK(L4418),"",IF(D4418="Stock",IF(C4418="Buy",L4418*G4418,IF(C4418="Sell",(L4418*G4418)-I4418, X)),IF(C4418="Buy",(L4418*G4418*100)+I4418,IF(C4418="Sell",(L4418*G4418*100)-I4418, X))))</f>
        <v/>
      </c>
      <c r="N4418" s="78">
        <f>IF(ISBLANK(L4418),"",IF(AND(C4418="Sell",D4418="Stock"),M4418,IF(ISBLANK(L4418),"",IF(C4418="Buy",M4418, IF(AND(C4418="Sell",J4418="NA"),(E4418*G4418*100*0.1)+I4418, IF(C4418="Sell",(J4418-L4418)*(100*G4418)+I4418))))))</f>
        <v/>
      </c>
      <c r="O4418" s="75" t="n"/>
      <c r="P4418" s="75" t="n"/>
      <c r="Q4418" s="75">
        <f>IF(ISBLANK(P4418),"",IF(D4418="Stock",P4418*G4418,IF(P4418=0,"0",G4418*P4418*100-(G4418*$AF$14))))</f>
        <v/>
      </c>
      <c r="R4418" s="79">
        <f>IF(P4418&lt;&gt;"", TODAY(), "")</f>
        <v/>
      </c>
      <c r="S4418" s="78">
        <f>IF(AND(K4418&lt;&gt;"", R4418&lt;&gt;""), R4418-K4418, "")</f>
        <v/>
      </c>
      <c r="T4418" s="78" t="n"/>
      <c r="U4418" s="92">
        <f>IF(ISBLANK(P4418),"",IF(C4418="Buy",Q4418-M4418+T4418, IF(C4418="Sell",M4418-Q4418-T4418, X)))</f>
        <v/>
      </c>
      <c r="V4418" s="81">
        <f>IF(ISBLANK(P4418),"",U4418/N4418)</f>
        <v/>
      </c>
      <c r="W4418" s="81">
        <f>IF(ISBLANK(P4418),"",IF(S4418=0,(365/0.5)*V4418,(365/S4418)*V4418))</f>
        <v/>
      </c>
      <c r="X4418" s="75" t="n"/>
      <c r="Y4418" s="77" t="n"/>
      <c r="Z4418" s="77" t="n"/>
      <c r="AA4418" s="75" t="n"/>
      <c r="AB4418" s="75" t="n"/>
      <c r="AC4418" s="6" t="n"/>
      <c r="AD4418" s="75" t="n"/>
      <c r="AE4418" s="75" t="n"/>
      <c r="AF4418" s="75" t="n"/>
    </row>
    <row r="4419" ht="15.75" customHeight="1" s="133">
      <c r="A4419" s="75" t="n"/>
      <c r="B4419" s="75" t="n"/>
      <c r="C4419" s="75" t="n"/>
      <c r="D4419" s="75" t="n"/>
      <c r="E4419" s="76" t="n"/>
      <c r="F4419" s="77" t="n"/>
      <c r="G4419" s="75" t="n"/>
      <c r="H4419" s="75">
        <f>IF(ISBLANK(E4419),"",IF(OR(D4419="Butterfly",D4419="Butterfly ",D4419="Iron Fly", D4419="Iron Fly "),LEN(E4419)-LEN(SUBSTITUTE(E4419,"/",""))+2,LEN(E4419)-LEN(SUBSTITUTE(E4419,"/",""))+1))</f>
        <v/>
      </c>
      <c r="I4419" s="78">
        <f>IF(ISBLANK(G4419),"",IF(D4419="Stock","0",Key!$A$3*H4419*G4419))</f>
        <v/>
      </c>
      <c r="J4419" s="78">
        <f>IF(ISBLANK(E4419),"",IF(ISNUMBER(SEARCH("/",E4419)), IF(LEN(E4419)-LEN(SUBSTITUTE(E4419,"/",""))=1,(RIGHT(E4419,LEN(E4419)-FIND("/",E4419)))-(LEFT(E4419,FIND("/",E4419)-1)),(MID(E4419, SEARCH("/",E4419) + 1, SEARCH("/",E4419, SEARCH("/",E4419)+1) - SEARCH("/",E4419) - 1))-(LEFT(E4419,FIND("/",E4419)-1))), "NA"))</f>
        <v/>
      </c>
      <c r="K4419" s="79">
        <f>IF(A4419&lt;&gt;"", IF(ISBLANK(L4419), TODAY(), K4419), "")</f>
        <v/>
      </c>
      <c r="L4419" s="78" t="n"/>
      <c r="M4419" s="78">
        <f>IF(ISBLANK(L4419),"",IF(D4419="Stock",IF(C4419="Buy",L4419*G4419,IF(C4419="Sell",(L4419*G4419)-I4419, X)),IF(C4419="Buy",(L4419*G4419*100)+I4419,IF(C4419="Sell",(L4419*G4419*100)-I4419, X))))</f>
        <v/>
      </c>
      <c r="N4419" s="78">
        <f>IF(ISBLANK(L4419),"",IF(AND(C4419="Sell",D4419="Stock"),M4419,IF(ISBLANK(L4419),"",IF(C4419="Buy",M4419, IF(AND(C4419="Sell",J4419="NA"),(E4419*G4419*100*0.1)+I4419, IF(C4419="Sell",(J4419-L4419)*(100*G4419)+I4419))))))</f>
        <v/>
      </c>
      <c r="O4419" s="75" t="n"/>
      <c r="P4419" s="75" t="n"/>
      <c r="Q4419" s="75">
        <f>IF(ISBLANK(P4419),"",IF(D4419="Stock",P4419*G4419,IF(P4419=0,"0",G4419*P4419*100-(G4419*$AF$14))))</f>
        <v/>
      </c>
      <c r="R4419" s="79">
        <f>IF(P4419&lt;&gt;"", TODAY(), "")</f>
        <v/>
      </c>
      <c r="S4419" s="78">
        <f>IF(AND(K4419&lt;&gt;"", R4419&lt;&gt;""), R4419-K4419, "")</f>
        <v/>
      </c>
      <c r="T4419" s="78" t="n"/>
      <c r="U4419" s="92">
        <f>IF(ISBLANK(P4419),"",IF(C4419="Buy",Q4419-M4419+T4419, IF(C4419="Sell",M4419-Q4419-T4419, X)))</f>
        <v/>
      </c>
      <c r="V4419" s="81">
        <f>IF(ISBLANK(P4419),"",U4419/N4419)</f>
        <v/>
      </c>
      <c r="W4419" s="81">
        <f>IF(ISBLANK(P4419),"",IF(S4419=0,(365/0.5)*V4419,(365/S4419)*V4419))</f>
        <v/>
      </c>
      <c r="X4419" s="75" t="n"/>
      <c r="Y4419" s="77" t="n"/>
      <c r="Z4419" s="77" t="n"/>
      <c r="AA4419" s="75" t="n"/>
      <c r="AB4419" s="75" t="n"/>
      <c r="AC4419" s="6" t="n"/>
      <c r="AD4419" s="75" t="n"/>
      <c r="AE4419" s="75" t="n"/>
      <c r="AF4419" s="75" t="n"/>
    </row>
    <row r="4420" ht="15.75" customHeight="1" s="133">
      <c r="A4420" s="75" t="n"/>
      <c r="B4420" s="75" t="n"/>
      <c r="C4420" s="75" t="n"/>
      <c r="D4420" s="75" t="n"/>
      <c r="E4420" s="76" t="n"/>
      <c r="F4420" s="77" t="n"/>
      <c r="G4420" s="75" t="n"/>
      <c r="H4420" s="75">
        <f>IF(ISBLANK(E4420),"",IF(OR(D4420="Butterfly",D4420="Butterfly ",D4420="Iron Fly", D4420="Iron Fly "),LEN(E4420)-LEN(SUBSTITUTE(E4420,"/",""))+2,LEN(E4420)-LEN(SUBSTITUTE(E4420,"/",""))+1))</f>
        <v/>
      </c>
      <c r="I4420" s="78">
        <f>IF(ISBLANK(G4420),"",IF(D4420="Stock","0",Key!$A$3*H4420*G4420))</f>
        <v/>
      </c>
      <c r="J4420" s="78">
        <f>IF(ISBLANK(E4420),"",IF(ISNUMBER(SEARCH("/",E4420)), IF(LEN(E4420)-LEN(SUBSTITUTE(E4420,"/",""))=1,(RIGHT(E4420,LEN(E4420)-FIND("/",E4420)))-(LEFT(E4420,FIND("/",E4420)-1)),(MID(E4420, SEARCH("/",E4420) + 1, SEARCH("/",E4420, SEARCH("/",E4420)+1) - SEARCH("/",E4420) - 1))-(LEFT(E4420,FIND("/",E4420)-1))), "NA"))</f>
        <v/>
      </c>
      <c r="K4420" s="79">
        <f>IF(A4420&lt;&gt;"", IF(ISBLANK(L4420), TODAY(), K4420), "")</f>
        <v/>
      </c>
      <c r="L4420" s="78" t="n"/>
      <c r="M4420" s="78">
        <f>IF(ISBLANK(L4420),"",IF(D4420="Stock",IF(C4420="Buy",L4420*G4420,IF(C4420="Sell",(L4420*G4420)-I4420, X)),IF(C4420="Buy",(L4420*G4420*100)+I4420,IF(C4420="Sell",(L4420*G4420*100)-I4420, X))))</f>
        <v/>
      </c>
      <c r="N4420" s="78">
        <f>IF(ISBLANK(L4420),"",IF(AND(C4420="Sell",D4420="Stock"),M4420,IF(ISBLANK(L4420),"",IF(C4420="Buy",M4420, IF(AND(C4420="Sell",J4420="NA"),(E4420*G4420*100*0.1)+I4420, IF(C4420="Sell",(J4420-L4420)*(100*G4420)+I4420))))))</f>
        <v/>
      </c>
      <c r="O4420" s="75" t="n"/>
      <c r="P4420" s="75" t="n"/>
      <c r="Q4420" s="75">
        <f>IF(ISBLANK(P4420),"",IF(D4420="Stock",P4420*G4420,IF(P4420=0,"0",G4420*P4420*100-(G4420*$AF$14))))</f>
        <v/>
      </c>
      <c r="R4420" s="79">
        <f>IF(P4420&lt;&gt;"", TODAY(), "")</f>
        <v/>
      </c>
      <c r="S4420" s="78">
        <f>IF(AND(K4420&lt;&gt;"", R4420&lt;&gt;""), R4420-K4420, "")</f>
        <v/>
      </c>
      <c r="T4420" s="78" t="n"/>
      <c r="U4420" s="92">
        <f>IF(ISBLANK(P4420),"",IF(C4420="Buy",Q4420-M4420+T4420, IF(C4420="Sell",M4420-Q4420-T4420, X)))</f>
        <v/>
      </c>
      <c r="V4420" s="81">
        <f>IF(ISBLANK(P4420),"",U4420/N4420)</f>
        <v/>
      </c>
      <c r="W4420" s="81">
        <f>IF(ISBLANK(P4420),"",IF(S4420=0,(365/0.5)*V4420,(365/S4420)*V4420))</f>
        <v/>
      </c>
      <c r="X4420" s="75" t="n"/>
      <c r="Y4420" s="77" t="n"/>
      <c r="Z4420" s="77" t="n"/>
      <c r="AA4420" s="75" t="n"/>
      <c r="AB4420" s="75" t="n"/>
      <c r="AC4420" s="6" t="n"/>
      <c r="AD4420" s="75" t="n"/>
      <c r="AE4420" s="75" t="n"/>
      <c r="AF4420" s="75" t="n"/>
    </row>
    <row r="4421" ht="15.75" customHeight="1" s="133">
      <c r="A4421" s="75" t="n"/>
      <c r="B4421" s="75" t="n"/>
      <c r="C4421" s="75" t="n"/>
      <c r="D4421" s="75" t="n"/>
      <c r="E4421" s="76" t="n"/>
      <c r="F4421" s="77" t="n"/>
      <c r="G4421" s="75" t="n"/>
      <c r="H4421" s="75">
        <f>IF(ISBLANK(E4421),"",IF(OR(D4421="Butterfly",D4421="Butterfly ",D4421="Iron Fly", D4421="Iron Fly "),LEN(E4421)-LEN(SUBSTITUTE(E4421,"/",""))+2,LEN(E4421)-LEN(SUBSTITUTE(E4421,"/",""))+1))</f>
        <v/>
      </c>
      <c r="I4421" s="78">
        <f>IF(ISBLANK(G4421),"",IF(D4421="Stock","0",Key!$A$3*H4421*G4421))</f>
        <v/>
      </c>
      <c r="J4421" s="78">
        <f>IF(ISBLANK(E4421),"",IF(ISNUMBER(SEARCH("/",E4421)), IF(LEN(E4421)-LEN(SUBSTITUTE(E4421,"/",""))=1,(RIGHT(E4421,LEN(E4421)-FIND("/",E4421)))-(LEFT(E4421,FIND("/",E4421)-1)),(MID(E4421, SEARCH("/",E4421) + 1, SEARCH("/",E4421, SEARCH("/",E4421)+1) - SEARCH("/",E4421) - 1))-(LEFT(E4421,FIND("/",E4421)-1))), "NA"))</f>
        <v/>
      </c>
      <c r="K4421" s="79">
        <f>IF(A4421&lt;&gt;"", IF(ISBLANK(L4421), TODAY(), K4421), "")</f>
        <v/>
      </c>
      <c r="L4421" s="78" t="n"/>
      <c r="M4421" s="78">
        <f>IF(ISBLANK(L4421),"",IF(D4421="Stock",IF(C4421="Buy",L4421*G4421,IF(C4421="Sell",(L4421*G4421)-I4421, X)),IF(C4421="Buy",(L4421*G4421*100)+I4421,IF(C4421="Sell",(L4421*G4421*100)-I4421, X))))</f>
        <v/>
      </c>
      <c r="N4421" s="78">
        <f>IF(ISBLANK(L4421),"",IF(AND(C4421="Sell",D4421="Stock"),M4421,IF(ISBLANK(L4421),"",IF(C4421="Buy",M4421, IF(AND(C4421="Sell",J4421="NA"),(E4421*G4421*100*0.1)+I4421, IF(C4421="Sell",(J4421-L4421)*(100*G4421)+I4421))))))</f>
        <v/>
      </c>
      <c r="O4421" s="75" t="n"/>
      <c r="P4421" s="75" t="n"/>
      <c r="Q4421" s="75">
        <f>IF(ISBLANK(P4421),"",IF(D4421="Stock",P4421*G4421,IF(P4421=0,"0",G4421*P4421*100-(G4421*$AF$14))))</f>
        <v/>
      </c>
      <c r="R4421" s="79">
        <f>IF(P4421&lt;&gt;"", TODAY(), "")</f>
        <v/>
      </c>
      <c r="S4421" s="78">
        <f>IF(AND(K4421&lt;&gt;"", R4421&lt;&gt;""), R4421-K4421, "")</f>
        <v/>
      </c>
      <c r="T4421" s="78" t="n"/>
      <c r="U4421" s="92">
        <f>IF(ISBLANK(P4421),"",IF(C4421="Buy",Q4421-M4421+T4421, IF(C4421="Sell",M4421-Q4421-T4421, X)))</f>
        <v/>
      </c>
      <c r="V4421" s="81">
        <f>IF(ISBLANK(P4421),"",U4421/N4421)</f>
        <v/>
      </c>
      <c r="W4421" s="81">
        <f>IF(ISBLANK(P4421),"",IF(S4421=0,(365/0.5)*V4421,(365/S4421)*V4421))</f>
        <v/>
      </c>
      <c r="X4421" s="75" t="n"/>
      <c r="Y4421" s="77" t="n"/>
      <c r="Z4421" s="77" t="n"/>
      <c r="AA4421" s="75" t="n"/>
      <c r="AB4421" s="75" t="n"/>
      <c r="AC4421" s="6" t="n"/>
      <c r="AD4421" s="75" t="n"/>
      <c r="AE4421" s="75" t="n"/>
      <c r="AF4421" s="75" t="n"/>
    </row>
    <row r="4422" ht="15.75" customHeight="1" s="133">
      <c r="A4422" s="75" t="n"/>
      <c r="B4422" s="75" t="n"/>
      <c r="C4422" s="75" t="n"/>
      <c r="D4422" s="75" t="n"/>
      <c r="E4422" s="76" t="n"/>
      <c r="F4422" s="77" t="n"/>
      <c r="G4422" s="75" t="n"/>
      <c r="H4422" s="75">
        <f>IF(ISBLANK(E4422),"",IF(OR(D4422="Butterfly",D4422="Butterfly ",D4422="Iron Fly", D4422="Iron Fly "),LEN(E4422)-LEN(SUBSTITUTE(E4422,"/",""))+2,LEN(E4422)-LEN(SUBSTITUTE(E4422,"/",""))+1))</f>
        <v/>
      </c>
      <c r="I4422" s="78">
        <f>IF(ISBLANK(G4422),"",IF(D4422="Stock","0",Key!$A$3*H4422*G4422))</f>
        <v/>
      </c>
      <c r="J4422" s="78">
        <f>IF(ISBLANK(E4422),"",IF(ISNUMBER(SEARCH("/",E4422)), IF(LEN(E4422)-LEN(SUBSTITUTE(E4422,"/",""))=1,(RIGHT(E4422,LEN(E4422)-FIND("/",E4422)))-(LEFT(E4422,FIND("/",E4422)-1)),(MID(E4422, SEARCH("/",E4422) + 1, SEARCH("/",E4422, SEARCH("/",E4422)+1) - SEARCH("/",E4422) - 1))-(LEFT(E4422,FIND("/",E4422)-1))), "NA"))</f>
        <v/>
      </c>
      <c r="K4422" s="79">
        <f>IF(A4422&lt;&gt;"", IF(ISBLANK(L4422), TODAY(), K4422), "")</f>
        <v/>
      </c>
      <c r="L4422" s="78" t="n"/>
      <c r="M4422" s="78">
        <f>IF(ISBLANK(L4422),"",IF(D4422="Stock",IF(C4422="Buy",L4422*G4422,IF(C4422="Sell",(L4422*G4422)-I4422, X)),IF(C4422="Buy",(L4422*G4422*100)+I4422,IF(C4422="Sell",(L4422*G4422*100)-I4422, X))))</f>
        <v/>
      </c>
      <c r="N4422" s="78">
        <f>IF(ISBLANK(L4422),"",IF(AND(C4422="Sell",D4422="Stock"),M4422,IF(ISBLANK(L4422),"",IF(C4422="Buy",M4422, IF(AND(C4422="Sell",J4422="NA"),(E4422*G4422*100*0.1)+I4422, IF(C4422="Sell",(J4422-L4422)*(100*G4422)+I4422))))))</f>
        <v/>
      </c>
      <c r="O4422" s="75" t="n"/>
      <c r="P4422" s="75" t="n"/>
      <c r="Q4422" s="75">
        <f>IF(ISBLANK(P4422),"",IF(D4422="Stock",P4422*G4422,IF(P4422=0,"0",G4422*P4422*100-(G4422*$AF$14))))</f>
        <v/>
      </c>
      <c r="R4422" s="79">
        <f>IF(P4422&lt;&gt;"", TODAY(), "")</f>
        <v/>
      </c>
      <c r="S4422" s="78">
        <f>IF(AND(K4422&lt;&gt;"", R4422&lt;&gt;""), R4422-K4422, "")</f>
        <v/>
      </c>
      <c r="T4422" s="78" t="n"/>
      <c r="U4422" s="92">
        <f>IF(ISBLANK(P4422),"",IF(C4422="Buy",Q4422-M4422+T4422, IF(C4422="Sell",M4422-Q4422-T4422, X)))</f>
        <v/>
      </c>
      <c r="V4422" s="81">
        <f>IF(ISBLANK(P4422),"",U4422/N4422)</f>
        <v/>
      </c>
      <c r="W4422" s="81">
        <f>IF(ISBLANK(P4422),"",IF(S4422=0,(365/0.5)*V4422,(365/S4422)*V4422))</f>
        <v/>
      </c>
      <c r="X4422" s="75" t="n"/>
      <c r="Y4422" s="77" t="n"/>
      <c r="Z4422" s="77" t="n"/>
      <c r="AA4422" s="75" t="n"/>
      <c r="AB4422" s="75" t="n"/>
      <c r="AC4422" s="6" t="n"/>
      <c r="AD4422" s="75" t="n"/>
      <c r="AE4422" s="75" t="n"/>
      <c r="AF4422" s="75" t="n"/>
    </row>
    <row r="4423" ht="15.75" customHeight="1" s="133">
      <c r="A4423" s="75" t="n"/>
      <c r="B4423" s="75" t="n"/>
      <c r="C4423" s="75" t="n"/>
      <c r="D4423" s="75" t="n"/>
      <c r="E4423" s="76" t="n"/>
      <c r="F4423" s="77" t="n"/>
      <c r="G4423" s="75" t="n"/>
      <c r="H4423" s="75">
        <f>IF(ISBLANK(E4423),"",IF(OR(D4423="Butterfly",D4423="Butterfly ",D4423="Iron Fly", D4423="Iron Fly "),LEN(E4423)-LEN(SUBSTITUTE(E4423,"/",""))+2,LEN(E4423)-LEN(SUBSTITUTE(E4423,"/",""))+1))</f>
        <v/>
      </c>
      <c r="I4423" s="78">
        <f>IF(ISBLANK(G4423),"",IF(D4423="Stock","0",Key!$A$3*H4423*G4423))</f>
        <v/>
      </c>
      <c r="J4423" s="78">
        <f>IF(ISBLANK(E4423),"",IF(ISNUMBER(SEARCH("/",E4423)), IF(LEN(E4423)-LEN(SUBSTITUTE(E4423,"/",""))=1,(RIGHT(E4423,LEN(E4423)-FIND("/",E4423)))-(LEFT(E4423,FIND("/",E4423)-1)),(MID(E4423, SEARCH("/",E4423) + 1, SEARCH("/",E4423, SEARCH("/",E4423)+1) - SEARCH("/",E4423) - 1))-(LEFT(E4423,FIND("/",E4423)-1))), "NA"))</f>
        <v/>
      </c>
      <c r="K4423" s="79">
        <f>IF(A4423&lt;&gt;"", IF(ISBLANK(L4423), TODAY(), K4423), "")</f>
        <v/>
      </c>
      <c r="L4423" s="78" t="n"/>
      <c r="M4423" s="78">
        <f>IF(ISBLANK(L4423),"",IF(D4423="Stock",IF(C4423="Buy",L4423*G4423,IF(C4423="Sell",(L4423*G4423)-I4423, X)),IF(C4423="Buy",(L4423*G4423*100)+I4423,IF(C4423="Sell",(L4423*G4423*100)-I4423, X))))</f>
        <v/>
      </c>
      <c r="N4423" s="78">
        <f>IF(ISBLANK(L4423),"",IF(AND(C4423="Sell",D4423="Stock"),M4423,IF(ISBLANK(L4423),"",IF(C4423="Buy",M4423, IF(AND(C4423="Sell",J4423="NA"),(E4423*G4423*100*0.1)+I4423, IF(C4423="Sell",(J4423-L4423)*(100*G4423)+I4423))))))</f>
        <v/>
      </c>
      <c r="O4423" s="75" t="n"/>
      <c r="P4423" s="75" t="n"/>
      <c r="Q4423" s="75">
        <f>IF(ISBLANK(P4423),"",IF(D4423="Stock",P4423*G4423,IF(P4423=0,"0",G4423*P4423*100-(G4423*$AF$14))))</f>
        <v/>
      </c>
      <c r="R4423" s="79">
        <f>IF(P4423&lt;&gt;"", TODAY(), "")</f>
        <v/>
      </c>
      <c r="S4423" s="78">
        <f>IF(AND(K4423&lt;&gt;"", R4423&lt;&gt;""), R4423-K4423, "")</f>
        <v/>
      </c>
      <c r="T4423" s="78" t="n"/>
      <c r="U4423" s="92">
        <f>IF(ISBLANK(P4423),"",IF(C4423="Buy",Q4423-M4423+T4423, IF(C4423="Sell",M4423-Q4423-T4423, X)))</f>
        <v/>
      </c>
      <c r="V4423" s="81">
        <f>IF(ISBLANK(P4423),"",U4423/N4423)</f>
        <v/>
      </c>
      <c r="W4423" s="81">
        <f>IF(ISBLANK(P4423),"",IF(S4423=0,(365/0.5)*V4423,(365/S4423)*V4423))</f>
        <v/>
      </c>
      <c r="X4423" s="75" t="n"/>
      <c r="Y4423" s="77" t="n"/>
      <c r="Z4423" s="77" t="n"/>
      <c r="AA4423" s="75" t="n"/>
      <c r="AB4423" s="75" t="n"/>
      <c r="AC4423" s="6" t="n"/>
      <c r="AD4423" s="75" t="n"/>
      <c r="AE4423" s="75" t="n"/>
      <c r="AF4423" s="75" t="n"/>
    </row>
    <row r="4424" ht="15.75" customHeight="1" s="133">
      <c r="A4424" s="75" t="n"/>
      <c r="B4424" s="75" t="n"/>
      <c r="C4424" s="75" t="n"/>
      <c r="D4424" s="75" t="n"/>
      <c r="E4424" s="76" t="n"/>
      <c r="F4424" s="77" t="n"/>
      <c r="G4424" s="75" t="n"/>
      <c r="H4424" s="75">
        <f>IF(ISBLANK(E4424),"",IF(OR(D4424="Butterfly",D4424="Butterfly ",D4424="Iron Fly", D4424="Iron Fly "),LEN(E4424)-LEN(SUBSTITUTE(E4424,"/",""))+2,LEN(E4424)-LEN(SUBSTITUTE(E4424,"/",""))+1))</f>
        <v/>
      </c>
      <c r="I4424" s="78">
        <f>IF(ISBLANK(G4424),"",IF(D4424="Stock","0",Key!$A$3*H4424*G4424))</f>
        <v/>
      </c>
      <c r="J4424" s="78">
        <f>IF(ISBLANK(E4424),"",IF(ISNUMBER(SEARCH("/",E4424)), IF(LEN(E4424)-LEN(SUBSTITUTE(E4424,"/",""))=1,(RIGHT(E4424,LEN(E4424)-FIND("/",E4424)))-(LEFT(E4424,FIND("/",E4424)-1)),(MID(E4424, SEARCH("/",E4424) + 1, SEARCH("/",E4424, SEARCH("/",E4424)+1) - SEARCH("/",E4424) - 1))-(LEFT(E4424,FIND("/",E4424)-1))), "NA"))</f>
        <v/>
      </c>
      <c r="K4424" s="79">
        <f>IF(A4424&lt;&gt;"", IF(ISBLANK(L4424), TODAY(), K4424), "")</f>
        <v/>
      </c>
      <c r="L4424" s="78" t="n"/>
      <c r="M4424" s="78">
        <f>IF(ISBLANK(L4424),"",IF(D4424="Stock",IF(C4424="Buy",L4424*G4424,IF(C4424="Sell",(L4424*G4424)-I4424, X)),IF(C4424="Buy",(L4424*G4424*100)+I4424,IF(C4424="Sell",(L4424*G4424*100)-I4424, X))))</f>
        <v/>
      </c>
      <c r="N4424" s="78">
        <f>IF(ISBLANK(L4424),"",IF(AND(C4424="Sell",D4424="Stock"),M4424,IF(ISBLANK(L4424),"",IF(C4424="Buy",M4424, IF(AND(C4424="Sell",J4424="NA"),(E4424*G4424*100*0.1)+I4424, IF(C4424="Sell",(J4424-L4424)*(100*G4424)+I4424))))))</f>
        <v/>
      </c>
      <c r="O4424" s="75" t="n"/>
      <c r="P4424" s="75" t="n"/>
      <c r="Q4424" s="75">
        <f>IF(ISBLANK(P4424),"",IF(D4424="Stock",P4424*G4424,IF(P4424=0,"0",G4424*P4424*100-(G4424*$AF$14))))</f>
        <v/>
      </c>
      <c r="R4424" s="79">
        <f>IF(P4424&lt;&gt;"", TODAY(), "")</f>
        <v/>
      </c>
      <c r="S4424" s="78">
        <f>IF(AND(K4424&lt;&gt;"", R4424&lt;&gt;""), R4424-K4424, "")</f>
        <v/>
      </c>
      <c r="T4424" s="78" t="n"/>
      <c r="U4424" s="92">
        <f>IF(ISBLANK(P4424),"",IF(C4424="Buy",Q4424-M4424+T4424, IF(C4424="Sell",M4424-Q4424-T4424, X)))</f>
        <v/>
      </c>
      <c r="V4424" s="81">
        <f>IF(ISBLANK(P4424),"",U4424/N4424)</f>
        <v/>
      </c>
      <c r="W4424" s="81">
        <f>IF(ISBLANK(P4424),"",IF(S4424=0,(365/0.5)*V4424,(365/S4424)*V4424))</f>
        <v/>
      </c>
      <c r="X4424" s="75" t="n"/>
      <c r="Y4424" s="77" t="n"/>
      <c r="Z4424" s="77" t="n"/>
      <c r="AA4424" s="75" t="n"/>
      <c r="AB4424" s="75" t="n"/>
      <c r="AC4424" s="6" t="n"/>
      <c r="AD4424" s="75" t="n"/>
      <c r="AE4424" s="75" t="n"/>
      <c r="AF4424" s="75" t="n"/>
    </row>
    <row r="4425" ht="15.75" customHeight="1" s="133">
      <c r="A4425" s="75" t="n"/>
      <c r="B4425" s="75" t="n"/>
      <c r="C4425" s="75" t="n"/>
      <c r="D4425" s="75" t="n"/>
      <c r="E4425" s="76" t="n"/>
      <c r="F4425" s="77" t="n"/>
      <c r="G4425" s="75" t="n"/>
      <c r="H4425" s="75">
        <f>IF(ISBLANK(E4425),"",IF(OR(D4425="Butterfly",D4425="Butterfly ",D4425="Iron Fly", D4425="Iron Fly "),LEN(E4425)-LEN(SUBSTITUTE(E4425,"/",""))+2,LEN(E4425)-LEN(SUBSTITUTE(E4425,"/",""))+1))</f>
        <v/>
      </c>
      <c r="I4425" s="78">
        <f>IF(ISBLANK(G4425),"",IF(D4425="Stock","0",Key!$A$3*H4425*G4425))</f>
        <v/>
      </c>
      <c r="J4425" s="78">
        <f>IF(ISBLANK(E4425),"",IF(ISNUMBER(SEARCH("/",E4425)), IF(LEN(E4425)-LEN(SUBSTITUTE(E4425,"/",""))=1,(RIGHT(E4425,LEN(E4425)-FIND("/",E4425)))-(LEFT(E4425,FIND("/",E4425)-1)),(MID(E4425, SEARCH("/",E4425) + 1, SEARCH("/",E4425, SEARCH("/",E4425)+1) - SEARCH("/",E4425) - 1))-(LEFT(E4425,FIND("/",E4425)-1))), "NA"))</f>
        <v/>
      </c>
      <c r="K4425" s="79">
        <f>IF(A4425&lt;&gt;"", IF(ISBLANK(L4425), TODAY(), K4425), "")</f>
        <v/>
      </c>
      <c r="L4425" s="78" t="n"/>
      <c r="M4425" s="78">
        <f>IF(ISBLANK(L4425),"",IF(D4425="Stock",IF(C4425="Buy",L4425*G4425,IF(C4425="Sell",(L4425*G4425)-I4425, X)),IF(C4425="Buy",(L4425*G4425*100)+I4425,IF(C4425="Sell",(L4425*G4425*100)-I4425, X))))</f>
        <v/>
      </c>
      <c r="N4425" s="78">
        <f>IF(ISBLANK(L4425),"",IF(AND(C4425="Sell",D4425="Stock"),M4425,IF(ISBLANK(L4425),"",IF(C4425="Buy",M4425, IF(AND(C4425="Sell",J4425="NA"),(E4425*G4425*100*0.1)+I4425, IF(C4425="Sell",(J4425-L4425)*(100*G4425)+I4425))))))</f>
        <v/>
      </c>
      <c r="O4425" s="75" t="n"/>
      <c r="P4425" s="75" t="n"/>
      <c r="Q4425" s="75">
        <f>IF(ISBLANK(P4425),"",IF(D4425="Stock",P4425*G4425,IF(P4425=0,"0",G4425*P4425*100-(G4425*$AF$14))))</f>
        <v/>
      </c>
      <c r="R4425" s="79">
        <f>IF(P4425&lt;&gt;"", TODAY(), "")</f>
        <v/>
      </c>
      <c r="S4425" s="78">
        <f>IF(AND(K4425&lt;&gt;"", R4425&lt;&gt;""), R4425-K4425, "")</f>
        <v/>
      </c>
      <c r="T4425" s="78" t="n"/>
      <c r="U4425" s="92">
        <f>IF(ISBLANK(P4425),"",IF(C4425="Buy",Q4425-M4425+T4425, IF(C4425="Sell",M4425-Q4425-T4425, X)))</f>
        <v/>
      </c>
      <c r="V4425" s="81">
        <f>IF(ISBLANK(P4425),"",U4425/N4425)</f>
        <v/>
      </c>
      <c r="W4425" s="81">
        <f>IF(ISBLANK(P4425),"",IF(S4425=0,(365/0.5)*V4425,(365/S4425)*V4425))</f>
        <v/>
      </c>
      <c r="X4425" s="75" t="n"/>
      <c r="Y4425" s="77" t="n"/>
      <c r="Z4425" s="77" t="n"/>
      <c r="AA4425" s="75" t="n"/>
      <c r="AB4425" s="75" t="n"/>
      <c r="AC4425" s="6" t="n"/>
      <c r="AD4425" s="75" t="n"/>
      <c r="AE4425" s="75" t="n"/>
      <c r="AF4425" s="75" t="n"/>
    </row>
    <row r="4426" ht="15.75" customHeight="1" s="133">
      <c r="A4426" s="75" t="n"/>
      <c r="B4426" s="75" t="n"/>
      <c r="C4426" s="75" t="n"/>
      <c r="D4426" s="75" t="n"/>
      <c r="E4426" s="76" t="n"/>
      <c r="F4426" s="77" t="n"/>
      <c r="G4426" s="75" t="n"/>
      <c r="H4426" s="75">
        <f>IF(ISBLANK(E4426),"",IF(OR(D4426="Butterfly",D4426="Butterfly ",D4426="Iron Fly", D4426="Iron Fly "),LEN(E4426)-LEN(SUBSTITUTE(E4426,"/",""))+2,LEN(E4426)-LEN(SUBSTITUTE(E4426,"/",""))+1))</f>
        <v/>
      </c>
      <c r="I4426" s="78">
        <f>IF(ISBLANK(G4426),"",IF(D4426="Stock","0",Key!$A$3*H4426*G4426))</f>
        <v/>
      </c>
      <c r="J4426" s="78">
        <f>IF(ISBLANK(E4426),"",IF(ISNUMBER(SEARCH("/",E4426)), IF(LEN(E4426)-LEN(SUBSTITUTE(E4426,"/",""))=1,(RIGHT(E4426,LEN(E4426)-FIND("/",E4426)))-(LEFT(E4426,FIND("/",E4426)-1)),(MID(E4426, SEARCH("/",E4426) + 1, SEARCH("/",E4426, SEARCH("/",E4426)+1) - SEARCH("/",E4426) - 1))-(LEFT(E4426,FIND("/",E4426)-1))), "NA"))</f>
        <v/>
      </c>
      <c r="K4426" s="79">
        <f>IF(A4426&lt;&gt;"", IF(ISBLANK(L4426), TODAY(), K4426), "")</f>
        <v/>
      </c>
      <c r="L4426" s="78" t="n"/>
      <c r="M4426" s="78">
        <f>IF(ISBLANK(L4426),"",IF(D4426="Stock",IF(C4426="Buy",L4426*G4426,IF(C4426="Sell",(L4426*G4426)-I4426, X)),IF(C4426="Buy",(L4426*G4426*100)+I4426,IF(C4426="Sell",(L4426*G4426*100)-I4426, X))))</f>
        <v/>
      </c>
      <c r="N4426" s="78">
        <f>IF(ISBLANK(L4426),"",IF(AND(C4426="Sell",D4426="Stock"),M4426,IF(ISBLANK(L4426),"",IF(C4426="Buy",M4426, IF(AND(C4426="Sell",J4426="NA"),(E4426*G4426*100*0.1)+I4426, IF(C4426="Sell",(J4426-L4426)*(100*G4426)+I4426))))))</f>
        <v/>
      </c>
      <c r="O4426" s="75" t="n"/>
      <c r="P4426" s="75" t="n"/>
      <c r="Q4426" s="75">
        <f>IF(ISBLANK(P4426),"",IF(D4426="Stock",P4426*G4426,IF(P4426=0,"0",G4426*P4426*100-(G4426*$AF$14))))</f>
        <v/>
      </c>
      <c r="R4426" s="79">
        <f>IF(P4426&lt;&gt;"", TODAY(), "")</f>
        <v/>
      </c>
      <c r="S4426" s="78">
        <f>IF(AND(K4426&lt;&gt;"", R4426&lt;&gt;""), R4426-K4426, "")</f>
        <v/>
      </c>
      <c r="T4426" s="78" t="n"/>
      <c r="U4426" s="92">
        <f>IF(ISBLANK(P4426),"",IF(C4426="Buy",Q4426-M4426+T4426, IF(C4426="Sell",M4426-Q4426-T4426, X)))</f>
        <v/>
      </c>
      <c r="V4426" s="81">
        <f>IF(ISBLANK(P4426),"",U4426/N4426)</f>
        <v/>
      </c>
      <c r="W4426" s="81">
        <f>IF(ISBLANK(P4426),"",IF(S4426=0,(365/0.5)*V4426,(365/S4426)*V4426))</f>
        <v/>
      </c>
      <c r="X4426" s="75" t="n"/>
      <c r="Y4426" s="77" t="n"/>
      <c r="Z4426" s="77" t="n"/>
      <c r="AA4426" s="75" t="n"/>
      <c r="AB4426" s="75" t="n"/>
      <c r="AC4426" s="6" t="n"/>
      <c r="AD4426" s="75" t="n"/>
      <c r="AE4426" s="75" t="n"/>
      <c r="AF4426" s="75" t="n"/>
    </row>
    <row r="4427" ht="15.75" customHeight="1" s="133">
      <c r="A4427" s="75" t="n"/>
      <c r="B4427" s="75" t="n"/>
      <c r="C4427" s="75" t="n"/>
      <c r="D4427" s="75" t="n"/>
      <c r="E4427" s="76" t="n"/>
      <c r="F4427" s="77" t="n"/>
      <c r="G4427" s="75" t="n"/>
      <c r="H4427" s="75">
        <f>IF(ISBLANK(E4427),"",IF(OR(D4427="Butterfly",D4427="Butterfly ",D4427="Iron Fly", D4427="Iron Fly "),LEN(E4427)-LEN(SUBSTITUTE(E4427,"/",""))+2,LEN(E4427)-LEN(SUBSTITUTE(E4427,"/",""))+1))</f>
        <v/>
      </c>
      <c r="I4427" s="78">
        <f>IF(ISBLANK(G4427),"",IF(D4427="Stock","0",Key!$A$3*H4427*G4427))</f>
        <v/>
      </c>
      <c r="J4427" s="78">
        <f>IF(ISBLANK(E4427),"",IF(ISNUMBER(SEARCH("/",E4427)), IF(LEN(E4427)-LEN(SUBSTITUTE(E4427,"/",""))=1,(RIGHT(E4427,LEN(E4427)-FIND("/",E4427)))-(LEFT(E4427,FIND("/",E4427)-1)),(MID(E4427, SEARCH("/",E4427) + 1, SEARCH("/",E4427, SEARCH("/",E4427)+1) - SEARCH("/",E4427) - 1))-(LEFT(E4427,FIND("/",E4427)-1))), "NA"))</f>
        <v/>
      </c>
      <c r="K4427" s="79">
        <f>IF(A4427&lt;&gt;"", IF(ISBLANK(L4427), TODAY(), K4427), "")</f>
        <v/>
      </c>
      <c r="L4427" s="78" t="n"/>
      <c r="M4427" s="78">
        <f>IF(ISBLANK(L4427),"",IF(D4427="Stock",IF(C4427="Buy",L4427*G4427,IF(C4427="Sell",(L4427*G4427)-I4427, X)),IF(C4427="Buy",(L4427*G4427*100)+I4427,IF(C4427="Sell",(L4427*G4427*100)-I4427, X))))</f>
        <v/>
      </c>
      <c r="N4427" s="78">
        <f>IF(ISBLANK(L4427),"",IF(AND(C4427="Sell",D4427="Stock"),M4427,IF(ISBLANK(L4427),"",IF(C4427="Buy",M4427, IF(AND(C4427="Sell",J4427="NA"),(E4427*G4427*100*0.1)+I4427, IF(C4427="Sell",(J4427-L4427)*(100*G4427)+I4427))))))</f>
        <v/>
      </c>
      <c r="O4427" s="75" t="n"/>
      <c r="P4427" s="75" t="n"/>
      <c r="Q4427" s="75">
        <f>IF(ISBLANK(P4427),"",IF(D4427="Stock",P4427*G4427,IF(P4427=0,"0",G4427*P4427*100-(G4427*$AF$14))))</f>
        <v/>
      </c>
      <c r="R4427" s="79">
        <f>IF(P4427&lt;&gt;"", TODAY(), "")</f>
        <v/>
      </c>
      <c r="S4427" s="78">
        <f>IF(AND(K4427&lt;&gt;"", R4427&lt;&gt;""), R4427-K4427, "")</f>
        <v/>
      </c>
      <c r="T4427" s="78" t="n"/>
      <c r="U4427" s="92">
        <f>IF(ISBLANK(P4427),"",IF(C4427="Buy",Q4427-M4427+T4427, IF(C4427="Sell",M4427-Q4427-T4427, X)))</f>
        <v/>
      </c>
      <c r="V4427" s="81">
        <f>IF(ISBLANK(P4427),"",U4427/N4427)</f>
        <v/>
      </c>
      <c r="W4427" s="81">
        <f>IF(ISBLANK(P4427),"",IF(S4427=0,(365/0.5)*V4427,(365/S4427)*V4427))</f>
        <v/>
      </c>
      <c r="X4427" s="75" t="n"/>
      <c r="Y4427" s="77" t="n"/>
      <c r="Z4427" s="77" t="n"/>
      <c r="AA4427" s="75" t="n"/>
      <c r="AB4427" s="75" t="n"/>
      <c r="AC4427" s="6" t="n"/>
      <c r="AD4427" s="75" t="n"/>
      <c r="AE4427" s="75" t="n"/>
      <c r="AF4427" s="75" t="n"/>
    </row>
    <row r="4428" ht="15.75" customHeight="1" s="133">
      <c r="A4428" s="75" t="n"/>
      <c r="B4428" s="75" t="n"/>
      <c r="C4428" s="75" t="n"/>
      <c r="D4428" s="75" t="n"/>
      <c r="E4428" s="76" t="n"/>
      <c r="F4428" s="77" t="n"/>
      <c r="G4428" s="75" t="n"/>
      <c r="H4428" s="75">
        <f>IF(ISBLANK(E4428),"",IF(OR(D4428="Butterfly",D4428="Butterfly ",D4428="Iron Fly", D4428="Iron Fly "),LEN(E4428)-LEN(SUBSTITUTE(E4428,"/",""))+2,LEN(E4428)-LEN(SUBSTITUTE(E4428,"/",""))+1))</f>
        <v/>
      </c>
      <c r="I4428" s="78">
        <f>IF(ISBLANK(G4428),"",IF(D4428="Stock","0",Key!$A$3*H4428*G4428))</f>
        <v/>
      </c>
      <c r="J4428" s="78">
        <f>IF(ISBLANK(E4428),"",IF(ISNUMBER(SEARCH("/",E4428)), IF(LEN(E4428)-LEN(SUBSTITUTE(E4428,"/",""))=1,(RIGHT(E4428,LEN(E4428)-FIND("/",E4428)))-(LEFT(E4428,FIND("/",E4428)-1)),(MID(E4428, SEARCH("/",E4428) + 1, SEARCH("/",E4428, SEARCH("/",E4428)+1) - SEARCH("/",E4428) - 1))-(LEFT(E4428,FIND("/",E4428)-1))), "NA"))</f>
        <v/>
      </c>
      <c r="K4428" s="79">
        <f>IF(A4428&lt;&gt;"", IF(ISBLANK(L4428), TODAY(), K4428), "")</f>
        <v/>
      </c>
      <c r="L4428" s="78" t="n"/>
      <c r="M4428" s="78">
        <f>IF(ISBLANK(L4428),"",IF(D4428="Stock",IF(C4428="Buy",L4428*G4428,IF(C4428="Sell",(L4428*G4428)-I4428, X)),IF(C4428="Buy",(L4428*G4428*100)+I4428,IF(C4428="Sell",(L4428*G4428*100)-I4428, X))))</f>
        <v/>
      </c>
      <c r="N4428" s="78">
        <f>IF(ISBLANK(L4428),"",IF(AND(C4428="Sell",D4428="Stock"),M4428,IF(ISBLANK(L4428),"",IF(C4428="Buy",M4428, IF(AND(C4428="Sell",J4428="NA"),(E4428*G4428*100*0.1)+I4428, IF(C4428="Sell",(J4428-L4428)*(100*G4428)+I4428))))))</f>
        <v/>
      </c>
      <c r="O4428" s="75" t="n"/>
      <c r="P4428" s="75" t="n"/>
      <c r="Q4428" s="75">
        <f>IF(ISBLANK(P4428),"",IF(D4428="Stock",P4428*G4428,IF(P4428=0,"0",G4428*P4428*100-(G4428*$AF$14))))</f>
        <v/>
      </c>
      <c r="R4428" s="79">
        <f>IF(P4428&lt;&gt;"", TODAY(), "")</f>
        <v/>
      </c>
      <c r="S4428" s="78">
        <f>IF(AND(K4428&lt;&gt;"", R4428&lt;&gt;""), R4428-K4428, "")</f>
        <v/>
      </c>
      <c r="T4428" s="78" t="n"/>
      <c r="U4428" s="92">
        <f>IF(ISBLANK(P4428),"",IF(C4428="Buy",Q4428-M4428+T4428, IF(C4428="Sell",M4428-Q4428-T4428, X)))</f>
        <v/>
      </c>
      <c r="V4428" s="81">
        <f>IF(ISBLANK(P4428),"",U4428/N4428)</f>
        <v/>
      </c>
      <c r="W4428" s="81">
        <f>IF(ISBLANK(P4428),"",IF(S4428=0,(365/0.5)*V4428,(365/S4428)*V4428))</f>
        <v/>
      </c>
      <c r="X4428" s="75" t="n"/>
      <c r="Y4428" s="77" t="n"/>
      <c r="Z4428" s="77" t="n"/>
      <c r="AA4428" s="75" t="n"/>
      <c r="AB4428" s="75" t="n"/>
      <c r="AC4428" s="6" t="n"/>
      <c r="AD4428" s="75" t="n"/>
      <c r="AE4428" s="75" t="n"/>
      <c r="AF4428" s="75" t="n"/>
    </row>
    <row r="4429" ht="15.75" customHeight="1" s="133">
      <c r="A4429" s="75" t="n"/>
      <c r="B4429" s="75" t="n"/>
      <c r="C4429" s="75" t="n"/>
      <c r="D4429" s="75" t="n"/>
      <c r="E4429" s="76" t="n"/>
      <c r="F4429" s="77" t="n"/>
      <c r="G4429" s="75" t="n"/>
      <c r="H4429" s="75">
        <f>IF(ISBLANK(E4429),"",IF(OR(D4429="Butterfly",D4429="Butterfly ",D4429="Iron Fly", D4429="Iron Fly "),LEN(E4429)-LEN(SUBSTITUTE(E4429,"/",""))+2,LEN(E4429)-LEN(SUBSTITUTE(E4429,"/",""))+1))</f>
        <v/>
      </c>
      <c r="I4429" s="78">
        <f>IF(ISBLANK(G4429),"",IF(D4429="Stock","0",Key!$A$3*H4429*G4429))</f>
        <v/>
      </c>
      <c r="J4429" s="78">
        <f>IF(ISBLANK(E4429),"",IF(ISNUMBER(SEARCH("/",E4429)), IF(LEN(E4429)-LEN(SUBSTITUTE(E4429,"/",""))=1,(RIGHT(E4429,LEN(E4429)-FIND("/",E4429)))-(LEFT(E4429,FIND("/",E4429)-1)),(MID(E4429, SEARCH("/",E4429) + 1, SEARCH("/",E4429, SEARCH("/",E4429)+1) - SEARCH("/",E4429) - 1))-(LEFT(E4429,FIND("/",E4429)-1))), "NA"))</f>
        <v/>
      </c>
      <c r="K4429" s="79">
        <f>IF(A4429&lt;&gt;"", IF(ISBLANK(L4429), TODAY(), K4429), "")</f>
        <v/>
      </c>
      <c r="L4429" s="78" t="n"/>
      <c r="M4429" s="78">
        <f>IF(ISBLANK(L4429),"",IF(D4429="Stock",IF(C4429="Buy",L4429*G4429,IF(C4429="Sell",(L4429*G4429)-I4429, X)),IF(C4429="Buy",(L4429*G4429*100)+I4429,IF(C4429="Sell",(L4429*G4429*100)-I4429, X))))</f>
        <v/>
      </c>
      <c r="N4429" s="78">
        <f>IF(ISBLANK(L4429),"",IF(AND(C4429="Sell",D4429="Stock"),M4429,IF(ISBLANK(L4429),"",IF(C4429="Buy",M4429, IF(AND(C4429="Sell",J4429="NA"),(E4429*G4429*100*0.1)+I4429, IF(C4429="Sell",(J4429-L4429)*(100*G4429)+I4429))))))</f>
        <v/>
      </c>
      <c r="O4429" s="75" t="n"/>
      <c r="P4429" s="75" t="n"/>
      <c r="Q4429" s="75">
        <f>IF(ISBLANK(P4429),"",IF(D4429="Stock",P4429*G4429,IF(P4429=0,"0",G4429*P4429*100-(G4429*$AF$14))))</f>
        <v/>
      </c>
      <c r="R4429" s="79">
        <f>IF(P4429&lt;&gt;"", TODAY(), "")</f>
        <v/>
      </c>
      <c r="S4429" s="78">
        <f>IF(AND(K4429&lt;&gt;"", R4429&lt;&gt;""), R4429-K4429, "")</f>
        <v/>
      </c>
      <c r="T4429" s="78" t="n"/>
      <c r="U4429" s="92">
        <f>IF(ISBLANK(P4429),"",IF(C4429="Buy",Q4429-M4429+T4429, IF(C4429="Sell",M4429-Q4429-T4429, X)))</f>
        <v/>
      </c>
      <c r="V4429" s="81">
        <f>IF(ISBLANK(P4429),"",U4429/N4429)</f>
        <v/>
      </c>
      <c r="W4429" s="81">
        <f>IF(ISBLANK(P4429),"",IF(S4429=0,(365/0.5)*V4429,(365/S4429)*V4429))</f>
        <v/>
      </c>
      <c r="X4429" s="75" t="n"/>
      <c r="Y4429" s="77" t="n"/>
      <c r="Z4429" s="77" t="n"/>
      <c r="AA4429" s="75" t="n"/>
      <c r="AB4429" s="75" t="n"/>
      <c r="AC4429" s="6" t="n"/>
      <c r="AD4429" s="75" t="n"/>
      <c r="AE4429" s="75" t="n"/>
      <c r="AF4429" s="75" t="n"/>
    </row>
    <row r="4430" ht="15.75" customHeight="1" s="133">
      <c r="A4430" s="75" t="n"/>
      <c r="B4430" s="75" t="n"/>
      <c r="C4430" s="75" t="n"/>
      <c r="D4430" s="75" t="n"/>
      <c r="E4430" s="76" t="n"/>
      <c r="F4430" s="77" t="n"/>
      <c r="G4430" s="75" t="n"/>
      <c r="H4430" s="75">
        <f>IF(ISBLANK(E4430),"",IF(OR(D4430="Butterfly",D4430="Butterfly ",D4430="Iron Fly", D4430="Iron Fly "),LEN(E4430)-LEN(SUBSTITUTE(E4430,"/",""))+2,LEN(E4430)-LEN(SUBSTITUTE(E4430,"/",""))+1))</f>
        <v/>
      </c>
      <c r="I4430" s="78">
        <f>IF(ISBLANK(G4430),"",IF(D4430="Stock","0",Key!$A$3*H4430*G4430))</f>
        <v/>
      </c>
      <c r="J4430" s="78">
        <f>IF(ISBLANK(E4430),"",IF(ISNUMBER(SEARCH("/",E4430)), IF(LEN(E4430)-LEN(SUBSTITUTE(E4430,"/",""))=1,(RIGHT(E4430,LEN(E4430)-FIND("/",E4430)))-(LEFT(E4430,FIND("/",E4430)-1)),(MID(E4430, SEARCH("/",E4430) + 1, SEARCH("/",E4430, SEARCH("/",E4430)+1) - SEARCH("/",E4430) - 1))-(LEFT(E4430,FIND("/",E4430)-1))), "NA"))</f>
        <v/>
      </c>
      <c r="K4430" s="79">
        <f>IF(A4430&lt;&gt;"", IF(ISBLANK(L4430), TODAY(), K4430), "")</f>
        <v/>
      </c>
      <c r="L4430" s="78" t="n"/>
      <c r="M4430" s="78">
        <f>IF(ISBLANK(L4430),"",IF(D4430="Stock",IF(C4430="Buy",L4430*G4430,IF(C4430="Sell",(L4430*G4430)-I4430, X)),IF(C4430="Buy",(L4430*G4430*100)+I4430,IF(C4430="Sell",(L4430*G4430*100)-I4430, X))))</f>
        <v/>
      </c>
      <c r="N4430" s="78">
        <f>IF(ISBLANK(L4430),"",IF(AND(C4430="Sell",D4430="Stock"),M4430,IF(ISBLANK(L4430),"",IF(C4430="Buy",M4430, IF(AND(C4430="Sell",J4430="NA"),(E4430*G4430*100*0.1)+I4430, IF(C4430="Sell",(J4430-L4430)*(100*G4430)+I4430))))))</f>
        <v/>
      </c>
      <c r="O4430" s="75" t="n"/>
      <c r="P4430" s="75" t="n"/>
      <c r="Q4430" s="75">
        <f>IF(ISBLANK(P4430),"",IF(D4430="Stock",P4430*G4430,IF(P4430=0,"0",G4430*P4430*100-(G4430*$AF$14))))</f>
        <v/>
      </c>
      <c r="R4430" s="79">
        <f>IF(P4430&lt;&gt;"", TODAY(), "")</f>
        <v/>
      </c>
      <c r="S4430" s="78">
        <f>IF(AND(K4430&lt;&gt;"", R4430&lt;&gt;""), R4430-K4430, "")</f>
        <v/>
      </c>
      <c r="T4430" s="78" t="n"/>
      <c r="U4430" s="92">
        <f>IF(ISBLANK(P4430),"",IF(C4430="Buy",Q4430-M4430+T4430, IF(C4430="Sell",M4430-Q4430-T4430, X)))</f>
        <v/>
      </c>
      <c r="V4430" s="81">
        <f>IF(ISBLANK(P4430),"",U4430/N4430)</f>
        <v/>
      </c>
      <c r="W4430" s="81">
        <f>IF(ISBLANK(P4430),"",IF(S4430=0,(365/0.5)*V4430,(365/S4430)*V4430))</f>
        <v/>
      </c>
      <c r="X4430" s="75" t="n"/>
      <c r="Y4430" s="77" t="n"/>
      <c r="Z4430" s="77" t="n"/>
      <c r="AA4430" s="75" t="n"/>
      <c r="AB4430" s="75" t="n"/>
      <c r="AC4430" s="6" t="n"/>
      <c r="AD4430" s="75" t="n"/>
      <c r="AE4430" s="75" t="n"/>
      <c r="AF4430" s="75" t="n"/>
    </row>
    <row r="4431" ht="15.75" customHeight="1" s="133">
      <c r="A4431" s="75" t="n"/>
      <c r="B4431" s="75" t="n"/>
      <c r="C4431" s="75" t="n"/>
      <c r="D4431" s="75" t="n"/>
      <c r="E4431" s="76" t="n"/>
      <c r="F4431" s="77" t="n"/>
      <c r="G4431" s="75" t="n"/>
      <c r="H4431" s="75">
        <f>IF(ISBLANK(E4431),"",IF(OR(D4431="Butterfly",D4431="Butterfly ",D4431="Iron Fly", D4431="Iron Fly "),LEN(E4431)-LEN(SUBSTITUTE(E4431,"/",""))+2,LEN(E4431)-LEN(SUBSTITUTE(E4431,"/",""))+1))</f>
        <v/>
      </c>
      <c r="I4431" s="78">
        <f>IF(ISBLANK(G4431),"",IF(D4431="Stock","0",Key!$A$3*H4431*G4431))</f>
        <v/>
      </c>
      <c r="J4431" s="78">
        <f>IF(ISBLANK(E4431),"",IF(ISNUMBER(SEARCH("/",E4431)), IF(LEN(E4431)-LEN(SUBSTITUTE(E4431,"/",""))=1,(RIGHT(E4431,LEN(E4431)-FIND("/",E4431)))-(LEFT(E4431,FIND("/",E4431)-1)),(MID(E4431, SEARCH("/",E4431) + 1, SEARCH("/",E4431, SEARCH("/",E4431)+1) - SEARCH("/",E4431) - 1))-(LEFT(E4431,FIND("/",E4431)-1))), "NA"))</f>
        <v/>
      </c>
      <c r="K4431" s="79">
        <f>IF(A4431&lt;&gt;"", IF(ISBLANK(L4431), TODAY(), K4431), "")</f>
        <v/>
      </c>
      <c r="L4431" s="78" t="n"/>
      <c r="M4431" s="78">
        <f>IF(ISBLANK(L4431),"",IF(D4431="Stock",IF(C4431="Buy",L4431*G4431,IF(C4431="Sell",(L4431*G4431)-I4431, X)),IF(C4431="Buy",(L4431*G4431*100)+I4431,IF(C4431="Sell",(L4431*G4431*100)-I4431, X))))</f>
        <v/>
      </c>
      <c r="N4431" s="78">
        <f>IF(ISBLANK(L4431),"",IF(AND(C4431="Sell",D4431="Stock"),M4431,IF(ISBLANK(L4431),"",IF(C4431="Buy",M4431, IF(AND(C4431="Sell",J4431="NA"),(E4431*G4431*100*0.1)+I4431, IF(C4431="Sell",(J4431-L4431)*(100*G4431)+I4431))))))</f>
        <v/>
      </c>
      <c r="O4431" s="75" t="n"/>
      <c r="P4431" s="75" t="n"/>
      <c r="Q4431" s="75">
        <f>IF(ISBLANK(P4431),"",IF(D4431="Stock",P4431*G4431,IF(P4431=0,"0",G4431*P4431*100-(G4431*$AF$14))))</f>
        <v/>
      </c>
      <c r="R4431" s="79">
        <f>IF(P4431&lt;&gt;"", TODAY(), "")</f>
        <v/>
      </c>
      <c r="S4431" s="78">
        <f>IF(AND(K4431&lt;&gt;"", R4431&lt;&gt;""), R4431-K4431, "")</f>
        <v/>
      </c>
      <c r="T4431" s="78" t="n"/>
      <c r="U4431" s="92">
        <f>IF(ISBLANK(P4431),"",IF(C4431="Buy",Q4431-M4431+T4431, IF(C4431="Sell",M4431-Q4431-T4431, X)))</f>
        <v/>
      </c>
      <c r="V4431" s="81">
        <f>IF(ISBLANK(P4431),"",U4431/N4431)</f>
        <v/>
      </c>
      <c r="W4431" s="81">
        <f>IF(ISBLANK(P4431),"",IF(S4431=0,(365/0.5)*V4431,(365/S4431)*V4431))</f>
        <v/>
      </c>
      <c r="X4431" s="75" t="n"/>
      <c r="Y4431" s="77" t="n"/>
      <c r="Z4431" s="77" t="n"/>
      <c r="AA4431" s="75" t="n"/>
      <c r="AB4431" s="75" t="n"/>
      <c r="AC4431" s="6" t="n"/>
      <c r="AD4431" s="75" t="n"/>
      <c r="AE4431" s="75" t="n"/>
      <c r="AF4431" s="75" t="n"/>
    </row>
    <row r="4432" ht="15.75" customHeight="1" s="133">
      <c r="A4432" s="75" t="n"/>
      <c r="B4432" s="75" t="n"/>
      <c r="C4432" s="75" t="n"/>
      <c r="D4432" s="75" t="n"/>
      <c r="E4432" s="76" t="n"/>
      <c r="F4432" s="77" t="n"/>
      <c r="G4432" s="75" t="n"/>
      <c r="H4432" s="75">
        <f>IF(ISBLANK(E4432),"",IF(OR(D4432="Butterfly",D4432="Butterfly ",D4432="Iron Fly", D4432="Iron Fly "),LEN(E4432)-LEN(SUBSTITUTE(E4432,"/",""))+2,LEN(E4432)-LEN(SUBSTITUTE(E4432,"/",""))+1))</f>
        <v/>
      </c>
      <c r="I4432" s="78">
        <f>IF(ISBLANK(G4432),"",IF(D4432="Stock","0",Key!$A$3*H4432*G4432))</f>
        <v/>
      </c>
      <c r="J4432" s="78">
        <f>IF(ISBLANK(E4432),"",IF(ISNUMBER(SEARCH("/",E4432)), IF(LEN(E4432)-LEN(SUBSTITUTE(E4432,"/",""))=1,(RIGHT(E4432,LEN(E4432)-FIND("/",E4432)))-(LEFT(E4432,FIND("/",E4432)-1)),(MID(E4432, SEARCH("/",E4432) + 1, SEARCH("/",E4432, SEARCH("/",E4432)+1) - SEARCH("/",E4432) - 1))-(LEFT(E4432,FIND("/",E4432)-1))), "NA"))</f>
        <v/>
      </c>
      <c r="K4432" s="79">
        <f>IF(A4432&lt;&gt;"", IF(ISBLANK(L4432), TODAY(), K4432), "")</f>
        <v/>
      </c>
      <c r="L4432" s="78" t="n"/>
      <c r="M4432" s="78">
        <f>IF(ISBLANK(L4432),"",IF(D4432="Stock",IF(C4432="Buy",L4432*G4432,IF(C4432="Sell",(L4432*G4432)-I4432, X)),IF(C4432="Buy",(L4432*G4432*100)+I4432,IF(C4432="Sell",(L4432*G4432*100)-I4432, X))))</f>
        <v/>
      </c>
      <c r="N4432" s="78">
        <f>IF(ISBLANK(L4432),"",IF(AND(C4432="Sell",D4432="Stock"),M4432,IF(ISBLANK(L4432),"",IF(C4432="Buy",M4432, IF(AND(C4432="Sell",J4432="NA"),(E4432*G4432*100*0.1)+I4432, IF(C4432="Sell",(J4432-L4432)*(100*G4432)+I4432))))))</f>
        <v/>
      </c>
      <c r="O4432" s="75" t="n"/>
      <c r="P4432" s="75" t="n"/>
      <c r="Q4432" s="75">
        <f>IF(ISBLANK(P4432),"",IF(D4432="Stock",P4432*G4432,IF(P4432=0,"0",G4432*P4432*100-(G4432*$AF$14))))</f>
        <v/>
      </c>
      <c r="R4432" s="79">
        <f>IF(P4432&lt;&gt;"", TODAY(), "")</f>
        <v/>
      </c>
      <c r="S4432" s="78">
        <f>IF(AND(K4432&lt;&gt;"", R4432&lt;&gt;""), R4432-K4432, "")</f>
        <v/>
      </c>
      <c r="T4432" s="78" t="n"/>
      <c r="U4432" s="92">
        <f>IF(ISBLANK(P4432),"",IF(C4432="Buy",Q4432-M4432+T4432, IF(C4432="Sell",M4432-Q4432-T4432, X)))</f>
        <v/>
      </c>
      <c r="V4432" s="81">
        <f>IF(ISBLANK(P4432),"",U4432/N4432)</f>
        <v/>
      </c>
      <c r="W4432" s="81">
        <f>IF(ISBLANK(P4432),"",IF(S4432=0,(365/0.5)*V4432,(365/S4432)*V4432))</f>
        <v/>
      </c>
      <c r="X4432" s="75" t="n"/>
      <c r="Y4432" s="77" t="n"/>
      <c r="Z4432" s="77" t="n"/>
      <c r="AA4432" s="75" t="n"/>
      <c r="AB4432" s="75" t="n"/>
      <c r="AC4432" s="6" t="n"/>
      <c r="AD4432" s="75" t="n"/>
      <c r="AE4432" s="75" t="n"/>
      <c r="AF4432" s="75" t="n"/>
    </row>
    <row r="4433" ht="15.75" customHeight="1" s="133">
      <c r="A4433" s="75" t="n"/>
      <c r="B4433" s="75" t="n"/>
      <c r="C4433" s="75" t="n"/>
      <c r="D4433" s="75" t="n"/>
      <c r="E4433" s="76" t="n"/>
      <c r="F4433" s="77" t="n"/>
      <c r="G4433" s="75" t="n"/>
      <c r="H4433" s="75">
        <f>IF(ISBLANK(E4433),"",IF(OR(D4433="Butterfly",D4433="Butterfly ",D4433="Iron Fly", D4433="Iron Fly "),LEN(E4433)-LEN(SUBSTITUTE(E4433,"/",""))+2,LEN(E4433)-LEN(SUBSTITUTE(E4433,"/",""))+1))</f>
        <v/>
      </c>
      <c r="I4433" s="78">
        <f>IF(ISBLANK(G4433),"",IF(D4433="Stock","0",Key!$A$3*H4433*G4433))</f>
        <v/>
      </c>
      <c r="J4433" s="78">
        <f>IF(ISBLANK(E4433),"",IF(ISNUMBER(SEARCH("/",E4433)), IF(LEN(E4433)-LEN(SUBSTITUTE(E4433,"/",""))=1,(RIGHT(E4433,LEN(E4433)-FIND("/",E4433)))-(LEFT(E4433,FIND("/",E4433)-1)),(MID(E4433, SEARCH("/",E4433) + 1, SEARCH("/",E4433, SEARCH("/",E4433)+1) - SEARCH("/",E4433) - 1))-(LEFT(E4433,FIND("/",E4433)-1))), "NA"))</f>
        <v/>
      </c>
      <c r="K4433" s="79">
        <f>IF(A4433&lt;&gt;"", IF(ISBLANK(L4433), TODAY(), K4433), "")</f>
        <v/>
      </c>
      <c r="L4433" s="78" t="n"/>
      <c r="M4433" s="78">
        <f>IF(ISBLANK(L4433),"",IF(D4433="Stock",IF(C4433="Buy",L4433*G4433,IF(C4433="Sell",(L4433*G4433)-I4433, X)),IF(C4433="Buy",(L4433*G4433*100)+I4433,IF(C4433="Sell",(L4433*G4433*100)-I4433, X))))</f>
        <v/>
      </c>
      <c r="N4433" s="78">
        <f>IF(ISBLANK(L4433),"",IF(AND(C4433="Sell",D4433="Stock"),M4433,IF(ISBLANK(L4433),"",IF(C4433="Buy",M4433, IF(AND(C4433="Sell",J4433="NA"),(E4433*G4433*100*0.1)+I4433, IF(C4433="Sell",(J4433-L4433)*(100*G4433)+I4433))))))</f>
        <v/>
      </c>
      <c r="O4433" s="75" t="n"/>
      <c r="P4433" s="75" t="n"/>
      <c r="Q4433" s="75">
        <f>IF(ISBLANK(P4433),"",IF(D4433="Stock",P4433*G4433,IF(P4433=0,"0",G4433*P4433*100-(G4433*$AF$14))))</f>
        <v/>
      </c>
      <c r="R4433" s="79">
        <f>IF(P4433&lt;&gt;"", TODAY(), "")</f>
        <v/>
      </c>
      <c r="S4433" s="78">
        <f>IF(AND(K4433&lt;&gt;"", R4433&lt;&gt;""), R4433-K4433, "")</f>
        <v/>
      </c>
      <c r="T4433" s="78" t="n"/>
      <c r="U4433" s="92">
        <f>IF(ISBLANK(P4433),"",IF(C4433="Buy",Q4433-M4433+T4433, IF(C4433="Sell",M4433-Q4433-T4433, X)))</f>
        <v/>
      </c>
      <c r="V4433" s="81">
        <f>IF(ISBLANK(P4433),"",U4433/N4433)</f>
        <v/>
      </c>
      <c r="W4433" s="81">
        <f>IF(ISBLANK(P4433),"",IF(S4433=0,(365/0.5)*V4433,(365/S4433)*V4433))</f>
        <v/>
      </c>
      <c r="X4433" s="75" t="n"/>
      <c r="Y4433" s="77" t="n"/>
      <c r="Z4433" s="77" t="n"/>
      <c r="AA4433" s="75" t="n"/>
      <c r="AB4433" s="75" t="n"/>
      <c r="AC4433" s="6" t="n"/>
      <c r="AD4433" s="75" t="n"/>
      <c r="AE4433" s="75" t="n"/>
      <c r="AF4433" s="75" t="n"/>
    </row>
    <row r="4434" ht="15.75" customHeight="1" s="133">
      <c r="A4434" s="75" t="n"/>
      <c r="B4434" s="75" t="n"/>
      <c r="C4434" s="75" t="n"/>
      <c r="D4434" s="75" t="n"/>
      <c r="E4434" s="76" t="n"/>
      <c r="F4434" s="77" t="n"/>
      <c r="G4434" s="75" t="n"/>
      <c r="H4434" s="75">
        <f>IF(ISBLANK(E4434),"",IF(OR(D4434="Butterfly",D4434="Butterfly ",D4434="Iron Fly", D4434="Iron Fly "),LEN(E4434)-LEN(SUBSTITUTE(E4434,"/",""))+2,LEN(E4434)-LEN(SUBSTITUTE(E4434,"/",""))+1))</f>
        <v/>
      </c>
      <c r="I4434" s="78">
        <f>IF(ISBLANK(G4434),"",IF(D4434="Stock","0",Key!$A$3*H4434*G4434))</f>
        <v/>
      </c>
      <c r="J4434" s="78">
        <f>IF(ISBLANK(E4434),"",IF(ISNUMBER(SEARCH("/",E4434)), IF(LEN(E4434)-LEN(SUBSTITUTE(E4434,"/",""))=1,(RIGHT(E4434,LEN(E4434)-FIND("/",E4434)))-(LEFT(E4434,FIND("/",E4434)-1)),(MID(E4434, SEARCH("/",E4434) + 1, SEARCH("/",E4434, SEARCH("/",E4434)+1) - SEARCH("/",E4434) - 1))-(LEFT(E4434,FIND("/",E4434)-1))), "NA"))</f>
        <v/>
      </c>
      <c r="K4434" s="79">
        <f>IF(A4434&lt;&gt;"", IF(ISBLANK(L4434), TODAY(), K4434), "")</f>
        <v/>
      </c>
      <c r="L4434" s="78" t="n"/>
      <c r="M4434" s="78">
        <f>IF(ISBLANK(L4434),"",IF(D4434="Stock",IF(C4434="Buy",L4434*G4434,IF(C4434="Sell",(L4434*G4434)-I4434, X)),IF(C4434="Buy",(L4434*G4434*100)+I4434,IF(C4434="Sell",(L4434*G4434*100)-I4434, X))))</f>
        <v/>
      </c>
      <c r="N4434" s="78">
        <f>IF(ISBLANK(L4434),"",IF(AND(C4434="Sell",D4434="Stock"),M4434,IF(ISBLANK(L4434),"",IF(C4434="Buy",M4434, IF(AND(C4434="Sell",J4434="NA"),(E4434*G4434*100*0.1)+I4434, IF(C4434="Sell",(J4434-L4434)*(100*G4434)+I4434))))))</f>
        <v/>
      </c>
      <c r="O4434" s="75" t="n"/>
      <c r="P4434" s="75" t="n"/>
      <c r="Q4434" s="75">
        <f>IF(ISBLANK(P4434),"",IF(D4434="Stock",P4434*G4434,IF(P4434=0,"0",G4434*P4434*100-(G4434*$AF$14))))</f>
        <v/>
      </c>
      <c r="R4434" s="79">
        <f>IF(P4434&lt;&gt;"", TODAY(), "")</f>
        <v/>
      </c>
      <c r="S4434" s="78">
        <f>IF(AND(K4434&lt;&gt;"", R4434&lt;&gt;""), R4434-K4434, "")</f>
        <v/>
      </c>
      <c r="T4434" s="78" t="n"/>
      <c r="U4434" s="92">
        <f>IF(ISBLANK(P4434),"",IF(C4434="Buy",Q4434-M4434+T4434, IF(C4434="Sell",M4434-Q4434-T4434, X)))</f>
        <v/>
      </c>
      <c r="V4434" s="81">
        <f>IF(ISBLANK(P4434),"",U4434/N4434)</f>
        <v/>
      </c>
      <c r="W4434" s="81">
        <f>IF(ISBLANK(P4434),"",IF(S4434=0,(365/0.5)*V4434,(365/S4434)*V4434))</f>
        <v/>
      </c>
      <c r="X4434" s="75" t="n"/>
      <c r="Y4434" s="77" t="n"/>
      <c r="Z4434" s="77" t="n"/>
      <c r="AA4434" s="75" t="n"/>
      <c r="AB4434" s="75" t="n"/>
      <c r="AC4434" s="6" t="n"/>
      <c r="AD4434" s="75" t="n"/>
      <c r="AE4434" s="75" t="n"/>
      <c r="AF4434" s="75" t="n"/>
    </row>
    <row r="4435" ht="15.75" customHeight="1" s="133">
      <c r="A4435" s="75" t="n"/>
      <c r="B4435" s="75" t="n"/>
      <c r="C4435" s="75" t="n"/>
      <c r="D4435" s="75" t="n"/>
      <c r="E4435" s="76" t="n"/>
      <c r="F4435" s="77" t="n"/>
      <c r="G4435" s="75" t="n"/>
      <c r="H4435" s="75">
        <f>IF(ISBLANK(E4435),"",IF(OR(D4435="Butterfly",D4435="Butterfly ",D4435="Iron Fly", D4435="Iron Fly "),LEN(E4435)-LEN(SUBSTITUTE(E4435,"/",""))+2,LEN(E4435)-LEN(SUBSTITUTE(E4435,"/",""))+1))</f>
        <v/>
      </c>
      <c r="I4435" s="78">
        <f>IF(ISBLANK(G4435),"",IF(D4435="Stock","0",Key!$A$3*H4435*G4435))</f>
        <v/>
      </c>
      <c r="J4435" s="78">
        <f>IF(ISBLANK(E4435),"",IF(ISNUMBER(SEARCH("/",E4435)), IF(LEN(E4435)-LEN(SUBSTITUTE(E4435,"/",""))=1,(RIGHT(E4435,LEN(E4435)-FIND("/",E4435)))-(LEFT(E4435,FIND("/",E4435)-1)),(MID(E4435, SEARCH("/",E4435) + 1, SEARCH("/",E4435, SEARCH("/",E4435)+1) - SEARCH("/",E4435) - 1))-(LEFT(E4435,FIND("/",E4435)-1))), "NA"))</f>
        <v/>
      </c>
      <c r="K4435" s="79">
        <f>IF(A4435&lt;&gt;"", IF(ISBLANK(L4435), TODAY(), K4435), "")</f>
        <v/>
      </c>
      <c r="L4435" s="78" t="n"/>
      <c r="M4435" s="78">
        <f>IF(ISBLANK(L4435),"",IF(D4435="Stock",IF(C4435="Buy",L4435*G4435,IF(C4435="Sell",(L4435*G4435)-I4435, X)),IF(C4435="Buy",(L4435*G4435*100)+I4435,IF(C4435="Sell",(L4435*G4435*100)-I4435, X))))</f>
        <v/>
      </c>
      <c r="N4435" s="78">
        <f>IF(ISBLANK(L4435),"",IF(AND(C4435="Sell",D4435="Stock"),M4435,IF(ISBLANK(L4435),"",IF(C4435="Buy",M4435, IF(AND(C4435="Sell",J4435="NA"),(E4435*G4435*100*0.1)+I4435, IF(C4435="Sell",(J4435-L4435)*(100*G4435)+I4435))))))</f>
        <v/>
      </c>
      <c r="O4435" s="75" t="n"/>
      <c r="P4435" s="75" t="n"/>
      <c r="Q4435" s="75">
        <f>IF(ISBLANK(P4435),"",IF(D4435="Stock",P4435*G4435,IF(P4435=0,"0",G4435*P4435*100-(G4435*$AF$14))))</f>
        <v/>
      </c>
      <c r="R4435" s="79">
        <f>IF(P4435&lt;&gt;"", TODAY(), "")</f>
        <v/>
      </c>
      <c r="S4435" s="78">
        <f>IF(AND(K4435&lt;&gt;"", R4435&lt;&gt;""), R4435-K4435, "")</f>
        <v/>
      </c>
      <c r="T4435" s="78" t="n"/>
      <c r="U4435" s="92">
        <f>IF(ISBLANK(P4435),"",IF(C4435="Buy",Q4435-M4435+T4435, IF(C4435="Sell",M4435-Q4435-T4435, X)))</f>
        <v/>
      </c>
      <c r="V4435" s="81">
        <f>IF(ISBLANK(P4435),"",U4435/N4435)</f>
        <v/>
      </c>
      <c r="W4435" s="81">
        <f>IF(ISBLANK(P4435),"",IF(S4435=0,(365/0.5)*V4435,(365/S4435)*V4435))</f>
        <v/>
      </c>
      <c r="X4435" s="75" t="n"/>
      <c r="Y4435" s="77" t="n"/>
      <c r="Z4435" s="77" t="n"/>
      <c r="AA4435" s="75" t="n"/>
      <c r="AB4435" s="75" t="n"/>
      <c r="AC4435" s="6" t="n"/>
      <c r="AD4435" s="75" t="n"/>
      <c r="AE4435" s="75" t="n"/>
      <c r="AF4435" s="75" t="n"/>
    </row>
    <row r="4436" ht="15.75" customHeight="1" s="133">
      <c r="A4436" s="75" t="n"/>
      <c r="B4436" s="75" t="n"/>
      <c r="C4436" s="75" t="n"/>
      <c r="D4436" s="75" t="n"/>
      <c r="E4436" s="76" t="n"/>
      <c r="F4436" s="77" t="n"/>
      <c r="G4436" s="75" t="n"/>
      <c r="H4436" s="75">
        <f>IF(ISBLANK(E4436),"",IF(OR(D4436="Butterfly",D4436="Butterfly ",D4436="Iron Fly", D4436="Iron Fly "),LEN(E4436)-LEN(SUBSTITUTE(E4436,"/",""))+2,LEN(E4436)-LEN(SUBSTITUTE(E4436,"/",""))+1))</f>
        <v/>
      </c>
      <c r="I4436" s="78">
        <f>IF(ISBLANK(G4436),"",IF(D4436="Stock","0",Key!$A$3*H4436*G4436))</f>
        <v/>
      </c>
      <c r="J4436" s="78">
        <f>IF(ISBLANK(E4436),"",IF(ISNUMBER(SEARCH("/",E4436)), IF(LEN(E4436)-LEN(SUBSTITUTE(E4436,"/",""))=1,(RIGHT(E4436,LEN(E4436)-FIND("/",E4436)))-(LEFT(E4436,FIND("/",E4436)-1)),(MID(E4436, SEARCH("/",E4436) + 1, SEARCH("/",E4436, SEARCH("/",E4436)+1) - SEARCH("/",E4436) - 1))-(LEFT(E4436,FIND("/",E4436)-1))), "NA"))</f>
        <v/>
      </c>
      <c r="K4436" s="79">
        <f>IF(A4436&lt;&gt;"", IF(ISBLANK(L4436), TODAY(), K4436), "")</f>
        <v/>
      </c>
      <c r="L4436" s="78" t="n"/>
      <c r="M4436" s="78">
        <f>IF(ISBLANK(L4436),"",IF(D4436="Stock",IF(C4436="Buy",L4436*G4436,IF(C4436="Sell",(L4436*G4436)-I4436, X)),IF(C4436="Buy",(L4436*G4436*100)+I4436,IF(C4436="Sell",(L4436*G4436*100)-I4436, X))))</f>
        <v/>
      </c>
      <c r="N4436" s="78">
        <f>IF(ISBLANK(L4436),"",IF(AND(C4436="Sell",D4436="Stock"),M4436,IF(ISBLANK(L4436),"",IF(C4436="Buy",M4436, IF(AND(C4436="Sell",J4436="NA"),(E4436*G4436*100*0.1)+I4436, IF(C4436="Sell",(J4436-L4436)*(100*G4436)+I4436))))))</f>
        <v/>
      </c>
      <c r="O4436" s="75" t="n"/>
      <c r="P4436" s="75" t="n"/>
      <c r="Q4436" s="75">
        <f>IF(ISBLANK(P4436),"",IF(D4436="Stock",P4436*G4436,IF(P4436=0,"0",G4436*P4436*100-(G4436*$AF$14))))</f>
        <v/>
      </c>
      <c r="R4436" s="79">
        <f>IF(P4436&lt;&gt;"", TODAY(), "")</f>
        <v/>
      </c>
      <c r="S4436" s="78">
        <f>IF(AND(K4436&lt;&gt;"", R4436&lt;&gt;""), R4436-K4436, "")</f>
        <v/>
      </c>
      <c r="T4436" s="78" t="n"/>
      <c r="U4436" s="92">
        <f>IF(ISBLANK(P4436),"",IF(C4436="Buy",Q4436-M4436+T4436, IF(C4436="Sell",M4436-Q4436-T4436, X)))</f>
        <v/>
      </c>
      <c r="V4436" s="81">
        <f>IF(ISBLANK(P4436),"",U4436/N4436)</f>
        <v/>
      </c>
      <c r="W4436" s="81">
        <f>IF(ISBLANK(P4436),"",IF(S4436=0,(365/0.5)*V4436,(365/S4436)*V4436))</f>
        <v/>
      </c>
      <c r="X4436" s="75" t="n"/>
      <c r="Y4436" s="77" t="n"/>
      <c r="Z4436" s="77" t="n"/>
      <c r="AA4436" s="75" t="n"/>
      <c r="AB4436" s="75" t="n"/>
      <c r="AC4436" s="6" t="n"/>
      <c r="AD4436" s="75" t="n"/>
      <c r="AE4436" s="75" t="n"/>
      <c r="AF4436" s="75" t="n"/>
    </row>
    <row r="4437" ht="15.75" customHeight="1" s="133">
      <c r="A4437" s="75" t="n"/>
      <c r="B4437" s="75" t="n"/>
      <c r="C4437" s="75" t="n"/>
      <c r="D4437" s="75" t="n"/>
      <c r="E4437" s="76" t="n"/>
      <c r="F4437" s="77" t="n"/>
      <c r="G4437" s="75" t="n"/>
      <c r="H4437" s="75">
        <f>IF(ISBLANK(E4437),"",IF(OR(D4437="Butterfly",D4437="Butterfly ",D4437="Iron Fly", D4437="Iron Fly "),LEN(E4437)-LEN(SUBSTITUTE(E4437,"/",""))+2,LEN(E4437)-LEN(SUBSTITUTE(E4437,"/",""))+1))</f>
        <v/>
      </c>
      <c r="I4437" s="78">
        <f>IF(ISBLANK(G4437),"",IF(D4437="Stock","0",Key!$A$3*H4437*G4437))</f>
        <v/>
      </c>
      <c r="J4437" s="78">
        <f>IF(ISBLANK(E4437),"",IF(ISNUMBER(SEARCH("/",E4437)), IF(LEN(E4437)-LEN(SUBSTITUTE(E4437,"/",""))=1,(RIGHT(E4437,LEN(E4437)-FIND("/",E4437)))-(LEFT(E4437,FIND("/",E4437)-1)),(MID(E4437, SEARCH("/",E4437) + 1, SEARCH("/",E4437, SEARCH("/",E4437)+1) - SEARCH("/",E4437) - 1))-(LEFT(E4437,FIND("/",E4437)-1))), "NA"))</f>
        <v/>
      </c>
      <c r="K4437" s="79">
        <f>IF(A4437&lt;&gt;"", IF(ISBLANK(L4437), TODAY(), K4437), "")</f>
        <v/>
      </c>
      <c r="L4437" s="78" t="n"/>
      <c r="M4437" s="78">
        <f>IF(ISBLANK(L4437),"",IF(D4437="Stock",IF(C4437="Buy",L4437*G4437,IF(C4437="Sell",(L4437*G4437)-I4437, X)),IF(C4437="Buy",(L4437*G4437*100)+I4437,IF(C4437="Sell",(L4437*G4437*100)-I4437, X))))</f>
        <v/>
      </c>
      <c r="N4437" s="78">
        <f>IF(ISBLANK(L4437),"",IF(AND(C4437="Sell",D4437="Stock"),M4437,IF(ISBLANK(L4437),"",IF(C4437="Buy",M4437, IF(AND(C4437="Sell",J4437="NA"),(E4437*G4437*100*0.1)+I4437, IF(C4437="Sell",(J4437-L4437)*(100*G4437)+I4437))))))</f>
        <v/>
      </c>
      <c r="O4437" s="75" t="n"/>
      <c r="P4437" s="75" t="n"/>
      <c r="Q4437" s="75">
        <f>IF(ISBLANK(P4437),"",IF(D4437="Stock",P4437*G4437,IF(P4437=0,"0",G4437*P4437*100-(G4437*$AF$14))))</f>
        <v/>
      </c>
      <c r="R4437" s="79">
        <f>IF(P4437&lt;&gt;"", TODAY(), "")</f>
        <v/>
      </c>
      <c r="S4437" s="78">
        <f>IF(AND(K4437&lt;&gt;"", R4437&lt;&gt;""), R4437-K4437, "")</f>
        <v/>
      </c>
      <c r="T4437" s="78" t="n"/>
      <c r="U4437" s="92">
        <f>IF(ISBLANK(P4437),"",IF(C4437="Buy",Q4437-M4437+T4437, IF(C4437="Sell",M4437-Q4437-T4437, X)))</f>
        <v/>
      </c>
      <c r="V4437" s="81">
        <f>IF(ISBLANK(P4437),"",U4437/N4437)</f>
        <v/>
      </c>
      <c r="W4437" s="81">
        <f>IF(ISBLANK(P4437),"",IF(S4437=0,(365/0.5)*V4437,(365/S4437)*V4437))</f>
        <v/>
      </c>
      <c r="X4437" s="75" t="n"/>
      <c r="Y4437" s="77" t="n"/>
      <c r="Z4437" s="77" t="n"/>
      <c r="AA4437" s="75" t="n"/>
      <c r="AB4437" s="75" t="n"/>
      <c r="AC4437" s="6" t="n"/>
      <c r="AD4437" s="75" t="n"/>
      <c r="AE4437" s="75" t="n"/>
      <c r="AF4437" s="75" t="n"/>
    </row>
    <row r="4438" ht="15.75" customHeight="1" s="133">
      <c r="A4438" s="75" t="n"/>
      <c r="B4438" s="75" t="n"/>
      <c r="C4438" s="75" t="n"/>
      <c r="D4438" s="75" t="n"/>
      <c r="E4438" s="76" t="n"/>
      <c r="F4438" s="77" t="n"/>
      <c r="G4438" s="75" t="n"/>
      <c r="H4438" s="75">
        <f>IF(ISBLANK(E4438),"",IF(OR(D4438="Butterfly",D4438="Butterfly ",D4438="Iron Fly", D4438="Iron Fly "),LEN(E4438)-LEN(SUBSTITUTE(E4438,"/",""))+2,LEN(E4438)-LEN(SUBSTITUTE(E4438,"/",""))+1))</f>
        <v/>
      </c>
      <c r="I4438" s="78">
        <f>IF(ISBLANK(G4438),"",IF(D4438="Stock","0",Key!$A$3*H4438*G4438))</f>
        <v/>
      </c>
      <c r="J4438" s="78">
        <f>IF(ISBLANK(E4438),"",IF(ISNUMBER(SEARCH("/",E4438)), IF(LEN(E4438)-LEN(SUBSTITUTE(E4438,"/",""))=1,(RIGHT(E4438,LEN(E4438)-FIND("/",E4438)))-(LEFT(E4438,FIND("/",E4438)-1)),(MID(E4438, SEARCH("/",E4438) + 1, SEARCH("/",E4438, SEARCH("/",E4438)+1) - SEARCH("/",E4438) - 1))-(LEFT(E4438,FIND("/",E4438)-1))), "NA"))</f>
        <v/>
      </c>
      <c r="K4438" s="79">
        <f>IF(A4438&lt;&gt;"", IF(ISBLANK(L4438), TODAY(), K4438), "")</f>
        <v/>
      </c>
      <c r="L4438" s="78" t="n"/>
      <c r="M4438" s="78">
        <f>IF(ISBLANK(L4438),"",IF(D4438="Stock",IF(C4438="Buy",L4438*G4438,IF(C4438="Sell",(L4438*G4438)-I4438, X)),IF(C4438="Buy",(L4438*G4438*100)+I4438,IF(C4438="Sell",(L4438*G4438*100)-I4438, X))))</f>
        <v/>
      </c>
      <c r="N4438" s="78">
        <f>IF(ISBLANK(L4438),"",IF(AND(C4438="Sell",D4438="Stock"),M4438,IF(ISBLANK(L4438),"",IF(C4438="Buy",M4438, IF(AND(C4438="Sell",J4438="NA"),(E4438*G4438*100*0.1)+I4438, IF(C4438="Sell",(J4438-L4438)*(100*G4438)+I4438))))))</f>
        <v/>
      </c>
      <c r="O4438" s="75" t="n"/>
      <c r="P4438" s="75" t="n"/>
      <c r="Q4438" s="75">
        <f>IF(ISBLANK(P4438),"",IF(D4438="Stock",P4438*G4438,IF(P4438=0,"0",G4438*P4438*100-(G4438*$AF$14))))</f>
        <v/>
      </c>
      <c r="R4438" s="79">
        <f>IF(P4438&lt;&gt;"", TODAY(), "")</f>
        <v/>
      </c>
      <c r="S4438" s="78">
        <f>IF(AND(K4438&lt;&gt;"", R4438&lt;&gt;""), R4438-K4438, "")</f>
        <v/>
      </c>
      <c r="T4438" s="78" t="n"/>
      <c r="U4438" s="92">
        <f>IF(ISBLANK(P4438),"",IF(C4438="Buy",Q4438-M4438+T4438, IF(C4438="Sell",M4438-Q4438-T4438, X)))</f>
        <v/>
      </c>
      <c r="V4438" s="81">
        <f>IF(ISBLANK(P4438),"",U4438/N4438)</f>
        <v/>
      </c>
      <c r="W4438" s="81">
        <f>IF(ISBLANK(P4438),"",IF(S4438=0,(365/0.5)*V4438,(365/S4438)*V4438))</f>
        <v/>
      </c>
      <c r="X4438" s="75" t="n"/>
      <c r="Y4438" s="77" t="n"/>
      <c r="Z4438" s="77" t="n"/>
      <c r="AA4438" s="75" t="n"/>
      <c r="AB4438" s="75" t="n"/>
      <c r="AC4438" s="6" t="n"/>
      <c r="AD4438" s="75" t="n"/>
      <c r="AE4438" s="75" t="n"/>
      <c r="AF4438" s="75" t="n"/>
    </row>
    <row r="4439" ht="15.75" customHeight="1" s="133">
      <c r="A4439" s="75" t="n"/>
      <c r="B4439" s="75" t="n"/>
      <c r="C4439" s="75" t="n"/>
      <c r="D4439" s="75" t="n"/>
      <c r="E4439" s="76" t="n"/>
      <c r="F4439" s="77" t="n"/>
      <c r="G4439" s="75" t="n"/>
      <c r="H4439" s="75">
        <f>IF(ISBLANK(E4439),"",IF(OR(D4439="Butterfly",D4439="Butterfly ",D4439="Iron Fly", D4439="Iron Fly "),LEN(E4439)-LEN(SUBSTITUTE(E4439,"/",""))+2,LEN(E4439)-LEN(SUBSTITUTE(E4439,"/",""))+1))</f>
        <v/>
      </c>
      <c r="I4439" s="78">
        <f>IF(ISBLANK(G4439),"",IF(D4439="Stock","0",Key!$A$3*H4439*G4439))</f>
        <v/>
      </c>
      <c r="J4439" s="78">
        <f>IF(ISBLANK(E4439),"",IF(ISNUMBER(SEARCH("/",E4439)), IF(LEN(E4439)-LEN(SUBSTITUTE(E4439,"/",""))=1,(RIGHT(E4439,LEN(E4439)-FIND("/",E4439)))-(LEFT(E4439,FIND("/",E4439)-1)),(MID(E4439, SEARCH("/",E4439) + 1, SEARCH("/",E4439, SEARCH("/",E4439)+1) - SEARCH("/",E4439) - 1))-(LEFT(E4439,FIND("/",E4439)-1))), "NA"))</f>
        <v/>
      </c>
      <c r="K4439" s="79">
        <f>IF(A4439&lt;&gt;"", IF(ISBLANK(L4439), TODAY(), K4439), "")</f>
        <v/>
      </c>
      <c r="L4439" s="78" t="n"/>
      <c r="M4439" s="78">
        <f>IF(ISBLANK(L4439),"",IF(D4439="Stock",IF(C4439="Buy",L4439*G4439,IF(C4439="Sell",(L4439*G4439)-I4439, X)),IF(C4439="Buy",(L4439*G4439*100)+I4439,IF(C4439="Sell",(L4439*G4439*100)-I4439, X))))</f>
        <v/>
      </c>
      <c r="N4439" s="78">
        <f>IF(ISBLANK(L4439),"",IF(AND(C4439="Sell",D4439="Stock"),M4439,IF(ISBLANK(L4439),"",IF(C4439="Buy",M4439, IF(AND(C4439="Sell",J4439="NA"),(E4439*G4439*100*0.1)+I4439, IF(C4439="Sell",(J4439-L4439)*(100*G4439)+I4439))))))</f>
        <v/>
      </c>
      <c r="O4439" s="75" t="n"/>
      <c r="P4439" s="75" t="n"/>
      <c r="Q4439" s="75">
        <f>IF(ISBLANK(P4439),"",IF(D4439="Stock",P4439*G4439,IF(P4439=0,"0",G4439*P4439*100-(G4439*$AF$14))))</f>
        <v/>
      </c>
      <c r="R4439" s="79">
        <f>IF(P4439&lt;&gt;"", TODAY(), "")</f>
        <v/>
      </c>
      <c r="S4439" s="78">
        <f>IF(AND(K4439&lt;&gt;"", R4439&lt;&gt;""), R4439-K4439, "")</f>
        <v/>
      </c>
      <c r="T4439" s="78" t="n"/>
      <c r="U4439" s="92">
        <f>IF(ISBLANK(P4439),"",IF(C4439="Buy",Q4439-M4439+T4439, IF(C4439="Sell",M4439-Q4439-T4439, X)))</f>
        <v/>
      </c>
      <c r="V4439" s="81">
        <f>IF(ISBLANK(P4439),"",U4439/N4439)</f>
        <v/>
      </c>
      <c r="W4439" s="81">
        <f>IF(ISBLANK(P4439),"",IF(S4439=0,(365/0.5)*V4439,(365/S4439)*V4439))</f>
        <v/>
      </c>
      <c r="X4439" s="75" t="n"/>
      <c r="Y4439" s="77" t="n"/>
      <c r="Z4439" s="77" t="n"/>
      <c r="AA4439" s="75" t="n"/>
      <c r="AB4439" s="75" t="n"/>
      <c r="AC4439" s="6" t="n"/>
      <c r="AD4439" s="75" t="n"/>
      <c r="AE4439" s="75" t="n"/>
      <c r="AF4439" s="75" t="n"/>
    </row>
    <row r="4440" ht="15.75" customHeight="1" s="133">
      <c r="A4440" s="75" t="n"/>
      <c r="B4440" s="75" t="n"/>
      <c r="C4440" s="75" t="n"/>
      <c r="D4440" s="75" t="n"/>
      <c r="E4440" s="76" t="n"/>
      <c r="F4440" s="77" t="n"/>
      <c r="G4440" s="75" t="n"/>
      <c r="H4440" s="75">
        <f>IF(ISBLANK(E4440),"",IF(OR(D4440="Butterfly",D4440="Butterfly ",D4440="Iron Fly", D4440="Iron Fly "),LEN(E4440)-LEN(SUBSTITUTE(E4440,"/",""))+2,LEN(E4440)-LEN(SUBSTITUTE(E4440,"/",""))+1))</f>
        <v/>
      </c>
      <c r="I4440" s="78">
        <f>IF(ISBLANK(G4440),"",IF(D4440="Stock","0",Key!$A$3*H4440*G4440))</f>
        <v/>
      </c>
      <c r="J4440" s="78">
        <f>IF(ISBLANK(E4440),"",IF(ISNUMBER(SEARCH("/",E4440)), IF(LEN(E4440)-LEN(SUBSTITUTE(E4440,"/",""))=1,(RIGHT(E4440,LEN(E4440)-FIND("/",E4440)))-(LEFT(E4440,FIND("/",E4440)-1)),(MID(E4440, SEARCH("/",E4440) + 1, SEARCH("/",E4440, SEARCH("/",E4440)+1) - SEARCH("/",E4440) - 1))-(LEFT(E4440,FIND("/",E4440)-1))), "NA"))</f>
        <v/>
      </c>
      <c r="K4440" s="79">
        <f>IF(A4440&lt;&gt;"", IF(ISBLANK(L4440), TODAY(), K4440), "")</f>
        <v/>
      </c>
      <c r="L4440" s="78" t="n"/>
      <c r="M4440" s="78">
        <f>IF(ISBLANK(L4440),"",IF(D4440="Stock",IF(C4440="Buy",L4440*G4440,IF(C4440="Sell",(L4440*G4440)-I4440, X)),IF(C4440="Buy",(L4440*G4440*100)+I4440,IF(C4440="Sell",(L4440*G4440*100)-I4440, X))))</f>
        <v/>
      </c>
      <c r="N4440" s="78">
        <f>IF(ISBLANK(L4440),"",IF(AND(C4440="Sell",D4440="Stock"),M4440,IF(ISBLANK(L4440),"",IF(C4440="Buy",M4440, IF(AND(C4440="Sell",J4440="NA"),(E4440*G4440*100*0.1)+I4440, IF(C4440="Sell",(J4440-L4440)*(100*G4440)+I4440))))))</f>
        <v/>
      </c>
      <c r="O4440" s="75" t="n"/>
      <c r="P4440" s="75" t="n"/>
      <c r="Q4440" s="75">
        <f>IF(ISBLANK(P4440),"",IF(D4440="Stock",P4440*G4440,IF(P4440=0,"0",G4440*P4440*100-(G4440*$AF$14))))</f>
        <v/>
      </c>
      <c r="R4440" s="79">
        <f>IF(P4440&lt;&gt;"", TODAY(), "")</f>
        <v/>
      </c>
      <c r="S4440" s="78">
        <f>IF(AND(K4440&lt;&gt;"", R4440&lt;&gt;""), R4440-K4440, "")</f>
        <v/>
      </c>
      <c r="T4440" s="78" t="n"/>
      <c r="U4440" s="92">
        <f>IF(ISBLANK(P4440),"",IF(C4440="Buy",Q4440-M4440+T4440, IF(C4440="Sell",M4440-Q4440-T4440, X)))</f>
        <v/>
      </c>
      <c r="V4440" s="81">
        <f>IF(ISBLANK(P4440),"",U4440/N4440)</f>
        <v/>
      </c>
      <c r="W4440" s="81">
        <f>IF(ISBLANK(P4440),"",IF(S4440=0,(365/0.5)*V4440,(365/S4440)*V4440))</f>
        <v/>
      </c>
      <c r="X4440" s="75" t="n"/>
      <c r="Y4440" s="77" t="n"/>
      <c r="Z4440" s="77" t="n"/>
      <c r="AA4440" s="75" t="n"/>
      <c r="AB4440" s="75" t="n"/>
      <c r="AC4440" s="6" t="n"/>
      <c r="AD4440" s="75" t="n"/>
      <c r="AE4440" s="75" t="n"/>
      <c r="AF4440" s="75" t="n"/>
    </row>
    <row r="4441" ht="15.75" customHeight="1" s="133">
      <c r="A4441" s="75" t="n"/>
      <c r="B4441" s="75" t="n"/>
      <c r="C4441" s="75" t="n"/>
      <c r="D4441" s="75" t="n"/>
      <c r="E4441" s="76" t="n"/>
      <c r="F4441" s="77" t="n"/>
      <c r="G4441" s="75" t="n"/>
      <c r="H4441" s="75">
        <f>IF(ISBLANK(E4441),"",IF(OR(D4441="Butterfly",D4441="Butterfly ",D4441="Iron Fly", D4441="Iron Fly "),LEN(E4441)-LEN(SUBSTITUTE(E4441,"/",""))+2,LEN(E4441)-LEN(SUBSTITUTE(E4441,"/",""))+1))</f>
        <v/>
      </c>
      <c r="I4441" s="78">
        <f>IF(ISBLANK(G4441),"",IF(D4441="Stock","0",Key!$A$3*H4441*G4441))</f>
        <v/>
      </c>
      <c r="J4441" s="78">
        <f>IF(ISBLANK(E4441),"",IF(ISNUMBER(SEARCH("/",E4441)), IF(LEN(E4441)-LEN(SUBSTITUTE(E4441,"/",""))=1,(RIGHT(E4441,LEN(E4441)-FIND("/",E4441)))-(LEFT(E4441,FIND("/",E4441)-1)),(MID(E4441, SEARCH("/",E4441) + 1, SEARCH("/",E4441, SEARCH("/",E4441)+1) - SEARCH("/",E4441) - 1))-(LEFT(E4441,FIND("/",E4441)-1))), "NA"))</f>
        <v/>
      </c>
      <c r="K4441" s="79">
        <f>IF(A4441&lt;&gt;"", IF(ISBLANK(L4441), TODAY(), K4441), "")</f>
        <v/>
      </c>
      <c r="L4441" s="78" t="n"/>
      <c r="M4441" s="78">
        <f>IF(ISBLANK(L4441),"",IF(D4441="Stock",IF(C4441="Buy",L4441*G4441,IF(C4441="Sell",(L4441*G4441)-I4441, X)),IF(C4441="Buy",(L4441*G4441*100)+I4441,IF(C4441="Sell",(L4441*G4441*100)-I4441, X))))</f>
        <v/>
      </c>
      <c r="N4441" s="78">
        <f>IF(ISBLANK(L4441),"",IF(AND(C4441="Sell",D4441="Stock"),M4441,IF(ISBLANK(L4441),"",IF(C4441="Buy",M4441, IF(AND(C4441="Sell",J4441="NA"),(E4441*G4441*100*0.1)+I4441, IF(C4441="Sell",(J4441-L4441)*(100*G4441)+I4441))))))</f>
        <v/>
      </c>
      <c r="O4441" s="75" t="n"/>
      <c r="P4441" s="75" t="n"/>
      <c r="Q4441" s="75">
        <f>IF(ISBLANK(P4441),"",IF(D4441="Stock",P4441*G4441,IF(P4441=0,"0",G4441*P4441*100-(G4441*$AF$14))))</f>
        <v/>
      </c>
      <c r="R4441" s="79">
        <f>IF(P4441&lt;&gt;"", TODAY(), "")</f>
        <v/>
      </c>
      <c r="S4441" s="78">
        <f>IF(AND(K4441&lt;&gt;"", R4441&lt;&gt;""), R4441-K4441, "")</f>
        <v/>
      </c>
      <c r="T4441" s="78" t="n"/>
      <c r="U4441" s="92">
        <f>IF(ISBLANK(P4441),"",IF(C4441="Buy",Q4441-M4441+T4441, IF(C4441="Sell",M4441-Q4441-T4441, X)))</f>
        <v/>
      </c>
      <c r="V4441" s="81">
        <f>IF(ISBLANK(P4441),"",U4441/N4441)</f>
        <v/>
      </c>
      <c r="W4441" s="81">
        <f>IF(ISBLANK(P4441),"",IF(S4441=0,(365/0.5)*V4441,(365/S4441)*V4441))</f>
        <v/>
      </c>
      <c r="X4441" s="75" t="n"/>
      <c r="Y4441" s="77" t="n"/>
      <c r="Z4441" s="77" t="n"/>
      <c r="AA4441" s="75" t="n"/>
      <c r="AB4441" s="75" t="n"/>
      <c r="AC4441" s="6" t="n"/>
      <c r="AD4441" s="75" t="n"/>
      <c r="AE4441" s="75" t="n"/>
      <c r="AF4441" s="75" t="n"/>
    </row>
    <row r="4442" ht="15.75" customHeight="1" s="133">
      <c r="A4442" s="75" t="n"/>
      <c r="B4442" s="75" t="n"/>
      <c r="C4442" s="75" t="n"/>
      <c r="D4442" s="75" t="n"/>
      <c r="E4442" s="76" t="n"/>
      <c r="F4442" s="77" t="n"/>
      <c r="G4442" s="75" t="n"/>
      <c r="H4442" s="75">
        <f>IF(ISBLANK(E4442),"",IF(OR(D4442="Butterfly",D4442="Butterfly ",D4442="Iron Fly", D4442="Iron Fly "),LEN(E4442)-LEN(SUBSTITUTE(E4442,"/",""))+2,LEN(E4442)-LEN(SUBSTITUTE(E4442,"/",""))+1))</f>
        <v/>
      </c>
      <c r="I4442" s="78">
        <f>IF(ISBLANK(G4442),"",IF(D4442="Stock","0",Key!$A$3*H4442*G4442))</f>
        <v/>
      </c>
      <c r="J4442" s="78">
        <f>IF(ISBLANK(E4442),"",IF(ISNUMBER(SEARCH("/",E4442)), IF(LEN(E4442)-LEN(SUBSTITUTE(E4442,"/",""))=1,(RIGHT(E4442,LEN(E4442)-FIND("/",E4442)))-(LEFT(E4442,FIND("/",E4442)-1)),(MID(E4442, SEARCH("/",E4442) + 1, SEARCH("/",E4442, SEARCH("/",E4442)+1) - SEARCH("/",E4442) - 1))-(LEFT(E4442,FIND("/",E4442)-1))), "NA"))</f>
        <v/>
      </c>
      <c r="K4442" s="79">
        <f>IF(A4442&lt;&gt;"", IF(ISBLANK(L4442), TODAY(), K4442), "")</f>
        <v/>
      </c>
      <c r="L4442" s="78" t="n"/>
      <c r="M4442" s="78">
        <f>IF(ISBLANK(L4442),"",IF(D4442="Stock",IF(C4442="Buy",L4442*G4442,IF(C4442="Sell",(L4442*G4442)-I4442, X)),IF(C4442="Buy",(L4442*G4442*100)+I4442,IF(C4442="Sell",(L4442*G4442*100)-I4442, X))))</f>
        <v/>
      </c>
      <c r="N4442" s="78">
        <f>IF(ISBLANK(L4442),"",IF(AND(C4442="Sell",D4442="Stock"),M4442,IF(ISBLANK(L4442),"",IF(C4442="Buy",M4442, IF(AND(C4442="Sell",J4442="NA"),(E4442*G4442*100*0.1)+I4442, IF(C4442="Sell",(J4442-L4442)*(100*G4442)+I4442))))))</f>
        <v/>
      </c>
      <c r="O4442" s="75" t="n"/>
      <c r="P4442" s="75" t="n"/>
      <c r="Q4442" s="75">
        <f>IF(ISBLANK(P4442),"",IF(D4442="Stock",P4442*G4442,IF(P4442=0,"0",G4442*P4442*100-(G4442*$AF$14))))</f>
        <v/>
      </c>
      <c r="R4442" s="79">
        <f>IF(P4442&lt;&gt;"", TODAY(), "")</f>
        <v/>
      </c>
      <c r="S4442" s="78">
        <f>IF(AND(K4442&lt;&gt;"", R4442&lt;&gt;""), R4442-K4442, "")</f>
        <v/>
      </c>
      <c r="T4442" s="78" t="n"/>
      <c r="U4442" s="92">
        <f>IF(ISBLANK(P4442),"",IF(C4442="Buy",Q4442-M4442+T4442, IF(C4442="Sell",M4442-Q4442-T4442, X)))</f>
        <v/>
      </c>
      <c r="V4442" s="81">
        <f>IF(ISBLANK(P4442),"",U4442/N4442)</f>
        <v/>
      </c>
      <c r="W4442" s="81">
        <f>IF(ISBLANK(P4442),"",IF(S4442=0,(365/0.5)*V4442,(365/S4442)*V4442))</f>
        <v/>
      </c>
      <c r="X4442" s="75" t="n"/>
      <c r="Y4442" s="77" t="n"/>
      <c r="Z4442" s="77" t="n"/>
      <c r="AA4442" s="75" t="n"/>
      <c r="AB4442" s="75" t="n"/>
      <c r="AC4442" s="6" t="n"/>
      <c r="AD4442" s="75" t="n"/>
      <c r="AE4442" s="75" t="n"/>
      <c r="AF4442" s="75" t="n"/>
    </row>
    <row r="4443" ht="15.75" customHeight="1" s="133">
      <c r="A4443" s="75" t="n"/>
      <c r="B4443" s="75" t="n"/>
      <c r="C4443" s="75" t="n"/>
      <c r="D4443" s="75" t="n"/>
      <c r="E4443" s="76" t="n"/>
      <c r="F4443" s="77" t="n"/>
      <c r="G4443" s="75" t="n"/>
      <c r="H4443" s="75">
        <f>IF(ISBLANK(E4443),"",IF(OR(D4443="Butterfly",D4443="Butterfly ",D4443="Iron Fly", D4443="Iron Fly "),LEN(E4443)-LEN(SUBSTITUTE(E4443,"/",""))+2,LEN(E4443)-LEN(SUBSTITUTE(E4443,"/",""))+1))</f>
        <v/>
      </c>
      <c r="I4443" s="78">
        <f>IF(ISBLANK(G4443),"",IF(D4443="Stock","0",Key!$A$3*H4443*G4443))</f>
        <v/>
      </c>
      <c r="J4443" s="78">
        <f>IF(ISBLANK(E4443),"",IF(ISNUMBER(SEARCH("/",E4443)), IF(LEN(E4443)-LEN(SUBSTITUTE(E4443,"/",""))=1,(RIGHT(E4443,LEN(E4443)-FIND("/",E4443)))-(LEFT(E4443,FIND("/",E4443)-1)),(MID(E4443, SEARCH("/",E4443) + 1, SEARCH("/",E4443, SEARCH("/",E4443)+1) - SEARCH("/",E4443) - 1))-(LEFT(E4443,FIND("/",E4443)-1))), "NA"))</f>
        <v/>
      </c>
      <c r="K4443" s="79">
        <f>IF(A4443&lt;&gt;"", IF(ISBLANK(L4443), TODAY(), K4443), "")</f>
        <v/>
      </c>
      <c r="L4443" s="78" t="n"/>
      <c r="M4443" s="78">
        <f>IF(ISBLANK(L4443),"",IF(D4443="Stock",IF(C4443="Buy",L4443*G4443,IF(C4443="Sell",(L4443*G4443)-I4443, X)),IF(C4443="Buy",(L4443*G4443*100)+I4443,IF(C4443="Sell",(L4443*G4443*100)-I4443, X))))</f>
        <v/>
      </c>
      <c r="N4443" s="78">
        <f>IF(ISBLANK(L4443),"",IF(AND(C4443="Sell",D4443="Stock"),M4443,IF(ISBLANK(L4443),"",IF(C4443="Buy",M4443, IF(AND(C4443="Sell",J4443="NA"),(E4443*G4443*100*0.1)+I4443, IF(C4443="Sell",(J4443-L4443)*(100*G4443)+I4443))))))</f>
        <v/>
      </c>
      <c r="O4443" s="75" t="n"/>
      <c r="P4443" s="75" t="n"/>
      <c r="Q4443" s="75">
        <f>IF(ISBLANK(P4443),"",IF(D4443="Stock",P4443*G4443,IF(P4443=0,"0",G4443*P4443*100-(G4443*$AF$14))))</f>
        <v/>
      </c>
      <c r="R4443" s="79">
        <f>IF(P4443&lt;&gt;"", TODAY(), "")</f>
        <v/>
      </c>
      <c r="S4443" s="78">
        <f>IF(AND(K4443&lt;&gt;"", R4443&lt;&gt;""), R4443-K4443, "")</f>
        <v/>
      </c>
      <c r="T4443" s="78" t="n"/>
      <c r="U4443" s="92">
        <f>IF(ISBLANK(P4443),"",IF(C4443="Buy",Q4443-M4443+T4443, IF(C4443="Sell",M4443-Q4443-T4443, X)))</f>
        <v/>
      </c>
      <c r="V4443" s="81">
        <f>IF(ISBLANK(P4443),"",U4443/N4443)</f>
        <v/>
      </c>
      <c r="W4443" s="81">
        <f>IF(ISBLANK(P4443),"",IF(S4443=0,(365/0.5)*V4443,(365/S4443)*V4443))</f>
        <v/>
      </c>
      <c r="X4443" s="75" t="n"/>
      <c r="Y4443" s="77" t="n"/>
      <c r="Z4443" s="77" t="n"/>
      <c r="AA4443" s="75" t="n"/>
      <c r="AB4443" s="75" t="n"/>
      <c r="AC4443" s="6" t="n"/>
      <c r="AD4443" s="75" t="n"/>
      <c r="AE4443" s="75" t="n"/>
      <c r="AF4443" s="75" t="n"/>
    </row>
    <row r="4444" ht="15.75" customHeight="1" s="133">
      <c r="A4444" s="75" t="n"/>
      <c r="B4444" s="75" t="n"/>
      <c r="C4444" s="75" t="n"/>
      <c r="D4444" s="75" t="n"/>
      <c r="E4444" s="76" t="n"/>
      <c r="F4444" s="77" t="n"/>
      <c r="G4444" s="75" t="n"/>
      <c r="H4444" s="75">
        <f>IF(ISBLANK(E4444),"",IF(OR(D4444="Butterfly",D4444="Butterfly ",D4444="Iron Fly", D4444="Iron Fly "),LEN(E4444)-LEN(SUBSTITUTE(E4444,"/",""))+2,LEN(E4444)-LEN(SUBSTITUTE(E4444,"/",""))+1))</f>
        <v/>
      </c>
      <c r="I4444" s="78">
        <f>IF(ISBLANK(G4444),"",IF(D4444="Stock","0",Key!$A$3*H4444*G4444))</f>
        <v/>
      </c>
      <c r="J4444" s="78">
        <f>IF(ISBLANK(E4444),"",IF(ISNUMBER(SEARCH("/",E4444)), IF(LEN(E4444)-LEN(SUBSTITUTE(E4444,"/",""))=1,(RIGHT(E4444,LEN(E4444)-FIND("/",E4444)))-(LEFT(E4444,FIND("/",E4444)-1)),(MID(E4444, SEARCH("/",E4444) + 1, SEARCH("/",E4444, SEARCH("/",E4444)+1) - SEARCH("/",E4444) - 1))-(LEFT(E4444,FIND("/",E4444)-1))), "NA"))</f>
        <v/>
      </c>
      <c r="K4444" s="79">
        <f>IF(A4444&lt;&gt;"", IF(ISBLANK(L4444), TODAY(), K4444), "")</f>
        <v/>
      </c>
      <c r="L4444" s="78" t="n"/>
      <c r="M4444" s="78">
        <f>IF(ISBLANK(L4444),"",IF(D4444="Stock",IF(C4444="Buy",L4444*G4444,IF(C4444="Sell",(L4444*G4444)-I4444, X)),IF(C4444="Buy",(L4444*G4444*100)+I4444,IF(C4444="Sell",(L4444*G4444*100)-I4444, X))))</f>
        <v/>
      </c>
      <c r="N4444" s="78">
        <f>IF(ISBLANK(L4444),"",IF(AND(C4444="Sell",D4444="Stock"),M4444,IF(ISBLANK(L4444),"",IF(C4444="Buy",M4444, IF(AND(C4444="Sell",J4444="NA"),(E4444*G4444*100*0.1)+I4444, IF(C4444="Sell",(J4444-L4444)*(100*G4444)+I4444))))))</f>
        <v/>
      </c>
      <c r="O4444" s="75" t="n"/>
      <c r="P4444" s="75" t="n"/>
      <c r="Q4444" s="75">
        <f>IF(ISBLANK(P4444),"",IF(D4444="Stock",P4444*G4444,IF(P4444=0,"0",G4444*P4444*100-(G4444*$AF$14))))</f>
        <v/>
      </c>
      <c r="R4444" s="79">
        <f>IF(P4444&lt;&gt;"", TODAY(), "")</f>
        <v/>
      </c>
      <c r="S4444" s="78">
        <f>IF(AND(K4444&lt;&gt;"", R4444&lt;&gt;""), R4444-K4444, "")</f>
        <v/>
      </c>
      <c r="T4444" s="78" t="n"/>
      <c r="U4444" s="92">
        <f>IF(ISBLANK(P4444),"",IF(C4444="Buy",Q4444-M4444+T4444, IF(C4444="Sell",M4444-Q4444-T4444, X)))</f>
        <v/>
      </c>
      <c r="V4444" s="81">
        <f>IF(ISBLANK(P4444),"",U4444/N4444)</f>
        <v/>
      </c>
      <c r="W4444" s="81">
        <f>IF(ISBLANK(P4444),"",IF(S4444=0,(365/0.5)*V4444,(365/S4444)*V4444))</f>
        <v/>
      </c>
      <c r="X4444" s="75" t="n"/>
      <c r="Y4444" s="77" t="n"/>
      <c r="Z4444" s="77" t="n"/>
      <c r="AA4444" s="75" t="n"/>
      <c r="AB4444" s="75" t="n"/>
      <c r="AC4444" s="6" t="n"/>
      <c r="AD4444" s="75" t="n"/>
      <c r="AE4444" s="75" t="n"/>
      <c r="AF4444" s="75" t="n"/>
    </row>
    <row r="4445" ht="15.75" customHeight="1" s="133">
      <c r="A4445" s="75" t="n"/>
      <c r="B4445" s="75" t="n"/>
      <c r="C4445" s="75" t="n"/>
      <c r="D4445" s="75" t="n"/>
      <c r="E4445" s="76" t="n"/>
      <c r="F4445" s="77" t="n"/>
      <c r="G4445" s="75" t="n"/>
      <c r="H4445" s="75">
        <f>IF(ISBLANK(E4445),"",IF(OR(D4445="Butterfly",D4445="Butterfly ",D4445="Iron Fly", D4445="Iron Fly "),LEN(E4445)-LEN(SUBSTITUTE(E4445,"/",""))+2,LEN(E4445)-LEN(SUBSTITUTE(E4445,"/",""))+1))</f>
        <v/>
      </c>
      <c r="I4445" s="78">
        <f>IF(ISBLANK(G4445),"",IF(D4445="Stock","0",Key!$A$3*H4445*G4445))</f>
        <v/>
      </c>
      <c r="J4445" s="78">
        <f>IF(ISBLANK(E4445),"",IF(ISNUMBER(SEARCH("/",E4445)), IF(LEN(E4445)-LEN(SUBSTITUTE(E4445,"/",""))=1,(RIGHT(E4445,LEN(E4445)-FIND("/",E4445)))-(LEFT(E4445,FIND("/",E4445)-1)),(MID(E4445, SEARCH("/",E4445) + 1, SEARCH("/",E4445, SEARCH("/",E4445)+1) - SEARCH("/",E4445) - 1))-(LEFT(E4445,FIND("/",E4445)-1))), "NA"))</f>
        <v/>
      </c>
      <c r="K4445" s="79">
        <f>IF(A4445&lt;&gt;"", IF(ISBLANK(L4445), TODAY(), K4445), "")</f>
        <v/>
      </c>
      <c r="L4445" s="78" t="n"/>
      <c r="M4445" s="78">
        <f>IF(ISBLANK(L4445),"",IF(D4445="Stock",IF(C4445="Buy",L4445*G4445,IF(C4445="Sell",(L4445*G4445)-I4445, X)),IF(C4445="Buy",(L4445*G4445*100)+I4445,IF(C4445="Sell",(L4445*G4445*100)-I4445, X))))</f>
        <v/>
      </c>
      <c r="N4445" s="78">
        <f>IF(ISBLANK(L4445),"",IF(AND(C4445="Sell",D4445="Stock"),M4445,IF(ISBLANK(L4445),"",IF(C4445="Buy",M4445, IF(AND(C4445="Sell",J4445="NA"),(E4445*G4445*100*0.1)+I4445, IF(C4445="Sell",(J4445-L4445)*(100*G4445)+I4445))))))</f>
        <v/>
      </c>
      <c r="O4445" s="75" t="n"/>
      <c r="P4445" s="75" t="n"/>
      <c r="Q4445" s="75">
        <f>IF(ISBLANK(P4445),"",IF(D4445="Stock",P4445*G4445,IF(P4445=0,"0",G4445*P4445*100-(G4445*$AF$14))))</f>
        <v/>
      </c>
      <c r="R4445" s="79">
        <f>IF(P4445&lt;&gt;"", TODAY(), "")</f>
        <v/>
      </c>
      <c r="S4445" s="78">
        <f>IF(AND(K4445&lt;&gt;"", R4445&lt;&gt;""), R4445-K4445, "")</f>
        <v/>
      </c>
      <c r="T4445" s="78" t="n"/>
      <c r="U4445" s="92">
        <f>IF(ISBLANK(P4445),"",IF(C4445="Buy",Q4445-M4445+T4445, IF(C4445="Sell",M4445-Q4445-T4445, X)))</f>
        <v/>
      </c>
      <c r="V4445" s="81">
        <f>IF(ISBLANK(P4445),"",U4445/N4445)</f>
        <v/>
      </c>
      <c r="W4445" s="81">
        <f>IF(ISBLANK(P4445),"",IF(S4445=0,(365/0.5)*V4445,(365/S4445)*V4445))</f>
        <v/>
      </c>
      <c r="X4445" s="75" t="n"/>
      <c r="Y4445" s="77" t="n"/>
      <c r="Z4445" s="77" t="n"/>
      <c r="AA4445" s="75" t="n"/>
      <c r="AB4445" s="75" t="n"/>
      <c r="AC4445" s="6" t="n"/>
      <c r="AD4445" s="75" t="n"/>
      <c r="AE4445" s="75" t="n"/>
      <c r="AF4445" s="75" t="n"/>
    </row>
    <row r="4446" ht="15.75" customHeight="1" s="133">
      <c r="A4446" s="75" t="n"/>
      <c r="B4446" s="75" t="n"/>
      <c r="C4446" s="75" t="n"/>
      <c r="D4446" s="75" t="n"/>
      <c r="E4446" s="76" t="n"/>
      <c r="F4446" s="77" t="n"/>
      <c r="G4446" s="75" t="n"/>
      <c r="H4446" s="75">
        <f>IF(ISBLANK(E4446),"",IF(OR(D4446="Butterfly",D4446="Butterfly ",D4446="Iron Fly", D4446="Iron Fly "),LEN(E4446)-LEN(SUBSTITUTE(E4446,"/",""))+2,LEN(E4446)-LEN(SUBSTITUTE(E4446,"/",""))+1))</f>
        <v/>
      </c>
      <c r="I4446" s="78">
        <f>IF(ISBLANK(G4446),"",IF(D4446="Stock","0",Key!$A$3*H4446*G4446))</f>
        <v/>
      </c>
      <c r="J4446" s="78">
        <f>IF(ISBLANK(E4446),"",IF(ISNUMBER(SEARCH("/",E4446)), IF(LEN(E4446)-LEN(SUBSTITUTE(E4446,"/",""))=1,(RIGHT(E4446,LEN(E4446)-FIND("/",E4446)))-(LEFT(E4446,FIND("/",E4446)-1)),(MID(E4446, SEARCH("/",E4446) + 1, SEARCH("/",E4446, SEARCH("/",E4446)+1) - SEARCH("/",E4446) - 1))-(LEFT(E4446,FIND("/",E4446)-1))), "NA"))</f>
        <v/>
      </c>
      <c r="K4446" s="79">
        <f>IF(A4446&lt;&gt;"", IF(ISBLANK(L4446), TODAY(), K4446), "")</f>
        <v/>
      </c>
      <c r="L4446" s="78" t="n"/>
      <c r="M4446" s="78">
        <f>IF(ISBLANK(L4446),"",IF(D4446="Stock",IF(C4446="Buy",L4446*G4446,IF(C4446="Sell",(L4446*G4446)-I4446, X)),IF(C4446="Buy",(L4446*G4446*100)+I4446,IF(C4446="Sell",(L4446*G4446*100)-I4446, X))))</f>
        <v/>
      </c>
      <c r="N4446" s="78">
        <f>IF(ISBLANK(L4446),"",IF(AND(C4446="Sell",D4446="Stock"),M4446,IF(ISBLANK(L4446),"",IF(C4446="Buy",M4446, IF(AND(C4446="Sell",J4446="NA"),(E4446*G4446*100*0.1)+I4446, IF(C4446="Sell",(J4446-L4446)*(100*G4446)+I4446))))))</f>
        <v/>
      </c>
      <c r="O4446" s="75" t="n"/>
      <c r="P4446" s="75" t="n"/>
      <c r="Q4446" s="75">
        <f>IF(ISBLANK(P4446),"",IF(D4446="Stock",P4446*G4446,IF(P4446=0,"0",G4446*P4446*100-(G4446*$AF$14))))</f>
        <v/>
      </c>
      <c r="R4446" s="79">
        <f>IF(P4446&lt;&gt;"", TODAY(), "")</f>
        <v/>
      </c>
      <c r="S4446" s="78">
        <f>IF(AND(K4446&lt;&gt;"", R4446&lt;&gt;""), R4446-K4446, "")</f>
        <v/>
      </c>
      <c r="T4446" s="78" t="n"/>
      <c r="U4446" s="92">
        <f>IF(ISBLANK(P4446),"",IF(C4446="Buy",Q4446-M4446+T4446, IF(C4446="Sell",M4446-Q4446-T4446, X)))</f>
        <v/>
      </c>
      <c r="V4446" s="81">
        <f>IF(ISBLANK(P4446),"",U4446/N4446)</f>
        <v/>
      </c>
      <c r="W4446" s="81">
        <f>IF(ISBLANK(P4446),"",IF(S4446=0,(365/0.5)*V4446,(365/S4446)*V4446))</f>
        <v/>
      </c>
      <c r="X4446" s="75" t="n"/>
      <c r="Y4446" s="77" t="n"/>
      <c r="Z4446" s="77" t="n"/>
      <c r="AA4446" s="75" t="n"/>
      <c r="AB4446" s="75" t="n"/>
      <c r="AC4446" s="6" t="n"/>
      <c r="AD4446" s="75" t="n"/>
      <c r="AE4446" s="75" t="n"/>
      <c r="AF4446" s="75" t="n"/>
    </row>
    <row r="4447" ht="15.75" customHeight="1" s="133">
      <c r="A4447" s="75" t="n"/>
      <c r="B4447" s="75" t="n"/>
      <c r="C4447" s="75" t="n"/>
      <c r="D4447" s="75" t="n"/>
      <c r="E4447" s="76" t="n"/>
      <c r="F4447" s="77" t="n"/>
      <c r="G4447" s="75" t="n"/>
      <c r="H4447" s="75">
        <f>IF(ISBLANK(E4447),"",IF(OR(D4447="Butterfly",D4447="Butterfly ",D4447="Iron Fly", D4447="Iron Fly "),LEN(E4447)-LEN(SUBSTITUTE(E4447,"/",""))+2,LEN(E4447)-LEN(SUBSTITUTE(E4447,"/",""))+1))</f>
        <v/>
      </c>
      <c r="I4447" s="78">
        <f>IF(ISBLANK(G4447),"",IF(D4447="Stock","0",Key!$A$3*H4447*G4447))</f>
        <v/>
      </c>
      <c r="J4447" s="78">
        <f>IF(ISBLANK(E4447),"",IF(ISNUMBER(SEARCH("/",E4447)), IF(LEN(E4447)-LEN(SUBSTITUTE(E4447,"/",""))=1,(RIGHT(E4447,LEN(E4447)-FIND("/",E4447)))-(LEFT(E4447,FIND("/",E4447)-1)),(MID(E4447, SEARCH("/",E4447) + 1, SEARCH("/",E4447, SEARCH("/",E4447)+1) - SEARCH("/",E4447) - 1))-(LEFT(E4447,FIND("/",E4447)-1))), "NA"))</f>
        <v/>
      </c>
      <c r="K4447" s="79">
        <f>IF(A4447&lt;&gt;"", IF(ISBLANK(L4447), TODAY(), K4447), "")</f>
        <v/>
      </c>
      <c r="L4447" s="78" t="n"/>
      <c r="M4447" s="78">
        <f>IF(ISBLANK(L4447),"",IF(D4447="Stock",IF(C4447="Buy",L4447*G4447,IF(C4447="Sell",(L4447*G4447)-I4447, X)),IF(C4447="Buy",(L4447*G4447*100)+I4447,IF(C4447="Sell",(L4447*G4447*100)-I4447, X))))</f>
        <v/>
      </c>
      <c r="N4447" s="78">
        <f>IF(ISBLANK(L4447),"",IF(AND(C4447="Sell",D4447="Stock"),M4447,IF(ISBLANK(L4447),"",IF(C4447="Buy",M4447, IF(AND(C4447="Sell",J4447="NA"),(E4447*G4447*100*0.1)+I4447, IF(C4447="Sell",(J4447-L4447)*(100*G4447)+I4447))))))</f>
        <v/>
      </c>
      <c r="O4447" s="75" t="n"/>
      <c r="P4447" s="75" t="n"/>
      <c r="Q4447" s="75">
        <f>IF(ISBLANK(P4447),"",IF(D4447="Stock",P4447*G4447,IF(P4447=0,"0",G4447*P4447*100-(G4447*$AF$14))))</f>
        <v/>
      </c>
      <c r="R4447" s="79">
        <f>IF(P4447&lt;&gt;"", TODAY(), "")</f>
        <v/>
      </c>
      <c r="S4447" s="78">
        <f>IF(AND(K4447&lt;&gt;"", R4447&lt;&gt;""), R4447-K4447, "")</f>
        <v/>
      </c>
      <c r="T4447" s="78" t="n"/>
      <c r="U4447" s="92">
        <f>IF(ISBLANK(P4447),"",IF(C4447="Buy",Q4447-M4447+T4447, IF(C4447="Sell",M4447-Q4447-T4447, X)))</f>
        <v/>
      </c>
      <c r="V4447" s="81">
        <f>IF(ISBLANK(P4447),"",U4447/N4447)</f>
        <v/>
      </c>
      <c r="W4447" s="81">
        <f>IF(ISBLANK(P4447),"",IF(S4447=0,(365/0.5)*V4447,(365/S4447)*V4447))</f>
        <v/>
      </c>
      <c r="X4447" s="75" t="n"/>
      <c r="Y4447" s="77" t="n"/>
      <c r="Z4447" s="77" t="n"/>
      <c r="AA4447" s="75" t="n"/>
      <c r="AB4447" s="75" t="n"/>
      <c r="AC4447" s="6" t="n"/>
      <c r="AD4447" s="75" t="n"/>
      <c r="AE4447" s="75" t="n"/>
      <c r="AF4447" s="75" t="n"/>
    </row>
    <row r="4448" ht="15.75" customHeight="1" s="133">
      <c r="A4448" s="75" t="n"/>
      <c r="B4448" s="75" t="n"/>
      <c r="C4448" s="75" t="n"/>
      <c r="D4448" s="75" t="n"/>
      <c r="E4448" s="76" t="n"/>
      <c r="F4448" s="77" t="n"/>
      <c r="G4448" s="75" t="n"/>
      <c r="H4448" s="75">
        <f>IF(ISBLANK(E4448),"",IF(OR(D4448="Butterfly",D4448="Butterfly ",D4448="Iron Fly", D4448="Iron Fly "),LEN(E4448)-LEN(SUBSTITUTE(E4448,"/",""))+2,LEN(E4448)-LEN(SUBSTITUTE(E4448,"/",""))+1))</f>
        <v/>
      </c>
      <c r="I4448" s="78">
        <f>IF(ISBLANK(G4448),"",IF(D4448="Stock","0",Key!$A$3*H4448*G4448))</f>
        <v/>
      </c>
      <c r="J4448" s="78">
        <f>IF(ISBLANK(E4448),"",IF(ISNUMBER(SEARCH("/",E4448)), IF(LEN(E4448)-LEN(SUBSTITUTE(E4448,"/",""))=1,(RIGHT(E4448,LEN(E4448)-FIND("/",E4448)))-(LEFT(E4448,FIND("/",E4448)-1)),(MID(E4448, SEARCH("/",E4448) + 1, SEARCH("/",E4448, SEARCH("/",E4448)+1) - SEARCH("/",E4448) - 1))-(LEFT(E4448,FIND("/",E4448)-1))), "NA"))</f>
        <v/>
      </c>
      <c r="K4448" s="79">
        <f>IF(A4448&lt;&gt;"", IF(ISBLANK(L4448), TODAY(), K4448), "")</f>
        <v/>
      </c>
      <c r="L4448" s="78" t="n"/>
      <c r="M4448" s="78">
        <f>IF(ISBLANK(L4448),"",IF(D4448="Stock",IF(C4448="Buy",L4448*G4448,IF(C4448="Sell",(L4448*G4448)-I4448, X)),IF(C4448="Buy",(L4448*G4448*100)+I4448,IF(C4448="Sell",(L4448*G4448*100)-I4448, X))))</f>
        <v/>
      </c>
      <c r="N4448" s="78">
        <f>IF(ISBLANK(L4448),"",IF(AND(C4448="Sell",D4448="Stock"),M4448,IF(ISBLANK(L4448),"",IF(C4448="Buy",M4448, IF(AND(C4448="Sell",J4448="NA"),(E4448*G4448*100*0.1)+I4448, IF(C4448="Sell",(J4448-L4448)*(100*G4448)+I4448))))))</f>
        <v/>
      </c>
      <c r="O4448" s="75" t="n"/>
      <c r="P4448" s="75" t="n"/>
      <c r="Q4448" s="75">
        <f>IF(ISBLANK(P4448),"",IF(D4448="Stock",P4448*G4448,IF(P4448=0,"0",G4448*P4448*100-(G4448*$AF$14))))</f>
        <v/>
      </c>
      <c r="R4448" s="79">
        <f>IF(P4448&lt;&gt;"", TODAY(), "")</f>
        <v/>
      </c>
      <c r="S4448" s="78">
        <f>IF(AND(K4448&lt;&gt;"", R4448&lt;&gt;""), R4448-K4448, "")</f>
        <v/>
      </c>
      <c r="T4448" s="78" t="n"/>
      <c r="U4448" s="92">
        <f>IF(ISBLANK(P4448),"",IF(C4448="Buy",Q4448-M4448+T4448, IF(C4448="Sell",M4448-Q4448-T4448, X)))</f>
        <v/>
      </c>
      <c r="V4448" s="81">
        <f>IF(ISBLANK(P4448),"",U4448/N4448)</f>
        <v/>
      </c>
      <c r="W4448" s="81">
        <f>IF(ISBLANK(P4448),"",IF(S4448=0,(365/0.5)*V4448,(365/S4448)*V4448))</f>
        <v/>
      </c>
      <c r="X4448" s="75" t="n"/>
      <c r="Y4448" s="77" t="n"/>
      <c r="Z4448" s="77" t="n"/>
      <c r="AA4448" s="75" t="n"/>
      <c r="AB4448" s="75" t="n"/>
      <c r="AC4448" s="6" t="n"/>
      <c r="AD4448" s="75" t="n"/>
      <c r="AE4448" s="75" t="n"/>
      <c r="AF4448" s="75" t="n"/>
    </row>
    <row r="4449" ht="15.75" customHeight="1" s="133">
      <c r="A4449" s="75" t="n"/>
      <c r="B4449" s="75" t="n"/>
      <c r="C4449" s="75" t="n"/>
      <c r="D4449" s="75" t="n"/>
      <c r="E4449" s="76" t="n"/>
      <c r="F4449" s="77" t="n"/>
      <c r="G4449" s="75" t="n"/>
      <c r="H4449" s="75">
        <f>IF(ISBLANK(E4449),"",IF(OR(D4449="Butterfly",D4449="Butterfly ",D4449="Iron Fly", D4449="Iron Fly "),LEN(E4449)-LEN(SUBSTITUTE(E4449,"/",""))+2,LEN(E4449)-LEN(SUBSTITUTE(E4449,"/",""))+1))</f>
        <v/>
      </c>
      <c r="I4449" s="78">
        <f>IF(ISBLANK(G4449),"",IF(D4449="Stock","0",Key!$A$3*H4449*G4449))</f>
        <v/>
      </c>
      <c r="J4449" s="78">
        <f>IF(ISBLANK(E4449),"",IF(ISNUMBER(SEARCH("/",E4449)), IF(LEN(E4449)-LEN(SUBSTITUTE(E4449,"/",""))=1,(RIGHT(E4449,LEN(E4449)-FIND("/",E4449)))-(LEFT(E4449,FIND("/",E4449)-1)),(MID(E4449, SEARCH("/",E4449) + 1, SEARCH("/",E4449, SEARCH("/",E4449)+1) - SEARCH("/",E4449) - 1))-(LEFT(E4449,FIND("/",E4449)-1))), "NA"))</f>
        <v/>
      </c>
      <c r="K4449" s="79">
        <f>IF(A4449&lt;&gt;"", IF(ISBLANK(L4449), TODAY(), K4449), "")</f>
        <v/>
      </c>
      <c r="L4449" s="78" t="n"/>
      <c r="M4449" s="78">
        <f>IF(ISBLANK(L4449),"",IF(D4449="Stock",IF(C4449="Buy",L4449*G4449,IF(C4449="Sell",(L4449*G4449)-I4449, X)),IF(C4449="Buy",(L4449*G4449*100)+I4449,IF(C4449="Sell",(L4449*G4449*100)-I4449, X))))</f>
        <v/>
      </c>
      <c r="N4449" s="78">
        <f>IF(ISBLANK(L4449),"",IF(AND(C4449="Sell",D4449="Stock"),M4449,IF(ISBLANK(L4449),"",IF(C4449="Buy",M4449, IF(AND(C4449="Sell",J4449="NA"),(E4449*G4449*100*0.1)+I4449, IF(C4449="Sell",(J4449-L4449)*(100*G4449)+I4449))))))</f>
        <v/>
      </c>
      <c r="O4449" s="75" t="n"/>
      <c r="P4449" s="75" t="n"/>
      <c r="Q4449" s="75">
        <f>IF(ISBLANK(P4449),"",IF(D4449="Stock",P4449*G4449,IF(P4449=0,"0",G4449*P4449*100-(G4449*$AF$14))))</f>
        <v/>
      </c>
      <c r="R4449" s="79">
        <f>IF(P4449&lt;&gt;"", TODAY(), "")</f>
        <v/>
      </c>
      <c r="S4449" s="78">
        <f>IF(AND(K4449&lt;&gt;"", R4449&lt;&gt;""), R4449-K4449, "")</f>
        <v/>
      </c>
      <c r="T4449" s="78" t="n"/>
      <c r="U4449" s="92">
        <f>IF(ISBLANK(P4449),"",IF(C4449="Buy",Q4449-M4449+T4449, IF(C4449="Sell",M4449-Q4449-T4449, X)))</f>
        <v/>
      </c>
      <c r="V4449" s="81">
        <f>IF(ISBLANK(P4449),"",U4449/N4449)</f>
        <v/>
      </c>
      <c r="W4449" s="81">
        <f>IF(ISBLANK(P4449),"",IF(S4449=0,(365/0.5)*V4449,(365/S4449)*V4449))</f>
        <v/>
      </c>
      <c r="X4449" s="75" t="n"/>
      <c r="Y4449" s="77" t="n"/>
      <c r="Z4449" s="77" t="n"/>
      <c r="AA4449" s="75" t="n"/>
      <c r="AB4449" s="75" t="n"/>
      <c r="AC4449" s="6" t="n"/>
      <c r="AD4449" s="75" t="n"/>
      <c r="AE4449" s="75" t="n"/>
      <c r="AF4449" s="75" t="n"/>
    </row>
    <row r="4450" ht="15.75" customHeight="1" s="133">
      <c r="A4450" s="75" t="n"/>
      <c r="B4450" s="75" t="n"/>
      <c r="C4450" s="75" t="n"/>
      <c r="D4450" s="75" t="n"/>
      <c r="E4450" s="76" t="n"/>
      <c r="F4450" s="77" t="n"/>
      <c r="G4450" s="75" t="n"/>
      <c r="H4450" s="75">
        <f>IF(ISBLANK(E4450),"",IF(OR(D4450="Butterfly",D4450="Butterfly ",D4450="Iron Fly", D4450="Iron Fly "),LEN(E4450)-LEN(SUBSTITUTE(E4450,"/",""))+2,LEN(E4450)-LEN(SUBSTITUTE(E4450,"/",""))+1))</f>
        <v/>
      </c>
      <c r="I4450" s="78">
        <f>IF(ISBLANK(G4450),"",IF(D4450="Stock","0",Key!$A$3*H4450*G4450))</f>
        <v/>
      </c>
      <c r="J4450" s="78">
        <f>IF(ISBLANK(E4450),"",IF(ISNUMBER(SEARCH("/",E4450)), IF(LEN(E4450)-LEN(SUBSTITUTE(E4450,"/",""))=1,(RIGHT(E4450,LEN(E4450)-FIND("/",E4450)))-(LEFT(E4450,FIND("/",E4450)-1)),(MID(E4450, SEARCH("/",E4450) + 1, SEARCH("/",E4450, SEARCH("/",E4450)+1) - SEARCH("/",E4450) - 1))-(LEFT(E4450,FIND("/",E4450)-1))), "NA"))</f>
        <v/>
      </c>
      <c r="K4450" s="79">
        <f>IF(A4450&lt;&gt;"", IF(ISBLANK(L4450), TODAY(), K4450), "")</f>
        <v/>
      </c>
      <c r="L4450" s="78" t="n"/>
      <c r="M4450" s="78">
        <f>IF(ISBLANK(L4450),"",IF(D4450="Stock",IF(C4450="Buy",L4450*G4450,IF(C4450="Sell",(L4450*G4450)-I4450, X)),IF(C4450="Buy",(L4450*G4450*100)+I4450,IF(C4450="Sell",(L4450*G4450*100)-I4450, X))))</f>
        <v/>
      </c>
      <c r="N4450" s="78">
        <f>IF(ISBLANK(L4450),"",IF(AND(C4450="Sell",D4450="Stock"),M4450,IF(ISBLANK(L4450),"",IF(C4450="Buy",M4450, IF(AND(C4450="Sell",J4450="NA"),(E4450*G4450*100*0.1)+I4450, IF(C4450="Sell",(J4450-L4450)*(100*G4450)+I4450))))))</f>
        <v/>
      </c>
      <c r="O4450" s="75" t="n"/>
      <c r="P4450" s="75" t="n"/>
      <c r="Q4450" s="75">
        <f>IF(ISBLANK(P4450),"",IF(D4450="Stock",P4450*G4450,IF(P4450=0,"0",G4450*P4450*100-(G4450*$AF$14))))</f>
        <v/>
      </c>
      <c r="R4450" s="79">
        <f>IF(P4450&lt;&gt;"", TODAY(), "")</f>
        <v/>
      </c>
      <c r="S4450" s="78">
        <f>IF(AND(K4450&lt;&gt;"", R4450&lt;&gt;""), R4450-K4450, "")</f>
        <v/>
      </c>
      <c r="T4450" s="78" t="n"/>
      <c r="U4450" s="92">
        <f>IF(ISBLANK(P4450),"",IF(C4450="Buy",Q4450-M4450+T4450, IF(C4450="Sell",M4450-Q4450-T4450, X)))</f>
        <v/>
      </c>
      <c r="V4450" s="81">
        <f>IF(ISBLANK(P4450),"",U4450/N4450)</f>
        <v/>
      </c>
      <c r="W4450" s="81">
        <f>IF(ISBLANK(P4450),"",IF(S4450=0,(365/0.5)*V4450,(365/S4450)*V4450))</f>
        <v/>
      </c>
      <c r="X4450" s="75" t="n"/>
      <c r="Y4450" s="77" t="n"/>
      <c r="Z4450" s="77" t="n"/>
      <c r="AA4450" s="75" t="n"/>
      <c r="AB4450" s="75" t="n"/>
      <c r="AC4450" s="6" t="n"/>
      <c r="AD4450" s="75" t="n"/>
      <c r="AE4450" s="75" t="n"/>
      <c r="AF4450" s="75" t="n"/>
    </row>
    <row r="4451" ht="15.75" customHeight="1" s="133">
      <c r="A4451" s="75" t="n"/>
      <c r="B4451" s="75" t="n"/>
      <c r="C4451" s="75" t="n"/>
      <c r="D4451" s="75" t="n"/>
      <c r="E4451" s="76" t="n"/>
      <c r="F4451" s="77" t="n"/>
      <c r="G4451" s="75" t="n"/>
      <c r="H4451" s="75">
        <f>IF(ISBLANK(E4451),"",IF(OR(D4451="Butterfly",D4451="Butterfly ",D4451="Iron Fly", D4451="Iron Fly "),LEN(E4451)-LEN(SUBSTITUTE(E4451,"/",""))+2,LEN(E4451)-LEN(SUBSTITUTE(E4451,"/",""))+1))</f>
        <v/>
      </c>
      <c r="I4451" s="78">
        <f>IF(ISBLANK(G4451),"",IF(D4451="Stock","0",Key!$A$3*H4451*G4451))</f>
        <v/>
      </c>
      <c r="J4451" s="78">
        <f>IF(ISBLANK(E4451),"",IF(ISNUMBER(SEARCH("/",E4451)), IF(LEN(E4451)-LEN(SUBSTITUTE(E4451,"/",""))=1,(RIGHT(E4451,LEN(E4451)-FIND("/",E4451)))-(LEFT(E4451,FIND("/",E4451)-1)),(MID(E4451, SEARCH("/",E4451) + 1, SEARCH("/",E4451, SEARCH("/",E4451)+1) - SEARCH("/",E4451) - 1))-(LEFT(E4451,FIND("/",E4451)-1))), "NA"))</f>
        <v/>
      </c>
      <c r="K4451" s="79">
        <f>IF(A4451&lt;&gt;"", IF(ISBLANK(L4451), TODAY(), K4451), "")</f>
        <v/>
      </c>
      <c r="L4451" s="78" t="n"/>
      <c r="M4451" s="78">
        <f>IF(ISBLANK(L4451),"",IF(D4451="Stock",IF(C4451="Buy",L4451*G4451,IF(C4451="Sell",(L4451*G4451)-I4451, X)),IF(C4451="Buy",(L4451*G4451*100)+I4451,IF(C4451="Sell",(L4451*G4451*100)-I4451, X))))</f>
        <v/>
      </c>
      <c r="N4451" s="78">
        <f>IF(ISBLANK(L4451),"",IF(AND(C4451="Sell",D4451="Stock"),M4451,IF(ISBLANK(L4451),"",IF(C4451="Buy",M4451, IF(AND(C4451="Sell",J4451="NA"),(E4451*G4451*100*0.1)+I4451, IF(C4451="Sell",(J4451-L4451)*(100*G4451)+I4451))))))</f>
        <v/>
      </c>
      <c r="O4451" s="75" t="n"/>
      <c r="P4451" s="75" t="n"/>
      <c r="Q4451" s="75">
        <f>IF(ISBLANK(P4451),"",IF(D4451="Stock",P4451*G4451,IF(P4451=0,"0",G4451*P4451*100-(G4451*$AF$14))))</f>
        <v/>
      </c>
      <c r="R4451" s="79">
        <f>IF(P4451&lt;&gt;"", TODAY(), "")</f>
        <v/>
      </c>
      <c r="S4451" s="78">
        <f>IF(AND(K4451&lt;&gt;"", R4451&lt;&gt;""), R4451-K4451, "")</f>
        <v/>
      </c>
      <c r="T4451" s="78" t="n"/>
      <c r="U4451" s="92">
        <f>IF(ISBLANK(P4451),"",IF(C4451="Buy",Q4451-M4451+T4451, IF(C4451="Sell",M4451-Q4451-T4451, X)))</f>
        <v/>
      </c>
      <c r="V4451" s="81">
        <f>IF(ISBLANK(P4451),"",U4451/N4451)</f>
        <v/>
      </c>
      <c r="W4451" s="81">
        <f>IF(ISBLANK(P4451),"",IF(S4451=0,(365/0.5)*V4451,(365/S4451)*V4451))</f>
        <v/>
      </c>
      <c r="X4451" s="75" t="n"/>
      <c r="Y4451" s="77" t="n"/>
      <c r="Z4451" s="77" t="n"/>
      <c r="AA4451" s="75" t="n"/>
      <c r="AB4451" s="75" t="n"/>
      <c r="AC4451" s="6" t="n"/>
      <c r="AD4451" s="75" t="n"/>
      <c r="AE4451" s="75" t="n"/>
      <c r="AF4451" s="75" t="n"/>
    </row>
    <row r="4452" ht="15.75" customHeight="1" s="133">
      <c r="A4452" s="75" t="n"/>
      <c r="B4452" s="75" t="n"/>
      <c r="C4452" s="75" t="n"/>
      <c r="D4452" s="75" t="n"/>
      <c r="E4452" s="76" t="n"/>
      <c r="F4452" s="77" t="n"/>
      <c r="G4452" s="75" t="n"/>
      <c r="H4452" s="75">
        <f>IF(ISBLANK(E4452),"",IF(OR(D4452="Butterfly",D4452="Butterfly ",D4452="Iron Fly", D4452="Iron Fly "),LEN(E4452)-LEN(SUBSTITUTE(E4452,"/",""))+2,LEN(E4452)-LEN(SUBSTITUTE(E4452,"/",""))+1))</f>
        <v/>
      </c>
      <c r="I4452" s="78">
        <f>IF(ISBLANK(G4452),"",IF(D4452="Stock","0",Key!$A$3*H4452*G4452))</f>
        <v/>
      </c>
      <c r="J4452" s="78">
        <f>IF(ISBLANK(E4452),"",IF(ISNUMBER(SEARCH("/",E4452)), IF(LEN(E4452)-LEN(SUBSTITUTE(E4452,"/",""))=1,(RIGHT(E4452,LEN(E4452)-FIND("/",E4452)))-(LEFT(E4452,FIND("/",E4452)-1)),(MID(E4452, SEARCH("/",E4452) + 1, SEARCH("/",E4452, SEARCH("/",E4452)+1) - SEARCH("/",E4452) - 1))-(LEFT(E4452,FIND("/",E4452)-1))), "NA"))</f>
        <v/>
      </c>
      <c r="K4452" s="79">
        <f>IF(A4452&lt;&gt;"", IF(ISBLANK(L4452), TODAY(), K4452), "")</f>
        <v/>
      </c>
      <c r="L4452" s="78" t="n"/>
      <c r="M4452" s="78">
        <f>IF(ISBLANK(L4452),"",IF(D4452="Stock",IF(C4452="Buy",L4452*G4452,IF(C4452="Sell",(L4452*G4452)-I4452, X)),IF(C4452="Buy",(L4452*G4452*100)+I4452,IF(C4452="Sell",(L4452*G4452*100)-I4452, X))))</f>
        <v/>
      </c>
      <c r="N4452" s="78">
        <f>IF(ISBLANK(L4452),"",IF(AND(C4452="Sell",D4452="Stock"),M4452,IF(ISBLANK(L4452),"",IF(C4452="Buy",M4452, IF(AND(C4452="Sell",J4452="NA"),(E4452*G4452*100*0.1)+I4452, IF(C4452="Sell",(J4452-L4452)*(100*G4452)+I4452))))))</f>
        <v/>
      </c>
      <c r="O4452" s="75" t="n"/>
      <c r="P4452" s="75" t="n"/>
      <c r="Q4452" s="75">
        <f>IF(ISBLANK(P4452),"",IF(D4452="Stock",P4452*G4452,IF(P4452=0,"0",G4452*P4452*100-(G4452*$AF$14))))</f>
        <v/>
      </c>
      <c r="R4452" s="79">
        <f>IF(P4452&lt;&gt;"", TODAY(), "")</f>
        <v/>
      </c>
      <c r="S4452" s="78">
        <f>IF(AND(K4452&lt;&gt;"", R4452&lt;&gt;""), R4452-K4452, "")</f>
        <v/>
      </c>
      <c r="T4452" s="78" t="n"/>
      <c r="U4452" s="92">
        <f>IF(ISBLANK(P4452),"",IF(C4452="Buy",Q4452-M4452+T4452, IF(C4452="Sell",M4452-Q4452-T4452, X)))</f>
        <v/>
      </c>
      <c r="V4452" s="81">
        <f>IF(ISBLANK(P4452),"",U4452/N4452)</f>
        <v/>
      </c>
      <c r="W4452" s="81">
        <f>IF(ISBLANK(P4452),"",IF(S4452=0,(365/0.5)*V4452,(365/S4452)*V4452))</f>
        <v/>
      </c>
      <c r="X4452" s="75" t="n"/>
      <c r="Y4452" s="77" t="n"/>
      <c r="Z4452" s="77" t="n"/>
      <c r="AA4452" s="75" t="n"/>
      <c r="AB4452" s="75" t="n"/>
      <c r="AC4452" s="6" t="n"/>
      <c r="AD4452" s="75" t="n"/>
      <c r="AE4452" s="75" t="n"/>
      <c r="AF4452" s="75" t="n"/>
    </row>
    <row r="4453" ht="15.75" customHeight="1" s="133">
      <c r="A4453" s="75" t="n"/>
      <c r="B4453" s="75" t="n"/>
      <c r="C4453" s="75" t="n"/>
      <c r="D4453" s="75" t="n"/>
      <c r="E4453" s="76" t="n"/>
      <c r="F4453" s="77" t="n"/>
      <c r="G4453" s="75" t="n"/>
      <c r="H4453" s="75">
        <f>IF(ISBLANK(E4453),"",IF(OR(D4453="Butterfly",D4453="Butterfly ",D4453="Iron Fly", D4453="Iron Fly "),LEN(E4453)-LEN(SUBSTITUTE(E4453,"/",""))+2,LEN(E4453)-LEN(SUBSTITUTE(E4453,"/",""))+1))</f>
        <v/>
      </c>
      <c r="I4453" s="78">
        <f>IF(ISBLANK(G4453),"",IF(D4453="Stock","0",Key!$A$3*H4453*G4453))</f>
        <v/>
      </c>
      <c r="J4453" s="78">
        <f>IF(ISBLANK(E4453),"",IF(ISNUMBER(SEARCH("/",E4453)), IF(LEN(E4453)-LEN(SUBSTITUTE(E4453,"/",""))=1,(RIGHT(E4453,LEN(E4453)-FIND("/",E4453)))-(LEFT(E4453,FIND("/",E4453)-1)),(MID(E4453, SEARCH("/",E4453) + 1, SEARCH("/",E4453, SEARCH("/",E4453)+1) - SEARCH("/",E4453) - 1))-(LEFT(E4453,FIND("/",E4453)-1))), "NA"))</f>
        <v/>
      </c>
      <c r="K4453" s="79">
        <f>IF(A4453&lt;&gt;"", IF(ISBLANK(L4453), TODAY(), K4453), "")</f>
        <v/>
      </c>
      <c r="L4453" s="78" t="n"/>
      <c r="M4453" s="78">
        <f>IF(ISBLANK(L4453),"",IF(D4453="Stock",IF(C4453="Buy",L4453*G4453,IF(C4453="Sell",(L4453*G4453)-I4453, X)),IF(C4453="Buy",(L4453*G4453*100)+I4453,IF(C4453="Sell",(L4453*G4453*100)-I4453, X))))</f>
        <v/>
      </c>
      <c r="N4453" s="78">
        <f>IF(ISBLANK(L4453),"",IF(AND(C4453="Sell",D4453="Stock"),M4453,IF(ISBLANK(L4453),"",IF(C4453="Buy",M4453, IF(AND(C4453="Sell",J4453="NA"),(E4453*G4453*100*0.1)+I4453, IF(C4453="Sell",(J4453-L4453)*(100*G4453)+I4453))))))</f>
        <v/>
      </c>
      <c r="O4453" s="75" t="n"/>
      <c r="P4453" s="75" t="n"/>
      <c r="Q4453" s="75">
        <f>IF(ISBLANK(P4453),"",IF(D4453="Stock",P4453*G4453,IF(P4453=0,"0",G4453*P4453*100-(G4453*$AF$14))))</f>
        <v/>
      </c>
      <c r="R4453" s="79">
        <f>IF(P4453&lt;&gt;"", TODAY(), "")</f>
        <v/>
      </c>
      <c r="S4453" s="78">
        <f>IF(AND(K4453&lt;&gt;"", R4453&lt;&gt;""), R4453-K4453, "")</f>
        <v/>
      </c>
      <c r="T4453" s="78" t="n"/>
      <c r="U4453" s="92">
        <f>IF(ISBLANK(P4453),"",IF(C4453="Buy",Q4453-M4453+T4453, IF(C4453="Sell",M4453-Q4453-T4453, X)))</f>
        <v/>
      </c>
      <c r="V4453" s="81">
        <f>IF(ISBLANK(P4453),"",U4453/N4453)</f>
        <v/>
      </c>
      <c r="W4453" s="81">
        <f>IF(ISBLANK(P4453),"",IF(S4453=0,(365/0.5)*V4453,(365/S4453)*V4453))</f>
        <v/>
      </c>
      <c r="X4453" s="75" t="n"/>
      <c r="Y4453" s="77" t="n"/>
      <c r="Z4453" s="77" t="n"/>
      <c r="AA4453" s="75" t="n"/>
      <c r="AB4453" s="75" t="n"/>
      <c r="AC4453" s="6" t="n"/>
      <c r="AD4453" s="75" t="n"/>
      <c r="AE4453" s="75" t="n"/>
      <c r="AF4453" s="75" t="n"/>
    </row>
    <row r="4454" ht="15.75" customHeight="1" s="133">
      <c r="A4454" s="75" t="n"/>
      <c r="B4454" s="75" t="n"/>
      <c r="C4454" s="75" t="n"/>
      <c r="D4454" s="75" t="n"/>
      <c r="E4454" s="76" t="n"/>
      <c r="F4454" s="77" t="n"/>
      <c r="G4454" s="75" t="n"/>
      <c r="H4454" s="75">
        <f>IF(ISBLANK(E4454),"",IF(OR(D4454="Butterfly",D4454="Butterfly ",D4454="Iron Fly", D4454="Iron Fly "),LEN(E4454)-LEN(SUBSTITUTE(E4454,"/",""))+2,LEN(E4454)-LEN(SUBSTITUTE(E4454,"/",""))+1))</f>
        <v/>
      </c>
      <c r="I4454" s="78">
        <f>IF(ISBLANK(G4454),"",IF(D4454="Stock","0",Key!$A$3*H4454*G4454))</f>
        <v/>
      </c>
      <c r="J4454" s="78">
        <f>IF(ISBLANK(E4454),"",IF(ISNUMBER(SEARCH("/",E4454)), IF(LEN(E4454)-LEN(SUBSTITUTE(E4454,"/",""))=1,(RIGHT(E4454,LEN(E4454)-FIND("/",E4454)))-(LEFT(E4454,FIND("/",E4454)-1)),(MID(E4454, SEARCH("/",E4454) + 1, SEARCH("/",E4454, SEARCH("/",E4454)+1) - SEARCH("/",E4454) - 1))-(LEFT(E4454,FIND("/",E4454)-1))), "NA"))</f>
        <v/>
      </c>
      <c r="K4454" s="79">
        <f>IF(A4454&lt;&gt;"", IF(ISBLANK(L4454), TODAY(), K4454), "")</f>
        <v/>
      </c>
      <c r="L4454" s="78" t="n"/>
      <c r="M4454" s="78">
        <f>IF(ISBLANK(L4454),"",IF(D4454="Stock",IF(C4454="Buy",L4454*G4454,IF(C4454="Sell",(L4454*G4454)-I4454, X)),IF(C4454="Buy",(L4454*G4454*100)+I4454,IF(C4454="Sell",(L4454*G4454*100)-I4454, X))))</f>
        <v/>
      </c>
      <c r="N4454" s="78">
        <f>IF(ISBLANK(L4454),"",IF(AND(C4454="Sell",D4454="Stock"),M4454,IF(ISBLANK(L4454),"",IF(C4454="Buy",M4454, IF(AND(C4454="Sell",J4454="NA"),(E4454*G4454*100*0.1)+I4454, IF(C4454="Sell",(J4454-L4454)*(100*G4454)+I4454))))))</f>
        <v/>
      </c>
      <c r="O4454" s="75" t="n"/>
      <c r="P4454" s="75" t="n"/>
      <c r="Q4454" s="75">
        <f>IF(ISBLANK(P4454),"",IF(D4454="Stock",P4454*G4454,IF(P4454=0,"0",G4454*P4454*100-(G4454*$AF$14))))</f>
        <v/>
      </c>
      <c r="R4454" s="79">
        <f>IF(P4454&lt;&gt;"", TODAY(), "")</f>
        <v/>
      </c>
      <c r="S4454" s="78">
        <f>IF(AND(K4454&lt;&gt;"", R4454&lt;&gt;""), R4454-K4454, "")</f>
        <v/>
      </c>
      <c r="T4454" s="78" t="n"/>
      <c r="U4454" s="92">
        <f>IF(ISBLANK(P4454),"",IF(C4454="Buy",Q4454-M4454+T4454, IF(C4454="Sell",M4454-Q4454-T4454, X)))</f>
        <v/>
      </c>
      <c r="V4454" s="81">
        <f>IF(ISBLANK(P4454),"",U4454/N4454)</f>
        <v/>
      </c>
      <c r="W4454" s="81">
        <f>IF(ISBLANK(P4454),"",IF(S4454=0,(365/0.5)*V4454,(365/S4454)*V4454))</f>
        <v/>
      </c>
      <c r="X4454" s="75" t="n"/>
      <c r="Y4454" s="77" t="n"/>
      <c r="Z4454" s="77" t="n"/>
      <c r="AA4454" s="75" t="n"/>
      <c r="AB4454" s="75" t="n"/>
      <c r="AC4454" s="6" t="n"/>
      <c r="AD4454" s="75" t="n"/>
      <c r="AE4454" s="75" t="n"/>
      <c r="AF4454" s="75" t="n"/>
    </row>
    <row r="4455" ht="15.75" customHeight="1" s="133">
      <c r="A4455" s="75" t="n"/>
      <c r="B4455" s="75" t="n"/>
      <c r="C4455" s="75" t="n"/>
      <c r="D4455" s="75" t="n"/>
      <c r="E4455" s="76" t="n"/>
      <c r="F4455" s="77" t="n"/>
      <c r="G4455" s="75" t="n"/>
      <c r="H4455" s="75">
        <f>IF(ISBLANK(E4455),"",IF(OR(D4455="Butterfly",D4455="Butterfly ",D4455="Iron Fly", D4455="Iron Fly "),LEN(E4455)-LEN(SUBSTITUTE(E4455,"/",""))+2,LEN(E4455)-LEN(SUBSTITUTE(E4455,"/",""))+1))</f>
        <v/>
      </c>
      <c r="I4455" s="78">
        <f>IF(ISBLANK(G4455),"",IF(D4455="Stock","0",Key!$A$3*H4455*G4455))</f>
        <v/>
      </c>
      <c r="J4455" s="78">
        <f>IF(ISBLANK(E4455),"",IF(ISNUMBER(SEARCH("/",E4455)), IF(LEN(E4455)-LEN(SUBSTITUTE(E4455,"/",""))=1,(RIGHT(E4455,LEN(E4455)-FIND("/",E4455)))-(LEFT(E4455,FIND("/",E4455)-1)),(MID(E4455, SEARCH("/",E4455) + 1, SEARCH("/",E4455, SEARCH("/",E4455)+1) - SEARCH("/",E4455) - 1))-(LEFT(E4455,FIND("/",E4455)-1))), "NA"))</f>
        <v/>
      </c>
      <c r="K4455" s="79">
        <f>IF(A4455&lt;&gt;"", IF(ISBLANK(L4455), TODAY(), K4455), "")</f>
        <v/>
      </c>
      <c r="L4455" s="78" t="n"/>
      <c r="M4455" s="78">
        <f>IF(ISBLANK(L4455),"",IF(D4455="Stock",IF(C4455="Buy",L4455*G4455,IF(C4455="Sell",(L4455*G4455)-I4455, X)),IF(C4455="Buy",(L4455*G4455*100)+I4455,IF(C4455="Sell",(L4455*G4455*100)-I4455, X))))</f>
        <v/>
      </c>
      <c r="N4455" s="78">
        <f>IF(ISBLANK(L4455),"",IF(AND(C4455="Sell",D4455="Stock"),M4455,IF(ISBLANK(L4455),"",IF(C4455="Buy",M4455, IF(AND(C4455="Sell",J4455="NA"),(E4455*G4455*100*0.1)+I4455, IF(C4455="Sell",(J4455-L4455)*(100*G4455)+I4455))))))</f>
        <v/>
      </c>
      <c r="O4455" s="75" t="n"/>
      <c r="P4455" s="75" t="n"/>
      <c r="Q4455" s="75">
        <f>IF(ISBLANK(P4455),"",IF(D4455="Stock",P4455*G4455,IF(P4455=0,"0",G4455*P4455*100-(G4455*$AF$14))))</f>
        <v/>
      </c>
      <c r="R4455" s="79">
        <f>IF(P4455&lt;&gt;"", TODAY(), "")</f>
        <v/>
      </c>
      <c r="S4455" s="78">
        <f>IF(AND(K4455&lt;&gt;"", R4455&lt;&gt;""), R4455-K4455, "")</f>
        <v/>
      </c>
      <c r="T4455" s="78" t="n"/>
      <c r="U4455" s="92">
        <f>IF(ISBLANK(P4455),"",IF(C4455="Buy",Q4455-M4455+T4455, IF(C4455="Sell",M4455-Q4455-T4455, X)))</f>
        <v/>
      </c>
      <c r="V4455" s="81">
        <f>IF(ISBLANK(P4455),"",U4455/N4455)</f>
        <v/>
      </c>
      <c r="W4455" s="81">
        <f>IF(ISBLANK(P4455),"",IF(S4455=0,(365/0.5)*V4455,(365/S4455)*V4455))</f>
        <v/>
      </c>
      <c r="X4455" s="75" t="n"/>
      <c r="Y4455" s="77" t="n"/>
      <c r="Z4455" s="77" t="n"/>
      <c r="AA4455" s="75" t="n"/>
      <c r="AB4455" s="75" t="n"/>
      <c r="AC4455" s="6" t="n"/>
      <c r="AD4455" s="75" t="n"/>
      <c r="AE4455" s="75" t="n"/>
      <c r="AF4455" s="75" t="n"/>
    </row>
    <row r="4456" ht="15.75" customHeight="1" s="133">
      <c r="A4456" s="75" t="n"/>
      <c r="B4456" s="75" t="n"/>
      <c r="C4456" s="75" t="n"/>
      <c r="D4456" s="75" t="n"/>
      <c r="E4456" s="76" t="n"/>
      <c r="F4456" s="77" t="n"/>
      <c r="G4456" s="75" t="n"/>
      <c r="H4456" s="75">
        <f>IF(ISBLANK(E4456),"",IF(OR(D4456="Butterfly",D4456="Butterfly ",D4456="Iron Fly", D4456="Iron Fly "),LEN(E4456)-LEN(SUBSTITUTE(E4456,"/",""))+2,LEN(E4456)-LEN(SUBSTITUTE(E4456,"/",""))+1))</f>
        <v/>
      </c>
      <c r="I4456" s="78">
        <f>IF(ISBLANK(G4456),"",IF(D4456="Stock","0",Key!$A$3*H4456*G4456))</f>
        <v/>
      </c>
      <c r="J4456" s="78">
        <f>IF(ISBLANK(E4456),"",IF(ISNUMBER(SEARCH("/",E4456)), IF(LEN(E4456)-LEN(SUBSTITUTE(E4456,"/",""))=1,(RIGHT(E4456,LEN(E4456)-FIND("/",E4456)))-(LEFT(E4456,FIND("/",E4456)-1)),(MID(E4456, SEARCH("/",E4456) + 1, SEARCH("/",E4456, SEARCH("/",E4456)+1) - SEARCH("/",E4456) - 1))-(LEFT(E4456,FIND("/",E4456)-1))), "NA"))</f>
        <v/>
      </c>
      <c r="K4456" s="79">
        <f>IF(A4456&lt;&gt;"", IF(ISBLANK(L4456), TODAY(), K4456), "")</f>
        <v/>
      </c>
      <c r="L4456" s="78" t="n"/>
      <c r="M4456" s="78">
        <f>IF(ISBLANK(L4456),"",IF(D4456="Stock",IF(C4456="Buy",L4456*G4456,IF(C4456="Sell",(L4456*G4456)-I4456, X)),IF(C4456="Buy",(L4456*G4456*100)+I4456,IF(C4456="Sell",(L4456*G4456*100)-I4456, X))))</f>
        <v/>
      </c>
      <c r="N4456" s="78">
        <f>IF(ISBLANK(L4456),"",IF(AND(C4456="Sell",D4456="Stock"),M4456,IF(ISBLANK(L4456),"",IF(C4456="Buy",M4456, IF(AND(C4456="Sell",J4456="NA"),(E4456*G4456*100*0.1)+I4456, IF(C4456="Sell",(J4456-L4456)*(100*G4456)+I4456))))))</f>
        <v/>
      </c>
      <c r="O4456" s="75" t="n"/>
      <c r="P4456" s="75" t="n"/>
      <c r="Q4456" s="75">
        <f>IF(ISBLANK(P4456),"",IF(D4456="Stock",P4456*G4456,IF(P4456=0,"0",G4456*P4456*100-(G4456*$AF$14))))</f>
        <v/>
      </c>
      <c r="R4456" s="79">
        <f>IF(P4456&lt;&gt;"", TODAY(), "")</f>
        <v/>
      </c>
      <c r="S4456" s="78">
        <f>IF(AND(K4456&lt;&gt;"", R4456&lt;&gt;""), R4456-K4456, "")</f>
        <v/>
      </c>
      <c r="T4456" s="78" t="n"/>
      <c r="U4456" s="92">
        <f>IF(ISBLANK(P4456),"",IF(C4456="Buy",Q4456-M4456+T4456, IF(C4456="Sell",M4456-Q4456-T4456, X)))</f>
        <v/>
      </c>
      <c r="V4456" s="81">
        <f>IF(ISBLANK(P4456),"",U4456/N4456)</f>
        <v/>
      </c>
      <c r="W4456" s="81">
        <f>IF(ISBLANK(P4456),"",IF(S4456=0,(365/0.5)*V4456,(365/S4456)*V4456))</f>
        <v/>
      </c>
      <c r="X4456" s="75" t="n"/>
      <c r="Y4456" s="77" t="n"/>
      <c r="Z4456" s="77" t="n"/>
      <c r="AA4456" s="75" t="n"/>
      <c r="AB4456" s="75" t="n"/>
      <c r="AC4456" s="6" t="n"/>
      <c r="AD4456" s="75" t="n"/>
      <c r="AE4456" s="75" t="n"/>
      <c r="AF4456" s="75" t="n"/>
    </row>
    <row r="4457" ht="15.75" customHeight="1" s="133">
      <c r="A4457" s="75" t="n"/>
      <c r="B4457" s="75" t="n"/>
      <c r="C4457" s="75" t="n"/>
      <c r="D4457" s="75" t="n"/>
      <c r="E4457" s="76" t="n"/>
      <c r="F4457" s="77" t="n"/>
      <c r="G4457" s="75" t="n"/>
      <c r="H4457" s="75">
        <f>IF(ISBLANK(E4457),"",IF(OR(D4457="Butterfly",D4457="Butterfly ",D4457="Iron Fly", D4457="Iron Fly "),LEN(E4457)-LEN(SUBSTITUTE(E4457,"/",""))+2,LEN(E4457)-LEN(SUBSTITUTE(E4457,"/",""))+1))</f>
        <v/>
      </c>
      <c r="I4457" s="78">
        <f>IF(ISBLANK(G4457),"",IF(D4457="Stock","0",Key!$A$3*H4457*G4457))</f>
        <v/>
      </c>
      <c r="J4457" s="78">
        <f>IF(ISBLANK(E4457),"",IF(ISNUMBER(SEARCH("/",E4457)), IF(LEN(E4457)-LEN(SUBSTITUTE(E4457,"/",""))=1,(RIGHT(E4457,LEN(E4457)-FIND("/",E4457)))-(LEFT(E4457,FIND("/",E4457)-1)),(MID(E4457, SEARCH("/",E4457) + 1, SEARCH("/",E4457, SEARCH("/",E4457)+1) - SEARCH("/",E4457) - 1))-(LEFT(E4457,FIND("/",E4457)-1))), "NA"))</f>
        <v/>
      </c>
      <c r="K4457" s="79">
        <f>IF(A4457&lt;&gt;"", IF(ISBLANK(L4457), TODAY(), K4457), "")</f>
        <v/>
      </c>
      <c r="L4457" s="78" t="n"/>
      <c r="M4457" s="78">
        <f>IF(ISBLANK(L4457),"",IF(D4457="Stock",IF(C4457="Buy",L4457*G4457,IF(C4457="Sell",(L4457*G4457)-I4457, X)),IF(C4457="Buy",(L4457*G4457*100)+I4457,IF(C4457="Sell",(L4457*G4457*100)-I4457, X))))</f>
        <v/>
      </c>
      <c r="N4457" s="78">
        <f>IF(ISBLANK(L4457),"",IF(AND(C4457="Sell",D4457="Stock"),M4457,IF(ISBLANK(L4457),"",IF(C4457="Buy",M4457, IF(AND(C4457="Sell",J4457="NA"),(E4457*G4457*100*0.1)+I4457, IF(C4457="Sell",(J4457-L4457)*(100*G4457)+I4457))))))</f>
        <v/>
      </c>
      <c r="O4457" s="75" t="n"/>
      <c r="P4457" s="75" t="n"/>
      <c r="Q4457" s="75">
        <f>IF(ISBLANK(P4457),"",IF(D4457="Stock",P4457*G4457,IF(P4457=0,"0",G4457*P4457*100-(G4457*$AF$14))))</f>
        <v/>
      </c>
      <c r="R4457" s="79">
        <f>IF(P4457&lt;&gt;"", TODAY(), "")</f>
        <v/>
      </c>
      <c r="S4457" s="78">
        <f>IF(AND(K4457&lt;&gt;"", R4457&lt;&gt;""), R4457-K4457, "")</f>
        <v/>
      </c>
      <c r="T4457" s="78" t="n"/>
      <c r="U4457" s="92">
        <f>IF(ISBLANK(P4457),"",IF(C4457="Buy",Q4457-M4457+T4457, IF(C4457="Sell",M4457-Q4457-T4457, X)))</f>
        <v/>
      </c>
      <c r="V4457" s="81">
        <f>IF(ISBLANK(P4457),"",U4457/N4457)</f>
        <v/>
      </c>
      <c r="W4457" s="81">
        <f>IF(ISBLANK(P4457),"",IF(S4457=0,(365/0.5)*V4457,(365/S4457)*V4457))</f>
        <v/>
      </c>
      <c r="X4457" s="75" t="n"/>
      <c r="Y4457" s="77" t="n"/>
      <c r="Z4457" s="77" t="n"/>
      <c r="AA4457" s="75" t="n"/>
      <c r="AB4457" s="75" t="n"/>
      <c r="AC4457" s="6" t="n"/>
      <c r="AD4457" s="75" t="n"/>
      <c r="AE4457" s="75" t="n"/>
      <c r="AF4457" s="75" t="n"/>
    </row>
    <row r="4458" ht="15.75" customHeight="1" s="133">
      <c r="A4458" s="75" t="n"/>
      <c r="B4458" s="75" t="n"/>
      <c r="C4458" s="75" t="n"/>
      <c r="D4458" s="75" t="n"/>
      <c r="E4458" s="76" t="n"/>
      <c r="F4458" s="77" t="n"/>
      <c r="G4458" s="75" t="n"/>
      <c r="H4458" s="75">
        <f>IF(ISBLANK(E4458),"",IF(OR(D4458="Butterfly",D4458="Butterfly ",D4458="Iron Fly", D4458="Iron Fly "),LEN(E4458)-LEN(SUBSTITUTE(E4458,"/",""))+2,LEN(E4458)-LEN(SUBSTITUTE(E4458,"/",""))+1))</f>
        <v/>
      </c>
      <c r="I4458" s="78">
        <f>IF(ISBLANK(G4458),"",IF(D4458="Stock","0",Key!$A$3*H4458*G4458))</f>
        <v/>
      </c>
      <c r="J4458" s="78">
        <f>IF(ISBLANK(E4458),"",IF(ISNUMBER(SEARCH("/",E4458)), IF(LEN(E4458)-LEN(SUBSTITUTE(E4458,"/",""))=1,(RIGHT(E4458,LEN(E4458)-FIND("/",E4458)))-(LEFT(E4458,FIND("/",E4458)-1)),(MID(E4458, SEARCH("/",E4458) + 1, SEARCH("/",E4458, SEARCH("/",E4458)+1) - SEARCH("/",E4458) - 1))-(LEFT(E4458,FIND("/",E4458)-1))), "NA"))</f>
        <v/>
      </c>
      <c r="K4458" s="79">
        <f>IF(A4458&lt;&gt;"", IF(ISBLANK(L4458), TODAY(), K4458), "")</f>
        <v/>
      </c>
      <c r="L4458" s="78" t="n"/>
      <c r="M4458" s="78">
        <f>IF(ISBLANK(L4458),"",IF(D4458="Stock",IF(C4458="Buy",L4458*G4458,IF(C4458="Sell",(L4458*G4458)-I4458, X)),IF(C4458="Buy",(L4458*G4458*100)+I4458,IF(C4458="Sell",(L4458*G4458*100)-I4458, X))))</f>
        <v/>
      </c>
      <c r="N4458" s="78">
        <f>IF(ISBLANK(L4458),"",IF(AND(C4458="Sell",D4458="Stock"),M4458,IF(ISBLANK(L4458),"",IF(C4458="Buy",M4458, IF(AND(C4458="Sell",J4458="NA"),(E4458*G4458*100*0.1)+I4458, IF(C4458="Sell",(J4458-L4458)*(100*G4458)+I4458))))))</f>
        <v/>
      </c>
      <c r="O4458" s="75" t="n"/>
      <c r="P4458" s="75" t="n"/>
      <c r="Q4458" s="75">
        <f>IF(ISBLANK(P4458),"",IF(D4458="Stock",P4458*G4458,IF(P4458=0,"0",G4458*P4458*100-(G4458*$AF$14))))</f>
        <v/>
      </c>
      <c r="R4458" s="79">
        <f>IF(P4458&lt;&gt;"", TODAY(), "")</f>
        <v/>
      </c>
      <c r="S4458" s="78">
        <f>IF(AND(K4458&lt;&gt;"", R4458&lt;&gt;""), R4458-K4458, "")</f>
        <v/>
      </c>
      <c r="T4458" s="78" t="n"/>
      <c r="U4458" s="92">
        <f>IF(ISBLANK(P4458),"",IF(C4458="Buy",Q4458-M4458+T4458, IF(C4458="Sell",M4458-Q4458-T4458, X)))</f>
        <v/>
      </c>
      <c r="V4458" s="81">
        <f>IF(ISBLANK(P4458),"",U4458/N4458)</f>
        <v/>
      </c>
      <c r="W4458" s="81">
        <f>IF(ISBLANK(P4458),"",IF(S4458=0,(365/0.5)*V4458,(365/S4458)*V4458))</f>
        <v/>
      </c>
      <c r="X4458" s="75" t="n"/>
      <c r="Y4458" s="77" t="n"/>
      <c r="Z4458" s="77" t="n"/>
      <c r="AA4458" s="75" t="n"/>
      <c r="AB4458" s="75" t="n"/>
      <c r="AC4458" s="6" t="n"/>
      <c r="AD4458" s="75" t="n"/>
      <c r="AE4458" s="75" t="n"/>
      <c r="AF4458" s="75" t="n"/>
    </row>
    <row r="4459" ht="15.75" customHeight="1" s="133">
      <c r="A4459" s="75" t="n"/>
      <c r="B4459" s="75" t="n"/>
      <c r="C4459" s="75" t="n"/>
      <c r="D4459" s="75" t="n"/>
      <c r="E4459" s="76" t="n"/>
      <c r="F4459" s="77" t="n"/>
      <c r="G4459" s="75" t="n"/>
      <c r="H4459" s="75">
        <f>IF(ISBLANK(E4459),"",IF(OR(D4459="Butterfly",D4459="Butterfly ",D4459="Iron Fly", D4459="Iron Fly "),LEN(E4459)-LEN(SUBSTITUTE(E4459,"/",""))+2,LEN(E4459)-LEN(SUBSTITUTE(E4459,"/",""))+1))</f>
        <v/>
      </c>
      <c r="I4459" s="78">
        <f>IF(ISBLANK(G4459),"",IF(D4459="Stock","0",Key!$A$3*H4459*G4459))</f>
        <v/>
      </c>
      <c r="J4459" s="78">
        <f>IF(ISBLANK(E4459),"",IF(ISNUMBER(SEARCH("/",E4459)), IF(LEN(E4459)-LEN(SUBSTITUTE(E4459,"/",""))=1,(RIGHT(E4459,LEN(E4459)-FIND("/",E4459)))-(LEFT(E4459,FIND("/",E4459)-1)),(MID(E4459, SEARCH("/",E4459) + 1, SEARCH("/",E4459, SEARCH("/",E4459)+1) - SEARCH("/",E4459) - 1))-(LEFT(E4459,FIND("/",E4459)-1))), "NA"))</f>
        <v/>
      </c>
      <c r="K4459" s="79">
        <f>IF(A4459&lt;&gt;"", IF(ISBLANK(L4459), TODAY(), K4459), "")</f>
        <v/>
      </c>
      <c r="L4459" s="78" t="n"/>
      <c r="M4459" s="78">
        <f>IF(ISBLANK(L4459),"",IF(D4459="Stock",IF(C4459="Buy",L4459*G4459,IF(C4459="Sell",(L4459*G4459)-I4459, X)),IF(C4459="Buy",(L4459*G4459*100)+I4459,IF(C4459="Sell",(L4459*G4459*100)-I4459, X))))</f>
        <v/>
      </c>
      <c r="N4459" s="78">
        <f>IF(ISBLANK(L4459),"",IF(AND(C4459="Sell",D4459="Stock"),M4459,IF(ISBLANK(L4459),"",IF(C4459="Buy",M4459, IF(AND(C4459="Sell",J4459="NA"),(E4459*G4459*100*0.1)+I4459, IF(C4459="Sell",(J4459-L4459)*(100*G4459)+I4459))))))</f>
        <v/>
      </c>
      <c r="O4459" s="75" t="n"/>
      <c r="P4459" s="75" t="n"/>
      <c r="Q4459" s="75">
        <f>IF(ISBLANK(P4459),"",IF(D4459="Stock",P4459*G4459,IF(P4459=0,"0",G4459*P4459*100-(G4459*$AF$14))))</f>
        <v/>
      </c>
      <c r="R4459" s="79">
        <f>IF(P4459&lt;&gt;"", TODAY(), "")</f>
        <v/>
      </c>
      <c r="S4459" s="78">
        <f>IF(AND(K4459&lt;&gt;"", R4459&lt;&gt;""), R4459-K4459, "")</f>
        <v/>
      </c>
      <c r="T4459" s="78" t="n"/>
      <c r="U4459" s="92">
        <f>IF(ISBLANK(P4459),"",IF(C4459="Buy",Q4459-M4459+T4459, IF(C4459="Sell",M4459-Q4459-T4459, X)))</f>
        <v/>
      </c>
      <c r="V4459" s="81">
        <f>IF(ISBLANK(P4459),"",U4459/N4459)</f>
        <v/>
      </c>
      <c r="W4459" s="81">
        <f>IF(ISBLANK(P4459),"",IF(S4459=0,(365/0.5)*V4459,(365/S4459)*V4459))</f>
        <v/>
      </c>
      <c r="X4459" s="75" t="n"/>
      <c r="Y4459" s="77" t="n"/>
      <c r="Z4459" s="77" t="n"/>
      <c r="AA4459" s="75" t="n"/>
      <c r="AB4459" s="75" t="n"/>
      <c r="AC4459" s="6" t="n"/>
      <c r="AD4459" s="75" t="n"/>
      <c r="AE4459" s="75" t="n"/>
      <c r="AF4459" s="75" t="n"/>
    </row>
    <row r="4460" ht="15.75" customHeight="1" s="133">
      <c r="A4460" s="75" t="n"/>
      <c r="B4460" s="75" t="n"/>
      <c r="C4460" s="75" t="n"/>
      <c r="D4460" s="75" t="n"/>
      <c r="E4460" s="76" t="n"/>
      <c r="F4460" s="77" t="n"/>
      <c r="G4460" s="75" t="n"/>
      <c r="H4460" s="75">
        <f>IF(ISBLANK(E4460),"",IF(OR(D4460="Butterfly",D4460="Butterfly ",D4460="Iron Fly", D4460="Iron Fly "),LEN(E4460)-LEN(SUBSTITUTE(E4460,"/",""))+2,LEN(E4460)-LEN(SUBSTITUTE(E4460,"/",""))+1))</f>
        <v/>
      </c>
      <c r="I4460" s="78">
        <f>IF(ISBLANK(G4460),"",IF(D4460="Stock","0",Key!$A$3*H4460*G4460))</f>
        <v/>
      </c>
      <c r="J4460" s="78">
        <f>IF(ISBLANK(E4460),"",IF(ISNUMBER(SEARCH("/",E4460)), IF(LEN(E4460)-LEN(SUBSTITUTE(E4460,"/",""))=1,(RIGHT(E4460,LEN(E4460)-FIND("/",E4460)))-(LEFT(E4460,FIND("/",E4460)-1)),(MID(E4460, SEARCH("/",E4460) + 1, SEARCH("/",E4460, SEARCH("/",E4460)+1) - SEARCH("/",E4460) - 1))-(LEFT(E4460,FIND("/",E4460)-1))), "NA"))</f>
        <v/>
      </c>
      <c r="K4460" s="79">
        <f>IF(A4460&lt;&gt;"", IF(ISBLANK(L4460), TODAY(), K4460), "")</f>
        <v/>
      </c>
      <c r="L4460" s="78" t="n"/>
      <c r="M4460" s="78">
        <f>IF(ISBLANK(L4460),"",IF(D4460="Stock",IF(C4460="Buy",L4460*G4460,IF(C4460="Sell",(L4460*G4460)-I4460, X)),IF(C4460="Buy",(L4460*G4460*100)+I4460,IF(C4460="Sell",(L4460*G4460*100)-I4460, X))))</f>
        <v/>
      </c>
      <c r="N4460" s="78">
        <f>IF(ISBLANK(L4460),"",IF(AND(C4460="Sell",D4460="Stock"),M4460,IF(ISBLANK(L4460),"",IF(C4460="Buy",M4460, IF(AND(C4460="Sell",J4460="NA"),(E4460*G4460*100*0.1)+I4460, IF(C4460="Sell",(J4460-L4460)*(100*G4460)+I4460))))))</f>
        <v/>
      </c>
      <c r="O4460" s="75" t="n"/>
      <c r="P4460" s="75" t="n"/>
      <c r="Q4460" s="75">
        <f>IF(ISBLANK(P4460),"",IF(D4460="Stock",P4460*G4460,IF(P4460=0,"0",G4460*P4460*100-(G4460*$AF$14))))</f>
        <v/>
      </c>
      <c r="R4460" s="79">
        <f>IF(P4460&lt;&gt;"", TODAY(), "")</f>
        <v/>
      </c>
      <c r="S4460" s="78">
        <f>IF(AND(K4460&lt;&gt;"", R4460&lt;&gt;""), R4460-K4460, "")</f>
        <v/>
      </c>
      <c r="T4460" s="78" t="n"/>
      <c r="U4460" s="92">
        <f>IF(ISBLANK(P4460),"",IF(C4460="Buy",Q4460-M4460+T4460, IF(C4460="Sell",M4460-Q4460-T4460, X)))</f>
        <v/>
      </c>
      <c r="V4460" s="81">
        <f>IF(ISBLANK(P4460),"",U4460/N4460)</f>
        <v/>
      </c>
      <c r="W4460" s="81">
        <f>IF(ISBLANK(P4460),"",IF(S4460=0,(365/0.5)*V4460,(365/S4460)*V4460))</f>
        <v/>
      </c>
      <c r="X4460" s="75" t="n"/>
      <c r="Y4460" s="77" t="n"/>
      <c r="Z4460" s="77" t="n"/>
      <c r="AA4460" s="75" t="n"/>
      <c r="AB4460" s="75" t="n"/>
      <c r="AC4460" s="6" t="n"/>
      <c r="AD4460" s="75" t="n"/>
      <c r="AE4460" s="75" t="n"/>
      <c r="AF4460" s="75" t="n"/>
    </row>
    <row r="4461" ht="15.75" customHeight="1" s="133">
      <c r="A4461" s="75" t="n"/>
      <c r="B4461" s="75" t="n"/>
      <c r="C4461" s="75" t="n"/>
      <c r="D4461" s="75" t="n"/>
      <c r="E4461" s="76" t="n"/>
      <c r="F4461" s="77" t="n"/>
      <c r="G4461" s="75" t="n"/>
      <c r="H4461" s="75">
        <f>IF(ISBLANK(E4461),"",IF(OR(D4461="Butterfly",D4461="Butterfly ",D4461="Iron Fly", D4461="Iron Fly "),LEN(E4461)-LEN(SUBSTITUTE(E4461,"/",""))+2,LEN(E4461)-LEN(SUBSTITUTE(E4461,"/",""))+1))</f>
        <v/>
      </c>
      <c r="I4461" s="78">
        <f>IF(ISBLANK(G4461),"",IF(D4461="Stock","0",Key!$A$3*H4461*G4461))</f>
        <v/>
      </c>
      <c r="J4461" s="78">
        <f>IF(ISBLANK(E4461),"",IF(ISNUMBER(SEARCH("/",E4461)), IF(LEN(E4461)-LEN(SUBSTITUTE(E4461,"/",""))=1,(RIGHT(E4461,LEN(E4461)-FIND("/",E4461)))-(LEFT(E4461,FIND("/",E4461)-1)),(MID(E4461, SEARCH("/",E4461) + 1, SEARCH("/",E4461, SEARCH("/",E4461)+1) - SEARCH("/",E4461) - 1))-(LEFT(E4461,FIND("/",E4461)-1))), "NA"))</f>
        <v/>
      </c>
      <c r="K4461" s="79">
        <f>IF(A4461&lt;&gt;"", IF(ISBLANK(L4461), TODAY(), K4461), "")</f>
        <v/>
      </c>
      <c r="L4461" s="78" t="n"/>
      <c r="M4461" s="78">
        <f>IF(ISBLANK(L4461),"",IF(D4461="Stock",IF(C4461="Buy",L4461*G4461,IF(C4461="Sell",(L4461*G4461)-I4461, X)),IF(C4461="Buy",(L4461*G4461*100)+I4461,IF(C4461="Sell",(L4461*G4461*100)-I4461, X))))</f>
        <v/>
      </c>
      <c r="N4461" s="78">
        <f>IF(ISBLANK(L4461),"",IF(AND(C4461="Sell",D4461="Stock"),M4461,IF(ISBLANK(L4461),"",IF(C4461="Buy",M4461, IF(AND(C4461="Sell",J4461="NA"),(E4461*G4461*100*0.1)+I4461, IF(C4461="Sell",(J4461-L4461)*(100*G4461)+I4461))))))</f>
        <v/>
      </c>
      <c r="O4461" s="75" t="n"/>
      <c r="P4461" s="75" t="n"/>
      <c r="Q4461" s="75">
        <f>IF(ISBLANK(P4461),"",IF(D4461="Stock",P4461*G4461,IF(P4461=0,"0",G4461*P4461*100-(G4461*$AF$14))))</f>
        <v/>
      </c>
      <c r="R4461" s="79">
        <f>IF(P4461&lt;&gt;"", TODAY(), "")</f>
        <v/>
      </c>
      <c r="S4461" s="78">
        <f>IF(AND(K4461&lt;&gt;"", R4461&lt;&gt;""), R4461-K4461, "")</f>
        <v/>
      </c>
      <c r="T4461" s="78" t="n"/>
      <c r="U4461" s="92">
        <f>IF(ISBLANK(P4461),"",IF(C4461="Buy",Q4461-M4461+T4461, IF(C4461="Sell",M4461-Q4461-T4461, X)))</f>
        <v/>
      </c>
      <c r="V4461" s="81">
        <f>IF(ISBLANK(P4461),"",U4461/N4461)</f>
        <v/>
      </c>
      <c r="W4461" s="81">
        <f>IF(ISBLANK(P4461),"",IF(S4461=0,(365/0.5)*V4461,(365/S4461)*V4461))</f>
        <v/>
      </c>
      <c r="X4461" s="75" t="n"/>
      <c r="Y4461" s="77" t="n"/>
      <c r="Z4461" s="77" t="n"/>
      <c r="AA4461" s="75" t="n"/>
      <c r="AB4461" s="75" t="n"/>
      <c r="AC4461" s="6" t="n"/>
      <c r="AD4461" s="75" t="n"/>
      <c r="AE4461" s="75" t="n"/>
      <c r="AF4461" s="75" t="n"/>
    </row>
    <row r="4462" ht="15.75" customHeight="1" s="133">
      <c r="A4462" s="75" t="n"/>
      <c r="B4462" s="75" t="n"/>
      <c r="C4462" s="75" t="n"/>
      <c r="D4462" s="75" t="n"/>
      <c r="E4462" s="76" t="n"/>
      <c r="F4462" s="77" t="n"/>
      <c r="G4462" s="75" t="n"/>
      <c r="H4462" s="75">
        <f>IF(ISBLANK(E4462),"",IF(OR(D4462="Butterfly",D4462="Butterfly ",D4462="Iron Fly", D4462="Iron Fly "),LEN(E4462)-LEN(SUBSTITUTE(E4462,"/",""))+2,LEN(E4462)-LEN(SUBSTITUTE(E4462,"/",""))+1))</f>
        <v/>
      </c>
      <c r="I4462" s="78">
        <f>IF(ISBLANK(G4462),"",IF(D4462="Stock","0",Key!$A$3*H4462*G4462))</f>
        <v/>
      </c>
      <c r="J4462" s="78">
        <f>IF(ISBLANK(E4462),"",IF(ISNUMBER(SEARCH("/",E4462)), IF(LEN(E4462)-LEN(SUBSTITUTE(E4462,"/",""))=1,(RIGHT(E4462,LEN(E4462)-FIND("/",E4462)))-(LEFT(E4462,FIND("/",E4462)-1)),(MID(E4462, SEARCH("/",E4462) + 1, SEARCH("/",E4462, SEARCH("/",E4462)+1) - SEARCH("/",E4462) - 1))-(LEFT(E4462,FIND("/",E4462)-1))), "NA"))</f>
        <v/>
      </c>
      <c r="K4462" s="79">
        <f>IF(A4462&lt;&gt;"", IF(ISBLANK(L4462), TODAY(), K4462), "")</f>
        <v/>
      </c>
      <c r="L4462" s="78" t="n"/>
      <c r="M4462" s="78">
        <f>IF(ISBLANK(L4462),"",IF(D4462="Stock",IF(C4462="Buy",L4462*G4462,IF(C4462="Sell",(L4462*G4462)-I4462, X)),IF(C4462="Buy",(L4462*G4462*100)+I4462,IF(C4462="Sell",(L4462*G4462*100)-I4462, X))))</f>
        <v/>
      </c>
      <c r="N4462" s="78">
        <f>IF(ISBLANK(L4462),"",IF(AND(C4462="Sell",D4462="Stock"),M4462,IF(ISBLANK(L4462),"",IF(C4462="Buy",M4462, IF(AND(C4462="Sell",J4462="NA"),(E4462*G4462*100*0.1)+I4462, IF(C4462="Sell",(J4462-L4462)*(100*G4462)+I4462))))))</f>
        <v/>
      </c>
      <c r="O4462" s="75" t="n"/>
      <c r="P4462" s="75" t="n"/>
      <c r="Q4462" s="75">
        <f>IF(ISBLANK(P4462),"",IF(D4462="Stock",P4462*G4462,IF(P4462=0,"0",G4462*P4462*100-(G4462*$AF$14))))</f>
        <v/>
      </c>
      <c r="R4462" s="79">
        <f>IF(P4462&lt;&gt;"", TODAY(), "")</f>
        <v/>
      </c>
      <c r="S4462" s="78">
        <f>IF(AND(K4462&lt;&gt;"", R4462&lt;&gt;""), R4462-K4462, "")</f>
        <v/>
      </c>
      <c r="T4462" s="78" t="n"/>
      <c r="U4462" s="92">
        <f>IF(ISBLANK(P4462),"",IF(C4462="Buy",Q4462-M4462+T4462, IF(C4462="Sell",M4462-Q4462-T4462, X)))</f>
        <v/>
      </c>
      <c r="V4462" s="81">
        <f>IF(ISBLANK(P4462),"",U4462/N4462)</f>
        <v/>
      </c>
      <c r="W4462" s="81">
        <f>IF(ISBLANK(P4462),"",IF(S4462=0,(365/0.5)*V4462,(365/S4462)*V4462))</f>
        <v/>
      </c>
      <c r="X4462" s="75" t="n"/>
      <c r="Y4462" s="77" t="n"/>
      <c r="Z4462" s="77" t="n"/>
      <c r="AA4462" s="75" t="n"/>
      <c r="AB4462" s="75" t="n"/>
      <c r="AC4462" s="6" t="n"/>
      <c r="AD4462" s="75" t="n"/>
      <c r="AE4462" s="75" t="n"/>
      <c r="AF4462" s="75" t="n"/>
    </row>
    <row r="4463" ht="15.75" customHeight="1" s="133">
      <c r="A4463" s="75" t="n"/>
      <c r="B4463" s="75" t="n"/>
      <c r="C4463" s="75" t="n"/>
      <c r="D4463" s="75" t="n"/>
      <c r="E4463" s="76" t="n"/>
      <c r="F4463" s="77" t="n"/>
      <c r="G4463" s="75" t="n"/>
      <c r="H4463" s="75">
        <f>IF(ISBLANK(E4463),"",IF(OR(D4463="Butterfly",D4463="Butterfly ",D4463="Iron Fly", D4463="Iron Fly "),LEN(E4463)-LEN(SUBSTITUTE(E4463,"/",""))+2,LEN(E4463)-LEN(SUBSTITUTE(E4463,"/",""))+1))</f>
        <v/>
      </c>
      <c r="I4463" s="78">
        <f>IF(ISBLANK(G4463),"",IF(D4463="Stock","0",Key!$A$3*H4463*G4463))</f>
        <v/>
      </c>
      <c r="J4463" s="78">
        <f>IF(ISBLANK(E4463),"",IF(ISNUMBER(SEARCH("/",E4463)), IF(LEN(E4463)-LEN(SUBSTITUTE(E4463,"/",""))=1,(RIGHT(E4463,LEN(E4463)-FIND("/",E4463)))-(LEFT(E4463,FIND("/",E4463)-1)),(MID(E4463, SEARCH("/",E4463) + 1, SEARCH("/",E4463, SEARCH("/",E4463)+1) - SEARCH("/",E4463) - 1))-(LEFT(E4463,FIND("/",E4463)-1))), "NA"))</f>
        <v/>
      </c>
      <c r="K4463" s="79">
        <f>IF(A4463&lt;&gt;"", IF(ISBLANK(L4463), TODAY(), K4463), "")</f>
        <v/>
      </c>
      <c r="L4463" s="78" t="n"/>
      <c r="M4463" s="78">
        <f>IF(ISBLANK(L4463),"",IF(D4463="Stock",IF(C4463="Buy",L4463*G4463,IF(C4463="Sell",(L4463*G4463)-I4463, X)),IF(C4463="Buy",(L4463*G4463*100)+I4463,IF(C4463="Sell",(L4463*G4463*100)-I4463, X))))</f>
        <v/>
      </c>
      <c r="N4463" s="78">
        <f>IF(ISBLANK(L4463),"",IF(AND(C4463="Sell",D4463="Stock"),M4463,IF(ISBLANK(L4463),"",IF(C4463="Buy",M4463, IF(AND(C4463="Sell",J4463="NA"),(E4463*G4463*100*0.1)+I4463, IF(C4463="Sell",(J4463-L4463)*(100*G4463)+I4463))))))</f>
        <v/>
      </c>
      <c r="O4463" s="75" t="n"/>
      <c r="P4463" s="75" t="n"/>
      <c r="Q4463" s="75">
        <f>IF(ISBLANK(P4463),"",IF(D4463="Stock",P4463*G4463,IF(P4463=0,"0",G4463*P4463*100-(G4463*$AF$14))))</f>
        <v/>
      </c>
      <c r="R4463" s="79">
        <f>IF(P4463&lt;&gt;"", TODAY(), "")</f>
        <v/>
      </c>
      <c r="S4463" s="78">
        <f>IF(AND(K4463&lt;&gt;"", R4463&lt;&gt;""), R4463-K4463, "")</f>
        <v/>
      </c>
      <c r="T4463" s="78" t="n"/>
      <c r="U4463" s="92">
        <f>IF(ISBLANK(P4463),"",IF(C4463="Buy",Q4463-M4463+T4463, IF(C4463="Sell",M4463-Q4463-T4463, X)))</f>
        <v/>
      </c>
      <c r="V4463" s="81">
        <f>IF(ISBLANK(P4463),"",U4463/N4463)</f>
        <v/>
      </c>
      <c r="W4463" s="81">
        <f>IF(ISBLANK(P4463),"",IF(S4463=0,(365/0.5)*V4463,(365/S4463)*V4463))</f>
        <v/>
      </c>
      <c r="X4463" s="75" t="n"/>
      <c r="Y4463" s="77" t="n"/>
      <c r="Z4463" s="77" t="n"/>
      <c r="AA4463" s="75" t="n"/>
      <c r="AB4463" s="75" t="n"/>
      <c r="AC4463" s="6" t="n"/>
      <c r="AD4463" s="75" t="n"/>
      <c r="AE4463" s="75" t="n"/>
      <c r="AF4463" s="75" t="n"/>
    </row>
    <row r="4464" ht="15.75" customHeight="1" s="133">
      <c r="A4464" s="75" t="n"/>
      <c r="B4464" s="75" t="n"/>
      <c r="C4464" s="75" t="n"/>
      <c r="D4464" s="75" t="n"/>
      <c r="E4464" s="76" t="n"/>
      <c r="F4464" s="77" t="n"/>
      <c r="G4464" s="75" t="n"/>
      <c r="H4464" s="75">
        <f>IF(ISBLANK(E4464),"",IF(OR(D4464="Butterfly",D4464="Butterfly ",D4464="Iron Fly", D4464="Iron Fly "),LEN(E4464)-LEN(SUBSTITUTE(E4464,"/",""))+2,LEN(E4464)-LEN(SUBSTITUTE(E4464,"/",""))+1))</f>
        <v/>
      </c>
      <c r="I4464" s="78">
        <f>IF(ISBLANK(G4464),"",IF(D4464="Stock","0",Key!$A$3*H4464*G4464))</f>
        <v/>
      </c>
      <c r="J4464" s="78">
        <f>IF(ISBLANK(E4464),"",IF(ISNUMBER(SEARCH("/",E4464)), IF(LEN(E4464)-LEN(SUBSTITUTE(E4464,"/",""))=1,(RIGHT(E4464,LEN(E4464)-FIND("/",E4464)))-(LEFT(E4464,FIND("/",E4464)-1)),(MID(E4464, SEARCH("/",E4464) + 1, SEARCH("/",E4464, SEARCH("/",E4464)+1) - SEARCH("/",E4464) - 1))-(LEFT(E4464,FIND("/",E4464)-1))), "NA"))</f>
        <v/>
      </c>
      <c r="K4464" s="79">
        <f>IF(A4464&lt;&gt;"", IF(ISBLANK(L4464), TODAY(), K4464), "")</f>
        <v/>
      </c>
      <c r="L4464" s="78" t="n"/>
      <c r="M4464" s="78">
        <f>IF(ISBLANK(L4464),"",IF(D4464="Stock",IF(C4464="Buy",L4464*G4464,IF(C4464="Sell",(L4464*G4464)-I4464, X)),IF(C4464="Buy",(L4464*G4464*100)+I4464,IF(C4464="Sell",(L4464*G4464*100)-I4464, X))))</f>
        <v/>
      </c>
      <c r="N4464" s="78">
        <f>IF(ISBLANK(L4464),"",IF(AND(C4464="Sell",D4464="Stock"),M4464,IF(ISBLANK(L4464),"",IF(C4464="Buy",M4464, IF(AND(C4464="Sell",J4464="NA"),(E4464*G4464*100*0.1)+I4464, IF(C4464="Sell",(J4464-L4464)*(100*G4464)+I4464))))))</f>
        <v/>
      </c>
      <c r="O4464" s="75" t="n"/>
      <c r="P4464" s="75" t="n"/>
      <c r="Q4464" s="75">
        <f>IF(ISBLANK(P4464),"",IF(D4464="Stock",P4464*G4464,IF(P4464=0,"0",G4464*P4464*100-(G4464*$AF$14))))</f>
        <v/>
      </c>
      <c r="R4464" s="79">
        <f>IF(P4464&lt;&gt;"", TODAY(), "")</f>
        <v/>
      </c>
      <c r="S4464" s="78">
        <f>IF(AND(K4464&lt;&gt;"", R4464&lt;&gt;""), R4464-K4464, "")</f>
        <v/>
      </c>
      <c r="T4464" s="78" t="n"/>
      <c r="U4464" s="92">
        <f>IF(ISBLANK(P4464),"",IF(C4464="Buy",Q4464-M4464+T4464, IF(C4464="Sell",M4464-Q4464-T4464, X)))</f>
        <v/>
      </c>
      <c r="V4464" s="81">
        <f>IF(ISBLANK(P4464),"",U4464/N4464)</f>
        <v/>
      </c>
      <c r="W4464" s="81">
        <f>IF(ISBLANK(P4464),"",IF(S4464=0,(365/0.5)*V4464,(365/S4464)*V4464))</f>
        <v/>
      </c>
      <c r="X4464" s="75" t="n"/>
      <c r="Y4464" s="77" t="n"/>
      <c r="Z4464" s="77" t="n"/>
      <c r="AA4464" s="75" t="n"/>
      <c r="AB4464" s="75" t="n"/>
      <c r="AC4464" s="6" t="n"/>
      <c r="AD4464" s="75" t="n"/>
      <c r="AE4464" s="75" t="n"/>
      <c r="AF4464" s="75" t="n"/>
    </row>
    <row r="4465" ht="15.75" customHeight="1" s="133">
      <c r="A4465" s="75" t="n"/>
      <c r="B4465" s="75" t="n"/>
      <c r="C4465" s="75" t="n"/>
      <c r="D4465" s="75" t="n"/>
      <c r="E4465" s="76" t="n"/>
      <c r="F4465" s="77" t="n"/>
      <c r="G4465" s="75" t="n"/>
      <c r="H4465" s="75">
        <f>IF(ISBLANK(E4465),"",IF(OR(D4465="Butterfly",D4465="Butterfly ",D4465="Iron Fly", D4465="Iron Fly "),LEN(E4465)-LEN(SUBSTITUTE(E4465,"/",""))+2,LEN(E4465)-LEN(SUBSTITUTE(E4465,"/",""))+1))</f>
        <v/>
      </c>
      <c r="I4465" s="78">
        <f>IF(ISBLANK(G4465),"",IF(D4465="Stock","0",Key!$A$3*H4465*G4465))</f>
        <v/>
      </c>
      <c r="J4465" s="78">
        <f>IF(ISBLANK(E4465),"",IF(ISNUMBER(SEARCH("/",E4465)), IF(LEN(E4465)-LEN(SUBSTITUTE(E4465,"/",""))=1,(RIGHT(E4465,LEN(E4465)-FIND("/",E4465)))-(LEFT(E4465,FIND("/",E4465)-1)),(MID(E4465, SEARCH("/",E4465) + 1, SEARCH("/",E4465, SEARCH("/",E4465)+1) - SEARCH("/",E4465) - 1))-(LEFT(E4465,FIND("/",E4465)-1))), "NA"))</f>
        <v/>
      </c>
      <c r="K4465" s="79">
        <f>IF(A4465&lt;&gt;"", IF(ISBLANK(L4465), TODAY(), K4465), "")</f>
        <v/>
      </c>
      <c r="L4465" s="78" t="n"/>
      <c r="M4465" s="78">
        <f>IF(ISBLANK(L4465),"",IF(D4465="Stock",IF(C4465="Buy",L4465*G4465,IF(C4465="Sell",(L4465*G4465)-I4465, X)),IF(C4465="Buy",(L4465*G4465*100)+I4465,IF(C4465="Sell",(L4465*G4465*100)-I4465, X))))</f>
        <v/>
      </c>
      <c r="N4465" s="78">
        <f>IF(ISBLANK(L4465),"",IF(AND(C4465="Sell",D4465="Stock"),M4465,IF(ISBLANK(L4465),"",IF(C4465="Buy",M4465, IF(AND(C4465="Sell",J4465="NA"),(E4465*G4465*100*0.1)+I4465, IF(C4465="Sell",(J4465-L4465)*(100*G4465)+I4465))))))</f>
        <v/>
      </c>
      <c r="O4465" s="75" t="n"/>
      <c r="P4465" s="75" t="n"/>
      <c r="Q4465" s="75">
        <f>IF(ISBLANK(P4465),"",IF(D4465="Stock",P4465*G4465,IF(P4465=0,"0",G4465*P4465*100-(G4465*$AF$14))))</f>
        <v/>
      </c>
      <c r="R4465" s="79">
        <f>IF(P4465&lt;&gt;"", TODAY(), "")</f>
        <v/>
      </c>
      <c r="S4465" s="78">
        <f>IF(AND(K4465&lt;&gt;"", R4465&lt;&gt;""), R4465-K4465, "")</f>
        <v/>
      </c>
      <c r="T4465" s="78" t="n"/>
      <c r="U4465" s="92">
        <f>IF(ISBLANK(P4465),"",IF(C4465="Buy",Q4465-M4465+T4465, IF(C4465="Sell",M4465-Q4465-T4465, X)))</f>
        <v/>
      </c>
      <c r="V4465" s="81">
        <f>IF(ISBLANK(P4465),"",U4465/N4465)</f>
        <v/>
      </c>
      <c r="W4465" s="81">
        <f>IF(ISBLANK(P4465),"",IF(S4465=0,(365/0.5)*V4465,(365/S4465)*V4465))</f>
        <v/>
      </c>
      <c r="X4465" s="75" t="n"/>
      <c r="Y4465" s="77" t="n"/>
      <c r="Z4465" s="77" t="n"/>
      <c r="AA4465" s="75" t="n"/>
      <c r="AB4465" s="75" t="n"/>
      <c r="AC4465" s="6" t="n"/>
      <c r="AD4465" s="75" t="n"/>
      <c r="AE4465" s="75" t="n"/>
      <c r="AF4465" s="75" t="n"/>
    </row>
    <row r="4466" ht="15.75" customHeight="1" s="133">
      <c r="A4466" s="75" t="n"/>
      <c r="B4466" s="75" t="n"/>
      <c r="C4466" s="75" t="n"/>
      <c r="D4466" s="75" t="n"/>
      <c r="E4466" s="76" t="n"/>
      <c r="F4466" s="77" t="n"/>
      <c r="G4466" s="75" t="n"/>
      <c r="H4466" s="75">
        <f>IF(ISBLANK(E4466),"",IF(OR(D4466="Butterfly",D4466="Butterfly ",D4466="Iron Fly", D4466="Iron Fly "),LEN(E4466)-LEN(SUBSTITUTE(E4466,"/",""))+2,LEN(E4466)-LEN(SUBSTITUTE(E4466,"/",""))+1))</f>
        <v/>
      </c>
      <c r="I4466" s="78">
        <f>IF(ISBLANK(G4466),"",IF(D4466="Stock","0",Key!$A$3*H4466*G4466))</f>
        <v/>
      </c>
      <c r="J4466" s="78">
        <f>IF(ISBLANK(E4466),"",IF(ISNUMBER(SEARCH("/",E4466)), IF(LEN(E4466)-LEN(SUBSTITUTE(E4466,"/",""))=1,(RIGHT(E4466,LEN(E4466)-FIND("/",E4466)))-(LEFT(E4466,FIND("/",E4466)-1)),(MID(E4466, SEARCH("/",E4466) + 1, SEARCH("/",E4466, SEARCH("/",E4466)+1) - SEARCH("/",E4466) - 1))-(LEFT(E4466,FIND("/",E4466)-1))), "NA"))</f>
        <v/>
      </c>
      <c r="K4466" s="79">
        <f>IF(A4466&lt;&gt;"", IF(ISBLANK(L4466), TODAY(), K4466), "")</f>
        <v/>
      </c>
      <c r="L4466" s="78" t="n"/>
      <c r="M4466" s="78">
        <f>IF(ISBLANK(L4466),"",IF(D4466="Stock",IF(C4466="Buy",L4466*G4466,IF(C4466="Sell",(L4466*G4466)-I4466, X)),IF(C4466="Buy",(L4466*G4466*100)+I4466,IF(C4466="Sell",(L4466*G4466*100)-I4466, X))))</f>
        <v/>
      </c>
      <c r="N4466" s="78">
        <f>IF(ISBLANK(L4466),"",IF(AND(C4466="Sell",D4466="Stock"),M4466,IF(ISBLANK(L4466),"",IF(C4466="Buy",M4466, IF(AND(C4466="Sell",J4466="NA"),(E4466*G4466*100*0.1)+I4466, IF(C4466="Sell",(J4466-L4466)*(100*G4466)+I4466))))))</f>
        <v/>
      </c>
      <c r="O4466" s="75" t="n"/>
      <c r="P4466" s="75" t="n"/>
      <c r="Q4466" s="75">
        <f>IF(ISBLANK(P4466),"",IF(D4466="Stock",P4466*G4466,IF(P4466=0,"0",G4466*P4466*100-(G4466*$AF$14))))</f>
        <v/>
      </c>
      <c r="R4466" s="79">
        <f>IF(P4466&lt;&gt;"", TODAY(), "")</f>
        <v/>
      </c>
      <c r="S4466" s="78">
        <f>IF(AND(K4466&lt;&gt;"", R4466&lt;&gt;""), R4466-K4466, "")</f>
        <v/>
      </c>
      <c r="T4466" s="78" t="n"/>
      <c r="U4466" s="92">
        <f>IF(ISBLANK(P4466),"",IF(C4466="Buy",Q4466-M4466+T4466, IF(C4466="Sell",M4466-Q4466-T4466, X)))</f>
        <v/>
      </c>
      <c r="V4466" s="81">
        <f>IF(ISBLANK(P4466),"",U4466/N4466)</f>
        <v/>
      </c>
      <c r="W4466" s="81">
        <f>IF(ISBLANK(P4466),"",IF(S4466=0,(365/0.5)*V4466,(365/S4466)*V4466))</f>
        <v/>
      </c>
      <c r="X4466" s="75" t="n"/>
      <c r="Y4466" s="77" t="n"/>
      <c r="Z4466" s="77" t="n"/>
      <c r="AA4466" s="75" t="n"/>
      <c r="AB4466" s="75" t="n"/>
      <c r="AC4466" s="6" t="n"/>
      <c r="AD4466" s="75" t="n"/>
      <c r="AE4466" s="75" t="n"/>
      <c r="AF4466" s="75" t="n"/>
    </row>
    <row r="4467" ht="15.75" customHeight="1" s="133">
      <c r="A4467" s="75" t="n"/>
      <c r="B4467" s="75" t="n"/>
      <c r="C4467" s="75" t="n"/>
      <c r="D4467" s="75" t="n"/>
      <c r="E4467" s="76" t="n"/>
      <c r="F4467" s="77" t="n"/>
      <c r="G4467" s="75" t="n"/>
      <c r="H4467" s="75">
        <f>IF(ISBLANK(E4467),"",IF(OR(D4467="Butterfly",D4467="Butterfly ",D4467="Iron Fly", D4467="Iron Fly "),LEN(E4467)-LEN(SUBSTITUTE(E4467,"/",""))+2,LEN(E4467)-LEN(SUBSTITUTE(E4467,"/",""))+1))</f>
        <v/>
      </c>
      <c r="I4467" s="78">
        <f>IF(ISBLANK(G4467),"",IF(D4467="Stock","0",Key!$A$3*H4467*G4467))</f>
        <v/>
      </c>
      <c r="J4467" s="78">
        <f>IF(ISBLANK(E4467),"",IF(ISNUMBER(SEARCH("/",E4467)), IF(LEN(E4467)-LEN(SUBSTITUTE(E4467,"/",""))=1,(RIGHT(E4467,LEN(E4467)-FIND("/",E4467)))-(LEFT(E4467,FIND("/",E4467)-1)),(MID(E4467, SEARCH("/",E4467) + 1, SEARCH("/",E4467, SEARCH("/",E4467)+1) - SEARCH("/",E4467) - 1))-(LEFT(E4467,FIND("/",E4467)-1))), "NA"))</f>
        <v/>
      </c>
      <c r="K4467" s="79">
        <f>IF(A4467&lt;&gt;"", IF(ISBLANK(L4467), TODAY(), K4467), "")</f>
        <v/>
      </c>
      <c r="L4467" s="78" t="n"/>
      <c r="M4467" s="78">
        <f>IF(ISBLANK(L4467),"",IF(D4467="Stock",IF(C4467="Buy",L4467*G4467,IF(C4467="Sell",(L4467*G4467)-I4467, X)),IF(C4467="Buy",(L4467*G4467*100)+I4467,IF(C4467="Sell",(L4467*G4467*100)-I4467, X))))</f>
        <v/>
      </c>
      <c r="N4467" s="78">
        <f>IF(ISBLANK(L4467),"",IF(AND(C4467="Sell",D4467="Stock"),M4467,IF(ISBLANK(L4467),"",IF(C4467="Buy",M4467, IF(AND(C4467="Sell",J4467="NA"),(E4467*G4467*100*0.1)+I4467, IF(C4467="Sell",(J4467-L4467)*(100*G4467)+I4467))))))</f>
        <v/>
      </c>
      <c r="O4467" s="75" t="n"/>
      <c r="P4467" s="75" t="n"/>
      <c r="Q4467" s="75">
        <f>IF(ISBLANK(P4467),"",IF(D4467="Stock",P4467*G4467,IF(P4467=0,"0",G4467*P4467*100-(G4467*$AF$14))))</f>
        <v/>
      </c>
      <c r="R4467" s="79">
        <f>IF(P4467&lt;&gt;"", TODAY(), "")</f>
        <v/>
      </c>
      <c r="S4467" s="78">
        <f>IF(AND(K4467&lt;&gt;"", R4467&lt;&gt;""), R4467-K4467, "")</f>
        <v/>
      </c>
      <c r="T4467" s="78" t="n"/>
      <c r="U4467" s="92">
        <f>IF(ISBLANK(P4467),"",IF(C4467="Buy",Q4467-M4467+T4467, IF(C4467="Sell",M4467-Q4467-T4467, X)))</f>
        <v/>
      </c>
      <c r="V4467" s="81">
        <f>IF(ISBLANK(P4467),"",U4467/N4467)</f>
        <v/>
      </c>
      <c r="W4467" s="81">
        <f>IF(ISBLANK(P4467),"",IF(S4467=0,(365/0.5)*V4467,(365/S4467)*V4467))</f>
        <v/>
      </c>
      <c r="X4467" s="75" t="n"/>
      <c r="Y4467" s="77" t="n"/>
      <c r="Z4467" s="77" t="n"/>
      <c r="AA4467" s="75" t="n"/>
      <c r="AB4467" s="75" t="n"/>
      <c r="AC4467" s="6" t="n"/>
      <c r="AD4467" s="75" t="n"/>
      <c r="AE4467" s="75" t="n"/>
      <c r="AF4467" s="75" t="n"/>
    </row>
    <row r="4468" ht="15.75" customHeight="1" s="133">
      <c r="A4468" s="75" t="n"/>
      <c r="B4468" s="75" t="n"/>
      <c r="C4468" s="75" t="n"/>
      <c r="D4468" s="75" t="n"/>
      <c r="E4468" s="76" t="n"/>
      <c r="F4468" s="77" t="n"/>
      <c r="G4468" s="75" t="n"/>
      <c r="H4468" s="75">
        <f>IF(ISBLANK(E4468),"",IF(OR(D4468="Butterfly",D4468="Butterfly ",D4468="Iron Fly", D4468="Iron Fly "),LEN(E4468)-LEN(SUBSTITUTE(E4468,"/",""))+2,LEN(E4468)-LEN(SUBSTITUTE(E4468,"/",""))+1))</f>
        <v/>
      </c>
      <c r="I4468" s="78">
        <f>IF(ISBLANK(G4468),"",IF(D4468="Stock","0",Key!$A$3*H4468*G4468))</f>
        <v/>
      </c>
      <c r="J4468" s="78">
        <f>IF(ISBLANK(E4468),"",IF(ISNUMBER(SEARCH("/",E4468)), IF(LEN(E4468)-LEN(SUBSTITUTE(E4468,"/",""))=1,(RIGHT(E4468,LEN(E4468)-FIND("/",E4468)))-(LEFT(E4468,FIND("/",E4468)-1)),(MID(E4468, SEARCH("/",E4468) + 1, SEARCH("/",E4468, SEARCH("/",E4468)+1) - SEARCH("/",E4468) - 1))-(LEFT(E4468,FIND("/",E4468)-1))), "NA"))</f>
        <v/>
      </c>
      <c r="K4468" s="79">
        <f>IF(A4468&lt;&gt;"", IF(ISBLANK(L4468), TODAY(), K4468), "")</f>
        <v/>
      </c>
      <c r="L4468" s="78" t="n"/>
      <c r="M4468" s="78">
        <f>IF(ISBLANK(L4468),"",IF(D4468="Stock",IF(C4468="Buy",L4468*G4468,IF(C4468="Sell",(L4468*G4468)-I4468, X)),IF(C4468="Buy",(L4468*G4468*100)+I4468,IF(C4468="Sell",(L4468*G4468*100)-I4468, X))))</f>
        <v/>
      </c>
      <c r="N4468" s="78">
        <f>IF(ISBLANK(L4468),"",IF(AND(C4468="Sell",D4468="Stock"),M4468,IF(ISBLANK(L4468),"",IF(C4468="Buy",M4468, IF(AND(C4468="Sell",J4468="NA"),(E4468*G4468*100*0.1)+I4468, IF(C4468="Sell",(J4468-L4468)*(100*G4468)+I4468))))))</f>
        <v/>
      </c>
      <c r="O4468" s="75" t="n"/>
      <c r="P4468" s="75" t="n"/>
      <c r="Q4468" s="75">
        <f>IF(ISBLANK(P4468),"",IF(D4468="Stock",P4468*G4468,IF(P4468=0,"0",G4468*P4468*100-(G4468*$AF$14))))</f>
        <v/>
      </c>
      <c r="R4468" s="79">
        <f>IF(P4468&lt;&gt;"", TODAY(), "")</f>
        <v/>
      </c>
      <c r="S4468" s="78">
        <f>IF(AND(K4468&lt;&gt;"", R4468&lt;&gt;""), R4468-K4468, "")</f>
        <v/>
      </c>
      <c r="T4468" s="78" t="n"/>
      <c r="U4468" s="92">
        <f>IF(ISBLANK(P4468),"",IF(C4468="Buy",Q4468-M4468+T4468, IF(C4468="Sell",M4468-Q4468-T4468, X)))</f>
        <v/>
      </c>
      <c r="V4468" s="81">
        <f>IF(ISBLANK(P4468),"",U4468/N4468)</f>
        <v/>
      </c>
      <c r="W4468" s="81">
        <f>IF(ISBLANK(P4468),"",IF(S4468=0,(365/0.5)*V4468,(365/S4468)*V4468))</f>
        <v/>
      </c>
      <c r="X4468" s="75" t="n"/>
      <c r="Y4468" s="77" t="n"/>
      <c r="Z4468" s="77" t="n"/>
      <c r="AA4468" s="75" t="n"/>
      <c r="AB4468" s="75" t="n"/>
      <c r="AC4468" s="6" t="n"/>
      <c r="AD4468" s="75" t="n"/>
      <c r="AE4468" s="75" t="n"/>
      <c r="AF4468" s="75" t="n"/>
    </row>
    <row r="4469" ht="15.75" customHeight="1" s="133">
      <c r="A4469" s="75" t="n"/>
      <c r="B4469" s="75" t="n"/>
      <c r="C4469" s="75" t="n"/>
      <c r="D4469" s="75" t="n"/>
      <c r="E4469" s="76" t="n"/>
      <c r="F4469" s="77" t="n"/>
      <c r="G4469" s="75" t="n"/>
      <c r="H4469" s="75">
        <f>IF(ISBLANK(E4469),"",IF(OR(D4469="Butterfly",D4469="Butterfly ",D4469="Iron Fly", D4469="Iron Fly "),LEN(E4469)-LEN(SUBSTITUTE(E4469,"/",""))+2,LEN(E4469)-LEN(SUBSTITUTE(E4469,"/",""))+1))</f>
        <v/>
      </c>
      <c r="I4469" s="78">
        <f>IF(ISBLANK(G4469),"",IF(D4469="Stock","0",Key!$A$3*H4469*G4469))</f>
        <v/>
      </c>
      <c r="J4469" s="78">
        <f>IF(ISBLANK(E4469),"",IF(ISNUMBER(SEARCH("/",E4469)), IF(LEN(E4469)-LEN(SUBSTITUTE(E4469,"/",""))=1,(RIGHT(E4469,LEN(E4469)-FIND("/",E4469)))-(LEFT(E4469,FIND("/",E4469)-1)),(MID(E4469, SEARCH("/",E4469) + 1, SEARCH("/",E4469, SEARCH("/",E4469)+1) - SEARCH("/",E4469) - 1))-(LEFT(E4469,FIND("/",E4469)-1))), "NA"))</f>
        <v/>
      </c>
      <c r="K4469" s="79">
        <f>IF(A4469&lt;&gt;"", IF(ISBLANK(L4469), TODAY(), K4469), "")</f>
        <v/>
      </c>
      <c r="L4469" s="78" t="n"/>
      <c r="M4469" s="78">
        <f>IF(ISBLANK(L4469),"",IF(D4469="Stock",IF(C4469="Buy",L4469*G4469,IF(C4469="Sell",(L4469*G4469)-I4469, X)),IF(C4469="Buy",(L4469*G4469*100)+I4469,IF(C4469="Sell",(L4469*G4469*100)-I4469, X))))</f>
        <v/>
      </c>
      <c r="N4469" s="78">
        <f>IF(ISBLANK(L4469),"",IF(AND(C4469="Sell",D4469="Stock"),M4469,IF(ISBLANK(L4469),"",IF(C4469="Buy",M4469, IF(AND(C4469="Sell",J4469="NA"),(E4469*G4469*100*0.1)+I4469, IF(C4469="Sell",(J4469-L4469)*(100*G4469)+I4469))))))</f>
        <v/>
      </c>
      <c r="O4469" s="75" t="n"/>
      <c r="P4469" s="75" t="n"/>
      <c r="Q4469" s="75">
        <f>IF(ISBLANK(P4469),"",IF(D4469="Stock",P4469*G4469,IF(P4469=0,"0",G4469*P4469*100-(G4469*$AF$14))))</f>
        <v/>
      </c>
      <c r="R4469" s="79">
        <f>IF(P4469&lt;&gt;"", TODAY(), "")</f>
        <v/>
      </c>
      <c r="S4469" s="78">
        <f>IF(AND(K4469&lt;&gt;"", R4469&lt;&gt;""), R4469-K4469, "")</f>
        <v/>
      </c>
      <c r="T4469" s="78" t="n"/>
      <c r="U4469" s="92">
        <f>IF(ISBLANK(P4469),"",IF(C4469="Buy",Q4469-M4469+T4469, IF(C4469="Sell",M4469-Q4469-T4469, X)))</f>
        <v/>
      </c>
      <c r="V4469" s="81">
        <f>IF(ISBLANK(P4469),"",U4469/N4469)</f>
        <v/>
      </c>
      <c r="W4469" s="81">
        <f>IF(ISBLANK(P4469),"",IF(S4469=0,(365/0.5)*V4469,(365/S4469)*V4469))</f>
        <v/>
      </c>
      <c r="X4469" s="75" t="n"/>
      <c r="Y4469" s="77" t="n"/>
      <c r="Z4469" s="77" t="n"/>
      <c r="AA4469" s="75" t="n"/>
      <c r="AB4469" s="75" t="n"/>
      <c r="AC4469" s="6" t="n"/>
      <c r="AD4469" s="75" t="n"/>
      <c r="AE4469" s="75" t="n"/>
      <c r="AF4469" s="75" t="n"/>
    </row>
    <row r="4470" ht="15.75" customHeight="1" s="133">
      <c r="A4470" s="75" t="n"/>
      <c r="B4470" s="75" t="n"/>
      <c r="C4470" s="75" t="n"/>
      <c r="D4470" s="75" t="n"/>
      <c r="E4470" s="76" t="n"/>
      <c r="F4470" s="77" t="n"/>
      <c r="G4470" s="75" t="n"/>
      <c r="H4470" s="75">
        <f>IF(ISBLANK(E4470),"",IF(OR(D4470="Butterfly",D4470="Butterfly ",D4470="Iron Fly", D4470="Iron Fly "),LEN(E4470)-LEN(SUBSTITUTE(E4470,"/",""))+2,LEN(E4470)-LEN(SUBSTITUTE(E4470,"/",""))+1))</f>
        <v/>
      </c>
      <c r="I4470" s="78">
        <f>IF(ISBLANK(G4470),"",IF(D4470="Stock","0",Key!$A$3*H4470*G4470))</f>
        <v/>
      </c>
      <c r="J4470" s="78">
        <f>IF(ISBLANK(E4470),"",IF(ISNUMBER(SEARCH("/",E4470)), IF(LEN(E4470)-LEN(SUBSTITUTE(E4470,"/",""))=1,(RIGHT(E4470,LEN(E4470)-FIND("/",E4470)))-(LEFT(E4470,FIND("/",E4470)-1)),(MID(E4470, SEARCH("/",E4470) + 1, SEARCH("/",E4470, SEARCH("/",E4470)+1) - SEARCH("/",E4470) - 1))-(LEFT(E4470,FIND("/",E4470)-1))), "NA"))</f>
        <v/>
      </c>
      <c r="K4470" s="79">
        <f>IF(A4470&lt;&gt;"", IF(ISBLANK(L4470), TODAY(), K4470), "")</f>
        <v/>
      </c>
      <c r="L4470" s="78" t="n"/>
      <c r="M4470" s="78">
        <f>IF(ISBLANK(L4470),"",IF(D4470="Stock",IF(C4470="Buy",L4470*G4470,IF(C4470="Sell",(L4470*G4470)-I4470, X)),IF(C4470="Buy",(L4470*G4470*100)+I4470,IF(C4470="Sell",(L4470*G4470*100)-I4470, X))))</f>
        <v/>
      </c>
      <c r="N4470" s="78">
        <f>IF(ISBLANK(L4470),"",IF(AND(C4470="Sell",D4470="Stock"),M4470,IF(ISBLANK(L4470),"",IF(C4470="Buy",M4470, IF(AND(C4470="Sell",J4470="NA"),(E4470*G4470*100*0.1)+I4470, IF(C4470="Sell",(J4470-L4470)*(100*G4470)+I4470))))))</f>
        <v/>
      </c>
      <c r="O4470" s="75" t="n"/>
      <c r="P4470" s="75" t="n"/>
      <c r="Q4470" s="75">
        <f>IF(ISBLANK(P4470),"",IF(D4470="Stock",P4470*G4470,IF(P4470=0,"0",G4470*P4470*100-(G4470*$AF$14))))</f>
        <v/>
      </c>
      <c r="R4470" s="79">
        <f>IF(P4470&lt;&gt;"", TODAY(), "")</f>
        <v/>
      </c>
      <c r="S4470" s="78">
        <f>IF(AND(K4470&lt;&gt;"", R4470&lt;&gt;""), R4470-K4470, "")</f>
        <v/>
      </c>
      <c r="T4470" s="78" t="n"/>
      <c r="U4470" s="92">
        <f>IF(ISBLANK(P4470),"",IF(C4470="Buy",Q4470-M4470+T4470, IF(C4470="Sell",M4470-Q4470-T4470, X)))</f>
        <v/>
      </c>
      <c r="V4470" s="81">
        <f>IF(ISBLANK(P4470),"",U4470/N4470)</f>
        <v/>
      </c>
      <c r="W4470" s="81">
        <f>IF(ISBLANK(P4470),"",IF(S4470=0,(365/0.5)*V4470,(365/S4470)*V4470))</f>
        <v/>
      </c>
      <c r="X4470" s="75" t="n"/>
      <c r="Y4470" s="77" t="n"/>
      <c r="Z4470" s="77" t="n"/>
      <c r="AA4470" s="75" t="n"/>
      <c r="AB4470" s="75" t="n"/>
      <c r="AC4470" s="6" t="n"/>
      <c r="AD4470" s="75" t="n"/>
      <c r="AE4470" s="75" t="n"/>
      <c r="AF4470" s="75" t="n"/>
    </row>
    <row r="4471" ht="15.75" customHeight="1" s="133">
      <c r="A4471" s="75" t="n"/>
      <c r="B4471" s="75" t="n"/>
      <c r="C4471" s="75" t="n"/>
      <c r="D4471" s="75" t="n"/>
      <c r="E4471" s="76" t="n"/>
      <c r="F4471" s="77" t="n"/>
      <c r="G4471" s="75" t="n"/>
      <c r="H4471" s="75">
        <f>IF(ISBLANK(E4471),"",IF(OR(D4471="Butterfly",D4471="Butterfly ",D4471="Iron Fly", D4471="Iron Fly "),LEN(E4471)-LEN(SUBSTITUTE(E4471,"/",""))+2,LEN(E4471)-LEN(SUBSTITUTE(E4471,"/",""))+1))</f>
        <v/>
      </c>
      <c r="I4471" s="78">
        <f>IF(ISBLANK(G4471),"",IF(D4471="Stock","0",Key!$A$3*H4471*G4471))</f>
        <v/>
      </c>
      <c r="J4471" s="78">
        <f>IF(ISBLANK(E4471),"",IF(ISNUMBER(SEARCH("/",E4471)), IF(LEN(E4471)-LEN(SUBSTITUTE(E4471,"/",""))=1,(RIGHT(E4471,LEN(E4471)-FIND("/",E4471)))-(LEFT(E4471,FIND("/",E4471)-1)),(MID(E4471, SEARCH("/",E4471) + 1, SEARCH("/",E4471, SEARCH("/",E4471)+1) - SEARCH("/",E4471) - 1))-(LEFT(E4471,FIND("/",E4471)-1))), "NA"))</f>
        <v/>
      </c>
      <c r="K4471" s="79">
        <f>IF(A4471&lt;&gt;"", IF(ISBLANK(L4471), TODAY(), K4471), "")</f>
        <v/>
      </c>
      <c r="L4471" s="78" t="n"/>
      <c r="M4471" s="78">
        <f>IF(ISBLANK(L4471),"",IF(D4471="Stock",IF(C4471="Buy",L4471*G4471,IF(C4471="Sell",(L4471*G4471)-I4471, X)),IF(C4471="Buy",(L4471*G4471*100)+I4471,IF(C4471="Sell",(L4471*G4471*100)-I4471, X))))</f>
        <v/>
      </c>
      <c r="N4471" s="78">
        <f>IF(ISBLANK(L4471),"",IF(AND(C4471="Sell",D4471="Stock"),M4471,IF(ISBLANK(L4471),"",IF(C4471="Buy",M4471, IF(AND(C4471="Sell",J4471="NA"),(E4471*G4471*100*0.1)+I4471, IF(C4471="Sell",(J4471-L4471)*(100*G4471)+I4471))))))</f>
        <v/>
      </c>
      <c r="O4471" s="75" t="n"/>
      <c r="P4471" s="75" t="n"/>
      <c r="Q4471" s="75">
        <f>IF(ISBLANK(P4471),"",IF(D4471="Stock",P4471*G4471,IF(P4471=0,"0",G4471*P4471*100-(G4471*$AF$14))))</f>
        <v/>
      </c>
      <c r="R4471" s="79">
        <f>IF(P4471&lt;&gt;"", TODAY(), "")</f>
        <v/>
      </c>
      <c r="S4471" s="78">
        <f>IF(AND(K4471&lt;&gt;"", R4471&lt;&gt;""), R4471-K4471, "")</f>
        <v/>
      </c>
      <c r="T4471" s="78" t="n"/>
      <c r="U4471" s="92">
        <f>IF(ISBLANK(P4471),"",IF(C4471="Buy",Q4471-M4471+T4471, IF(C4471="Sell",M4471-Q4471-T4471, X)))</f>
        <v/>
      </c>
      <c r="V4471" s="81">
        <f>IF(ISBLANK(P4471),"",U4471/N4471)</f>
        <v/>
      </c>
      <c r="W4471" s="81">
        <f>IF(ISBLANK(P4471),"",IF(S4471=0,(365/0.5)*V4471,(365/S4471)*V4471))</f>
        <v/>
      </c>
      <c r="X4471" s="75" t="n"/>
      <c r="Y4471" s="77" t="n"/>
      <c r="Z4471" s="77" t="n"/>
      <c r="AA4471" s="75" t="n"/>
      <c r="AB4471" s="75" t="n"/>
      <c r="AC4471" s="6" t="n"/>
      <c r="AD4471" s="75" t="n"/>
      <c r="AE4471" s="75" t="n"/>
      <c r="AF4471" s="75" t="n"/>
    </row>
    <row r="4472" ht="15.75" customHeight="1" s="133">
      <c r="A4472" s="75" t="n"/>
      <c r="B4472" s="75" t="n"/>
      <c r="C4472" s="75" t="n"/>
      <c r="D4472" s="75" t="n"/>
      <c r="E4472" s="76" t="n"/>
      <c r="F4472" s="77" t="n"/>
      <c r="G4472" s="75" t="n"/>
      <c r="H4472" s="75">
        <f>IF(ISBLANK(E4472),"",IF(OR(D4472="Butterfly",D4472="Butterfly ",D4472="Iron Fly", D4472="Iron Fly "),LEN(E4472)-LEN(SUBSTITUTE(E4472,"/",""))+2,LEN(E4472)-LEN(SUBSTITUTE(E4472,"/",""))+1))</f>
        <v/>
      </c>
      <c r="I4472" s="78">
        <f>IF(ISBLANK(G4472),"",IF(D4472="Stock","0",Key!$A$3*H4472*G4472))</f>
        <v/>
      </c>
      <c r="J4472" s="78">
        <f>IF(ISBLANK(E4472),"",IF(ISNUMBER(SEARCH("/",E4472)), IF(LEN(E4472)-LEN(SUBSTITUTE(E4472,"/",""))=1,(RIGHT(E4472,LEN(E4472)-FIND("/",E4472)))-(LEFT(E4472,FIND("/",E4472)-1)),(MID(E4472, SEARCH("/",E4472) + 1, SEARCH("/",E4472, SEARCH("/",E4472)+1) - SEARCH("/",E4472) - 1))-(LEFT(E4472,FIND("/",E4472)-1))), "NA"))</f>
        <v/>
      </c>
      <c r="K4472" s="79">
        <f>IF(A4472&lt;&gt;"", IF(ISBLANK(L4472), TODAY(), K4472), "")</f>
        <v/>
      </c>
      <c r="L4472" s="78" t="n"/>
      <c r="M4472" s="78">
        <f>IF(ISBLANK(L4472),"",IF(D4472="Stock",IF(C4472="Buy",L4472*G4472,IF(C4472="Sell",(L4472*G4472)-I4472, X)),IF(C4472="Buy",(L4472*G4472*100)+I4472,IF(C4472="Sell",(L4472*G4472*100)-I4472, X))))</f>
        <v/>
      </c>
      <c r="N4472" s="78">
        <f>IF(ISBLANK(L4472),"",IF(AND(C4472="Sell",D4472="Stock"),M4472,IF(ISBLANK(L4472),"",IF(C4472="Buy",M4472, IF(AND(C4472="Sell",J4472="NA"),(E4472*G4472*100*0.1)+I4472, IF(C4472="Sell",(J4472-L4472)*(100*G4472)+I4472))))))</f>
        <v/>
      </c>
      <c r="O4472" s="75" t="n"/>
      <c r="P4472" s="75" t="n"/>
      <c r="Q4472" s="75">
        <f>IF(ISBLANK(P4472),"",IF(D4472="Stock",P4472*G4472,IF(P4472=0,"0",G4472*P4472*100-(G4472*$AF$14))))</f>
        <v/>
      </c>
      <c r="R4472" s="79">
        <f>IF(P4472&lt;&gt;"", TODAY(), "")</f>
        <v/>
      </c>
      <c r="S4472" s="78">
        <f>IF(AND(K4472&lt;&gt;"", R4472&lt;&gt;""), R4472-K4472, "")</f>
        <v/>
      </c>
      <c r="T4472" s="78" t="n"/>
      <c r="U4472" s="92">
        <f>IF(ISBLANK(P4472),"",IF(C4472="Buy",Q4472-M4472+T4472, IF(C4472="Sell",M4472-Q4472-T4472, X)))</f>
        <v/>
      </c>
      <c r="V4472" s="81">
        <f>IF(ISBLANK(P4472),"",U4472/N4472)</f>
        <v/>
      </c>
      <c r="W4472" s="81">
        <f>IF(ISBLANK(P4472),"",IF(S4472=0,(365/0.5)*V4472,(365/S4472)*V4472))</f>
        <v/>
      </c>
      <c r="X4472" s="75" t="n"/>
      <c r="Y4472" s="77" t="n"/>
      <c r="Z4472" s="77" t="n"/>
      <c r="AA4472" s="75" t="n"/>
      <c r="AB4472" s="75" t="n"/>
      <c r="AC4472" s="6" t="n"/>
      <c r="AD4472" s="75" t="n"/>
      <c r="AE4472" s="75" t="n"/>
      <c r="AF4472" s="75" t="n"/>
    </row>
    <row r="4473" ht="15.75" customHeight="1" s="133">
      <c r="A4473" s="75" t="n"/>
      <c r="B4473" s="75" t="n"/>
      <c r="C4473" s="75" t="n"/>
      <c r="D4473" s="75" t="n"/>
      <c r="E4473" s="76" t="n"/>
      <c r="F4473" s="77" t="n"/>
      <c r="G4473" s="75" t="n"/>
      <c r="H4473" s="75">
        <f>IF(ISBLANK(E4473),"",IF(OR(D4473="Butterfly",D4473="Butterfly ",D4473="Iron Fly", D4473="Iron Fly "),LEN(E4473)-LEN(SUBSTITUTE(E4473,"/",""))+2,LEN(E4473)-LEN(SUBSTITUTE(E4473,"/",""))+1))</f>
        <v/>
      </c>
      <c r="I4473" s="78">
        <f>IF(ISBLANK(G4473),"",IF(D4473="Stock","0",Key!$A$3*H4473*G4473))</f>
        <v/>
      </c>
      <c r="J4473" s="78">
        <f>IF(ISBLANK(E4473),"",IF(ISNUMBER(SEARCH("/",E4473)), IF(LEN(E4473)-LEN(SUBSTITUTE(E4473,"/",""))=1,(RIGHT(E4473,LEN(E4473)-FIND("/",E4473)))-(LEFT(E4473,FIND("/",E4473)-1)),(MID(E4473, SEARCH("/",E4473) + 1, SEARCH("/",E4473, SEARCH("/",E4473)+1) - SEARCH("/",E4473) - 1))-(LEFT(E4473,FIND("/",E4473)-1))), "NA"))</f>
        <v/>
      </c>
      <c r="K4473" s="79">
        <f>IF(A4473&lt;&gt;"", IF(ISBLANK(L4473), TODAY(), K4473), "")</f>
        <v/>
      </c>
      <c r="L4473" s="78" t="n"/>
      <c r="M4473" s="78">
        <f>IF(ISBLANK(L4473),"",IF(D4473="Stock",IF(C4473="Buy",L4473*G4473,IF(C4473="Sell",(L4473*G4473)-I4473, X)),IF(C4473="Buy",(L4473*G4473*100)+I4473,IF(C4473="Sell",(L4473*G4473*100)-I4473, X))))</f>
        <v/>
      </c>
      <c r="N4473" s="78">
        <f>IF(ISBLANK(L4473),"",IF(AND(C4473="Sell",D4473="Stock"),M4473,IF(ISBLANK(L4473),"",IF(C4473="Buy",M4473, IF(AND(C4473="Sell",J4473="NA"),(E4473*G4473*100*0.1)+I4473, IF(C4473="Sell",(J4473-L4473)*(100*G4473)+I4473))))))</f>
        <v/>
      </c>
      <c r="O4473" s="75" t="n"/>
      <c r="P4473" s="75" t="n"/>
      <c r="Q4473" s="75">
        <f>IF(ISBLANK(P4473),"",IF(D4473="Stock",P4473*G4473,IF(P4473=0,"0",G4473*P4473*100-(G4473*$AF$14))))</f>
        <v/>
      </c>
      <c r="R4473" s="79">
        <f>IF(P4473&lt;&gt;"", TODAY(), "")</f>
        <v/>
      </c>
      <c r="S4473" s="78">
        <f>IF(AND(K4473&lt;&gt;"", R4473&lt;&gt;""), R4473-K4473, "")</f>
        <v/>
      </c>
      <c r="T4473" s="78" t="n"/>
      <c r="U4473" s="92">
        <f>IF(ISBLANK(P4473),"",IF(C4473="Buy",Q4473-M4473+T4473, IF(C4473="Sell",M4473-Q4473-T4473, X)))</f>
        <v/>
      </c>
      <c r="V4473" s="81">
        <f>IF(ISBLANK(P4473),"",U4473/N4473)</f>
        <v/>
      </c>
      <c r="W4473" s="81">
        <f>IF(ISBLANK(P4473),"",IF(S4473=0,(365/0.5)*V4473,(365/S4473)*V4473))</f>
        <v/>
      </c>
      <c r="X4473" s="75" t="n"/>
      <c r="Y4473" s="77" t="n"/>
      <c r="Z4473" s="77" t="n"/>
      <c r="AA4473" s="75" t="n"/>
      <c r="AB4473" s="75" t="n"/>
      <c r="AC4473" s="6" t="n"/>
      <c r="AD4473" s="75" t="n"/>
      <c r="AE4473" s="75" t="n"/>
      <c r="AF4473" s="75" t="n"/>
    </row>
    <row r="4474" ht="15.75" customHeight="1" s="133">
      <c r="A4474" s="75" t="n"/>
      <c r="B4474" s="75" t="n"/>
      <c r="C4474" s="75" t="n"/>
      <c r="D4474" s="75" t="n"/>
      <c r="E4474" s="76" t="n"/>
      <c r="F4474" s="77" t="n"/>
      <c r="G4474" s="75" t="n"/>
      <c r="H4474" s="75">
        <f>IF(ISBLANK(E4474),"",IF(OR(D4474="Butterfly",D4474="Butterfly ",D4474="Iron Fly", D4474="Iron Fly "),LEN(E4474)-LEN(SUBSTITUTE(E4474,"/",""))+2,LEN(E4474)-LEN(SUBSTITUTE(E4474,"/",""))+1))</f>
        <v/>
      </c>
      <c r="I4474" s="78">
        <f>IF(ISBLANK(G4474),"",IF(D4474="Stock","0",Key!$A$3*H4474*G4474))</f>
        <v/>
      </c>
      <c r="J4474" s="78">
        <f>IF(ISBLANK(E4474),"",IF(ISNUMBER(SEARCH("/",E4474)), IF(LEN(E4474)-LEN(SUBSTITUTE(E4474,"/",""))=1,(RIGHT(E4474,LEN(E4474)-FIND("/",E4474)))-(LEFT(E4474,FIND("/",E4474)-1)),(MID(E4474, SEARCH("/",E4474) + 1, SEARCH("/",E4474, SEARCH("/",E4474)+1) - SEARCH("/",E4474) - 1))-(LEFT(E4474,FIND("/",E4474)-1))), "NA"))</f>
        <v/>
      </c>
      <c r="K4474" s="79">
        <f>IF(A4474&lt;&gt;"", IF(ISBLANK(L4474), TODAY(), K4474), "")</f>
        <v/>
      </c>
      <c r="L4474" s="78" t="n"/>
      <c r="M4474" s="78">
        <f>IF(ISBLANK(L4474),"",IF(D4474="Stock",IF(C4474="Buy",L4474*G4474,IF(C4474="Sell",(L4474*G4474)-I4474, X)),IF(C4474="Buy",(L4474*G4474*100)+I4474,IF(C4474="Sell",(L4474*G4474*100)-I4474, X))))</f>
        <v/>
      </c>
      <c r="N4474" s="78">
        <f>IF(ISBLANK(L4474),"",IF(AND(C4474="Sell",D4474="Stock"),M4474,IF(ISBLANK(L4474),"",IF(C4474="Buy",M4474, IF(AND(C4474="Sell",J4474="NA"),(E4474*G4474*100*0.1)+I4474, IF(C4474="Sell",(J4474-L4474)*(100*G4474)+I4474))))))</f>
        <v/>
      </c>
      <c r="O4474" s="75" t="n"/>
      <c r="P4474" s="75" t="n"/>
      <c r="Q4474" s="75">
        <f>IF(ISBLANK(P4474),"",IF(D4474="Stock",P4474*G4474,IF(P4474=0,"0",G4474*P4474*100-(G4474*$AF$14))))</f>
        <v/>
      </c>
      <c r="R4474" s="79">
        <f>IF(P4474&lt;&gt;"", TODAY(), "")</f>
        <v/>
      </c>
      <c r="S4474" s="78">
        <f>IF(AND(K4474&lt;&gt;"", R4474&lt;&gt;""), R4474-K4474, "")</f>
        <v/>
      </c>
      <c r="T4474" s="78" t="n"/>
      <c r="U4474" s="92">
        <f>IF(ISBLANK(P4474),"",IF(C4474="Buy",Q4474-M4474+T4474, IF(C4474="Sell",M4474-Q4474-T4474, X)))</f>
        <v/>
      </c>
      <c r="V4474" s="81">
        <f>IF(ISBLANK(P4474),"",U4474/N4474)</f>
        <v/>
      </c>
      <c r="W4474" s="81">
        <f>IF(ISBLANK(P4474),"",IF(S4474=0,(365/0.5)*V4474,(365/S4474)*V4474))</f>
        <v/>
      </c>
      <c r="X4474" s="75" t="n"/>
      <c r="Y4474" s="77" t="n"/>
      <c r="Z4474" s="77" t="n"/>
      <c r="AA4474" s="75" t="n"/>
      <c r="AB4474" s="75" t="n"/>
      <c r="AC4474" s="6" t="n"/>
      <c r="AD4474" s="75" t="n"/>
      <c r="AE4474" s="75" t="n"/>
      <c r="AF4474" s="75" t="n"/>
    </row>
    <row r="4475" ht="15.75" customHeight="1" s="133">
      <c r="A4475" s="75" t="n"/>
      <c r="B4475" s="75" t="n"/>
      <c r="C4475" s="75" t="n"/>
      <c r="D4475" s="75" t="n"/>
      <c r="E4475" s="76" t="n"/>
      <c r="F4475" s="77" t="n"/>
      <c r="G4475" s="75" t="n"/>
      <c r="H4475" s="75">
        <f>IF(ISBLANK(E4475),"",IF(OR(D4475="Butterfly",D4475="Butterfly ",D4475="Iron Fly", D4475="Iron Fly "),LEN(E4475)-LEN(SUBSTITUTE(E4475,"/",""))+2,LEN(E4475)-LEN(SUBSTITUTE(E4475,"/",""))+1))</f>
        <v/>
      </c>
      <c r="I4475" s="78">
        <f>IF(ISBLANK(G4475),"",IF(D4475="Stock","0",Key!$A$3*H4475*G4475))</f>
        <v/>
      </c>
      <c r="J4475" s="78">
        <f>IF(ISBLANK(E4475),"",IF(ISNUMBER(SEARCH("/",E4475)), IF(LEN(E4475)-LEN(SUBSTITUTE(E4475,"/",""))=1,(RIGHT(E4475,LEN(E4475)-FIND("/",E4475)))-(LEFT(E4475,FIND("/",E4475)-1)),(MID(E4475, SEARCH("/",E4475) + 1, SEARCH("/",E4475, SEARCH("/",E4475)+1) - SEARCH("/",E4475) - 1))-(LEFT(E4475,FIND("/",E4475)-1))), "NA"))</f>
        <v/>
      </c>
      <c r="K4475" s="79">
        <f>IF(A4475&lt;&gt;"", IF(ISBLANK(L4475), TODAY(), K4475), "")</f>
        <v/>
      </c>
      <c r="L4475" s="78" t="n"/>
      <c r="M4475" s="78">
        <f>IF(ISBLANK(L4475),"",IF(D4475="Stock",IF(C4475="Buy",L4475*G4475,IF(C4475="Sell",(L4475*G4475)-I4475, X)),IF(C4475="Buy",(L4475*G4475*100)+I4475,IF(C4475="Sell",(L4475*G4475*100)-I4475, X))))</f>
        <v/>
      </c>
      <c r="N4475" s="78">
        <f>IF(ISBLANK(L4475),"",IF(AND(C4475="Sell",D4475="Stock"),M4475,IF(ISBLANK(L4475),"",IF(C4475="Buy",M4475, IF(AND(C4475="Sell",J4475="NA"),(E4475*G4475*100*0.1)+I4475, IF(C4475="Sell",(J4475-L4475)*(100*G4475)+I4475))))))</f>
        <v/>
      </c>
      <c r="O4475" s="75" t="n"/>
      <c r="P4475" s="75" t="n"/>
      <c r="Q4475" s="75">
        <f>IF(ISBLANK(P4475),"",IF(D4475="Stock",P4475*G4475,IF(P4475=0,"0",G4475*P4475*100-(G4475*$AF$14))))</f>
        <v/>
      </c>
      <c r="R4475" s="79">
        <f>IF(P4475&lt;&gt;"", TODAY(), "")</f>
        <v/>
      </c>
      <c r="S4475" s="78">
        <f>IF(AND(K4475&lt;&gt;"", R4475&lt;&gt;""), R4475-K4475, "")</f>
        <v/>
      </c>
      <c r="T4475" s="78" t="n"/>
      <c r="U4475" s="92">
        <f>IF(ISBLANK(P4475),"",IF(C4475="Buy",Q4475-M4475+T4475, IF(C4475="Sell",M4475-Q4475-T4475, X)))</f>
        <v/>
      </c>
      <c r="V4475" s="81">
        <f>IF(ISBLANK(P4475),"",U4475/N4475)</f>
        <v/>
      </c>
      <c r="W4475" s="81">
        <f>IF(ISBLANK(P4475),"",IF(S4475=0,(365/0.5)*V4475,(365/S4475)*V4475))</f>
        <v/>
      </c>
      <c r="X4475" s="75" t="n"/>
      <c r="Y4475" s="77" t="n"/>
      <c r="Z4475" s="77" t="n"/>
      <c r="AA4475" s="75" t="n"/>
      <c r="AB4475" s="75" t="n"/>
      <c r="AC4475" s="6" t="n"/>
      <c r="AD4475" s="75" t="n"/>
      <c r="AE4475" s="75" t="n"/>
      <c r="AF4475" s="75" t="n"/>
    </row>
    <row r="4476" ht="15.75" customHeight="1" s="133">
      <c r="A4476" s="75" t="n"/>
      <c r="B4476" s="75" t="n"/>
      <c r="C4476" s="75" t="n"/>
      <c r="D4476" s="75" t="n"/>
      <c r="E4476" s="76" t="n"/>
      <c r="F4476" s="77" t="n"/>
      <c r="G4476" s="75" t="n"/>
      <c r="H4476" s="75">
        <f>IF(ISBLANK(E4476),"",IF(OR(D4476="Butterfly",D4476="Butterfly ",D4476="Iron Fly", D4476="Iron Fly "),LEN(E4476)-LEN(SUBSTITUTE(E4476,"/",""))+2,LEN(E4476)-LEN(SUBSTITUTE(E4476,"/",""))+1))</f>
        <v/>
      </c>
      <c r="I4476" s="78">
        <f>IF(ISBLANK(G4476),"",IF(D4476="Stock","0",Key!$A$3*H4476*G4476))</f>
        <v/>
      </c>
      <c r="J4476" s="78">
        <f>IF(ISBLANK(E4476),"",IF(ISNUMBER(SEARCH("/",E4476)), IF(LEN(E4476)-LEN(SUBSTITUTE(E4476,"/",""))=1,(RIGHT(E4476,LEN(E4476)-FIND("/",E4476)))-(LEFT(E4476,FIND("/",E4476)-1)),(MID(E4476, SEARCH("/",E4476) + 1, SEARCH("/",E4476, SEARCH("/",E4476)+1) - SEARCH("/",E4476) - 1))-(LEFT(E4476,FIND("/",E4476)-1))), "NA"))</f>
        <v/>
      </c>
      <c r="K4476" s="79">
        <f>IF(A4476&lt;&gt;"", IF(ISBLANK(L4476), TODAY(), K4476), "")</f>
        <v/>
      </c>
      <c r="L4476" s="78" t="n"/>
      <c r="M4476" s="78">
        <f>IF(ISBLANK(L4476),"",IF(D4476="Stock",IF(C4476="Buy",L4476*G4476,IF(C4476="Sell",(L4476*G4476)-I4476, X)),IF(C4476="Buy",(L4476*G4476*100)+I4476,IF(C4476="Sell",(L4476*G4476*100)-I4476, X))))</f>
        <v/>
      </c>
      <c r="N4476" s="78">
        <f>IF(ISBLANK(L4476),"",IF(AND(C4476="Sell",D4476="Stock"),M4476,IF(ISBLANK(L4476),"",IF(C4476="Buy",M4476, IF(AND(C4476="Sell",J4476="NA"),(E4476*G4476*100*0.1)+I4476, IF(C4476="Sell",(J4476-L4476)*(100*G4476)+I4476))))))</f>
        <v/>
      </c>
      <c r="O4476" s="75" t="n"/>
      <c r="P4476" s="75" t="n"/>
      <c r="Q4476" s="75">
        <f>IF(ISBLANK(P4476),"",IF(D4476="Stock",P4476*G4476,IF(P4476=0,"0",G4476*P4476*100-(G4476*$AF$14))))</f>
        <v/>
      </c>
      <c r="R4476" s="79">
        <f>IF(P4476&lt;&gt;"", TODAY(), "")</f>
        <v/>
      </c>
      <c r="S4476" s="78">
        <f>IF(AND(K4476&lt;&gt;"", R4476&lt;&gt;""), R4476-K4476, "")</f>
        <v/>
      </c>
      <c r="T4476" s="78" t="n"/>
      <c r="U4476" s="92">
        <f>IF(ISBLANK(P4476),"",IF(C4476="Buy",Q4476-M4476+T4476, IF(C4476="Sell",M4476-Q4476-T4476, X)))</f>
        <v/>
      </c>
      <c r="V4476" s="81">
        <f>IF(ISBLANK(P4476),"",U4476/N4476)</f>
        <v/>
      </c>
      <c r="W4476" s="81">
        <f>IF(ISBLANK(P4476),"",IF(S4476=0,(365/0.5)*V4476,(365/S4476)*V4476))</f>
        <v/>
      </c>
      <c r="X4476" s="75" t="n"/>
      <c r="Y4476" s="77" t="n"/>
      <c r="Z4476" s="77" t="n"/>
      <c r="AA4476" s="75" t="n"/>
      <c r="AB4476" s="75" t="n"/>
      <c r="AC4476" s="6" t="n"/>
      <c r="AD4476" s="75" t="n"/>
      <c r="AE4476" s="75" t="n"/>
      <c r="AF4476" s="75" t="n"/>
    </row>
    <row r="4477" ht="15.75" customHeight="1" s="133">
      <c r="A4477" s="75" t="n"/>
      <c r="B4477" s="75" t="n"/>
      <c r="C4477" s="75" t="n"/>
      <c r="D4477" s="75" t="n"/>
      <c r="E4477" s="76" t="n"/>
      <c r="F4477" s="77" t="n"/>
      <c r="G4477" s="75" t="n"/>
      <c r="H4477" s="75">
        <f>IF(ISBLANK(E4477),"",IF(OR(D4477="Butterfly",D4477="Butterfly ",D4477="Iron Fly", D4477="Iron Fly "),LEN(E4477)-LEN(SUBSTITUTE(E4477,"/",""))+2,LEN(E4477)-LEN(SUBSTITUTE(E4477,"/",""))+1))</f>
        <v/>
      </c>
      <c r="I4477" s="78">
        <f>IF(ISBLANK(G4477),"",IF(D4477="Stock","0",Key!$A$3*H4477*G4477))</f>
        <v/>
      </c>
      <c r="J4477" s="78">
        <f>IF(ISBLANK(E4477),"",IF(ISNUMBER(SEARCH("/",E4477)), IF(LEN(E4477)-LEN(SUBSTITUTE(E4477,"/",""))=1,(RIGHT(E4477,LEN(E4477)-FIND("/",E4477)))-(LEFT(E4477,FIND("/",E4477)-1)),(MID(E4477, SEARCH("/",E4477) + 1, SEARCH("/",E4477, SEARCH("/",E4477)+1) - SEARCH("/",E4477) - 1))-(LEFT(E4477,FIND("/",E4477)-1))), "NA"))</f>
        <v/>
      </c>
      <c r="K4477" s="79">
        <f>IF(A4477&lt;&gt;"", IF(ISBLANK(L4477), TODAY(), K4477), "")</f>
        <v/>
      </c>
      <c r="L4477" s="78" t="n"/>
      <c r="M4477" s="78">
        <f>IF(ISBLANK(L4477),"",IF(D4477="Stock",IF(C4477="Buy",L4477*G4477,IF(C4477="Sell",(L4477*G4477)-I4477, X)),IF(C4477="Buy",(L4477*G4477*100)+I4477,IF(C4477="Sell",(L4477*G4477*100)-I4477, X))))</f>
        <v/>
      </c>
      <c r="N4477" s="78">
        <f>IF(ISBLANK(L4477),"",IF(AND(C4477="Sell",D4477="Stock"),M4477,IF(ISBLANK(L4477),"",IF(C4477="Buy",M4477, IF(AND(C4477="Sell",J4477="NA"),(E4477*G4477*100*0.1)+I4477, IF(C4477="Sell",(J4477-L4477)*(100*G4477)+I4477))))))</f>
        <v/>
      </c>
      <c r="O4477" s="75" t="n"/>
      <c r="P4477" s="75" t="n"/>
      <c r="Q4477" s="75">
        <f>IF(ISBLANK(P4477),"",IF(D4477="Stock",P4477*G4477,IF(P4477=0,"0",G4477*P4477*100-(G4477*$AF$14))))</f>
        <v/>
      </c>
      <c r="R4477" s="79">
        <f>IF(P4477&lt;&gt;"", TODAY(), "")</f>
        <v/>
      </c>
      <c r="S4477" s="78">
        <f>IF(AND(K4477&lt;&gt;"", R4477&lt;&gt;""), R4477-K4477, "")</f>
        <v/>
      </c>
      <c r="T4477" s="78" t="n"/>
      <c r="U4477" s="92">
        <f>IF(ISBLANK(P4477),"",IF(C4477="Buy",Q4477-M4477+T4477, IF(C4477="Sell",M4477-Q4477-T4477, X)))</f>
        <v/>
      </c>
      <c r="V4477" s="81">
        <f>IF(ISBLANK(P4477),"",U4477/N4477)</f>
        <v/>
      </c>
      <c r="W4477" s="81">
        <f>IF(ISBLANK(P4477),"",IF(S4477=0,(365/0.5)*V4477,(365/S4477)*V4477))</f>
        <v/>
      </c>
      <c r="X4477" s="75" t="n"/>
      <c r="Y4477" s="77" t="n"/>
      <c r="Z4477" s="77" t="n"/>
      <c r="AA4477" s="75" t="n"/>
      <c r="AB4477" s="75" t="n"/>
      <c r="AC4477" s="6" t="n"/>
      <c r="AD4477" s="75" t="n"/>
      <c r="AE4477" s="75" t="n"/>
      <c r="AF4477" s="75" t="n"/>
    </row>
    <row r="4478" ht="15.75" customHeight="1" s="133">
      <c r="A4478" s="75" t="n"/>
      <c r="B4478" s="75" t="n"/>
      <c r="C4478" s="75" t="n"/>
      <c r="D4478" s="75" t="n"/>
      <c r="E4478" s="76" t="n"/>
      <c r="F4478" s="77" t="n"/>
      <c r="G4478" s="75" t="n"/>
      <c r="H4478" s="75">
        <f>IF(ISBLANK(E4478),"",IF(OR(D4478="Butterfly",D4478="Butterfly ",D4478="Iron Fly", D4478="Iron Fly "),LEN(E4478)-LEN(SUBSTITUTE(E4478,"/",""))+2,LEN(E4478)-LEN(SUBSTITUTE(E4478,"/",""))+1))</f>
        <v/>
      </c>
      <c r="I4478" s="78">
        <f>IF(ISBLANK(G4478),"",IF(D4478="Stock","0",Key!$A$3*H4478*G4478))</f>
        <v/>
      </c>
      <c r="J4478" s="78">
        <f>IF(ISBLANK(E4478),"",IF(ISNUMBER(SEARCH("/",E4478)), IF(LEN(E4478)-LEN(SUBSTITUTE(E4478,"/",""))=1,(RIGHT(E4478,LEN(E4478)-FIND("/",E4478)))-(LEFT(E4478,FIND("/",E4478)-1)),(MID(E4478, SEARCH("/",E4478) + 1, SEARCH("/",E4478, SEARCH("/",E4478)+1) - SEARCH("/",E4478) - 1))-(LEFT(E4478,FIND("/",E4478)-1))), "NA"))</f>
        <v/>
      </c>
      <c r="K4478" s="79">
        <f>IF(A4478&lt;&gt;"", IF(ISBLANK(L4478), TODAY(), K4478), "")</f>
        <v/>
      </c>
      <c r="L4478" s="78" t="n"/>
      <c r="M4478" s="78">
        <f>IF(ISBLANK(L4478),"",IF(D4478="Stock",IF(C4478="Buy",L4478*G4478,IF(C4478="Sell",(L4478*G4478)-I4478, X)),IF(C4478="Buy",(L4478*G4478*100)+I4478,IF(C4478="Sell",(L4478*G4478*100)-I4478, X))))</f>
        <v/>
      </c>
      <c r="N4478" s="78">
        <f>IF(ISBLANK(L4478),"",IF(AND(C4478="Sell",D4478="Stock"),M4478,IF(ISBLANK(L4478),"",IF(C4478="Buy",M4478, IF(AND(C4478="Sell",J4478="NA"),(E4478*G4478*100*0.1)+I4478, IF(C4478="Sell",(J4478-L4478)*(100*G4478)+I4478))))))</f>
        <v/>
      </c>
      <c r="O4478" s="75" t="n"/>
      <c r="P4478" s="75" t="n"/>
      <c r="Q4478" s="75">
        <f>IF(ISBLANK(P4478),"",IF(D4478="Stock",P4478*G4478,IF(P4478=0,"0",G4478*P4478*100-(G4478*$AF$14))))</f>
        <v/>
      </c>
      <c r="R4478" s="79">
        <f>IF(P4478&lt;&gt;"", TODAY(), "")</f>
        <v/>
      </c>
      <c r="S4478" s="78">
        <f>IF(AND(K4478&lt;&gt;"", R4478&lt;&gt;""), R4478-K4478, "")</f>
        <v/>
      </c>
      <c r="T4478" s="78" t="n"/>
      <c r="U4478" s="92">
        <f>IF(ISBLANK(P4478),"",IF(C4478="Buy",Q4478-M4478+T4478, IF(C4478="Sell",M4478-Q4478-T4478, X)))</f>
        <v/>
      </c>
      <c r="V4478" s="81">
        <f>IF(ISBLANK(P4478),"",U4478/N4478)</f>
        <v/>
      </c>
      <c r="W4478" s="81">
        <f>IF(ISBLANK(P4478),"",IF(S4478=0,(365/0.5)*V4478,(365/S4478)*V4478))</f>
        <v/>
      </c>
      <c r="X4478" s="75" t="n"/>
      <c r="Y4478" s="77" t="n"/>
      <c r="Z4478" s="77" t="n"/>
      <c r="AA4478" s="75" t="n"/>
      <c r="AB4478" s="75" t="n"/>
      <c r="AC4478" s="6" t="n"/>
      <c r="AD4478" s="75" t="n"/>
      <c r="AE4478" s="75" t="n"/>
      <c r="AF4478" s="75" t="n"/>
    </row>
    <row r="4479" ht="15.75" customHeight="1" s="133">
      <c r="A4479" s="75" t="n"/>
      <c r="B4479" s="75" t="n"/>
      <c r="C4479" s="75" t="n"/>
      <c r="D4479" s="75" t="n"/>
      <c r="E4479" s="76" t="n"/>
      <c r="F4479" s="77" t="n"/>
      <c r="G4479" s="75" t="n"/>
      <c r="H4479" s="75">
        <f>IF(ISBLANK(E4479),"",IF(OR(D4479="Butterfly",D4479="Butterfly ",D4479="Iron Fly", D4479="Iron Fly "),LEN(E4479)-LEN(SUBSTITUTE(E4479,"/",""))+2,LEN(E4479)-LEN(SUBSTITUTE(E4479,"/",""))+1))</f>
        <v/>
      </c>
      <c r="I4479" s="78">
        <f>IF(ISBLANK(G4479),"",IF(D4479="Stock","0",Key!$A$3*H4479*G4479))</f>
        <v/>
      </c>
      <c r="J4479" s="78">
        <f>IF(ISBLANK(E4479),"",IF(ISNUMBER(SEARCH("/",E4479)), IF(LEN(E4479)-LEN(SUBSTITUTE(E4479,"/",""))=1,(RIGHT(E4479,LEN(E4479)-FIND("/",E4479)))-(LEFT(E4479,FIND("/",E4479)-1)),(MID(E4479, SEARCH("/",E4479) + 1, SEARCH("/",E4479, SEARCH("/",E4479)+1) - SEARCH("/",E4479) - 1))-(LEFT(E4479,FIND("/",E4479)-1))), "NA"))</f>
        <v/>
      </c>
      <c r="K4479" s="79">
        <f>IF(A4479&lt;&gt;"", IF(ISBLANK(L4479), TODAY(), K4479), "")</f>
        <v/>
      </c>
      <c r="L4479" s="78" t="n"/>
      <c r="M4479" s="78">
        <f>IF(ISBLANK(L4479),"",IF(D4479="Stock",IF(C4479="Buy",L4479*G4479,IF(C4479="Sell",(L4479*G4479)-I4479, X)),IF(C4479="Buy",(L4479*G4479*100)+I4479,IF(C4479="Sell",(L4479*G4479*100)-I4479, X))))</f>
        <v/>
      </c>
      <c r="N4479" s="78">
        <f>IF(ISBLANK(L4479),"",IF(AND(C4479="Sell",D4479="Stock"),M4479,IF(ISBLANK(L4479),"",IF(C4479="Buy",M4479, IF(AND(C4479="Sell",J4479="NA"),(E4479*G4479*100*0.1)+I4479, IF(C4479="Sell",(J4479-L4479)*(100*G4479)+I4479))))))</f>
        <v/>
      </c>
      <c r="O4479" s="75" t="n"/>
      <c r="P4479" s="75" t="n"/>
      <c r="Q4479" s="75">
        <f>IF(ISBLANK(P4479),"",IF(D4479="Stock",P4479*G4479,IF(P4479=0,"0",G4479*P4479*100-(G4479*$AF$14))))</f>
        <v/>
      </c>
      <c r="R4479" s="79">
        <f>IF(P4479&lt;&gt;"", TODAY(), "")</f>
        <v/>
      </c>
      <c r="S4479" s="78">
        <f>IF(AND(K4479&lt;&gt;"", R4479&lt;&gt;""), R4479-K4479, "")</f>
        <v/>
      </c>
      <c r="T4479" s="78" t="n"/>
      <c r="U4479" s="92">
        <f>IF(ISBLANK(P4479),"",IF(C4479="Buy",Q4479-M4479+T4479, IF(C4479="Sell",M4479-Q4479-T4479, X)))</f>
        <v/>
      </c>
      <c r="V4479" s="81">
        <f>IF(ISBLANK(P4479),"",U4479/N4479)</f>
        <v/>
      </c>
      <c r="W4479" s="81">
        <f>IF(ISBLANK(P4479),"",IF(S4479=0,(365/0.5)*V4479,(365/S4479)*V4479))</f>
        <v/>
      </c>
      <c r="X4479" s="75" t="n"/>
      <c r="Y4479" s="77" t="n"/>
      <c r="Z4479" s="77" t="n"/>
      <c r="AA4479" s="75" t="n"/>
      <c r="AB4479" s="75" t="n"/>
      <c r="AC4479" s="6" t="n"/>
      <c r="AD4479" s="75" t="n"/>
      <c r="AE4479" s="75" t="n"/>
      <c r="AF4479" s="75" t="n"/>
    </row>
    <row r="4480" ht="15.75" customHeight="1" s="133">
      <c r="A4480" s="75" t="n"/>
      <c r="B4480" s="75" t="n"/>
      <c r="C4480" s="75" t="n"/>
      <c r="D4480" s="75" t="n"/>
      <c r="E4480" s="76" t="n"/>
      <c r="F4480" s="77" t="n"/>
      <c r="G4480" s="75" t="n"/>
      <c r="H4480" s="75">
        <f>IF(ISBLANK(E4480),"",IF(OR(D4480="Butterfly",D4480="Butterfly ",D4480="Iron Fly", D4480="Iron Fly "),LEN(E4480)-LEN(SUBSTITUTE(E4480,"/",""))+2,LEN(E4480)-LEN(SUBSTITUTE(E4480,"/",""))+1))</f>
        <v/>
      </c>
      <c r="I4480" s="78">
        <f>IF(ISBLANK(G4480),"",IF(D4480="Stock","0",Key!$A$3*H4480*G4480))</f>
        <v/>
      </c>
      <c r="J4480" s="78">
        <f>IF(ISBLANK(E4480),"",IF(ISNUMBER(SEARCH("/",E4480)), IF(LEN(E4480)-LEN(SUBSTITUTE(E4480,"/",""))=1,(RIGHT(E4480,LEN(E4480)-FIND("/",E4480)))-(LEFT(E4480,FIND("/",E4480)-1)),(MID(E4480, SEARCH("/",E4480) + 1, SEARCH("/",E4480, SEARCH("/",E4480)+1) - SEARCH("/",E4480) - 1))-(LEFT(E4480,FIND("/",E4480)-1))), "NA"))</f>
        <v/>
      </c>
      <c r="K4480" s="79">
        <f>IF(A4480&lt;&gt;"", IF(ISBLANK(L4480), TODAY(), K4480), "")</f>
        <v/>
      </c>
      <c r="L4480" s="78" t="n"/>
      <c r="M4480" s="78">
        <f>IF(ISBLANK(L4480),"",IF(D4480="Stock",IF(C4480="Buy",L4480*G4480,IF(C4480="Sell",(L4480*G4480)-I4480, X)),IF(C4480="Buy",(L4480*G4480*100)+I4480,IF(C4480="Sell",(L4480*G4480*100)-I4480, X))))</f>
        <v/>
      </c>
      <c r="N4480" s="78">
        <f>IF(ISBLANK(L4480),"",IF(AND(C4480="Sell",D4480="Stock"),M4480,IF(ISBLANK(L4480),"",IF(C4480="Buy",M4480, IF(AND(C4480="Sell",J4480="NA"),(E4480*G4480*100*0.1)+I4480, IF(C4480="Sell",(J4480-L4480)*(100*G4480)+I4480))))))</f>
        <v/>
      </c>
      <c r="O4480" s="75" t="n"/>
      <c r="P4480" s="75" t="n"/>
      <c r="Q4480" s="75">
        <f>IF(ISBLANK(P4480),"",IF(D4480="Stock",P4480*G4480,IF(P4480=0,"0",G4480*P4480*100-(G4480*$AF$14))))</f>
        <v/>
      </c>
      <c r="R4480" s="79">
        <f>IF(P4480&lt;&gt;"", TODAY(), "")</f>
        <v/>
      </c>
      <c r="S4480" s="78">
        <f>IF(AND(K4480&lt;&gt;"", R4480&lt;&gt;""), R4480-K4480, "")</f>
        <v/>
      </c>
      <c r="T4480" s="78" t="n"/>
      <c r="U4480" s="92">
        <f>IF(ISBLANK(P4480),"",IF(C4480="Buy",Q4480-M4480+T4480, IF(C4480="Sell",M4480-Q4480-T4480, X)))</f>
        <v/>
      </c>
      <c r="V4480" s="81">
        <f>IF(ISBLANK(P4480),"",U4480/N4480)</f>
        <v/>
      </c>
      <c r="W4480" s="81">
        <f>IF(ISBLANK(P4480),"",IF(S4480=0,(365/0.5)*V4480,(365/S4480)*V4480))</f>
        <v/>
      </c>
      <c r="X4480" s="75" t="n"/>
      <c r="Y4480" s="77" t="n"/>
      <c r="Z4480" s="77" t="n"/>
      <c r="AA4480" s="75" t="n"/>
      <c r="AB4480" s="75" t="n"/>
      <c r="AC4480" s="6" t="n"/>
      <c r="AD4480" s="75" t="n"/>
      <c r="AE4480" s="75" t="n"/>
      <c r="AF4480" s="75" t="n"/>
    </row>
    <row r="4481" ht="15.75" customHeight="1" s="133">
      <c r="A4481" s="75" t="n"/>
      <c r="B4481" s="75" t="n"/>
      <c r="C4481" s="75" t="n"/>
      <c r="D4481" s="75" t="n"/>
      <c r="E4481" s="76" t="n"/>
      <c r="F4481" s="77" t="n"/>
      <c r="G4481" s="75" t="n"/>
      <c r="H4481" s="75">
        <f>IF(ISBLANK(E4481),"",IF(OR(D4481="Butterfly",D4481="Butterfly ",D4481="Iron Fly", D4481="Iron Fly "),LEN(E4481)-LEN(SUBSTITUTE(E4481,"/",""))+2,LEN(E4481)-LEN(SUBSTITUTE(E4481,"/",""))+1))</f>
        <v/>
      </c>
      <c r="I4481" s="78">
        <f>IF(ISBLANK(G4481),"",IF(D4481="Stock","0",Key!$A$3*H4481*G4481))</f>
        <v/>
      </c>
      <c r="J4481" s="78">
        <f>IF(ISBLANK(E4481),"",IF(ISNUMBER(SEARCH("/",E4481)), IF(LEN(E4481)-LEN(SUBSTITUTE(E4481,"/",""))=1,(RIGHT(E4481,LEN(E4481)-FIND("/",E4481)))-(LEFT(E4481,FIND("/",E4481)-1)),(MID(E4481, SEARCH("/",E4481) + 1, SEARCH("/",E4481, SEARCH("/",E4481)+1) - SEARCH("/",E4481) - 1))-(LEFT(E4481,FIND("/",E4481)-1))), "NA"))</f>
        <v/>
      </c>
      <c r="K4481" s="79">
        <f>IF(A4481&lt;&gt;"", IF(ISBLANK(L4481), TODAY(), K4481), "")</f>
        <v/>
      </c>
      <c r="L4481" s="78" t="n"/>
      <c r="M4481" s="78">
        <f>IF(ISBLANK(L4481),"",IF(D4481="Stock",IF(C4481="Buy",L4481*G4481,IF(C4481="Sell",(L4481*G4481)-I4481, X)),IF(C4481="Buy",(L4481*G4481*100)+I4481,IF(C4481="Sell",(L4481*G4481*100)-I4481, X))))</f>
        <v/>
      </c>
      <c r="N4481" s="78">
        <f>IF(ISBLANK(L4481),"",IF(AND(C4481="Sell",D4481="Stock"),M4481,IF(ISBLANK(L4481),"",IF(C4481="Buy",M4481, IF(AND(C4481="Sell",J4481="NA"),(E4481*G4481*100*0.1)+I4481, IF(C4481="Sell",(J4481-L4481)*(100*G4481)+I4481))))))</f>
        <v/>
      </c>
      <c r="O4481" s="75" t="n"/>
      <c r="P4481" s="75" t="n"/>
      <c r="Q4481" s="75">
        <f>IF(ISBLANK(P4481),"",IF(D4481="Stock",P4481*G4481,IF(P4481=0,"0",G4481*P4481*100-(G4481*$AF$14))))</f>
        <v/>
      </c>
      <c r="R4481" s="79">
        <f>IF(P4481&lt;&gt;"", TODAY(), "")</f>
        <v/>
      </c>
      <c r="S4481" s="78">
        <f>IF(AND(K4481&lt;&gt;"", R4481&lt;&gt;""), R4481-K4481, "")</f>
        <v/>
      </c>
      <c r="T4481" s="78" t="n"/>
      <c r="U4481" s="92">
        <f>IF(ISBLANK(P4481),"",IF(C4481="Buy",Q4481-M4481+T4481, IF(C4481="Sell",M4481-Q4481-T4481, X)))</f>
        <v/>
      </c>
      <c r="V4481" s="81">
        <f>IF(ISBLANK(P4481),"",U4481/N4481)</f>
        <v/>
      </c>
      <c r="W4481" s="81">
        <f>IF(ISBLANK(P4481),"",IF(S4481=0,(365/0.5)*V4481,(365/S4481)*V4481))</f>
        <v/>
      </c>
      <c r="X4481" s="75" t="n"/>
      <c r="Y4481" s="77" t="n"/>
      <c r="Z4481" s="77" t="n"/>
      <c r="AA4481" s="75" t="n"/>
      <c r="AB4481" s="75" t="n"/>
      <c r="AC4481" s="6" t="n"/>
      <c r="AD4481" s="75" t="n"/>
      <c r="AE4481" s="75" t="n"/>
      <c r="AF4481" s="75" t="n"/>
    </row>
    <row r="4482" ht="15.75" customHeight="1" s="133">
      <c r="A4482" s="75" t="n"/>
      <c r="B4482" s="75" t="n"/>
      <c r="C4482" s="75" t="n"/>
      <c r="D4482" s="75" t="n"/>
      <c r="E4482" s="76" t="n"/>
      <c r="F4482" s="77" t="n"/>
      <c r="G4482" s="75" t="n"/>
      <c r="H4482" s="75">
        <f>IF(ISBLANK(E4482),"",IF(OR(D4482="Butterfly",D4482="Butterfly ",D4482="Iron Fly", D4482="Iron Fly "),LEN(E4482)-LEN(SUBSTITUTE(E4482,"/",""))+2,LEN(E4482)-LEN(SUBSTITUTE(E4482,"/",""))+1))</f>
        <v/>
      </c>
      <c r="I4482" s="78">
        <f>IF(ISBLANK(G4482),"",IF(D4482="Stock","0",Key!$A$3*H4482*G4482))</f>
        <v/>
      </c>
      <c r="J4482" s="78">
        <f>IF(ISBLANK(E4482),"",IF(ISNUMBER(SEARCH("/",E4482)), IF(LEN(E4482)-LEN(SUBSTITUTE(E4482,"/",""))=1,(RIGHT(E4482,LEN(E4482)-FIND("/",E4482)))-(LEFT(E4482,FIND("/",E4482)-1)),(MID(E4482, SEARCH("/",E4482) + 1, SEARCH("/",E4482, SEARCH("/",E4482)+1) - SEARCH("/",E4482) - 1))-(LEFT(E4482,FIND("/",E4482)-1))), "NA"))</f>
        <v/>
      </c>
      <c r="K4482" s="79">
        <f>IF(A4482&lt;&gt;"", IF(ISBLANK(L4482), TODAY(), K4482), "")</f>
        <v/>
      </c>
      <c r="L4482" s="78" t="n"/>
      <c r="M4482" s="78">
        <f>IF(ISBLANK(L4482),"",IF(D4482="Stock",IF(C4482="Buy",L4482*G4482,IF(C4482="Sell",(L4482*G4482)-I4482, X)),IF(C4482="Buy",(L4482*G4482*100)+I4482,IF(C4482="Sell",(L4482*G4482*100)-I4482, X))))</f>
        <v/>
      </c>
      <c r="N4482" s="78">
        <f>IF(ISBLANK(L4482),"",IF(AND(C4482="Sell",D4482="Stock"),M4482,IF(ISBLANK(L4482),"",IF(C4482="Buy",M4482, IF(AND(C4482="Sell",J4482="NA"),(E4482*G4482*100*0.1)+I4482, IF(C4482="Sell",(J4482-L4482)*(100*G4482)+I4482))))))</f>
        <v/>
      </c>
      <c r="O4482" s="75" t="n"/>
      <c r="P4482" s="75" t="n"/>
      <c r="Q4482" s="75">
        <f>IF(ISBLANK(P4482),"",IF(D4482="Stock",P4482*G4482,IF(P4482=0,"0",G4482*P4482*100-(G4482*$AF$14))))</f>
        <v/>
      </c>
      <c r="R4482" s="79">
        <f>IF(P4482&lt;&gt;"", TODAY(), "")</f>
        <v/>
      </c>
      <c r="S4482" s="78">
        <f>IF(AND(K4482&lt;&gt;"", R4482&lt;&gt;""), R4482-K4482, "")</f>
        <v/>
      </c>
      <c r="T4482" s="78" t="n"/>
      <c r="U4482" s="92">
        <f>IF(ISBLANK(P4482),"",IF(C4482="Buy",Q4482-M4482+T4482, IF(C4482="Sell",M4482-Q4482-T4482, X)))</f>
        <v/>
      </c>
      <c r="V4482" s="81">
        <f>IF(ISBLANK(P4482),"",U4482/N4482)</f>
        <v/>
      </c>
      <c r="W4482" s="81">
        <f>IF(ISBLANK(P4482),"",IF(S4482=0,(365/0.5)*V4482,(365/S4482)*V4482))</f>
        <v/>
      </c>
      <c r="X4482" s="75" t="n"/>
      <c r="Y4482" s="77" t="n"/>
      <c r="Z4482" s="77" t="n"/>
      <c r="AA4482" s="75" t="n"/>
      <c r="AB4482" s="75" t="n"/>
      <c r="AC4482" s="6" t="n"/>
      <c r="AD4482" s="75" t="n"/>
      <c r="AE4482" s="75" t="n"/>
      <c r="AF4482" s="75" t="n"/>
    </row>
    <row r="4483" ht="15.75" customHeight="1" s="133">
      <c r="A4483" s="75" t="n"/>
      <c r="B4483" s="75" t="n"/>
      <c r="C4483" s="75" t="n"/>
      <c r="D4483" s="75" t="n"/>
      <c r="E4483" s="76" t="n"/>
      <c r="F4483" s="77" t="n"/>
      <c r="G4483" s="75" t="n"/>
      <c r="H4483" s="75">
        <f>IF(ISBLANK(E4483),"",IF(OR(D4483="Butterfly",D4483="Butterfly ",D4483="Iron Fly", D4483="Iron Fly "),LEN(E4483)-LEN(SUBSTITUTE(E4483,"/",""))+2,LEN(E4483)-LEN(SUBSTITUTE(E4483,"/",""))+1))</f>
        <v/>
      </c>
      <c r="I4483" s="78">
        <f>IF(ISBLANK(G4483),"",IF(D4483="Stock","0",Key!$A$3*H4483*G4483))</f>
        <v/>
      </c>
      <c r="J4483" s="78">
        <f>IF(ISBLANK(E4483),"",IF(ISNUMBER(SEARCH("/",E4483)), IF(LEN(E4483)-LEN(SUBSTITUTE(E4483,"/",""))=1,(RIGHT(E4483,LEN(E4483)-FIND("/",E4483)))-(LEFT(E4483,FIND("/",E4483)-1)),(MID(E4483, SEARCH("/",E4483) + 1, SEARCH("/",E4483, SEARCH("/",E4483)+1) - SEARCH("/",E4483) - 1))-(LEFT(E4483,FIND("/",E4483)-1))), "NA"))</f>
        <v/>
      </c>
      <c r="K4483" s="79">
        <f>IF(A4483&lt;&gt;"", IF(ISBLANK(L4483), TODAY(), K4483), "")</f>
        <v/>
      </c>
      <c r="L4483" s="78" t="n"/>
      <c r="M4483" s="78">
        <f>IF(ISBLANK(L4483),"",IF(D4483="Stock",IF(C4483="Buy",L4483*G4483,IF(C4483="Sell",(L4483*G4483)-I4483, X)),IF(C4483="Buy",(L4483*G4483*100)+I4483,IF(C4483="Sell",(L4483*G4483*100)-I4483, X))))</f>
        <v/>
      </c>
      <c r="N4483" s="78">
        <f>IF(ISBLANK(L4483),"",IF(AND(C4483="Sell",D4483="Stock"),M4483,IF(ISBLANK(L4483),"",IF(C4483="Buy",M4483, IF(AND(C4483="Sell",J4483="NA"),(E4483*G4483*100*0.1)+I4483, IF(C4483="Sell",(J4483-L4483)*(100*G4483)+I4483))))))</f>
        <v/>
      </c>
      <c r="O4483" s="75" t="n"/>
      <c r="P4483" s="75" t="n"/>
      <c r="Q4483" s="75">
        <f>IF(ISBLANK(P4483),"",IF(D4483="Stock",P4483*G4483,IF(P4483=0,"0",G4483*P4483*100-(G4483*$AF$14))))</f>
        <v/>
      </c>
      <c r="R4483" s="79">
        <f>IF(P4483&lt;&gt;"", TODAY(), "")</f>
        <v/>
      </c>
      <c r="S4483" s="78">
        <f>IF(AND(K4483&lt;&gt;"", R4483&lt;&gt;""), R4483-K4483, "")</f>
        <v/>
      </c>
      <c r="T4483" s="78" t="n"/>
      <c r="U4483" s="92">
        <f>IF(ISBLANK(P4483),"",IF(C4483="Buy",Q4483-M4483+T4483, IF(C4483="Sell",M4483-Q4483-T4483, X)))</f>
        <v/>
      </c>
      <c r="V4483" s="81">
        <f>IF(ISBLANK(P4483),"",U4483/N4483)</f>
        <v/>
      </c>
      <c r="W4483" s="81">
        <f>IF(ISBLANK(P4483),"",IF(S4483=0,(365/0.5)*V4483,(365/S4483)*V4483))</f>
        <v/>
      </c>
      <c r="X4483" s="75" t="n"/>
      <c r="Y4483" s="77" t="n"/>
      <c r="Z4483" s="77" t="n"/>
      <c r="AA4483" s="75" t="n"/>
      <c r="AB4483" s="75" t="n"/>
      <c r="AC4483" s="6" t="n"/>
      <c r="AD4483" s="75" t="n"/>
      <c r="AE4483" s="75" t="n"/>
      <c r="AF4483" s="75" t="n"/>
    </row>
    <row r="4484" ht="15.75" customHeight="1" s="133">
      <c r="A4484" s="75" t="n"/>
      <c r="B4484" s="75" t="n"/>
      <c r="C4484" s="75" t="n"/>
      <c r="D4484" s="75" t="n"/>
      <c r="E4484" s="76" t="n"/>
      <c r="F4484" s="77" t="n"/>
      <c r="G4484" s="75" t="n"/>
      <c r="H4484" s="75">
        <f>IF(ISBLANK(E4484),"",IF(OR(D4484="Butterfly",D4484="Butterfly ",D4484="Iron Fly", D4484="Iron Fly "),LEN(E4484)-LEN(SUBSTITUTE(E4484,"/",""))+2,LEN(E4484)-LEN(SUBSTITUTE(E4484,"/",""))+1))</f>
        <v/>
      </c>
      <c r="I4484" s="78">
        <f>IF(ISBLANK(G4484),"",IF(D4484="Stock","0",Key!$A$3*H4484*G4484))</f>
        <v/>
      </c>
      <c r="J4484" s="78">
        <f>IF(ISBLANK(E4484),"",IF(ISNUMBER(SEARCH("/",E4484)), IF(LEN(E4484)-LEN(SUBSTITUTE(E4484,"/",""))=1,(RIGHT(E4484,LEN(E4484)-FIND("/",E4484)))-(LEFT(E4484,FIND("/",E4484)-1)),(MID(E4484, SEARCH("/",E4484) + 1, SEARCH("/",E4484, SEARCH("/",E4484)+1) - SEARCH("/",E4484) - 1))-(LEFT(E4484,FIND("/",E4484)-1))), "NA"))</f>
        <v/>
      </c>
      <c r="K4484" s="79">
        <f>IF(A4484&lt;&gt;"", IF(ISBLANK(L4484), TODAY(), K4484), "")</f>
        <v/>
      </c>
      <c r="L4484" s="78" t="n"/>
      <c r="M4484" s="78">
        <f>IF(ISBLANK(L4484),"",IF(D4484="Stock",IF(C4484="Buy",L4484*G4484,IF(C4484="Sell",(L4484*G4484)-I4484, X)),IF(C4484="Buy",(L4484*G4484*100)+I4484,IF(C4484="Sell",(L4484*G4484*100)-I4484, X))))</f>
        <v/>
      </c>
      <c r="N4484" s="78">
        <f>IF(ISBLANK(L4484),"",IF(AND(C4484="Sell",D4484="Stock"),M4484,IF(ISBLANK(L4484),"",IF(C4484="Buy",M4484, IF(AND(C4484="Sell",J4484="NA"),(E4484*G4484*100*0.1)+I4484, IF(C4484="Sell",(J4484-L4484)*(100*G4484)+I4484))))))</f>
        <v/>
      </c>
      <c r="O4484" s="75" t="n"/>
      <c r="P4484" s="75" t="n"/>
      <c r="Q4484" s="75">
        <f>IF(ISBLANK(P4484),"",IF(D4484="Stock",P4484*G4484,IF(P4484=0,"0",G4484*P4484*100-(G4484*$AF$14))))</f>
        <v/>
      </c>
      <c r="R4484" s="79">
        <f>IF(P4484&lt;&gt;"", TODAY(), "")</f>
        <v/>
      </c>
      <c r="S4484" s="78">
        <f>IF(AND(K4484&lt;&gt;"", R4484&lt;&gt;""), R4484-K4484, "")</f>
        <v/>
      </c>
      <c r="T4484" s="78" t="n"/>
      <c r="U4484" s="92">
        <f>IF(ISBLANK(P4484),"",IF(C4484="Buy",Q4484-M4484+T4484, IF(C4484="Sell",M4484-Q4484-T4484, X)))</f>
        <v/>
      </c>
      <c r="V4484" s="81">
        <f>IF(ISBLANK(P4484),"",U4484/N4484)</f>
        <v/>
      </c>
      <c r="W4484" s="81">
        <f>IF(ISBLANK(P4484),"",IF(S4484=0,(365/0.5)*V4484,(365/S4484)*V4484))</f>
        <v/>
      </c>
      <c r="X4484" s="75" t="n"/>
      <c r="Y4484" s="77" t="n"/>
      <c r="Z4484" s="77" t="n"/>
      <c r="AA4484" s="75" t="n"/>
      <c r="AB4484" s="75" t="n"/>
      <c r="AC4484" s="6" t="n"/>
      <c r="AD4484" s="75" t="n"/>
      <c r="AE4484" s="75" t="n"/>
      <c r="AF4484" s="75" t="n"/>
    </row>
    <row r="4485" ht="15.75" customHeight="1" s="133">
      <c r="A4485" s="75" t="n"/>
      <c r="B4485" s="75" t="n"/>
      <c r="C4485" s="75" t="n"/>
      <c r="D4485" s="75" t="n"/>
      <c r="E4485" s="76" t="n"/>
      <c r="F4485" s="77" t="n"/>
      <c r="G4485" s="75" t="n"/>
      <c r="H4485" s="75">
        <f>IF(ISBLANK(E4485),"",IF(OR(D4485="Butterfly",D4485="Butterfly ",D4485="Iron Fly", D4485="Iron Fly "),LEN(E4485)-LEN(SUBSTITUTE(E4485,"/",""))+2,LEN(E4485)-LEN(SUBSTITUTE(E4485,"/",""))+1))</f>
        <v/>
      </c>
      <c r="I4485" s="78">
        <f>IF(ISBLANK(G4485),"",IF(D4485="Stock","0",Key!$A$3*H4485*G4485))</f>
        <v/>
      </c>
      <c r="J4485" s="78">
        <f>IF(ISBLANK(E4485),"",IF(ISNUMBER(SEARCH("/",E4485)), IF(LEN(E4485)-LEN(SUBSTITUTE(E4485,"/",""))=1,(RIGHT(E4485,LEN(E4485)-FIND("/",E4485)))-(LEFT(E4485,FIND("/",E4485)-1)),(MID(E4485, SEARCH("/",E4485) + 1, SEARCH("/",E4485, SEARCH("/",E4485)+1) - SEARCH("/",E4485) - 1))-(LEFT(E4485,FIND("/",E4485)-1))), "NA"))</f>
        <v/>
      </c>
      <c r="K4485" s="79">
        <f>IF(A4485&lt;&gt;"", IF(ISBLANK(L4485), TODAY(), K4485), "")</f>
        <v/>
      </c>
      <c r="L4485" s="78" t="n"/>
      <c r="M4485" s="78">
        <f>IF(ISBLANK(L4485),"",IF(D4485="Stock",IF(C4485="Buy",L4485*G4485,IF(C4485="Sell",(L4485*G4485)-I4485, X)),IF(C4485="Buy",(L4485*G4485*100)+I4485,IF(C4485="Sell",(L4485*G4485*100)-I4485, X))))</f>
        <v/>
      </c>
      <c r="N4485" s="78">
        <f>IF(ISBLANK(L4485),"",IF(AND(C4485="Sell",D4485="Stock"),M4485,IF(ISBLANK(L4485),"",IF(C4485="Buy",M4485, IF(AND(C4485="Sell",J4485="NA"),(E4485*G4485*100*0.1)+I4485, IF(C4485="Sell",(J4485-L4485)*(100*G4485)+I4485))))))</f>
        <v/>
      </c>
      <c r="O4485" s="75" t="n"/>
      <c r="P4485" s="75" t="n"/>
      <c r="Q4485" s="75">
        <f>IF(ISBLANK(P4485),"",IF(D4485="Stock",P4485*G4485,IF(P4485=0,"0",G4485*P4485*100-(G4485*$AF$14))))</f>
        <v/>
      </c>
      <c r="R4485" s="79">
        <f>IF(P4485&lt;&gt;"", TODAY(), "")</f>
        <v/>
      </c>
      <c r="S4485" s="78">
        <f>IF(AND(K4485&lt;&gt;"", R4485&lt;&gt;""), R4485-K4485, "")</f>
        <v/>
      </c>
      <c r="T4485" s="78" t="n"/>
      <c r="U4485" s="92">
        <f>IF(ISBLANK(P4485),"",IF(C4485="Buy",Q4485-M4485+T4485, IF(C4485="Sell",M4485-Q4485-T4485, X)))</f>
        <v/>
      </c>
      <c r="V4485" s="81">
        <f>IF(ISBLANK(P4485),"",U4485/N4485)</f>
        <v/>
      </c>
      <c r="W4485" s="81">
        <f>IF(ISBLANK(P4485),"",IF(S4485=0,(365/0.5)*V4485,(365/S4485)*V4485))</f>
        <v/>
      </c>
      <c r="X4485" s="75" t="n"/>
      <c r="Y4485" s="77" t="n"/>
      <c r="Z4485" s="77" t="n"/>
      <c r="AA4485" s="75" t="n"/>
      <c r="AB4485" s="75" t="n"/>
      <c r="AC4485" s="6" t="n"/>
      <c r="AD4485" s="75" t="n"/>
      <c r="AE4485" s="75" t="n"/>
      <c r="AF4485" s="75" t="n"/>
    </row>
    <row r="4486" ht="15.75" customHeight="1" s="133">
      <c r="A4486" s="75" t="n"/>
      <c r="B4486" s="75" t="n"/>
      <c r="C4486" s="75" t="n"/>
      <c r="D4486" s="75" t="n"/>
      <c r="E4486" s="76" t="n"/>
      <c r="F4486" s="77" t="n"/>
      <c r="G4486" s="75" t="n"/>
      <c r="H4486" s="75">
        <f>IF(ISBLANK(E4486),"",IF(OR(D4486="Butterfly",D4486="Butterfly ",D4486="Iron Fly", D4486="Iron Fly "),LEN(E4486)-LEN(SUBSTITUTE(E4486,"/",""))+2,LEN(E4486)-LEN(SUBSTITUTE(E4486,"/",""))+1))</f>
        <v/>
      </c>
      <c r="I4486" s="78">
        <f>IF(ISBLANK(G4486),"",IF(D4486="Stock","0",Key!$A$3*H4486*G4486))</f>
        <v/>
      </c>
      <c r="J4486" s="78">
        <f>IF(ISBLANK(E4486),"",IF(ISNUMBER(SEARCH("/",E4486)), IF(LEN(E4486)-LEN(SUBSTITUTE(E4486,"/",""))=1,(RIGHT(E4486,LEN(E4486)-FIND("/",E4486)))-(LEFT(E4486,FIND("/",E4486)-1)),(MID(E4486, SEARCH("/",E4486) + 1, SEARCH("/",E4486, SEARCH("/",E4486)+1) - SEARCH("/",E4486) - 1))-(LEFT(E4486,FIND("/",E4486)-1))), "NA"))</f>
        <v/>
      </c>
      <c r="K4486" s="79">
        <f>IF(A4486&lt;&gt;"", IF(ISBLANK(L4486), TODAY(), K4486), "")</f>
        <v/>
      </c>
      <c r="L4486" s="78" t="n"/>
      <c r="M4486" s="78">
        <f>IF(ISBLANK(L4486),"",IF(D4486="Stock",IF(C4486="Buy",L4486*G4486,IF(C4486="Sell",(L4486*G4486)-I4486, X)),IF(C4486="Buy",(L4486*G4486*100)+I4486,IF(C4486="Sell",(L4486*G4486*100)-I4486, X))))</f>
        <v/>
      </c>
      <c r="N4486" s="78">
        <f>IF(ISBLANK(L4486),"",IF(AND(C4486="Sell",D4486="Stock"),M4486,IF(ISBLANK(L4486),"",IF(C4486="Buy",M4486, IF(AND(C4486="Sell",J4486="NA"),(E4486*G4486*100*0.1)+I4486, IF(C4486="Sell",(J4486-L4486)*(100*G4486)+I4486))))))</f>
        <v/>
      </c>
      <c r="O4486" s="75" t="n"/>
      <c r="P4486" s="75" t="n"/>
      <c r="Q4486" s="75">
        <f>IF(ISBLANK(P4486),"",IF(D4486="Stock",P4486*G4486,IF(P4486=0,"0",G4486*P4486*100-(G4486*$AF$14))))</f>
        <v/>
      </c>
      <c r="R4486" s="79">
        <f>IF(P4486&lt;&gt;"", TODAY(), "")</f>
        <v/>
      </c>
      <c r="S4486" s="78">
        <f>IF(AND(K4486&lt;&gt;"", R4486&lt;&gt;""), R4486-K4486, "")</f>
        <v/>
      </c>
      <c r="T4486" s="78" t="n"/>
      <c r="U4486" s="92">
        <f>IF(ISBLANK(P4486),"",IF(C4486="Buy",Q4486-M4486+T4486, IF(C4486="Sell",M4486-Q4486-T4486, X)))</f>
        <v/>
      </c>
      <c r="V4486" s="81">
        <f>IF(ISBLANK(P4486),"",U4486/N4486)</f>
        <v/>
      </c>
      <c r="W4486" s="81">
        <f>IF(ISBLANK(P4486),"",IF(S4486=0,(365/0.5)*V4486,(365/S4486)*V4486))</f>
        <v/>
      </c>
      <c r="X4486" s="75" t="n"/>
      <c r="Y4486" s="77" t="n"/>
      <c r="Z4486" s="77" t="n"/>
      <c r="AA4486" s="75" t="n"/>
      <c r="AB4486" s="75" t="n"/>
      <c r="AC4486" s="6" t="n"/>
      <c r="AD4486" s="75" t="n"/>
      <c r="AE4486" s="75" t="n"/>
      <c r="AF4486" s="75" t="n"/>
    </row>
    <row r="4487" ht="15.75" customHeight="1" s="133">
      <c r="A4487" s="75" t="n"/>
      <c r="B4487" s="75" t="n"/>
      <c r="C4487" s="75" t="n"/>
      <c r="D4487" s="75" t="n"/>
      <c r="E4487" s="76" t="n"/>
      <c r="F4487" s="77" t="n"/>
      <c r="G4487" s="75" t="n"/>
      <c r="H4487" s="75">
        <f>IF(ISBLANK(E4487),"",IF(OR(D4487="Butterfly",D4487="Butterfly ",D4487="Iron Fly", D4487="Iron Fly "),LEN(E4487)-LEN(SUBSTITUTE(E4487,"/",""))+2,LEN(E4487)-LEN(SUBSTITUTE(E4487,"/",""))+1))</f>
        <v/>
      </c>
      <c r="I4487" s="78">
        <f>IF(ISBLANK(G4487),"",IF(D4487="Stock","0",Key!$A$3*H4487*G4487))</f>
        <v/>
      </c>
      <c r="J4487" s="78">
        <f>IF(ISBLANK(E4487),"",IF(ISNUMBER(SEARCH("/",E4487)), IF(LEN(E4487)-LEN(SUBSTITUTE(E4487,"/",""))=1,(RIGHT(E4487,LEN(E4487)-FIND("/",E4487)))-(LEFT(E4487,FIND("/",E4487)-1)),(MID(E4487, SEARCH("/",E4487) + 1, SEARCH("/",E4487, SEARCH("/",E4487)+1) - SEARCH("/",E4487) - 1))-(LEFT(E4487,FIND("/",E4487)-1))), "NA"))</f>
        <v/>
      </c>
      <c r="K4487" s="79">
        <f>IF(A4487&lt;&gt;"", IF(ISBLANK(L4487), TODAY(), K4487), "")</f>
        <v/>
      </c>
      <c r="L4487" s="78" t="n"/>
      <c r="M4487" s="78">
        <f>IF(ISBLANK(L4487),"",IF(D4487="Stock",IF(C4487="Buy",L4487*G4487,IF(C4487="Sell",(L4487*G4487)-I4487, X)),IF(C4487="Buy",(L4487*G4487*100)+I4487,IF(C4487="Sell",(L4487*G4487*100)-I4487, X))))</f>
        <v/>
      </c>
      <c r="N4487" s="78">
        <f>IF(ISBLANK(L4487),"",IF(AND(C4487="Sell",D4487="Stock"),M4487,IF(ISBLANK(L4487),"",IF(C4487="Buy",M4487, IF(AND(C4487="Sell",J4487="NA"),(E4487*G4487*100*0.1)+I4487, IF(C4487="Sell",(J4487-L4487)*(100*G4487)+I4487))))))</f>
        <v/>
      </c>
      <c r="O4487" s="75" t="n"/>
      <c r="P4487" s="75" t="n"/>
      <c r="Q4487" s="75">
        <f>IF(ISBLANK(P4487),"",IF(D4487="Stock",P4487*G4487,IF(P4487=0,"0",G4487*P4487*100-(G4487*$AF$14))))</f>
        <v/>
      </c>
      <c r="R4487" s="79">
        <f>IF(P4487&lt;&gt;"", TODAY(), "")</f>
        <v/>
      </c>
      <c r="S4487" s="78">
        <f>IF(AND(K4487&lt;&gt;"", R4487&lt;&gt;""), R4487-K4487, "")</f>
        <v/>
      </c>
      <c r="T4487" s="78" t="n"/>
      <c r="U4487" s="92">
        <f>IF(ISBLANK(P4487),"",IF(C4487="Buy",Q4487-M4487+T4487, IF(C4487="Sell",M4487-Q4487-T4487, X)))</f>
        <v/>
      </c>
      <c r="V4487" s="81">
        <f>IF(ISBLANK(P4487),"",U4487/N4487)</f>
        <v/>
      </c>
      <c r="W4487" s="81">
        <f>IF(ISBLANK(P4487),"",IF(S4487=0,(365/0.5)*V4487,(365/S4487)*V4487))</f>
        <v/>
      </c>
      <c r="X4487" s="75" t="n"/>
      <c r="Y4487" s="77" t="n"/>
      <c r="Z4487" s="77" t="n"/>
      <c r="AA4487" s="75" t="n"/>
      <c r="AB4487" s="75" t="n"/>
      <c r="AC4487" s="6" t="n"/>
      <c r="AD4487" s="75" t="n"/>
      <c r="AE4487" s="75" t="n"/>
      <c r="AF4487" s="75" t="n"/>
    </row>
    <row r="4488" ht="15.75" customHeight="1" s="133">
      <c r="A4488" s="75" t="n"/>
      <c r="B4488" s="75" t="n"/>
      <c r="C4488" s="75" t="n"/>
      <c r="D4488" s="75" t="n"/>
      <c r="E4488" s="76" t="n"/>
      <c r="F4488" s="77" t="n"/>
      <c r="G4488" s="75" t="n"/>
      <c r="H4488" s="75">
        <f>IF(ISBLANK(E4488),"",IF(OR(D4488="Butterfly",D4488="Butterfly ",D4488="Iron Fly", D4488="Iron Fly "),LEN(E4488)-LEN(SUBSTITUTE(E4488,"/",""))+2,LEN(E4488)-LEN(SUBSTITUTE(E4488,"/",""))+1))</f>
        <v/>
      </c>
      <c r="I4488" s="78">
        <f>IF(ISBLANK(G4488),"",IF(D4488="Stock","0",Key!$A$3*H4488*G4488))</f>
        <v/>
      </c>
      <c r="J4488" s="78">
        <f>IF(ISBLANK(E4488),"",IF(ISNUMBER(SEARCH("/",E4488)), IF(LEN(E4488)-LEN(SUBSTITUTE(E4488,"/",""))=1,(RIGHT(E4488,LEN(E4488)-FIND("/",E4488)))-(LEFT(E4488,FIND("/",E4488)-1)),(MID(E4488, SEARCH("/",E4488) + 1, SEARCH("/",E4488, SEARCH("/",E4488)+1) - SEARCH("/",E4488) - 1))-(LEFT(E4488,FIND("/",E4488)-1))), "NA"))</f>
        <v/>
      </c>
      <c r="K4488" s="79">
        <f>IF(A4488&lt;&gt;"", IF(ISBLANK(L4488), TODAY(), K4488), "")</f>
        <v/>
      </c>
      <c r="L4488" s="78" t="n"/>
      <c r="M4488" s="78">
        <f>IF(ISBLANK(L4488),"",IF(D4488="Stock",IF(C4488="Buy",L4488*G4488,IF(C4488="Sell",(L4488*G4488)-I4488, X)),IF(C4488="Buy",(L4488*G4488*100)+I4488,IF(C4488="Sell",(L4488*G4488*100)-I4488, X))))</f>
        <v/>
      </c>
      <c r="N4488" s="78">
        <f>IF(ISBLANK(L4488),"",IF(AND(C4488="Sell",D4488="Stock"),M4488,IF(ISBLANK(L4488),"",IF(C4488="Buy",M4488, IF(AND(C4488="Sell",J4488="NA"),(E4488*G4488*100*0.1)+I4488, IF(C4488="Sell",(J4488-L4488)*(100*G4488)+I4488))))))</f>
        <v/>
      </c>
      <c r="O4488" s="75" t="n"/>
      <c r="P4488" s="75" t="n"/>
      <c r="Q4488" s="75">
        <f>IF(ISBLANK(P4488),"",IF(D4488="Stock",P4488*G4488,IF(P4488=0,"0",G4488*P4488*100-(G4488*$AF$14))))</f>
        <v/>
      </c>
      <c r="R4488" s="79">
        <f>IF(P4488&lt;&gt;"", TODAY(), "")</f>
        <v/>
      </c>
      <c r="S4488" s="78">
        <f>IF(AND(K4488&lt;&gt;"", R4488&lt;&gt;""), R4488-K4488, "")</f>
        <v/>
      </c>
      <c r="T4488" s="78" t="n"/>
      <c r="U4488" s="92">
        <f>IF(ISBLANK(P4488),"",IF(C4488="Buy",Q4488-M4488+T4488, IF(C4488="Sell",M4488-Q4488-T4488, X)))</f>
        <v/>
      </c>
      <c r="V4488" s="81">
        <f>IF(ISBLANK(P4488),"",U4488/N4488)</f>
        <v/>
      </c>
      <c r="W4488" s="81">
        <f>IF(ISBLANK(P4488),"",IF(S4488=0,(365/0.5)*V4488,(365/S4488)*V4488))</f>
        <v/>
      </c>
      <c r="X4488" s="75" t="n"/>
      <c r="Y4488" s="77" t="n"/>
      <c r="Z4488" s="77" t="n"/>
      <c r="AA4488" s="75" t="n"/>
      <c r="AB4488" s="75" t="n"/>
      <c r="AC4488" s="6" t="n"/>
      <c r="AD4488" s="75" t="n"/>
      <c r="AE4488" s="75" t="n"/>
      <c r="AF4488" s="75" t="n"/>
    </row>
    <row r="4489" ht="15.75" customHeight="1" s="133">
      <c r="A4489" s="75" t="n"/>
      <c r="B4489" s="75" t="n"/>
      <c r="C4489" s="75" t="n"/>
      <c r="D4489" s="75" t="n"/>
      <c r="E4489" s="76" t="n"/>
      <c r="F4489" s="77" t="n"/>
      <c r="G4489" s="75" t="n"/>
      <c r="H4489" s="75">
        <f>IF(ISBLANK(E4489),"",IF(OR(D4489="Butterfly",D4489="Butterfly ",D4489="Iron Fly", D4489="Iron Fly "),LEN(E4489)-LEN(SUBSTITUTE(E4489,"/",""))+2,LEN(E4489)-LEN(SUBSTITUTE(E4489,"/",""))+1))</f>
        <v/>
      </c>
      <c r="I4489" s="78">
        <f>IF(ISBLANK(G4489),"",IF(D4489="Stock","0",Key!$A$3*H4489*G4489))</f>
        <v/>
      </c>
      <c r="J4489" s="78">
        <f>IF(ISBLANK(E4489),"",IF(ISNUMBER(SEARCH("/",E4489)), IF(LEN(E4489)-LEN(SUBSTITUTE(E4489,"/",""))=1,(RIGHT(E4489,LEN(E4489)-FIND("/",E4489)))-(LEFT(E4489,FIND("/",E4489)-1)),(MID(E4489, SEARCH("/",E4489) + 1, SEARCH("/",E4489, SEARCH("/",E4489)+1) - SEARCH("/",E4489) - 1))-(LEFT(E4489,FIND("/",E4489)-1))), "NA"))</f>
        <v/>
      </c>
      <c r="K4489" s="79">
        <f>IF(A4489&lt;&gt;"", IF(ISBLANK(L4489), TODAY(), K4489), "")</f>
        <v/>
      </c>
      <c r="L4489" s="78" t="n"/>
      <c r="M4489" s="78">
        <f>IF(ISBLANK(L4489),"",IF(D4489="Stock",IF(C4489="Buy",L4489*G4489,IF(C4489="Sell",(L4489*G4489)-I4489, X)),IF(C4489="Buy",(L4489*G4489*100)+I4489,IF(C4489="Sell",(L4489*G4489*100)-I4489, X))))</f>
        <v/>
      </c>
      <c r="N4489" s="78">
        <f>IF(ISBLANK(L4489),"",IF(AND(C4489="Sell",D4489="Stock"),M4489,IF(ISBLANK(L4489),"",IF(C4489="Buy",M4489, IF(AND(C4489="Sell",J4489="NA"),(E4489*G4489*100*0.1)+I4489, IF(C4489="Sell",(J4489-L4489)*(100*G4489)+I4489))))))</f>
        <v/>
      </c>
      <c r="O4489" s="75" t="n"/>
      <c r="P4489" s="75" t="n"/>
      <c r="Q4489" s="75">
        <f>IF(ISBLANK(P4489),"",IF(D4489="Stock",P4489*G4489,IF(P4489=0,"0",G4489*P4489*100-(G4489*$AF$14))))</f>
        <v/>
      </c>
      <c r="R4489" s="79">
        <f>IF(P4489&lt;&gt;"", TODAY(), "")</f>
        <v/>
      </c>
      <c r="S4489" s="78">
        <f>IF(AND(K4489&lt;&gt;"", R4489&lt;&gt;""), R4489-K4489, "")</f>
        <v/>
      </c>
      <c r="T4489" s="78" t="n"/>
      <c r="U4489" s="92">
        <f>IF(ISBLANK(P4489),"",IF(C4489="Buy",Q4489-M4489+T4489, IF(C4489="Sell",M4489-Q4489-T4489, X)))</f>
        <v/>
      </c>
      <c r="V4489" s="81">
        <f>IF(ISBLANK(P4489),"",U4489/N4489)</f>
        <v/>
      </c>
      <c r="W4489" s="81">
        <f>IF(ISBLANK(P4489),"",IF(S4489=0,(365/0.5)*V4489,(365/S4489)*V4489))</f>
        <v/>
      </c>
      <c r="X4489" s="75" t="n"/>
      <c r="Y4489" s="77" t="n"/>
      <c r="Z4489" s="77" t="n"/>
      <c r="AA4489" s="75" t="n"/>
      <c r="AB4489" s="75" t="n"/>
      <c r="AC4489" s="6" t="n"/>
      <c r="AD4489" s="75" t="n"/>
      <c r="AE4489" s="75" t="n"/>
      <c r="AF4489" s="75" t="n"/>
    </row>
    <row r="4490" ht="15.75" customHeight="1" s="133">
      <c r="A4490" s="75" t="n"/>
      <c r="B4490" s="75" t="n"/>
      <c r="C4490" s="75" t="n"/>
      <c r="D4490" s="75" t="n"/>
      <c r="E4490" s="76" t="n"/>
      <c r="F4490" s="77" t="n"/>
      <c r="G4490" s="75" t="n"/>
      <c r="H4490" s="75">
        <f>IF(ISBLANK(E4490),"",IF(OR(D4490="Butterfly",D4490="Butterfly ",D4490="Iron Fly", D4490="Iron Fly "),LEN(E4490)-LEN(SUBSTITUTE(E4490,"/",""))+2,LEN(E4490)-LEN(SUBSTITUTE(E4490,"/",""))+1))</f>
        <v/>
      </c>
      <c r="I4490" s="78">
        <f>IF(ISBLANK(G4490),"",IF(D4490="Stock","0",Key!$A$3*H4490*G4490))</f>
        <v/>
      </c>
      <c r="J4490" s="78">
        <f>IF(ISBLANK(E4490),"",IF(ISNUMBER(SEARCH("/",E4490)), IF(LEN(E4490)-LEN(SUBSTITUTE(E4490,"/",""))=1,(RIGHT(E4490,LEN(E4490)-FIND("/",E4490)))-(LEFT(E4490,FIND("/",E4490)-1)),(MID(E4490, SEARCH("/",E4490) + 1, SEARCH("/",E4490, SEARCH("/",E4490)+1) - SEARCH("/",E4490) - 1))-(LEFT(E4490,FIND("/",E4490)-1))), "NA"))</f>
        <v/>
      </c>
      <c r="K4490" s="79">
        <f>IF(A4490&lt;&gt;"", IF(ISBLANK(L4490), TODAY(), K4490), "")</f>
        <v/>
      </c>
      <c r="L4490" s="78" t="n"/>
      <c r="M4490" s="78">
        <f>IF(ISBLANK(L4490),"",IF(D4490="Stock",IF(C4490="Buy",L4490*G4490,IF(C4490="Sell",(L4490*G4490)-I4490, X)),IF(C4490="Buy",(L4490*G4490*100)+I4490,IF(C4490="Sell",(L4490*G4490*100)-I4490, X))))</f>
        <v/>
      </c>
      <c r="N4490" s="78">
        <f>IF(ISBLANK(L4490),"",IF(AND(C4490="Sell",D4490="Stock"),M4490,IF(ISBLANK(L4490),"",IF(C4490="Buy",M4490, IF(AND(C4490="Sell",J4490="NA"),(E4490*G4490*100*0.1)+I4490, IF(C4490="Sell",(J4490-L4490)*(100*G4490)+I4490))))))</f>
        <v/>
      </c>
      <c r="O4490" s="75" t="n"/>
      <c r="P4490" s="75" t="n"/>
      <c r="Q4490" s="75">
        <f>IF(ISBLANK(P4490),"",IF(D4490="Stock",P4490*G4490,IF(P4490=0,"0",G4490*P4490*100-(G4490*$AF$14))))</f>
        <v/>
      </c>
      <c r="R4490" s="79">
        <f>IF(P4490&lt;&gt;"", TODAY(), "")</f>
        <v/>
      </c>
      <c r="S4490" s="78">
        <f>IF(AND(K4490&lt;&gt;"", R4490&lt;&gt;""), R4490-K4490, "")</f>
        <v/>
      </c>
      <c r="T4490" s="78" t="n"/>
      <c r="U4490" s="92">
        <f>IF(ISBLANK(P4490),"",IF(C4490="Buy",Q4490-M4490+T4490, IF(C4490="Sell",M4490-Q4490-T4490, X)))</f>
        <v/>
      </c>
      <c r="V4490" s="81">
        <f>IF(ISBLANK(P4490),"",U4490/N4490)</f>
        <v/>
      </c>
      <c r="W4490" s="81">
        <f>IF(ISBLANK(P4490),"",IF(S4490=0,(365/0.5)*V4490,(365/S4490)*V4490))</f>
        <v/>
      </c>
      <c r="X4490" s="75" t="n"/>
      <c r="Y4490" s="77" t="n"/>
      <c r="Z4490" s="77" t="n"/>
      <c r="AA4490" s="75" t="n"/>
      <c r="AB4490" s="75" t="n"/>
      <c r="AC4490" s="6" t="n"/>
      <c r="AD4490" s="75" t="n"/>
      <c r="AE4490" s="75" t="n"/>
      <c r="AF4490" s="75" t="n"/>
    </row>
    <row r="4491" ht="15.75" customHeight="1" s="133">
      <c r="A4491" s="75" t="n"/>
      <c r="B4491" s="75" t="n"/>
      <c r="C4491" s="75" t="n"/>
      <c r="D4491" s="75" t="n"/>
      <c r="E4491" s="76" t="n"/>
      <c r="F4491" s="77" t="n"/>
      <c r="G4491" s="75" t="n"/>
      <c r="H4491" s="75">
        <f>IF(ISBLANK(E4491),"",IF(OR(D4491="Butterfly",D4491="Butterfly ",D4491="Iron Fly", D4491="Iron Fly "),LEN(E4491)-LEN(SUBSTITUTE(E4491,"/",""))+2,LEN(E4491)-LEN(SUBSTITUTE(E4491,"/",""))+1))</f>
        <v/>
      </c>
      <c r="I4491" s="78">
        <f>IF(ISBLANK(G4491),"",IF(D4491="Stock","0",Key!$A$3*H4491*G4491))</f>
        <v/>
      </c>
      <c r="J4491" s="78">
        <f>IF(ISBLANK(E4491),"",IF(ISNUMBER(SEARCH("/",E4491)), IF(LEN(E4491)-LEN(SUBSTITUTE(E4491,"/",""))=1,(RIGHT(E4491,LEN(E4491)-FIND("/",E4491)))-(LEFT(E4491,FIND("/",E4491)-1)),(MID(E4491, SEARCH("/",E4491) + 1, SEARCH("/",E4491, SEARCH("/",E4491)+1) - SEARCH("/",E4491) - 1))-(LEFT(E4491,FIND("/",E4491)-1))), "NA"))</f>
        <v/>
      </c>
      <c r="K4491" s="79">
        <f>IF(A4491&lt;&gt;"", IF(ISBLANK(L4491), TODAY(), K4491), "")</f>
        <v/>
      </c>
      <c r="L4491" s="78" t="n"/>
      <c r="M4491" s="78">
        <f>IF(ISBLANK(L4491),"",IF(D4491="Stock",IF(C4491="Buy",L4491*G4491,IF(C4491="Sell",(L4491*G4491)-I4491, X)),IF(C4491="Buy",(L4491*G4491*100)+I4491,IF(C4491="Sell",(L4491*G4491*100)-I4491, X))))</f>
        <v/>
      </c>
      <c r="N4491" s="78">
        <f>IF(ISBLANK(L4491),"",IF(AND(C4491="Sell",D4491="Stock"),M4491,IF(ISBLANK(L4491),"",IF(C4491="Buy",M4491, IF(AND(C4491="Sell",J4491="NA"),(E4491*G4491*100*0.1)+I4491, IF(C4491="Sell",(J4491-L4491)*(100*G4491)+I4491))))))</f>
        <v/>
      </c>
      <c r="O4491" s="75" t="n"/>
      <c r="P4491" s="75" t="n"/>
      <c r="Q4491" s="75">
        <f>IF(ISBLANK(P4491),"",IF(D4491="Stock",P4491*G4491,IF(P4491=0,"0",G4491*P4491*100-(G4491*$AF$14))))</f>
        <v/>
      </c>
      <c r="R4491" s="79">
        <f>IF(P4491&lt;&gt;"", TODAY(), "")</f>
        <v/>
      </c>
      <c r="S4491" s="78">
        <f>IF(AND(K4491&lt;&gt;"", R4491&lt;&gt;""), R4491-K4491, "")</f>
        <v/>
      </c>
      <c r="T4491" s="78" t="n"/>
      <c r="U4491" s="92">
        <f>IF(ISBLANK(P4491),"",IF(C4491="Buy",Q4491-M4491+T4491, IF(C4491="Sell",M4491-Q4491-T4491, X)))</f>
        <v/>
      </c>
      <c r="V4491" s="81">
        <f>IF(ISBLANK(P4491),"",U4491/N4491)</f>
        <v/>
      </c>
      <c r="W4491" s="81">
        <f>IF(ISBLANK(P4491),"",IF(S4491=0,(365/0.5)*V4491,(365/S4491)*V4491))</f>
        <v/>
      </c>
      <c r="X4491" s="75" t="n"/>
      <c r="Y4491" s="77" t="n"/>
      <c r="Z4491" s="77" t="n"/>
      <c r="AA4491" s="75" t="n"/>
      <c r="AB4491" s="75" t="n"/>
      <c r="AC4491" s="6" t="n"/>
      <c r="AD4491" s="75" t="n"/>
      <c r="AE4491" s="75" t="n"/>
      <c r="AF4491" s="75" t="n"/>
    </row>
    <row r="4492" ht="15.75" customHeight="1" s="133">
      <c r="A4492" s="75" t="n"/>
      <c r="B4492" s="75" t="n"/>
      <c r="C4492" s="75" t="n"/>
      <c r="D4492" s="75" t="n"/>
      <c r="E4492" s="76" t="n"/>
      <c r="F4492" s="77" t="n"/>
      <c r="G4492" s="75" t="n"/>
      <c r="H4492" s="75">
        <f>IF(ISBLANK(E4492),"",IF(OR(D4492="Butterfly",D4492="Butterfly ",D4492="Iron Fly", D4492="Iron Fly "),LEN(E4492)-LEN(SUBSTITUTE(E4492,"/",""))+2,LEN(E4492)-LEN(SUBSTITUTE(E4492,"/",""))+1))</f>
        <v/>
      </c>
      <c r="I4492" s="78">
        <f>IF(ISBLANK(G4492),"",IF(D4492="Stock","0",Key!$A$3*H4492*G4492))</f>
        <v/>
      </c>
      <c r="J4492" s="78">
        <f>IF(ISBLANK(E4492),"",IF(ISNUMBER(SEARCH("/",E4492)), IF(LEN(E4492)-LEN(SUBSTITUTE(E4492,"/",""))=1,(RIGHT(E4492,LEN(E4492)-FIND("/",E4492)))-(LEFT(E4492,FIND("/",E4492)-1)),(MID(E4492, SEARCH("/",E4492) + 1, SEARCH("/",E4492, SEARCH("/",E4492)+1) - SEARCH("/",E4492) - 1))-(LEFT(E4492,FIND("/",E4492)-1))), "NA"))</f>
        <v/>
      </c>
      <c r="K4492" s="79">
        <f>IF(A4492&lt;&gt;"", IF(ISBLANK(L4492), TODAY(), K4492), "")</f>
        <v/>
      </c>
      <c r="L4492" s="78" t="n"/>
      <c r="M4492" s="78">
        <f>IF(ISBLANK(L4492),"",IF(D4492="Stock",IF(C4492="Buy",L4492*G4492,IF(C4492="Sell",(L4492*G4492)-I4492, X)),IF(C4492="Buy",(L4492*G4492*100)+I4492,IF(C4492="Sell",(L4492*G4492*100)-I4492, X))))</f>
        <v/>
      </c>
      <c r="N4492" s="78">
        <f>IF(ISBLANK(L4492),"",IF(AND(C4492="Sell",D4492="Stock"),M4492,IF(ISBLANK(L4492),"",IF(C4492="Buy",M4492, IF(AND(C4492="Sell",J4492="NA"),(E4492*G4492*100*0.1)+I4492, IF(C4492="Sell",(J4492-L4492)*(100*G4492)+I4492))))))</f>
        <v/>
      </c>
      <c r="O4492" s="75" t="n"/>
      <c r="P4492" s="75" t="n"/>
      <c r="Q4492" s="75">
        <f>IF(ISBLANK(P4492),"",IF(D4492="Stock",P4492*G4492,IF(P4492=0,"0",G4492*P4492*100-(G4492*$AF$14))))</f>
        <v/>
      </c>
      <c r="R4492" s="79">
        <f>IF(P4492&lt;&gt;"", TODAY(), "")</f>
        <v/>
      </c>
      <c r="S4492" s="78">
        <f>IF(AND(K4492&lt;&gt;"", R4492&lt;&gt;""), R4492-K4492, "")</f>
        <v/>
      </c>
      <c r="T4492" s="78" t="n"/>
      <c r="U4492" s="92">
        <f>IF(ISBLANK(P4492),"",IF(C4492="Buy",Q4492-M4492+T4492, IF(C4492="Sell",M4492-Q4492-T4492, X)))</f>
        <v/>
      </c>
      <c r="V4492" s="81">
        <f>IF(ISBLANK(P4492),"",U4492/N4492)</f>
        <v/>
      </c>
      <c r="W4492" s="81">
        <f>IF(ISBLANK(P4492),"",IF(S4492=0,(365/0.5)*V4492,(365/S4492)*V4492))</f>
        <v/>
      </c>
      <c r="X4492" s="75" t="n"/>
      <c r="Y4492" s="77" t="n"/>
      <c r="Z4492" s="77" t="n"/>
      <c r="AA4492" s="75" t="n"/>
      <c r="AB4492" s="75" t="n"/>
      <c r="AC4492" s="6" t="n"/>
      <c r="AD4492" s="75" t="n"/>
      <c r="AE4492" s="75" t="n"/>
      <c r="AF4492" s="75" t="n"/>
    </row>
    <row r="4493" ht="15.75" customHeight="1" s="133">
      <c r="A4493" s="75" t="n"/>
      <c r="B4493" s="75" t="n"/>
      <c r="C4493" s="75" t="n"/>
      <c r="D4493" s="75" t="n"/>
      <c r="E4493" s="76" t="n"/>
      <c r="F4493" s="77" t="n"/>
      <c r="G4493" s="75" t="n"/>
      <c r="H4493" s="75">
        <f>IF(ISBLANK(E4493),"",IF(OR(D4493="Butterfly",D4493="Butterfly ",D4493="Iron Fly", D4493="Iron Fly "),LEN(E4493)-LEN(SUBSTITUTE(E4493,"/",""))+2,LEN(E4493)-LEN(SUBSTITUTE(E4493,"/",""))+1))</f>
        <v/>
      </c>
      <c r="I4493" s="78">
        <f>IF(ISBLANK(G4493),"",IF(D4493="Stock","0",Key!$A$3*H4493*G4493))</f>
        <v/>
      </c>
      <c r="J4493" s="78">
        <f>IF(ISBLANK(E4493),"",IF(ISNUMBER(SEARCH("/",E4493)), IF(LEN(E4493)-LEN(SUBSTITUTE(E4493,"/",""))=1,(RIGHT(E4493,LEN(E4493)-FIND("/",E4493)))-(LEFT(E4493,FIND("/",E4493)-1)),(MID(E4493, SEARCH("/",E4493) + 1, SEARCH("/",E4493, SEARCH("/",E4493)+1) - SEARCH("/",E4493) - 1))-(LEFT(E4493,FIND("/",E4493)-1))), "NA"))</f>
        <v/>
      </c>
      <c r="K4493" s="79">
        <f>IF(A4493&lt;&gt;"", IF(ISBLANK(L4493), TODAY(), K4493), "")</f>
        <v/>
      </c>
      <c r="L4493" s="78" t="n"/>
      <c r="M4493" s="78">
        <f>IF(ISBLANK(L4493),"",IF(D4493="Stock",IF(C4493="Buy",L4493*G4493,IF(C4493="Sell",(L4493*G4493)-I4493, X)),IF(C4493="Buy",(L4493*G4493*100)+I4493,IF(C4493="Sell",(L4493*G4493*100)-I4493, X))))</f>
        <v/>
      </c>
      <c r="N4493" s="78">
        <f>IF(ISBLANK(L4493),"",IF(AND(C4493="Sell",D4493="Stock"),M4493,IF(ISBLANK(L4493),"",IF(C4493="Buy",M4493, IF(AND(C4493="Sell",J4493="NA"),(E4493*G4493*100*0.1)+I4493, IF(C4493="Sell",(J4493-L4493)*(100*G4493)+I4493))))))</f>
        <v/>
      </c>
      <c r="O4493" s="75" t="n"/>
      <c r="P4493" s="75" t="n"/>
      <c r="Q4493" s="75">
        <f>IF(ISBLANK(P4493),"",IF(D4493="Stock",P4493*G4493,IF(P4493=0,"0",G4493*P4493*100-(G4493*$AF$14))))</f>
        <v/>
      </c>
      <c r="R4493" s="79">
        <f>IF(P4493&lt;&gt;"", TODAY(), "")</f>
        <v/>
      </c>
      <c r="S4493" s="78">
        <f>IF(AND(K4493&lt;&gt;"", R4493&lt;&gt;""), R4493-K4493, "")</f>
        <v/>
      </c>
      <c r="T4493" s="78" t="n"/>
      <c r="U4493" s="92">
        <f>IF(ISBLANK(P4493),"",IF(C4493="Buy",Q4493-M4493+T4493, IF(C4493="Sell",M4493-Q4493-T4493, X)))</f>
        <v/>
      </c>
      <c r="V4493" s="81">
        <f>IF(ISBLANK(P4493),"",U4493/N4493)</f>
        <v/>
      </c>
      <c r="W4493" s="81">
        <f>IF(ISBLANK(P4493),"",IF(S4493=0,(365/0.5)*V4493,(365/S4493)*V4493))</f>
        <v/>
      </c>
      <c r="X4493" s="75" t="n"/>
      <c r="Y4493" s="77" t="n"/>
      <c r="Z4493" s="77" t="n"/>
      <c r="AA4493" s="75" t="n"/>
      <c r="AB4493" s="75" t="n"/>
      <c r="AC4493" s="6" t="n"/>
      <c r="AD4493" s="75" t="n"/>
      <c r="AE4493" s="75" t="n"/>
      <c r="AF4493" s="75" t="n"/>
    </row>
    <row r="4494" ht="15.75" customHeight="1" s="133">
      <c r="A4494" s="75" t="n"/>
      <c r="B4494" s="75" t="n"/>
      <c r="C4494" s="75" t="n"/>
      <c r="D4494" s="75" t="n"/>
      <c r="E4494" s="76" t="n"/>
      <c r="F4494" s="77" t="n"/>
      <c r="G4494" s="75" t="n"/>
      <c r="H4494" s="75">
        <f>IF(ISBLANK(E4494),"",IF(OR(D4494="Butterfly",D4494="Butterfly ",D4494="Iron Fly", D4494="Iron Fly "),LEN(E4494)-LEN(SUBSTITUTE(E4494,"/",""))+2,LEN(E4494)-LEN(SUBSTITUTE(E4494,"/",""))+1))</f>
        <v/>
      </c>
      <c r="I4494" s="78">
        <f>IF(ISBLANK(G4494),"",IF(D4494="Stock","0",Key!$A$3*H4494*G4494))</f>
        <v/>
      </c>
      <c r="J4494" s="78">
        <f>IF(ISBLANK(E4494),"",IF(ISNUMBER(SEARCH("/",E4494)), IF(LEN(E4494)-LEN(SUBSTITUTE(E4494,"/",""))=1,(RIGHT(E4494,LEN(E4494)-FIND("/",E4494)))-(LEFT(E4494,FIND("/",E4494)-1)),(MID(E4494, SEARCH("/",E4494) + 1, SEARCH("/",E4494, SEARCH("/",E4494)+1) - SEARCH("/",E4494) - 1))-(LEFT(E4494,FIND("/",E4494)-1))), "NA"))</f>
        <v/>
      </c>
      <c r="K4494" s="79">
        <f>IF(A4494&lt;&gt;"", IF(ISBLANK(L4494), TODAY(), K4494), "")</f>
        <v/>
      </c>
      <c r="L4494" s="78" t="n"/>
      <c r="M4494" s="78">
        <f>IF(ISBLANK(L4494),"",IF(D4494="Stock",IF(C4494="Buy",L4494*G4494,IF(C4494="Sell",(L4494*G4494)-I4494, X)),IF(C4494="Buy",(L4494*G4494*100)+I4494,IF(C4494="Sell",(L4494*G4494*100)-I4494, X))))</f>
        <v/>
      </c>
      <c r="N4494" s="78">
        <f>IF(ISBLANK(L4494),"",IF(AND(C4494="Sell",D4494="Stock"),M4494,IF(ISBLANK(L4494),"",IF(C4494="Buy",M4494, IF(AND(C4494="Sell",J4494="NA"),(E4494*G4494*100*0.1)+I4494, IF(C4494="Sell",(J4494-L4494)*(100*G4494)+I4494))))))</f>
        <v/>
      </c>
      <c r="O4494" s="75" t="n"/>
      <c r="P4494" s="75" t="n"/>
      <c r="Q4494" s="75">
        <f>IF(ISBLANK(P4494),"",IF(D4494="Stock",P4494*G4494,IF(P4494=0,"0",G4494*P4494*100-(G4494*$AF$14))))</f>
        <v/>
      </c>
      <c r="R4494" s="79">
        <f>IF(P4494&lt;&gt;"", TODAY(), "")</f>
        <v/>
      </c>
      <c r="S4494" s="78">
        <f>IF(AND(K4494&lt;&gt;"", R4494&lt;&gt;""), R4494-K4494, "")</f>
        <v/>
      </c>
      <c r="T4494" s="78" t="n"/>
      <c r="U4494" s="92">
        <f>IF(ISBLANK(P4494),"",IF(C4494="Buy",Q4494-M4494+T4494, IF(C4494="Sell",M4494-Q4494-T4494, X)))</f>
        <v/>
      </c>
      <c r="V4494" s="81">
        <f>IF(ISBLANK(P4494),"",U4494/N4494)</f>
        <v/>
      </c>
      <c r="W4494" s="81">
        <f>IF(ISBLANK(P4494),"",IF(S4494=0,(365/0.5)*V4494,(365/S4494)*V4494))</f>
        <v/>
      </c>
      <c r="X4494" s="75" t="n"/>
      <c r="Y4494" s="77" t="n"/>
      <c r="Z4494" s="77" t="n"/>
      <c r="AA4494" s="75" t="n"/>
      <c r="AB4494" s="75" t="n"/>
      <c r="AC4494" s="6" t="n"/>
      <c r="AD4494" s="75" t="n"/>
      <c r="AE4494" s="75" t="n"/>
      <c r="AF4494" s="75" t="n"/>
    </row>
    <row r="4495" ht="15.75" customHeight="1" s="133">
      <c r="A4495" s="75" t="n"/>
      <c r="B4495" s="75" t="n"/>
      <c r="C4495" s="75" t="n"/>
      <c r="D4495" s="75" t="n"/>
      <c r="E4495" s="76" t="n"/>
      <c r="F4495" s="77" t="n"/>
      <c r="G4495" s="75" t="n"/>
      <c r="H4495" s="75">
        <f>IF(ISBLANK(E4495),"",IF(OR(D4495="Butterfly",D4495="Butterfly ",D4495="Iron Fly", D4495="Iron Fly "),LEN(E4495)-LEN(SUBSTITUTE(E4495,"/",""))+2,LEN(E4495)-LEN(SUBSTITUTE(E4495,"/",""))+1))</f>
        <v/>
      </c>
      <c r="I4495" s="78">
        <f>IF(ISBLANK(G4495),"",IF(D4495="Stock","0",Key!$A$3*H4495*G4495))</f>
        <v/>
      </c>
      <c r="J4495" s="78">
        <f>IF(ISBLANK(E4495),"",IF(ISNUMBER(SEARCH("/",E4495)), IF(LEN(E4495)-LEN(SUBSTITUTE(E4495,"/",""))=1,(RIGHT(E4495,LEN(E4495)-FIND("/",E4495)))-(LEFT(E4495,FIND("/",E4495)-1)),(MID(E4495, SEARCH("/",E4495) + 1, SEARCH("/",E4495, SEARCH("/",E4495)+1) - SEARCH("/",E4495) - 1))-(LEFT(E4495,FIND("/",E4495)-1))), "NA"))</f>
        <v/>
      </c>
      <c r="K4495" s="79">
        <f>IF(A4495&lt;&gt;"", IF(ISBLANK(L4495), TODAY(), K4495), "")</f>
        <v/>
      </c>
      <c r="L4495" s="78" t="n"/>
      <c r="M4495" s="78">
        <f>IF(ISBLANK(L4495),"",IF(D4495="Stock",IF(C4495="Buy",L4495*G4495,IF(C4495="Sell",(L4495*G4495)-I4495, X)),IF(C4495="Buy",(L4495*G4495*100)+I4495,IF(C4495="Sell",(L4495*G4495*100)-I4495, X))))</f>
        <v/>
      </c>
      <c r="N4495" s="78">
        <f>IF(ISBLANK(L4495),"",IF(AND(C4495="Sell",D4495="Stock"),M4495,IF(ISBLANK(L4495),"",IF(C4495="Buy",M4495, IF(AND(C4495="Sell",J4495="NA"),(E4495*G4495*100*0.1)+I4495, IF(C4495="Sell",(J4495-L4495)*(100*G4495)+I4495))))))</f>
        <v/>
      </c>
      <c r="O4495" s="75" t="n"/>
      <c r="P4495" s="75" t="n"/>
      <c r="Q4495" s="75">
        <f>IF(ISBLANK(P4495),"",IF(D4495="Stock",P4495*G4495,IF(P4495=0,"0",G4495*P4495*100-(G4495*$AF$14))))</f>
        <v/>
      </c>
      <c r="R4495" s="79">
        <f>IF(P4495&lt;&gt;"", TODAY(), "")</f>
        <v/>
      </c>
      <c r="S4495" s="78">
        <f>IF(AND(K4495&lt;&gt;"", R4495&lt;&gt;""), R4495-K4495, "")</f>
        <v/>
      </c>
      <c r="T4495" s="78" t="n"/>
      <c r="U4495" s="92">
        <f>IF(ISBLANK(P4495),"",IF(C4495="Buy",Q4495-M4495+T4495, IF(C4495="Sell",M4495-Q4495-T4495, X)))</f>
        <v/>
      </c>
      <c r="V4495" s="81">
        <f>IF(ISBLANK(P4495),"",U4495/N4495)</f>
        <v/>
      </c>
      <c r="W4495" s="81">
        <f>IF(ISBLANK(P4495),"",IF(S4495=0,(365/0.5)*V4495,(365/S4495)*V4495))</f>
        <v/>
      </c>
      <c r="X4495" s="75" t="n"/>
      <c r="Y4495" s="77" t="n"/>
      <c r="Z4495" s="77" t="n"/>
      <c r="AA4495" s="75" t="n"/>
      <c r="AB4495" s="75" t="n"/>
      <c r="AC4495" s="6" t="n"/>
      <c r="AD4495" s="75" t="n"/>
      <c r="AE4495" s="75" t="n"/>
      <c r="AF4495" s="75" t="n"/>
    </row>
    <row r="4496" ht="15.75" customHeight="1" s="133">
      <c r="A4496" s="75" t="n"/>
      <c r="B4496" s="75" t="n"/>
      <c r="C4496" s="75" t="n"/>
      <c r="D4496" s="75" t="n"/>
      <c r="E4496" s="76" t="n"/>
      <c r="F4496" s="77" t="n"/>
      <c r="G4496" s="75" t="n"/>
      <c r="H4496" s="75">
        <f>IF(ISBLANK(E4496),"",IF(OR(D4496="Butterfly",D4496="Butterfly ",D4496="Iron Fly", D4496="Iron Fly "),LEN(E4496)-LEN(SUBSTITUTE(E4496,"/",""))+2,LEN(E4496)-LEN(SUBSTITUTE(E4496,"/",""))+1))</f>
        <v/>
      </c>
      <c r="I4496" s="78">
        <f>IF(ISBLANK(G4496),"",IF(D4496="Stock","0",Key!$A$3*H4496*G4496))</f>
        <v/>
      </c>
      <c r="J4496" s="78">
        <f>IF(ISBLANK(E4496),"",IF(ISNUMBER(SEARCH("/",E4496)), IF(LEN(E4496)-LEN(SUBSTITUTE(E4496,"/",""))=1,(RIGHT(E4496,LEN(E4496)-FIND("/",E4496)))-(LEFT(E4496,FIND("/",E4496)-1)),(MID(E4496, SEARCH("/",E4496) + 1, SEARCH("/",E4496, SEARCH("/",E4496)+1) - SEARCH("/",E4496) - 1))-(LEFT(E4496,FIND("/",E4496)-1))), "NA"))</f>
        <v/>
      </c>
      <c r="K4496" s="79">
        <f>IF(A4496&lt;&gt;"", IF(ISBLANK(L4496), TODAY(), K4496), "")</f>
        <v/>
      </c>
      <c r="L4496" s="78" t="n"/>
      <c r="M4496" s="78">
        <f>IF(ISBLANK(L4496),"",IF(D4496="Stock",IF(C4496="Buy",L4496*G4496,IF(C4496="Sell",(L4496*G4496)-I4496, X)),IF(C4496="Buy",(L4496*G4496*100)+I4496,IF(C4496="Sell",(L4496*G4496*100)-I4496, X))))</f>
        <v/>
      </c>
      <c r="N4496" s="78">
        <f>IF(ISBLANK(L4496),"",IF(AND(C4496="Sell",D4496="Stock"),M4496,IF(ISBLANK(L4496),"",IF(C4496="Buy",M4496, IF(AND(C4496="Sell",J4496="NA"),(E4496*G4496*100*0.1)+I4496, IF(C4496="Sell",(J4496-L4496)*(100*G4496)+I4496))))))</f>
        <v/>
      </c>
      <c r="O4496" s="75" t="n"/>
      <c r="P4496" s="75" t="n"/>
      <c r="Q4496" s="75">
        <f>IF(ISBLANK(P4496),"",IF(D4496="Stock",P4496*G4496,IF(P4496=0,"0",G4496*P4496*100-(G4496*$AF$14))))</f>
        <v/>
      </c>
      <c r="R4496" s="79">
        <f>IF(P4496&lt;&gt;"", TODAY(), "")</f>
        <v/>
      </c>
      <c r="S4496" s="78">
        <f>IF(AND(K4496&lt;&gt;"", R4496&lt;&gt;""), R4496-K4496, "")</f>
        <v/>
      </c>
      <c r="T4496" s="78" t="n"/>
      <c r="U4496" s="92">
        <f>IF(ISBLANK(P4496),"",IF(C4496="Buy",Q4496-M4496+T4496, IF(C4496="Sell",M4496-Q4496-T4496, X)))</f>
        <v/>
      </c>
      <c r="V4496" s="81">
        <f>IF(ISBLANK(P4496),"",U4496/N4496)</f>
        <v/>
      </c>
      <c r="W4496" s="81">
        <f>IF(ISBLANK(P4496),"",IF(S4496=0,(365/0.5)*V4496,(365/S4496)*V4496))</f>
        <v/>
      </c>
      <c r="X4496" s="75" t="n"/>
      <c r="Y4496" s="77" t="n"/>
      <c r="Z4496" s="77" t="n"/>
      <c r="AA4496" s="75" t="n"/>
      <c r="AB4496" s="75" t="n"/>
      <c r="AC4496" s="6" t="n"/>
      <c r="AD4496" s="75" t="n"/>
      <c r="AE4496" s="75" t="n"/>
      <c r="AF4496" s="75" t="n"/>
    </row>
    <row r="4497" ht="15.75" customHeight="1" s="133">
      <c r="A4497" s="75" t="n"/>
      <c r="B4497" s="75" t="n"/>
      <c r="C4497" s="75" t="n"/>
      <c r="D4497" s="75" t="n"/>
      <c r="E4497" s="76" t="n"/>
      <c r="F4497" s="77" t="n"/>
      <c r="G4497" s="75" t="n"/>
      <c r="H4497" s="75">
        <f>IF(ISBLANK(E4497),"",IF(OR(D4497="Butterfly",D4497="Butterfly ",D4497="Iron Fly", D4497="Iron Fly "),LEN(E4497)-LEN(SUBSTITUTE(E4497,"/",""))+2,LEN(E4497)-LEN(SUBSTITUTE(E4497,"/",""))+1))</f>
        <v/>
      </c>
      <c r="I4497" s="78">
        <f>IF(ISBLANK(G4497),"",IF(D4497="Stock","0",Key!$A$3*H4497*G4497))</f>
        <v/>
      </c>
      <c r="J4497" s="78">
        <f>IF(ISBLANK(E4497),"",IF(ISNUMBER(SEARCH("/",E4497)), IF(LEN(E4497)-LEN(SUBSTITUTE(E4497,"/",""))=1,(RIGHT(E4497,LEN(E4497)-FIND("/",E4497)))-(LEFT(E4497,FIND("/",E4497)-1)),(MID(E4497, SEARCH("/",E4497) + 1, SEARCH("/",E4497, SEARCH("/",E4497)+1) - SEARCH("/",E4497) - 1))-(LEFT(E4497,FIND("/",E4497)-1))), "NA"))</f>
        <v/>
      </c>
      <c r="K4497" s="79">
        <f>IF(A4497&lt;&gt;"", IF(ISBLANK(L4497), TODAY(), K4497), "")</f>
        <v/>
      </c>
      <c r="L4497" s="78" t="n"/>
      <c r="M4497" s="78">
        <f>IF(ISBLANK(L4497),"",IF(D4497="Stock",IF(C4497="Buy",L4497*G4497,IF(C4497="Sell",(L4497*G4497)-I4497, X)),IF(C4497="Buy",(L4497*G4497*100)+I4497,IF(C4497="Sell",(L4497*G4497*100)-I4497, X))))</f>
        <v/>
      </c>
      <c r="N4497" s="78">
        <f>IF(ISBLANK(L4497),"",IF(AND(C4497="Sell",D4497="Stock"),M4497,IF(ISBLANK(L4497),"",IF(C4497="Buy",M4497, IF(AND(C4497="Sell",J4497="NA"),(E4497*G4497*100*0.1)+I4497, IF(C4497="Sell",(J4497-L4497)*(100*G4497)+I4497))))))</f>
        <v/>
      </c>
      <c r="O4497" s="75" t="n"/>
      <c r="P4497" s="75" t="n"/>
      <c r="Q4497" s="75">
        <f>IF(ISBLANK(P4497),"",IF(D4497="Stock",P4497*G4497,IF(P4497=0,"0",G4497*P4497*100-(G4497*$AF$14))))</f>
        <v/>
      </c>
      <c r="R4497" s="79">
        <f>IF(P4497&lt;&gt;"", TODAY(), "")</f>
        <v/>
      </c>
      <c r="S4497" s="78">
        <f>IF(AND(K4497&lt;&gt;"", R4497&lt;&gt;""), R4497-K4497, "")</f>
        <v/>
      </c>
      <c r="T4497" s="78" t="n"/>
      <c r="U4497" s="92">
        <f>IF(ISBLANK(P4497),"",IF(C4497="Buy",Q4497-M4497+T4497, IF(C4497="Sell",M4497-Q4497-T4497, X)))</f>
        <v/>
      </c>
      <c r="V4497" s="81">
        <f>IF(ISBLANK(P4497),"",U4497/N4497)</f>
        <v/>
      </c>
      <c r="W4497" s="81">
        <f>IF(ISBLANK(P4497),"",IF(S4497=0,(365/0.5)*V4497,(365/S4497)*V4497))</f>
        <v/>
      </c>
      <c r="X4497" s="75" t="n"/>
      <c r="Y4497" s="77" t="n"/>
      <c r="Z4497" s="77" t="n"/>
      <c r="AA4497" s="75" t="n"/>
      <c r="AB4497" s="75" t="n"/>
      <c r="AC4497" s="6" t="n"/>
      <c r="AD4497" s="75" t="n"/>
      <c r="AE4497" s="75" t="n"/>
      <c r="AF4497" s="75" t="n"/>
    </row>
    <row r="4498" ht="15.75" customHeight="1" s="133">
      <c r="A4498" s="75" t="n"/>
      <c r="B4498" s="75" t="n"/>
      <c r="C4498" s="75" t="n"/>
      <c r="D4498" s="75" t="n"/>
      <c r="E4498" s="76" t="n"/>
      <c r="F4498" s="77" t="n"/>
      <c r="G4498" s="75" t="n"/>
      <c r="H4498" s="75">
        <f>IF(ISBLANK(E4498),"",IF(OR(D4498="Butterfly",D4498="Butterfly ",D4498="Iron Fly", D4498="Iron Fly "),LEN(E4498)-LEN(SUBSTITUTE(E4498,"/",""))+2,LEN(E4498)-LEN(SUBSTITUTE(E4498,"/",""))+1))</f>
        <v/>
      </c>
      <c r="I4498" s="78">
        <f>IF(ISBLANK(G4498),"",IF(D4498="Stock","0",Key!$A$3*H4498*G4498))</f>
        <v/>
      </c>
      <c r="J4498" s="78">
        <f>IF(ISBLANK(E4498),"",IF(ISNUMBER(SEARCH("/",E4498)), IF(LEN(E4498)-LEN(SUBSTITUTE(E4498,"/",""))=1,(RIGHT(E4498,LEN(E4498)-FIND("/",E4498)))-(LEFT(E4498,FIND("/",E4498)-1)),(MID(E4498, SEARCH("/",E4498) + 1, SEARCH("/",E4498, SEARCH("/",E4498)+1) - SEARCH("/",E4498) - 1))-(LEFT(E4498,FIND("/",E4498)-1))), "NA"))</f>
        <v/>
      </c>
      <c r="K4498" s="79">
        <f>IF(A4498&lt;&gt;"", IF(ISBLANK(L4498), TODAY(), K4498), "")</f>
        <v/>
      </c>
      <c r="L4498" s="78" t="n"/>
      <c r="M4498" s="78">
        <f>IF(ISBLANK(L4498),"",IF(D4498="Stock",IF(C4498="Buy",L4498*G4498,IF(C4498="Sell",(L4498*G4498)-I4498, X)),IF(C4498="Buy",(L4498*G4498*100)+I4498,IF(C4498="Sell",(L4498*G4498*100)-I4498, X))))</f>
        <v/>
      </c>
      <c r="N4498" s="78">
        <f>IF(ISBLANK(L4498),"",IF(AND(C4498="Sell",D4498="Stock"),M4498,IF(ISBLANK(L4498),"",IF(C4498="Buy",M4498, IF(AND(C4498="Sell",J4498="NA"),(E4498*G4498*100*0.1)+I4498, IF(C4498="Sell",(J4498-L4498)*(100*G4498)+I4498))))))</f>
        <v/>
      </c>
      <c r="O4498" s="75" t="n"/>
      <c r="P4498" s="75" t="n"/>
      <c r="Q4498" s="75">
        <f>IF(ISBLANK(P4498),"",IF(D4498="Stock",P4498*G4498,IF(P4498=0,"0",G4498*P4498*100-(G4498*$AF$14))))</f>
        <v/>
      </c>
      <c r="R4498" s="79">
        <f>IF(P4498&lt;&gt;"", TODAY(), "")</f>
        <v/>
      </c>
      <c r="S4498" s="78">
        <f>IF(AND(K4498&lt;&gt;"", R4498&lt;&gt;""), R4498-K4498, "")</f>
        <v/>
      </c>
      <c r="T4498" s="78" t="n"/>
      <c r="U4498" s="92">
        <f>IF(ISBLANK(P4498),"",IF(C4498="Buy",Q4498-M4498+T4498, IF(C4498="Sell",M4498-Q4498-T4498, X)))</f>
        <v/>
      </c>
      <c r="V4498" s="81">
        <f>IF(ISBLANK(P4498),"",U4498/N4498)</f>
        <v/>
      </c>
      <c r="W4498" s="81">
        <f>IF(ISBLANK(P4498),"",IF(S4498=0,(365/0.5)*V4498,(365/S4498)*V4498))</f>
        <v/>
      </c>
      <c r="X4498" s="75" t="n"/>
      <c r="Y4498" s="77" t="n"/>
      <c r="Z4498" s="77" t="n"/>
      <c r="AA4498" s="75" t="n"/>
      <c r="AB4498" s="75" t="n"/>
      <c r="AC4498" s="6" t="n"/>
      <c r="AD4498" s="75" t="n"/>
      <c r="AE4498" s="75" t="n"/>
      <c r="AF4498" s="75" t="n"/>
    </row>
    <row r="4499" ht="15.75" customHeight="1" s="133">
      <c r="A4499" s="75" t="n"/>
      <c r="B4499" s="75" t="n"/>
      <c r="C4499" s="75" t="n"/>
      <c r="D4499" s="75" t="n"/>
      <c r="E4499" s="76" t="n"/>
      <c r="F4499" s="77" t="n"/>
      <c r="G4499" s="75" t="n"/>
      <c r="H4499" s="75">
        <f>IF(ISBLANK(E4499),"",IF(OR(D4499="Butterfly",D4499="Butterfly ",D4499="Iron Fly", D4499="Iron Fly "),LEN(E4499)-LEN(SUBSTITUTE(E4499,"/",""))+2,LEN(E4499)-LEN(SUBSTITUTE(E4499,"/",""))+1))</f>
        <v/>
      </c>
      <c r="I4499" s="78">
        <f>IF(ISBLANK(G4499),"",IF(D4499="Stock","0",Key!$A$3*H4499*G4499))</f>
        <v/>
      </c>
      <c r="J4499" s="78">
        <f>IF(ISBLANK(E4499),"",IF(ISNUMBER(SEARCH("/",E4499)), IF(LEN(E4499)-LEN(SUBSTITUTE(E4499,"/",""))=1,(RIGHT(E4499,LEN(E4499)-FIND("/",E4499)))-(LEFT(E4499,FIND("/",E4499)-1)),(MID(E4499, SEARCH("/",E4499) + 1, SEARCH("/",E4499, SEARCH("/",E4499)+1) - SEARCH("/",E4499) - 1))-(LEFT(E4499,FIND("/",E4499)-1))), "NA"))</f>
        <v/>
      </c>
      <c r="K4499" s="79">
        <f>IF(A4499&lt;&gt;"", IF(ISBLANK(L4499), TODAY(), K4499), "")</f>
        <v/>
      </c>
      <c r="L4499" s="78" t="n"/>
      <c r="M4499" s="78">
        <f>IF(ISBLANK(L4499),"",IF(D4499="Stock",IF(C4499="Buy",L4499*G4499,IF(C4499="Sell",(L4499*G4499)-I4499, X)),IF(C4499="Buy",(L4499*G4499*100)+I4499,IF(C4499="Sell",(L4499*G4499*100)-I4499, X))))</f>
        <v/>
      </c>
      <c r="N4499" s="78">
        <f>IF(ISBLANK(L4499),"",IF(AND(C4499="Sell",D4499="Stock"),M4499,IF(ISBLANK(L4499),"",IF(C4499="Buy",M4499, IF(AND(C4499="Sell",J4499="NA"),(E4499*G4499*100*0.1)+I4499, IF(C4499="Sell",(J4499-L4499)*(100*G4499)+I4499))))))</f>
        <v/>
      </c>
      <c r="O4499" s="75" t="n"/>
      <c r="P4499" s="75" t="n"/>
      <c r="Q4499" s="75">
        <f>IF(ISBLANK(P4499),"",IF(D4499="Stock",P4499*G4499,IF(P4499=0,"0",G4499*P4499*100-(G4499*$AF$14))))</f>
        <v/>
      </c>
      <c r="R4499" s="79">
        <f>IF(P4499&lt;&gt;"", TODAY(), "")</f>
        <v/>
      </c>
      <c r="S4499" s="78">
        <f>IF(AND(K4499&lt;&gt;"", R4499&lt;&gt;""), R4499-K4499, "")</f>
        <v/>
      </c>
      <c r="T4499" s="78" t="n"/>
      <c r="U4499" s="92">
        <f>IF(ISBLANK(P4499),"",IF(C4499="Buy",Q4499-M4499+T4499, IF(C4499="Sell",M4499-Q4499-T4499, X)))</f>
        <v/>
      </c>
      <c r="V4499" s="81">
        <f>IF(ISBLANK(P4499),"",U4499/N4499)</f>
        <v/>
      </c>
      <c r="W4499" s="81">
        <f>IF(ISBLANK(P4499),"",IF(S4499=0,(365/0.5)*V4499,(365/S4499)*V4499))</f>
        <v/>
      </c>
      <c r="X4499" s="75" t="n"/>
      <c r="Y4499" s="77" t="n"/>
      <c r="Z4499" s="77" t="n"/>
      <c r="AA4499" s="75" t="n"/>
      <c r="AB4499" s="75" t="n"/>
      <c r="AC4499" s="6" t="n"/>
      <c r="AD4499" s="75" t="n"/>
      <c r="AE4499" s="75" t="n"/>
      <c r="AF4499" s="75" t="n"/>
    </row>
    <row r="4500" ht="15.75" customHeight="1" s="133">
      <c r="A4500" s="75" t="n"/>
      <c r="B4500" s="75" t="n"/>
      <c r="C4500" s="75" t="n"/>
      <c r="D4500" s="75" t="n"/>
      <c r="E4500" s="76" t="n"/>
      <c r="F4500" s="77" t="n"/>
      <c r="G4500" s="75" t="n"/>
      <c r="H4500" s="75">
        <f>IF(ISBLANK(E4500),"",IF(OR(D4500="Butterfly",D4500="Butterfly ",D4500="Iron Fly", D4500="Iron Fly "),LEN(E4500)-LEN(SUBSTITUTE(E4500,"/",""))+2,LEN(E4500)-LEN(SUBSTITUTE(E4500,"/",""))+1))</f>
        <v/>
      </c>
      <c r="I4500" s="78">
        <f>IF(ISBLANK(G4500),"",IF(D4500="Stock","0",Key!$A$3*H4500*G4500))</f>
        <v/>
      </c>
      <c r="J4500" s="78">
        <f>IF(ISBLANK(E4500),"",IF(ISNUMBER(SEARCH("/",E4500)), IF(LEN(E4500)-LEN(SUBSTITUTE(E4500,"/",""))=1,(RIGHT(E4500,LEN(E4500)-FIND("/",E4500)))-(LEFT(E4500,FIND("/",E4500)-1)),(MID(E4500, SEARCH("/",E4500) + 1, SEARCH("/",E4500, SEARCH("/",E4500)+1) - SEARCH("/",E4500) - 1))-(LEFT(E4500,FIND("/",E4500)-1))), "NA"))</f>
        <v/>
      </c>
      <c r="K4500" s="79">
        <f>IF(A4500&lt;&gt;"", IF(ISBLANK(L4500), TODAY(), K4500), "")</f>
        <v/>
      </c>
      <c r="L4500" s="78" t="n"/>
      <c r="M4500" s="78">
        <f>IF(ISBLANK(L4500),"",IF(D4500="Stock",IF(C4500="Buy",L4500*G4500,IF(C4500="Sell",(L4500*G4500)-I4500, X)),IF(C4500="Buy",(L4500*G4500*100)+I4500,IF(C4500="Sell",(L4500*G4500*100)-I4500, X))))</f>
        <v/>
      </c>
      <c r="N4500" s="78">
        <f>IF(ISBLANK(L4500),"",IF(AND(C4500="Sell",D4500="Stock"),M4500,IF(ISBLANK(L4500),"",IF(C4500="Buy",M4500, IF(AND(C4500="Sell",J4500="NA"),(E4500*G4500*100*0.1)+I4500, IF(C4500="Sell",(J4500-L4500)*(100*G4500)+I4500))))))</f>
        <v/>
      </c>
      <c r="O4500" s="75" t="n"/>
      <c r="P4500" s="75" t="n"/>
      <c r="Q4500" s="75">
        <f>IF(ISBLANK(P4500),"",IF(D4500="Stock",P4500*G4500,IF(P4500=0,"0",G4500*P4500*100-(G4500*$AF$14))))</f>
        <v/>
      </c>
      <c r="R4500" s="79">
        <f>IF(P4500&lt;&gt;"", TODAY(), "")</f>
        <v/>
      </c>
      <c r="S4500" s="78">
        <f>IF(AND(K4500&lt;&gt;"", R4500&lt;&gt;""), R4500-K4500, "")</f>
        <v/>
      </c>
      <c r="T4500" s="78" t="n"/>
      <c r="U4500" s="92">
        <f>IF(ISBLANK(P4500),"",IF(C4500="Buy",Q4500-M4500+T4500, IF(C4500="Sell",M4500-Q4500-T4500, X)))</f>
        <v/>
      </c>
      <c r="V4500" s="81">
        <f>IF(ISBLANK(P4500),"",U4500/N4500)</f>
        <v/>
      </c>
      <c r="W4500" s="81">
        <f>IF(ISBLANK(P4500),"",IF(S4500=0,(365/0.5)*V4500,(365/S4500)*V4500))</f>
        <v/>
      </c>
      <c r="X4500" s="75" t="n"/>
      <c r="Y4500" s="77" t="n"/>
      <c r="Z4500" s="77" t="n"/>
      <c r="AA4500" s="75" t="n"/>
      <c r="AB4500" s="75" t="n"/>
      <c r="AC4500" s="6" t="n"/>
      <c r="AD4500" s="75" t="n"/>
      <c r="AE4500" s="75" t="n"/>
      <c r="AF4500" s="75" t="n"/>
    </row>
    <row r="4501" ht="15.75" customHeight="1" s="133">
      <c r="A4501" s="75" t="n"/>
      <c r="B4501" s="75" t="n"/>
      <c r="C4501" s="75" t="n"/>
      <c r="D4501" s="75" t="n"/>
      <c r="E4501" s="76" t="n"/>
      <c r="F4501" s="77" t="n"/>
      <c r="G4501" s="75" t="n"/>
      <c r="H4501" s="75">
        <f>IF(ISBLANK(E4501),"",IF(OR(D4501="Butterfly",D4501="Butterfly ",D4501="Iron Fly", D4501="Iron Fly "),LEN(E4501)-LEN(SUBSTITUTE(E4501,"/",""))+2,LEN(E4501)-LEN(SUBSTITUTE(E4501,"/",""))+1))</f>
        <v/>
      </c>
      <c r="I4501" s="78">
        <f>IF(ISBLANK(G4501),"",IF(D4501="Stock","0",Key!$A$3*H4501*G4501))</f>
        <v/>
      </c>
      <c r="J4501" s="78">
        <f>IF(ISBLANK(E4501),"",IF(ISNUMBER(SEARCH("/",E4501)), IF(LEN(E4501)-LEN(SUBSTITUTE(E4501,"/",""))=1,(RIGHT(E4501,LEN(E4501)-FIND("/",E4501)))-(LEFT(E4501,FIND("/",E4501)-1)),(MID(E4501, SEARCH("/",E4501) + 1, SEARCH("/",E4501, SEARCH("/",E4501)+1) - SEARCH("/",E4501) - 1))-(LEFT(E4501,FIND("/",E4501)-1))), "NA"))</f>
        <v/>
      </c>
      <c r="K4501" s="79">
        <f>IF(A4501&lt;&gt;"", IF(ISBLANK(L4501), TODAY(), K4501), "")</f>
        <v/>
      </c>
      <c r="L4501" s="78" t="n"/>
      <c r="M4501" s="78">
        <f>IF(ISBLANK(L4501),"",IF(D4501="Stock",IF(C4501="Buy",L4501*G4501,IF(C4501="Sell",(L4501*G4501)-I4501, X)),IF(C4501="Buy",(L4501*G4501*100)+I4501,IF(C4501="Sell",(L4501*G4501*100)-I4501, X))))</f>
        <v/>
      </c>
      <c r="N4501" s="78">
        <f>IF(ISBLANK(L4501),"",IF(AND(C4501="Sell",D4501="Stock"),M4501,IF(ISBLANK(L4501),"",IF(C4501="Buy",M4501, IF(AND(C4501="Sell",J4501="NA"),(E4501*G4501*100*0.1)+I4501, IF(C4501="Sell",(J4501-L4501)*(100*G4501)+I4501))))))</f>
        <v/>
      </c>
      <c r="O4501" s="75" t="n"/>
      <c r="P4501" s="75" t="n"/>
      <c r="Q4501" s="75">
        <f>IF(ISBLANK(P4501),"",IF(D4501="Stock",P4501*G4501,IF(P4501=0,"0",G4501*P4501*100-(G4501*$AF$14))))</f>
        <v/>
      </c>
      <c r="R4501" s="79">
        <f>IF(P4501&lt;&gt;"", TODAY(), "")</f>
        <v/>
      </c>
      <c r="S4501" s="78">
        <f>IF(AND(K4501&lt;&gt;"", R4501&lt;&gt;""), R4501-K4501, "")</f>
        <v/>
      </c>
      <c r="T4501" s="78" t="n"/>
      <c r="U4501" s="92">
        <f>IF(ISBLANK(P4501),"",IF(C4501="Buy",Q4501-M4501+T4501, IF(C4501="Sell",M4501-Q4501-T4501, X)))</f>
        <v/>
      </c>
      <c r="V4501" s="81">
        <f>IF(ISBLANK(P4501),"",U4501/N4501)</f>
        <v/>
      </c>
      <c r="W4501" s="81">
        <f>IF(ISBLANK(P4501),"",IF(S4501=0,(365/0.5)*V4501,(365/S4501)*V4501))</f>
        <v/>
      </c>
      <c r="X4501" s="75" t="n"/>
      <c r="Y4501" s="77" t="n"/>
      <c r="Z4501" s="77" t="n"/>
      <c r="AA4501" s="75" t="n"/>
      <c r="AB4501" s="75" t="n"/>
      <c r="AC4501" s="6" t="n"/>
      <c r="AD4501" s="75" t="n"/>
      <c r="AE4501" s="75" t="n"/>
      <c r="AF4501" s="75" t="n"/>
    </row>
    <row r="4502" ht="15.75" customHeight="1" s="133">
      <c r="A4502" s="75" t="n"/>
      <c r="B4502" s="75" t="n"/>
      <c r="C4502" s="75" t="n"/>
      <c r="D4502" s="75" t="n"/>
      <c r="E4502" s="76" t="n"/>
      <c r="F4502" s="77" t="n"/>
      <c r="G4502" s="75" t="n"/>
      <c r="H4502" s="75">
        <f>IF(ISBLANK(E4502),"",IF(OR(D4502="Butterfly",D4502="Butterfly ",D4502="Iron Fly", D4502="Iron Fly "),LEN(E4502)-LEN(SUBSTITUTE(E4502,"/",""))+2,LEN(E4502)-LEN(SUBSTITUTE(E4502,"/",""))+1))</f>
        <v/>
      </c>
      <c r="I4502" s="78">
        <f>IF(ISBLANK(G4502),"",IF(D4502="Stock","0",Key!$A$3*H4502*G4502))</f>
        <v/>
      </c>
      <c r="J4502" s="78">
        <f>IF(ISBLANK(E4502),"",IF(ISNUMBER(SEARCH("/",E4502)), IF(LEN(E4502)-LEN(SUBSTITUTE(E4502,"/",""))=1,(RIGHT(E4502,LEN(E4502)-FIND("/",E4502)))-(LEFT(E4502,FIND("/",E4502)-1)),(MID(E4502, SEARCH("/",E4502) + 1, SEARCH("/",E4502, SEARCH("/",E4502)+1) - SEARCH("/",E4502) - 1))-(LEFT(E4502,FIND("/",E4502)-1))), "NA"))</f>
        <v/>
      </c>
      <c r="K4502" s="79">
        <f>IF(A4502&lt;&gt;"", IF(ISBLANK(L4502), TODAY(), K4502), "")</f>
        <v/>
      </c>
      <c r="L4502" s="78" t="n"/>
      <c r="M4502" s="78">
        <f>IF(ISBLANK(L4502),"",IF(D4502="Stock",IF(C4502="Buy",L4502*G4502,IF(C4502="Sell",(L4502*G4502)-I4502, X)),IF(C4502="Buy",(L4502*G4502*100)+I4502,IF(C4502="Sell",(L4502*G4502*100)-I4502, X))))</f>
        <v/>
      </c>
      <c r="N4502" s="78">
        <f>IF(ISBLANK(L4502),"",IF(AND(C4502="Sell",D4502="Stock"),M4502,IF(ISBLANK(L4502),"",IF(C4502="Buy",M4502, IF(AND(C4502="Sell",J4502="NA"),(E4502*G4502*100*0.1)+I4502, IF(C4502="Sell",(J4502-L4502)*(100*G4502)+I4502))))))</f>
        <v/>
      </c>
      <c r="O4502" s="75" t="n"/>
      <c r="P4502" s="75" t="n"/>
      <c r="Q4502" s="75">
        <f>IF(ISBLANK(P4502),"",IF(D4502="Stock",P4502*G4502,IF(P4502=0,"0",G4502*P4502*100-(G4502*$AF$14))))</f>
        <v/>
      </c>
      <c r="R4502" s="79">
        <f>IF(P4502&lt;&gt;"", TODAY(), "")</f>
        <v/>
      </c>
      <c r="S4502" s="78">
        <f>IF(AND(K4502&lt;&gt;"", R4502&lt;&gt;""), R4502-K4502, "")</f>
        <v/>
      </c>
      <c r="T4502" s="78" t="n"/>
      <c r="U4502" s="92">
        <f>IF(ISBLANK(P4502),"",IF(C4502="Buy",Q4502-M4502+T4502, IF(C4502="Sell",M4502-Q4502-T4502, X)))</f>
        <v/>
      </c>
      <c r="V4502" s="81">
        <f>IF(ISBLANK(P4502),"",U4502/N4502)</f>
        <v/>
      </c>
      <c r="W4502" s="81">
        <f>IF(ISBLANK(P4502),"",IF(S4502=0,(365/0.5)*V4502,(365/S4502)*V4502))</f>
        <v/>
      </c>
      <c r="X4502" s="75" t="n"/>
      <c r="Y4502" s="77" t="n"/>
      <c r="Z4502" s="77" t="n"/>
      <c r="AA4502" s="75" t="n"/>
      <c r="AB4502" s="75" t="n"/>
      <c r="AC4502" s="6" t="n"/>
      <c r="AD4502" s="75" t="n"/>
      <c r="AE4502" s="75" t="n"/>
      <c r="AF4502" s="75" t="n"/>
    </row>
    <row r="4503" ht="15.75" customHeight="1" s="133">
      <c r="A4503" s="75" t="n"/>
      <c r="B4503" s="75" t="n"/>
      <c r="C4503" s="75" t="n"/>
      <c r="D4503" s="75" t="n"/>
      <c r="E4503" s="76" t="n"/>
      <c r="F4503" s="77" t="n"/>
      <c r="G4503" s="75" t="n"/>
      <c r="H4503" s="75">
        <f>IF(ISBLANK(E4503),"",IF(OR(D4503="Butterfly",D4503="Butterfly ",D4503="Iron Fly", D4503="Iron Fly "),LEN(E4503)-LEN(SUBSTITUTE(E4503,"/",""))+2,LEN(E4503)-LEN(SUBSTITUTE(E4503,"/",""))+1))</f>
        <v/>
      </c>
      <c r="I4503" s="78">
        <f>IF(ISBLANK(G4503),"",IF(D4503="Stock","0",Key!$A$3*H4503*G4503))</f>
        <v/>
      </c>
      <c r="J4503" s="78">
        <f>IF(ISBLANK(E4503),"",IF(ISNUMBER(SEARCH("/",E4503)), IF(LEN(E4503)-LEN(SUBSTITUTE(E4503,"/",""))=1,(RIGHT(E4503,LEN(E4503)-FIND("/",E4503)))-(LEFT(E4503,FIND("/",E4503)-1)),(MID(E4503, SEARCH("/",E4503) + 1, SEARCH("/",E4503, SEARCH("/",E4503)+1) - SEARCH("/",E4503) - 1))-(LEFT(E4503,FIND("/",E4503)-1))), "NA"))</f>
        <v/>
      </c>
      <c r="K4503" s="79">
        <f>IF(A4503&lt;&gt;"", IF(ISBLANK(L4503), TODAY(), K4503), "")</f>
        <v/>
      </c>
      <c r="L4503" s="78" t="n"/>
      <c r="M4503" s="78">
        <f>IF(ISBLANK(L4503),"",IF(D4503="Stock",IF(C4503="Buy",L4503*G4503,IF(C4503="Sell",(L4503*G4503)-I4503, X)),IF(C4503="Buy",(L4503*G4503*100)+I4503,IF(C4503="Sell",(L4503*G4503*100)-I4503, X))))</f>
        <v/>
      </c>
      <c r="N4503" s="78">
        <f>IF(ISBLANK(L4503),"",IF(AND(C4503="Sell",D4503="Stock"),M4503,IF(ISBLANK(L4503),"",IF(C4503="Buy",M4503, IF(AND(C4503="Sell",J4503="NA"),(E4503*G4503*100*0.1)+I4503, IF(C4503="Sell",(J4503-L4503)*(100*G4503)+I4503))))))</f>
        <v/>
      </c>
      <c r="O4503" s="75" t="n"/>
      <c r="P4503" s="75" t="n"/>
      <c r="Q4503" s="75">
        <f>IF(ISBLANK(P4503),"",IF(D4503="Stock",P4503*G4503,IF(P4503=0,"0",G4503*P4503*100-(G4503*$AF$14))))</f>
        <v/>
      </c>
      <c r="R4503" s="79">
        <f>IF(P4503&lt;&gt;"", TODAY(), "")</f>
        <v/>
      </c>
      <c r="S4503" s="78">
        <f>IF(AND(K4503&lt;&gt;"", R4503&lt;&gt;""), R4503-K4503, "")</f>
        <v/>
      </c>
      <c r="T4503" s="78" t="n"/>
      <c r="U4503" s="92">
        <f>IF(ISBLANK(P4503),"",IF(C4503="Buy",Q4503-M4503+T4503, IF(C4503="Sell",M4503-Q4503-T4503, X)))</f>
        <v/>
      </c>
      <c r="V4503" s="81">
        <f>IF(ISBLANK(P4503),"",U4503/N4503)</f>
        <v/>
      </c>
      <c r="W4503" s="81">
        <f>IF(ISBLANK(P4503),"",IF(S4503=0,(365/0.5)*V4503,(365/S4503)*V4503))</f>
        <v/>
      </c>
      <c r="X4503" s="75" t="n"/>
      <c r="Y4503" s="77" t="n"/>
      <c r="Z4503" s="77" t="n"/>
      <c r="AA4503" s="75" t="n"/>
      <c r="AB4503" s="75" t="n"/>
      <c r="AC4503" s="6" t="n"/>
      <c r="AD4503" s="75" t="n"/>
      <c r="AE4503" s="75" t="n"/>
      <c r="AF4503" s="75" t="n"/>
    </row>
    <row r="4504" ht="15.75" customHeight="1" s="133">
      <c r="A4504" s="75" t="n"/>
      <c r="B4504" s="75" t="n"/>
      <c r="C4504" s="75" t="n"/>
      <c r="D4504" s="75" t="n"/>
      <c r="E4504" s="76" t="n"/>
      <c r="F4504" s="77" t="n"/>
      <c r="G4504" s="75" t="n"/>
      <c r="H4504" s="75">
        <f>IF(ISBLANK(E4504),"",IF(OR(D4504="Butterfly",D4504="Butterfly ",D4504="Iron Fly", D4504="Iron Fly "),LEN(E4504)-LEN(SUBSTITUTE(E4504,"/",""))+2,LEN(E4504)-LEN(SUBSTITUTE(E4504,"/",""))+1))</f>
        <v/>
      </c>
      <c r="I4504" s="78">
        <f>IF(ISBLANK(G4504),"",IF(D4504="Stock","0",Key!$A$3*H4504*G4504))</f>
        <v/>
      </c>
      <c r="J4504" s="78">
        <f>IF(ISBLANK(E4504),"",IF(ISNUMBER(SEARCH("/",E4504)), IF(LEN(E4504)-LEN(SUBSTITUTE(E4504,"/",""))=1,(RIGHT(E4504,LEN(E4504)-FIND("/",E4504)))-(LEFT(E4504,FIND("/",E4504)-1)),(MID(E4504, SEARCH("/",E4504) + 1, SEARCH("/",E4504, SEARCH("/",E4504)+1) - SEARCH("/",E4504) - 1))-(LEFT(E4504,FIND("/",E4504)-1))), "NA"))</f>
        <v/>
      </c>
      <c r="K4504" s="79">
        <f>IF(A4504&lt;&gt;"", IF(ISBLANK(L4504), TODAY(), K4504), "")</f>
        <v/>
      </c>
      <c r="L4504" s="78" t="n"/>
      <c r="M4504" s="78">
        <f>IF(ISBLANK(L4504),"",IF(D4504="Stock",IF(C4504="Buy",L4504*G4504,IF(C4504="Sell",(L4504*G4504)-I4504, X)),IF(C4504="Buy",(L4504*G4504*100)+I4504,IF(C4504="Sell",(L4504*G4504*100)-I4504, X))))</f>
        <v/>
      </c>
      <c r="N4504" s="78">
        <f>IF(ISBLANK(L4504),"",IF(AND(C4504="Sell",D4504="Stock"),M4504,IF(ISBLANK(L4504),"",IF(C4504="Buy",M4504, IF(AND(C4504="Sell",J4504="NA"),(E4504*G4504*100*0.1)+I4504, IF(C4504="Sell",(J4504-L4504)*(100*G4504)+I4504))))))</f>
        <v/>
      </c>
      <c r="O4504" s="75" t="n"/>
      <c r="P4504" s="75" t="n"/>
      <c r="Q4504" s="75">
        <f>IF(ISBLANK(P4504),"",IF(D4504="Stock",P4504*G4504,IF(P4504=0,"0",G4504*P4504*100-(G4504*$AF$14))))</f>
        <v/>
      </c>
      <c r="R4504" s="79">
        <f>IF(P4504&lt;&gt;"", TODAY(), "")</f>
        <v/>
      </c>
      <c r="S4504" s="78">
        <f>IF(AND(K4504&lt;&gt;"", R4504&lt;&gt;""), R4504-K4504, "")</f>
        <v/>
      </c>
      <c r="T4504" s="78" t="n"/>
      <c r="U4504" s="92">
        <f>IF(ISBLANK(P4504),"",IF(C4504="Buy",Q4504-M4504+T4504, IF(C4504="Sell",M4504-Q4504-T4504, X)))</f>
        <v/>
      </c>
      <c r="V4504" s="81">
        <f>IF(ISBLANK(P4504),"",U4504/N4504)</f>
        <v/>
      </c>
      <c r="W4504" s="81">
        <f>IF(ISBLANK(P4504),"",IF(S4504=0,(365/0.5)*V4504,(365/S4504)*V4504))</f>
        <v/>
      </c>
      <c r="X4504" s="75" t="n"/>
      <c r="Y4504" s="77" t="n"/>
      <c r="Z4504" s="77" t="n"/>
      <c r="AA4504" s="75" t="n"/>
      <c r="AB4504" s="75" t="n"/>
      <c r="AC4504" s="6" t="n"/>
      <c r="AD4504" s="75" t="n"/>
      <c r="AE4504" s="75" t="n"/>
      <c r="AF4504" s="75" t="n"/>
    </row>
    <row r="4505" ht="15.75" customHeight="1" s="133">
      <c r="A4505" s="75" t="n"/>
      <c r="B4505" s="75" t="n"/>
      <c r="C4505" s="75" t="n"/>
      <c r="D4505" s="75" t="n"/>
      <c r="E4505" s="76" t="n"/>
      <c r="F4505" s="77" t="n"/>
      <c r="G4505" s="75" t="n"/>
      <c r="H4505" s="75">
        <f>IF(ISBLANK(E4505),"",IF(OR(D4505="Butterfly",D4505="Butterfly ",D4505="Iron Fly", D4505="Iron Fly "),LEN(E4505)-LEN(SUBSTITUTE(E4505,"/",""))+2,LEN(E4505)-LEN(SUBSTITUTE(E4505,"/",""))+1))</f>
        <v/>
      </c>
      <c r="I4505" s="78">
        <f>IF(ISBLANK(G4505),"",IF(D4505="Stock","0",Key!$A$3*H4505*G4505))</f>
        <v/>
      </c>
      <c r="J4505" s="78">
        <f>IF(ISBLANK(E4505),"",IF(ISNUMBER(SEARCH("/",E4505)), IF(LEN(E4505)-LEN(SUBSTITUTE(E4505,"/",""))=1,(RIGHT(E4505,LEN(E4505)-FIND("/",E4505)))-(LEFT(E4505,FIND("/",E4505)-1)),(MID(E4505, SEARCH("/",E4505) + 1, SEARCH("/",E4505, SEARCH("/",E4505)+1) - SEARCH("/",E4505) - 1))-(LEFT(E4505,FIND("/",E4505)-1))), "NA"))</f>
        <v/>
      </c>
      <c r="K4505" s="79">
        <f>IF(A4505&lt;&gt;"", IF(ISBLANK(L4505), TODAY(), K4505), "")</f>
        <v/>
      </c>
      <c r="L4505" s="78" t="n"/>
      <c r="M4505" s="78">
        <f>IF(ISBLANK(L4505),"",IF(D4505="Stock",IF(C4505="Buy",L4505*G4505,IF(C4505="Sell",(L4505*G4505)-I4505, X)),IF(C4505="Buy",(L4505*G4505*100)+I4505,IF(C4505="Sell",(L4505*G4505*100)-I4505, X))))</f>
        <v/>
      </c>
      <c r="N4505" s="78">
        <f>IF(ISBLANK(L4505),"",IF(AND(C4505="Sell",D4505="Stock"),M4505,IF(ISBLANK(L4505),"",IF(C4505="Buy",M4505, IF(AND(C4505="Sell",J4505="NA"),(E4505*G4505*100*0.1)+I4505, IF(C4505="Sell",(J4505-L4505)*(100*G4505)+I4505))))))</f>
        <v/>
      </c>
      <c r="O4505" s="75" t="n"/>
      <c r="P4505" s="75" t="n"/>
      <c r="Q4505" s="75">
        <f>IF(ISBLANK(P4505),"",IF(D4505="Stock",P4505*G4505,IF(P4505=0,"0",G4505*P4505*100-(G4505*$AF$14))))</f>
        <v/>
      </c>
      <c r="R4505" s="79">
        <f>IF(P4505&lt;&gt;"", TODAY(), "")</f>
        <v/>
      </c>
      <c r="S4505" s="78">
        <f>IF(AND(K4505&lt;&gt;"", R4505&lt;&gt;""), R4505-K4505, "")</f>
        <v/>
      </c>
      <c r="T4505" s="78" t="n"/>
      <c r="U4505" s="92">
        <f>IF(ISBLANK(P4505),"",IF(C4505="Buy",Q4505-M4505+T4505, IF(C4505="Sell",M4505-Q4505-T4505, X)))</f>
        <v/>
      </c>
      <c r="V4505" s="81">
        <f>IF(ISBLANK(P4505),"",U4505/N4505)</f>
        <v/>
      </c>
      <c r="W4505" s="81">
        <f>IF(ISBLANK(P4505),"",IF(S4505=0,(365/0.5)*V4505,(365/S4505)*V4505))</f>
        <v/>
      </c>
      <c r="X4505" s="75" t="n"/>
      <c r="Y4505" s="77" t="n"/>
      <c r="Z4505" s="77" t="n"/>
      <c r="AA4505" s="75" t="n"/>
      <c r="AB4505" s="75" t="n"/>
      <c r="AC4505" s="6" t="n"/>
      <c r="AD4505" s="75" t="n"/>
      <c r="AE4505" s="75" t="n"/>
      <c r="AF4505" s="75" t="n"/>
    </row>
    <row r="4506" ht="15.75" customHeight="1" s="133">
      <c r="A4506" s="75" t="n"/>
      <c r="B4506" s="75" t="n"/>
      <c r="C4506" s="75" t="n"/>
      <c r="D4506" s="75" t="n"/>
      <c r="E4506" s="76" t="n"/>
      <c r="F4506" s="77" t="n"/>
      <c r="G4506" s="75" t="n"/>
      <c r="H4506" s="75">
        <f>IF(ISBLANK(E4506),"",IF(OR(D4506="Butterfly",D4506="Butterfly ",D4506="Iron Fly", D4506="Iron Fly "),LEN(E4506)-LEN(SUBSTITUTE(E4506,"/",""))+2,LEN(E4506)-LEN(SUBSTITUTE(E4506,"/",""))+1))</f>
        <v/>
      </c>
      <c r="I4506" s="78">
        <f>IF(ISBLANK(G4506),"",IF(D4506="Stock","0",Key!$A$3*H4506*G4506))</f>
        <v/>
      </c>
      <c r="J4506" s="78">
        <f>IF(ISBLANK(E4506),"",IF(ISNUMBER(SEARCH("/",E4506)), IF(LEN(E4506)-LEN(SUBSTITUTE(E4506,"/",""))=1,(RIGHT(E4506,LEN(E4506)-FIND("/",E4506)))-(LEFT(E4506,FIND("/",E4506)-1)),(MID(E4506, SEARCH("/",E4506) + 1, SEARCH("/",E4506, SEARCH("/",E4506)+1) - SEARCH("/",E4506) - 1))-(LEFT(E4506,FIND("/",E4506)-1))), "NA"))</f>
        <v/>
      </c>
      <c r="K4506" s="79">
        <f>IF(A4506&lt;&gt;"", IF(ISBLANK(L4506), TODAY(), K4506), "")</f>
        <v/>
      </c>
      <c r="L4506" s="78" t="n"/>
      <c r="M4506" s="78">
        <f>IF(ISBLANK(L4506),"",IF(D4506="Stock",IF(C4506="Buy",L4506*G4506,IF(C4506="Sell",(L4506*G4506)-I4506, X)),IF(C4506="Buy",(L4506*G4506*100)+I4506,IF(C4506="Sell",(L4506*G4506*100)-I4506, X))))</f>
        <v/>
      </c>
      <c r="N4506" s="78">
        <f>IF(ISBLANK(L4506),"",IF(AND(C4506="Sell",D4506="Stock"),M4506,IF(ISBLANK(L4506),"",IF(C4506="Buy",M4506, IF(AND(C4506="Sell",J4506="NA"),(E4506*G4506*100*0.1)+I4506, IF(C4506="Sell",(J4506-L4506)*(100*G4506)+I4506))))))</f>
        <v/>
      </c>
      <c r="O4506" s="75" t="n"/>
      <c r="P4506" s="75" t="n"/>
      <c r="Q4506" s="75">
        <f>IF(ISBLANK(P4506),"",IF(D4506="Stock",P4506*G4506,IF(P4506=0,"0",G4506*P4506*100-(G4506*$AF$14))))</f>
        <v/>
      </c>
      <c r="R4506" s="79">
        <f>IF(P4506&lt;&gt;"", TODAY(), "")</f>
        <v/>
      </c>
      <c r="S4506" s="78">
        <f>IF(AND(K4506&lt;&gt;"", R4506&lt;&gt;""), R4506-K4506, "")</f>
        <v/>
      </c>
      <c r="T4506" s="78" t="n"/>
      <c r="U4506" s="92">
        <f>IF(ISBLANK(P4506),"",IF(C4506="Buy",Q4506-M4506+T4506, IF(C4506="Sell",M4506-Q4506-T4506, X)))</f>
        <v/>
      </c>
      <c r="V4506" s="81">
        <f>IF(ISBLANK(P4506),"",U4506/N4506)</f>
        <v/>
      </c>
      <c r="W4506" s="81">
        <f>IF(ISBLANK(P4506),"",IF(S4506=0,(365/0.5)*V4506,(365/S4506)*V4506))</f>
        <v/>
      </c>
      <c r="X4506" s="75" t="n"/>
      <c r="Y4506" s="77" t="n"/>
      <c r="Z4506" s="77" t="n"/>
      <c r="AA4506" s="75" t="n"/>
      <c r="AB4506" s="75" t="n"/>
      <c r="AC4506" s="6" t="n"/>
      <c r="AD4506" s="75" t="n"/>
      <c r="AE4506" s="75" t="n"/>
      <c r="AF4506" s="75" t="n"/>
    </row>
    <row r="4507" ht="15.75" customHeight="1" s="133">
      <c r="A4507" s="75" t="n"/>
      <c r="B4507" s="75" t="n"/>
      <c r="C4507" s="75" t="n"/>
      <c r="D4507" s="75" t="n"/>
      <c r="E4507" s="76" t="n"/>
      <c r="F4507" s="77" t="n"/>
      <c r="G4507" s="75" t="n"/>
      <c r="H4507" s="75">
        <f>IF(ISBLANK(E4507),"",IF(OR(D4507="Butterfly",D4507="Butterfly ",D4507="Iron Fly", D4507="Iron Fly "),LEN(E4507)-LEN(SUBSTITUTE(E4507,"/",""))+2,LEN(E4507)-LEN(SUBSTITUTE(E4507,"/",""))+1))</f>
        <v/>
      </c>
      <c r="I4507" s="78">
        <f>IF(ISBLANK(G4507),"",IF(D4507="Stock","0",Key!$A$3*H4507*G4507))</f>
        <v/>
      </c>
      <c r="J4507" s="78">
        <f>IF(ISBLANK(E4507),"",IF(ISNUMBER(SEARCH("/",E4507)), IF(LEN(E4507)-LEN(SUBSTITUTE(E4507,"/",""))=1,(RIGHT(E4507,LEN(E4507)-FIND("/",E4507)))-(LEFT(E4507,FIND("/",E4507)-1)),(MID(E4507, SEARCH("/",E4507) + 1, SEARCH("/",E4507, SEARCH("/",E4507)+1) - SEARCH("/",E4507) - 1))-(LEFT(E4507,FIND("/",E4507)-1))), "NA"))</f>
        <v/>
      </c>
      <c r="K4507" s="79">
        <f>IF(A4507&lt;&gt;"", IF(ISBLANK(L4507), TODAY(), K4507), "")</f>
        <v/>
      </c>
      <c r="L4507" s="78" t="n"/>
      <c r="M4507" s="78">
        <f>IF(ISBLANK(L4507),"",IF(D4507="Stock",IF(C4507="Buy",L4507*G4507,IF(C4507="Sell",(L4507*G4507)-I4507, X)),IF(C4507="Buy",(L4507*G4507*100)+I4507,IF(C4507="Sell",(L4507*G4507*100)-I4507, X))))</f>
        <v/>
      </c>
      <c r="N4507" s="78">
        <f>IF(ISBLANK(L4507),"",IF(AND(C4507="Sell",D4507="Stock"),M4507,IF(ISBLANK(L4507),"",IF(C4507="Buy",M4507, IF(AND(C4507="Sell",J4507="NA"),(E4507*G4507*100*0.1)+I4507, IF(C4507="Sell",(J4507-L4507)*(100*G4507)+I4507))))))</f>
        <v/>
      </c>
      <c r="O4507" s="75" t="n"/>
      <c r="P4507" s="75" t="n"/>
      <c r="Q4507" s="75">
        <f>IF(ISBLANK(P4507),"",IF(D4507="Stock",P4507*G4507,IF(P4507=0,"0",G4507*P4507*100-(G4507*$AF$14))))</f>
        <v/>
      </c>
      <c r="R4507" s="79">
        <f>IF(P4507&lt;&gt;"", TODAY(), "")</f>
        <v/>
      </c>
      <c r="S4507" s="78">
        <f>IF(AND(K4507&lt;&gt;"", R4507&lt;&gt;""), R4507-K4507, "")</f>
        <v/>
      </c>
      <c r="T4507" s="78" t="n"/>
      <c r="U4507" s="92">
        <f>IF(ISBLANK(P4507),"",IF(C4507="Buy",Q4507-M4507+T4507, IF(C4507="Sell",M4507-Q4507-T4507, X)))</f>
        <v/>
      </c>
      <c r="V4507" s="81">
        <f>IF(ISBLANK(P4507),"",U4507/N4507)</f>
        <v/>
      </c>
      <c r="W4507" s="81">
        <f>IF(ISBLANK(P4507),"",IF(S4507=0,(365/0.5)*V4507,(365/S4507)*V4507))</f>
        <v/>
      </c>
      <c r="X4507" s="75" t="n"/>
      <c r="Y4507" s="77" t="n"/>
      <c r="Z4507" s="77" t="n"/>
      <c r="AA4507" s="75" t="n"/>
      <c r="AB4507" s="75" t="n"/>
      <c r="AC4507" s="6" t="n"/>
      <c r="AD4507" s="75" t="n"/>
      <c r="AE4507" s="75" t="n"/>
      <c r="AF4507" s="75" t="n"/>
    </row>
    <row r="4508" ht="15.75" customHeight="1" s="133">
      <c r="A4508" s="75" t="n"/>
      <c r="B4508" s="75" t="n"/>
      <c r="C4508" s="75" t="n"/>
      <c r="D4508" s="75" t="n"/>
      <c r="E4508" s="76" t="n"/>
      <c r="F4508" s="77" t="n"/>
      <c r="G4508" s="75" t="n"/>
      <c r="H4508" s="75">
        <f>IF(ISBLANK(E4508),"",IF(OR(D4508="Butterfly",D4508="Butterfly ",D4508="Iron Fly", D4508="Iron Fly "),LEN(E4508)-LEN(SUBSTITUTE(E4508,"/",""))+2,LEN(E4508)-LEN(SUBSTITUTE(E4508,"/",""))+1))</f>
        <v/>
      </c>
      <c r="I4508" s="78">
        <f>IF(ISBLANK(G4508),"",IF(D4508="Stock","0",Key!$A$3*H4508*G4508))</f>
        <v/>
      </c>
      <c r="J4508" s="78">
        <f>IF(ISBLANK(E4508),"",IF(ISNUMBER(SEARCH("/",E4508)), IF(LEN(E4508)-LEN(SUBSTITUTE(E4508,"/",""))=1,(RIGHT(E4508,LEN(E4508)-FIND("/",E4508)))-(LEFT(E4508,FIND("/",E4508)-1)),(MID(E4508, SEARCH("/",E4508) + 1, SEARCH("/",E4508, SEARCH("/",E4508)+1) - SEARCH("/",E4508) - 1))-(LEFT(E4508,FIND("/",E4508)-1))), "NA"))</f>
        <v/>
      </c>
      <c r="K4508" s="79">
        <f>IF(A4508&lt;&gt;"", IF(ISBLANK(L4508), TODAY(), K4508), "")</f>
        <v/>
      </c>
      <c r="L4508" s="78" t="n"/>
      <c r="M4508" s="78">
        <f>IF(ISBLANK(L4508),"",IF(D4508="Stock",IF(C4508="Buy",L4508*G4508,IF(C4508="Sell",(L4508*G4508)-I4508, X)),IF(C4508="Buy",(L4508*G4508*100)+I4508,IF(C4508="Sell",(L4508*G4508*100)-I4508, X))))</f>
        <v/>
      </c>
      <c r="N4508" s="78">
        <f>IF(ISBLANK(L4508),"",IF(AND(C4508="Sell",D4508="Stock"),M4508,IF(ISBLANK(L4508),"",IF(C4508="Buy",M4508, IF(AND(C4508="Sell",J4508="NA"),(E4508*G4508*100*0.1)+I4508, IF(C4508="Sell",(J4508-L4508)*(100*G4508)+I4508))))))</f>
        <v/>
      </c>
      <c r="O4508" s="75" t="n"/>
      <c r="P4508" s="75" t="n"/>
      <c r="Q4508" s="75">
        <f>IF(ISBLANK(P4508),"",IF(D4508="Stock",P4508*G4508,IF(P4508=0,"0",G4508*P4508*100-(G4508*$AF$14))))</f>
        <v/>
      </c>
      <c r="R4508" s="79">
        <f>IF(P4508&lt;&gt;"", TODAY(), "")</f>
        <v/>
      </c>
      <c r="S4508" s="78">
        <f>IF(AND(K4508&lt;&gt;"", R4508&lt;&gt;""), R4508-K4508, "")</f>
        <v/>
      </c>
      <c r="T4508" s="78" t="n"/>
      <c r="U4508" s="92">
        <f>IF(ISBLANK(P4508),"",IF(C4508="Buy",Q4508-M4508+T4508, IF(C4508="Sell",M4508-Q4508-T4508, X)))</f>
        <v/>
      </c>
      <c r="V4508" s="81">
        <f>IF(ISBLANK(P4508),"",U4508/N4508)</f>
        <v/>
      </c>
      <c r="W4508" s="81">
        <f>IF(ISBLANK(P4508),"",IF(S4508=0,(365/0.5)*V4508,(365/S4508)*V4508))</f>
        <v/>
      </c>
      <c r="X4508" s="75" t="n"/>
      <c r="Y4508" s="77" t="n"/>
      <c r="Z4508" s="77" t="n"/>
      <c r="AA4508" s="75" t="n"/>
      <c r="AB4508" s="75" t="n"/>
      <c r="AC4508" s="6" t="n"/>
      <c r="AD4508" s="75" t="n"/>
      <c r="AE4508" s="75" t="n"/>
      <c r="AF4508" s="75" t="n"/>
    </row>
    <row r="4509" ht="15.75" customHeight="1" s="133">
      <c r="A4509" s="75" t="n"/>
      <c r="B4509" s="75" t="n"/>
      <c r="C4509" s="75" t="n"/>
      <c r="D4509" s="75" t="n"/>
      <c r="E4509" s="76" t="n"/>
      <c r="F4509" s="77" t="n"/>
      <c r="G4509" s="75" t="n"/>
      <c r="H4509" s="75">
        <f>IF(ISBLANK(E4509),"",IF(OR(D4509="Butterfly",D4509="Butterfly ",D4509="Iron Fly", D4509="Iron Fly "),LEN(E4509)-LEN(SUBSTITUTE(E4509,"/",""))+2,LEN(E4509)-LEN(SUBSTITUTE(E4509,"/",""))+1))</f>
        <v/>
      </c>
      <c r="I4509" s="78">
        <f>IF(ISBLANK(G4509),"",IF(D4509="Stock","0",Key!$A$3*H4509*G4509))</f>
        <v/>
      </c>
      <c r="J4509" s="78">
        <f>IF(ISBLANK(E4509),"",IF(ISNUMBER(SEARCH("/",E4509)), IF(LEN(E4509)-LEN(SUBSTITUTE(E4509,"/",""))=1,(RIGHT(E4509,LEN(E4509)-FIND("/",E4509)))-(LEFT(E4509,FIND("/",E4509)-1)),(MID(E4509, SEARCH("/",E4509) + 1, SEARCH("/",E4509, SEARCH("/",E4509)+1) - SEARCH("/",E4509) - 1))-(LEFT(E4509,FIND("/",E4509)-1))), "NA"))</f>
        <v/>
      </c>
      <c r="K4509" s="79">
        <f>IF(A4509&lt;&gt;"", IF(ISBLANK(L4509), TODAY(), K4509), "")</f>
        <v/>
      </c>
      <c r="L4509" s="78" t="n"/>
      <c r="M4509" s="78">
        <f>IF(ISBLANK(L4509),"",IF(D4509="Stock",IF(C4509="Buy",L4509*G4509,IF(C4509="Sell",(L4509*G4509)-I4509, X)),IF(C4509="Buy",(L4509*G4509*100)+I4509,IF(C4509="Sell",(L4509*G4509*100)-I4509, X))))</f>
        <v/>
      </c>
      <c r="N4509" s="78">
        <f>IF(ISBLANK(L4509),"",IF(AND(C4509="Sell",D4509="Stock"),M4509,IF(ISBLANK(L4509),"",IF(C4509="Buy",M4509, IF(AND(C4509="Sell",J4509="NA"),(E4509*G4509*100*0.1)+I4509, IF(C4509="Sell",(J4509-L4509)*(100*G4509)+I4509))))))</f>
        <v/>
      </c>
      <c r="O4509" s="75" t="n"/>
      <c r="P4509" s="75" t="n"/>
      <c r="Q4509" s="75">
        <f>IF(ISBLANK(P4509),"",IF(D4509="Stock",P4509*G4509,IF(P4509=0,"0",G4509*P4509*100-(G4509*$AF$14))))</f>
        <v/>
      </c>
      <c r="R4509" s="79">
        <f>IF(P4509&lt;&gt;"", TODAY(), "")</f>
        <v/>
      </c>
      <c r="S4509" s="78">
        <f>IF(AND(K4509&lt;&gt;"", R4509&lt;&gt;""), R4509-K4509, "")</f>
        <v/>
      </c>
      <c r="T4509" s="78" t="n"/>
      <c r="U4509" s="92">
        <f>IF(ISBLANK(P4509),"",IF(C4509="Buy",Q4509-M4509+T4509, IF(C4509="Sell",M4509-Q4509-T4509, X)))</f>
        <v/>
      </c>
      <c r="V4509" s="81">
        <f>IF(ISBLANK(P4509),"",U4509/N4509)</f>
        <v/>
      </c>
      <c r="W4509" s="81">
        <f>IF(ISBLANK(P4509),"",IF(S4509=0,(365/0.5)*V4509,(365/S4509)*V4509))</f>
        <v/>
      </c>
      <c r="X4509" s="75" t="n"/>
      <c r="Y4509" s="77" t="n"/>
      <c r="Z4509" s="77" t="n"/>
      <c r="AA4509" s="75" t="n"/>
      <c r="AB4509" s="75" t="n"/>
      <c r="AC4509" s="6" t="n"/>
      <c r="AD4509" s="75" t="n"/>
      <c r="AE4509" s="75" t="n"/>
      <c r="AF4509" s="75" t="n"/>
    </row>
    <row r="4510" ht="15.75" customHeight="1" s="133">
      <c r="A4510" s="75" t="n"/>
      <c r="B4510" s="75" t="n"/>
      <c r="C4510" s="75" t="n"/>
      <c r="D4510" s="75" t="n"/>
      <c r="E4510" s="76" t="n"/>
      <c r="F4510" s="77" t="n"/>
      <c r="G4510" s="75" t="n"/>
      <c r="H4510" s="75">
        <f>IF(ISBLANK(E4510),"",IF(OR(D4510="Butterfly",D4510="Butterfly ",D4510="Iron Fly", D4510="Iron Fly "),LEN(E4510)-LEN(SUBSTITUTE(E4510,"/",""))+2,LEN(E4510)-LEN(SUBSTITUTE(E4510,"/",""))+1))</f>
        <v/>
      </c>
      <c r="I4510" s="78">
        <f>IF(ISBLANK(G4510),"",IF(D4510="Stock","0",Key!$A$3*H4510*G4510))</f>
        <v/>
      </c>
      <c r="J4510" s="78">
        <f>IF(ISBLANK(E4510),"",IF(ISNUMBER(SEARCH("/",E4510)), IF(LEN(E4510)-LEN(SUBSTITUTE(E4510,"/",""))=1,(RIGHT(E4510,LEN(E4510)-FIND("/",E4510)))-(LEFT(E4510,FIND("/",E4510)-1)),(MID(E4510, SEARCH("/",E4510) + 1, SEARCH("/",E4510, SEARCH("/",E4510)+1) - SEARCH("/",E4510) - 1))-(LEFT(E4510,FIND("/",E4510)-1))), "NA"))</f>
        <v/>
      </c>
      <c r="K4510" s="79">
        <f>IF(A4510&lt;&gt;"", IF(ISBLANK(L4510), TODAY(), K4510), "")</f>
        <v/>
      </c>
      <c r="L4510" s="78" t="n"/>
      <c r="M4510" s="78">
        <f>IF(ISBLANK(L4510),"",IF(D4510="Stock",IF(C4510="Buy",L4510*G4510,IF(C4510="Sell",(L4510*G4510)-I4510, X)),IF(C4510="Buy",(L4510*G4510*100)+I4510,IF(C4510="Sell",(L4510*G4510*100)-I4510, X))))</f>
        <v/>
      </c>
      <c r="N4510" s="78">
        <f>IF(ISBLANK(L4510),"",IF(AND(C4510="Sell",D4510="Stock"),M4510,IF(ISBLANK(L4510),"",IF(C4510="Buy",M4510, IF(AND(C4510="Sell",J4510="NA"),(E4510*G4510*100*0.1)+I4510, IF(C4510="Sell",(J4510-L4510)*(100*G4510)+I4510))))))</f>
        <v/>
      </c>
      <c r="O4510" s="75" t="n"/>
      <c r="P4510" s="75" t="n"/>
      <c r="Q4510" s="75">
        <f>IF(ISBLANK(P4510),"",IF(D4510="Stock",P4510*G4510,IF(P4510=0,"0",G4510*P4510*100-(G4510*$AF$14))))</f>
        <v/>
      </c>
      <c r="R4510" s="79">
        <f>IF(P4510&lt;&gt;"", TODAY(), "")</f>
        <v/>
      </c>
      <c r="S4510" s="78">
        <f>IF(AND(K4510&lt;&gt;"", R4510&lt;&gt;""), R4510-K4510, "")</f>
        <v/>
      </c>
      <c r="T4510" s="78" t="n"/>
      <c r="U4510" s="92">
        <f>IF(ISBLANK(P4510),"",IF(C4510="Buy",Q4510-M4510+T4510, IF(C4510="Sell",M4510-Q4510-T4510, X)))</f>
        <v/>
      </c>
      <c r="V4510" s="81">
        <f>IF(ISBLANK(P4510),"",U4510/N4510)</f>
        <v/>
      </c>
      <c r="W4510" s="81">
        <f>IF(ISBLANK(P4510),"",IF(S4510=0,(365/0.5)*V4510,(365/S4510)*V4510))</f>
        <v/>
      </c>
      <c r="X4510" s="75" t="n"/>
      <c r="Y4510" s="77" t="n"/>
      <c r="Z4510" s="77" t="n"/>
      <c r="AA4510" s="75" t="n"/>
      <c r="AB4510" s="75" t="n"/>
      <c r="AC4510" s="6" t="n"/>
      <c r="AD4510" s="75" t="n"/>
      <c r="AE4510" s="75" t="n"/>
      <c r="AF4510" s="75" t="n"/>
    </row>
    <row r="4511" ht="15.75" customHeight="1" s="133">
      <c r="A4511" s="75" t="n"/>
      <c r="B4511" s="75" t="n"/>
      <c r="C4511" s="75" t="n"/>
      <c r="D4511" s="75" t="n"/>
      <c r="E4511" s="76" t="n"/>
      <c r="F4511" s="77" t="n"/>
      <c r="G4511" s="75" t="n"/>
      <c r="H4511" s="75">
        <f>IF(ISBLANK(E4511),"",IF(OR(D4511="Butterfly",D4511="Butterfly ",D4511="Iron Fly", D4511="Iron Fly "),LEN(E4511)-LEN(SUBSTITUTE(E4511,"/",""))+2,LEN(E4511)-LEN(SUBSTITUTE(E4511,"/",""))+1))</f>
        <v/>
      </c>
      <c r="I4511" s="78">
        <f>IF(ISBLANK(G4511),"",IF(D4511="Stock","0",Key!$A$3*H4511*G4511))</f>
        <v/>
      </c>
      <c r="J4511" s="78">
        <f>IF(ISBLANK(E4511),"",IF(ISNUMBER(SEARCH("/",E4511)), IF(LEN(E4511)-LEN(SUBSTITUTE(E4511,"/",""))=1,(RIGHT(E4511,LEN(E4511)-FIND("/",E4511)))-(LEFT(E4511,FIND("/",E4511)-1)),(MID(E4511, SEARCH("/",E4511) + 1, SEARCH("/",E4511, SEARCH("/",E4511)+1) - SEARCH("/",E4511) - 1))-(LEFT(E4511,FIND("/",E4511)-1))), "NA"))</f>
        <v/>
      </c>
      <c r="K4511" s="79">
        <f>IF(A4511&lt;&gt;"", IF(ISBLANK(L4511), TODAY(), K4511), "")</f>
        <v/>
      </c>
      <c r="L4511" s="78" t="n"/>
      <c r="M4511" s="78">
        <f>IF(ISBLANK(L4511),"",IF(D4511="Stock",IF(C4511="Buy",L4511*G4511,IF(C4511="Sell",(L4511*G4511)-I4511, X)),IF(C4511="Buy",(L4511*G4511*100)+I4511,IF(C4511="Sell",(L4511*G4511*100)-I4511, X))))</f>
        <v/>
      </c>
      <c r="N4511" s="78">
        <f>IF(ISBLANK(L4511),"",IF(AND(C4511="Sell",D4511="Stock"),M4511,IF(ISBLANK(L4511),"",IF(C4511="Buy",M4511, IF(AND(C4511="Sell",J4511="NA"),(E4511*G4511*100*0.1)+I4511, IF(C4511="Sell",(J4511-L4511)*(100*G4511)+I4511))))))</f>
        <v/>
      </c>
      <c r="O4511" s="75" t="n"/>
      <c r="P4511" s="75" t="n"/>
      <c r="Q4511" s="75">
        <f>IF(ISBLANK(P4511),"",IF(D4511="Stock",P4511*G4511,IF(P4511=0,"0",G4511*P4511*100-(G4511*$AF$14))))</f>
        <v/>
      </c>
      <c r="R4511" s="79">
        <f>IF(P4511&lt;&gt;"", TODAY(), "")</f>
        <v/>
      </c>
      <c r="S4511" s="78">
        <f>IF(AND(K4511&lt;&gt;"", R4511&lt;&gt;""), R4511-K4511, "")</f>
        <v/>
      </c>
      <c r="T4511" s="78" t="n"/>
      <c r="U4511" s="92">
        <f>IF(ISBLANK(P4511),"",IF(C4511="Buy",Q4511-M4511+T4511, IF(C4511="Sell",M4511-Q4511-T4511, X)))</f>
        <v/>
      </c>
      <c r="V4511" s="81">
        <f>IF(ISBLANK(P4511),"",U4511/N4511)</f>
        <v/>
      </c>
      <c r="W4511" s="81">
        <f>IF(ISBLANK(P4511),"",IF(S4511=0,(365/0.5)*V4511,(365/S4511)*V4511))</f>
        <v/>
      </c>
      <c r="X4511" s="75" t="n"/>
      <c r="Y4511" s="77" t="n"/>
      <c r="Z4511" s="77" t="n"/>
      <c r="AA4511" s="75" t="n"/>
      <c r="AB4511" s="75" t="n"/>
      <c r="AC4511" s="6" t="n"/>
      <c r="AD4511" s="75" t="n"/>
      <c r="AE4511" s="75" t="n"/>
      <c r="AF4511" s="75" t="n"/>
    </row>
    <row r="4512" ht="15.75" customHeight="1" s="133">
      <c r="A4512" s="75" t="n"/>
      <c r="B4512" s="75" t="n"/>
      <c r="C4512" s="75" t="n"/>
      <c r="D4512" s="75" t="n"/>
      <c r="E4512" s="76" t="n"/>
      <c r="F4512" s="77" t="n"/>
      <c r="G4512" s="75" t="n"/>
      <c r="H4512" s="75">
        <f>IF(ISBLANK(E4512),"",IF(OR(D4512="Butterfly",D4512="Butterfly ",D4512="Iron Fly", D4512="Iron Fly "),LEN(E4512)-LEN(SUBSTITUTE(E4512,"/",""))+2,LEN(E4512)-LEN(SUBSTITUTE(E4512,"/",""))+1))</f>
        <v/>
      </c>
      <c r="I4512" s="78">
        <f>IF(ISBLANK(G4512),"",IF(D4512="Stock","0",Key!$A$3*H4512*G4512))</f>
        <v/>
      </c>
      <c r="J4512" s="78">
        <f>IF(ISBLANK(E4512),"",IF(ISNUMBER(SEARCH("/",E4512)), IF(LEN(E4512)-LEN(SUBSTITUTE(E4512,"/",""))=1,(RIGHT(E4512,LEN(E4512)-FIND("/",E4512)))-(LEFT(E4512,FIND("/",E4512)-1)),(MID(E4512, SEARCH("/",E4512) + 1, SEARCH("/",E4512, SEARCH("/",E4512)+1) - SEARCH("/",E4512) - 1))-(LEFT(E4512,FIND("/",E4512)-1))), "NA"))</f>
        <v/>
      </c>
      <c r="K4512" s="79">
        <f>IF(A4512&lt;&gt;"", IF(ISBLANK(L4512), TODAY(), K4512), "")</f>
        <v/>
      </c>
      <c r="L4512" s="78" t="n"/>
      <c r="M4512" s="78">
        <f>IF(ISBLANK(L4512),"",IF(D4512="Stock",IF(C4512="Buy",L4512*G4512,IF(C4512="Sell",(L4512*G4512)-I4512, X)),IF(C4512="Buy",(L4512*G4512*100)+I4512,IF(C4512="Sell",(L4512*G4512*100)-I4512, X))))</f>
        <v/>
      </c>
      <c r="N4512" s="78">
        <f>IF(ISBLANK(L4512),"",IF(AND(C4512="Sell",D4512="Stock"),M4512,IF(ISBLANK(L4512),"",IF(C4512="Buy",M4512, IF(AND(C4512="Sell",J4512="NA"),(E4512*G4512*100*0.1)+I4512, IF(C4512="Sell",(J4512-L4512)*(100*G4512)+I4512))))))</f>
        <v/>
      </c>
      <c r="O4512" s="75" t="n"/>
      <c r="P4512" s="75" t="n"/>
      <c r="Q4512" s="75">
        <f>IF(ISBLANK(P4512),"",IF(D4512="Stock",P4512*G4512,IF(P4512=0,"0",G4512*P4512*100-(G4512*$AF$14))))</f>
        <v/>
      </c>
      <c r="R4512" s="79">
        <f>IF(P4512&lt;&gt;"", TODAY(), "")</f>
        <v/>
      </c>
      <c r="S4512" s="78">
        <f>IF(AND(K4512&lt;&gt;"", R4512&lt;&gt;""), R4512-K4512, "")</f>
        <v/>
      </c>
      <c r="T4512" s="78" t="n"/>
      <c r="U4512" s="92">
        <f>IF(ISBLANK(P4512),"",IF(C4512="Buy",Q4512-M4512+T4512, IF(C4512="Sell",M4512-Q4512-T4512, X)))</f>
        <v/>
      </c>
      <c r="V4512" s="81">
        <f>IF(ISBLANK(P4512),"",U4512/N4512)</f>
        <v/>
      </c>
      <c r="W4512" s="81">
        <f>IF(ISBLANK(P4512),"",IF(S4512=0,(365/0.5)*V4512,(365/S4512)*V4512))</f>
        <v/>
      </c>
      <c r="X4512" s="75" t="n"/>
      <c r="Y4512" s="77" t="n"/>
      <c r="Z4512" s="77" t="n"/>
      <c r="AA4512" s="75" t="n"/>
      <c r="AB4512" s="75" t="n"/>
      <c r="AC4512" s="6" t="n"/>
      <c r="AD4512" s="75" t="n"/>
      <c r="AE4512" s="75" t="n"/>
      <c r="AF4512" s="75" t="n"/>
    </row>
    <row r="4513" ht="15.75" customHeight="1" s="133">
      <c r="A4513" s="75" t="n"/>
      <c r="B4513" s="75" t="n"/>
      <c r="C4513" s="75" t="n"/>
      <c r="D4513" s="75" t="n"/>
      <c r="E4513" s="76" t="n"/>
      <c r="F4513" s="77" t="n"/>
      <c r="G4513" s="75" t="n"/>
      <c r="H4513" s="75">
        <f>IF(ISBLANK(E4513),"",IF(OR(D4513="Butterfly",D4513="Butterfly ",D4513="Iron Fly", D4513="Iron Fly "),LEN(E4513)-LEN(SUBSTITUTE(E4513,"/",""))+2,LEN(E4513)-LEN(SUBSTITUTE(E4513,"/",""))+1))</f>
        <v/>
      </c>
      <c r="I4513" s="78">
        <f>IF(ISBLANK(G4513),"",IF(D4513="Stock","0",Key!$A$3*H4513*G4513))</f>
        <v/>
      </c>
      <c r="J4513" s="78">
        <f>IF(ISBLANK(E4513),"",IF(ISNUMBER(SEARCH("/",E4513)), IF(LEN(E4513)-LEN(SUBSTITUTE(E4513,"/",""))=1,(RIGHT(E4513,LEN(E4513)-FIND("/",E4513)))-(LEFT(E4513,FIND("/",E4513)-1)),(MID(E4513, SEARCH("/",E4513) + 1, SEARCH("/",E4513, SEARCH("/",E4513)+1) - SEARCH("/",E4513) - 1))-(LEFT(E4513,FIND("/",E4513)-1))), "NA"))</f>
        <v/>
      </c>
      <c r="K4513" s="79">
        <f>IF(A4513&lt;&gt;"", IF(ISBLANK(L4513), TODAY(), K4513), "")</f>
        <v/>
      </c>
      <c r="L4513" s="78" t="n"/>
      <c r="M4513" s="78">
        <f>IF(ISBLANK(L4513),"",IF(D4513="Stock",IF(C4513="Buy",L4513*G4513,IF(C4513="Sell",(L4513*G4513)-I4513, X)),IF(C4513="Buy",(L4513*G4513*100)+I4513,IF(C4513="Sell",(L4513*G4513*100)-I4513, X))))</f>
        <v/>
      </c>
      <c r="N4513" s="78">
        <f>IF(ISBLANK(L4513),"",IF(AND(C4513="Sell",D4513="Stock"),M4513,IF(ISBLANK(L4513),"",IF(C4513="Buy",M4513, IF(AND(C4513="Sell",J4513="NA"),(E4513*G4513*100*0.1)+I4513, IF(C4513="Sell",(J4513-L4513)*(100*G4513)+I4513))))))</f>
        <v/>
      </c>
      <c r="O4513" s="75" t="n"/>
      <c r="P4513" s="75" t="n"/>
      <c r="Q4513" s="75">
        <f>IF(ISBLANK(P4513),"",IF(D4513="Stock",P4513*G4513,IF(P4513=0,"0",G4513*P4513*100-(G4513*$AF$14))))</f>
        <v/>
      </c>
      <c r="R4513" s="79">
        <f>IF(P4513&lt;&gt;"", TODAY(), "")</f>
        <v/>
      </c>
      <c r="S4513" s="78">
        <f>IF(AND(K4513&lt;&gt;"", R4513&lt;&gt;""), R4513-K4513, "")</f>
        <v/>
      </c>
      <c r="T4513" s="78" t="n"/>
      <c r="U4513" s="92">
        <f>IF(ISBLANK(P4513),"",IF(C4513="Buy",Q4513-M4513+T4513, IF(C4513="Sell",M4513-Q4513-T4513, X)))</f>
        <v/>
      </c>
      <c r="V4513" s="81">
        <f>IF(ISBLANK(P4513),"",U4513/N4513)</f>
        <v/>
      </c>
      <c r="W4513" s="81">
        <f>IF(ISBLANK(P4513),"",IF(S4513=0,(365/0.5)*V4513,(365/S4513)*V4513))</f>
        <v/>
      </c>
      <c r="X4513" s="75" t="n"/>
      <c r="Y4513" s="77" t="n"/>
      <c r="Z4513" s="77" t="n"/>
      <c r="AA4513" s="75" t="n"/>
      <c r="AB4513" s="75" t="n"/>
      <c r="AC4513" s="6" t="n"/>
      <c r="AD4513" s="75" t="n"/>
      <c r="AE4513" s="75" t="n"/>
      <c r="AF4513" s="75" t="n"/>
    </row>
    <row r="4514" ht="15.75" customHeight="1" s="133">
      <c r="A4514" s="75" t="n"/>
      <c r="B4514" s="75" t="n"/>
      <c r="C4514" s="75" t="n"/>
      <c r="D4514" s="75" t="n"/>
      <c r="E4514" s="76" t="n"/>
      <c r="F4514" s="77" t="n"/>
      <c r="G4514" s="75" t="n"/>
      <c r="H4514" s="75">
        <f>IF(ISBLANK(E4514),"",IF(OR(D4514="Butterfly",D4514="Butterfly ",D4514="Iron Fly", D4514="Iron Fly "),LEN(E4514)-LEN(SUBSTITUTE(E4514,"/",""))+2,LEN(E4514)-LEN(SUBSTITUTE(E4514,"/",""))+1))</f>
        <v/>
      </c>
      <c r="I4514" s="78">
        <f>IF(ISBLANK(G4514),"",IF(D4514="Stock","0",Key!$A$3*H4514*G4514))</f>
        <v/>
      </c>
      <c r="J4514" s="78">
        <f>IF(ISBLANK(E4514),"",IF(ISNUMBER(SEARCH("/",E4514)), IF(LEN(E4514)-LEN(SUBSTITUTE(E4514,"/",""))=1,(RIGHT(E4514,LEN(E4514)-FIND("/",E4514)))-(LEFT(E4514,FIND("/",E4514)-1)),(MID(E4514, SEARCH("/",E4514) + 1, SEARCH("/",E4514, SEARCH("/",E4514)+1) - SEARCH("/",E4514) - 1))-(LEFT(E4514,FIND("/",E4514)-1))), "NA"))</f>
        <v/>
      </c>
      <c r="K4514" s="79">
        <f>IF(A4514&lt;&gt;"", IF(ISBLANK(L4514), TODAY(), K4514), "")</f>
        <v/>
      </c>
      <c r="L4514" s="78" t="n"/>
      <c r="M4514" s="78">
        <f>IF(ISBLANK(L4514),"",IF(D4514="Stock",IF(C4514="Buy",L4514*G4514,IF(C4514="Sell",(L4514*G4514)-I4514, X)),IF(C4514="Buy",(L4514*G4514*100)+I4514,IF(C4514="Sell",(L4514*G4514*100)-I4514, X))))</f>
        <v/>
      </c>
      <c r="N4514" s="78">
        <f>IF(ISBLANK(L4514),"",IF(AND(C4514="Sell",D4514="Stock"),M4514,IF(ISBLANK(L4514),"",IF(C4514="Buy",M4514, IF(AND(C4514="Sell",J4514="NA"),(E4514*G4514*100*0.1)+I4514, IF(C4514="Sell",(J4514-L4514)*(100*G4514)+I4514))))))</f>
        <v/>
      </c>
      <c r="O4514" s="75" t="n"/>
      <c r="P4514" s="75" t="n"/>
      <c r="Q4514" s="75">
        <f>IF(ISBLANK(P4514),"",IF(D4514="Stock",P4514*G4514,IF(P4514=0,"0",G4514*P4514*100-(G4514*$AF$14))))</f>
        <v/>
      </c>
      <c r="R4514" s="79">
        <f>IF(P4514&lt;&gt;"", TODAY(), "")</f>
        <v/>
      </c>
      <c r="S4514" s="78">
        <f>IF(AND(K4514&lt;&gt;"", R4514&lt;&gt;""), R4514-K4514, "")</f>
        <v/>
      </c>
      <c r="T4514" s="78" t="n"/>
      <c r="U4514" s="92">
        <f>IF(ISBLANK(P4514),"",IF(C4514="Buy",Q4514-M4514+T4514, IF(C4514="Sell",M4514-Q4514-T4514, X)))</f>
        <v/>
      </c>
      <c r="V4514" s="81">
        <f>IF(ISBLANK(P4514),"",U4514/N4514)</f>
        <v/>
      </c>
      <c r="W4514" s="81">
        <f>IF(ISBLANK(P4514),"",IF(S4514=0,(365/0.5)*V4514,(365/S4514)*V4514))</f>
        <v/>
      </c>
      <c r="X4514" s="75" t="n"/>
      <c r="Y4514" s="77" t="n"/>
      <c r="Z4514" s="77" t="n"/>
      <c r="AA4514" s="75" t="n"/>
      <c r="AB4514" s="75" t="n"/>
      <c r="AC4514" s="6" t="n"/>
      <c r="AD4514" s="75" t="n"/>
      <c r="AE4514" s="75" t="n"/>
      <c r="AF4514" s="75" t="n"/>
    </row>
    <row r="4515" ht="15.75" customHeight="1" s="133">
      <c r="A4515" s="75" t="n"/>
      <c r="B4515" s="75" t="n"/>
      <c r="C4515" s="75" t="n"/>
      <c r="D4515" s="75" t="n"/>
      <c r="E4515" s="76" t="n"/>
      <c r="F4515" s="77" t="n"/>
      <c r="G4515" s="75" t="n"/>
      <c r="H4515" s="75">
        <f>IF(ISBLANK(E4515),"",IF(OR(D4515="Butterfly",D4515="Butterfly ",D4515="Iron Fly", D4515="Iron Fly "),LEN(E4515)-LEN(SUBSTITUTE(E4515,"/",""))+2,LEN(E4515)-LEN(SUBSTITUTE(E4515,"/",""))+1))</f>
        <v/>
      </c>
      <c r="I4515" s="78">
        <f>IF(ISBLANK(G4515),"",IF(D4515="Stock","0",Key!$A$3*H4515*G4515))</f>
        <v/>
      </c>
      <c r="J4515" s="78">
        <f>IF(ISBLANK(E4515),"",IF(ISNUMBER(SEARCH("/",E4515)), IF(LEN(E4515)-LEN(SUBSTITUTE(E4515,"/",""))=1,(RIGHT(E4515,LEN(E4515)-FIND("/",E4515)))-(LEFT(E4515,FIND("/",E4515)-1)),(MID(E4515, SEARCH("/",E4515) + 1, SEARCH("/",E4515, SEARCH("/",E4515)+1) - SEARCH("/",E4515) - 1))-(LEFT(E4515,FIND("/",E4515)-1))), "NA"))</f>
        <v/>
      </c>
      <c r="K4515" s="79">
        <f>IF(A4515&lt;&gt;"", IF(ISBLANK(L4515), TODAY(), K4515), "")</f>
        <v/>
      </c>
      <c r="L4515" s="78" t="n"/>
      <c r="M4515" s="78">
        <f>IF(ISBLANK(L4515),"",IF(D4515="Stock",IF(C4515="Buy",L4515*G4515,IF(C4515="Sell",(L4515*G4515)-I4515, X)),IF(C4515="Buy",(L4515*G4515*100)+I4515,IF(C4515="Sell",(L4515*G4515*100)-I4515, X))))</f>
        <v/>
      </c>
      <c r="N4515" s="78">
        <f>IF(ISBLANK(L4515),"",IF(AND(C4515="Sell",D4515="Stock"),M4515,IF(ISBLANK(L4515),"",IF(C4515="Buy",M4515, IF(AND(C4515="Sell",J4515="NA"),(E4515*G4515*100*0.1)+I4515, IF(C4515="Sell",(J4515-L4515)*(100*G4515)+I4515))))))</f>
        <v/>
      </c>
      <c r="O4515" s="75" t="n"/>
      <c r="P4515" s="75" t="n"/>
      <c r="Q4515" s="75">
        <f>IF(ISBLANK(P4515),"",IF(D4515="Stock",P4515*G4515,IF(P4515=0,"0",G4515*P4515*100-(G4515*$AF$14))))</f>
        <v/>
      </c>
      <c r="R4515" s="79">
        <f>IF(P4515&lt;&gt;"", TODAY(), "")</f>
        <v/>
      </c>
      <c r="S4515" s="78">
        <f>IF(AND(K4515&lt;&gt;"", R4515&lt;&gt;""), R4515-K4515, "")</f>
        <v/>
      </c>
      <c r="T4515" s="78" t="n"/>
      <c r="U4515" s="92">
        <f>IF(ISBLANK(P4515),"",IF(C4515="Buy",Q4515-M4515+T4515, IF(C4515="Sell",M4515-Q4515-T4515, X)))</f>
        <v/>
      </c>
      <c r="V4515" s="81">
        <f>IF(ISBLANK(P4515),"",U4515/N4515)</f>
        <v/>
      </c>
      <c r="W4515" s="81">
        <f>IF(ISBLANK(P4515),"",IF(S4515=0,(365/0.5)*V4515,(365/S4515)*V4515))</f>
        <v/>
      </c>
      <c r="X4515" s="75" t="n"/>
      <c r="Y4515" s="77" t="n"/>
      <c r="Z4515" s="77" t="n"/>
      <c r="AA4515" s="75" t="n"/>
      <c r="AB4515" s="75" t="n"/>
      <c r="AC4515" s="6" t="n"/>
      <c r="AD4515" s="75" t="n"/>
      <c r="AE4515" s="75" t="n"/>
      <c r="AF4515" s="75" t="n"/>
    </row>
    <row r="4516" ht="15.75" customHeight="1" s="133">
      <c r="A4516" s="75" t="n"/>
      <c r="B4516" s="75" t="n"/>
      <c r="C4516" s="75" t="n"/>
      <c r="D4516" s="75" t="n"/>
      <c r="E4516" s="76" t="n"/>
      <c r="F4516" s="77" t="n"/>
      <c r="G4516" s="75" t="n"/>
      <c r="H4516" s="75">
        <f>IF(ISBLANK(E4516),"",IF(OR(D4516="Butterfly",D4516="Butterfly ",D4516="Iron Fly", D4516="Iron Fly "),LEN(E4516)-LEN(SUBSTITUTE(E4516,"/",""))+2,LEN(E4516)-LEN(SUBSTITUTE(E4516,"/",""))+1))</f>
        <v/>
      </c>
      <c r="I4516" s="78">
        <f>IF(ISBLANK(G4516),"",IF(D4516="Stock","0",Key!$A$3*H4516*G4516))</f>
        <v/>
      </c>
      <c r="J4516" s="78">
        <f>IF(ISBLANK(E4516),"",IF(ISNUMBER(SEARCH("/",E4516)), IF(LEN(E4516)-LEN(SUBSTITUTE(E4516,"/",""))=1,(RIGHT(E4516,LEN(E4516)-FIND("/",E4516)))-(LEFT(E4516,FIND("/",E4516)-1)),(MID(E4516, SEARCH("/",E4516) + 1, SEARCH("/",E4516, SEARCH("/",E4516)+1) - SEARCH("/",E4516) - 1))-(LEFT(E4516,FIND("/",E4516)-1))), "NA"))</f>
        <v/>
      </c>
      <c r="K4516" s="79">
        <f>IF(A4516&lt;&gt;"", IF(ISBLANK(L4516), TODAY(), K4516), "")</f>
        <v/>
      </c>
      <c r="L4516" s="78" t="n"/>
      <c r="M4516" s="78">
        <f>IF(ISBLANK(L4516),"",IF(D4516="Stock",IF(C4516="Buy",L4516*G4516,IF(C4516="Sell",(L4516*G4516)-I4516, X)),IF(C4516="Buy",(L4516*G4516*100)+I4516,IF(C4516="Sell",(L4516*G4516*100)-I4516, X))))</f>
        <v/>
      </c>
      <c r="N4516" s="78">
        <f>IF(ISBLANK(L4516),"",IF(AND(C4516="Sell",D4516="Stock"),M4516,IF(ISBLANK(L4516),"",IF(C4516="Buy",M4516, IF(AND(C4516="Sell",J4516="NA"),(E4516*G4516*100*0.1)+I4516, IF(C4516="Sell",(J4516-L4516)*(100*G4516)+I4516))))))</f>
        <v/>
      </c>
      <c r="O4516" s="75" t="n"/>
      <c r="P4516" s="75" t="n"/>
      <c r="Q4516" s="75">
        <f>IF(ISBLANK(P4516),"",IF(D4516="Stock",P4516*G4516,IF(P4516=0,"0",G4516*P4516*100-(G4516*$AF$14))))</f>
        <v/>
      </c>
      <c r="R4516" s="79">
        <f>IF(P4516&lt;&gt;"", TODAY(), "")</f>
        <v/>
      </c>
      <c r="S4516" s="78">
        <f>IF(AND(K4516&lt;&gt;"", R4516&lt;&gt;""), R4516-K4516, "")</f>
        <v/>
      </c>
      <c r="T4516" s="78" t="n"/>
      <c r="U4516" s="92">
        <f>IF(ISBLANK(P4516),"",IF(C4516="Buy",Q4516-M4516+T4516, IF(C4516="Sell",M4516-Q4516-T4516, X)))</f>
        <v/>
      </c>
      <c r="V4516" s="81">
        <f>IF(ISBLANK(P4516),"",U4516/N4516)</f>
        <v/>
      </c>
      <c r="W4516" s="81">
        <f>IF(ISBLANK(P4516),"",IF(S4516=0,(365/0.5)*V4516,(365/S4516)*V4516))</f>
        <v/>
      </c>
      <c r="X4516" s="75" t="n"/>
      <c r="Y4516" s="77" t="n"/>
      <c r="Z4516" s="77" t="n"/>
      <c r="AA4516" s="75" t="n"/>
      <c r="AB4516" s="75" t="n"/>
      <c r="AC4516" s="6" t="n"/>
      <c r="AD4516" s="75" t="n"/>
      <c r="AE4516" s="75" t="n"/>
      <c r="AF4516" s="75" t="n"/>
    </row>
    <row r="4517" ht="15.75" customHeight="1" s="133">
      <c r="A4517" s="75" t="n"/>
      <c r="B4517" s="75" t="n"/>
      <c r="C4517" s="75" t="n"/>
      <c r="D4517" s="75" t="n"/>
      <c r="E4517" s="76" t="n"/>
      <c r="F4517" s="77" t="n"/>
      <c r="G4517" s="75" t="n"/>
      <c r="H4517" s="75">
        <f>IF(ISBLANK(E4517),"",IF(OR(D4517="Butterfly",D4517="Butterfly ",D4517="Iron Fly", D4517="Iron Fly "),LEN(E4517)-LEN(SUBSTITUTE(E4517,"/",""))+2,LEN(E4517)-LEN(SUBSTITUTE(E4517,"/",""))+1))</f>
        <v/>
      </c>
      <c r="I4517" s="78">
        <f>IF(ISBLANK(G4517),"",IF(D4517="Stock","0",Key!$A$3*H4517*G4517))</f>
        <v/>
      </c>
      <c r="J4517" s="78">
        <f>IF(ISBLANK(E4517),"",IF(ISNUMBER(SEARCH("/",E4517)), IF(LEN(E4517)-LEN(SUBSTITUTE(E4517,"/",""))=1,(RIGHT(E4517,LEN(E4517)-FIND("/",E4517)))-(LEFT(E4517,FIND("/",E4517)-1)),(MID(E4517, SEARCH("/",E4517) + 1, SEARCH("/",E4517, SEARCH("/",E4517)+1) - SEARCH("/",E4517) - 1))-(LEFT(E4517,FIND("/",E4517)-1))), "NA"))</f>
        <v/>
      </c>
      <c r="K4517" s="79">
        <f>IF(A4517&lt;&gt;"", IF(ISBLANK(L4517), TODAY(), K4517), "")</f>
        <v/>
      </c>
      <c r="L4517" s="78" t="n"/>
      <c r="M4517" s="78">
        <f>IF(ISBLANK(L4517),"",IF(D4517="Stock",IF(C4517="Buy",L4517*G4517,IF(C4517="Sell",(L4517*G4517)-I4517, X)),IF(C4517="Buy",(L4517*G4517*100)+I4517,IF(C4517="Sell",(L4517*G4517*100)-I4517, X))))</f>
        <v/>
      </c>
      <c r="N4517" s="78">
        <f>IF(ISBLANK(L4517),"",IF(AND(C4517="Sell",D4517="Stock"),M4517,IF(ISBLANK(L4517),"",IF(C4517="Buy",M4517, IF(AND(C4517="Sell",J4517="NA"),(E4517*G4517*100*0.1)+I4517, IF(C4517="Sell",(J4517-L4517)*(100*G4517)+I4517))))))</f>
        <v/>
      </c>
      <c r="O4517" s="75" t="n"/>
      <c r="P4517" s="75" t="n"/>
      <c r="Q4517" s="75">
        <f>IF(ISBLANK(P4517),"",IF(D4517="Stock",P4517*G4517,IF(P4517=0,"0",G4517*P4517*100-(G4517*$AF$14))))</f>
        <v/>
      </c>
      <c r="R4517" s="79">
        <f>IF(P4517&lt;&gt;"", TODAY(), "")</f>
        <v/>
      </c>
      <c r="S4517" s="78">
        <f>IF(AND(K4517&lt;&gt;"", R4517&lt;&gt;""), R4517-K4517, "")</f>
        <v/>
      </c>
      <c r="T4517" s="78" t="n"/>
      <c r="U4517" s="92">
        <f>IF(ISBLANK(P4517),"",IF(C4517="Buy",Q4517-M4517+T4517, IF(C4517="Sell",M4517-Q4517-T4517, X)))</f>
        <v/>
      </c>
      <c r="V4517" s="81">
        <f>IF(ISBLANK(P4517),"",U4517/N4517)</f>
        <v/>
      </c>
      <c r="W4517" s="81">
        <f>IF(ISBLANK(P4517),"",IF(S4517=0,(365/0.5)*V4517,(365/S4517)*V4517))</f>
        <v/>
      </c>
      <c r="X4517" s="75" t="n"/>
      <c r="Y4517" s="77" t="n"/>
      <c r="Z4517" s="77" t="n"/>
      <c r="AA4517" s="75" t="n"/>
      <c r="AB4517" s="75" t="n"/>
      <c r="AC4517" s="6" t="n"/>
      <c r="AD4517" s="75" t="n"/>
      <c r="AE4517" s="75" t="n"/>
      <c r="AF4517" s="75" t="n"/>
    </row>
    <row r="4518" ht="15.75" customHeight="1" s="133">
      <c r="A4518" s="75" t="n"/>
      <c r="B4518" s="75" t="n"/>
      <c r="C4518" s="75" t="n"/>
      <c r="D4518" s="75" t="n"/>
      <c r="E4518" s="76" t="n"/>
      <c r="F4518" s="77" t="n"/>
      <c r="G4518" s="75" t="n"/>
      <c r="H4518" s="75">
        <f>IF(ISBLANK(E4518),"",IF(OR(D4518="Butterfly",D4518="Butterfly ",D4518="Iron Fly", D4518="Iron Fly "),LEN(E4518)-LEN(SUBSTITUTE(E4518,"/",""))+2,LEN(E4518)-LEN(SUBSTITUTE(E4518,"/",""))+1))</f>
        <v/>
      </c>
      <c r="I4518" s="78">
        <f>IF(ISBLANK(G4518),"",IF(D4518="Stock","0",Key!$A$3*H4518*G4518))</f>
        <v/>
      </c>
      <c r="J4518" s="78">
        <f>IF(ISBLANK(E4518),"",IF(ISNUMBER(SEARCH("/",E4518)), IF(LEN(E4518)-LEN(SUBSTITUTE(E4518,"/",""))=1,(RIGHT(E4518,LEN(E4518)-FIND("/",E4518)))-(LEFT(E4518,FIND("/",E4518)-1)),(MID(E4518, SEARCH("/",E4518) + 1, SEARCH("/",E4518, SEARCH("/",E4518)+1) - SEARCH("/",E4518) - 1))-(LEFT(E4518,FIND("/",E4518)-1))), "NA"))</f>
        <v/>
      </c>
      <c r="K4518" s="79">
        <f>IF(A4518&lt;&gt;"", IF(ISBLANK(L4518), TODAY(), K4518), "")</f>
        <v/>
      </c>
      <c r="L4518" s="78" t="n"/>
      <c r="M4518" s="78">
        <f>IF(ISBLANK(L4518),"",IF(D4518="Stock",IF(C4518="Buy",L4518*G4518,IF(C4518="Sell",(L4518*G4518)-I4518, X)),IF(C4518="Buy",(L4518*G4518*100)+I4518,IF(C4518="Sell",(L4518*G4518*100)-I4518, X))))</f>
        <v/>
      </c>
      <c r="N4518" s="78">
        <f>IF(ISBLANK(L4518),"",IF(AND(C4518="Sell",D4518="Stock"),M4518,IF(ISBLANK(L4518),"",IF(C4518="Buy",M4518, IF(AND(C4518="Sell",J4518="NA"),(E4518*G4518*100*0.1)+I4518, IF(C4518="Sell",(J4518-L4518)*(100*G4518)+I4518))))))</f>
        <v/>
      </c>
      <c r="O4518" s="75" t="n"/>
      <c r="P4518" s="75" t="n"/>
      <c r="Q4518" s="75">
        <f>IF(ISBLANK(P4518),"",IF(D4518="Stock",P4518*G4518,IF(P4518=0,"0",G4518*P4518*100-(G4518*$AF$14))))</f>
        <v/>
      </c>
      <c r="R4518" s="79">
        <f>IF(P4518&lt;&gt;"", TODAY(), "")</f>
        <v/>
      </c>
      <c r="S4518" s="78">
        <f>IF(AND(K4518&lt;&gt;"", R4518&lt;&gt;""), R4518-K4518, "")</f>
        <v/>
      </c>
      <c r="T4518" s="78" t="n"/>
      <c r="U4518" s="92">
        <f>IF(ISBLANK(P4518),"",IF(C4518="Buy",Q4518-M4518+T4518, IF(C4518="Sell",M4518-Q4518-T4518, X)))</f>
        <v/>
      </c>
      <c r="V4518" s="81">
        <f>IF(ISBLANK(P4518),"",U4518/N4518)</f>
        <v/>
      </c>
      <c r="W4518" s="81">
        <f>IF(ISBLANK(P4518),"",IF(S4518=0,(365/0.5)*V4518,(365/S4518)*V4518))</f>
        <v/>
      </c>
      <c r="X4518" s="75" t="n"/>
      <c r="Y4518" s="77" t="n"/>
      <c r="Z4518" s="77" t="n"/>
      <c r="AA4518" s="75" t="n"/>
      <c r="AB4518" s="75" t="n"/>
      <c r="AC4518" s="6" t="n"/>
      <c r="AD4518" s="75" t="n"/>
      <c r="AE4518" s="75" t="n"/>
      <c r="AF4518" s="75" t="n"/>
    </row>
    <row r="4519" ht="15.75" customHeight="1" s="133">
      <c r="A4519" s="75" t="n"/>
      <c r="B4519" s="75" t="n"/>
      <c r="C4519" s="75" t="n"/>
      <c r="D4519" s="75" t="n"/>
      <c r="E4519" s="76" t="n"/>
      <c r="F4519" s="77" t="n"/>
      <c r="G4519" s="75" t="n"/>
      <c r="H4519" s="75">
        <f>IF(ISBLANK(E4519),"",IF(OR(D4519="Butterfly",D4519="Butterfly ",D4519="Iron Fly", D4519="Iron Fly "),LEN(E4519)-LEN(SUBSTITUTE(E4519,"/",""))+2,LEN(E4519)-LEN(SUBSTITUTE(E4519,"/",""))+1))</f>
        <v/>
      </c>
      <c r="I4519" s="78">
        <f>IF(ISBLANK(G4519),"",IF(D4519="Stock","0",Key!$A$3*H4519*G4519))</f>
        <v/>
      </c>
      <c r="J4519" s="78">
        <f>IF(ISBLANK(E4519),"",IF(ISNUMBER(SEARCH("/",E4519)), IF(LEN(E4519)-LEN(SUBSTITUTE(E4519,"/",""))=1,(RIGHT(E4519,LEN(E4519)-FIND("/",E4519)))-(LEFT(E4519,FIND("/",E4519)-1)),(MID(E4519, SEARCH("/",E4519) + 1, SEARCH("/",E4519, SEARCH("/",E4519)+1) - SEARCH("/",E4519) - 1))-(LEFT(E4519,FIND("/",E4519)-1))), "NA"))</f>
        <v/>
      </c>
      <c r="K4519" s="79">
        <f>IF(A4519&lt;&gt;"", IF(ISBLANK(L4519), TODAY(), K4519), "")</f>
        <v/>
      </c>
      <c r="L4519" s="78" t="n"/>
      <c r="M4519" s="78">
        <f>IF(ISBLANK(L4519),"",IF(D4519="Stock",IF(C4519="Buy",L4519*G4519,IF(C4519="Sell",(L4519*G4519)-I4519, X)),IF(C4519="Buy",(L4519*G4519*100)+I4519,IF(C4519="Sell",(L4519*G4519*100)-I4519, X))))</f>
        <v/>
      </c>
      <c r="N4519" s="78">
        <f>IF(ISBLANK(L4519),"",IF(AND(C4519="Sell",D4519="Stock"),M4519,IF(ISBLANK(L4519),"",IF(C4519="Buy",M4519, IF(AND(C4519="Sell",J4519="NA"),(E4519*G4519*100*0.1)+I4519, IF(C4519="Sell",(J4519-L4519)*(100*G4519)+I4519))))))</f>
        <v/>
      </c>
      <c r="O4519" s="75" t="n"/>
      <c r="P4519" s="75" t="n"/>
      <c r="Q4519" s="75">
        <f>IF(ISBLANK(P4519),"",IF(D4519="Stock",P4519*G4519,IF(P4519=0,"0",G4519*P4519*100-(G4519*$AF$14))))</f>
        <v/>
      </c>
      <c r="R4519" s="79">
        <f>IF(P4519&lt;&gt;"", TODAY(), "")</f>
        <v/>
      </c>
      <c r="S4519" s="78">
        <f>IF(AND(K4519&lt;&gt;"", R4519&lt;&gt;""), R4519-K4519, "")</f>
        <v/>
      </c>
      <c r="T4519" s="78" t="n"/>
      <c r="U4519" s="92">
        <f>IF(ISBLANK(P4519),"",IF(C4519="Buy",Q4519-M4519+T4519, IF(C4519="Sell",M4519-Q4519-T4519, X)))</f>
        <v/>
      </c>
      <c r="V4519" s="81">
        <f>IF(ISBLANK(P4519),"",U4519/N4519)</f>
        <v/>
      </c>
      <c r="W4519" s="81">
        <f>IF(ISBLANK(P4519),"",IF(S4519=0,(365/0.5)*V4519,(365/S4519)*V4519))</f>
        <v/>
      </c>
      <c r="X4519" s="75" t="n"/>
      <c r="Y4519" s="77" t="n"/>
      <c r="Z4519" s="77" t="n"/>
      <c r="AA4519" s="75" t="n"/>
      <c r="AB4519" s="75" t="n"/>
      <c r="AC4519" s="6" t="n"/>
      <c r="AD4519" s="75" t="n"/>
      <c r="AE4519" s="75" t="n"/>
      <c r="AF4519" s="75" t="n"/>
    </row>
    <row r="4520" ht="15.75" customHeight="1" s="133">
      <c r="A4520" s="75" t="n"/>
      <c r="B4520" s="75" t="n"/>
      <c r="C4520" s="75" t="n"/>
      <c r="D4520" s="75" t="n"/>
      <c r="E4520" s="76" t="n"/>
      <c r="F4520" s="77" t="n"/>
      <c r="G4520" s="75" t="n"/>
      <c r="H4520" s="75">
        <f>IF(ISBLANK(E4520),"",IF(OR(D4520="Butterfly",D4520="Butterfly ",D4520="Iron Fly", D4520="Iron Fly "),LEN(E4520)-LEN(SUBSTITUTE(E4520,"/",""))+2,LEN(E4520)-LEN(SUBSTITUTE(E4520,"/",""))+1))</f>
        <v/>
      </c>
      <c r="I4520" s="78">
        <f>IF(ISBLANK(G4520),"",IF(D4520="Stock","0",Key!$A$3*H4520*G4520))</f>
        <v/>
      </c>
      <c r="J4520" s="78">
        <f>IF(ISBLANK(E4520),"",IF(ISNUMBER(SEARCH("/",E4520)), IF(LEN(E4520)-LEN(SUBSTITUTE(E4520,"/",""))=1,(RIGHT(E4520,LEN(E4520)-FIND("/",E4520)))-(LEFT(E4520,FIND("/",E4520)-1)),(MID(E4520, SEARCH("/",E4520) + 1, SEARCH("/",E4520, SEARCH("/",E4520)+1) - SEARCH("/",E4520) - 1))-(LEFT(E4520,FIND("/",E4520)-1))), "NA"))</f>
        <v/>
      </c>
      <c r="K4520" s="79">
        <f>IF(A4520&lt;&gt;"", IF(ISBLANK(L4520), TODAY(), K4520), "")</f>
        <v/>
      </c>
      <c r="L4520" s="78" t="n"/>
      <c r="M4520" s="78">
        <f>IF(ISBLANK(L4520),"",IF(D4520="Stock",IF(C4520="Buy",L4520*G4520,IF(C4520="Sell",(L4520*G4520)-I4520, X)),IF(C4520="Buy",(L4520*G4520*100)+I4520,IF(C4520="Sell",(L4520*G4520*100)-I4520, X))))</f>
        <v/>
      </c>
      <c r="N4520" s="78">
        <f>IF(ISBLANK(L4520),"",IF(AND(C4520="Sell",D4520="Stock"),M4520,IF(ISBLANK(L4520),"",IF(C4520="Buy",M4520, IF(AND(C4520="Sell",J4520="NA"),(E4520*G4520*100*0.1)+I4520, IF(C4520="Sell",(J4520-L4520)*(100*G4520)+I4520))))))</f>
        <v/>
      </c>
      <c r="O4520" s="75" t="n"/>
      <c r="P4520" s="75" t="n"/>
      <c r="Q4520" s="75">
        <f>IF(ISBLANK(P4520),"",IF(D4520="Stock",P4520*G4520,IF(P4520=0,"0",G4520*P4520*100-(G4520*$AF$14))))</f>
        <v/>
      </c>
      <c r="R4520" s="79">
        <f>IF(P4520&lt;&gt;"", TODAY(), "")</f>
        <v/>
      </c>
      <c r="S4520" s="78">
        <f>IF(AND(K4520&lt;&gt;"", R4520&lt;&gt;""), R4520-K4520, "")</f>
        <v/>
      </c>
      <c r="T4520" s="78" t="n"/>
      <c r="U4520" s="92">
        <f>IF(ISBLANK(P4520),"",IF(C4520="Buy",Q4520-M4520+T4520, IF(C4520="Sell",M4520-Q4520-T4520, X)))</f>
        <v/>
      </c>
      <c r="V4520" s="81">
        <f>IF(ISBLANK(P4520),"",U4520/N4520)</f>
        <v/>
      </c>
      <c r="W4520" s="81">
        <f>IF(ISBLANK(P4520),"",IF(S4520=0,(365/0.5)*V4520,(365/S4520)*V4520))</f>
        <v/>
      </c>
      <c r="X4520" s="75" t="n"/>
      <c r="Y4520" s="77" t="n"/>
      <c r="Z4520" s="77" t="n"/>
      <c r="AA4520" s="75" t="n"/>
      <c r="AB4520" s="75" t="n"/>
      <c r="AC4520" s="6" t="n"/>
      <c r="AD4520" s="75" t="n"/>
      <c r="AE4520" s="75" t="n"/>
      <c r="AF4520" s="75" t="n"/>
    </row>
    <row r="4521" ht="15.75" customHeight="1" s="133">
      <c r="A4521" s="75" t="n"/>
      <c r="B4521" s="75" t="n"/>
      <c r="C4521" s="75" t="n"/>
      <c r="D4521" s="75" t="n"/>
      <c r="E4521" s="76" t="n"/>
      <c r="F4521" s="77" t="n"/>
      <c r="G4521" s="75" t="n"/>
      <c r="H4521" s="75">
        <f>IF(ISBLANK(E4521),"",IF(OR(D4521="Butterfly",D4521="Butterfly ",D4521="Iron Fly", D4521="Iron Fly "),LEN(E4521)-LEN(SUBSTITUTE(E4521,"/",""))+2,LEN(E4521)-LEN(SUBSTITUTE(E4521,"/",""))+1))</f>
        <v/>
      </c>
      <c r="I4521" s="78">
        <f>IF(ISBLANK(G4521),"",IF(D4521="Stock","0",Key!$A$3*H4521*G4521))</f>
        <v/>
      </c>
      <c r="J4521" s="78">
        <f>IF(ISBLANK(E4521),"",IF(ISNUMBER(SEARCH("/",E4521)), IF(LEN(E4521)-LEN(SUBSTITUTE(E4521,"/",""))=1,(RIGHT(E4521,LEN(E4521)-FIND("/",E4521)))-(LEFT(E4521,FIND("/",E4521)-1)),(MID(E4521, SEARCH("/",E4521) + 1, SEARCH("/",E4521, SEARCH("/",E4521)+1) - SEARCH("/",E4521) - 1))-(LEFT(E4521,FIND("/",E4521)-1))), "NA"))</f>
        <v/>
      </c>
      <c r="K4521" s="79">
        <f>IF(A4521&lt;&gt;"", IF(ISBLANK(L4521), TODAY(), K4521), "")</f>
        <v/>
      </c>
      <c r="L4521" s="78" t="n"/>
      <c r="M4521" s="78">
        <f>IF(ISBLANK(L4521),"",IF(D4521="Stock",IF(C4521="Buy",L4521*G4521,IF(C4521="Sell",(L4521*G4521)-I4521, X)),IF(C4521="Buy",(L4521*G4521*100)+I4521,IF(C4521="Sell",(L4521*G4521*100)-I4521, X))))</f>
        <v/>
      </c>
      <c r="N4521" s="78">
        <f>IF(ISBLANK(L4521),"",IF(AND(C4521="Sell",D4521="Stock"),M4521,IF(ISBLANK(L4521),"",IF(C4521="Buy",M4521, IF(AND(C4521="Sell",J4521="NA"),(E4521*G4521*100*0.1)+I4521, IF(C4521="Sell",(J4521-L4521)*(100*G4521)+I4521))))))</f>
        <v/>
      </c>
      <c r="O4521" s="75" t="n"/>
      <c r="P4521" s="75" t="n"/>
      <c r="Q4521" s="75">
        <f>IF(ISBLANK(P4521),"",IF(D4521="Stock",P4521*G4521,IF(P4521=0,"0",G4521*P4521*100-(G4521*$AF$14))))</f>
        <v/>
      </c>
      <c r="R4521" s="79">
        <f>IF(P4521&lt;&gt;"", TODAY(), "")</f>
        <v/>
      </c>
      <c r="S4521" s="78">
        <f>IF(AND(K4521&lt;&gt;"", R4521&lt;&gt;""), R4521-K4521, "")</f>
        <v/>
      </c>
      <c r="T4521" s="78" t="n"/>
      <c r="U4521" s="92">
        <f>IF(ISBLANK(P4521),"",IF(C4521="Buy",Q4521-M4521+T4521, IF(C4521="Sell",M4521-Q4521-T4521, X)))</f>
        <v/>
      </c>
      <c r="V4521" s="81">
        <f>IF(ISBLANK(P4521),"",U4521/N4521)</f>
        <v/>
      </c>
      <c r="W4521" s="81">
        <f>IF(ISBLANK(P4521),"",IF(S4521=0,(365/0.5)*V4521,(365/S4521)*V4521))</f>
        <v/>
      </c>
      <c r="X4521" s="75" t="n"/>
      <c r="Y4521" s="77" t="n"/>
      <c r="Z4521" s="77" t="n"/>
      <c r="AA4521" s="75" t="n"/>
      <c r="AB4521" s="75" t="n"/>
      <c r="AC4521" s="6" t="n"/>
      <c r="AD4521" s="75" t="n"/>
      <c r="AE4521" s="75" t="n"/>
      <c r="AF4521" s="75" t="n"/>
    </row>
    <row r="4522" ht="15.75" customHeight="1" s="133">
      <c r="A4522" s="75" t="n"/>
      <c r="B4522" s="75" t="n"/>
      <c r="C4522" s="75" t="n"/>
      <c r="D4522" s="75" t="n"/>
      <c r="E4522" s="76" t="n"/>
      <c r="F4522" s="77" t="n"/>
      <c r="G4522" s="75" t="n"/>
      <c r="H4522" s="75">
        <f>IF(ISBLANK(E4522),"",IF(OR(D4522="Butterfly",D4522="Butterfly ",D4522="Iron Fly", D4522="Iron Fly "),LEN(E4522)-LEN(SUBSTITUTE(E4522,"/",""))+2,LEN(E4522)-LEN(SUBSTITUTE(E4522,"/",""))+1))</f>
        <v/>
      </c>
      <c r="I4522" s="78">
        <f>IF(ISBLANK(G4522),"",IF(D4522="Stock","0",Key!$A$3*H4522*G4522))</f>
        <v/>
      </c>
      <c r="J4522" s="78">
        <f>IF(ISBLANK(E4522),"",IF(ISNUMBER(SEARCH("/",E4522)), IF(LEN(E4522)-LEN(SUBSTITUTE(E4522,"/",""))=1,(RIGHT(E4522,LEN(E4522)-FIND("/",E4522)))-(LEFT(E4522,FIND("/",E4522)-1)),(MID(E4522, SEARCH("/",E4522) + 1, SEARCH("/",E4522, SEARCH("/",E4522)+1) - SEARCH("/",E4522) - 1))-(LEFT(E4522,FIND("/",E4522)-1))), "NA"))</f>
        <v/>
      </c>
      <c r="K4522" s="79">
        <f>IF(A4522&lt;&gt;"", IF(ISBLANK(L4522), TODAY(), K4522), "")</f>
        <v/>
      </c>
      <c r="L4522" s="78" t="n"/>
      <c r="M4522" s="78">
        <f>IF(ISBLANK(L4522),"",IF(D4522="Stock",IF(C4522="Buy",L4522*G4522,IF(C4522="Sell",(L4522*G4522)-I4522, X)),IF(C4522="Buy",(L4522*G4522*100)+I4522,IF(C4522="Sell",(L4522*G4522*100)-I4522, X))))</f>
        <v/>
      </c>
      <c r="N4522" s="78">
        <f>IF(ISBLANK(L4522),"",IF(AND(C4522="Sell",D4522="Stock"),M4522,IF(ISBLANK(L4522),"",IF(C4522="Buy",M4522, IF(AND(C4522="Sell",J4522="NA"),(E4522*G4522*100*0.1)+I4522, IF(C4522="Sell",(J4522-L4522)*(100*G4522)+I4522))))))</f>
        <v/>
      </c>
      <c r="O4522" s="75" t="n"/>
      <c r="P4522" s="75" t="n"/>
      <c r="Q4522" s="75">
        <f>IF(ISBLANK(P4522),"",IF(D4522="Stock",P4522*G4522,IF(P4522=0,"0",G4522*P4522*100-(G4522*$AF$14))))</f>
        <v/>
      </c>
      <c r="R4522" s="79">
        <f>IF(P4522&lt;&gt;"", TODAY(), "")</f>
        <v/>
      </c>
      <c r="S4522" s="78">
        <f>IF(AND(K4522&lt;&gt;"", R4522&lt;&gt;""), R4522-K4522, "")</f>
        <v/>
      </c>
      <c r="T4522" s="78" t="n"/>
      <c r="U4522" s="92">
        <f>IF(ISBLANK(P4522),"",IF(C4522="Buy",Q4522-M4522+T4522, IF(C4522="Sell",M4522-Q4522-T4522, X)))</f>
        <v/>
      </c>
      <c r="V4522" s="81">
        <f>IF(ISBLANK(P4522),"",U4522/N4522)</f>
        <v/>
      </c>
      <c r="W4522" s="81">
        <f>IF(ISBLANK(P4522),"",IF(S4522=0,(365/0.5)*V4522,(365/S4522)*V4522))</f>
        <v/>
      </c>
      <c r="X4522" s="75" t="n"/>
      <c r="Y4522" s="77" t="n"/>
      <c r="Z4522" s="77" t="n"/>
      <c r="AA4522" s="75" t="n"/>
      <c r="AB4522" s="75" t="n"/>
      <c r="AC4522" s="6" t="n"/>
      <c r="AD4522" s="75" t="n"/>
      <c r="AE4522" s="75" t="n"/>
      <c r="AF4522" s="75" t="n"/>
    </row>
    <row r="4523" ht="15.75" customHeight="1" s="133">
      <c r="A4523" s="75" t="n"/>
      <c r="B4523" s="75" t="n"/>
      <c r="C4523" s="75" t="n"/>
      <c r="D4523" s="75" t="n"/>
      <c r="E4523" s="76" t="n"/>
      <c r="F4523" s="77" t="n"/>
      <c r="G4523" s="75" t="n"/>
      <c r="H4523" s="75">
        <f>IF(ISBLANK(E4523),"",IF(OR(D4523="Butterfly",D4523="Butterfly ",D4523="Iron Fly", D4523="Iron Fly "),LEN(E4523)-LEN(SUBSTITUTE(E4523,"/",""))+2,LEN(E4523)-LEN(SUBSTITUTE(E4523,"/",""))+1))</f>
        <v/>
      </c>
      <c r="I4523" s="78">
        <f>IF(ISBLANK(G4523),"",IF(D4523="Stock","0",Key!$A$3*H4523*G4523))</f>
        <v/>
      </c>
      <c r="J4523" s="78">
        <f>IF(ISBLANK(E4523),"",IF(ISNUMBER(SEARCH("/",E4523)), IF(LEN(E4523)-LEN(SUBSTITUTE(E4523,"/",""))=1,(RIGHT(E4523,LEN(E4523)-FIND("/",E4523)))-(LEFT(E4523,FIND("/",E4523)-1)),(MID(E4523, SEARCH("/",E4523) + 1, SEARCH("/",E4523, SEARCH("/",E4523)+1) - SEARCH("/",E4523) - 1))-(LEFT(E4523,FIND("/",E4523)-1))), "NA"))</f>
        <v/>
      </c>
      <c r="K4523" s="79">
        <f>IF(A4523&lt;&gt;"", IF(ISBLANK(L4523), TODAY(), K4523), "")</f>
        <v/>
      </c>
      <c r="L4523" s="78" t="n"/>
      <c r="M4523" s="78">
        <f>IF(ISBLANK(L4523),"",IF(D4523="Stock",IF(C4523="Buy",L4523*G4523,IF(C4523="Sell",(L4523*G4523)-I4523, X)),IF(C4523="Buy",(L4523*G4523*100)+I4523,IF(C4523="Sell",(L4523*G4523*100)-I4523, X))))</f>
        <v/>
      </c>
      <c r="N4523" s="78">
        <f>IF(ISBLANK(L4523),"",IF(AND(C4523="Sell",D4523="Stock"),M4523,IF(ISBLANK(L4523),"",IF(C4523="Buy",M4523, IF(AND(C4523="Sell",J4523="NA"),(E4523*G4523*100*0.1)+I4523, IF(C4523="Sell",(J4523-L4523)*(100*G4523)+I4523))))))</f>
        <v/>
      </c>
      <c r="O4523" s="75" t="n"/>
      <c r="P4523" s="75" t="n"/>
      <c r="Q4523" s="75">
        <f>IF(ISBLANK(P4523),"",IF(D4523="Stock",P4523*G4523,IF(P4523=0,"0",G4523*P4523*100-(G4523*$AF$14))))</f>
        <v/>
      </c>
      <c r="R4523" s="79">
        <f>IF(P4523&lt;&gt;"", TODAY(), "")</f>
        <v/>
      </c>
      <c r="S4523" s="78">
        <f>IF(AND(K4523&lt;&gt;"", R4523&lt;&gt;""), R4523-K4523, "")</f>
        <v/>
      </c>
      <c r="T4523" s="78" t="n"/>
      <c r="U4523" s="92">
        <f>IF(ISBLANK(P4523),"",IF(C4523="Buy",Q4523-M4523+T4523, IF(C4523="Sell",M4523-Q4523-T4523, X)))</f>
        <v/>
      </c>
      <c r="V4523" s="81">
        <f>IF(ISBLANK(P4523),"",U4523/N4523)</f>
        <v/>
      </c>
      <c r="W4523" s="81">
        <f>IF(ISBLANK(P4523),"",IF(S4523=0,(365/0.5)*V4523,(365/S4523)*V4523))</f>
        <v/>
      </c>
      <c r="X4523" s="75" t="n"/>
      <c r="Y4523" s="77" t="n"/>
      <c r="Z4523" s="77" t="n"/>
      <c r="AA4523" s="75" t="n"/>
      <c r="AB4523" s="75" t="n"/>
      <c r="AC4523" s="6" t="n"/>
      <c r="AD4523" s="75" t="n"/>
      <c r="AE4523" s="75" t="n"/>
      <c r="AF4523" s="75" t="n"/>
    </row>
    <row r="4524" ht="15.75" customHeight="1" s="133">
      <c r="A4524" s="75" t="n"/>
      <c r="B4524" s="75" t="n"/>
      <c r="C4524" s="75" t="n"/>
      <c r="D4524" s="75" t="n"/>
      <c r="E4524" s="76" t="n"/>
      <c r="F4524" s="77" t="n"/>
      <c r="G4524" s="75" t="n"/>
      <c r="H4524" s="75">
        <f>IF(ISBLANK(E4524),"",IF(OR(D4524="Butterfly",D4524="Butterfly ",D4524="Iron Fly", D4524="Iron Fly "),LEN(E4524)-LEN(SUBSTITUTE(E4524,"/",""))+2,LEN(E4524)-LEN(SUBSTITUTE(E4524,"/",""))+1))</f>
        <v/>
      </c>
      <c r="I4524" s="78">
        <f>IF(ISBLANK(G4524),"",IF(D4524="Stock","0",Key!$A$3*H4524*G4524))</f>
        <v/>
      </c>
      <c r="J4524" s="78">
        <f>IF(ISBLANK(E4524),"",IF(ISNUMBER(SEARCH("/",E4524)), IF(LEN(E4524)-LEN(SUBSTITUTE(E4524,"/",""))=1,(RIGHT(E4524,LEN(E4524)-FIND("/",E4524)))-(LEFT(E4524,FIND("/",E4524)-1)),(MID(E4524, SEARCH("/",E4524) + 1, SEARCH("/",E4524, SEARCH("/",E4524)+1) - SEARCH("/",E4524) - 1))-(LEFT(E4524,FIND("/",E4524)-1))), "NA"))</f>
        <v/>
      </c>
      <c r="K4524" s="79">
        <f>IF(A4524&lt;&gt;"", IF(ISBLANK(L4524), TODAY(), K4524), "")</f>
        <v/>
      </c>
      <c r="L4524" s="78" t="n"/>
      <c r="M4524" s="78">
        <f>IF(ISBLANK(L4524),"",IF(D4524="Stock",IF(C4524="Buy",L4524*G4524,IF(C4524="Sell",(L4524*G4524)-I4524, X)),IF(C4524="Buy",(L4524*G4524*100)+I4524,IF(C4524="Sell",(L4524*G4524*100)-I4524, X))))</f>
        <v/>
      </c>
      <c r="N4524" s="78">
        <f>IF(ISBLANK(L4524),"",IF(AND(C4524="Sell",D4524="Stock"),M4524,IF(ISBLANK(L4524),"",IF(C4524="Buy",M4524, IF(AND(C4524="Sell",J4524="NA"),(E4524*G4524*100*0.1)+I4524, IF(C4524="Sell",(J4524-L4524)*(100*G4524)+I4524))))))</f>
        <v/>
      </c>
      <c r="O4524" s="75" t="n"/>
      <c r="P4524" s="75" t="n"/>
      <c r="Q4524" s="75">
        <f>IF(ISBLANK(P4524),"",IF(D4524="Stock",P4524*G4524,IF(P4524=0,"0",G4524*P4524*100-(G4524*$AF$14))))</f>
        <v/>
      </c>
      <c r="R4524" s="79">
        <f>IF(P4524&lt;&gt;"", TODAY(), "")</f>
        <v/>
      </c>
      <c r="S4524" s="78">
        <f>IF(AND(K4524&lt;&gt;"", R4524&lt;&gt;""), R4524-K4524, "")</f>
        <v/>
      </c>
      <c r="T4524" s="78" t="n"/>
      <c r="U4524" s="92">
        <f>IF(ISBLANK(P4524),"",IF(C4524="Buy",Q4524-M4524+T4524, IF(C4524="Sell",M4524-Q4524-T4524, X)))</f>
        <v/>
      </c>
      <c r="V4524" s="81">
        <f>IF(ISBLANK(P4524),"",U4524/N4524)</f>
        <v/>
      </c>
      <c r="W4524" s="81">
        <f>IF(ISBLANK(P4524),"",IF(S4524=0,(365/0.5)*V4524,(365/S4524)*V4524))</f>
        <v/>
      </c>
      <c r="X4524" s="75" t="n"/>
      <c r="Y4524" s="77" t="n"/>
      <c r="Z4524" s="77" t="n"/>
      <c r="AA4524" s="75" t="n"/>
      <c r="AB4524" s="75" t="n"/>
      <c r="AC4524" s="6" t="n"/>
      <c r="AD4524" s="75" t="n"/>
      <c r="AE4524" s="75" t="n"/>
      <c r="AF4524" s="75" t="n"/>
    </row>
    <row r="4525" ht="15.75" customHeight="1" s="133">
      <c r="A4525" s="75" t="n"/>
      <c r="B4525" s="75" t="n"/>
      <c r="C4525" s="75" t="n"/>
      <c r="D4525" s="75" t="n"/>
      <c r="E4525" s="76" t="n"/>
      <c r="F4525" s="77" t="n"/>
      <c r="G4525" s="75" t="n"/>
      <c r="H4525" s="75">
        <f>IF(ISBLANK(E4525),"",IF(OR(D4525="Butterfly",D4525="Butterfly ",D4525="Iron Fly", D4525="Iron Fly "),LEN(E4525)-LEN(SUBSTITUTE(E4525,"/",""))+2,LEN(E4525)-LEN(SUBSTITUTE(E4525,"/",""))+1))</f>
        <v/>
      </c>
      <c r="I4525" s="78">
        <f>IF(ISBLANK(G4525),"",IF(D4525="Stock","0",Key!$A$3*H4525*G4525))</f>
        <v/>
      </c>
      <c r="J4525" s="78">
        <f>IF(ISBLANK(E4525),"",IF(ISNUMBER(SEARCH("/",E4525)), IF(LEN(E4525)-LEN(SUBSTITUTE(E4525,"/",""))=1,(RIGHT(E4525,LEN(E4525)-FIND("/",E4525)))-(LEFT(E4525,FIND("/",E4525)-1)),(MID(E4525, SEARCH("/",E4525) + 1, SEARCH("/",E4525, SEARCH("/",E4525)+1) - SEARCH("/",E4525) - 1))-(LEFT(E4525,FIND("/",E4525)-1))), "NA"))</f>
        <v/>
      </c>
      <c r="K4525" s="79">
        <f>IF(A4525&lt;&gt;"", IF(ISBLANK(L4525), TODAY(), K4525), "")</f>
        <v/>
      </c>
      <c r="L4525" s="78" t="n"/>
      <c r="M4525" s="78">
        <f>IF(ISBLANK(L4525),"",IF(D4525="Stock",IF(C4525="Buy",L4525*G4525,IF(C4525="Sell",(L4525*G4525)-I4525, X)),IF(C4525="Buy",(L4525*G4525*100)+I4525,IF(C4525="Sell",(L4525*G4525*100)-I4525, X))))</f>
        <v/>
      </c>
      <c r="N4525" s="78">
        <f>IF(ISBLANK(L4525),"",IF(AND(C4525="Sell",D4525="Stock"),M4525,IF(ISBLANK(L4525),"",IF(C4525="Buy",M4525, IF(AND(C4525="Sell",J4525="NA"),(E4525*G4525*100*0.1)+I4525, IF(C4525="Sell",(J4525-L4525)*(100*G4525)+I4525))))))</f>
        <v/>
      </c>
      <c r="O4525" s="75" t="n"/>
      <c r="P4525" s="75" t="n"/>
      <c r="Q4525" s="75">
        <f>IF(ISBLANK(P4525),"",IF(D4525="Stock",P4525*G4525,IF(P4525=0,"0",G4525*P4525*100-(G4525*$AF$14))))</f>
        <v/>
      </c>
      <c r="R4525" s="79">
        <f>IF(P4525&lt;&gt;"", TODAY(), "")</f>
        <v/>
      </c>
      <c r="S4525" s="78">
        <f>IF(AND(K4525&lt;&gt;"", R4525&lt;&gt;""), R4525-K4525, "")</f>
        <v/>
      </c>
      <c r="T4525" s="78" t="n"/>
      <c r="U4525" s="92">
        <f>IF(ISBLANK(P4525),"",IF(C4525="Buy",Q4525-M4525+T4525, IF(C4525="Sell",M4525-Q4525-T4525, X)))</f>
        <v/>
      </c>
      <c r="V4525" s="81">
        <f>IF(ISBLANK(P4525),"",U4525/N4525)</f>
        <v/>
      </c>
      <c r="W4525" s="81">
        <f>IF(ISBLANK(P4525),"",IF(S4525=0,(365/0.5)*V4525,(365/S4525)*V4525))</f>
        <v/>
      </c>
      <c r="X4525" s="75" t="n"/>
      <c r="Y4525" s="77" t="n"/>
      <c r="Z4525" s="77" t="n"/>
      <c r="AA4525" s="75" t="n"/>
      <c r="AB4525" s="75" t="n"/>
      <c r="AC4525" s="6" t="n"/>
      <c r="AD4525" s="75" t="n"/>
      <c r="AE4525" s="75" t="n"/>
      <c r="AF4525" s="75" t="n"/>
    </row>
    <row r="4526" ht="15.75" customHeight="1" s="133">
      <c r="A4526" s="75" t="n"/>
      <c r="B4526" s="75" t="n"/>
      <c r="C4526" s="75" t="n"/>
      <c r="D4526" s="75" t="n"/>
      <c r="E4526" s="76" t="n"/>
      <c r="F4526" s="77" t="n"/>
      <c r="G4526" s="75" t="n"/>
      <c r="H4526" s="75">
        <f>IF(ISBLANK(E4526),"",IF(OR(D4526="Butterfly",D4526="Butterfly ",D4526="Iron Fly", D4526="Iron Fly "),LEN(E4526)-LEN(SUBSTITUTE(E4526,"/",""))+2,LEN(E4526)-LEN(SUBSTITUTE(E4526,"/",""))+1))</f>
        <v/>
      </c>
      <c r="I4526" s="78">
        <f>IF(ISBLANK(G4526),"",IF(D4526="Stock","0",Key!$A$3*H4526*G4526))</f>
        <v/>
      </c>
      <c r="J4526" s="78">
        <f>IF(ISBLANK(E4526),"",IF(ISNUMBER(SEARCH("/",E4526)), IF(LEN(E4526)-LEN(SUBSTITUTE(E4526,"/",""))=1,(RIGHT(E4526,LEN(E4526)-FIND("/",E4526)))-(LEFT(E4526,FIND("/",E4526)-1)),(MID(E4526, SEARCH("/",E4526) + 1, SEARCH("/",E4526, SEARCH("/",E4526)+1) - SEARCH("/",E4526) - 1))-(LEFT(E4526,FIND("/",E4526)-1))), "NA"))</f>
        <v/>
      </c>
      <c r="K4526" s="79">
        <f>IF(A4526&lt;&gt;"", IF(ISBLANK(L4526), TODAY(), K4526), "")</f>
        <v/>
      </c>
      <c r="L4526" s="78" t="n"/>
      <c r="M4526" s="78">
        <f>IF(ISBLANK(L4526),"",IF(D4526="Stock",IF(C4526="Buy",L4526*G4526,IF(C4526="Sell",(L4526*G4526)-I4526, X)),IF(C4526="Buy",(L4526*G4526*100)+I4526,IF(C4526="Sell",(L4526*G4526*100)-I4526, X))))</f>
        <v/>
      </c>
      <c r="N4526" s="78">
        <f>IF(ISBLANK(L4526),"",IF(AND(C4526="Sell",D4526="Stock"),M4526,IF(ISBLANK(L4526),"",IF(C4526="Buy",M4526, IF(AND(C4526="Sell",J4526="NA"),(E4526*G4526*100*0.1)+I4526, IF(C4526="Sell",(J4526-L4526)*(100*G4526)+I4526))))))</f>
        <v/>
      </c>
      <c r="O4526" s="75" t="n"/>
      <c r="P4526" s="75" t="n"/>
      <c r="Q4526" s="75">
        <f>IF(ISBLANK(P4526),"",IF(D4526="Stock",P4526*G4526,IF(P4526=0,"0",G4526*P4526*100-(G4526*$AF$14))))</f>
        <v/>
      </c>
      <c r="R4526" s="79">
        <f>IF(P4526&lt;&gt;"", TODAY(), "")</f>
        <v/>
      </c>
      <c r="S4526" s="78">
        <f>IF(AND(K4526&lt;&gt;"", R4526&lt;&gt;""), R4526-K4526, "")</f>
        <v/>
      </c>
      <c r="T4526" s="78" t="n"/>
      <c r="U4526" s="92">
        <f>IF(ISBLANK(P4526),"",IF(C4526="Buy",Q4526-M4526+T4526, IF(C4526="Sell",M4526-Q4526-T4526, X)))</f>
        <v/>
      </c>
      <c r="V4526" s="81">
        <f>IF(ISBLANK(P4526),"",U4526/N4526)</f>
        <v/>
      </c>
      <c r="W4526" s="81">
        <f>IF(ISBLANK(P4526),"",IF(S4526=0,(365/0.5)*V4526,(365/S4526)*V4526))</f>
        <v/>
      </c>
      <c r="X4526" s="75" t="n"/>
      <c r="Y4526" s="77" t="n"/>
      <c r="Z4526" s="77" t="n"/>
      <c r="AA4526" s="75" t="n"/>
      <c r="AB4526" s="75" t="n"/>
      <c r="AC4526" s="6" t="n"/>
      <c r="AD4526" s="75" t="n"/>
      <c r="AE4526" s="75" t="n"/>
      <c r="AF4526" s="75" t="n"/>
    </row>
    <row r="4527" ht="15.75" customHeight="1" s="133">
      <c r="A4527" s="75" t="n"/>
      <c r="B4527" s="75" t="n"/>
      <c r="C4527" s="75" t="n"/>
      <c r="D4527" s="75" t="n"/>
      <c r="E4527" s="76" t="n"/>
      <c r="F4527" s="77" t="n"/>
      <c r="G4527" s="75" t="n"/>
      <c r="H4527" s="75">
        <f>IF(ISBLANK(E4527),"",IF(OR(D4527="Butterfly",D4527="Butterfly ",D4527="Iron Fly", D4527="Iron Fly "),LEN(E4527)-LEN(SUBSTITUTE(E4527,"/",""))+2,LEN(E4527)-LEN(SUBSTITUTE(E4527,"/",""))+1))</f>
        <v/>
      </c>
      <c r="I4527" s="78">
        <f>IF(ISBLANK(G4527),"",IF(D4527="Stock","0",Key!$A$3*H4527*G4527))</f>
        <v/>
      </c>
      <c r="J4527" s="78">
        <f>IF(ISBLANK(E4527),"",IF(ISNUMBER(SEARCH("/",E4527)), IF(LEN(E4527)-LEN(SUBSTITUTE(E4527,"/",""))=1,(RIGHT(E4527,LEN(E4527)-FIND("/",E4527)))-(LEFT(E4527,FIND("/",E4527)-1)),(MID(E4527, SEARCH("/",E4527) + 1, SEARCH("/",E4527, SEARCH("/",E4527)+1) - SEARCH("/",E4527) - 1))-(LEFT(E4527,FIND("/",E4527)-1))), "NA"))</f>
        <v/>
      </c>
      <c r="K4527" s="79">
        <f>IF(A4527&lt;&gt;"", IF(ISBLANK(L4527), TODAY(), K4527), "")</f>
        <v/>
      </c>
      <c r="L4527" s="78" t="n"/>
      <c r="M4527" s="78">
        <f>IF(ISBLANK(L4527),"",IF(D4527="Stock",IF(C4527="Buy",L4527*G4527,IF(C4527="Sell",(L4527*G4527)-I4527, X)),IF(C4527="Buy",(L4527*G4527*100)+I4527,IF(C4527="Sell",(L4527*G4527*100)-I4527, X))))</f>
        <v/>
      </c>
      <c r="N4527" s="78">
        <f>IF(ISBLANK(L4527),"",IF(AND(C4527="Sell",D4527="Stock"),M4527,IF(ISBLANK(L4527),"",IF(C4527="Buy",M4527, IF(AND(C4527="Sell",J4527="NA"),(E4527*G4527*100*0.1)+I4527, IF(C4527="Sell",(J4527-L4527)*(100*G4527)+I4527))))))</f>
        <v/>
      </c>
      <c r="O4527" s="75" t="n"/>
      <c r="P4527" s="75" t="n"/>
      <c r="Q4527" s="75">
        <f>IF(ISBLANK(P4527),"",IF(D4527="Stock",P4527*G4527,IF(P4527=0,"0",G4527*P4527*100-(G4527*$AF$14))))</f>
        <v/>
      </c>
      <c r="R4527" s="79">
        <f>IF(P4527&lt;&gt;"", TODAY(), "")</f>
        <v/>
      </c>
      <c r="S4527" s="78">
        <f>IF(AND(K4527&lt;&gt;"", R4527&lt;&gt;""), R4527-K4527, "")</f>
        <v/>
      </c>
      <c r="T4527" s="78" t="n"/>
      <c r="U4527" s="92">
        <f>IF(ISBLANK(P4527),"",IF(C4527="Buy",Q4527-M4527+T4527, IF(C4527="Sell",M4527-Q4527-T4527, X)))</f>
        <v/>
      </c>
      <c r="V4527" s="81">
        <f>IF(ISBLANK(P4527),"",U4527/N4527)</f>
        <v/>
      </c>
      <c r="W4527" s="81">
        <f>IF(ISBLANK(P4527),"",IF(S4527=0,(365/0.5)*V4527,(365/S4527)*V4527))</f>
        <v/>
      </c>
      <c r="X4527" s="75" t="n"/>
      <c r="Y4527" s="77" t="n"/>
      <c r="Z4527" s="77" t="n"/>
      <c r="AA4527" s="75" t="n"/>
      <c r="AB4527" s="75" t="n"/>
      <c r="AC4527" s="6" t="n"/>
      <c r="AD4527" s="75" t="n"/>
      <c r="AE4527" s="75" t="n"/>
      <c r="AF4527" s="75" t="n"/>
    </row>
    <row r="4528" ht="15.75" customHeight="1" s="133">
      <c r="A4528" s="75" t="n"/>
      <c r="B4528" s="75" t="n"/>
      <c r="C4528" s="75" t="n"/>
      <c r="D4528" s="75" t="n"/>
      <c r="E4528" s="76" t="n"/>
      <c r="F4528" s="77" t="n"/>
      <c r="G4528" s="75" t="n"/>
      <c r="H4528" s="75">
        <f>IF(ISBLANK(E4528),"",IF(OR(D4528="Butterfly",D4528="Butterfly ",D4528="Iron Fly", D4528="Iron Fly "),LEN(E4528)-LEN(SUBSTITUTE(E4528,"/",""))+2,LEN(E4528)-LEN(SUBSTITUTE(E4528,"/",""))+1))</f>
        <v/>
      </c>
      <c r="I4528" s="78">
        <f>IF(ISBLANK(G4528),"",IF(D4528="Stock","0",Key!$A$3*H4528*G4528))</f>
        <v/>
      </c>
      <c r="J4528" s="78">
        <f>IF(ISBLANK(E4528),"",IF(ISNUMBER(SEARCH("/",E4528)), IF(LEN(E4528)-LEN(SUBSTITUTE(E4528,"/",""))=1,(RIGHT(E4528,LEN(E4528)-FIND("/",E4528)))-(LEFT(E4528,FIND("/",E4528)-1)),(MID(E4528, SEARCH("/",E4528) + 1, SEARCH("/",E4528, SEARCH("/",E4528)+1) - SEARCH("/",E4528) - 1))-(LEFT(E4528,FIND("/",E4528)-1))), "NA"))</f>
        <v/>
      </c>
      <c r="K4528" s="79">
        <f>IF(A4528&lt;&gt;"", IF(ISBLANK(L4528), TODAY(), K4528), "")</f>
        <v/>
      </c>
      <c r="L4528" s="78" t="n"/>
      <c r="M4528" s="78">
        <f>IF(ISBLANK(L4528),"",IF(D4528="Stock",IF(C4528="Buy",L4528*G4528,IF(C4528="Sell",(L4528*G4528)-I4528, X)),IF(C4528="Buy",(L4528*G4528*100)+I4528,IF(C4528="Sell",(L4528*G4528*100)-I4528, X))))</f>
        <v/>
      </c>
      <c r="N4528" s="78">
        <f>IF(ISBLANK(L4528),"",IF(AND(C4528="Sell",D4528="Stock"),M4528,IF(ISBLANK(L4528),"",IF(C4528="Buy",M4528, IF(AND(C4528="Sell",J4528="NA"),(E4528*G4528*100*0.1)+I4528, IF(C4528="Sell",(J4528-L4528)*(100*G4528)+I4528))))))</f>
        <v/>
      </c>
      <c r="O4528" s="75" t="n"/>
      <c r="P4528" s="75" t="n"/>
      <c r="Q4528" s="75">
        <f>IF(ISBLANK(P4528),"",IF(D4528="Stock",P4528*G4528,IF(P4528=0,"0",G4528*P4528*100-(G4528*$AF$14))))</f>
        <v/>
      </c>
      <c r="R4528" s="79">
        <f>IF(P4528&lt;&gt;"", TODAY(), "")</f>
        <v/>
      </c>
      <c r="S4528" s="78">
        <f>IF(AND(K4528&lt;&gt;"", R4528&lt;&gt;""), R4528-K4528, "")</f>
        <v/>
      </c>
      <c r="T4528" s="78" t="n"/>
      <c r="U4528" s="92">
        <f>IF(ISBLANK(P4528),"",IF(C4528="Buy",Q4528-M4528+T4528, IF(C4528="Sell",M4528-Q4528-T4528, X)))</f>
        <v/>
      </c>
      <c r="V4528" s="81">
        <f>IF(ISBLANK(P4528),"",U4528/N4528)</f>
        <v/>
      </c>
      <c r="W4528" s="81">
        <f>IF(ISBLANK(P4528),"",IF(S4528=0,(365/0.5)*V4528,(365/S4528)*V4528))</f>
        <v/>
      </c>
      <c r="X4528" s="75" t="n"/>
      <c r="Y4528" s="77" t="n"/>
      <c r="Z4528" s="77" t="n"/>
      <c r="AA4528" s="75" t="n"/>
      <c r="AB4528" s="75" t="n"/>
      <c r="AC4528" s="6" t="n"/>
      <c r="AD4528" s="75" t="n"/>
      <c r="AE4528" s="75" t="n"/>
      <c r="AF4528" s="75" t="n"/>
    </row>
    <row r="4529" ht="15.75" customHeight="1" s="133">
      <c r="A4529" s="75" t="n"/>
      <c r="B4529" s="75" t="n"/>
      <c r="C4529" s="75" t="n"/>
      <c r="D4529" s="75" t="n"/>
      <c r="E4529" s="76" t="n"/>
      <c r="F4529" s="77" t="n"/>
      <c r="G4529" s="75" t="n"/>
      <c r="H4529" s="75">
        <f>IF(ISBLANK(E4529),"",IF(OR(D4529="Butterfly",D4529="Butterfly ",D4529="Iron Fly", D4529="Iron Fly "),LEN(E4529)-LEN(SUBSTITUTE(E4529,"/",""))+2,LEN(E4529)-LEN(SUBSTITUTE(E4529,"/",""))+1))</f>
        <v/>
      </c>
      <c r="I4529" s="78">
        <f>IF(ISBLANK(G4529),"",IF(D4529="Stock","0",Key!$A$3*H4529*G4529))</f>
        <v/>
      </c>
      <c r="J4529" s="78">
        <f>IF(ISBLANK(E4529),"",IF(ISNUMBER(SEARCH("/",E4529)), IF(LEN(E4529)-LEN(SUBSTITUTE(E4529,"/",""))=1,(RIGHT(E4529,LEN(E4529)-FIND("/",E4529)))-(LEFT(E4529,FIND("/",E4529)-1)),(MID(E4529, SEARCH("/",E4529) + 1, SEARCH("/",E4529, SEARCH("/",E4529)+1) - SEARCH("/",E4529) - 1))-(LEFT(E4529,FIND("/",E4529)-1))), "NA"))</f>
        <v/>
      </c>
      <c r="K4529" s="79">
        <f>IF(A4529&lt;&gt;"", IF(ISBLANK(L4529), TODAY(), K4529), "")</f>
        <v/>
      </c>
      <c r="L4529" s="78" t="n"/>
      <c r="M4529" s="78">
        <f>IF(ISBLANK(L4529),"",IF(D4529="Stock",IF(C4529="Buy",L4529*G4529,IF(C4529="Sell",(L4529*G4529)-I4529, X)),IF(C4529="Buy",(L4529*G4529*100)+I4529,IF(C4529="Sell",(L4529*G4529*100)-I4529, X))))</f>
        <v/>
      </c>
      <c r="N4529" s="78">
        <f>IF(ISBLANK(L4529),"",IF(AND(C4529="Sell",D4529="Stock"),M4529,IF(ISBLANK(L4529),"",IF(C4529="Buy",M4529, IF(AND(C4529="Sell",J4529="NA"),(E4529*G4529*100*0.1)+I4529, IF(C4529="Sell",(J4529-L4529)*(100*G4529)+I4529))))))</f>
        <v/>
      </c>
      <c r="O4529" s="75" t="n"/>
      <c r="P4529" s="75" t="n"/>
      <c r="Q4529" s="75">
        <f>IF(ISBLANK(P4529),"",IF(D4529="Stock",P4529*G4529,IF(P4529=0,"0",G4529*P4529*100-(G4529*$AF$14))))</f>
        <v/>
      </c>
      <c r="R4529" s="79">
        <f>IF(P4529&lt;&gt;"", TODAY(), "")</f>
        <v/>
      </c>
      <c r="S4529" s="78">
        <f>IF(AND(K4529&lt;&gt;"", R4529&lt;&gt;""), R4529-K4529, "")</f>
        <v/>
      </c>
      <c r="T4529" s="78" t="n"/>
      <c r="U4529" s="92">
        <f>IF(ISBLANK(P4529),"",IF(C4529="Buy",Q4529-M4529+T4529, IF(C4529="Sell",M4529-Q4529-T4529, X)))</f>
        <v/>
      </c>
      <c r="V4529" s="81">
        <f>IF(ISBLANK(P4529),"",U4529/N4529)</f>
        <v/>
      </c>
      <c r="W4529" s="81">
        <f>IF(ISBLANK(P4529),"",IF(S4529=0,(365/0.5)*V4529,(365/S4529)*V4529))</f>
        <v/>
      </c>
      <c r="X4529" s="75" t="n"/>
      <c r="Y4529" s="77" t="n"/>
      <c r="Z4529" s="77" t="n"/>
      <c r="AA4529" s="75" t="n"/>
      <c r="AB4529" s="75" t="n"/>
      <c r="AC4529" s="6" t="n"/>
      <c r="AD4529" s="75" t="n"/>
      <c r="AE4529" s="75" t="n"/>
      <c r="AF4529" s="75" t="n"/>
    </row>
    <row r="4530" ht="15.75" customHeight="1" s="133">
      <c r="A4530" s="75" t="n"/>
      <c r="B4530" s="75" t="n"/>
      <c r="C4530" s="75" t="n"/>
      <c r="D4530" s="75" t="n"/>
      <c r="E4530" s="76" t="n"/>
      <c r="F4530" s="77" t="n"/>
      <c r="G4530" s="75" t="n"/>
      <c r="H4530" s="75">
        <f>IF(ISBLANK(E4530),"",IF(OR(D4530="Butterfly",D4530="Butterfly ",D4530="Iron Fly", D4530="Iron Fly "),LEN(E4530)-LEN(SUBSTITUTE(E4530,"/",""))+2,LEN(E4530)-LEN(SUBSTITUTE(E4530,"/",""))+1))</f>
        <v/>
      </c>
      <c r="I4530" s="78">
        <f>IF(ISBLANK(G4530),"",IF(D4530="Stock","0",Key!$A$3*H4530*G4530))</f>
        <v/>
      </c>
      <c r="J4530" s="78">
        <f>IF(ISBLANK(E4530),"",IF(ISNUMBER(SEARCH("/",E4530)), IF(LEN(E4530)-LEN(SUBSTITUTE(E4530,"/",""))=1,(RIGHT(E4530,LEN(E4530)-FIND("/",E4530)))-(LEFT(E4530,FIND("/",E4530)-1)),(MID(E4530, SEARCH("/",E4530) + 1, SEARCH("/",E4530, SEARCH("/",E4530)+1) - SEARCH("/",E4530) - 1))-(LEFT(E4530,FIND("/",E4530)-1))), "NA"))</f>
        <v/>
      </c>
      <c r="K4530" s="79">
        <f>IF(A4530&lt;&gt;"", IF(ISBLANK(L4530), TODAY(), K4530), "")</f>
        <v/>
      </c>
      <c r="L4530" s="78" t="n"/>
      <c r="M4530" s="78">
        <f>IF(ISBLANK(L4530),"",IF(D4530="Stock",IF(C4530="Buy",L4530*G4530,IF(C4530="Sell",(L4530*G4530)-I4530, X)),IF(C4530="Buy",(L4530*G4530*100)+I4530,IF(C4530="Sell",(L4530*G4530*100)-I4530, X))))</f>
        <v/>
      </c>
      <c r="N4530" s="78">
        <f>IF(ISBLANK(L4530),"",IF(AND(C4530="Sell",D4530="Stock"),M4530,IF(ISBLANK(L4530),"",IF(C4530="Buy",M4530, IF(AND(C4530="Sell",J4530="NA"),(E4530*G4530*100*0.1)+I4530, IF(C4530="Sell",(J4530-L4530)*(100*G4530)+I4530))))))</f>
        <v/>
      </c>
      <c r="O4530" s="75" t="n"/>
      <c r="P4530" s="75" t="n"/>
      <c r="Q4530" s="75">
        <f>IF(ISBLANK(P4530),"",IF(D4530="Stock",P4530*G4530,IF(P4530=0,"0",G4530*P4530*100-(G4530*$AF$14))))</f>
        <v/>
      </c>
      <c r="R4530" s="79">
        <f>IF(P4530&lt;&gt;"", TODAY(), "")</f>
        <v/>
      </c>
      <c r="S4530" s="78">
        <f>IF(AND(K4530&lt;&gt;"", R4530&lt;&gt;""), R4530-K4530, "")</f>
        <v/>
      </c>
      <c r="T4530" s="78" t="n"/>
      <c r="U4530" s="92">
        <f>IF(ISBLANK(P4530),"",IF(C4530="Buy",Q4530-M4530+T4530, IF(C4530="Sell",M4530-Q4530-T4530, X)))</f>
        <v/>
      </c>
      <c r="V4530" s="81">
        <f>IF(ISBLANK(P4530),"",U4530/N4530)</f>
        <v/>
      </c>
      <c r="W4530" s="81">
        <f>IF(ISBLANK(P4530),"",IF(S4530=0,(365/0.5)*V4530,(365/S4530)*V4530))</f>
        <v/>
      </c>
      <c r="X4530" s="75" t="n"/>
      <c r="Y4530" s="77" t="n"/>
      <c r="Z4530" s="77" t="n"/>
      <c r="AA4530" s="75" t="n"/>
      <c r="AB4530" s="75" t="n"/>
      <c r="AC4530" s="6" t="n"/>
      <c r="AD4530" s="75" t="n"/>
      <c r="AE4530" s="75" t="n"/>
      <c r="AF4530" s="75" t="n"/>
    </row>
    <row r="4531" ht="15.75" customHeight="1" s="133">
      <c r="A4531" s="75" t="n"/>
      <c r="B4531" s="75" t="n"/>
      <c r="C4531" s="75" t="n"/>
      <c r="D4531" s="75" t="n"/>
      <c r="E4531" s="76" t="n"/>
      <c r="F4531" s="77" t="n"/>
      <c r="G4531" s="75" t="n"/>
      <c r="H4531" s="75">
        <f>IF(ISBLANK(E4531),"",IF(OR(D4531="Butterfly",D4531="Butterfly ",D4531="Iron Fly", D4531="Iron Fly "),LEN(E4531)-LEN(SUBSTITUTE(E4531,"/",""))+2,LEN(E4531)-LEN(SUBSTITUTE(E4531,"/",""))+1))</f>
        <v/>
      </c>
      <c r="I4531" s="78">
        <f>IF(ISBLANK(G4531),"",IF(D4531="Stock","0",Key!$A$3*H4531*G4531))</f>
        <v/>
      </c>
      <c r="J4531" s="78">
        <f>IF(ISBLANK(E4531),"",IF(ISNUMBER(SEARCH("/",E4531)), IF(LEN(E4531)-LEN(SUBSTITUTE(E4531,"/",""))=1,(RIGHT(E4531,LEN(E4531)-FIND("/",E4531)))-(LEFT(E4531,FIND("/",E4531)-1)),(MID(E4531, SEARCH("/",E4531) + 1, SEARCH("/",E4531, SEARCH("/",E4531)+1) - SEARCH("/",E4531) - 1))-(LEFT(E4531,FIND("/",E4531)-1))), "NA"))</f>
        <v/>
      </c>
      <c r="K4531" s="79">
        <f>IF(A4531&lt;&gt;"", IF(ISBLANK(L4531), TODAY(), K4531), "")</f>
        <v/>
      </c>
      <c r="L4531" s="78" t="n"/>
      <c r="M4531" s="78">
        <f>IF(ISBLANK(L4531),"",IF(D4531="Stock",IF(C4531="Buy",L4531*G4531,IF(C4531="Sell",(L4531*G4531)-I4531, X)),IF(C4531="Buy",(L4531*G4531*100)+I4531,IF(C4531="Sell",(L4531*G4531*100)-I4531, X))))</f>
        <v/>
      </c>
      <c r="N4531" s="78">
        <f>IF(ISBLANK(L4531),"",IF(AND(C4531="Sell",D4531="Stock"),M4531,IF(ISBLANK(L4531),"",IF(C4531="Buy",M4531, IF(AND(C4531="Sell",J4531="NA"),(E4531*G4531*100*0.1)+I4531, IF(C4531="Sell",(J4531-L4531)*(100*G4531)+I4531))))))</f>
        <v/>
      </c>
      <c r="O4531" s="75" t="n"/>
      <c r="P4531" s="75" t="n"/>
      <c r="Q4531" s="75">
        <f>IF(ISBLANK(P4531),"",IF(D4531="Stock",P4531*G4531,IF(P4531=0,"0",G4531*P4531*100-(G4531*$AF$14))))</f>
        <v/>
      </c>
      <c r="R4531" s="79">
        <f>IF(P4531&lt;&gt;"", TODAY(), "")</f>
        <v/>
      </c>
      <c r="S4531" s="78">
        <f>IF(AND(K4531&lt;&gt;"", R4531&lt;&gt;""), R4531-K4531, "")</f>
        <v/>
      </c>
      <c r="T4531" s="78" t="n"/>
      <c r="U4531" s="92">
        <f>IF(ISBLANK(P4531),"",IF(C4531="Buy",Q4531-M4531+T4531, IF(C4531="Sell",M4531-Q4531-T4531, X)))</f>
        <v/>
      </c>
      <c r="V4531" s="81">
        <f>IF(ISBLANK(P4531),"",U4531/N4531)</f>
        <v/>
      </c>
      <c r="W4531" s="81">
        <f>IF(ISBLANK(P4531),"",IF(S4531=0,(365/0.5)*V4531,(365/S4531)*V4531))</f>
        <v/>
      </c>
      <c r="X4531" s="75" t="n"/>
      <c r="Y4531" s="77" t="n"/>
      <c r="Z4531" s="77" t="n"/>
      <c r="AA4531" s="75" t="n"/>
      <c r="AB4531" s="75" t="n"/>
      <c r="AC4531" s="6" t="n"/>
      <c r="AD4531" s="75" t="n"/>
      <c r="AE4531" s="75" t="n"/>
      <c r="AF4531" s="75" t="n"/>
    </row>
    <row r="4532" ht="15.75" customHeight="1" s="133">
      <c r="A4532" s="75" t="n"/>
      <c r="B4532" s="75" t="n"/>
      <c r="C4532" s="75" t="n"/>
      <c r="D4532" s="75" t="n"/>
      <c r="E4532" s="76" t="n"/>
      <c r="F4532" s="77" t="n"/>
      <c r="G4532" s="75" t="n"/>
      <c r="H4532" s="75">
        <f>IF(ISBLANK(E4532),"",IF(OR(D4532="Butterfly",D4532="Butterfly ",D4532="Iron Fly", D4532="Iron Fly "),LEN(E4532)-LEN(SUBSTITUTE(E4532,"/",""))+2,LEN(E4532)-LEN(SUBSTITUTE(E4532,"/",""))+1))</f>
        <v/>
      </c>
      <c r="I4532" s="78">
        <f>IF(ISBLANK(G4532),"",IF(D4532="Stock","0",Key!$A$3*H4532*G4532))</f>
        <v/>
      </c>
      <c r="J4532" s="78">
        <f>IF(ISBLANK(E4532),"",IF(ISNUMBER(SEARCH("/",E4532)), IF(LEN(E4532)-LEN(SUBSTITUTE(E4532,"/",""))=1,(RIGHT(E4532,LEN(E4532)-FIND("/",E4532)))-(LEFT(E4532,FIND("/",E4532)-1)),(MID(E4532, SEARCH("/",E4532) + 1, SEARCH("/",E4532, SEARCH("/",E4532)+1) - SEARCH("/",E4532) - 1))-(LEFT(E4532,FIND("/",E4532)-1))), "NA"))</f>
        <v/>
      </c>
      <c r="K4532" s="79">
        <f>IF(A4532&lt;&gt;"", IF(ISBLANK(L4532), TODAY(), K4532), "")</f>
        <v/>
      </c>
      <c r="L4532" s="78" t="n"/>
      <c r="M4532" s="78">
        <f>IF(ISBLANK(L4532),"",IF(D4532="Stock",IF(C4532="Buy",L4532*G4532,IF(C4532="Sell",(L4532*G4532)-I4532, X)),IF(C4532="Buy",(L4532*G4532*100)+I4532,IF(C4532="Sell",(L4532*G4532*100)-I4532, X))))</f>
        <v/>
      </c>
      <c r="N4532" s="78">
        <f>IF(ISBLANK(L4532),"",IF(AND(C4532="Sell",D4532="Stock"),M4532,IF(ISBLANK(L4532),"",IF(C4532="Buy",M4532, IF(AND(C4532="Sell",J4532="NA"),(E4532*G4532*100*0.1)+I4532, IF(C4532="Sell",(J4532-L4532)*(100*G4532)+I4532))))))</f>
        <v/>
      </c>
      <c r="O4532" s="75" t="n"/>
      <c r="P4532" s="75" t="n"/>
      <c r="Q4532" s="75">
        <f>IF(ISBLANK(P4532),"",IF(D4532="Stock",P4532*G4532,IF(P4532=0,"0",G4532*P4532*100-(G4532*$AF$14))))</f>
        <v/>
      </c>
      <c r="R4532" s="79">
        <f>IF(P4532&lt;&gt;"", TODAY(), "")</f>
        <v/>
      </c>
      <c r="S4532" s="78">
        <f>IF(AND(K4532&lt;&gt;"", R4532&lt;&gt;""), R4532-K4532, "")</f>
        <v/>
      </c>
      <c r="T4532" s="78" t="n"/>
      <c r="U4532" s="92">
        <f>IF(ISBLANK(P4532),"",IF(C4532="Buy",Q4532-M4532+T4532, IF(C4532="Sell",M4532-Q4532-T4532, X)))</f>
        <v/>
      </c>
      <c r="V4532" s="81">
        <f>IF(ISBLANK(P4532),"",U4532/N4532)</f>
        <v/>
      </c>
      <c r="W4532" s="81">
        <f>IF(ISBLANK(P4532),"",IF(S4532=0,(365/0.5)*V4532,(365/S4532)*V4532))</f>
        <v/>
      </c>
      <c r="X4532" s="75" t="n"/>
      <c r="Y4532" s="77" t="n"/>
      <c r="Z4532" s="77" t="n"/>
      <c r="AA4532" s="75" t="n"/>
      <c r="AB4532" s="75" t="n"/>
      <c r="AC4532" s="6" t="n"/>
      <c r="AD4532" s="75" t="n"/>
      <c r="AE4532" s="75" t="n"/>
      <c r="AF4532" s="75" t="n"/>
    </row>
    <row r="4533" ht="15.75" customHeight="1" s="133">
      <c r="A4533" s="75" t="n"/>
      <c r="B4533" s="75" t="n"/>
      <c r="C4533" s="75" t="n"/>
      <c r="D4533" s="75" t="n"/>
      <c r="E4533" s="76" t="n"/>
      <c r="F4533" s="77" t="n"/>
      <c r="G4533" s="75" t="n"/>
      <c r="H4533" s="75">
        <f>IF(ISBLANK(E4533),"",IF(OR(D4533="Butterfly",D4533="Butterfly ",D4533="Iron Fly", D4533="Iron Fly "),LEN(E4533)-LEN(SUBSTITUTE(E4533,"/",""))+2,LEN(E4533)-LEN(SUBSTITUTE(E4533,"/",""))+1))</f>
        <v/>
      </c>
      <c r="I4533" s="78">
        <f>IF(ISBLANK(G4533),"",IF(D4533="Stock","0",Key!$A$3*H4533*G4533))</f>
        <v/>
      </c>
      <c r="J4533" s="78">
        <f>IF(ISBLANK(E4533),"",IF(ISNUMBER(SEARCH("/",E4533)), IF(LEN(E4533)-LEN(SUBSTITUTE(E4533,"/",""))=1,(RIGHT(E4533,LEN(E4533)-FIND("/",E4533)))-(LEFT(E4533,FIND("/",E4533)-1)),(MID(E4533, SEARCH("/",E4533) + 1, SEARCH("/",E4533, SEARCH("/",E4533)+1) - SEARCH("/",E4533) - 1))-(LEFT(E4533,FIND("/",E4533)-1))), "NA"))</f>
        <v/>
      </c>
      <c r="K4533" s="79">
        <f>IF(A4533&lt;&gt;"", IF(ISBLANK(L4533), TODAY(), K4533), "")</f>
        <v/>
      </c>
      <c r="L4533" s="78" t="n"/>
      <c r="M4533" s="78">
        <f>IF(ISBLANK(L4533),"",IF(D4533="Stock",IF(C4533="Buy",L4533*G4533,IF(C4533="Sell",(L4533*G4533)-I4533, X)),IF(C4533="Buy",(L4533*G4533*100)+I4533,IF(C4533="Sell",(L4533*G4533*100)-I4533, X))))</f>
        <v/>
      </c>
      <c r="N4533" s="78">
        <f>IF(ISBLANK(L4533),"",IF(AND(C4533="Sell",D4533="Stock"),M4533,IF(ISBLANK(L4533),"",IF(C4533="Buy",M4533, IF(AND(C4533="Sell",J4533="NA"),(E4533*G4533*100*0.1)+I4533, IF(C4533="Sell",(J4533-L4533)*(100*G4533)+I4533))))))</f>
        <v/>
      </c>
      <c r="O4533" s="75" t="n"/>
      <c r="P4533" s="75" t="n"/>
      <c r="Q4533" s="75">
        <f>IF(ISBLANK(P4533),"",IF(D4533="Stock",P4533*G4533,IF(P4533=0,"0",G4533*P4533*100-(G4533*$AF$14))))</f>
        <v/>
      </c>
      <c r="R4533" s="79">
        <f>IF(P4533&lt;&gt;"", TODAY(), "")</f>
        <v/>
      </c>
      <c r="S4533" s="78">
        <f>IF(AND(K4533&lt;&gt;"", R4533&lt;&gt;""), R4533-K4533, "")</f>
        <v/>
      </c>
      <c r="T4533" s="78" t="n"/>
      <c r="U4533" s="92">
        <f>IF(ISBLANK(P4533),"",IF(C4533="Buy",Q4533-M4533+T4533, IF(C4533="Sell",M4533-Q4533-T4533, X)))</f>
        <v/>
      </c>
      <c r="V4533" s="81">
        <f>IF(ISBLANK(P4533),"",U4533/N4533)</f>
        <v/>
      </c>
      <c r="W4533" s="81">
        <f>IF(ISBLANK(P4533),"",IF(S4533=0,(365/0.5)*V4533,(365/S4533)*V4533))</f>
        <v/>
      </c>
      <c r="X4533" s="75" t="n"/>
      <c r="Y4533" s="77" t="n"/>
      <c r="Z4533" s="77" t="n"/>
      <c r="AA4533" s="75" t="n"/>
      <c r="AB4533" s="75" t="n"/>
      <c r="AC4533" s="6" t="n"/>
      <c r="AD4533" s="75" t="n"/>
      <c r="AE4533" s="75" t="n"/>
      <c r="AF4533" s="75" t="n"/>
    </row>
    <row r="4534" ht="15.75" customHeight="1" s="133">
      <c r="A4534" s="75" t="n"/>
      <c r="B4534" s="75" t="n"/>
      <c r="C4534" s="75" t="n"/>
      <c r="D4534" s="75" t="n"/>
      <c r="E4534" s="76" t="n"/>
      <c r="F4534" s="77" t="n"/>
      <c r="G4534" s="75" t="n"/>
      <c r="H4534" s="75">
        <f>IF(ISBLANK(E4534),"",IF(OR(D4534="Butterfly",D4534="Butterfly ",D4534="Iron Fly", D4534="Iron Fly "),LEN(E4534)-LEN(SUBSTITUTE(E4534,"/",""))+2,LEN(E4534)-LEN(SUBSTITUTE(E4534,"/",""))+1))</f>
        <v/>
      </c>
      <c r="I4534" s="78">
        <f>IF(ISBLANK(G4534),"",IF(D4534="Stock","0",Key!$A$3*H4534*G4534))</f>
        <v/>
      </c>
      <c r="J4534" s="78">
        <f>IF(ISBLANK(E4534),"",IF(ISNUMBER(SEARCH("/",E4534)), IF(LEN(E4534)-LEN(SUBSTITUTE(E4534,"/",""))=1,(RIGHT(E4534,LEN(E4534)-FIND("/",E4534)))-(LEFT(E4534,FIND("/",E4534)-1)),(MID(E4534, SEARCH("/",E4534) + 1, SEARCH("/",E4534, SEARCH("/",E4534)+1) - SEARCH("/",E4534) - 1))-(LEFT(E4534,FIND("/",E4534)-1))), "NA"))</f>
        <v/>
      </c>
      <c r="K4534" s="79">
        <f>IF(A4534&lt;&gt;"", IF(ISBLANK(L4534), TODAY(), K4534), "")</f>
        <v/>
      </c>
      <c r="L4534" s="78" t="n"/>
      <c r="M4534" s="78">
        <f>IF(ISBLANK(L4534),"",IF(D4534="Stock",IF(C4534="Buy",L4534*G4534,IF(C4534="Sell",(L4534*G4534)-I4534, X)),IF(C4534="Buy",(L4534*G4534*100)+I4534,IF(C4534="Sell",(L4534*G4534*100)-I4534, X))))</f>
        <v/>
      </c>
      <c r="N4534" s="78">
        <f>IF(ISBLANK(L4534),"",IF(AND(C4534="Sell",D4534="Stock"),M4534,IF(ISBLANK(L4534),"",IF(C4534="Buy",M4534, IF(AND(C4534="Sell",J4534="NA"),(E4534*G4534*100*0.1)+I4534, IF(C4534="Sell",(J4534-L4534)*(100*G4534)+I4534))))))</f>
        <v/>
      </c>
      <c r="O4534" s="75" t="n"/>
      <c r="P4534" s="75" t="n"/>
      <c r="Q4534" s="75">
        <f>IF(ISBLANK(P4534),"",IF(D4534="Stock",P4534*G4534,IF(P4534=0,"0",G4534*P4534*100-(G4534*$AF$14))))</f>
        <v/>
      </c>
      <c r="R4534" s="79">
        <f>IF(P4534&lt;&gt;"", TODAY(), "")</f>
        <v/>
      </c>
      <c r="S4534" s="78">
        <f>IF(AND(K4534&lt;&gt;"", R4534&lt;&gt;""), R4534-K4534, "")</f>
        <v/>
      </c>
      <c r="T4534" s="78" t="n"/>
      <c r="U4534" s="92">
        <f>IF(ISBLANK(P4534),"",IF(C4534="Buy",Q4534-M4534+T4534, IF(C4534="Sell",M4534-Q4534-T4534, X)))</f>
        <v/>
      </c>
      <c r="V4534" s="81">
        <f>IF(ISBLANK(P4534),"",U4534/N4534)</f>
        <v/>
      </c>
      <c r="W4534" s="81">
        <f>IF(ISBLANK(P4534),"",IF(S4534=0,(365/0.5)*V4534,(365/S4534)*V4534))</f>
        <v/>
      </c>
      <c r="X4534" s="75" t="n"/>
      <c r="Y4534" s="77" t="n"/>
      <c r="Z4534" s="77" t="n"/>
      <c r="AA4534" s="75" t="n"/>
      <c r="AB4534" s="75" t="n"/>
      <c r="AC4534" s="6" t="n"/>
      <c r="AD4534" s="75" t="n"/>
      <c r="AE4534" s="75" t="n"/>
      <c r="AF4534" s="75" t="n"/>
    </row>
    <row r="4535" ht="15.75" customHeight="1" s="133">
      <c r="A4535" s="75" t="n"/>
      <c r="B4535" s="75" t="n"/>
      <c r="C4535" s="75" t="n"/>
      <c r="D4535" s="75" t="n"/>
      <c r="E4535" s="76" t="n"/>
      <c r="F4535" s="77" t="n"/>
      <c r="G4535" s="75" t="n"/>
      <c r="H4535" s="75">
        <f>IF(ISBLANK(E4535),"",IF(OR(D4535="Butterfly",D4535="Butterfly ",D4535="Iron Fly", D4535="Iron Fly "),LEN(E4535)-LEN(SUBSTITUTE(E4535,"/",""))+2,LEN(E4535)-LEN(SUBSTITUTE(E4535,"/",""))+1))</f>
        <v/>
      </c>
      <c r="I4535" s="78">
        <f>IF(ISBLANK(G4535),"",IF(D4535="Stock","0",Key!$A$3*H4535*G4535))</f>
        <v/>
      </c>
      <c r="J4535" s="78">
        <f>IF(ISBLANK(E4535),"",IF(ISNUMBER(SEARCH("/",E4535)), IF(LEN(E4535)-LEN(SUBSTITUTE(E4535,"/",""))=1,(RIGHT(E4535,LEN(E4535)-FIND("/",E4535)))-(LEFT(E4535,FIND("/",E4535)-1)),(MID(E4535, SEARCH("/",E4535) + 1, SEARCH("/",E4535, SEARCH("/",E4535)+1) - SEARCH("/",E4535) - 1))-(LEFT(E4535,FIND("/",E4535)-1))), "NA"))</f>
        <v/>
      </c>
      <c r="K4535" s="79">
        <f>IF(A4535&lt;&gt;"", IF(ISBLANK(L4535), TODAY(), K4535), "")</f>
        <v/>
      </c>
      <c r="L4535" s="78" t="n"/>
      <c r="M4535" s="78">
        <f>IF(ISBLANK(L4535),"",IF(D4535="Stock",IF(C4535="Buy",L4535*G4535,IF(C4535="Sell",(L4535*G4535)-I4535, X)),IF(C4535="Buy",(L4535*G4535*100)+I4535,IF(C4535="Sell",(L4535*G4535*100)-I4535, X))))</f>
        <v/>
      </c>
      <c r="N4535" s="78">
        <f>IF(ISBLANK(L4535),"",IF(AND(C4535="Sell",D4535="Stock"),M4535,IF(ISBLANK(L4535),"",IF(C4535="Buy",M4535, IF(AND(C4535="Sell",J4535="NA"),(E4535*G4535*100*0.1)+I4535, IF(C4535="Sell",(J4535-L4535)*(100*G4535)+I4535))))))</f>
        <v/>
      </c>
      <c r="O4535" s="75" t="n"/>
      <c r="P4535" s="75" t="n"/>
      <c r="Q4535" s="75">
        <f>IF(ISBLANK(P4535),"",IF(D4535="Stock",P4535*G4535,IF(P4535=0,"0",G4535*P4535*100-(G4535*$AF$14))))</f>
        <v/>
      </c>
      <c r="R4535" s="79">
        <f>IF(P4535&lt;&gt;"", TODAY(), "")</f>
        <v/>
      </c>
      <c r="S4535" s="78">
        <f>IF(AND(K4535&lt;&gt;"", R4535&lt;&gt;""), R4535-K4535, "")</f>
        <v/>
      </c>
      <c r="T4535" s="78" t="n"/>
      <c r="U4535" s="92">
        <f>IF(ISBLANK(P4535),"",IF(C4535="Buy",Q4535-M4535+T4535, IF(C4535="Sell",M4535-Q4535-T4535, X)))</f>
        <v/>
      </c>
      <c r="V4535" s="81">
        <f>IF(ISBLANK(P4535),"",U4535/N4535)</f>
        <v/>
      </c>
      <c r="W4535" s="81">
        <f>IF(ISBLANK(P4535),"",IF(S4535=0,(365/0.5)*V4535,(365/S4535)*V4535))</f>
        <v/>
      </c>
      <c r="X4535" s="75" t="n"/>
      <c r="Y4535" s="77" t="n"/>
      <c r="Z4535" s="77" t="n"/>
      <c r="AA4535" s="75" t="n"/>
      <c r="AB4535" s="75" t="n"/>
      <c r="AC4535" s="6" t="n"/>
      <c r="AD4535" s="75" t="n"/>
      <c r="AE4535" s="75" t="n"/>
      <c r="AF4535" s="75" t="n"/>
    </row>
    <row r="4536" ht="15.75" customHeight="1" s="133">
      <c r="A4536" s="75" t="n"/>
      <c r="B4536" s="75" t="n"/>
      <c r="C4536" s="75" t="n"/>
      <c r="D4536" s="75" t="n"/>
      <c r="E4536" s="76" t="n"/>
      <c r="F4536" s="77" t="n"/>
      <c r="G4536" s="75" t="n"/>
      <c r="H4536" s="75">
        <f>IF(ISBLANK(E4536),"",IF(OR(D4536="Butterfly",D4536="Butterfly ",D4536="Iron Fly", D4536="Iron Fly "),LEN(E4536)-LEN(SUBSTITUTE(E4536,"/",""))+2,LEN(E4536)-LEN(SUBSTITUTE(E4536,"/",""))+1))</f>
        <v/>
      </c>
      <c r="I4536" s="78">
        <f>IF(ISBLANK(G4536),"",IF(D4536="Stock","0",Key!$A$3*H4536*G4536))</f>
        <v/>
      </c>
      <c r="J4536" s="78">
        <f>IF(ISBLANK(E4536),"",IF(ISNUMBER(SEARCH("/",E4536)), IF(LEN(E4536)-LEN(SUBSTITUTE(E4536,"/",""))=1,(RIGHT(E4536,LEN(E4536)-FIND("/",E4536)))-(LEFT(E4536,FIND("/",E4536)-1)),(MID(E4536, SEARCH("/",E4536) + 1, SEARCH("/",E4536, SEARCH("/",E4536)+1) - SEARCH("/",E4536) - 1))-(LEFT(E4536,FIND("/",E4536)-1))), "NA"))</f>
        <v/>
      </c>
      <c r="K4536" s="79">
        <f>IF(A4536&lt;&gt;"", IF(ISBLANK(L4536), TODAY(), K4536), "")</f>
        <v/>
      </c>
      <c r="L4536" s="78" t="n"/>
      <c r="M4536" s="78">
        <f>IF(ISBLANK(L4536),"",IF(D4536="Stock",IF(C4536="Buy",L4536*G4536,IF(C4536="Sell",(L4536*G4536)-I4536, X)),IF(C4536="Buy",(L4536*G4536*100)+I4536,IF(C4536="Sell",(L4536*G4536*100)-I4536, X))))</f>
        <v/>
      </c>
      <c r="N4536" s="78">
        <f>IF(ISBLANK(L4536),"",IF(AND(C4536="Sell",D4536="Stock"),M4536,IF(ISBLANK(L4536),"",IF(C4536="Buy",M4536, IF(AND(C4536="Sell",J4536="NA"),(E4536*G4536*100*0.1)+I4536, IF(C4536="Sell",(J4536-L4536)*(100*G4536)+I4536))))))</f>
        <v/>
      </c>
      <c r="O4536" s="75" t="n"/>
      <c r="P4536" s="75" t="n"/>
      <c r="Q4536" s="75">
        <f>IF(ISBLANK(P4536),"",IF(D4536="Stock",P4536*G4536,IF(P4536=0,"0",G4536*P4536*100-(G4536*$AF$14))))</f>
        <v/>
      </c>
      <c r="R4536" s="79">
        <f>IF(P4536&lt;&gt;"", TODAY(), "")</f>
        <v/>
      </c>
      <c r="S4536" s="78">
        <f>IF(AND(K4536&lt;&gt;"", R4536&lt;&gt;""), R4536-K4536, "")</f>
        <v/>
      </c>
      <c r="T4536" s="78" t="n"/>
      <c r="U4536" s="92">
        <f>IF(ISBLANK(P4536),"",IF(C4536="Buy",Q4536-M4536+T4536, IF(C4536="Sell",M4536-Q4536-T4536, X)))</f>
        <v/>
      </c>
      <c r="V4536" s="81">
        <f>IF(ISBLANK(P4536),"",U4536/N4536)</f>
        <v/>
      </c>
      <c r="W4536" s="81">
        <f>IF(ISBLANK(P4536),"",IF(S4536=0,(365/0.5)*V4536,(365/S4536)*V4536))</f>
        <v/>
      </c>
      <c r="X4536" s="75" t="n"/>
      <c r="Y4536" s="77" t="n"/>
      <c r="Z4536" s="77" t="n"/>
      <c r="AA4536" s="75" t="n"/>
      <c r="AB4536" s="75" t="n"/>
      <c r="AC4536" s="6" t="n"/>
      <c r="AD4536" s="75" t="n"/>
      <c r="AE4536" s="75" t="n"/>
      <c r="AF4536" s="75" t="n"/>
    </row>
    <row r="4537" ht="15.75" customHeight="1" s="133">
      <c r="A4537" s="75" t="n"/>
      <c r="B4537" s="75" t="n"/>
      <c r="C4537" s="75" t="n"/>
      <c r="D4537" s="75" t="n"/>
      <c r="E4537" s="76" t="n"/>
      <c r="F4537" s="77" t="n"/>
      <c r="G4537" s="75" t="n"/>
      <c r="H4537" s="75">
        <f>IF(ISBLANK(E4537),"",IF(OR(D4537="Butterfly",D4537="Butterfly ",D4537="Iron Fly", D4537="Iron Fly "),LEN(E4537)-LEN(SUBSTITUTE(E4537,"/",""))+2,LEN(E4537)-LEN(SUBSTITUTE(E4537,"/",""))+1))</f>
        <v/>
      </c>
      <c r="I4537" s="78">
        <f>IF(ISBLANK(G4537),"",IF(D4537="Stock","0",Key!$A$3*H4537*G4537))</f>
        <v/>
      </c>
      <c r="J4537" s="78">
        <f>IF(ISBLANK(E4537),"",IF(ISNUMBER(SEARCH("/",E4537)), IF(LEN(E4537)-LEN(SUBSTITUTE(E4537,"/",""))=1,(RIGHT(E4537,LEN(E4537)-FIND("/",E4537)))-(LEFT(E4537,FIND("/",E4537)-1)),(MID(E4537, SEARCH("/",E4537) + 1, SEARCH("/",E4537, SEARCH("/",E4537)+1) - SEARCH("/",E4537) - 1))-(LEFT(E4537,FIND("/",E4537)-1))), "NA"))</f>
        <v/>
      </c>
      <c r="K4537" s="79">
        <f>IF(A4537&lt;&gt;"", IF(ISBLANK(L4537), TODAY(), K4537), "")</f>
        <v/>
      </c>
      <c r="L4537" s="78" t="n"/>
      <c r="M4537" s="78">
        <f>IF(ISBLANK(L4537),"",IF(D4537="Stock",IF(C4537="Buy",L4537*G4537,IF(C4537="Sell",(L4537*G4537)-I4537, X)),IF(C4537="Buy",(L4537*G4537*100)+I4537,IF(C4537="Sell",(L4537*G4537*100)-I4537, X))))</f>
        <v/>
      </c>
      <c r="N4537" s="78">
        <f>IF(ISBLANK(L4537),"",IF(AND(C4537="Sell",D4537="Stock"),M4537,IF(ISBLANK(L4537),"",IF(C4537="Buy",M4537, IF(AND(C4537="Sell",J4537="NA"),(E4537*G4537*100*0.1)+I4537, IF(C4537="Sell",(J4537-L4537)*(100*G4537)+I4537))))))</f>
        <v/>
      </c>
      <c r="O4537" s="75" t="n"/>
      <c r="P4537" s="75" t="n"/>
      <c r="Q4537" s="75">
        <f>IF(ISBLANK(P4537),"",IF(D4537="Stock",P4537*G4537,IF(P4537=0,"0",G4537*P4537*100-(G4537*$AF$14))))</f>
        <v/>
      </c>
      <c r="R4537" s="79">
        <f>IF(P4537&lt;&gt;"", TODAY(), "")</f>
        <v/>
      </c>
      <c r="S4537" s="78">
        <f>IF(AND(K4537&lt;&gt;"", R4537&lt;&gt;""), R4537-K4537, "")</f>
        <v/>
      </c>
      <c r="T4537" s="78" t="n"/>
      <c r="U4537" s="92">
        <f>IF(ISBLANK(P4537),"",IF(C4537="Buy",Q4537-M4537+T4537, IF(C4537="Sell",M4537-Q4537-T4537, X)))</f>
        <v/>
      </c>
      <c r="V4537" s="81">
        <f>IF(ISBLANK(P4537),"",U4537/N4537)</f>
        <v/>
      </c>
      <c r="W4537" s="81">
        <f>IF(ISBLANK(P4537),"",IF(S4537=0,(365/0.5)*V4537,(365/S4537)*V4537))</f>
        <v/>
      </c>
      <c r="X4537" s="75" t="n"/>
      <c r="Y4537" s="77" t="n"/>
      <c r="Z4537" s="77" t="n"/>
      <c r="AA4537" s="75" t="n"/>
      <c r="AB4537" s="75" t="n"/>
      <c r="AC4537" s="6" t="n"/>
      <c r="AD4537" s="75" t="n"/>
      <c r="AE4537" s="75" t="n"/>
      <c r="AF4537" s="75" t="n"/>
    </row>
    <row r="4538" ht="15.75" customHeight="1" s="133">
      <c r="A4538" s="75" t="n"/>
      <c r="B4538" s="75" t="n"/>
      <c r="C4538" s="75" t="n"/>
      <c r="D4538" s="75" t="n"/>
      <c r="E4538" s="76" t="n"/>
      <c r="F4538" s="77" t="n"/>
      <c r="G4538" s="75" t="n"/>
      <c r="H4538" s="75">
        <f>IF(ISBLANK(E4538),"",IF(OR(D4538="Butterfly",D4538="Butterfly ",D4538="Iron Fly", D4538="Iron Fly "),LEN(E4538)-LEN(SUBSTITUTE(E4538,"/",""))+2,LEN(E4538)-LEN(SUBSTITUTE(E4538,"/",""))+1))</f>
        <v/>
      </c>
      <c r="I4538" s="78">
        <f>IF(ISBLANK(G4538),"",IF(D4538="Stock","0",Key!$A$3*H4538*G4538))</f>
        <v/>
      </c>
      <c r="J4538" s="78">
        <f>IF(ISBLANK(E4538),"",IF(ISNUMBER(SEARCH("/",E4538)), IF(LEN(E4538)-LEN(SUBSTITUTE(E4538,"/",""))=1,(RIGHT(E4538,LEN(E4538)-FIND("/",E4538)))-(LEFT(E4538,FIND("/",E4538)-1)),(MID(E4538, SEARCH("/",E4538) + 1, SEARCH("/",E4538, SEARCH("/",E4538)+1) - SEARCH("/",E4538) - 1))-(LEFT(E4538,FIND("/",E4538)-1))), "NA"))</f>
        <v/>
      </c>
      <c r="K4538" s="79">
        <f>IF(A4538&lt;&gt;"", IF(ISBLANK(L4538), TODAY(), K4538), "")</f>
        <v/>
      </c>
      <c r="L4538" s="78" t="n"/>
      <c r="M4538" s="78">
        <f>IF(ISBLANK(L4538),"",IF(D4538="Stock",IF(C4538="Buy",L4538*G4538,IF(C4538="Sell",(L4538*G4538)-I4538, X)),IF(C4538="Buy",(L4538*G4538*100)+I4538,IF(C4538="Sell",(L4538*G4538*100)-I4538, X))))</f>
        <v/>
      </c>
      <c r="N4538" s="78">
        <f>IF(ISBLANK(L4538),"",IF(AND(C4538="Sell",D4538="Stock"),M4538,IF(ISBLANK(L4538),"",IF(C4538="Buy",M4538, IF(AND(C4538="Sell",J4538="NA"),(E4538*G4538*100*0.1)+I4538, IF(C4538="Sell",(J4538-L4538)*(100*G4538)+I4538))))))</f>
        <v/>
      </c>
      <c r="O4538" s="75" t="n"/>
      <c r="P4538" s="75" t="n"/>
      <c r="Q4538" s="75">
        <f>IF(ISBLANK(P4538),"",IF(D4538="Stock",P4538*G4538,IF(P4538=0,"0",G4538*P4538*100-(G4538*$AF$14))))</f>
        <v/>
      </c>
      <c r="R4538" s="79">
        <f>IF(P4538&lt;&gt;"", TODAY(), "")</f>
        <v/>
      </c>
      <c r="S4538" s="78">
        <f>IF(AND(K4538&lt;&gt;"", R4538&lt;&gt;""), R4538-K4538, "")</f>
        <v/>
      </c>
      <c r="T4538" s="78" t="n"/>
      <c r="U4538" s="92">
        <f>IF(ISBLANK(P4538),"",IF(C4538="Buy",Q4538-M4538+T4538, IF(C4538="Sell",M4538-Q4538-T4538, X)))</f>
        <v/>
      </c>
      <c r="V4538" s="81">
        <f>IF(ISBLANK(P4538),"",U4538/N4538)</f>
        <v/>
      </c>
      <c r="W4538" s="81">
        <f>IF(ISBLANK(P4538),"",IF(S4538=0,(365/0.5)*V4538,(365/S4538)*V4538))</f>
        <v/>
      </c>
      <c r="X4538" s="75" t="n"/>
      <c r="Y4538" s="77" t="n"/>
      <c r="Z4538" s="77" t="n"/>
      <c r="AA4538" s="75" t="n"/>
      <c r="AB4538" s="75" t="n"/>
      <c r="AC4538" s="6" t="n"/>
      <c r="AD4538" s="75" t="n"/>
      <c r="AE4538" s="75" t="n"/>
      <c r="AF4538" s="75" t="n"/>
    </row>
    <row r="4539" ht="15.75" customHeight="1" s="133">
      <c r="A4539" s="75" t="n"/>
      <c r="B4539" s="75" t="n"/>
      <c r="C4539" s="75" t="n"/>
      <c r="D4539" s="75" t="n"/>
      <c r="E4539" s="76" t="n"/>
      <c r="F4539" s="77" t="n"/>
      <c r="G4539" s="75" t="n"/>
      <c r="H4539" s="75">
        <f>IF(ISBLANK(E4539),"",IF(OR(D4539="Butterfly",D4539="Butterfly ",D4539="Iron Fly", D4539="Iron Fly "),LEN(E4539)-LEN(SUBSTITUTE(E4539,"/",""))+2,LEN(E4539)-LEN(SUBSTITUTE(E4539,"/",""))+1))</f>
        <v/>
      </c>
      <c r="I4539" s="78">
        <f>IF(ISBLANK(G4539),"",IF(D4539="Stock","0",Key!$A$3*H4539*G4539))</f>
        <v/>
      </c>
      <c r="J4539" s="78">
        <f>IF(ISBLANK(E4539),"",IF(ISNUMBER(SEARCH("/",E4539)), IF(LEN(E4539)-LEN(SUBSTITUTE(E4539,"/",""))=1,(RIGHT(E4539,LEN(E4539)-FIND("/",E4539)))-(LEFT(E4539,FIND("/",E4539)-1)),(MID(E4539, SEARCH("/",E4539) + 1, SEARCH("/",E4539, SEARCH("/",E4539)+1) - SEARCH("/",E4539) - 1))-(LEFT(E4539,FIND("/",E4539)-1))), "NA"))</f>
        <v/>
      </c>
      <c r="K4539" s="79">
        <f>IF(A4539&lt;&gt;"", IF(ISBLANK(L4539), TODAY(), K4539), "")</f>
        <v/>
      </c>
      <c r="L4539" s="78" t="n"/>
      <c r="M4539" s="78">
        <f>IF(ISBLANK(L4539),"",IF(D4539="Stock",IF(C4539="Buy",L4539*G4539,IF(C4539="Sell",(L4539*G4539)-I4539, X)),IF(C4539="Buy",(L4539*G4539*100)+I4539,IF(C4539="Sell",(L4539*G4539*100)-I4539, X))))</f>
        <v/>
      </c>
      <c r="N4539" s="78">
        <f>IF(ISBLANK(L4539),"",IF(AND(C4539="Sell",D4539="Stock"),M4539,IF(ISBLANK(L4539),"",IF(C4539="Buy",M4539, IF(AND(C4539="Sell",J4539="NA"),(E4539*G4539*100*0.1)+I4539, IF(C4539="Sell",(J4539-L4539)*(100*G4539)+I4539))))))</f>
        <v/>
      </c>
      <c r="O4539" s="75" t="n"/>
      <c r="P4539" s="75" t="n"/>
      <c r="Q4539" s="75">
        <f>IF(ISBLANK(P4539),"",IF(D4539="Stock",P4539*G4539,IF(P4539=0,"0",G4539*P4539*100-(G4539*$AF$14))))</f>
        <v/>
      </c>
      <c r="R4539" s="79">
        <f>IF(P4539&lt;&gt;"", TODAY(), "")</f>
        <v/>
      </c>
      <c r="S4539" s="78">
        <f>IF(AND(K4539&lt;&gt;"", R4539&lt;&gt;""), R4539-K4539, "")</f>
        <v/>
      </c>
      <c r="T4539" s="78" t="n"/>
      <c r="U4539" s="92">
        <f>IF(ISBLANK(P4539),"",IF(C4539="Buy",Q4539-M4539+T4539, IF(C4539="Sell",M4539-Q4539-T4539, X)))</f>
        <v/>
      </c>
      <c r="V4539" s="81">
        <f>IF(ISBLANK(P4539),"",U4539/N4539)</f>
        <v/>
      </c>
      <c r="W4539" s="81">
        <f>IF(ISBLANK(P4539),"",IF(S4539=0,(365/0.5)*V4539,(365/S4539)*V4539))</f>
        <v/>
      </c>
      <c r="X4539" s="75" t="n"/>
      <c r="Y4539" s="77" t="n"/>
      <c r="Z4539" s="77" t="n"/>
      <c r="AA4539" s="75" t="n"/>
      <c r="AB4539" s="75" t="n"/>
      <c r="AC4539" s="6" t="n"/>
      <c r="AD4539" s="75" t="n"/>
      <c r="AE4539" s="75" t="n"/>
      <c r="AF4539" s="75" t="n"/>
    </row>
    <row r="4540" ht="15.75" customHeight="1" s="133">
      <c r="A4540" s="75" t="n"/>
      <c r="B4540" s="75" t="n"/>
      <c r="C4540" s="75" t="n"/>
      <c r="D4540" s="75" t="n"/>
      <c r="E4540" s="76" t="n"/>
      <c r="F4540" s="77" t="n"/>
      <c r="G4540" s="75" t="n"/>
      <c r="H4540" s="75">
        <f>IF(ISBLANK(E4540),"",IF(OR(D4540="Butterfly",D4540="Butterfly ",D4540="Iron Fly", D4540="Iron Fly "),LEN(E4540)-LEN(SUBSTITUTE(E4540,"/",""))+2,LEN(E4540)-LEN(SUBSTITUTE(E4540,"/",""))+1))</f>
        <v/>
      </c>
      <c r="I4540" s="78">
        <f>IF(ISBLANK(G4540),"",IF(D4540="Stock","0",Key!$A$3*H4540*G4540))</f>
        <v/>
      </c>
      <c r="J4540" s="78">
        <f>IF(ISBLANK(E4540),"",IF(ISNUMBER(SEARCH("/",E4540)), IF(LEN(E4540)-LEN(SUBSTITUTE(E4540,"/",""))=1,(RIGHT(E4540,LEN(E4540)-FIND("/",E4540)))-(LEFT(E4540,FIND("/",E4540)-1)),(MID(E4540, SEARCH("/",E4540) + 1, SEARCH("/",E4540, SEARCH("/",E4540)+1) - SEARCH("/",E4540) - 1))-(LEFT(E4540,FIND("/",E4540)-1))), "NA"))</f>
        <v/>
      </c>
      <c r="K4540" s="79">
        <f>IF(A4540&lt;&gt;"", IF(ISBLANK(L4540), TODAY(), K4540), "")</f>
        <v/>
      </c>
      <c r="L4540" s="78" t="n"/>
      <c r="M4540" s="78">
        <f>IF(ISBLANK(L4540),"",IF(D4540="Stock",IF(C4540="Buy",L4540*G4540,IF(C4540="Sell",(L4540*G4540)-I4540, X)),IF(C4540="Buy",(L4540*G4540*100)+I4540,IF(C4540="Sell",(L4540*G4540*100)-I4540, X))))</f>
        <v/>
      </c>
      <c r="N4540" s="78">
        <f>IF(ISBLANK(L4540),"",IF(AND(C4540="Sell",D4540="Stock"),M4540,IF(ISBLANK(L4540),"",IF(C4540="Buy",M4540, IF(AND(C4540="Sell",J4540="NA"),(E4540*G4540*100*0.1)+I4540, IF(C4540="Sell",(J4540-L4540)*(100*G4540)+I4540))))))</f>
        <v/>
      </c>
      <c r="O4540" s="75" t="n"/>
      <c r="P4540" s="75" t="n"/>
      <c r="Q4540" s="75">
        <f>IF(ISBLANK(P4540),"",IF(D4540="Stock",P4540*G4540,IF(P4540=0,"0",G4540*P4540*100-(G4540*$AF$14))))</f>
        <v/>
      </c>
      <c r="R4540" s="79">
        <f>IF(P4540&lt;&gt;"", TODAY(), "")</f>
        <v/>
      </c>
      <c r="S4540" s="78">
        <f>IF(AND(K4540&lt;&gt;"", R4540&lt;&gt;""), R4540-K4540, "")</f>
        <v/>
      </c>
      <c r="T4540" s="78" t="n"/>
      <c r="U4540" s="92">
        <f>IF(ISBLANK(P4540),"",IF(C4540="Buy",Q4540-M4540+T4540, IF(C4540="Sell",M4540-Q4540-T4540, X)))</f>
        <v/>
      </c>
      <c r="V4540" s="81">
        <f>IF(ISBLANK(P4540),"",U4540/N4540)</f>
        <v/>
      </c>
      <c r="W4540" s="81">
        <f>IF(ISBLANK(P4540),"",IF(S4540=0,(365/0.5)*V4540,(365/S4540)*V4540))</f>
        <v/>
      </c>
      <c r="X4540" s="75" t="n"/>
      <c r="Y4540" s="77" t="n"/>
      <c r="Z4540" s="77" t="n"/>
      <c r="AA4540" s="75" t="n"/>
      <c r="AB4540" s="75" t="n"/>
      <c r="AC4540" s="6" t="n"/>
      <c r="AD4540" s="75" t="n"/>
      <c r="AE4540" s="75" t="n"/>
      <c r="AF4540" s="75" t="n"/>
    </row>
    <row r="4541" ht="15.75" customHeight="1" s="133">
      <c r="A4541" s="75" t="n"/>
      <c r="B4541" s="75" t="n"/>
      <c r="C4541" s="75" t="n"/>
      <c r="D4541" s="75" t="n"/>
      <c r="E4541" s="76" t="n"/>
      <c r="F4541" s="77" t="n"/>
      <c r="G4541" s="75" t="n"/>
      <c r="H4541" s="75">
        <f>IF(ISBLANK(E4541),"",IF(OR(D4541="Butterfly",D4541="Butterfly ",D4541="Iron Fly", D4541="Iron Fly "),LEN(E4541)-LEN(SUBSTITUTE(E4541,"/",""))+2,LEN(E4541)-LEN(SUBSTITUTE(E4541,"/",""))+1))</f>
        <v/>
      </c>
      <c r="I4541" s="78">
        <f>IF(ISBLANK(G4541),"",IF(D4541="Stock","0",Key!$A$3*H4541*G4541))</f>
        <v/>
      </c>
      <c r="J4541" s="78">
        <f>IF(ISBLANK(E4541),"",IF(ISNUMBER(SEARCH("/",E4541)), IF(LEN(E4541)-LEN(SUBSTITUTE(E4541,"/",""))=1,(RIGHT(E4541,LEN(E4541)-FIND("/",E4541)))-(LEFT(E4541,FIND("/",E4541)-1)),(MID(E4541, SEARCH("/",E4541) + 1, SEARCH("/",E4541, SEARCH("/",E4541)+1) - SEARCH("/",E4541) - 1))-(LEFT(E4541,FIND("/",E4541)-1))), "NA"))</f>
        <v/>
      </c>
      <c r="K4541" s="79">
        <f>IF(A4541&lt;&gt;"", IF(ISBLANK(L4541), TODAY(), K4541), "")</f>
        <v/>
      </c>
      <c r="L4541" s="78" t="n"/>
      <c r="M4541" s="78">
        <f>IF(ISBLANK(L4541),"",IF(D4541="Stock",IF(C4541="Buy",L4541*G4541,IF(C4541="Sell",(L4541*G4541)-I4541, X)),IF(C4541="Buy",(L4541*G4541*100)+I4541,IF(C4541="Sell",(L4541*G4541*100)-I4541, X))))</f>
        <v/>
      </c>
      <c r="N4541" s="78">
        <f>IF(ISBLANK(L4541),"",IF(AND(C4541="Sell",D4541="Stock"),M4541,IF(ISBLANK(L4541),"",IF(C4541="Buy",M4541, IF(AND(C4541="Sell",J4541="NA"),(E4541*G4541*100*0.1)+I4541, IF(C4541="Sell",(J4541-L4541)*(100*G4541)+I4541))))))</f>
        <v/>
      </c>
      <c r="O4541" s="75" t="n"/>
      <c r="P4541" s="75" t="n"/>
      <c r="Q4541" s="75">
        <f>IF(ISBLANK(P4541),"",IF(D4541="Stock",P4541*G4541,IF(P4541=0,"0",G4541*P4541*100-(G4541*$AF$14))))</f>
        <v/>
      </c>
      <c r="R4541" s="79">
        <f>IF(P4541&lt;&gt;"", TODAY(), "")</f>
        <v/>
      </c>
      <c r="S4541" s="78">
        <f>IF(AND(K4541&lt;&gt;"", R4541&lt;&gt;""), R4541-K4541, "")</f>
        <v/>
      </c>
      <c r="T4541" s="78" t="n"/>
      <c r="U4541" s="92">
        <f>IF(ISBLANK(P4541),"",IF(C4541="Buy",Q4541-M4541+T4541, IF(C4541="Sell",M4541-Q4541-T4541, X)))</f>
        <v/>
      </c>
      <c r="V4541" s="81">
        <f>IF(ISBLANK(P4541),"",U4541/N4541)</f>
        <v/>
      </c>
      <c r="W4541" s="81">
        <f>IF(ISBLANK(P4541),"",IF(S4541=0,(365/0.5)*V4541,(365/S4541)*V4541))</f>
        <v/>
      </c>
      <c r="X4541" s="75" t="n"/>
      <c r="Y4541" s="77" t="n"/>
      <c r="Z4541" s="77" t="n"/>
      <c r="AA4541" s="75" t="n"/>
      <c r="AB4541" s="75" t="n"/>
      <c r="AC4541" s="6" t="n"/>
      <c r="AD4541" s="75" t="n"/>
      <c r="AE4541" s="75" t="n"/>
      <c r="AF4541" s="75" t="n"/>
    </row>
    <row r="4542" ht="15.75" customHeight="1" s="133">
      <c r="A4542" s="75" t="n"/>
      <c r="B4542" s="75" t="n"/>
      <c r="C4542" s="75" t="n"/>
      <c r="D4542" s="75" t="n"/>
      <c r="E4542" s="76" t="n"/>
      <c r="F4542" s="77" t="n"/>
      <c r="G4542" s="75" t="n"/>
      <c r="H4542" s="75">
        <f>IF(ISBLANK(E4542),"",IF(OR(D4542="Butterfly",D4542="Butterfly ",D4542="Iron Fly", D4542="Iron Fly "),LEN(E4542)-LEN(SUBSTITUTE(E4542,"/",""))+2,LEN(E4542)-LEN(SUBSTITUTE(E4542,"/",""))+1))</f>
        <v/>
      </c>
      <c r="I4542" s="78">
        <f>IF(ISBLANK(G4542),"",IF(D4542="Stock","0",Key!$A$3*H4542*G4542))</f>
        <v/>
      </c>
      <c r="J4542" s="78">
        <f>IF(ISBLANK(E4542),"",IF(ISNUMBER(SEARCH("/",E4542)), IF(LEN(E4542)-LEN(SUBSTITUTE(E4542,"/",""))=1,(RIGHT(E4542,LEN(E4542)-FIND("/",E4542)))-(LEFT(E4542,FIND("/",E4542)-1)),(MID(E4542, SEARCH("/",E4542) + 1, SEARCH("/",E4542, SEARCH("/",E4542)+1) - SEARCH("/",E4542) - 1))-(LEFT(E4542,FIND("/",E4542)-1))), "NA"))</f>
        <v/>
      </c>
      <c r="K4542" s="79">
        <f>IF(A4542&lt;&gt;"", IF(ISBLANK(L4542), TODAY(), K4542), "")</f>
        <v/>
      </c>
      <c r="L4542" s="78" t="n"/>
      <c r="M4542" s="78">
        <f>IF(ISBLANK(L4542),"",IF(D4542="Stock",IF(C4542="Buy",L4542*G4542,IF(C4542="Sell",(L4542*G4542)-I4542, X)),IF(C4542="Buy",(L4542*G4542*100)+I4542,IF(C4542="Sell",(L4542*G4542*100)-I4542, X))))</f>
        <v/>
      </c>
      <c r="N4542" s="78">
        <f>IF(ISBLANK(L4542),"",IF(AND(C4542="Sell",D4542="Stock"),M4542,IF(ISBLANK(L4542),"",IF(C4542="Buy",M4542, IF(AND(C4542="Sell",J4542="NA"),(E4542*G4542*100*0.1)+I4542, IF(C4542="Sell",(J4542-L4542)*(100*G4542)+I4542))))))</f>
        <v/>
      </c>
      <c r="O4542" s="75" t="n"/>
      <c r="P4542" s="75" t="n"/>
      <c r="Q4542" s="75">
        <f>IF(ISBLANK(P4542),"",IF(D4542="Stock",P4542*G4542,IF(P4542=0,"0",G4542*P4542*100-(G4542*$AF$14))))</f>
        <v/>
      </c>
      <c r="R4542" s="79">
        <f>IF(P4542&lt;&gt;"", TODAY(), "")</f>
        <v/>
      </c>
      <c r="S4542" s="78">
        <f>IF(AND(K4542&lt;&gt;"", R4542&lt;&gt;""), R4542-K4542, "")</f>
        <v/>
      </c>
      <c r="T4542" s="78" t="n"/>
      <c r="U4542" s="92">
        <f>IF(ISBLANK(P4542),"",IF(C4542="Buy",Q4542-M4542+T4542, IF(C4542="Sell",M4542-Q4542-T4542, X)))</f>
        <v/>
      </c>
      <c r="V4542" s="81">
        <f>IF(ISBLANK(P4542),"",U4542/N4542)</f>
        <v/>
      </c>
      <c r="W4542" s="81">
        <f>IF(ISBLANK(P4542),"",IF(S4542=0,(365/0.5)*V4542,(365/S4542)*V4542))</f>
        <v/>
      </c>
      <c r="X4542" s="75" t="n"/>
      <c r="Y4542" s="77" t="n"/>
      <c r="Z4542" s="77" t="n"/>
      <c r="AA4542" s="75" t="n"/>
      <c r="AB4542" s="75" t="n"/>
      <c r="AC4542" s="6" t="n"/>
      <c r="AD4542" s="75" t="n"/>
      <c r="AE4542" s="75" t="n"/>
      <c r="AF4542" s="75" t="n"/>
    </row>
    <row r="4543" ht="15.75" customHeight="1" s="133">
      <c r="A4543" s="75" t="n"/>
      <c r="B4543" s="75" t="n"/>
      <c r="C4543" s="75" t="n"/>
      <c r="D4543" s="75" t="n"/>
      <c r="E4543" s="76" t="n"/>
      <c r="F4543" s="77" t="n"/>
      <c r="G4543" s="75" t="n"/>
      <c r="H4543" s="75">
        <f>IF(ISBLANK(E4543),"",IF(OR(D4543="Butterfly",D4543="Butterfly ",D4543="Iron Fly", D4543="Iron Fly "),LEN(E4543)-LEN(SUBSTITUTE(E4543,"/",""))+2,LEN(E4543)-LEN(SUBSTITUTE(E4543,"/",""))+1))</f>
        <v/>
      </c>
      <c r="I4543" s="78">
        <f>IF(ISBLANK(G4543),"",IF(D4543="Stock","0",Key!$A$3*H4543*G4543))</f>
        <v/>
      </c>
      <c r="J4543" s="78">
        <f>IF(ISBLANK(E4543),"",IF(ISNUMBER(SEARCH("/",E4543)), IF(LEN(E4543)-LEN(SUBSTITUTE(E4543,"/",""))=1,(RIGHT(E4543,LEN(E4543)-FIND("/",E4543)))-(LEFT(E4543,FIND("/",E4543)-1)),(MID(E4543, SEARCH("/",E4543) + 1, SEARCH("/",E4543, SEARCH("/",E4543)+1) - SEARCH("/",E4543) - 1))-(LEFT(E4543,FIND("/",E4543)-1))), "NA"))</f>
        <v/>
      </c>
      <c r="K4543" s="79">
        <f>IF(A4543&lt;&gt;"", IF(ISBLANK(L4543), TODAY(), K4543), "")</f>
        <v/>
      </c>
      <c r="L4543" s="78" t="n"/>
      <c r="M4543" s="78">
        <f>IF(ISBLANK(L4543),"",IF(D4543="Stock",IF(C4543="Buy",L4543*G4543,IF(C4543="Sell",(L4543*G4543)-I4543, X)),IF(C4543="Buy",(L4543*G4543*100)+I4543,IF(C4543="Sell",(L4543*G4543*100)-I4543, X))))</f>
        <v/>
      </c>
      <c r="N4543" s="78">
        <f>IF(ISBLANK(L4543),"",IF(AND(C4543="Sell",D4543="Stock"),M4543,IF(ISBLANK(L4543),"",IF(C4543="Buy",M4543, IF(AND(C4543="Sell",J4543="NA"),(E4543*G4543*100*0.1)+I4543, IF(C4543="Sell",(J4543-L4543)*(100*G4543)+I4543))))))</f>
        <v/>
      </c>
      <c r="O4543" s="75" t="n"/>
      <c r="P4543" s="75" t="n"/>
      <c r="Q4543" s="75">
        <f>IF(ISBLANK(P4543),"",IF(D4543="Stock",P4543*G4543,IF(P4543=0,"0",G4543*P4543*100-(G4543*$AF$14))))</f>
        <v/>
      </c>
      <c r="R4543" s="79">
        <f>IF(P4543&lt;&gt;"", TODAY(), "")</f>
        <v/>
      </c>
      <c r="S4543" s="78">
        <f>IF(AND(K4543&lt;&gt;"", R4543&lt;&gt;""), R4543-K4543, "")</f>
        <v/>
      </c>
      <c r="T4543" s="78" t="n"/>
      <c r="U4543" s="92">
        <f>IF(ISBLANK(P4543),"",IF(C4543="Buy",Q4543-M4543+T4543, IF(C4543="Sell",M4543-Q4543-T4543, X)))</f>
        <v/>
      </c>
      <c r="V4543" s="81">
        <f>IF(ISBLANK(P4543),"",U4543/N4543)</f>
        <v/>
      </c>
      <c r="W4543" s="81">
        <f>IF(ISBLANK(P4543),"",IF(S4543=0,(365/0.5)*V4543,(365/S4543)*V4543))</f>
        <v/>
      </c>
      <c r="X4543" s="75" t="n"/>
      <c r="Y4543" s="77" t="n"/>
      <c r="Z4543" s="77" t="n"/>
      <c r="AA4543" s="75" t="n"/>
      <c r="AB4543" s="75" t="n"/>
      <c r="AC4543" s="6" t="n"/>
      <c r="AD4543" s="75" t="n"/>
      <c r="AE4543" s="75" t="n"/>
      <c r="AF4543" s="75" t="n"/>
    </row>
    <row r="4544" ht="15.75" customHeight="1" s="133">
      <c r="A4544" s="75" t="n"/>
      <c r="B4544" s="75" t="n"/>
      <c r="C4544" s="75" t="n"/>
      <c r="D4544" s="75" t="n"/>
      <c r="E4544" s="76" t="n"/>
      <c r="F4544" s="77" t="n"/>
      <c r="G4544" s="75" t="n"/>
      <c r="H4544" s="75">
        <f>IF(ISBLANK(E4544),"",IF(OR(D4544="Butterfly",D4544="Butterfly ",D4544="Iron Fly", D4544="Iron Fly "),LEN(E4544)-LEN(SUBSTITUTE(E4544,"/",""))+2,LEN(E4544)-LEN(SUBSTITUTE(E4544,"/",""))+1))</f>
        <v/>
      </c>
      <c r="I4544" s="78">
        <f>IF(ISBLANK(G4544),"",IF(D4544="Stock","0",Key!$A$3*H4544*G4544))</f>
        <v/>
      </c>
      <c r="J4544" s="78">
        <f>IF(ISBLANK(E4544),"",IF(ISNUMBER(SEARCH("/",E4544)), IF(LEN(E4544)-LEN(SUBSTITUTE(E4544,"/",""))=1,(RIGHT(E4544,LEN(E4544)-FIND("/",E4544)))-(LEFT(E4544,FIND("/",E4544)-1)),(MID(E4544, SEARCH("/",E4544) + 1, SEARCH("/",E4544, SEARCH("/",E4544)+1) - SEARCH("/",E4544) - 1))-(LEFT(E4544,FIND("/",E4544)-1))), "NA"))</f>
        <v/>
      </c>
      <c r="K4544" s="79">
        <f>IF(A4544&lt;&gt;"", IF(ISBLANK(L4544), TODAY(), K4544), "")</f>
        <v/>
      </c>
      <c r="L4544" s="78" t="n"/>
      <c r="M4544" s="78">
        <f>IF(ISBLANK(L4544),"",IF(D4544="Stock",IF(C4544="Buy",L4544*G4544,IF(C4544="Sell",(L4544*G4544)-I4544, X)),IF(C4544="Buy",(L4544*G4544*100)+I4544,IF(C4544="Sell",(L4544*G4544*100)-I4544, X))))</f>
        <v/>
      </c>
      <c r="N4544" s="78">
        <f>IF(ISBLANK(L4544),"",IF(AND(C4544="Sell",D4544="Stock"),M4544,IF(ISBLANK(L4544),"",IF(C4544="Buy",M4544, IF(AND(C4544="Sell",J4544="NA"),(E4544*G4544*100*0.1)+I4544, IF(C4544="Sell",(J4544-L4544)*(100*G4544)+I4544))))))</f>
        <v/>
      </c>
      <c r="O4544" s="75" t="n"/>
      <c r="P4544" s="75" t="n"/>
      <c r="Q4544" s="75">
        <f>IF(ISBLANK(P4544),"",IF(D4544="Stock",P4544*G4544,IF(P4544=0,"0",G4544*P4544*100-(G4544*$AF$14))))</f>
        <v/>
      </c>
      <c r="R4544" s="79">
        <f>IF(P4544&lt;&gt;"", TODAY(), "")</f>
        <v/>
      </c>
      <c r="S4544" s="78">
        <f>IF(AND(K4544&lt;&gt;"", R4544&lt;&gt;""), R4544-K4544, "")</f>
        <v/>
      </c>
      <c r="T4544" s="78" t="n"/>
      <c r="U4544" s="92">
        <f>IF(ISBLANK(P4544),"",IF(C4544="Buy",Q4544-M4544+T4544, IF(C4544="Sell",M4544-Q4544-T4544, X)))</f>
        <v/>
      </c>
      <c r="V4544" s="81">
        <f>IF(ISBLANK(P4544),"",U4544/N4544)</f>
        <v/>
      </c>
      <c r="W4544" s="81">
        <f>IF(ISBLANK(P4544),"",IF(S4544=0,(365/0.5)*V4544,(365/S4544)*V4544))</f>
        <v/>
      </c>
      <c r="X4544" s="75" t="n"/>
      <c r="Y4544" s="77" t="n"/>
      <c r="Z4544" s="77" t="n"/>
      <c r="AA4544" s="75" t="n"/>
      <c r="AB4544" s="75" t="n"/>
      <c r="AC4544" s="6" t="n"/>
      <c r="AD4544" s="75" t="n"/>
      <c r="AE4544" s="75" t="n"/>
      <c r="AF4544" s="75" t="n"/>
    </row>
    <row r="4545" ht="15.75" customHeight="1" s="133">
      <c r="A4545" s="75" t="n"/>
      <c r="B4545" s="75" t="n"/>
      <c r="C4545" s="75" t="n"/>
      <c r="D4545" s="75" t="n"/>
      <c r="E4545" s="76" t="n"/>
      <c r="F4545" s="77" t="n"/>
      <c r="G4545" s="75" t="n"/>
      <c r="H4545" s="75">
        <f>IF(ISBLANK(E4545),"",IF(OR(D4545="Butterfly",D4545="Butterfly ",D4545="Iron Fly", D4545="Iron Fly "),LEN(E4545)-LEN(SUBSTITUTE(E4545,"/",""))+2,LEN(E4545)-LEN(SUBSTITUTE(E4545,"/",""))+1))</f>
        <v/>
      </c>
      <c r="I4545" s="78">
        <f>IF(ISBLANK(G4545),"",IF(D4545="Stock","0",Key!$A$3*H4545*G4545))</f>
        <v/>
      </c>
      <c r="J4545" s="78">
        <f>IF(ISBLANK(E4545),"",IF(ISNUMBER(SEARCH("/",E4545)), IF(LEN(E4545)-LEN(SUBSTITUTE(E4545,"/",""))=1,(RIGHT(E4545,LEN(E4545)-FIND("/",E4545)))-(LEFT(E4545,FIND("/",E4545)-1)),(MID(E4545, SEARCH("/",E4545) + 1, SEARCH("/",E4545, SEARCH("/",E4545)+1) - SEARCH("/",E4545) - 1))-(LEFT(E4545,FIND("/",E4545)-1))), "NA"))</f>
        <v/>
      </c>
      <c r="K4545" s="79">
        <f>IF(A4545&lt;&gt;"", IF(ISBLANK(L4545), TODAY(), K4545), "")</f>
        <v/>
      </c>
      <c r="L4545" s="78" t="n"/>
      <c r="M4545" s="78">
        <f>IF(ISBLANK(L4545),"",IF(D4545="Stock",IF(C4545="Buy",L4545*G4545,IF(C4545="Sell",(L4545*G4545)-I4545, X)),IF(C4545="Buy",(L4545*G4545*100)+I4545,IF(C4545="Sell",(L4545*G4545*100)-I4545, X))))</f>
        <v/>
      </c>
      <c r="N4545" s="78">
        <f>IF(ISBLANK(L4545),"",IF(AND(C4545="Sell",D4545="Stock"),M4545,IF(ISBLANK(L4545),"",IF(C4545="Buy",M4545, IF(AND(C4545="Sell",J4545="NA"),(E4545*G4545*100*0.1)+I4545, IF(C4545="Sell",(J4545-L4545)*(100*G4545)+I4545))))))</f>
        <v/>
      </c>
      <c r="O4545" s="75" t="n"/>
      <c r="P4545" s="75" t="n"/>
      <c r="Q4545" s="75">
        <f>IF(ISBLANK(P4545),"",IF(D4545="Stock",P4545*G4545,IF(P4545=0,"0",G4545*P4545*100-(G4545*$AF$14))))</f>
        <v/>
      </c>
      <c r="R4545" s="79">
        <f>IF(P4545&lt;&gt;"", TODAY(), "")</f>
        <v/>
      </c>
      <c r="S4545" s="78">
        <f>IF(AND(K4545&lt;&gt;"", R4545&lt;&gt;""), R4545-K4545, "")</f>
        <v/>
      </c>
      <c r="T4545" s="78" t="n"/>
      <c r="U4545" s="92">
        <f>IF(ISBLANK(P4545),"",IF(C4545="Buy",Q4545-M4545+T4545, IF(C4545="Sell",M4545-Q4545-T4545, X)))</f>
        <v/>
      </c>
      <c r="V4545" s="81">
        <f>IF(ISBLANK(P4545),"",U4545/N4545)</f>
        <v/>
      </c>
      <c r="W4545" s="81">
        <f>IF(ISBLANK(P4545),"",IF(S4545=0,(365/0.5)*V4545,(365/S4545)*V4545))</f>
        <v/>
      </c>
      <c r="X4545" s="75" t="n"/>
      <c r="Y4545" s="77" t="n"/>
      <c r="Z4545" s="77" t="n"/>
      <c r="AA4545" s="75" t="n"/>
      <c r="AB4545" s="75" t="n"/>
      <c r="AC4545" s="6" t="n"/>
      <c r="AD4545" s="75" t="n"/>
      <c r="AE4545" s="75" t="n"/>
      <c r="AF4545" s="75" t="n"/>
    </row>
    <row r="4546" ht="15.75" customHeight="1" s="133">
      <c r="A4546" s="75" t="n"/>
      <c r="B4546" s="75" t="n"/>
      <c r="C4546" s="75" t="n"/>
      <c r="D4546" s="75" t="n"/>
      <c r="E4546" s="76" t="n"/>
      <c r="F4546" s="77" t="n"/>
      <c r="G4546" s="75" t="n"/>
      <c r="H4546" s="75">
        <f>IF(ISBLANK(E4546),"",IF(OR(D4546="Butterfly",D4546="Butterfly ",D4546="Iron Fly", D4546="Iron Fly "),LEN(E4546)-LEN(SUBSTITUTE(E4546,"/",""))+2,LEN(E4546)-LEN(SUBSTITUTE(E4546,"/",""))+1))</f>
        <v/>
      </c>
      <c r="I4546" s="78">
        <f>IF(ISBLANK(G4546),"",IF(D4546="Stock","0",Key!$A$3*H4546*G4546))</f>
        <v/>
      </c>
      <c r="J4546" s="78">
        <f>IF(ISBLANK(E4546),"",IF(ISNUMBER(SEARCH("/",E4546)), IF(LEN(E4546)-LEN(SUBSTITUTE(E4546,"/",""))=1,(RIGHT(E4546,LEN(E4546)-FIND("/",E4546)))-(LEFT(E4546,FIND("/",E4546)-1)),(MID(E4546, SEARCH("/",E4546) + 1, SEARCH("/",E4546, SEARCH("/",E4546)+1) - SEARCH("/",E4546) - 1))-(LEFT(E4546,FIND("/",E4546)-1))), "NA"))</f>
        <v/>
      </c>
      <c r="K4546" s="79">
        <f>IF(A4546&lt;&gt;"", IF(ISBLANK(L4546), TODAY(), K4546), "")</f>
        <v/>
      </c>
      <c r="L4546" s="78" t="n"/>
      <c r="M4546" s="78">
        <f>IF(ISBLANK(L4546),"",IF(D4546="Stock",IF(C4546="Buy",L4546*G4546,IF(C4546="Sell",(L4546*G4546)-I4546, X)),IF(C4546="Buy",(L4546*G4546*100)+I4546,IF(C4546="Sell",(L4546*G4546*100)-I4546, X))))</f>
        <v/>
      </c>
      <c r="N4546" s="78">
        <f>IF(ISBLANK(L4546),"",IF(AND(C4546="Sell",D4546="Stock"),M4546,IF(ISBLANK(L4546),"",IF(C4546="Buy",M4546, IF(AND(C4546="Sell",J4546="NA"),(E4546*G4546*100*0.1)+I4546, IF(C4546="Sell",(J4546-L4546)*(100*G4546)+I4546))))))</f>
        <v/>
      </c>
      <c r="O4546" s="75" t="n"/>
      <c r="P4546" s="75" t="n"/>
      <c r="Q4546" s="75">
        <f>IF(ISBLANK(P4546),"",IF(D4546="Stock",P4546*G4546,IF(P4546=0,"0",G4546*P4546*100-(G4546*$AF$14))))</f>
        <v/>
      </c>
      <c r="R4546" s="79">
        <f>IF(P4546&lt;&gt;"", TODAY(), "")</f>
        <v/>
      </c>
      <c r="S4546" s="78">
        <f>IF(AND(K4546&lt;&gt;"", R4546&lt;&gt;""), R4546-K4546, "")</f>
        <v/>
      </c>
      <c r="T4546" s="78" t="n"/>
      <c r="U4546" s="92">
        <f>IF(ISBLANK(P4546),"",IF(C4546="Buy",Q4546-M4546+T4546, IF(C4546="Sell",M4546-Q4546-T4546, X)))</f>
        <v/>
      </c>
      <c r="V4546" s="81">
        <f>IF(ISBLANK(P4546),"",U4546/N4546)</f>
        <v/>
      </c>
      <c r="W4546" s="81">
        <f>IF(ISBLANK(P4546),"",IF(S4546=0,(365/0.5)*V4546,(365/S4546)*V4546))</f>
        <v/>
      </c>
      <c r="X4546" s="75" t="n"/>
      <c r="Y4546" s="77" t="n"/>
      <c r="Z4546" s="77" t="n"/>
      <c r="AA4546" s="75" t="n"/>
      <c r="AB4546" s="75" t="n"/>
      <c r="AC4546" s="6" t="n"/>
      <c r="AD4546" s="75" t="n"/>
      <c r="AE4546" s="75" t="n"/>
      <c r="AF4546" s="75" t="n"/>
    </row>
    <row r="4547" ht="15.75" customHeight="1" s="133">
      <c r="A4547" s="75" t="n"/>
      <c r="B4547" s="75" t="n"/>
      <c r="C4547" s="75" t="n"/>
      <c r="D4547" s="75" t="n"/>
      <c r="E4547" s="76" t="n"/>
      <c r="F4547" s="77" t="n"/>
      <c r="G4547" s="75" t="n"/>
      <c r="H4547" s="75">
        <f>IF(ISBLANK(E4547),"",IF(OR(D4547="Butterfly",D4547="Butterfly ",D4547="Iron Fly", D4547="Iron Fly "),LEN(E4547)-LEN(SUBSTITUTE(E4547,"/",""))+2,LEN(E4547)-LEN(SUBSTITUTE(E4547,"/",""))+1))</f>
        <v/>
      </c>
      <c r="I4547" s="78">
        <f>IF(ISBLANK(G4547),"",IF(D4547="Stock","0",Key!$A$3*H4547*G4547))</f>
        <v/>
      </c>
      <c r="J4547" s="78">
        <f>IF(ISBLANK(E4547),"",IF(ISNUMBER(SEARCH("/",E4547)), IF(LEN(E4547)-LEN(SUBSTITUTE(E4547,"/",""))=1,(RIGHT(E4547,LEN(E4547)-FIND("/",E4547)))-(LEFT(E4547,FIND("/",E4547)-1)),(MID(E4547, SEARCH("/",E4547) + 1, SEARCH("/",E4547, SEARCH("/",E4547)+1) - SEARCH("/",E4547) - 1))-(LEFT(E4547,FIND("/",E4547)-1))), "NA"))</f>
        <v/>
      </c>
      <c r="K4547" s="79">
        <f>IF(A4547&lt;&gt;"", IF(ISBLANK(L4547), TODAY(), K4547), "")</f>
        <v/>
      </c>
      <c r="L4547" s="78" t="n"/>
      <c r="M4547" s="78">
        <f>IF(ISBLANK(L4547),"",IF(D4547="Stock",IF(C4547="Buy",L4547*G4547,IF(C4547="Sell",(L4547*G4547)-I4547, X)),IF(C4547="Buy",(L4547*G4547*100)+I4547,IF(C4547="Sell",(L4547*G4547*100)-I4547, X))))</f>
        <v/>
      </c>
      <c r="N4547" s="78">
        <f>IF(ISBLANK(L4547),"",IF(AND(C4547="Sell",D4547="Stock"),M4547,IF(ISBLANK(L4547),"",IF(C4547="Buy",M4547, IF(AND(C4547="Sell",J4547="NA"),(E4547*G4547*100*0.1)+I4547, IF(C4547="Sell",(J4547-L4547)*(100*G4547)+I4547))))))</f>
        <v/>
      </c>
      <c r="O4547" s="75" t="n"/>
      <c r="P4547" s="75" t="n"/>
      <c r="Q4547" s="75">
        <f>IF(ISBLANK(P4547),"",IF(D4547="Stock",P4547*G4547,IF(P4547=0,"0",G4547*P4547*100-(G4547*$AF$14))))</f>
        <v/>
      </c>
      <c r="R4547" s="79">
        <f>IF(P4547&lt;&gt;"", TODAY(), "")</f>
        <v/>
      </c>
      <c r="S4547" s="78">
        <f>IF(AND(K4547&lt;&gt;"", R4547&lt;&gt;""), R4547-K4547, "")</f>
        <v/>
      </c>
      <c r="T4547" s="78" t="n"/>
      <c r="U4547" s="92">
        <f>IF(ISBLANK(P4547),"",IF(C4547="Buy",Q4547-M4547+T4547, IF(C4547="Sell",M4547-Q4547-T4547, X)))</f>
        <v/>
      </c>
      <c r="V4547" s="81">
        <f>IF(ISBLANK(P4547),"",U4547/N4547)</f>
        <v/>
      </c>
      <c r="W4547" s="81">
        <f>IF(ISBLANK(P4547),"",IF(S4547=0,(365/0.5)*V4547,(365/S4547)*V4547))</f>
        <v/>
      </c>
      <c r="X4547" s="75" t="n"/>
      <c r="Y4547" s="77" t="n"/>
      <c r="Z4547" s="77" t="n"/>
      <c r="AA4547" s="75" t="n"/>
      <c r="AB4547" s="75" t="n"/>
      <c r="AC4547" s="6" t="n"/>
      <c r="AD4547" s="75" t="n"/>
      <c r="AE4547" s="75" t="n"/>
      <c r="AF4547" s="75" t="n"/>
    </row>
    <row r="4548" ht="15.75" customHeight="1" s="133">
      <c r="A4548" s="75" t="n"/>
      <c r="B4548" s="75" t="n"/>
      <c r="C4548" s="75" t="n"/>
      <c r="D4548" s="75" t="n"/>
      <c r="E4548" s="76" t="n"/>
      <c r="F4548" s="77" t="n"/>
      <c r="G4548" s="75" t="n"/>
      <c r="H4548" s="75">
        <f>IF(ISBLANK(E4548),"",IF(OR(D4548="Butterfly",D4548="Butterfly ",D4548="Iron Fly", D4548="Iron Fly "),LEN(E4548)-LEN(SUBSTITUTE(E4548,"/",""))+2,LEN(E4548)-LEN(SUBSTITUTE(E4548,"/",""))+1))</f>
        <v/>
      </c>
      <c r="I4548" s="78">
        <f>IF(ISBLANK(G4548),"",IF(D4548="Stock","0",Key!$A$3*H4548*G4548))</f>
        <v/>
      </c>
      <c r="J4548" s="78">
        <f>IF(ISBLANK(E4548),"",IF(ISNUMBER(SEARCH("/",E4548)), IF(LEN(E4548)-LEN(SUBSTITUTE(E4548,"/",""))=1,(RIGHT(E4548,LEN(E4548)-FIND("/",E4548)))-(LEFT(E4548,FIND("/",E4548)-1)),(MID(E4548, SEARCH("/",E4548) + 1, SEARCH("/",E4548, SEARCH("/",E4548)+1) - SEARCH("/",E4548) - 1))-(LEFT(E4548,FIND("/",E4548)-1))), "NA"))</f>
        <v/>
      </c>
      <c r="K4548" s="79">
        <f>IF(A4548&lt;&gt;"", IF(ISBLANK(L4548), TODAY(), K4548), "")</f>
        <v/>
      </c>
      <c r="L4548" s="78" t="n"/>
      <c r="M4548" s="78">
        <f>IF(ISBLANK(L4548),"",IF(D4548="Stock",IF(C4548="Buy",L4548*G4548,IF(C4548="Sell",(L4548*G4548)-I4548, X)),IF(C4548="Buy",(L4548*G4548*100)+I4548,IF(C4548="Sell",(L4548*G4548*100)-I4548, X))))</f>
        <v/>
      </c>
      <c r="N4548" s="78">
        <f>IF(ISBLANK(L4548),"",IF(AND(C4548="Sell",D4548="Stock"),M4548,IF(ISBLANK(L4548),"",IF(C4548="Buy",M4548, IF(AND(C4548="Sell",J4548="NA"),(E4548*G4548*100*0.1)+I4548, IF(C4548="Sell",(J4548-L4548)*(100*G4548)+I4548))))))</f>
        <v/>
      </c>
      <c r="O4548" s="75" t="n"/>
      <c r="P4548" s="75" t="n"/>
      <c r="Q4548" s="75">
        <f>IF(ISBLANK(P4548),"",IF(D4548="Stock",P4548*G4548,IF(P4548=0,"0",G4548*P4548*100-(G4548*$AF$14))))</f>
        <v/>
      </c>
      <c r="R4548" s="79">
        <f>IF(P4548&lt;&gt;"", TODAY(), "")</f>
        <v/>
      </c>
      <c r="S4548" s="78">
        <f>IF(AND(K4548&lt;&gt;"", R4548&lt;&gt;""), R4548-K4548, "")</f>
        <v/>
      </c>
      <c r="T4548" s="78" t="n"/>
      <c r="U4548" s="92">
        <f>IF(ISBLANK(P4548),"",IF(C4548="Buy",Q4548-M4548+T4548, IF(C4548="Sell",M4548-Q4548-T4548, X)))</f>
        <v/>
      </c>
      <c r="V4548" s="81">
        <f>IF(ISBLANK(P4548),"",U4548/N4548)</f>
        <v/>
      </c>
      <c r="W4548" s="81">
        <f>IF(ISBLANK(P4548),"",IF(S4548=0,(365/0.5)*V4548,(365/S4548)*V4548))</f>
        <v/>
      </c>
      <c r="X4548" s="75" t="n"/>
      <c r="Y4548" s="77" t="n"/>
      <c r="Z4548" s="77" t="n"/>
      <c r="AA4548" s="75" t="n"/>
      <c r="AB4548" s="75" t="n"/>
      <c r="AC4548" s="6" t="n"/>
      <c r="AD4548" s="75" t="n"/>
      <c r="AE4548" s="75" t="n"/>
      <c r="AF4548" s="75" t="n"/>
    </row>
    <row r="4549" ht="15.75" customHeight="1" s="133">
      <c r="A4549" s="75" t="n"/>
      <c r="B4549" s="75" t="n"/>
      <c r="C4549" s="75" t="n"/>
      <c r="D4549" s="75" t="n"/>
      <c r="E4549" s="76" t="n"/>
      <c r="F4549" s="77" t="n"/>
      <c r="G4549" s="75" t="n"/>
      <c r="H4549" s="75">
        <f>IF(ISBLANK(E4549),"",IF(OR(D4549="Butterfly",D4549="Butterfly ",D4549="Iron Fly", D4549="Iron Fly "),LEN(E4549)-LEN(SUBSTITUTE(E4549,"/",""))+2,LEN(E4549)-LEN(SUBSTITUTE(E4549,"/",""))+1))</f>
        <v/>
      </c>
      <c r="I4549" s="78">
        <f>IF(ISBLANK(G4549),"",IF(D4549="Stock","0",Key!$A$3*H4549*G4549))</f>
        <v/>
      </c>
      <c r="J4549" s="78">
        <f>IF(ISBLANK(E4549),"",IF(ISNUMBER(SEARCH("/",E4549)), IF(LEN(E4549)-LEN(SUBSTITUTE(E4549,"/",""))=1,(RIGHT(E4549,LEN(E4549)-FIND("/",E4549)))-(LEFT(E4549,FIND("/",E4549)-1)),(MID(E4549, SEARCH("/",E4549) + 1, SEARCH("/",E4549, SEARCH("/",E4549)+1) - SEARCH("/",E4549) - 1))-(LEFT(E4549,FIND("/",E4549)-1))), "NA"))</f>
        <v/>
      </c>
      <c r="K4549" s="79">
        <f>IF(A4549&lt;&gt;"", IF(ISBLANK(L4549), TODAY(), K4549), "")</f>
        <v/>
      </c>
      <c r="L4549" s="78" t="n"/>
      <c r="M4549" s="78">
        <f>IF(ISBLANK(L4549),"",IF(D4549="Stock",IF(C4549="Buy",L4549*G4549,IF(C4549="Sell",(L4549*G4549)-I4549, X)),IF(C4549="Buy",(L4549*G4549*100)+I4549,IF(C4549="Sell",(L4549*G4549*100)-I4549, X))))</f>
        <v/>
      </c>
      <c r="N4549" s="78">
        <f>IF(ISBLANK(L4549),"",IF(AND(C4549="Sell",D4549="Stock"),M4549,IF(ISBLANK(L4549),"",IF(C4549="Buy",M4549, IF(AND(C4549="Sell",J4549="NA"),(E4549*G4549*100*0.1)+I4549, IF(C4549="Sell",(J4549-L4549)*(100*G4549)+I4549))))))</f>
        <v/>
      </c>
      <c r="O4549" s="75" t="n"/>
      <c r="P4549" s="75" t="n"/>
      <c r="Q4549" s="75">
        <f>IF(ISBLANK(P4549),"",IF(D4549="Stock",P4549*G4549,IF(P4549=0,"0",G4549*P4549*100-(G4549*$AF$14))))</f>
        <v/>
      </c>
      <c r="R4549" s="79">
        <f>IF(P4549&lt;&gt;"", TODAY(), "")</f>
        <v/>
      </c>
      <c r="S4549" s="78">
        <f>IF(AND(K4549&lt;&gt;"", R4549&lt;&gt;""), R4549-K4549, "")</f>
        <v/>
      </c>
      <c r="T4549" s="78" t="n"/>
      <c r="U4549" s="92">
        <f>IF(ISBLANK(P4549),"",IF(C4549="Buy",Q4549-M4549+T4549, IF(C4549="Sell",M4549-Q4549-T4549, X)))</f>
        <v/>
      </c>
      <c r="V4549" s="81">
        <f>IF(ISBLANK(P4549),"",U4549/N4549)</f>
        <v/>
      </c>
      <c r="W4549" s="81">
        <f>IF(ISBLANK(P4549),"",IF(S4549=0,(365/0.5)*V4549,(365/S4549)*V4549))</f>
        <v/>
      </c>
      <c r="X4549" s="75" t="n"/>
      <c r="Y4549" s="77" t="n"/>
      <c r="Z4549" s="77" t="n"/>
      <c r="AA4549" s="75" t="n"/>
      <c r="AB4549" s="75" t="n"/>
      <c r="AC4549" s="6" t="n"/>
      <c r="AD4549" s="75" t="n"/>
      <c r="AE4549" s="75" t="n"/>
      <c r="AF4549" s="75" t="n"/>
    </row>
    <row r="4550" ht="15.75" customHeight="1" s="133">
      <c r="A4550" s="75" t="n"/>
      <c r="B4550" s="75" t="n"/>
      <c r="C4550" s="75" t="n"/>
      <c r="D4550" s="75" t="n"/>
      <c r="E4550" s="76" t="n"/>
      <c r="F4550" s="77" t="n"/>
      <c r="G4550" s="75" t="n"/>
      <c r="H4550" s="75">
        <f>IF(ISBLANK(E4550),"",IF(OR(D4550="Butterfly",D4550="Butterfly ",D4550="Iron Fly", D4550="Iron Fly "),LEN(E4550)-LEN(SUBSTITUTE(E4550,"/",""))+2,LEN(E4550)-LEN(SUBSTITUTE(E4550,"/",""))+1))</f>
        <v/>
      </c>
      <c r="I4550" s="78">
        <f>IF(ISBLANK(G4550),"",IF(D4550="Stock","0",Key!$A$3*H4550*G4550))</f>
        <v/>
      </c>
      <c r="J4550" s="78">
        <f>IF(ISBLANK(E4550),"",IF(ISNUMBER(SEARCH("/",E4550)), IF(LEN(E4550)-LEN(SUBSTITUTE(E4550,"/",""))=1,(RIGHT(E4550,LEN(E4550)-FIND("/",E4550)))-(LEFT(E4550,FIND("/",E4550)-1)),(MID(E4550, SEARCH("/",E4550) + 1, SEARCH("/",E4550, SEARCH("/",E4550)+1) - SEARCH("/",E4550) - 1))-(LEFT(E4550,FIND("/",E4550)-1))), "NA"))</f>
        <v/>
      </c>
      <c r="K4550" s="79">
        <f>IF(A4550&lt;&gt;"", IF(ISBLANK(L4550), TODAY(), K4550), "")</f>
        <v/>
      </c>
      <c r="L4550" s="78" t="n"/>
      <c r="M4550" s="78">
        <f>IF(ISBLANK(L4550),"",IF(D4550="Stock",IF(C4550="Buy",L4550*G4550,IF(C4550="Sell",(L4550*G4550)-I4550, X)),IF(C4550="Buy",(L4550*G4550*100)+I4550,IF(C4550="Sell",(L4550*G4550*100)-I4550, X))))</f>
        <v/>
      </c>
      <c r="N4550" s="78">
        <f>IF(ISBLANK(L4550),"",IF(AND(C4550="Sell",D4550="Stock"),M4550,IF(ISBLANK(L4550),"",IF(C4550="Buy",M4550, IF(AND(C4550="Sell",J4550="NA"),(E4550*G4550*100*0.1)+I4550, IF(C4550="Sell",(J4550-L4550)*(100*G4550)+I4550))))))</f>
        <v/>
      </c>
      <c r="O4550" s="75" t="n"/>
      <c r="P4550" s="75" t="n"/>
      <c r="Q4550" s="75">
        <f>IF(ISBLANK(P4550),"",IF(D4550="Stock",P4550*G4550,IF(P4550=0,"0",G4550*P4550*100-(G4550*$AF$14))))</f>
        <v/>
      </c>
      <c r="R4550" s="79">
        <f>IF(P4550&lt;&gt;"", TODAY(), "")</f>
        <v/>
      </c>
      <c r="S4550" s="78">
        <f>IF(AND(K4550&lt;&gt;"", R4550&lt;&gt;""), R4550-K4550, "")</f>
        <v/>
      </c>
      <c r="T4550" s="78" t="n"/>
      <c r="U4550" s="92">
        <f>IF(ISBLANK(P4550),"",IF(C4550="Buy",Q4550-M4550+T4550, IF(C4550="Sell",M4550-Q4550-T4550, X)))</f>
        <v/>
      </c>
      <c r="V4550" s="81">
        <f>IF(ISBLANK(P4550),"",U4550/N4550)</f>
        <v/>
      </c>
      <c r="W4550" s="81">
        <f>IF(ISBLANK(P4550),"",IF(S4550=0,(365/0.5)*V4550,(365/S4550)*V4550))</f>
        <v/>
      </c>
      <c r="X4550" s="75" t="n"/>
      <c r="Y4550" s="77" t="n"/>
      <c r="Z4550" s="77" t="n"/>
      <c r="AA4550" s="75" t="n"/>
      <c r="AB4550" s="75" t="n"/>
      <c r="AC4550" s="6" t="n"/>
      <c r="AD4550" s="75" t="n"/>
      <c r="AE4550" s="75" t="n"/>
      <c r="AF4550" s="75" t="n"/>
    </row>
    <row r="4551" ht="15.75" customHeight="1" s="133">
      <c r="A4551" s="75" t="n"/>
      <c r="B4551" s="75" t="n"/>
      <c r="C4551" s="75" t="n"/>
      <c r="D4551" s="75" t="n"/>
      <c r="E4551" s="76" t="n"/>
      <c r="F4551" s="77" t="n"/>
      <c r="G4551" s="75" t="n"/>
      <c r="H4551" s="75">
        <f>IF(ISBLANK(E4551),"",IF(OR(D4551="Butterfly",D4551="Butterfly ",D4551="Iron Fly", D4551="Iron Fly "),LEN(E4551)-LEN(SUBSTITUTE(E4551,"/",""))+2,LEN(E4551)-LEN(SUBSTITUTE(E4551,"/",""))+1))</f>
        <v/>
      </c>
      <c r="I4551" s="78">
        <f>IF(ISBLANK(G4551),"",IF(D4551="Stock","0",Key!$A$3*H4551*G4551))</f>
        <v/>
      </c>
      <c r="J4551" s="78">
        <f>IF(ISBLANK(E4551),"",IF(ISNUMBER(SEARCH("/",E4551)), IF(LEN(E4551)-LEN(SUBSTITUTE(E4551,"/",""))=1,(RIGHT(E4551,LEN(E4551)-FIND("/",E4551)))-(LEFT(E4551,FIND("/",E4551)-1)),(MID(E4551, SEARCH("/",E4551) + 1, SEARCH("/",E4551, SEARCH("/",E4551)+1) - SEARCH("/",E4551) - 1))-(LEFT(E4551,FIND("/",E4551)-1))), "NA"))</f>
        <v/>
      </c>
      <c r="K4551" s="79">
        <f>IF(A4551&lt;&gt;"", IF(ISBLANK(L4551), TODAY(), K4551), "")</f>
        <v/>
      </c>
      <c r="L4551" s="78" t="n"/>
      <c r="M4551" s="78">
        <f>IF(ISBLANK(L4551),"",IF(D4551="Stock",IF(C4551="Buy",L4551*G4551,IF(C4551="Sell",(L4551*G4551)-I4551, X)),IF(C4551="Buy",(L4551*G4551*100)+I4551,IF(C4551="Sell",(L4551*G4551*100)-I4551, X))))</f>
        <v/>
      </c>
      <c r="N4551" s="78">
        <f>IF(ISBLANK(L4551),"",IF(AND(C4551="Sell",D4551="Stock"),M4551,IF(ISBLANK(L4551),"",IF(C4551="Buy",M4551, IF(AND(C4551="Sell",J4551="NA"),(E4551*G4551*100*0.1)+I4551, IF(C4551="Sell",(J4551-L4551)*(100*G4551)+I4551))))))</f>
        <v/>
      </c>
      <c r="O4551" s="75" t="n"/>
      <c r="P4551" s="75" t="n"/>
      <c r="Q4551" s="75">
        <f>IF(ISBLANK(P4551),"",IF(D4551="Stock",P4551*G4551,IF(P4551=0,"0",G4551*P4551*100-(G4551*$AF$14))))</f>
        <v/>
      </c>
      <c r="R4551" s="79">
        <f>IF(P4551&lt;&gt;"", TODAY(), "")</f>
        <v/>
      </c>
      <c r="S4551" s="78">
        <f>IF(AND(K4551&lt;&gt;"", R4551&lt;&gt;""), R4551-K4551, "")</f>
        <v/>
      </c>
      <c r="T4551" s="78" t="n"/>
      <c r="U4551" s="92">
        <f>IF(ISBLANK(P4551),"",IF(C4551="Buy",Q4551-M4551+T4551, IF(C4551="Sell",M4551-Q4551-T4551, X)))</f>
        <v/>
      </c>
      <c r="V4551" s="81">
        <f>IF(ISBLANK(P4551),"",U4551/N4551)</f>
        <v/>
      </c>
      <c r="W4551" s="81">
        <f>IF(ISBLANK(P4551),"",IF(S4551=0,(365/0.5)*V4551,(365/S4551)*V4551))</f>
        <v/>
      </c>
      <c r="X4551" s="75" t="n"/>
      <c r="Y4551" s="77" t="n"/>
      <c r="Z4551" s="77" t="n"/>
      <c r="AA4551" s="75" t="n"/>
      <c r="AB4551" s="75" t="n"/>
      <c r="AC4551" s="6" t="n"/>
      <c r="AD4551" s="75" t="n"/>
      <c r="AE4551" s="75" t="n"/>
      <c r="AF4551" s="75" t="n"/>
    </row>
    <row r="4552" ht="15.75" customHeight="1" s="133">
      <c r="A4552" s="75" t="n"/>
      <c r="B4552" s="75" t="n"/>
      <c r="C4552" s="75" t="n"/>
      <c r="D4552" s="75" t="n"/>
      <c r="E4552" s="76" t="n"/>
      <c r="F4552" s="77" t="n"/>
      <c r="G4552" s="75" t="n"/>
      <c r="H4552" s="75">
        <f>IF(ISBLANK(E4552),"",IF(OR(D4552="Butterfly",D4552="Butterfly ",D4552="Iron Fly", D4552="Iron Fly "),LEN(E4552)-LEN(SUBSTITUTE(E4552,"/",""))+2,LEN(E4552)-LEN(SUBSTITUTE(E4552,"/",""))+1))</f>
        <v/>
      </c>
      <c r="I4552" s="78">
        <f>IF(ISBLANK(G4552),"",IF(D4552="Stock","0",Key!$A$3*H4552*G4552))</f>
        <v/>
      </c>
      <c r="J4552" s="78">
        <f>IF(ISBLANK(E4552),"",IF(ISNUMBER(SEARCH("/",E4552)), IF(LEN(E4552)-LEN(SUBSTITUTE(E4552,"/",""))=1,(RIGHT(E4552,LEN(E4552)-FIND("/",E4552)))-(LEFT(E4552,FIND("/",E4552)-1)),(MID(E4552, SEARCH("/",E4552) + 1, SEARCH("/",E4552, SEARCH("/",E4552)+1) - SEARCH("/",E4552) - 1))-(LEFT(E4552,FIND("/",E4552)-1))), "NA"))</f>
        <v/>
      </c>
      <c r="K4552" s="79">
        <f>IF(A4552&lt;&gt;"", IF(ISBLANK(L4552), TODAY(), K4552), "")</f>
        <v/>
      </c>
      <c r="L4552" s="78" t="n"/>
      <c r="M4552" s="78">
        <f>IF(ISBLANK(L4552),"",IF(D4552="Stock",IF(C4552="Buy",L4552*G4552,IF(C4552="Sell",(L4552*G4552)-I4552, X)),IF(C4552="Buy",(L4552*G4552*100)+I4552,IF(C4552="Sell",(L4552*G4552*100)-I4552, X))))</f>
        <v/>
      </c>
      <c r="N4552" s="78">
        <f>IF(ISBLANK(L4552),"",IF(AND(C4552="Sell",D4552="Stock"),M4552,IF(ISBLANK(L4552),"",IF(C4552="Buy",M4552, IF(AND(C4552="Sell",J4552="NA"),(E4552*G4552*100*0.1)+I4552, IF(C4552="Sell",(J4552-L4552)*(100*G4552)+I4552))))))</f>
        <v/>
      </c>
      <c r="O4552" s="75" t="n"/>
      <c r="P4552" s="75" t="n"/>
      <c r="Q4552" s="75">
        <f>IF(ISBLANK(P4552),"",IF(D4552="Stock",P4552*G4552,IF(P4552=0,"0",G4552*P4552*100-(G4552*$AF$14))))</f>
        <v/>
      </c>
      <c r="R4552" s="79">
        <f>IF(P4552&lt;&gt;"", TODAY(), "")</f>
        <v/>
      </c>
      <c r="S4552" s="78">
        <f>IF(AND(K4552&lt;&gt;"", R4552&lt;&gt;""), R4552-K4552, "")</f>
        <v/>
      </c>
      <c r="T4552" s="78" t="n"/>
      <c r="U4552" s="92">
        <f>IF(ISBLANK(P4552),"",IF(C4552="Buy",Q4552-M4552+T4552, IF(C4552="Sell",M4552-Q4552-T4552, X)))</f>
        <v/>
      </c>
      <c r="V4552" s="81">
        <f>IF(ISBLANK(P4552),"",U4552/N4552)</f>
        <v/>
      </c>
      <c r="W4552" s="81">
        <f>IF(ISBLANK(P4552),"",IF(S4552=0,(365/0.5)*V4552,(365/S4552)*V4552))</f>
        <v/>
      </c>
      <c r="X4552" s="75" t="n"/>
      <c r="Y4552" s="77" t="n"/>
      <c r="Z4552" s="77" t="n"/>
      <c r="AA4552" s="75" t="n"/>
      <c r="AB4552" s="75" t="n"/>
      <c r="AC4552" s="6" t="n"/>
      <c r="AD4552" s="75" t="n"/>
      <c r="AE4552" s="75" t="n"/>
      <c r="AF4552" s="75" t="n"/>
    </row>
    <row r="4553" ht="15.75" customHeight="1" s="133">
      <c r="A4553" s="75" t="n"/>
      <c r="B4553" s="75" t="n"/>
      <c r="C4553" s="75" t="n"/>
      <c r="D4553" s="75" t="n"/>
      <c r="E4553" s="76" t="n"/>
      <c r="F4553" s="77" t="n"/>
      <c r="G4553" s="75" t="n"/>
      <c r="H4553" s="75">
        <f>IF(ISBLANK(E4553),"",IF(OR(D4553="Butterfly",D4553="Butterfly ",D4553="Iron Fly", D4553="Iron Fly "),LEN(E4553)-LEN(SUBSTITUTE(E4553,"/",""))+2,LEN(E4553)-LEN(SUBSTITUTE(E4553,"/",""))+1))</f>
        <v/>
      </c>
      <c r="I4553" s="78">
        <f>IF(ISBLANK(G4553),"",IF(D4553="Stock","0",Key!$A$3*H4553*G4553))</f>
        <v/>
      </c>
      <c r="J4553" s="78">
        <f>IF(ISBLANK(E4553),"",IF(ISNUMBER(SEARCH("/",E4553)), IF(LEN(E4553)-LEN(SUBSTITUTE(E4553,"/",""))=1,(RIGHT(E4553,LEN(E4553)-FIND("/",E4553)))-(LEFT(E4553,FIND("/",E4553)-1)),(MID(E4553, SEARCH("/",E4553) + 1, SEARCH("/",E4553, SEARCH("/",E4553)+1) - SEARCH("/",E4553) - 1))-(LEFT(E4553,FIND("/",E4553)-1))), "NA"))</f>
        <v/>
      </c>
      <c r="K4553" s="79">
        <f>IF(A4553&lt;&gt;"", IF(ISBLANK(L4553), TODAY(), K4553), "")</f>
        <v/>
      </c>
      <c r="L4553" s="78" t="n"/>
      <c r="M4553" s="78">
        <f>IF(ISBLANK(L4553),"",IF(D4553="Stock",IF(C4553="Buy",L4553*G4553,IF(C4553="Sell",(L4553*G4553)-I4553, X)),IF(C4553="Buy",(L4553*G4553*100)+I4553,IF(C4553="Sell",(L4553*G4553*100)-I4553, X))))</f>
        <v/>
      </c>
      <c r="N4553" s="78">
        <f>IF(ISBLANK(L4553),"",IF(AND(C4553="Sell",D4553="Stock"),M4553,IF(ISBLANK(L4553),"",IF(C4553="Buy",M4553, IF(AND(C4553="Sell",J4553="NA"),(E4553*G4553*100*0.1)+I4553, IF(C4553="Sell",(J4553-L4553)*(100*G4553)+I4553))))))</f>
        <v/>
      </c>
      <c r="O4553" s="75" t="n"/>
      <c r="P4553" s="75" t="n"/>
      <c r="Q4553" s="75">
        <f>IF(ISBLANK(P4553),"",IF(D4553="Stock",P4553*G4553,IF(P4553=0,"0",G4553*P4553*100-(G4553*$AF$14))))</f>
        <v/>
      </c>
      <c r="R4553" s="79">
        <f>IF(P4553&lt;&gt;"", TODAY(), "")</f>
        <v/>
      </c>
      <c r="S4553" s="78">
        <f>IF(AND(K4553&lt;&gt;"", R4553&lt;&gt;""), R4553-K4553, "")</f>
        <v/>
      </c>
      <c r="T4553" s="78" t="n"/>
      <c r="U4553" s="92">
        <f>IF(ISBLANK(P4553),"",IF(C4553="Buy",Q4553-M4553+T4553, IF(C4553="Sell",M4553-Q4553-T4553, X)))</f>
        <v/>
      </c>
      <c r="V4553" s="81">
        <f>IF(ISBLANK(P4553),"",U4553/N4553)</f>
        <v/>
      </c>
      <c r="W4553" s="81">
        <f>IF(ISBLANK(P4553),"",IF(S4553=0,(365/0.5)*V4553,(365/S4553)*V4553))</f>
        <v/>
      </c>
      <c r="X4553" s="75" t="n"/>
      <c r="Y4553" s="77" t="n"/>
      <c r="Z4553" s="77" t="n"/>
      <c r="AA4553" s="75" t="n"/>
      <c r="AB4553" s="75" t="n"/>
      <c r="AC4553" s="6" t="n"/>
      <c r="AD4553" s="75" t="n"/>
      <c r="AE4553" s="75" t="n"/>
      <c r="AF4553" s="75" t="n"/>
    </row>
    <row r="4554" ht="15.75" customHeight="1" s="133">
      <c r="A4554" s="75" t="n"/>
      <c r="B4554" s="75" t="n"/>
      <c r="C4554" s="75" t="n"/>
      <c r="D4554" s="75" t="n"/>
      <c r="E4554" s="76" t="n"/>
      <c r="F4554" s="77" t="n"/>
      <c r="G4554" s="75" t="n"/>
      <c r="H4554" s="75">
        <f>IF(ISBLANK(E4554),"",IF(OR(D4554="Butterfly",D4554="Butterfly ",D4554="Iron Fly", D4554="Iron Fly "),LEN(E4554)-LEN(SUBSTITUTE(E4554,"/",""))+2,LEN(E4554)-LEN(SUBSTITUTE(E4554,"/",""))+1))</f>
        <v/>
      </c>
      <c r="I4554" s="78">
        <f>IF(ISBLANK(G4554),"",IF(D4554="Stock","0",Key!$A$3*H4554*G4554))</f>
        <v/>
      </c>
      <c r="J4554" s="78">
        <f>IF(ISBLANK(E4554),"",IF(ISNUMBER(SEARCH("/",E4554)), IF(LEN(E4554)-LEN(SUBSTITUTE(E4554,"/",""))=1,(RIGHT(E4554,LEN(E4554)-FIND("/",E4554)))-(LEFT(E4554,FIND("/",E4554)-1)),(MID(E4554, SEARCH("/",E4554) + 1, SEARCH("/",E4554, SEARCH("/",E4554)+1) - SEARCH("/",E4554) - 1))-(LEFT(E4554,FIND("/",E4554)-1))), "NA"))</f>
        <v/>
      </c>
      <c r="K4554" s="79">
        <f>IF(A4554&lt;&gt;"", IF(ISBLANK(L4554), TODAY(), K4554), "")</f>
        <v/>
      </c>
      <c r="L4554" s="78" t="n"/>
      <c r="M4554" s="78">
        <f>IF(ISBLANK(L4554),"",IF(D4554="Stock",IF(C4554="Buy",L4554*G4554,IF(C4554="Sell",(L4554*G4554)-I4554, X)),IF(C4554="Buy",(L4554*G4554*100)+I4554,IF(C4554="Sell",(L4554*G4554*100)-I4554, X))))</f>
        <v/>
      </c>
      <c r="N4554" s="78">
        <f>IF(ISBLANK(L4554),"",IF(AND(C4554="Sell",D4554="Stock"),M4554,IF(ISBLANK(L4554),"",IF(C4554="Buy",M4554, IF(AND(C4554="Sell",J4554="NA"),(E4554*G4554*100*0.1)+I4554, IF(C4554="Sell",(J4554-L4554)*(100*G4554)+I4554))))))</f>
        <v/>
      </c>
      <c r="O4554" s="75" t="n"/>
      <c r="P4554" s="75" t="n"/>
      <c r="Q4554" s="75">
        <f>IF(ISBLANK(P4554),"",IF(D4554="Stock",P4554*G4554,IF(P4554=0,"0",G4554*P4554*100-(G4554*$AF$14))))</f>
        <v/>
      </c>
      <c r="R4554" s="79">
        <f>IF(P4554&lt;&gt;"", TODAY(), "")</f>
        <v/>
      </c>
      <c r="S4554" s="78">
        <f>IF(AND(K4554&lt;&gt;"", R4554&lt;&gt;""), R4554-K4554, "")</f>
        <v/>
      </c>
      <c r="T4554" s="78" t="n"/>
      <c r="U4554" s="92">
        <f>IF(ISBLANK(P4554),"",IF(C4554="Buy",Q4554-M4554+T4554, IF(C4554="Sell",M4554-Q4554-T4554, X)))</f>
        <v/>
      </c>
      <c r="V4554" s="81">
        <f>IF(ISBLANK(P4554),"",U4554/N4554)</f>
        <v/>
      </c>
      <c r="W4554" s="81">
        <f>IF(ISBLANK(P4554),"",IF(S4554=0,(365/0.5)*V4554,(365/S4554)*V4554))</f>
        <v/>
      </c>
      <c r="X4554" s="75" t="n"/>
      <c r="Y4554" s="77" t="n"/>
      <c r="Z4554" s="77" t="n"/>
      <c r="AA4554" s="75" t="n"/>
      <c r="AB4554" s="75" t="n"/>
      <c r="AC4554" s="6" t="n"/>
      <c r="AD4554" s="75" t="n"/>
      <c r="AE4554" s="75" t="n"/>
      <c r="AF4554" s="75" t="n"/>
    </row>
    <row r="4555" ht="15.75" customHeight="1" s="133">
      <c r="A4555" s="75" t="n"/>
      <c r="B4555" s="75" t="n"/>
      <c r="C4555" s="75" t="n"/>
      <c r="D4555" s="75" t="n"/>
      <c r="E4555" s="76" t="n"/>
      <c r="F4555" s="77" t="n"/>
      <c r="G4555" s="75" t="n"/>
      <c r="H4555" s="75">
        <f>IF(ISBLANK(E4555),"",IF(OR(D4555="Butterfly",D4555="Butterfly ",D4555="Iron Fly", D4555="Iron Fly "),LEN(E4555)-LEN(SUBSTITUTE(E4555,"/",""))+2,LEN(E4555)-LEN(SUBSTITUTE(E4555,"/",""))+1))</f>
        <v/>
      </c>
      <c r="I4555" s="78">
        <f>IF(ISBLANK(G4555),"",IF(D4555="Stock","0",Key!$A$3*H4555*G4555))</f>
        <v/>
      </c>
      <c r="J4555" s="78">
        <f>IF(ISBLANK(E4555),"",IF(ISNUMBER(SEARCH("/",E4555)), IF(LEN(E4555)-LEN(SUBSTITUTE(E4555,"/",""))=1,(RIGHT(E4555,LEN(E4555)-FIND("/",E4555)))-(LEFT(E4555,FIND("/",E4555)-1)),(MID(E4555, SEARCH("/",E4555) + 1, SEARCH("/",E4555, SEARCH("/",E4555)+1) - SEARCH("/",E4555) - 1))-(LEFT(E4555,FIND("/",E4555)-1))), "NA"))</f>
        <v/>
      </c>
      <c r="K4555" s="79">
        <f>IF(A4555&lt;&gt;"", IF(ISBLANK(L4555), TODAY(), K4555), "")</f>
        <v/>
      </c>
      <c r="L4555" s="78" t="n"/>
      <c r="M4555" s="78">
        <f>IF(ISBLANK(L4555),"",IF(D4555="Stock",IF(C4555="Buy",L4555*G4555,IF(C4555="Sell",(L4555*G4555)-I4555, X)),IF(C4555="Buy",(L4555*G4555*100)+I4555,IF(C4555="Sell",(L4555*G4555*100)-I4555, X))))</f>
        <v/>
      </c>
      <c r="N4555" s="78">
        <f>IF(ISBLANK(L4555),"",IF(AND(C4555="Sell",D4555="Stock"),M4555,IF(ISBLANK(L4555),"",IF(C4555="Buy",M4555, IF(AND(C4555="Sell",J4555="NA"),(E4555*G4555*100*0.1)+I4555, IF(C4555="Sell",(J4555-L4555)*(100*G4555)+I4555))))))</f>
        <v/>
      </c>
      <c r="O4555" s="75" t="n"/>
      <c r="P4555" s="75" t="n"/>
      <c r="Q4555" s="75">
        <f>IF(ISBLANK(P4555),"",IF(D4555="Stock",P4555*G4555,IF(P4555=0,"0",G4555*P4555*100-(G4555*$AF$14))))</f>
        <v/>
      </c>
      <c r="R4555" s="79">
        <f>IF(P4555&lt;&gt;"", TODAY(), "")</f>
        <v/>
      </c>
      <c r="S4555" s="78">
        <f>IF(AND(K4555&lt;&gt;"", R4555&lt;&gt;""), R4555-K4555, "")</f>
        <v/>
      </c>
      <c r="T4555" s="78" t="n"/>
      <c r="U4555" s="92">
        <f>IF(ISBLANK(P4555),"",IF(C4555="Buy",Q4555-M4555+T4555, IF(C4555="Sell",M4555-Q4555-T4555, X)))</f>
        <v/>
      </c>
      <c r="V4555" s="81">
        <f>IF(ISBLANK(P4555),"",U4555/N4555)</f>
        <v/>
      </c>
      <c r="W4555" s="81">
        <f>IF(ISBLANK(P4555),"",IF(S4555=0,(365/0.5)*V4555,(365/S4555)*V4555))</f>
        <v/>
      </c>
      <c r="X4555" s="75" t="n"/>
      <c r="Y4555" s="77" t="n"/>
      <c r="Z4555" s="77" t="n"/>
      <c r="AA4555" s="75" t="n"/>
      <c r="AB4555" s="75" t="n"/>
      <c r="AC4555" s="6" t="n"/>
      <c r="AD4555" s="75" t="n"/>
      <c r="AE4555" s="75" t="n"/>
      <c r="AF4555" s="75" t="n"/>
    </row>
    <row r="4556" ht="15.75" customHeight="1" s="133">
      <c r="A4556" s="75" t="n"/>
      <c r="B4556" s="75" t="n"/>
      <c r="C4556" s="75" t="n"/>
      <c r="D4556" s="75" t="n"/>
      <c r="E4556" s="76" t="n"/>
      <c r="F4556" s="77" t="n"/>
      <c r="G4556" s="75" t="n"/>
      <c r="H4556" s="75">
        <f>IF(ISBLANK(E4556),"",IF(OR(D4556="Butterfly",D4556="Butterfly ",D4556="Iron Fly", D4556="Iron Fly "),LEN(E4556)-LEN(SUBSTITUTE(E4556,"/",""))+2,LEN(E4556)-LEN(SUBSTITUTE(E4556,"/",""))+1))</f>
        <v/>
      </c>
      <c r="I4556" s="78">
        <f>IF(ISBLANK(G4556),"",IF(D4556="Stock","0",Key!$A$3*H4556*G4556))</f>
        <v/>
      </c>
      <c r="J4556" s="78">
        <f>IF(ISBLANK(E4556),"",IF(ISNUMBER(SEARCH("/",E4556)), IF(LEN(E4556)-LEN(SUBSTITUTE(E4556,"/",""))=1,(RIGHT(E4556,LEN(E4556)-FIND("/",E4556)))-(LEFT(E4556,FIND("/",E4556)-1)),(MID(E4556, SEARCH("/",E4556) + 1, SEARCH("/",E4556, SEARCH("/",E4556)+1) - SEARCH("/",E4556) - 1))-(LEFT(E4556,FIND("/",E4556)-1))), "NA"))</f>
        <v/>
      </c>
      <c r="K4556" s="79">
        <f>IF(A4556&lt;&gt;"", IF(ISBLANK(L4556), TODAY(), K4556), "")</f>
        <v/>
      </c>
      <c r="L4556" s="78" t="n"/>
      <c r="M4556" s="78">
        <f>IF(ISBLANK(L4556),"",IF(D4556="Stock",IF(C4556="Buy",L4556*G4556,IF(C4556="Sell",(L4556*G4556)-I4556, X)),IF(C4556="Buy",(L4556*G4556*100)+I4556,IF(C4556="Sell",(L4556*G4556*100)-I4556, X))))</f>
        <v/>
      </c>
      <c r="N4556" s="78">
        <f>IF(ISBLANK(L4556),"",IF(AND(C4556="Sell",D4556="Stock"),M4556,IF(ISBLANK(L4556),"",IF(C4556="Buy",M4556, IF(AND(C4556="Sell",J4556="NA"),(E4556*G4556*100*0.1)+I4556, IF(C4556="Sell",(J4556-L4556)*(100*G4556)+I4556))))))</f>
        <v/>
      </c>
      <c r="O4556" s="75" t="n"/>
      <c r="P4556" s="75" t="n"/>
      <c r="Q4556" s="75">
        <f>IF(ISBLANK(P4556),"",IF(D4556="Stock",P4556*G4556,IF(P4556=0,"0",G4556*P4556*100-(G4556*$AF$14))))</f>
        <v/>
      </c>
      <c r="R4556" s="79">
        <f>IF(P4556&lt;&gt;"", TODAY(), "")</f>
        <v/>
      </c>
      <c r="S4556" s="78">
        <f>IF(AND(K4556&lt;&gt;"", R4556&lt;&gt;""), R4556-K4556, "")</f>
        <v/>
      </c>
      <c r="T4556" s="78" t="n"/>
      <c r="U4556" s="92">
        <f>IF(ISBLANK(P4556),"",IF(C4556="Buy",Q4556-M4556+T4556, IF(C4556="Sell",M4556-Q4556-T4556, X)))</f>
        <v/>
      </c>
      <c r="V4556" s="81">
        <f>IF(ISBLANK(P4556),"",U4556/N4556)</f>
        <v/>
      </c>
      <c r="W4556" s="81">
        <f>IF(ISBLANK(P4556),"",IF(S4556=0,(365/0.5)*V4556,(365/S4556)*V4556))</f>
        <v/>
      </c>
      <c r="X4556" s="75" t="n"/>
      <c r="Y4556" s="77" t="n"/>
      <c r="Z4556" s="77" t="n"/>
      <c r="AA4556" s="75" t="n"/>
      <c r="AB4556" s="75" t="n"/>
      <c r="AC4556" s="6" t="n"/>
      <c r="AD4556" s="75" t="n"/>
      <c r="AE4556" s="75" t="n"/>
      <c r="AF4556" s="75" t="n"/>
    </row>
    <row r="4557" ht="15.75" customHeight="1" s="133">
      <c r="A4557" s="75" t="n"/>
      <c r="B4557" s="75" t="n"/>
      <c r="C4557" s="75" t="n"/>
      <c r="D4557" s="75" t="n"/>
      <c r="E4557" s="76" t="n"/>
      <c r="F4557" s="77" t="n"/>
      <c r="G4557" s="75" t="n"/>
      <c r="H4557" s="75">
        <f>IF(ISBLANK(E4557),"",IF(OR(D4557="Butterfly",D4557="Butterfly ",D4557="Iron Fly", D4557="Iron Fly "),LEN(E4557)-LEN(SUBSTITUTE(E4557,"/",""))+2,LEN(E4557)-LEN(SUBSTITUTE(E4557,"/",""))+1))</f>
        <v/>
      </c>
      <c r="I4557" s="78">
        <f>IF(ISBLANK(G4557),"",IF(D4557="Stock","0",Key!$A$3*H4557*G4557))</f>
        <v/>
      </c>
      <c r="J4557" s="78">
        <f>IF(ISBLANK(E4557),"",IF(ISNUMBER(SEARCH("/",E4557)), IF(LEN(E4557)-LEN(SUBSTITUTE(E4557,"/",""))=1,(RIGHT(E4557,LEN(E4557)-FIND("/",E4557)))-(LEFT(E4557,FIND("/",E4557)-1)),(MID(E4557, SEARCH("/",E4557) + 1, SEARCH("/",E4557, SEARCH("/",E4557)+1) - SEARCH("/",E4557) - 1))-(LEFT(E4557,FIND("/",E4557)-1))), "NA"))</f>
        <v/>
      </c>
      <c r="K4557" s="79">
        <f>IF(A4557&lt;&gt;"", IF(ISBLANK(L4557), TODAY(), K4557), "")</f>
        <v/>
      </c>
      <c r="L4557" s="78" t="n"/>
      <c r="M4557" s="78">
        <f>IF(ISBLANK(L4557),"",IF(D4557="Stock",IF(C4557="Buy",L4557*G4557,IF(C4557="Sell",(L4557*G4557)-I4557, X)),IF(C4557="Buy",(L4557*G4557*100)+I4557,IF(C4557="Sell",(L4557*G4557*100)-I4557, X))))</f>
        <v/>
      </c>
      <c r="N4557" s="78">
        <f>IF(ISBLANK(L4557),"",IF(AND(C4557="Sell",D4557="Stock"),M4557,IF(ISBLANK(L4557),"",IF(C4557="Buy",M4557, IF(AND(C4557="Sell",J4557="NA"),(E4557*G4557*100*0.1)+I4557, IF(C4557="Sell",(J4557-L4557)*(100*G4557)+I4557))))))</f>
        <v/>
      </c>
      <c r="O4557" s="75" t="n"/>
      <c r="P4557" s="75" t="n"/>
      <c r="Q4557" s="75">
        <f>IF(ISBLANK(P4557),"",IF(D4557="Stock",P4557*G4557,IF(P4557=0,"0",G4557*P4557*100-(G4557*$AF$14))))</f>
        <v/>
      </c>
      <c r="R4557" s="79">
        <f>IF(P4557&lt;&gt;"", TODAY(), "")</f>
        <v/>
      </c>
      <c r="S4557" s="78">
        <f>IF(AND(K4557&lt;&gt;"", R4557&lt;&gt;""), R4557-K4557, "")</f>
        <v/>
      </c>
      <c r="T4557" s="78" t="n"/>
      <c r="U4557" s="92">
        <f>IF(ISBLANK(P4557),"",IF(C4557="Buy",Q4557-M4557+T4557, IF(C4557="Sell",M4557-Q4557-T4557, X)))</f>
        <v/>
      </c>
      <c r="V4557" s="81">
        <f>IF(ISBLANK(P4557),"",U4557/N4557)</f>
        <v/>
      </c>
      <c r="W4557" s="81">
        <f>IF(ISBLANK(P4557),"",IF(S4557=0,(365/0.5)*V4557,(365/S4557)*V4557))</f>
        <v/>
      </c>
      <c r="X4557" s="75" t="n"/>
      <c r="Y4557" s="77" t="n"/>
      <c r="Z4557" s="77" t="n"/>
      <c r="AA4557" s="75" t="n"/>
      <c r="AB4557" s="75" t="n"/>
      <c r="AC4557" s="6" t="n"/>
      <c r="AD4557" s="75" t="n"/>
      <c r="AE4557" s="75" t="n"/>
      <c r="AF4557" s="75" t="n"/>
    </row>
    <row r="4558" ht="15.75" customHeight="1" s="133">
      <c r="A4558" s="75" t="n"/>
      <c r="B4558" s="75" t="n"/>
      <c r="C4558" s="75" t="n"/>
      <c r="D4558" s="75" t="n"/>
      <c r="E4558" s="76" t="n"/>
      <c r="F4558" s="77" t="n"/>
      <c r="G4558" s="75" t="n"/>
      <c r="H4558" s="75">
        <f>IF(ISBLANK(E4558),"",IF(OR(D4558="Butterfly",D4558="Butterfly ",D4558="Iron Fly", D4558="Iron Fly "),LEN(E4558)-LEN(SUBSTITUTE(E4558,"/",""))+2,LEN(E4558)-LEN(SUBSTITUTE(E4558,"/",""))+1))</f>
        <v/>
      </c>
      <c r="I4558" s="78">
        <f>IF(ISBLANK(G4558),"",IF(D4558="Stock","0",Key!$A$3*H4558*G4558))</f>
        <v/>
      </c>
      <c r="J4558" s="78">
        <f>IF(ISBLANK(E4558),"",IF(ISNUMBER(SEARCH("/",E4558)), IF(LEN(E4558)-LEN(SUBSTITUTE(E4558,"/",""))=1,(RIGHT(E4558,LEN(E4558)-FIND("/",E4558)))-(LEFT(E4558,FIND("/",E4558)-1)),(MID(E4558, SEARCH("/",E4558) + 1, SEARCH("/",E4558, SEARCH("/",E4558)+1) - SEARCH("/",E4558) - 1))-(LEFT(E4558,FIND("/",E4558)-1))), "NA"))</f>
        <v/>
      </c>
      <c r="K4558" s="79">
        <f>IF(A4558&lt;&gt;"", IF(ISBLANK(L4558), TODAY(), K4558), "")</f>
        <v/>
      </c>
      <c r="L4558" s="78" t="n"/>
      <c r="M4558" s="78">
        <f>IF(ISBLANK(L4558),"",IF(D4558="Stock",IF(C4558="Buy",L4558*G4558,IF(C4558="Sell",(L4558*G4558)-I4558, X)),IF(C4558="Buy",(L4558*G4558*100)+I4558,IF(C4558="Sell",(L4558*G4558*100)-I4558, X))))</f>
        <v/>
      </c>
      <c r="N4558" s="78">
        <f>IF(ISBLANK(L4558),"",IF(AND(C4558="Sell",D4558="Stock"),M4558,IF(ISBLANK(L4558),"",IF(C4558="Buy",M4558, IF(AND(C4558="Sell",J4558="NA"),(E4558*G4558*100*0.1)+I4558, IF(C4558="Sell",(J4558-L4558)*(100*G4558)+I4558))))))</f>
        <v/>
      </c>
      <c r="O4558" s="75" t="n"/>
      <c r="P4558" s="75" t="n"/>
      <c r="Q4558" s="75">
        <f>IF(ISBLANK(P4558),"",IF(D4558="Stock",P4558*G4558,IF(P4558=0,"0",G4558*P4558*100-(G4558*$AF$14))))</f>
        <v/>
      </c>
      <c r="R4558" s="79">
        <f>IF(P4558&lt;&gt;"", TODAY(), "")</f>
        <v/>
      </c>
      <c r="S4558" s="78">
        <f>IF(AND(K4558&lt;&gt;"", R4558&lt;&gt;""), R4558-K4558, "")</f>
        <v/>
      </c>
      <c r="T4558" s="78" t="n"/>
      <c r="U4558" s="92">
        <f>IF(ISBLANK(P4558),"",IF(C4558="Buy",Q4558-M4558+T4558, IF(C4558="Sell",M4558-Q4558-T4558, X)))</f>
        <v/>
      </c>
      <c r="V4558" s="81">
        <f>IF(ISBLANK(P4558),"",U4558/N4558)</f>
        <v/>
      </c>
      <c r="W4558" s="81">
        <f>IF(ISBLANK(P4558),"",IF(S4558=0,(365/0.5)*V4558,(365/S4558)*V4558))</f>
        <v/>
      </c>
      <c r="X4558" s="75" t="n"/>
      <c r="Y4558" s="77" t="n"/>
      <c r="Z4558" s="77" t="n"/>
      <c r="AA4558" s="75" t="n"/>
      <c r="AB4558" s="75" t="n"/>
      <c r="AC4558" s="6" t="n"/>
      <c r="AD4558" s="75" t="n"/>
      <c r="AE4558" s="75" t="n"/>
      <c r="AF4558" s="75" t="n"/>
    </row>
    <row r="4559" ht="15.75" customHeight="1" s="133">
      <c r="A4559" s="75" t="n"/>
      <c r="B4559" s="75" t="n"/>
      <c r="C4559" s="75" t="n"/>
      <c r="D4559" s="75" t="n"/>
      <c r="E4559" s="76" t="n"/>
      <c r="F4559" s="77" t="n"/>
      <c r="G4559" s="75" t="n"/>
      <c r="H4559" s="75">
        <f>IF(ISBLANK(E4559),"",IF(OR(D4559="Butterfly",D4559="Butterfly ",D4559="Iron Fly", D4559="Iron Fly "),LEN(E4559)-LEN(SUBSTITUTE(E4559,"/",""))+2,LEN(E4559)-LEN(SUBSTITUTE(E4559,"/",""))+1))</f>
        <v/>
      </c>
      <c r="I4559" s="78">
        <f>IF(ISBLANK(G4559),"",IF(D4559="Stock","0",Key!$A$3*H4559*G4559))</f>
        <v/>
      </c>
      <c r="J4559" s="78">
        <f>IF(ISBLANK(E4559),"",IF(ISNUMBER(SEARCH("/",E4559)), IF(LEN(E4559)-LEN(SUBSTITUTE(E4559,"/",""))=1,(RIGHT(E4559,LEN(E4559)-FIND("/",E4559)))-(LEFT(E4559,FIND("/",E4559)-1)),(MID(E4559, SEARCH("/",E4559) + 1, SEARCH("/",E4559, SEARCH("/",E4559)+1) - SEARCH("/",E4559) - 1))-(LEFT(E4559,FIND("/",E4559)-1))), "NA"))</f>
        <v/>
      </c>
      <c r="K4559" s="79">
        <f>IF(A4559&lt;&gt;"", IF(ISBLANK(L4559), TODAY(), K4559), "")</f>
        <v/>
      </c>
      <c r="L4559" s="78" t="n"/>
      <c r="M4559" s="78">
        <f>IF(ISBLANK(L4559),"",IF(D4559="Stock",IF(C4559="Buy",L4559*G4559,IF(C4559="Sell",(L4559*G4559)-I4559, X)),IF(C4559="Buy",(L4559*G4559*100)+I4559,IF(C4559="Sell",(L4559*G4559*100)-I4559, X))))</f>
        <v/>
      </c>
      <c r="N4559" s="78">
        <f>IF(ISBLANK(L4559),"",IF(AND(C4559="Sell",D4559="Stock"),M4559,IF(ISBLANK(L4559),"",IF(C4559="Buy",M4559, IF(AND(C4559="Sell",J4559="NA"),(E4559*G4559*100*0.1)+I4559, IF(C4559="Sell",(J4559-L4559)*(100*G4559)+I4559))))))</f>
        <v/>
      </c>
      <c r="O4559" s="75" t="n"/>
      <c r="P4559" s="75" t="n"/>
      <c r="Q4559" s="75">
        <f>IF(ISBLANK(P4559),"",IF(D4559="Stock",P4559*G4559,IF(P4559=0,"0",G4559*P4559*100-(G4559*$AF$14))))</f>
        <v/>
      </c>
      <c r="R4559" s="79">
        <f>IF(P4559&lt;&gt;"", TODAY(), "")</f>
        <v/>
      </c>
      <c r="S4559" s="78">
        <f>IF(AND(K4559&lt;&gt;"", R4559&lt;&gt;""), R4559-K4559, "")</f>
        <v/>
      </c>
      <c r="T4559" s="78" t="n"/>
      <c r="U4559" s="92">
        <f>IF(ISBLANK(P4559),"",IF(C4559="Buy",Q4559-M4559+T4559, IF(C4559="Sell",M4559-Q4559-T4559, X)))</f>
        <v/>
      </c>
      <c r="V4559" s="81">
        <f>IF(ISBLANK(P4559),"",U4559/N4559)</f>
        <v/>
      </c>
      <c r="W4559" s="81">
        <f>IF(ISBLANK(P4559),"",IF(S4559=0,(365/0.5)*V4559,(365/S4559)*V4559))</f>
        <v/>
      </c>
      <c r="X4559" s="75" t="n"/>
      <c r="Y4559" s="77" t="n"/>
      <c r="Z4559" s="77" t="n"/>
      <c r="AA4559" s="75" t="n"/>
      <c r="AB4559" s="75" t="n"/>
      <c r="AC4559" s="6" t="n"/>
      <c r="AD4559" s="75" t="n"/>
      <c r="AE4559" s="75" t="n"/>
      <c r="AF4559" s="75" t="n"/>
    </row>
    <row r="4560" ht="15.75" customHeight="1" s="133">
      <c r="A4560" s="75" t="n"/>
      <c r="B4560" s="75" t="n"/>
      <c r="C4560" s="75" t="n"/>
      <c r="D4560" s="75" t="n"/>
      <c r="E4560" s="76" t="n"/>
      <c r="F4560" s="77" t="n"/>
      <c r="G4560" s="75" t="n"/>
      <c r="H4560" s="75">
        <f>IF(ISBLANK(E4560),"",IF(OR(D4560="Butterfly",D4560="Butterfly ",D4560="Iron Fly", D4560="Iron Fly "),LEN(E4560)-LEN(SUBSTITUTE(E4560,"/",""))+2,LEN(E4560)-LEN(SUBSTITUTE(E4560,"/",""))+1))</f>
        <v/>
      </c>
      <c r="I4560" s="78">
        <f>IF(ISBLANK(G4560),"",IF(D4560="Stock","0",Key!$A$3*H4560*G4560))</f>
        <v/>
      </c>
      <c r="J4560" s="78">
        <f>IF(ISBLANK(E4560),"",IF(ISNUMBER(SEARCH("/",E4560)), IF(LEN(E4560)-LEN(SUBSTITUTE(E4560,"/",""))=1,(RIGHT(E4560,LEN(E4560)-FIND("/",E4560)))-(LEFT(E4560,FIND("/",E4560)-1)),(MID(E4560, SEARCH("/",E4560) + 1, SEARCH("/",E4560, SEARCH("/",E4560)+1) - SEARCH("/",E4560) - 1))-(LEFT(E4560,FIND("/",E4560)-1))), "NA"))</f>
        <v/>
      </c>
      <c r="K4560" s="79">
        <f>IF(A4560&lt;&gt;"", IF(ISBLANK(L4560), TODAY(), K4560), "")</f>
        <v/>
      </c>
      <c r="L4560" s="78" t="n"/>
      <c r="M4560" s="78">
        <f>IF(ISBLANK(L4560),"",IF(D4560="Stock",IF(C4560="Buy",L4560*G4560,IF(C4560="Sell",(L4560*G4560)-I4560, X)),IF(C4560="Buy",(L4560*G4560*100)+I4560,IF(C4560="Sell",(L4560*G4560*100)-I4560, X))))</f>
        <v/>
      </c>
      <c r="N4560" s="78">
        <f>IF(ISBLANK(L4560),"",IF(AND(C4560="Sell",D4560="Stock"),M4560,IF(ISBLANK(L4560),"",IF(C4560="Buy",M4560, IF(AND(C4560="Sell",J4560="NA"),(E4560*G4560*100*0.1)+I4560, IF(C4560="Sell",(J4560-L4560)*(100*G4560)+I4560))))))</f>
        <v/>
      </c>
      <c r="O4560" s="75" t="n"/>
      <c r="P4560" s="75" t="n"/>
      <c r="Q4560" s="75">
        <f>IF(ISBLANK(P4560),"",IF(D4560="Stock",P4560*G4560,IF(P4560=0,"0",G4560*P4560*100-(G4560*$AF$14))))</f>
        <v/>
      </c>
      <c r="R4560" s="79">
        <f>IF(P4560&lt;&gt;"", TODAY(), "")</f>
        <v/>
      </c>
      <c r="S4560" s="78">
        <f>IF(AND(K4560&lt;&gt;"", R4560&lt;&gt;""), R4560-K4560, "")</f>
        <v/>
      </c>
      <c r="T4560" s="78" t="n"/>
      <c r="U4560" s="92">
        <f>IF(ISBLANK(P4560),"",IF(C4560="Buy",Q4560-M4560+T4560, IF(C4560="Sell",M4560-Q4560-T4560, X)))</f>
        <v/>
      </c>
      <c r="V4560" s="81">
        <f>IF(ISBLANK(P4560),"",U4560/N4560)</f>
        <v/>
      </c>
      <c r="W4560" s="81">
        <f>IF(ISBLANK(P4560),"",IF(S4560=0,(365/0.5)*V4560,(365/S4560)*V4560))</f>
        <v/>
      </c>
      <c r="X4560" s="75" t="n"/>
      <c r="Y4560" s="77" t="n"/>
      <c r="Z4560" s="77" t="n"/>
      <c r="AA4560" s="75" t="n"/>
      <c r="AB4560" s="75" t="n"/>
      <c r="AC4560" s="6" t="n"/>
      <c r="AD4560" s="75" t="n"/>
      <c r="AE4560" s="75" t="n"/>
      <c r="AF4560" s="75" t="n"/>
    </row>
    <row r="4561" ht="15.75" customHeight="1" s="133">
      <c r="A4561" s="75" t="n"/>
      <c r="B4561" s="75" t="n"/>
      <c r="C4561" s="75" t="n"/>
      <c r="D4561" s="75" t="n"/>
      <c r="E4561" s="76" t="n"/>
      <c r="F4561" s="77" t="n"/>
      <c r="G4561" s="75" t="n"/>
      <c r="H4561" s="75">
        <f>IF(ISBLANK(E4561),"",IF(OR(D4561="Butterfly",D4561="Butterfly ",D4561="Iron Fly", D4561="Iron Fly "),LEN(E4561)-LEN(SUBSTITUTE(E4561,"/",""))+2,LEN(E4561)-LEN(SUBSTITUTE(E4561,"/",""))+1))</f>
        <v/>
      </c>
      <c r="I4561" s="78">
        <f>IF(ISBLANK(G4561),"",IF(D4561="Stock","0",Key!$A$3*H4561*G4561))</f>
        <v/>
      </c>
      <c r="J4561" s="78">
        <f>IF(ISBLANK(E4561),"",IF(ISNUMBER(SEARCH("/",E4561)), IF(LEN(E4561)-LEN(SUBSTITUTE(E4561,"/",""))=1,(RIGHT(E4561,LEN(E4561)-FIND("/",E4561)))-(LEFT(E4561,FIND("/",E4561)-1)),(MID(E4561, SEARCH("/",E4561) + 1, SEARCH("/",E4561, SEARCH("/",E4561)+1) - SEARCH("/",E4561) - 1))-(LEFT(E4561,FIND("/",E4561)-1))), "NA"))</f>
        <v/>
      </c>
      <c r="K4561" s="79">
        <f>IF(A4561&lt;&gt;"", IF(ISBLANK(L4561), TODAY(), K4561), "")</f>
        <v/>
      </c>
      <c r="L4561" s="78" t="n"/>
      <c r="M4561" s="78">
        <f>IF(ISBLANK(L4561),"",IF(D4561="Stock",IF(C4561="Buy",L4561*G4561,IF(C4561="Sell",(L4561*G4561)-I4561, X)),IF(C4561="Buy",(L4561*G4561*100)+I4561,IF(C4561="Sell",(L4561*G4561*100)-I4561, X))))</f>
        <v/>
      </c>
      <c r="N4561" s="78">
        <f>IF(ISBLANK(L4561),"",IF(AND(C4561="Sell",D4561="Stock"),M4561,IF(ISBLANK(L4561),"",IF(C4561="Buy",M4561, IF(AND(C4561="Sell",J4561="NA"),(E4561*G4561*100*0.1)+I4561, IF(C4561="Sell",(J4561-L4561)*(100*G4561)+I4561))))))</f>
        <v/>
      </c>
      <c r="O4561" s="75" t="n"/>
      <c r="P4561" s="75" t="n"/>
      <c r="Q4561" s="75">
        <f>IF(ISBLANK(P4561),"",IF(D4561="Stock",P4561*G4561,IF(P4561=0,"0",G4561*P4561*100-(G4561*$AF$14))))</f>
        <v/>
      </c>
      <c r="R4561" s="79">
        <f>IF(P4561&lt;&gt;"", TODAY(), "")</f>
        <v/>
      </c>
      <c r="S4561" s="78">
        <f>IF(AND(K4561&lt;&gt;"", R4561&lt;&gt;""), R4561-K4561, "")</f>
        <v/>
      </c>
      <c r="T4561" s="78" t="n"/>
      <c r="U4561" s="92">
        <f>IF(ISBLANK(P4561),"",IF(C4561="Buy",Q4561-M4561+T4561, IF(C4561="Sell",M4561-Q4561-T4561, X)))</f>
        <v/>
      </c>
      <c r="V4561" s="81">
        <f>IF(ISBLANK(P4561),"",U4561/N4561)</f>
        <v/>
      </c>
      <c r="W4561" s="81">
        <f>IF(ISBLANK(P4561),"",IF(S4561=0,(365/0.5)*V4561,(365/S4561)*V4561))</f>
        <v/>
      </c>
      <c r="X4561" s="75" t="n"/>
      <c r="Y4561" s="77" t="n"/>
      <c r="Z4561" s="77" t="n"/>
      <c r="AA4561" s="75" t="n"/>
      <c r="AB4561" s="75" t="n"/>
      <c r="AC4561" s="6" t="n"/>
      <c r="AD4561" s="75" t="n"/>
      <c r="AE4561" s="75" t="n"/>
      <c r="AF4561" s="75" t="n"/>
    </row>
    <row r="4562" ht="15.75" customHeight="1" s="133">
      <c r="A4562" s="75" t="n"/>
      <c r="B4562" s="75" t="n"/>
      <c r="C4562" s="75" t="n"/>
      <c r="D4562" s="75" t="n"/>
      <c r="E4562" s="76" t="n"/>
      <c r="F4562" s="77" t="n"/>
      <c r="G4562" s="75" t="n"/>
      <c r="H4562" s="75">
        <f>IF(ISBLANK(E4562),"",IF(OR(D4562="Butterfly",D4562="Butterfly ",D4562="Iron Fly", D4562="Iron Fly "),LEN(E4562)-LEN(SUBSTITUTE(E4562,"/",""))+2,LEN(E4562)-LEN(SUBSTITUTE(E4562,"/",""))+1))</f>
        <v/>
      </c>
      <c r="I4562" s="78">
        <f>IF(ISBLANK(G4562),"",IF(D4562="Stock","0",Key!$A$3*H4562*G4562))</f>
        <v/>
      </c>
      <c r="J4562" s="78">
        <f>IF(ISBLANK(E4562),"",IF(ISNUMBER(SEARCH("/",E4562)), IF(LEN(E4562)-LEN(SUBSTITUTE(E4562,"/",""))=1,(RIGHT(E4562,LEN(E4562)-FIND("/",E4562)))-(LEFT(E4562,FIND("/",E4562)-1)),(MID(E4562, SEARCH("/",E4562) + 1, SEARCH("/",E4562, SEARCH("/",E4562)+1) - SEARCH("/",E4562) - 1))-(LEFT(E4562,FIND("/",E4562)-1))), "NA"))</f>
        <v/>
      </c>
      <c r="K4562" s="79">
        <f>IF(A4562&lt;&gt;"", IF(ISBLANK(L4562), TODAY(), K4562), "")</f>
        <v/>
      </c>
      <c r="L4562" s="78" t="n"/>
      <c r="M4562" s="78">
        <f>IF(ISBLANK(L4562),"",IF(D4562="Stock",IF(C4562="Buy",L4562*G4562,IF(C4562="Sell",(L4562*G4562)-I4562, X)),IF(C4562="Buy",(L4562*G4562*100)+I4562,IF(C4562="Sell",(L4562*G4562*100)-I4562, X))))</f>
        <v/>
      </c>
      <c r="N4562" s="78">
        <f>IF(ISBLANK(L4562),"",IF(AND(C4562="Sell",D4562="Stock"),M4562,IF(ISBLANK(L4562),"",IF(C4562="Buy",M4562, IF(AND(C4562="Sell",J4562="NA"),(E4562*G4562*100*0.1)+I4562, IF(C4562="Sell",(J4562-L4562)*(100*G4562)+I4562))))))</f>
        <v/>
      </c>
      <c r="O4562" s="75" t="n"/>
      <c r="P4562" s="75" t="n"/>
      <c r="Q4562" s="75">
        <f>IF(ISBLANK(P4562),"",IF(D4562="Stock",P4562*G4562,IF(P4562=0,"0",G4562*P4562*100-(G4562*$AF$14))))</f>
        <v/>
      </c>
      <c r="R4562" s="79">
        <f>IF(P4562&lt;&gt;"", TODAY(), "")</f>
        <v/>
      </c>
      <c r="S4562" s="78">
        <f>IF(AND(K4562&lt;&gt;"", R4562&lt;&gt;""), R4562-K4562, "")</f>
        <v/>
      </c>
      <c r="T4562" s="78" t="n"/>
      <c r="U4562" s="92">
        <f>IF(ISBLANK(P4562),"",IF(C4562="Buy",Q4562-M4562+T4562, IF(C4562="Sell",M4562-Q4562-T4562, X)))</f>
        <v/>
      </c>
      <c r="V4562" s="81">
        <f>IF(ISBLANK(P4562),"",U4562/N4562)</f>
        <v/>
      </c>
      <c r="W4562" s="81">
        <f>IF(ISBLANK(P4562),"",IF(S4562=0,(365/0.5)*V4562,(365/S4562)*V4562))</f>
        <v/>
      </c>
      <c r="X4562" s="75" t="n"/>
      <c r="Y4562" s="77" t="n"/>
      <c r="Z4562" s="77" t="n"/>
      <c r="AA4562" s="75" t="n"/>
      <c r="AB4562" s="75" t="n"/>
      <c r="AC4562" s="6" t="n"/>
      <c r="AD4562" s="75" t="n"/>
      <c r="AE4562" s="75" t="n"/>
      <c r="AF4562" s="75" t="n"/>
    </row>
    <row r="4563" ht="15.75" customHeight="1" s="133">
      <c r="A4563" s="75" t="n"/>
      <c r="B4563" s="75" t="n"/>
      <c r="C4563" s="75" t="n"/>
      <c r="D4563" s="75" t="n"/>
      <c r="E4563" s="76" t="n"/>
      <c r="F4563" s="77" t="n"/>
      <c r="G4563" s="75" t="n"/>
      <c r="H4563" s="75">
        <f>IF(ISBLANK(E4563),"",IF(OR(D4563="Butterfly",D4563="Butterfly ",D4563="Iron Fly", D4563="Iron Fly "),LEN(E4563)-LEN(SUBSTITUTE(E4563,"/",""))+2,LEN(E4563)-LEN(SUBSTITUTE(E4563,"/",""))+1))</f>
        <v/>
      </c>
      <c r="I4563" s="78">
        <f>IF(ISBLANK(G4563),"",IF(D4563="Stock","0",Key!$A$3*H4563*G4563))</f>
        <v/>
      </c>
      <c r="J4563" s="78">
        <f>IF(ISBLANK(E4563),"",IF(ISNUMBER(SEARCH("/",E4563)), IF(LEN(E4563)-LEN(SUBSTITUTE(E4563,"/",""))=1,(RIGHT(E4563,LEN(E4563)-FIND("/",E4563)))-(LEFT(E4563,FIND("/",E4563)-1)),(MID(E4563, SEARCH("/",E4563) + 1, SEARCH("/",E4563, SEARCH("/",E4563)+1) - SEARCH("/",E4563) - 1))-(LEFT(E4563,FIND("/",E4563)-1))), "NA"))</f>
        <v/>
      </c>
      <c r="K4563" s="79">
        <f>IF(A4563&lt;&gt;"", IF(ISBLANK(L4563), TODAY(), K4563), "")</f>
        <v/>
      </c>
      <c r="L4563" s="78" t="n"/>
      <c r="M4563" s="78">
        <f>IF(ISBLANK(L4563),"",IF(D4563="Stock",IF(C4563="Buy",L4563*G4563,IF(C4563="Sell",(L4563*G4563)-I4563, X)),IF(C4563="Buy",(L4563*G4563*100)+I4563,IF(C4563="Sell",(L4563*G4563*100)-I4563, X))))</f>
        <v/>
      </c>
      <c r="N4563" s="78">
        <f>IF(ISBLANK(L4563),"",IF(AND(C4563="Sell",D4563="Stock"),M4563,IF(ISBLANK(L4563),"",IF(C4563="Buy",M4563, IF(AND(C4563="Sell",J4563="NA"),(E4563*G4563*100*0.1)+I4563, IF(C4563="Sell",(J4563-L4563)*(100*G4563)+I4563))))))</f>
        <v/>
      </c>
      <c r="O4563" s="75" t="n"/>
      <c r="P4563" s="75" t="n"/>
      <c r="Q4563" s="75">
        <f>IF(ISBLANK(P4563),"",IF(D4563="Stock",P4563*G4563,IF(P4563=0,"0",G4563*P4563*100-(G4563*$AF$14))))</f>
        <v/>
      </c>
      <c r="R4563" s="79">
        <f>IF(P4563&lt;&gt;"", TODAY(), "")</f>
        <v/>
      </c>
      <c r="S4563" s="78">
        <f>IF(AND(K4563&lt;&gt;"", R4563&lt;&gt;""), R4563-K4563, "")</f>
        <v/>
      </c>
      <c r="T4563" s="78" t="n"/>
      <c r="U4563" s="92">
        <f>IF(ISBLANK(P4563),"",IF(C4563="Buy",Q4563-M4563+T4563, IF(C4563="Sell",M4563-Q4563-T4563, X)))</f>
        <v/>
      </c>
      <c r="V4563" s="81">
        <f>IF(ISBLANK(P4563),"",U4563/N4563)</f>
        <v/>
      </c>
      <c r="W4563" s="81">
        <f>IF(ISBLANK(P4563),"",IF(S4563=0,(365/0.5)*V4563,(365/S4563)*V4563))</f>
        <v/>
      </c>
      <c r="X4563" s="75" t="n"/>
      <c r="Y4563" s="77" t="n"/>
      <c r="Z4563" s="77" t="n"/>
      <c r="AA4563" s="75" t="n"/>
      <c r="AB4563" s="75" t="n"/>
      <c r="AC4563" s="6" t="n"/>
      <c r="AD4563" s="75" t="n"/>
      <c r="AE4563" s="75" t="n"/>
      <c r="AF4563" s="75" t="n"/>
    </row>
    <row r="4564" ht="15.75" customHeight="1" s="133">
      <c r="A4564" s="75" t="n"/>
      <c r="B4564" s="75" t="n"/>
      <c r="C4564" s="75" t="n"/>
      <c r="D4564" s="75" t="n"/>
      <c r="E4564" s="76" t="n"/>
      <c r="F4564" s="77" t="n"/>
      <c r="G4564" s="75" t="n"/>
      <c r="H4564" s="75">
        <f>IF(ISBLANK(E4564),"",IF(OR(D4564="Butterfly",D4564="Butterfly ",D4564="Iron Fly", D4564="Iron Fly "),LEN(E4564)-LEN(SUBSTITUTE(E4564,"/",""))+2,LEN(E4564)-LEN(SUBSTITUTE(E4564,"/",""))+1))</f>
        <v/>
      </c>
      <c r="I4564" s="78">
        <f>IF(ISBLANK(G4564),"",IF(D4564="Stock","0",Key!$A$3*H4564*G4564))</f>
        <v/>
      </c>
      <c r="J4564" s="78">
        <f>IF(ISBLANK(E4564),"",IF(ISNUMBER(SEARCH("/",E4564)), IF(LEN(E4564)-LEN(SUBSTITUTE(E4564,"/",""))=1,(RIGHT(E4564,LEN(E4564)-FIND("/",E4564)))-(LEFT(E4564,FIND("/",E4564)-1)),(MID(E4564, SEARCH("/",E4564) + 1, SEARCH("/",E4564, SEARCH("/",E4564)+1) - SEARCH("/",E4564) - 1))-(LEFT(E4564,FIND("/",E4564)-1))), "NA"))</f>
        <v/>
      </c>
      <c r="K4564" s="79">
        <f>IF(A4564&lt;&gt;"", IF(ISBLANK(L4564), TODAY(), K4564), "")</f>
        <v/>
      </c>
      <c r="L4564" s="78" t="n"/>
      <c r="M4564" s="78">
        <f>IF(ISBLANK(L4564),"",IF(D4564="Stock",IF(C4564="Buy",L4564*G4564,IF(C4564="Sell",(L4564*G4564)-I4564, X)),IF(C4564="Buy",(L4564*G4564*100)+I4564,IF(C4564="Sell",(L4564*G4564*100)-I4564, X))))</f>
        <v/>
      </c>
      <c r="N4564" s="78">
        <f>IF(ISBLANK(L4564),"",IF(AND(C4564="Sell",D4564="Stock"),M4564,IF(ISBLANK(L4564),"",IF(C4564="Buy",M4564, IF(AND(C4564="Sell",J4564="NA"),(E4564*G4564*100*0.1)+I4564, IF(C4564="Sell",(J4564-L4564)*(100*G4564)+I4564))))))</f>
        <v/>
      </c>
      <c r="O4564" s="75" t="n"/>
      <c r="P4564" s="75" t="n"/>
      <c r="Q4564" s="75">
        <f>IF(ISBLANK(P4564),"",IF(D4564="Stock",P4564*G4564,IF(P4564=0,"0",G4564*P4564*100-(G4564*$AF$14))))</f>
        <v/>
      </c>
      <c r="R4564" s="79">
        <f>IF(P4564&lt;&gt;"", TODAY(), "")</f>
        <v/>
      </c>
      <c r="S4564" s="78">
        <f>IF(AND(K4564&lt;&gt;"", R4564&lt;&gt;""), R4564-K4564, "")</f>
        <v/>
      </c>
      <c r="T4564" s="78" t="n"/>
      <c r="U4564" s="92">
        <f>IF(ISBLANK(P4564),"",IF(C4564="Buy",Q4564-M4564+T4564, IF(C4564="Sell",M4564-Q4564-T4564, X)))</f>
        <v/>
      </c>
      <c r="V4564" s="81">
        <f>IF(ISBLANK(P4564),"",U4564/N4564)</f>
        <v/>
      </c>
      <c r="W4564" s="81">
        <f>IF(ISBLANK(P4564),"",IF(S4564=0,(365/0.5)*V4564,(365/S4564)*V4564))</f>
        <v/>
      </c>
      <c r="X4564" s="75" t="n"/>
      <c r="Y4564" s="77" t="n"/>
      <c r="Z4564" s="77" t="n"/>
      <c r="AA4564" s="75" t="n"/>
      <c r="AB4564" s="75" t="n"/>
      <c r="AC4564" s="6" t="n"/>
      <c r="AD4564" s="75" t="n"/>
      <c r="AE4564" s="75" t="n"/>
      <c r="AF4564" s="75" t="n"/>
    </row>
    <row r="4565" ht="15.75" customHeight="1" s="133">
      <c r="A4565" s="75" t="n"/>
      <c r="B4565" s="75" t="n"/>
      <c r="C4565" s="75" t="n"/>
      <c r="D4565" s="75" t="n"/>
      <c r="E4565" s="76" t="n"/>
      <c r="F4565" s="77" t="n"/>
      <c r="G4565" s="75" t="n"/>
      <c r="H4565" s="75">
        <f>IF(ISBLANK(E4565),"",IF(OR(D4565="Butterfly",D4565="Butterfly ",D4565="Iron Fly", D4565="Iron Fly "),LEN(E4565)-LEN(SUBSTITUTE(E4565,"/",""))+2,LEN(E4565)-LEN(SUBSTITUTE(E4565,"/",""))+1))</f>
        <v/>
      </c>
      <c r="I4565" s="78">
        <f>IF(ISBLANK(G4565),"",IF(D4565="Stock","0",Key!$A$3*H4565*G4565))</f>
        <v/>
      </c>
      <c r="J4565" s="78">
        <f>IF(ISBLANK(E4565),"",IF(ISNUMBER(SEARCH("/",E4565)), IF(LEN(E4565)-LEN(SUBSTITUTE(E4565,"/",""))=1,(RIGHT(E4565,LEN(E4565)-FIND("/",E4565)))-(LEFT(E4565,FIND("/",E4565)-1)),(MID(E4565, SEARCH("/",E4565) + 1, SEARCH("/",E4565, SEARCH("/",E4565)+1) - SEARCH("/",E4565) - 1))-(LEFT(E4565,FIND("/",E4565)-1))), "NA"))</f>
        <v/>
      </c>
      <c r="K4565" s="79">
        <f>IF(A4565&lt;&gt;"", IF(ISBLANK(L4565), TODAY(), K4565), "")</f>
        <v/>
      </c>
      <c r="L4565" s="78" t="n"/>
      <c r="M4565" s="78">
        <f>IF(ISBLANK(L4565),"",IF(D4565="Stock",IF(C4565="Buy",L4565*G4565,IF(C4565="Sell",(L4565*G4565)-I4565, X)),IF(C4565="Buy",(L4565*G4565*100)+I4565,IF(C4565="Sell",(L4565*G4565*100)-I4565, X))))</f>
        <v/>
      </c>
      <c r="N4565" s="78">
        <f>IF(ISBLANK(L4565),"",IF(AND(C4565="Sell",D4565="Stock"),M4565,IF(ISBLANK(L4565),"",IF(C4565="Buy",M4565, IF(AND(C4565="Sell",J4565="NA"),(E4565*G4565*100*0.1)+I4565, IF(C4565="Sell",(J4565-L4565)*(100*G4565)+I4565))))))</f>
        <v/>
      </c>
      <c r="O4565" s="75" t="n"/>
      <c r="P4565" s="75" t="n"/>
      <c r="Q4565" s="75">
        <f>IF(ISBLANK(P4565),"",IF(D4565="Stock",P4565*G4565,IF(P4565=0,"0",G4565*P4565*100-(G4565*$AF$14))))</f>
        <v/>
      </c>
      <c r="R4565" s="79">
        <f>IF(P4565&lt;&gt;"", TODAY(), "")</f>
        <v/>
      </c>
      <c r="S4565" s="78">
        <f>IF(AND(K4565&lt;&gt;"", R4565&lt;&gt;""), R4565-K4565, "")</f>
        <v/>
      </c>
      <c r="T4565" s="78" t="n"/>
      <c r="U4565" s="92">
        <f>IF(ISBLANK(P4565),"",IF(C4565="Buy",Q4565-M4565+T4565, IF(C4565="Sell",M4565-Q4565-T4565, X)))</f>
        <v/>
      </c>
      <c r="V4565" s="81">
        <f>IF(ISBLANK(P4565),"",U4565/N4565)</f>
        <v/>
      </c>
      <c r="W4565" s="81">
        <f>IF(ISBLANK(P4565),"",IF(S4565=0,(365/0.5)*V4565,(365/S4565)*V4565))</f>
        <v/>
      </c>
      <c r="X4565" s="75" t="n"/>
      <c r="Y4565" s="77" t="n"/>
      <c r="Z4565" s="77" t="n"/>
      <c r="AA4565" s="75" t="n"/>
      <c r="AB4565" s="75" t="n"/>
      <c r="AC4565" s="6" t="n"/>
      <c r="AD4565" s="75" t="n"/>
      <c r="AE4565" s="75" t="n"/>
      <c r="AF4565" s="75" t="n"/>
    </row>
    <row r="4566" ht="15.75" customHeight="1" s="133">
      <c r="A4566" s="75" t="n"/>
      <c r="B4566" s="75" t="n"/>
      <c r="C4566" s="75" t="n"/>
      <c r="D4566" s="75" t="n"/>
      <c r="E4566" s="76" t="n"/>
      <c r="F4566" s="77" t="n"/>
      <c r="G4566" s="75" t="n"/>
      <c r="H4566" s="75">
        <f>IF(ISBLANK(E4566),"",IF(OR(D4566="Butterfly",D4566="Butterfly ",D4566="Iron Fly", D4566="Iron Fly "),LEN(E4566)-LEN(SUBSTITUTE(E4566,"/",""))+2,LEN(E4566)-LEN(SUBSTITUTE(E4566,"/",""))+1))</f>
        <v/>
      </c>
      <c r="I4566" s="78">
        <f>IF(ISBLANK(G4566),"",IF(D4566="Stock","0",Key!$A$3*H4566*G4566))</f>
        <v/>
      </c>
      <c r="J4566" s="78">
        <f>IF(ISBLANK(E4566),"",IF(ISNUMBER(SEARCH("/",E4566)), IF(LEN(E4566)-LEN(SUBSTITUTE(E4566,"/",""))=1,(RIGHT(E4566,LEN(E4566)-FIND("/",E4566)))-(LEFT(E4566,FIND("/",E4566)-1)),(MID(E4566, SEARCH("/",E4566) + 1, SEARCH("/",E4566, SEARCH("/",E4566)+1) - SEARCH("/",E4566) - 1))-(LEFT(E4566,FIND("/",E4566)-1))), "NA"))</f>
        <v/>
      </c>
      <c r="K4566" s="79">
        <f>IF(A4566&lt;&gt;"", IF(ISBLANK(L4566), TODAY(), K4566), "")</f>
        <v/>
      </c>
      <c r="L4566" s="78" t="n"/>
      <c r="M4566" s="78">
        <f>IF(ISBLANK(L4566),"",IF(D4566="Stock",IF(C4566="Buy",L4566*G4566,IF(C4566="Sell",(L4566*G4566)-I4566, X)),IF(C4566="Buy",(L4566*G4566*100)+I4566,IF(C4566="Sell",(L4566*G4566*100)-I4566, X))))</f>
        <v/>
      </c>
      <c r="N4566" s="78">
        <f>IF(ISBLANK(L4566),"",IF(AND(C4566="Sell",D4566="Stock"),M4566,IF(ISBLANK(L4566),"",IF(C4566="Buy",M4566, IF(AND(C4566="Sell",J4566="NA"),(E4566*G4566*100*0.1)+I4566, IF(C4566="Sell",(J4566-L4566)*(100*G4566)+I4566))))))</f>
        <v/>
      </c>
      <c r="O4566" s="75" t="n"/>
      <c r="P4566" s="75" t="n"/>
      <c r="Q4566" s="75">
        <f>IF(ISBLANK(P4566),"",IF(D4566="Stock",P4566*G4566,IF(P4566=0,"0",G4566*P4566*100-(G4566*$AF$14))))</f>
        <v/>
      </c>
      <c r="R4566" s="79">
        <f>IF(P4566&lt;&gt;"", TODAY(), "")</f>
        <v/>
      </c>
      <c r="S4566" s="78">
        <f>IF(AND(K4566&lt;&gt;"", R4566&lt;&gt;""), R4566-K4566, "")</f>
        <v/>
      </c>
      <c r="T4566" s="78" t="n"/>
      <c r="U4566" s="92">
        <f>IF(ISBLANK(P4566),"",IF(C4566="Buy",Q4566-M4566+T4566, IF(C4566="Sell",M4566-Q4566-T4566, X)))</f>
        <v/>
      </c>
      <c r="V4566" s="81">
        <f>IF(ISBLANK(P4566),"",U4566/N4566)</f>
        <v/>
      </c>
      <c r="W4566" s="81">
        <f>IF(ISBLANK(P4566),"",IF(S4566=0,(365/0.5)*V4566,(365/S4566)*V4566))</f>
        <v/>
      </c>
      <c r="X4566" s="75" t="n"/>
      <c r="Y4566" s="77" t="n"/>
      <c r="Z4566" s="77" t="n"/>
      <c r="AA4566" s="75" t="n"/>
      <c r="AB4566" s="75" t="n"/>
      <c r="AC4566" s="6" t="n"/>
      <c r="AD4566" s="75" t="n"/>
      <c r="AE4566" s="75" t="n"/>
      <c r="AF4566" s="75" t="n"/>
    </row>
    <row r="4567" ht="15.75" customHeight="1" s="133">
      <c r="A4567" s="75" t="n"/>
      <c r="B4567" s="75" t="n"/>
      <c r="C4567" s="75" t="n"/>
      <c r="D4567" s="75" t="n"/>
      <c r="E4567" s="76" t="n"/>
      <c r="F4567" s="77" t="n"/>
      <c r="G4567" s="75" t="n"/>
      <c r="H4567" s="75">
        <f>IF(ISBLANK(E4567),"",IF(OR(D4567="Butterfly",D4567="Butterfly ",D4567="Iron Fly", D4567="Iron Fly "),LEN(E4567)-LEN(SUBSTITUTE(E4567,"/",""))+2,LEN(E4567)-LEN(SUBSTITUTE(E4567,"/",""))+1))</f>
        <v/>
      </c>
      <c r="I4567" s="78">
        <f>IF(ISBLANK(G4567),"",IF(D4567="Stock","0",Key!$A$3*H4567*G4567))</f>
        <v/>
      </c>
      <c r="J4567" s="78">
        <f>IF(ISBLANK(E4567),"",IF(ISNUMBER(SEARCH("/",E4567)), IF(LEN(E4567)-LEN(SUBSTITUTE(E4567,"/",""))=1,(RIGHT(E4567,LEN(E4567)-FIND("/",E4567)))-(LEFT(E4567,FIND("/",E4567)-1)),(MID(E4567, SEARCH("/",E4567) + 1, SEARCH("/",E4567, SEARCH("/",E4567)+1) - SEARCH("/",E4567) - 1))-(LEFT(E4567,FIND("/",E4567)-1))), "NA"))</f>
        <v/>
      </c>
      <c r="K4567" s="79">
        <f>IF(A4567&lt;&gt;"", IF(ISBLANK(L4567), TODAY(), K4567), "")</f>
        <v/>
      </c>
      <c r="L4567" s="78" t="n"/>
      <c r="M4567" s="78">
        <f>IF(ISBLANK(L4567),"",IF(D4567="Stock",IF(C4567="Buy",L4567*G4567,IF(C4567="Sell",(L4567*G4567)-I4567, X)),IF(C4567="Buy",(L4567*G4567*100)+I4567,IF(C4567="Sell",(L4567*G4567*100)-I4567, X))))</f>
        <v/>
      </c>
      <c r="N4567" s="78">
        <f>IF(ISBLANK(L4567),"",IF(AND(C4567="Sell",D4567="Stock"),M4567,IF(ISBLANK(L4567),"",IF(C4567="Buy",M4567, IF(AND(C4567="Sell",J4567="NA"),(E4567*G4567*100*0.1)+I4567, IF(C4567="Sell",(J4567-L4567)*(100*G4567)+I4567))))))</f>
        <v/>
      </c>
      <c r="O4567" s="75" t="n"/>
      <c r="P4567" s="75" t="n"/>
      <c r="Q4567" s="75">
        <f>IF(ISBLANK(P4567),"",IF(D4567="Stock",P4567*G4567,IF(P4567=0,"0",G4567*P4567*100-(G4567*$AF$14))))</f>
        <v/>
      </c>
      <c r="R4567" s="79">
        <f>IF(P4567&lt;&gt;"", TODAY(), "")</f>
        <v/>
      </c>
      <c r="S4567" s="78">
        <f>IF(AND(K4567&lt;&gt;"", R4567&lt;&gt;""), R4567-K4567, "")</f>
        <v/>
      </c>
      <c r="T4567" s="78" t="n"/>
      <c r="U4567" s="92">
        <f>IF(ISBLANK(P4567),"",IF(C4567="Buy",Q4567-M4567+T4567, IF(C4567="Sell",M4567-Q4567-T4567, X)))</f>
        <v/>
      </c>
      <c r="V4567" s="81">
        <f>IF(ISBLANK(P4567),"",U4567/N4567)</f>
        <v/>
      </c>
      <c r="W4567" s="81">
        <f>IF(ISBLANK(P4567),"",IF(S4567=0,(365/0.5)*V4567,(365/S4567)*V4567))</f>
        <v/>
      </c>
      <c r="X4567" s="75" t="n"/>
      <c r="Y4567" s="77" t="n"/>
      <c r="Z4567" s="77" t="n"/>
      <c r="AA4567" s="75" t="n"/>
      <c r="AB4567" s="75" t="n"/>
      <c r="AC4567" s="6" t="n"/>
      <c r="AD4567" s="75" t="n"/>
      <c r="AE4567" s="75" t="n"/>
      <c r="AF4567" s="75" t="n"/>
    </row>
    <row r="4568" ht="15.75" customHeight="1" s="133">
      <c r="A4568" s="75" t="n"/>
      <c r="B4568" s="75" t="n"/>
      <c r="C4568" s="75" t="n"/>
      <c r="D4568" s="75" t="n"/>
      <c r="E4568" s="76" t="n"/>
      <c r="F4568" s="77" t="n"/>
      <c r="G4568" s="75" t="n"/>
      <c r="H4568" s="75">
        <f>IF(ISBLANK(E4568),"",IF(OR(D4568="Butterfly",D4568="Butterfly ",D4568="Iron Fly", D4568="Iron Fly "),LEN(E4568)-LEN(SUBSTITUTE(E4568,"/",""))+2,LEN(E4568)-LEN(SUBSTITUTE(E4568,"/",""))+1))</f>
        <v/>
      </c>
      <c r="I4568" s="78">
        <f>IF(ISBLANK(G4568),"",IF(D4568="Stock","0",Key!$A$3*H4568*G4568))</f>
        <v/>
      </c>
      <c r="J4568" s="78">
        <f>IF(ISBLANK(E4568),"",IF(ISNUMBER(SEARCH("/",E4568)), IF(LEN(E4568)-LEN(SUBSTITUTE(E4568,"/",""))=1,(RIGHT(E4568,LEN(E4568)-FIND("/",E4568)))-(LEFT(E4568,FIND("/",E4568)-1)),(MID(E4568, SEARCH("/",E4568) + 1, SEARCH("/",E4568, SEARCH("/",E4568)+1) - SEARCH("/",E4568) - 1))-(LEFT(E4568,FIND("/",E4568)-1))), "NA"))</f>
        <v/>
      </c>
      <c r="K4568" s="79">
        <f>IF(A4568&lt;&gt;"", IF(ISBLANK(L4568), TODAY(), K4568), "")</f>
        <v/>
      </c>
      <c r="L4568" s="78" t="n"/>
      <c r="M4568" s="78">
        <f>IF(ISBLANK(L4568),"",IF(D4568="Stock",IF(C4568="Buy",L4568*G4568,IF(C4568="Sell",(L4568*G4568)-I4568, X)),IF(C4568="Buy",(L4568*G4568*100)+I4568,IF(C4568="Sell",(L4568*G4568*100)-I4568, X))))</f>
        <v/>
      </c>
      <c r="N4568" s="78">
        <f>IF(ISBLANK(L4568),"",IF(AND(C4568="Sell",D4568="Stock"),M4568,IF(ISBLANK(L4568),"",IF(C4568="Buy",M4568, IF(AND(C4568="Sell",J4568="NA"),(E4568*G4568*100*0.1)+I4568, IF(C4568="Sell",(J4568-L4568)*(100*G4568)+I4568))))))</f>
        <v/>
      </c>
      <c r="O4568" s="75" t="n"/>
      <c r="P4568" s="75" t="n"/>
      <c r="Q4568" s="75">
        <f>IF(ISBLANK(P4568),"",IF(D4568="Stock",P4568*G4568,IF(P4568=0,"0",G4568*P4568*100-(G4568*$AF$14))))</f>
        <v/>
      </c>
      <c r="R4568" s="79">
        <f>IF(P4568&lt;&gt;"", TODAY(), "")</f>
        <v/>
      </c>
      <c r="S4568" s="78">
        <f>IF(AND(K4568&lt;&gt;"", R4568&lt;&gt;""), R4568-K4568, "")</f>
        <v/>
      </c>
      <c r="T4568" s="78" t="n"/>
      <c r="U4568" s="92">
        <f>IF(ISBLANK(P4568),"",IF(C4568="Buy",Q4568-M4568+T4568, IF(C4568="Sell",M4568-Q4568-T4568, X)))</f>
        <v/>
      </c>
      <c r="V4568" s="81">
        <f>IF(ISBLANK(P4568),"",U4568/N4568)</f>
        <v/>
      </c>
      <c r="W4568" s="81">
        <f>IF(ISBLANK(P4568),"",IF(S4568=0,(365/0.5)*V4568,(365/S4568)*V4568))</f>
        <v/>
      </c>
      <c r="X4568" s="75" t="n"/>
      <c r="Y4568" s="77" t="n"/>
      <c r="Z4568" s="77" t="n"/>
      <c r="AA4568" s="75" t="n"/>
      <c r="AB4568" s="75" t="n"/>
      <c r="AC4568" s="6" t="n"/>
      <c r="AD4568" s="75" t="n"/>
      <c r="AE4568" s="75" t="n"/>
      <c r="AF4568" s="75" t="n"/>
    </row>
    <row r="4569" ht="15.75" customHeight="1" s="133">
      <c r="A4569" s="75" t="n"/>
      <c r="B4569" s="75" t="n"/>
      <c r="C4569" s="75" t="n"/>
      <c r="D4569" s="75" t="n"/>
      <c r="E4569" s="76" t="n"/>
      <c r="F4569" s="77" t="n"/>
      <c r="G4569" s="75" t="n"/>
      <c r="H4569" s="75">
        <f>IF(ISBLANK(E4569),"",IF(OR(D4569="Butterfly",D4569="Butterfly ",D4569="Iron Fly", D4569="Iron Fly "),LEN(E4569)-LEN(SUBSTITUTE(E4569,"/",""))+2,LEN(E4569)-LEN(SUBSTITUTE(E4569,"/",""))+1))</f>
        <v/>
      </c>
      <c r="I4569" s="78">
        <f>IF(ISBLANK(G4569),"",IF(D4569="Stock","0",Key!$A$3*H4569*G4569))</f>
        <v/>
      </c>
      <c r="J4569" s="78">
        <f>IF(ISBLANK(E4569),"",IF(ISNUMBER(SEARCH("/",E4569)), IF(LEN(E4569)-LEN(SUBSTITUTE(E4569,"/",""))=1,(RIGHT(E4569,LEN(E4569)-FIND("/",E4569)))-(LEFT(E4569,FIND("/",E4569)-1)),(MID(E4569, SEARCH("/",E4569) + 1, SEARCH("/",E4569, SEARCH("/",E4569)+1) - SEARCH("/",E4569) - 1))-(LEFT(E4569,FIND("/",E4569)-1))), "NA"))</f>
        <v/>
      </c>
      <c r="K4569" s="79">
        <f>IF(A4569&lt;&gt;"", IF(ISBLANK(L4569), TODAY(), K4569), "")</f>
        <v/>
      </c>
      <c r="L4569" s="78" t="n"/>
      <c r="M4569" s="78">
        <f>IF(ISBLANK(L4569),"",IF(D4569="Stock",IF(C4569="Buy",L4569*G4569,IF(C4569="Sell",(L4569*G4569)-I4569, X)),IF(C4569="Buy",(L4569*G4569*100)+I4569,IF(C4569="Sell",(L4569*G4569*100)-I4569, X))))</f>
        <v/>
      </c>
      <c r="N4569" s="78">
        <f>IF(ISBLANK(L4569),"",IF(AND(C4569="Sell",D4569="Stock"),M4569,IF(ISBLANK(L4569),"",IF(C4569="Buy",M4569, IF(AND(C4569="Sell",J4569="NA"),(E4569*G4569*100*0.1)+I4569, IF(C4569="Sell",(J4569-L4569)*(100*G4569)+I4569))))))</f>
        <v/>
      </c>
      <c r="O4569" s="75" t="n"/>
      <c r="P4569" s="75" t="n"/>
      <c r="Q4569" s="75">
        <f>IF(ISBLANK(P4569),"",IF(D4569="Stock",P4569*G4569,IF(P4569=0,"0",G4569*P4569*100-(G4569*$AF$14))))</f>
        <v/>
      </c>
      <c r="R4569" s="79">
        <f>IF(P4569&lt;&gt;"", TODAY(), "")</f>
        <v/>
      </c>
      <c r="S4569" s="78">
        <f>IF(AND(K4569&lt;&gt;"", R4569&lt;&gt;""), R4569-K4569, "")</f>
        <v/>
      </c>
      <c r="T4569" s="78" t="n"/>
      <c r="U4569" s="92">
        <f>IF(ISBLANK(P4569),"",IF(C4569="Buy",Q4569-M4569+T4569, IF(C4569="Sell",M4569-Q4569-T4569, X)))</f>
        <v/>
      </c>
      <c r="V4569" s="81">
        <f>IF(ISBLANK(P4569),"",U4569/N4569)</f>
        <v/>
      </c>
      <c r="W4569" s="81">
        <f>IF(ISBLANK(P4569),"",IF(S4569=0,(365/0.5)*V4569,(365/S4569)*V4569))</f>
        <v/>
      </c>
      <c r="X4569" s="75" t="n"/>
      <c r="Y4569" s="77" t="n"/>
      <c r="Z4569" s="77" t="n"/>
      <c r="AA4569" s="75" t="n"/>
      <c r="AB4569" s="75" t="n"/>
      <c r="AC4569" s="6" t="n"/>
      <c r="AD4569" s="75" t="n"/>
      <c r="AE4569" s="75" t="n"/>
      <c r="AF4569" s="75" t="n"/>
    </row>
    <row r="4570" ht="15.75" customHeight="1" s="133">
      <c r="A4570" s="75" t="n"/>
      <c r="B4570" s="75" t="n"/>
      <c r="C4570" s="75" t="n"/>
      <c r="D4570" s="75" t="n"/>
      <c r="E4570" s="76" t="n"/>
      <c r="F4570" s="77" t="n"/>
      <c r="G4570" s="75" t="n"/>
      <c r="H4570" s="75">
        <f>IF(ISBLANK(E4570),"",IF(OR(D4570="Butterfly",D4570="Butterfly ",D4570="Iron Fly", D4570="Iron Fly "),LEN(E4570)-LEN(SUBSTITUTE(E4570,"/",""))+2,LEN(E4570)-LEN(SUBSTITUTE(E4570,"/",""))+1))</f>
        <v/>
      </c>
      <c r="I4570" s="78">
        <f>IF(ISBLANK(G4570),"",IF(D4570="Stock","0",Key!$A$3*H4570*G4570))</f>
        <v/>
      </c>
      <c r="J4570" s="78">
        <f>IF(ISBLANK(E4570),"",IF(ISNUMBER(SEARCH("/",E4570)), IF(LEN(E4570)-LEN(SUBSTITUTE(E4570,"/",""))=1,(RIGHT(E4570,LEN(E4570)-FIND("/",E4570)))-(LEFT(E4570,FIND("/",E4570)-1)),(MID(E4570, SEARCH("/",E4570) + 1, SEARCH("/",E4570, SEARCH("/",E4570)+1) - SEARCH("/",E4570) - 1))-(LEFT(E4570,FIND("/",E4570)-1))), "NA"))</f>
        <v/>
      </c>
      <c r="K4570" s="79">
        <f>IF(A4570&lt;&gt;"", IF(ISBLANK(L4570), TODAY(), K4570), "")</f>
        <v/>
      </c>
      <c r="L4570" s="78" t="n"/>
      <c r="M4570" s="78">
        <f>IF(ISBLANK(L4570),"",IF(D4570="Stock",IF(C4570="Buy",L4570*G4570,IF(C4570="Sell",(L4570*G4570)-I4570, X)),IF(C4570="Buy",(L4570*G4570*100)+I4570,IF(C4570="Sell",(L4570*G4570*100)-I4570, X))))</f>
        <v/>
      </c>
      <c r="N4570" s="78">
        <f>IF(ISBLANK(L4570),"",IF(AND(C4570="Sell",D4570="Stock"),M4570,IF(ISBLANK(L4570),"",IF(C4570="Buy",M4570, IF(AND(C4570="Sell",J4570="NA"),(E4570*G4570*100*0.1)+I4570, IF(C4570="Sell",(J4570-L4570)*(100*G4570)+I4570))))))</f>
        <v/>
      </c>
      <c r="O4570" s="75" t="n"/>
      <c r="P4570" s="75" t="n"/>
      <c r="Q4570" s="75">
        <f>IF(ISBLANK(P4570),"",IF(D4570="Stock",P4570*G4570,IF(P4570=0,"0",G4570*P4570*100-(G4570*$AF$14))))</f>
        <v/>
      </c>
      <c r="R4570" s="79">
        <f>IF(P4570&lt;&gt;"", TODAY(), "")</f>
        <v/>
      </c>
      <c r="S4570" s="78">
        <f>IF(AND(K4570&lt;&gt;"", R4570&lt;&gt;""), R4570-K4570, "")</f>
        <v/>
      </c>
      <c r="T4570" s="78" t="n"/>
      <c r="U4570" s="92">
        <f>IF(ISBLANK(P4570),"",IF(C4570="Buy",Q4570-M4570+T4570, IF(C4570="Sell",M4570-Q4570-T4570, X)))</f>
        <v/>
      </c>
      <c r="V4570" s="81">
        <f>IF(ISBLANK(P4570),"",U4570/N4570)</f>
        <v/>
      </c>
      <c r="W4570" s="81">
        <f>IF(ISBLANK(P4570),"",IF(S4570=0,(365/0.5)*V4570,(365/S4570)*V4570))</f>
        <v/>
      </c>
      <c r="X4570" s="75" t="n"/>
      <c r="Y4570" s="77" t="n"/>
      <c r="Z4570" s="77" t="n"/>
      <c r="AA4570" s="75" t="n"/>
      <c r="AB4570" s="75" t="n"/>
      <c r="AC4570" s="6" t="n"/>
      <c r="AD4570" s="75" t="n"/>
      <c r="AE4570" s="75" t="n"/>
      <c r="AF4570" s="75" t="n"/>
    </row>
    <row r="4571" ht="15.75" customHeight="1" s="133">
      <c r="A4571" s="75" t="n"/>
      <c r="B4571" s="75" t="n"/>
      <c r="C4571" s="75" t="n"/>
      <c r="D4571" s="75" t="n"/>
      <c r="E4571" s="76" t="n"/>
      <c r="F4571" s="77" t="n"/>
      <c r="G4571" s="75" t="n"/>
      <c r="H4571" s="75">
        <f>IF(ISBLANK(E4571),"",IF(OR(D4571="Butterfly",D4571="Butterfly ",D4571="Iron Fly", D4571="Iron Fly "),LEN(E4571)-LEN(SUBSTITUTE(E4571,"/",""))+2,LEN(E4571)-LEN(SUBSTITUTE(E4571,"/",""))+1))</f>
        <v/>
      </c>
      <c r="I4571" s="78">
        <f>IF(ISBLANK(G4571),"",IF(D4571="Stock","0",Key!$A$3*H4571*G4571))</f>
        <v/>
      </c>
      <c r="J4571" s="78">
        <f>IF(ISBLANK(E4571),"",IF(ISNUMBER(SEARCH("/",E4571)), IF(LEN(E4571)-LEN(SUBSTITUTE(E4571,"/",""))=1,(RIGHT(E4571,LEN(E4571)-FIND("/",E4571)))-(LEFT(E4571,FIND("/",E4571)-1)),(MID(E4571, SEARCH("/",E4571) + 1, SEARCH("/",E4571, SEARCH("/",E4571)+1) - SEARCH("/",E4571) - 1))-(LEFT(E4571,FIND("/",E4571)-1))), "NA"))</f>
        <v/>
      </c>
      <c r="K4571" s="79">
        <f>IF(A4571&lt;&gt;"", IF(ISBLANK(L4571), TODAY(), K4571), "")</f>
        <v/>
      </c>
      <c r="L4571" s="78" t="n"/>
      <c r="M4571" s="78">
        <f>IF(ISBLANK(L4571),"",IF(D4571="Stock",IF(C4571="Buy",L4571*G4571,IF(C4571="Sell",(L4571*G4571)-I4571, X)),IF(C4571="Buy",(L4571*G4571*100)+I4571,IF(C4571="Sell",(L4571*G4571*100)-I4571, X))))</f>
        <v/>
      </c>
      <c r="N4571" s="78">
        <f>IF(ISBLANK(L4571),"",IF(AND(C4571="Sell",D4571="Stock"),M4571,IF(ISBLANK(L4571),"",IF(C4571="Buy",M4571, IF(AND(C4571="Sell",J4571="NA"),(E4571*G4571*100*0.1)+I4571, IF(C4571="Sell",(J4571-L4571)*(100*G4571)+I4571))))))</f>
        <v/>
      </c>
      <c r="O4571" s="75" t="n"/>
      <c r="P4571" s="75" t="n"/>
      <c r="Q4571" s="75">
        <f>IF(ISBLANK(P4571),"",IF(D4571="Stock",P4571*G4571,IF(P4571=0,"0",G4571*P4571*100-(G4571*$AF$14))))</f>
        <v/>
      </c>
      <c r="R4571" s="79">
        <f>IF(P4571&lt;&gt;"", TODAY(), "")</f>
        <v/>
      </c>
      <c r="S4571" s="78">
        <f>IF(AND(K4571&lt;&gt;"", R4571&lt;&gt;""), R4571-K4571, "")</f>
        <v/>
      </c>
      <c r="T4571" s="78" t="n"/>
      <c r="U4571" s="92">
        <f>IF(ISBLANK(P4571),"",IF(C4571="Buy",Q4571-M4571+T4571, IF(C4571="Sell",M4571-Q4571-T4571, X)))</f>
        <v/>
      </c>
      <c r="V4571" s="81">
        <f>IF(ISBLANK(P4571),"",U4571/N4571)</f>
        <v/>
      </c>
      <c r="W4571" s="81">
        <f>IF(ISBLANK(P4571),"",IF(S4571=0,(365/0.5)*V4571,(365/S4571)*V4571))</f>
        <v/>
      </c>
      <c r="X4571" s="75" t="n"/>
      <c r="Y4571" s="77" t="n"/>
      <c r="Z4571" s="77" t="n"/>
      <c r="AA4571" s="75" t="n"/>
      <c r="AB4571" s="75" t="n"/>
      <c r="AC4571" s="6" t="n"/>
      <c r="AD4571" s="75" t="n"/>
      <c r="AE4571" s="75" t="n"/>
      <c r="AF4571" s="75" t="n"/>
    </row>
    <row r="4572" ht="15.75" customHeight="1" s="133">
      <c r="A4572" s="75" t="n"/>
      <c r="B4572" s="75" t="n"/>
      <c r="C4572" s="75" t="n"/>
      <c r="D4572" s="75" t="n"/>
      <c r="E4572" s="76" t="n"/>
      <c r="F4572" s="77" t="n"/>
      <c r="G4572" s="75" t="n"/>
      <c r="H4572" s="75">
        <f>IF(ISBLANK(E4572),"",IF(OR(D4572="Butterfly",D4572="Butterfly ",D4572="Iron Fly", D4572="Iron Fly "),LEN(E4572)-LEN(SUBSTITUTE(E4572,"/",""))+2,LEN(E4572)-LEN(SUBSTITUTE(E4572,"/",""))+1))</f>
        <v/>
      </c>
      <c r="I4572" s="78">
        <f>IF(ISBLANK(G4572),"",IF(D4572="Stock","0",Key!$A$3*H4572*G4572))</f>
        <v/>
      </c>
      <c r="J4572" s="78">
        <f>IF(ISBLANK(E4572),"",IF(ISNUMBER(SEARCH("/",E4572)), IF(LEN(E4572)-LEN(SUBSTITUTE(E4572,"/",""))=1,(RIGHT(E4572,LEN(E4572)-FIND("/",E4572)))-(LEFT(E4572,FIND("/",E4572)-1)),(MID(E4572, SEARCH("/",E4572) + 1, SEARCH("/",E4572, SEARCH("/",E4572)+1) - SEARCH("/",E4572) - 1))-(LEFT(E4572,FIND("/",E4572)-1))), "NA"))</f>
        <v/>
      </c>
      <c r="K4572" s="79">
        <f>IF(A4572&lt;&gt;"", IF(ISBLANK(L4572), TODAY(), K4572), "")</f>
        <v/>
      </c>
      <c r="L4572" s="78" t="n"/>
      <c r="M4572" s="78">
        <f>IF(ISBLANK(L4572),"",IF(D4572="Stock",IF(C4572="Buy",L4572*G4572,IF(C4572="Sell",(L4572*G4572)-I4572, X)),IF(C4572="Buy",(L4572*G4572*100)+I4572,IF(C4572="Sell",(L4572*G4572*100)-I4572, X))))</f>
        <v/>
      </c>
      <c r="N4572" s="78">
        <f>IF(ISBLANK(L4572),"",IF(AND(C4572="Sell",D4572="Stock"),M4572,IF(ISBLANK(L4572),"",IF(C4572="Buy",M4572, IF(AND(C4572="Sell",J4572="NA"),(E4572*G4572*100*0.1)+I4572, IF(C4572="Sell",(J4572-L4572)*(100*G4572)+I4572))))))</f>
        <v/>
      </c>
      <c r="O4572" s="75" t="n"/>
      <c r="P4572" s="75" t="n"/>
      <c r="Q4572" s="75">
        <f>IF(ISBLANK(P4572),"",IF(D4572="Stock",P4572*G4572,IF(P4572=0,"0",G4572*P4572*100-(G4572*$AF$14))))</f>
        <v/>
      </c>
      <c r="R4572" s="79">
        <f>IF(P4572&lt;&gt;"", TODAY(), "")</f>
        <v/>
      </c>
      <c r="S4572" s="78">
        <f>IF(AND(K4572&lt;&gt;"", R4572&lt;&gt;""), R4572-K4572, "")</f>
        <v/>
      </c>
      <c r="T4572" s="78" t="n"/>
      <c r="U4572" s="92">
        <f>IF(ISBLANK(P4572),"",IF(C4572="Buy",Q4572-M4572+T4572, IF(C4572="Sell",M4572-Q4572-T4572, X)))</f>
        <v/>
      </c>
      <c r="V4572" s="81">
        <f>IF(ISBLANK(P4572),"",U4572/N4572)</f>
        <v/>
      </c>
      <c r="W4572" s="81">
        <f>IF(ISBLANK(P4572),"",IF(S4572=0,(365/0.5)*V4572,(365/S4572)*V4572))</f>
        <v/>
      </c>
      <c r="X4572" s="75" t="n"/>
      <c r="Y4572" s="77" t="n"/>
      <c r="Z4572" s="77" t="n"/>
      <c r="AA4572" s="75" t="n"/>
      <c r="AB4572" s="75" t="n"/>
      <c r="AC4572" s="6" t="n"/>
      <c r="AD4572" s="75" t="n"/>
      <c r="AE4572" s="75" t="n"/>
      <c r="AF4572" s="75" t="n"/>
    </row>
    <row r="4573" ht="15.75" customHeight="1" s="133">
      <c r="A4573" s="75" t="n"/>
      <c r="B4573" s="75" t="n"/>
      <c r="C4573" s="75" t="n"/>
      <c r="D4573" s="75" t="n"/>
      <c r="E4573" s="76" t="n"/>
      <c r="F4573" s="77" t="n"/>
      <c r="G4573" s="75" t="n"/>
      <c r="H4573" s="75">
        <f>IF(ISBLANK(E4573),"",IF(OR(D4573="Butterfly",D4573="Butterfly ",D4573="Iron Fly", D4573="Iron Fly "),LEN(E4573)-LEN(SUBSTITUTE(E4573,"/",""))+2,LEN(E4573)-LEN(SUBSTITUTE(E4573,"/",""))+1))</f>
        <v/>
      </c>
      <c r="I4573" s="78">
        <f>IF(ISBLANK(G4573),"",IF(D4573="Stock","0",Key!$A$3*H4573*G4573))</f>
        <v/>
      </c>
      <c r="J4573" s="78">
        <f>IF(ISBLANK(E4573),"",IF(ISNUMBER(SEARCH("/",E4573)), IF(LEN(E4573)-LEN(SUBSTITUTE(E4573,"/",""))=1,(RIGHT(E4573,LEN(E4573)-FIND("/",E4573)))-(LEFT(E4573,FIND("/",E4573)-1)),(MID(E4573, SEARCH("/",E4573) + 1, SEARCH("/",E4573, SEARCH("/",E4573)+1) - SEARCH("/",E4573) - 1))-(LEFT(E4573,FIND("/",E4573)-1))), "NA"))</f>
        <v/>
      </c>
      <c r="K4573" s="79">
        <f>IF(A4573&lt;&gt;"", IF(ISBLANK(L4573), TODAY(), K4573), "")</f>
        <v/>
      </c>
      <c r="L4573" s="78" t="n"/>
      <c r="M4573" s="78">
        <f>IF(ISBLANK(L4573),"",IF(D4573="Stock",IF(C4573="Buy",L4573*G4573,IF(C4573="Sell",(L4573*G4573)-I4573, X)),IF(C4573="Buy",(L4573*G4573*100)+I4573,IF(C4573="Sell",(L4573*G4573*100)-I4573, X))))</f>
        <v/>
      </c>
      <c r="N4573" s="78">
        <f>IF(ISBLANK(L4573),"",IF(AND(C4573="Sell",D4573="Stock"),M4573,IF(ISBLANK(L4573),"",IF(C4573="Buy",M4573, IF(AND(C4573="Sell",J4573="NA"),(E4573*G4573*100*0.1)+I4573, IF(C4573="Sell",(J4573-L4573)*(100*G4573)+I4573))))))</f>
        <v/>
      </c>
      <c r="O4573" s="75" t="n"/>
      <c r="P4573" s="75" t="n"/>
      <c r="Q4573" s="75">
        <f>IF(ISBLANK(P4573),"",IF(D4573="Stock",P4573*G4573,IF(P4573=0,"0",G4573*P4573*100-(G4573*$AF$14))))</f>
        <v/>
      </c>
      <c r="R4573" s="79">
        <f>IF(P4573&lt;&gt;"", TODAY(), "")</f>
        <v/>
      </c>
      <c r="S4573" s="78">
        <f>IF(AND(K4573&lt;&gt;"", R4573&lt;&gt;""), R4573-K4573, "")</f>
        <v/>
      </c>
      <c r="T4573" s="78" t="n"/>
      <c r="U4573" s="92">
        <f>IF(ISBLANK(P4573),"",IF(C4573="Buy",Q4573-M4573+T4573, IF(C4573="Sell",M4573-Q4573-T4573, X)))</f>
        <v/>
      </c>
      <c r="V4573" s="81">
        <f>IF(ISBLANK(P4573),"",U4573/N4573)</f>
        <v/>
      </c>
      <c r="W4573" s="81">
        <f>IF(ISBLANK(P4573),"",IF(S4573=0,(365/0.5)*V4573,(365/S4573)*V4573))</f>
        <v/>
      </c>
      <c r="X4573" s="75" t="n"/>
      <c r="Y4573" s="77" t="n"/>
      <c r="Z4573" s="77" t="n"/>
      <c r="AA4573" s="75" t="n"/>
      <c r="AB4573" s="75" t="n"/>
      <c r="AC4573" s="6" t="n"/>
      <c r="AD4573" s="75" t="n"/>
      <c r="AE4573" s="75" t="n"/>
      <c r="AF4573" s="75" t="n"/>
    </row>
    <row r="4574" ht="15.75" customHeight="1" s="133">
      <c r="A4574" s="75" t="n"/>
      <c r="B4574" s="75" t="n"/>
      <c r="C4574" s="75" t="n"/>
      <c r="D4574" s="75" t="n"/>
      <c r="E4574" s="76" t="n"/>
      <c r="F4574" s="77" t="n"/>
      <c r="G4574" s="75" t="n"/>
      <c r="H4574" s="75">
        <f>IF(ISBLANK(E4574),"",IF(OR(D4574="Butterfly",D4574="Butterfly ",D4574="Iron Fly", D4574="Iron Fly "),LEN(E4574)-LEN(SUBSTITUTE(E4574,"/",""))+2,LEN(E4574)-LEN(SUBSTITUTE(E4574,"/",""))+1))</f>
        <v/>
      </c>
      <c r="I4574" s="78">
        <f>IF(ISBLANK(G4574),"",IF(D4574="Stock","0",Key!$A$3*H4574*G4574))</f>
        <v/>
      </c>
      <c r="J4574" s="78">
        <f>IF(ISBLANK(E4574),"",IF(ISNUMBER(SEARCH("/",E4574)), IF(LEN(E4574)-LEN(SUBSTITUTE(E4574,"/",""))=1,(RIGHT(E4574,LEN(E4574)-FIND("/",E4574)))-(LEFT(E4574,FIND("/",E4574)-1)),(MID(E4574, SEARCH("/",E4574) + 1, SEARCH("/",E4574, SEARCH("/",E4574)+1) - SEARCH("/",E4574) - 1))-(LEFT(E4574,FIND("/",E4574)-1))), "NA"))</f>
        <v/>
      </c>
      <c r="K4574" s="79">
        <f>IF(A4574&lt;&gt;"", IF(ISBLANK(L4574), TODAY(), K4574), "")</f>
        <v/>
      </c>
      <c r="L4574" s="78" t="n"/>
      <c r="M4574" s="78">
        <f>IF(ISBLANK(L4574),"",IF(D4574="Stock",IF(C4574="Buy",L4574*G4574,IF(C4574="Sell",(L4574*G4574)-I4574, X)),IF(C4574="Buy",(L4574*G4574*100)+I4574,IF(C4574="Sell",(L4574*G4574*100)-I4574, X))))</f>
        <v/>
      </c>
      <c r="N4574" s="78">
        <f>IF(ISBLANK(L4574),"",IF(AND(C4574="Sell",D4574="Stock"),M4574,IF(ISBLANK(L4574),"",IF(C4574="Buy",M4574, IF(AND(C4574="Sell",J4574="NA"),(E4574*G4574*100*0.1)+I4574, IF(C4574="Sell",(J4574-L4574)*(100*G4574)+I4574))))))</f>
        <v/>
      </c>
      <c r="O4574" s="75" t="n"/>
      <c r="P4574" s="75" t="n"/>
      <c r="Q4574" s="75">
        <f>IF(ISBLANK(P4574),"",IF(D4574="Stock",P4574*G4574,IF(P4574=0,"0",G4574*P4574*100-(G4574*$AF$14))))</f>
        <v/>
      </c>
      <c r="R4574" s="79">
        <f>IF(P4574&lt;&gt;"", TODAY(), "")</f>
        <v/>
      </c>
      <c r="S4574" s="78">
        <f>IF(AND(K4574&lt;&gt;"", R4574&lt;&gt;""), R4574-K4574, "")</f>
        <v/>
      </c>
      <c r="T4574" s="78" t="n"/>
      <c r="U4574" s="92">
        <f>IF(ISBLANK(P4574),"",IF(C4574="Buy",Q4574-M4574+T4574, IF(C4574="Sell",M4574-Q4574-T4574, X)))</f>
        <v/>
      </c>
      <c r="V4574" s="81">
        <f>IF(ISBLANK(P4574),"",U4574/N4574)</f>
        <v/>
      </c>
      <c r="W4574" s="81">
        <f>IF(ISBLANK(P4574),"",IF(S4574=0,(365/0.5)*V4574,(365/S4574)*V4574))</f>
        <v/>
      </c>
      <c r="X4574" s="75" t="n"/>
      <c r="Y4574" s="77" t="n"/>
      <c r="Z4574" s="77" t="n"/>
      <c r="AA4574" s="75" t="n"/>
      <c r="AB4574" s="75" t="n"/>
      <c r="AC4574" s="6" t="n"/>
      <c r="AD4574" s="75" t="n"/>
      <c r="AE4574" s="75" t="n"/>
      <c r="AF4574" s="75" t="n"/>
    </row>
    <row r="4575" ht="15.75" customHeight="1" s="133">
      <c r="A4575" s="75" t="n"/>
      <c r="B4575" s="75" t="n"/>
      <c r="C4575" s="75" t="n"/>
      <c r="D4575" s="75" t="n"/>
      <c r="E4575" s="76" t="n"/>
      <c r="F4575" s="77" t="n"/>
      <c r="G4575" s="75" t="n"/>
      <c r="H4575" s="75">
        <f>IF(ISBLANK(E4575),"",IF(OR(D4575="Butterfly",D4575="Butterfly ",D4575="Iron Fly", D4575="Iron Fly "),LEN(E4575)-LEN(SUBSTITUTE(E4575,"/",""))+2,LEN(E4575)-LEN(SUBSTITUTE(E4575,"/",""))+1))</f>
        <v/>
      </c>
      <c r="I4575" s="78">
        <f>IF(ISBLANK(G4575),"",IF(D4575="Stock","0",Key!$A$3*H4575*G4575))</f>
        <v/>
      </c>
      <c r="J4575" s="78">
        <f>IF(ISBLANK(E4575),"",IF(ISNUMBER(SEARCH("/",E4575)), IF(LEN(E4575)-LEN(SUBSTITUTE(E4575,"/",""))=1,(RIGHT(E4575,LEN(E4575)-FIND("/",E4575)))-(LEFT(E4575,FIND("/",E4575)-1)),(MID(E4575, SEARCH("/",E4575) + 1, SEARCH("/",E4575, SEARCH("/",E4575)+1) - SEARCH("/",E4575) - 1))-(LEFT(E4575,FIND("/",E4575)-1))), "NA"))</f>
        <v/>
      </c>
      <c r="K4575" s="79">
        <f>IF(A4575&lt;&gt;"", IF(ISBLANK(L4575), TODAY(), K4575), "")</f>
        <v/>
      </c>
      <c r="L4575" s="78" t="n"/>
      <c r="M4575" s="78">
        <f>IF(ISBLANK(L4575),"",IF(D4575="Stock",IF(C4575="Buy",L4575*G4575,IF(C4575="Sell",(L4575*G4575)-I4575, X)),IF(C4575="Buy",(L4575*G4575*100)+I4575,IF(C4575="Sell",(L4575*G4575*100)-I4575, X))))</f>
        <v/>
      </c>
      <c r="N4575" s="78">
        <f>IF(ISBLANK(L4575),"",IF(AND(C4575="Sell",D4575="Stock"),M4575,IF(ISBLANK(L4575),"",IF(C4575="Buy",M4575, IF(AND(C4575="Sell",J4575="NA"),(E4575*G4575*100*0.1)+I4575, IF(C4575="Sell",(J4575-L4575)*(100*G4575)+I4575))))))</f>
        <v/>
      </c>
      <c r="O4575" s="75" t="n"/>
      <c r="P4575" s="75" t="n"/>
      <c r="Q4575" s="75">
        <f>IF(ISBLANK(P4575),"",IF(D4575="Stock",P4575*G4575,IF(P4575=0,"0",G4575*P4575*100-(G4575*$AF$14))))</f>
        <v/>
      </c>
      <c r="R4575" s="79">
        <f>IF(P4575&lt;&gt;"", TODAY(), "")</f>
        <v/>
      </c>
      <c r="S4575" s="78">
        <f>IF(AND(K4575&lt;&gt;"", R4575&lt;&gt;""), R4575-K4575, "")</f>
        <v/>
      </c>
      <c r="T4575" s="78" t="n"/>
      <c r="U4575" s="92">
        <f>IF(ISBLANK(P4575),"",IF(C4575="Buy",Q4575-M4575+T4575, IF(C4575="Sell",M4575-Q4575-T4575, X)))</f>
        <v/>
      </c>
      <c r="V4575" s="81">
        <f>IF(ISBLANK(P4575),"",U4575/N4575)</f>
        <v/>
      </c>
      <c r="W4575" s="81">
        <f>IF(ISBLANK(P4575),"",IF(S4575=0,(365/0.5)*V4575,(365/S4575)*V4575))</f>
        <v/>
      </c>
      <c r="X4575" s="75" t="n"/>
      <c r="Y4575" s="77" t="n"/>
      <c r="Z4575" s="77" t="n"/>
      <c r="AA4575" s="75" t="n"/>
      <c r="AB4575" s="75" t="n"/>
      <c r="AC4575" s="6" t="n"/>
      <c r="AD4575" s="75" t="n"/>
      <c r="AE4575" s="75" t="n"/>
      <c r="AF4575" s="75" t="n"/>
    </row>
    <row r="4576" ht="15.75" customHeight="1" s="133">
      <c r="A4576" s="75" t="n"/>
      <c r="B4576" s="75" t="n"/>
      <c r="C4576" s="75" t="n"/>
      <c r="D4576" s="75" t="n"/>
      <c r="E4576" s="76" t="n"/>
      <c r="F4576" s="77" t="n"/>
      <c r="G4576" s="75" t="n"/>
      <c r="H4576" s="75">
        <f>IF(ISBLANK(E4576),"",IF(OR(D4576="Butterfly",D4576="Butterfly ",D4576="Iron Fly", D4576="Iron Fly "),LEN(E4576)-LEN(SUBSTITUTE(E4576,"/",""))+2,LEN(E4576)-LEN(SUBSTITUTE(E4576,"/",""))+1))</f>
        <v/>
      </c>
      <c r="I4576" s="78">
        <f>IF(ISBLANK(G4576),"",IF(D4576="Stock","0",Key!$A$3*H4576*G4576))</f>
        <v/>
      </c>
      <c r="J4576" s="78">
        <f>IF(ISBLANK(E4576),"",IF(ISNUMBER(SEARCH("/",E4576)), IF(LEN(E4576)-LEN(SUBSTITUTE(E4576,"/",""))=1,(RIGHT(E4576,LEN(E4576)-FIND("/",E4576)))-(LEFT(E4576,FIND("/",E4576)-1)),(MID(E4576, SEARCH("/",E4576) + 1, SEARCH("/",E4576, SEARCH("/",E4576)+1) - SEARCH("/",E4576) - 1))-(LEFT(E4576,FIND("/",E4576)-1))), "NA"))</f>
        <v/>
      </c>
      <c r="K4576" s="79">
        <f>IF(A4576&lt;&gt;"", IF(ISBLANK(L4576), TODAY(), K4576), "")</f>
        <v/>
      </c>
      <c r="L4576" s="78" t="n"/>
      <c r="M4576" s="78">
        <f>IF(ISBLANK(L4576),"",IF(D4576="Stock",IF(C4576="Buy",L4576*G4576,IF(C4576="Sell",(L4576*G4576)-I4576, X)),IF(C4576="Buy",(L4576*G4576*100)+I4576,IF(C4576="Sell",(L4576*G4576*100)-I4576, X))))</f>
        <v/>
      </c>
      <c r="N4576" s="78">
        <f>IF(ISBLANK(L4576),"",IF(AND(C4576="Sell",D4576="Stock"),M4576,IF(ISBLANK(L4576),"",IF(C4576="Buy",M4576, IF(AND(C4576="Sell",J4576="NA"),(E4576*G4576*100*0.1)+I4576, IF(C4576="Sell",(J4576-L4576)*(100*G4576)+I4576))))))</f>
        <v/>
      </c>
      <c r="O4576" s="75" t="n"/>
      <c r="P4576" s="75" t="n"/>
      <c r="Q4576" s="75">
        <f>IF(ISBLANK(P4576),"",IF(D4576="Stock",P4576*G4576,IF(P4576=0,"0",G4576*P4576*100-(G4576*$AF$14))))</f>
        <v/>
      </c>
      <c r="R4576" s="79">
        <f>IF(P4576&lt;&gt;"", TODAY(), "")</f>
        <v/>
      </c>
      <c r="S4576" s="78">
        <f>IF(AND(K4576&lt;&gt;"", R4576&lt;&gt;""), R4576-K4576, "")</f>
        <v/>
      </c>
      <c r="T4576" s="78" t="n"/>
      <c r="U4576" s="92">
        <f>IF(ISBLANK(P4576),"",IF(C4576="Buy",Q4576-M4576+T4576, IF(C4576="Sell",M4576-Q4576-T4576, X)))</f>
        <v/>
      </c>
      <c r="V4576" s="81">
        <f>IF(ISBLANK(P4576),"",U4576/N4576)</f>
        <v/>
      </c>
      <c r="W4576" s="81">
        <f>IF(ISBLANK(P4576),"",IF(S4576=0,(365/0.5)*V4576,(365/S4576)*V4576))</f>
        <v/>
      </c>
      <c r="X4576" s="75" t="n"/>
      <c r="Y4576" s="77" t="n"/>
      <c r="Z4576" s="77" t="n"/>
      <c r="AA4576" s="75" t="n"/>
      <c r="AB4576" s="75" t="n"/>
      <c r="AC4576" s="6" t="n"/>
      <c r="AD4576" s="75" t="n"/>
      <c r="AE4576" s="75" t="n"/>
      <c r="AF4576" s="75" t="n"/>
    </row>
    <row r="4577" ht="15.75" customHeight="1" s="133">
      <c r="A4577" s="75" t="n"/>
      <c r="B4577" s="75" t="n"/>
      <c r="C4577" s="75" t="n"/>
      <c r="D4577" s="75" t="n"/>
      <c r="E4577" s="76" t="n"/>
      <c r="F4577" s="77" t="n"/>
      <c r="G4577" s="75" t="n"/>
      <c r="H4577" s="75">
        <f>IF(ISBLANK(E4577),"",IF(OR(D4577="Butterfly",D4577="Butterfly ",D4577="Iron Fly", D4577="Iron Fly "),LEN(E4577)-LEN(SUBSTITUTE(E4577,"/",""))+2,LEN(E4577)-LEN(SUBSTITUTE(E4577,"/",""))+1))</f>
        <v/>
      </c>
      <c r="I4577" s="78">
        <f>IF(ISBLANK(G4577),"",IF(D4577="Stock","0",Key!$A$3*H4577*G4577))</f>
        <v/>
      </c>
      <c r="J4577" s="78">
        <f>IF(ISBLANK(E4577),"",IF(ISNUMBER(SEARCH("/",E4577)), IF(LEN(E4577)-LEN(SUBSTITUTE(E4577,"/",""))=1,(RIGHT(E4577,LEN(E4577)-FIND("/",E4577)))-(LEFT(E4577,FIND("/",E4577)-1)),(MID(E4577, SEARCH("/",E4577) + 1, SEARCH("/",E4577, SEARCH("/",E4577)+1) - SEARCH("/",E4577) - 1))-(LEFT(E4577,FIND("/",E4577)-1))), "NA"))</f>
        <v/>
      </c>
      <c r="K4577" s="79">
        <f>IF(A4577&lt;&gt;"", IF(ISBLANK(L4577), TODAY(), K4577), "")</f>
        <v/>
      </c>
      <c r="L4577" s="78" t="n"/>
      <c r="M4577" s="78">
        <f>IF(ISBLANK(L4577),"",IF(D4577="Stock",IF(C4577="Buy",L4577*G4577,IF(C4577="Sell",(L4577*G4577)-I4577, X)),IF(C4577="Buy",(L4577*G4577*100)+I4577,IF(C4577="Sell",(L4577*G4577*100)-I4577, X))))</f>
        <v/>
      </c>
      <c r="N4577" s="78">
        <f>IF(ISBLANK(L4577),"",IF(AND(C4577="Sell",D4577="Stock"),M4577,IF(ISBLANK(L4577),"",IF(C4577="Buy",M4577, IF(AND(C4577="Sell",J4577="NA"),(E4577*G4577*100*0.1)+I4577, IF(C4577="Sell",(J4577-L4577)*(100*G4577)+I4577))))))</f>
        <v/>
      </c>
      <c r="O4577" s="75" t="n"/>
      <c r="P4577" s="75" t="n"/>
      <c r="Q4577" s="75">
        <f>IF(ISBLANK(P4577),"",IF(D4577="Stock",P4577*G4577,IF(P4577=0,"0",G4577*P4577*100-(G4577*$AF$14))))</f>
        <v/>
      </c>
      <c r="R4577" s="79">
        <f>IF(P4577&lt;&gt;"", TODAY(), "")</f>
        <v/>
      </c>
      <c r="S4577" s="78">
        <f>IF(AND(K4577&lt;&gt;"", R4577&lt;&gt;""), R4577-K4577, "")</f>
        <v/>
      </c>
      <c r="T4577" s="78" t="n"/>
      <c r="U4577" s="92">
        <f>IF(ISBLANK(P4577),"",IF(C4577="Buy",Q4577-M4577+T4577, IF(C4577="Sell",M4577-Q4577-T4577, X)))</f>
        <v/>
      </c>
      <c r="V4577" s="81">
        <f>IF(ISBLANK(P4577),"",U4577/N4577)</f>
        <v/>
      </c>
      <c r="W4577" s="81">
        <f>IF(ISBLANK(P4577),"",IF(S4577=0,(365/0.5)*V4577,(365/S4577)*V4577))</f>
        <v/>
      </c>
      <c r="X4577" s="75" t="n"/>
      <c r="Y4577" s="77" t="n"/>
      <c r="Z4577" s="77" t="n"/>
      <c r="AA4577" s="75" t="n"/>
      <c r="AB4577" s="75" t="n"/>
      <c r="AC4577" s="6" t="n"/>
      <c r="AD4577" s="75" t="n"/>
      <c r="AE4577" s="75" t="n"/>
      <c r="AF4577" s="75" t="n"/>
    </row>
    <row r="4578" ht="15.75" customHeight="1" s="133">
      <c r="A4578" s="75" t="n"/>
      <c r="B4578" s="75" t="n"/>
      <c r="C4578" s="75" t="n"/>
      <c r="D4578" s="75" t="n"/>
      <c r="E4578" s="76" t="n"/>
      <c r="F4578" s="77" t="n"/>
      <c r="G4578" s="75" t="n"/>
      <c r="H4578" s="75">
        <f>IF(ISBLANK(E4578),"",IF(OR(D4578="Butterfly",D4578="Butterfly ",D4578="Iron Fly", D4578="Iron Fly "),LEN(E4578)-LEN(SUBSTITUTE(E4578,"/",""))+2,LEN(E4578)-LEN(SUBSTITUTE(E4578,"/",""))+1))</f>
        <v/>
      </c>
      <c r="I4578" s="78">
        <f>IF(ISBLANK(G4578),"",IF(D4578="Stock","0",Key!$A$3*H4578*G4578))</f>
        <v/>
      </c>
      <c r="J4578" s="78">
        <f>IF(ISBLANK(E4578),"",IF(ISNUMBER(SEARCH("/",E4578)), IF(LEN(E4578)-LEN(SUBSTITUTE(E4578,"/",""))=1,(RIGHT(E4578,LEN(E4578)-FIND("/",E4578)))-(LEFT(E4578,FIND("/",E4578)-1)),(MID(E4578, SEARCH("/",E4578) + 1, SEARCH("/",E4578, SEARCH("/",E4578)+1) - SEARCH("/",E4578) - 1))-(LEFT(E4578,FIND("/",E4578)-1))), "NA"))</f>
        <v/>
      </c>
      <c r="K4578" s="79">
        <f>IF(A4578&lt;&gt;"", IF(ISBLANK(L4578), TODAY(), K4578), "")</f>
        <v/>
      </c>
      <c r="L4578" s="78" t="n"/>
      <c r="M4578" s="78">
        <f>IF(ISBLANK(L4578),"",IF(D4578="Stock",IF(C4578="Buy",L4578*G4578,IF(C4578="Sell",(L4578*G4578)-I4578, X)),IF(C4578="Buy",(L4578*G4578*100)+I4578,IF(C4578="Sell",(L4578*G4578*100)-I4578, X))))</f>
        <v/>
      </c>
      <c r="N4578" s="78">
        <f>IF(ISBLANK(L4578),"",IF(AND(C4578="Sell",D4578="Stock"),M4578,IF(ISBLANK(L4578),"",IF(C4578="Buy",M4578, IF(AND(C4578="Sell",J4578="NA"),(E4578*G4578*100*0.1)+I4578, IF(C4578="Sell",(J4578-L4578)*(100*G4578)+I4578))))))</f>
        <v/>
      </c>
      <c r="O4578" s="75" t="n"/>
      <c r="P4578" s="75" t="n"/>
      <c r="Q4578" s="75">
        <f>IF(ISBLANK(P4578),"",IF(D4578="Stock",P4578*G4578,IF(P4578=0,"0",G4578*P4578*100-(G4578*$AF$14))))</f>
        <v/>
      </c>
      <c r="R4578" s="79">
        <f>IF(P4578&lt;&gt;"", TODAY(), "")</f>
        <v/>
      </c>
      <c r="S4578" s="78">
        <f>IF(AND(K4578&lt;&gt;"", R4578&lt;&gt;""), R4578-K4578, "")</f>
        <v/>
      </c>
      <c r="T4578" s="78" t="n"/>
      <c r="U4578" s="92">
        <f>IF(ISBLANK(P4578),"",IF(C4578="Buy",Q4578-M4578+T4578, IF(C4578="Sell",M4578-Q4578-T4578, X)))</f>
        <v/>
      </c>
      <c r="V4578" s="81">
        <f>IF(ISBLANK(P4578),"",U4578/N4578)</f>
        <v/>
      </c>
      <c r="W4578" s="81">
        <f>IF(ISBLANK(P4578),"",IF(S4578=0,(365/0.5)*V4578,(365/S4578)*V4578))</f>
        <v/>
      </c>
      <c r="X4578" s="75" t="n"/>
      <c r="Y4578" s="77" t="n"/>
      <c r="Z4578" s="77" t="n"/>
      <c r="AA4578" s="75" t="n"/>
      <c r="AB4578" s="75" t="n"/>
      <c r="AC4578" s="6" t="n"/>
      <c r="AD4578" s="75" t="n"/>
      <c r="AE4578" s="75" t="n"/>
      <c r="AF4578" s="75" t="n"/>
    </row>
    <row r="4579" ht="15.75" customHeight="1" s="133">
      <c r="A4579" s="75" t="n"/>
      <c r="B4579" s="75" t="n"/>
      <c r="C4579" s="75" t="n"/>
      <c r="D4579" s="75" t="n"/>
      <c r="E4579" s="76" t="n"/>
      <c r="F4579" s="77" t="n"/>
      <c r="G4579" s="75" t="n"/>
      <c r="H4579" s="75">
        <f>IF(ISBLANK(E4579),"",IF(OR(D4579="Butterfly",D4579="Butterfly ",D4579="Iron Fly", D4579="Iron Fly "),LEN(E4579)-LEN(SUBSTITUTE(E4579,"/",""))+2,LEN(E4579)-LEN(SUBSTITUTE(E4579,"/",""))+1))</f>
        <v/>
      </c>
      <c r="I4579" s="78">
        <f>IF(ISBLANK(G4579),"",IF(D4579="Stock","0",Key!$A$3*H4579*G4579))</f>
        <v/>
      </c>
      <c r="J4579" s="78">
        <f>IF(ISBLANK(E4579),"",IF(ISNUMBER(SEARCH("/",E4579)), IF(LEN(E4579)-LEN(SUBSTITUTE(E4579,"/",""))=1,(RIGHT(E4579,LEN(E4579)-FIND("/",E4579)))-(LEFT(E4579,FIND("/",E4579)-1)),(MID(E4579, SEARCH("/",E4579) + 1, SEARCH("/",E4579, SEARCH("/",E4579)+1) - SEARCH("/",E4579) - 1))-(LEFT(E4579,FIND("/",E4579)-1))), "NA"))</f>
        <v/>
      </c>
      <c r="K4579" s="79">
        <f>IF(A4579&lt;&gt;"", IF(ISBLANK(L4579), TODAY(), K4579), "")</f>
        <v/>
      </c>
      <c r="L4579" s="78" t="n"/>
      <c r="M4579" s="78">
        <f>IF(ISBLANK(L4579),"",IF(D4579="Stock",IF(C4579="Buy",L4579*G4579,IF(C4579="Sell",(L4579*G4579)-I4579, X)),IF(C4579="Buy",(L4579*G4579*100)+I4579,IF(C4579="Sell",(L4579*G4579*100)-I4579, X))))</f>
        <v/>
      </c>
      <c r="N4579" s="78">
        <f>IF(ISBLANK(L4579),"",IF(AND(C4579="Sell",D4579="Stock"),M4579,IF(ISBLANK(L4579),"",IF(C4579="Buy",M4579, IF(AND(C4579="Sell",J4579="NA"),(E4579*G4579*100*0.1)+I4579, IF(C4579="Sell",(J4579-L4579)*(100*G4579)+I4579))))))</f>
        <v/>
      </c>
      <c r="O4579" s="75" t="n"/>
      <c r="P4579" s="75" t="n"/>
      <c r="Q4579" s="75">
        <f>IF(ISBLANK(P4579),"",IF(D4579="Stock",P4579*G4579,IF(P4579=0,"0",G4579*P4579*100-(G4579*$AF$14))))</f>
        <v/>
      </c>
      <c r="R4579" s="79">
        <f>IF(P4579&lt;&gt;"", TODAY(), "")</f>
        <v/>
      </c>
      <c r="S4579" s="78">
        <f>IF(AND(K4579&lt;&gt;"", R4579&lt;&gt;""), R4579-K4579, "")</f>
        <v/>
      </c>
      <c r="T4579" s="78" t="n"/>
      <c r="U4579" s="92">
        <f>IF(ISBLANK(P4579),"",IF(C4579="Buy",Q4579-M4579+T4579, IF(C4579="Sell",M4579-Q4579-T4579, X)))</f>
        <v/>
      </c>
      <c r="V4579" s="81">
        <f>IF(ISBLANK(P4579),"",U4579/N4579)</f>
        <v/>
      </c>
      <c r="W4579" s="81">
        <f>IF(ISBLANK(P4579),"",IF(S4579=0,(365/0.5)*V4579,(365/S4579)*V4579))</f>
        <v/>
      </c>
      <c r="X4579" s="75" t="n"/>
      <c r="Y4579" s="77" t="n"/>
      <c r="Z4579" s="77" t="n"/>
      <c r="AA4579" s="75" t="n"/>
      <c r="AB4579" s="75" t="n"/>
      <c r="AC4579" s="6" t="n"/>
      <c r="AD4579" s="75" t="n"/>
      <c r="AE4579" s="75" t="n"/>
      <c r="AF4579" s="75" t="n"/>
    </row>
    <row r="4580" ht="15.75" customHeight="1" s="133">
      <c r="A4580" s="75" t="n"/>
      <c r="B4580" s="75" t="n"/>
      <c r="C4580" s="75" t="n"/>
      <c r="D4580" s="75" t="n"/>
      <c r="E4580" s="76" t="n"/>
      <c r="F4580" s="77" t="n"/>
      <c r="G4580" s="75" t="n"/>
      <c r="H4580" s="75">
        <f>IF(ISBLANK(E4580),"",IF(OR(D4580="Butterfly",D4580="Butterfly ",D4580="Iron Fly", D4580="Iron Fly "),LEN(E4580)-LEN(SUBSTITUTE(E4580,"/",""))+2,LEN(E4580)-LEN(SUBSTITUTE(E4580,"/",""))+1))</f>
        <v/>
      </c>
      <c r="I4580" s="78">
        <f>IF(ISBLANK(G4580),"",IF(D4580="Stock","0",Key!$A$3*H4580*G4580))</f>
        <v/>
      </c>
      <c r="J4580" s="78">
        <f>IF(ISBLANK(E4580),"",IF(ISNUMBER(SEARCH("/",E4580)), IF(LEN(E4580)-LEN(SUBSTITUTE(E4580,"/",""))=1,(RIGHT(E4580,LEN(E4580)-FIND("/",E4580)))-(LEFT(E4580,FIND("/",E4580)-1)),(MID(E4580, SEARCH("/",E4580) + 1, SEARCH("/",E4580, SEARCH("/",E4580)+1) - SEARCH("/",E4580) - 1))-(LEFT(E4580,FIND("/",E4580)-1))), "NA"))</f>
        <v/>
      </c>
      <c r="K4580" s="79">
        <f>IF(A4580&lt;&gt;"", IF(ISBLANK(L4580), TODAY(), K4580), "")</f>
        <v/>
      </c>
      <c r="L4580" s="78" t="n"/>
      <c r="M4580" s="78">
        <f>IF(ISBLANK(L4580),"",IF(D4580="Stock",IF(C4580="Buy",L4580*G4580,IF(C4580="Sell",(L4580*G4580)-I4580, X)),IF(C4580="Buy",(L4580*G4580*100)+I4580,IF(C4580="Sell",(L4580*G4580*100)-I4580, X))))</f>
        <v/>
      </c>
      <c r="N4580" s="78">
        <f>IF(ISBLANK(L4580),"",IF(AND(C4580="Sell",D4580="Stock"),M4580,IF(ISBLANK(L4580),"",IF(C4580="Buy",M4580, IF(AND(C4580="Sell",J4580="NA"),(E4580*G4580*100*0.1)+I4580, IF(C4580="Sell",(J4580-L4580)*(100*G4580)+I4580))))))</f>
        <v/>
      </c>
      <c r="O4580" s="75" t="n"/>
      <c r="P4580" s="75" t="n"/>
      <c r="Q4580" s="75">
        <f>IF(ISBLANK(P4580),"",IF(D4580="Stock",P4580*G4580,IF(P4580=0,"0",G4580*P4580*100-(G4580*$AF$14))))</f>
        <v/>
      </c>
      <c r="R4580" s="79">
        <f>IF(P4580&lt;&gt;"", TODAY(), "")</f>
        <v/>
      </c>
      <c r="S4580" s="78">
        <f>IF(AND(K4580&lt;&gt;"", R4580&lt;&gt;""), R4580-K4580, "")</f>
        <v/>
      </c>
      <c r="T4580" s="78" t="n"/>
      <c r="U4580" s="92">
        <f>IF(ISBLANK(P4580),"",IF(C4580="Buy",Q4580-M4580+T4580, IF(C4580="Sell",M4580-Q4580-T4580, X)))</f>
        <v/>
      </c>
      <c r="V4580" s="81">
        <f>IF(ISBLANK(P4580),"",U4580/N4580)</f>
        <v/>
      </c>
      <c r="W4580" s="81">
        <f>IF(ISBLANK(P4580),"",IF(S4580=0,(365/0.5)*V4580,(365/S4580)*V4580))</f>
        <v/>
      </c>
      <c r="X4580" s="75" t="n"/>
      <c r="Y4580" s="77" t="n"/>
      <c r="Z4580" s="77" t="n"/>
      <c r="AA4580" s="75" t="n"/>
      <c r="AB4580" s="75" t="n"/>
      <c r="AC4580" s="6" t="n"/>
      <c r="AD4580" s="75" t="n"/>
      <c r="AE4580" s="75" t="n"/>
      <c r="AF4580" s="75" t="n"/>
    </row>
    <row r="4581" ht="15.75" customHeight="1" s="133">
      <c r="A4581" s="75" t="n"/>
      <c r="B4581" s="75" t="n"/>
      <c r="C4581" s="75" t="n"/>
      <c r="D4581" s="75" t="n"/>
      <c r="E4581" s="76" t="n"/>
      <c r="F4581" s="77" t="n"/>
      <c r="G4581" s="75" t="n"/>
      <c r="H4581" s="75">
        <f>IF(ISBLANK(E4581),"",IF(OR(D4581="Butterfly",D4581="Butterfly ",D4581="Iron Fly", D4581="Iron Fly "),LEN(E4581)-LEN(SUBSTITUTE(E4581,"/",""))+2,LEN(E4581)-LEN(SUBSTITUTE(E4581,"/",""))+1))</f>
        <v/>
      </c>
      <c r="I4581" s="78">
        <f>IF(ISBLANK(G4581),"",IF(D4581="Stock","0",Key!$A$3*H4581*G4581))</f>
        <v/>
      </c>
      <c r="J4581" s="78">
        <f>IF(ISBLANK(E4581),"",IF(ISNUMBER(SEARCH("/",E4581)), IF(LEN(E4581)-LEN(SUBSTITUTE(E4581,"/",""))=1,(RIGHT(E4581,LEN(E4581)-FIND("/",E4581)))-(LEFT(E4581,FIND("/",E4581)-1)),(MID(E4581, SEARCH("/",E4581) + 1, SEARCH("/",E4581, SEARCH("/",E4581)+1) - SEARCH("/",E4581) - 1))-(LEFT(E4581,FIND("/",E4581)-1))), "NA"))</f>
        <v/>
      </c>
      <c r="K4581" s="79">
        <f>IF(A4581&lt;&gt;"", IF(ISBLANK(L4581), TODAY(), K4581), "")</f>
        <v/>
      </c>
      <c r="L4581" s="78" t="n"/>
      <c r="M4581" s="78">
        <f>IF(ISBLANK(L4581),"",IF(D4581="Stock",IF(C4581="Buy",L4581*G4581,IF(C4581="Sell",(L4581*G4581)-I4581, X)),IF(C4581="Buy",(L4581*G4581*100)+I4581,IF(C4581="Sell",(L4581*G4581*100)-I4581, X))))</f>
        <v/>
      </c>
      <c r="N4581" s="78">
        <f>IF(ISBLANK(L4581),"",IF(AND(C4581="Sell",D4581="Stock"),M4581,IF(ISBLANK(L4581),"",IF(C4581="Buy",M4581, IF(AND(C4581="Sell",J4581="NA"),(E4581*G4581*100*0.1)+I4581, IF(C4581="Sell",(J4581-L4581)*(100*G4581)+I4581))))))</f>
        <v/>
      </c>
      <c r="O4581" s="75" t="n"/>
      <c r="P4581" s="75" t="n"/>
      <c r="Q4581" s="75">
        <f>IF(ISBLANK(P4581),"",IF(D4581="Stock",P4581*G4581,IF(P4581=0,"0",G4581*P4581*100-(G4581*$AF$14))))</f>
        <v/>
      </c>
      <c r="R4581" s="79">
        <f>IF(P4581&lt;&gt;"", TODAY(), "")</f>
        <v/>
      </c>
      <c r="S4581" s="78">
        <f>IF(AND(K4581&lt;&gt;"", R4581&lt;&gt;""), R4581-K4581, "")</f>
        <v/>
      </c>
      <c r="T4581" s="78" t="n"/>
      <c r="U4581" s="92">
        <f>IF(ISBLANK(P4581),"",IF(C4581="Buy",Q4581-M4581+T4581, IF(C4581="Sell",M4581-Q4581-T4581, X)))</f>
        <v/>
      </c>
      <c r="V4581" s="81">
        <f>IF(ISBLANK(P4581),"",U4581/N4581)</f>
        <v/>
      </c>
      <c r="W4581" s="81">
        <f>IF(ISBLANK(P4581),"",IF(S4581=0,(365/0.5)*V4581,(365/S4581)*V4581))</f>
        <v/>
      </c>
      <c r="X4581" s="75" t="n"/>
      <c r="Y4581" s="77" t="n"/>
      <c r="Z4581" s="77" t="n"/>
      <c r="AA4581" s="75" t="n"/>
      <c r="AB4581" s="75" t="n"/>
      <c r="AC4581" s="6" t="n"/>
      <c r="AD4581" s="75" t="n"/>
      <c r="AE4581" s="75" t="n"/>
      <c r="AF4581" s="75" t="n"/>
    </row>
    <row r="4582" ht="15.75" customHeight="1" s="133">
      <c r="A4582" s="75" t="n"/>
      <c r="B4582" s="75" t="n"/>
      <c r="C4582" s="75" t="n"/>
      <c r="D4582" s="75" t="n"/>
      <c r="E4582" s="76" t="n"/>
      <c r="F4582" s="77" t="n"/>
      <c r="G4582" s="75" t="n"/>
      <c r="H4582" s="75">
        <f>IF(ISBLANK(E4582),"",IF(OR(D4582="Butterfly",D4582="Butterfly ",D4582="Iron Fly", D4582="Iron Fly "),LEN(E4582)-LEN(SUBSTITUTE(E4582,"/",""))+2,LEN(E4582)-LEN(SUBSTITUTE(E4582,"/",""))+1))</f>
        <v/>
      </c>
      <c r="I4582" s="78">
        <f>IF(ISBLANK(G4582),"",IF(D4582="Stock","0",Key!$A$3*H4582*G4582))</f>
        <v/>
      </c>
      <c r="J4582" s="78">
        <f>IF(ISBLANK(E4582),"",IF(ISNUMBER(SEARCH("/",E4582)), IF(LEN(E4582)-LEN(SUBSTITUTE(E4582,"/",""))=1,(RIGHT(E4582,LEN(E4582)-FIND("/",E4582)))-(LEFT(E4582,FIND("/",E4582)-1)),(MID(E4582, SEARCH("/",E4582) + 1, SEARCH("/",E4582, SEARCH("/",E4582)+1) - SEARCH("/",E4582) - 1))-(LEFT(E4582,FIND("/",E4582)-1))), "NA"))</f>
        <v/>
      </c>
      <c r="K4582" s="79">
        <f>IF(A4582&lt;&gt;"", IF(ISBLANK(L4582), TODAY(), K4582), "")</f>
        <v/>
      </c>
      <c r="L4582" s="78" t="n"/>
      <c r="M4582" s="78">
        <f>IF(ISBLANK(L4582),"",IF(D4582="Stock",IF(C4582="Buy",L4582*G4582,IF(C4582="Sell",(L4582*G4582)-I4582, X)),IF(C4582="Buy",(L4582*G4582*100)+I4582,IF(C4582="Sell",(L4582*G4582*100)-I4582, X))))</f>
        <v/>
      </c>
      <c r="N4582" s="78">
        <f>IF(ISBLANK(L4582),"",IF(AND(C4582="Sell",D4582="Stock"),M4582,IF(ISBLANK(L4582),"",IF(C4582="Buy",M4582, IF(AND(C4582="Sell",J4582="NA"),(E4582*G4582*100*0.1)+I4582, IF(C4582="Sell",(J4582-L4582)*(100*G4582)+I4582))))))</f>
        <v/>
      </c>
      <c r="O4582" s="75" t="n"/>
      <c r="P4582" s="75" t="n"/>
      <c r="Q4582" s="75">
        <f>IF(ISBLANK(P4582),"",IF(D4582="Stock",P4582*G4582,IF(P4582=0,"0",G4582*P4582*100-(G4582*$AF$14))))</f>
        <v/>
      </c>
      <c r="R4582" s="79">
        <f>IF(P4582&lt;&gt;"", TODAY(), "")</f>
        <v/>
      </c>
      <c r="S4582" s="78">
        <f>IF(AND(K4582&lt;&gt;"", R4582&lt;&gt;""), R4582-K4582, "")</f>
        <v/>
      </c>
      <c r="T4582" s="78" t="n"/>
      <c r="U4582" s="92">
        <f>IF(ISBLANK(P4582),"",IF(C4582="Buy",Q4582-M4582+T4582, IF(C4582="Sell",M4582-Q4582-T4582, X)))</f>
        <v/>
      </c>
      <c r="V4582" s="81">
        <f>IF(ISBLANK(P4582),"",U4582/N4582)</f>
        <v/>
      </c>
      <c r="W4582" s="81">
        <f>IF(ISBLANK(P4582),"",IF(S4582=0,(365/0.5)*V4582,(365/S4582)*V4582))</f>
        <v/>
      </c>
      <c r="X4582" s="75" t="n"/>
      <c r="Y4582" s="77" t="n"/>
      <c r="Z4582" s="77" t="n"/>
      <c r="AA4582" s="75" t="n"/>
      <c r="AB4582" s="75" t="n"/>
      <c r="AC4582" s="6" t="n"/>
      <c r="AD4582" s="75" t="n"/>
      <c r="AE4582" s="75" t="n"/>
      <c r="AF4582" s="75" t="n"/>
    </row>
    <row r="4583" ht="15.75" customHeight="1" s="133">
      <c r="A4583" s="75" t="n"/>
      <c r="B4583" s="75" t="n"/>
      <c r="C4583" s="75" t="n"/>
      <c r="D4583" s="75" t="n"/>
      <c r="E4583" s="76" t="n"/>
      <c r="F4583" s="77" t="n"/>
      <c r="G4583" s="75" t="n"/>
      <c r="H4583" s="75">
        <f>IF(ISBLANK(E4583),"",IF(OR(D4583="Butterfly",D4583="Butterfly ",D4583="Iron Fly", D4583="Iron Fly "),LEN(E4583)-LEN(SUBSTITUTE(E4583,"/",""))+2,LEN(E4583)-LEN(SUBSTITUTE(E4583,"/",""))+1))</f>
        <v/>
      </c>
      <c r="I4583" s="78">
        <f>IF(ISBLANK(G4583),"",IF(D4583="Stock","0",Key!$A$3*H4583*G4583))</f>
        <v/>
      </c>
      <c r="J4583" s="78">
        <f>IF(ISBLANK(E4583),"",IF(ISNUMBER(SEARCH("/",E4583)), IF(LEN(E4583)-LEN(SUBSTITUTE(E4583,"/",""))=1,(RIGHT(E4583,LEN(E4583)-FIND("/",E4583)))-(LEFT(E4583,FIND("/",E4583)-1)),(MID(E4583, SEARCH("/",E4583) + 1, SEARCH("/",E4583, SEARCH("/",E4583)+1) - SEARCH("/",E4583) - 1))-(LEFT(E4583,FIND("/",E4583)-1))), "NA"))</f>
        <v/>
      </c>
      <c r="K4583" s="79">
        <f>IF(A4583&lt;&gt;"", IF(ISBLANK(L4583), TODAY(), K4583), "")</f>
        <v/>
      </c>
      <c r="L4583" s="78" t="n"/>
      <c r="M4583" s="78">
        <f>IF(ISBLANK(L4583),"",IF(D4583="Stock",IF(C4583="Buy",L4583*G4583,IF(C4583="Sell",(L4583*G4583)-I4583, X)),IF(C4583="Buy",(L4583*G4583*100)+I4583,IF(C4583="Sell",(L4583*G4583*100)-I4583, X))))</f>
        <v/>
      </c>
      <c r="N4583" s="78">
        <f>IF(ISBLANK(L4583),"",IF(AND(C4583="Sell",D4583="Stock"),M4583,IF(ISBLANK(L4583),"",IF(C4583="Buy",M4583, IF(AND(C4583="Sell",J4583="NA"),(E4583*G4583*100*0.1)+I4583, IF(C4583="Sell",(J4583-L4583)*(100*G4583)+I4583))))))</f>
        <v/>
      </c>
      <c r="O4583" s="75" t="n"/>
      <c r="P4583" s="75" t="n"/>
      <c r="Q4583" s="75">
        <f>IF(ISBLANK(P4583),"",IF(D4583="Stock",P4583*G4583,IF(P4583=0,"0",G4583*P4583*100-(G4583*$AF$14))))</f>
        <v/>
      </c>
      <c r="R4583" s="79">
        <f>IF(P4583&lt;&gt;"", TODAY(), "")</f>
        <v/>
      </c>
      <c r="S4583" s="78">
        <f>IF(AND(K4583&lt;&gt;"", R4583&lt;&gt;""), R4583-K4583, "")</f>
        <v/>
      </c>
      <c r="T4583" s="78" t="n"/>
      <c r="U4583" s="92">
        <f>IF(ISBLANK(P4583),"",IF(C4583="Buy",Q4583-M4583+T4583, IF(C4583="Sell",M4583-Q4583-T4583, X)))</f>
        <v/>
      </c>
      <c r="V4583" s="81">
        <f>IF(ISBLANK(P4583),"",U4583/N4583)</f>
        <v/>
      </c>
      <c r="W4583" s="81">
        <f>IF(ISBLANK(P4583),"",IF(S4583=0,(365/0.5)*V4583,(365/S4583)*V4583))</f>
        <v/>
      </c>
      <c r="X4583" s="75" t="n"/>
      <c r="Y4583" s="77" t="n"/>
      <c r="Z4583" s="77" t="n"/>
      <c r="AA4583" s="75" t="n"/>
      <c r="AB4583" s="75" t="n"/>
      <c r="AC4583" s="6" t="n"/>
      <c r="AD4583" s="75" t="n"/>
      <c r="AE4583" s="75" t="n"/>
      <c r="AF4583" s="75" t="n"/>
    </row>
    <row r="4584" ht="15.75" customHeight="1" s="133">
      <c r="A4584" s="75" t="n"/>
      <c r="B4584" s="75" t="n"/>
      <c r="C4584" s="75" t="n"/>
      <c r="D4584" s="75" t="n"/>
      <c r="E4584" s="76" t="n"/>
      <c r="F4584" s="77" t="n"/>
      <c r="G4584" s="75" t="n"/>
      <c r="H4584" s="75">
        <f>IF(ISBLANK(E4584),"",IF(OR(D4584="Butterfly",D4584="Butterfly ",D4584="Iron Fly", D4584="Iron Fly "),LEN(E4584)-LEN(SUBSTITUTE(E4584,"/",""))+2,LEN(E4584)-LEN(SUBSTITUTE(E4584,"/",""))+1))</f>
        <v/>
      </c>
      <c r="I4584" s="78">
        <f>IF(ISBLANK(G4584),"",IF(D4584="Stock","0",Key!$A$3*H4584*G4584))</f>
        <v/>
      </c>
      <c r="J4584" s="78">
        <f>IF(ISBLANK(E4584),"",IF(ISNUMBER(SEARCH("/",E4584)), IF(LEN(E4584)-LEN(SUBSTITUTE(E4584,"/",""))=1,(RIGHT(E4584,LEN(E4584)-FIND("/",E4584)))-(LEFT(E4584,FIND("/",E4584)-1)),(MID(E4584, SEARCH("/",E4584) + 1, SEARCH("/",E4584, SEARCH("/",E4584)+1) - SEARCH("/",E4584) - 1))-(LEFT(E4584,FIND("/",E4584)-1))), "NA"))</f>
        <v/>
      </c>
      <c r="K4584" s="79">
        <f>IF(A4584&lt;&gt;"", IF(ISBLANK(L4584), TODAY(), K4584), "")</f>
        <v/>
      </c>
      <c r="L4584" s="78" t="n"/>
      <c r="M4584" s="78">
        <f>IF(ISBLANK(L4584),"",IF(D4584="Stock",IF(C4584="Buy",L4584*G4584,IF(C4584="Sell",(L4584*G4584)-I4584, X)),IF(C4584="Buy",(L4584*G4584*100)+I4584,IF(C4584="Sell",(L4584*G4584*100)-I4584, X))))</f>
        <v/>
      </c>
      <c r="N4584" s="78">
        <f>IF(ISBLANK(L4584),"",IF(AND(C4584="Sell",D4584="Stock"),M4584,IF(ISBLANK(L4584),"",IF(C4584="Buy",M4584, IF(AND(C4584="Sell",J4584="NA"),(E4584*G4584*100*0.1)+I4584, IF(C4584="Sell",(J4584-L4584)*(100*G4584)+I4584))))))</f>
        <v/>
      </c>
      <c r="O4584" s="75" t="n"/>
      <c r="P4584" s="75" t="n"/>
      <c r="Q4584" s="75">
        <f>IF(ISBLANK(P4584),"",IF(D4584="Stock",P4584*G4584,IF(P4584=0,"0",G4584*P4584*100-(G4584*$AF$14))))</f>
        <v/>
      </c>
      <c r="R4584" s="79">
        <f>IF(P4584&lt;&gt;"", TODAY(), "")</f>
        <v/>
      </c>
      <c r="S4584" s="78">
        <f>IF(AND(K4584&lt;&gt;"", R4584&lt;&gt;""), R4584-K4584, "")</f>
        <v/>
      </c>
      <c r="T4584" s="78" t="n"/>
      <c r="U4584" s="92">
        <f>IF(ISBLANK(P4584),"",IF(C4584="Buy",Q4584-M4584+T4584, IF(C4584="Sell",M4584-Q4584-T4584, X)))</f>
        <v/>
      </c>
      <c r="V4584" s="81">
        <f>IF(ISBLANK(P4584),"",U4584/N4584)</f>
        <v/>
      </c>
      <c r="W4584" s="81">
        <f>IF(ISBLANK(P4584),"",IF(S4584=0,(365/0.5)*V4584,(365/S4584)*V4584))</f>
        <v/>
      </c>
      <c r="X4584" s="75" t="n"/>
      <c r="Y4584" s="77" t="n"/>
      <c r="Z4584" s="77" t="n"/>
      <c r="AA4584" s="75" t="n"/>
      <c r="AB4584" s="75" t="n"/>
      <c r="AC4584" s="6" t="n"/>
      <c r="AD4584" s="75" t="n"/>
      <c r="AE4584" s="75" t="n"/>
      <c r="AF4584" s="75" t="n"/>
    </row>
    <row r="4585" ht="15.75" customHeight="1" s="133">
      <c r="A4585" s="75" t="n"/>
      <c r="B4585" s="75" t="n"/>
      <c r="C4585" s="75" t="n"/>
      <c r="D4585" s="75" t="n"/>
      <c r="E4585" s="76" t="n"/>
      <c r="F4585" s="77" t="n"/>
      <c r="G4585" s="75" t="n"/>
      <c r="H4585" s="75">
        <f>IF(ISBLANK(E4585),"",IF(OR(D4585="Butterfly",D4585="Butterfly ",D4585="Iron Fly", D4585="Iron Fly "),LEN(E4585)-LEN(SUBSTITUTE(E4585,"/",""))+2,LEN(E4585)-LEN(SUBSTITUTE(E4585,"/",""))+1))</f>
        <v/>
      </c>
      <c r="I4585" s="78">
        <f>IF(ISBLANK(G4585),"",IF(D4585="Stock","0",Key!$A$3*H4585*G4585))</f>
        <v/>
      </c>
      <c r="J4585" s="78">
        <f>IF(ISBLANK(E4585),"",IF(ISNUMBER(SEARCH("/",E4585)), IF(LEN(E4585)-LEN(SUBSTITUTE(E4585,"/",""))=1,(RIGHT(E4585,LEN(E4585)-FIND("/",E4585)))-(LEFT(E4585,FIND("/",E4585)-1)),(MID(E4585, SEARCH("/",E4585) + 1, SEARCH("/",E4585, SEARCH("/",E4585)+1) - SEARCH("/",E4585) - 1))-(LEFT(E4585,FIND("/",E4585)-1))), "NA"))</f>
        <v/>
      </c>
      <c r="K4585" s="79">
        <f>IF(A4585&lt;&gt;"", IF(ISBLANK(L4585), TODAY(), K4585), "")</f>
        <v/>
      </c>
      <c r="L4585" s="78" t="n"/>
      <c r="M4585" s="78">
        <f>IF(ISBLANK(L4585),"",IF(D4585="Stock",IF(C4585="Buy",L4585*G4585,IF(C4585="Sell",(L4585*G4585)-I4585, X)),IF(C4585="Buy",(L4585*G4585*100)+I4585,IF(C4585="Sell",(L4585*G4585*100)-I4585, X))))</f>
        <v/>
      </c>
      <c r="N4585" s="78">
        <f>IF(ISBLANK(L4585),"",IF(AND(C4585="Sell",D4585="Stock"),M4585,IF(ISBLANK(L4585),"",IF(C4585="Buy",M4585, IF(AND(C4585="Sell",J4585="NA"),(E4585*G4585*100*0.1)+I4585, IF(C4585="Sell",(J4585-L4585)*(100*G4585)+I4585))))))</f>
        <v/>
      </c>
      <c r="O4585" s="75" t="n"/>
      <c r="P4585" s="75" t="n"/>
      <c r="Q4585" s="75">
        <f>IF(ISBLANK(P4585),"",IF(D4585="Stock",P4585*G4585,IF(P4585=0,"0",G4585*P4585*100-(G4585*$AF$14))))</f>
        <v/>
      </c>
      <c r="R4585" s="79">
        <f>IF(P4585&lt;&gt;"", TODAY(), "")</f>
        <v/>
      </c>
      <c r="S4585" s="78">
        <f>IF(AND(K4585&lt;&gt;"", R4585&lt;&gt;""), R4585-K4585, "")</f>
        <v/>
      </c>
      <c r="T4585" s="78" t="n"/>
      <c r="U4585" s="92">
        <f>IF(ISBLANK(P4585),"",IF(C4585="Buy",Q4585-M4585+T4585, IF(C4585="Sell",M4585-Q4585-T4585, X)))</f>
        <v/>
      </c>
      <c r="V4585" s="81">
        <f>IF(ISBLANK(P4585),"",U4585/N4585)</f>
        <v/>
      </c>
      <c r="W4585" s="81">
        <f>IF(ISBLANK(P4585),"",IF(S4585=0,(365/0.5)*V4585,(365/S4585)*V4585))</f>
        <v/>
      </c>
      <c r="X4585" s="75" t="n"/>
      <c r="Y4585" s="77" t="n"/>
      <c r="Z4585" s="77" t="n"/>
      <c r="AA4585" s="75" t="n"/>
      <c r="AB4585" s="75" t="n"/>
      <c r="AC4585" s="6" t="n"/>
      <c r="AD4585" s="75" t="n"/>
      <c r="AE4585" s="75" t="n"/>
      <c r="AF4585" s="75" t="n"/>
    </row>
    <row r="4586" ht="15.75" customHeight="1" s="133">
      <c r="A4586" s="75" t="n"/>
      <c r="B4586" s="75" t="n"/>
      <c r="C4586" s="75" t="n"/>
      <c r="D4586" s="75" t="n"/>
      <c r="E4586" s="76" t="n"/>
      <c r="F4586" s="77" t="n"/>
      <c r="G4586" s="75" t="n"/>
      <c r="H4586" s="75">
        <f>IF(ISBLANK(E4586),"",IF(OR(D4586="Butterfly",D4586="Butterfly ",D4586="Iron Fly", D4586="Iron Fly "),LEN(E4586)-LEN(SUBSTITUTE(E4586,"/",""))+2,LEN(E4586)-LEN(SUBSTITUTE(E4586,"/",""))+1))</f>
        <v/>
      </c>
      <c r="I4586" s="78">
        <f>IF(ISBLANK(G4586),"",IF(D4586="Stock","0",Key!$A$3*H4586*G4586))</f>
        <v/>
      </c>
      <c r="J4586" s="78">
        <f>IF(ISBLANK(E4586),"",IF(ISNUMBER(SEARCH("/",E4586)), IF(LEN(E4586)-LEN(SUBSTITUTE(E4586,"/",""))=1,(RIGHT(E4586,LEN(E4586)-FIND("/",E4586)))-(LEFT(E4586,FIND("/",E4586)-1)),(MID(E4586, SEARCH("/",E4586) + 1, SEARCH("/",E4586, SEARCH("/",E4586)+1) - SEARCH("/",E4586) - 1))-(LEFT(E4586,FIND("/",E4586)-1))), "NA"))</f>
        <v/>
      </c>
      <c r="K4586" s="79">
        <f>IF(A4586&lt;&gt;"", IF(ISBLANK(L4586), TODAY(), K4586), "")</f>
        <v/>
      </c>
      <c r="L4586" s="78" t="n"/>
      <c r="M4586" s="78">
        <f>IF(ISBLANK(L4586),"",IF(D4586="Stock",IF(C4586="Buy",L4586*G4586,IF(C4586="Sell",(L4586*G4586)-I4586, X)),IF(C4586="Buy",(L4586*G4586*100)+I4586,IF(C4586="Sell",(L4586*G4586*100)-I4586, X))))</f>
        <v/>
      </c>
      <c r="N4586" s="78">
        <f>IF(ISBLANK(L4586),"",IF(AND(C4586="Sell",D4586="Stock"),M4586,IF(ISBLANK(L4586),"",IF(C4586="Buy",M4586, IF(AND(C4586="Sell",J4586="NA"),(E4586*G4586*100*0.1)+I4586, IF(C4586="Sell",(J4586-L4586)*(100*G4586)+I4586))))))</f>
        <v/>
      </c>
      <c r="O4586" s="75" t="n"/>
      <c r="P4586" s="75" t="n"/>
      <c r="Q4586" s="75">
        <f>IF(ISBLANK(P4586),"",IF(D4586="Stock",P4586*G4586,IF(P4586=0,"0",G4586*P4586*100-(G4586*$AF$14))))</f>
        <v/>
      </c>
      <c r="R4586" s="79">
        <f>IF(P4586&lt;&gt;"", TODAY(), "")</f>
        <v/>
      </c>
      <c r="S4586" s="78">
        <f>IF(AND(K4586&lt;&gt;"", R4586&lt;&gt;""), R4586-K4586, "")</f>
        <v/>
      </c>
      <c r="T4586" s="78" t="n"/>
      <c r="U4586" s="92">
        <f>IF(ISBLANK(P4586),"",IF(C4586="Buy",Q4586-M4586+T4586, IF(C4586="Sell",M4586-Q4586-T4586, X)))</f>
        <v/>
      </c>
      <c r="V4586" s="81">
        <f>IF(ISBLANK(P4586),"",U4586/N4586)</f>
        <v/>
      </c>
      <c r="W4586" s="81">
        <f>IF(ISBLANK(P4586),"",IF(S4586=0,(365/0.5)*V4586,(365/S4586)*V4586))</f>
        <v/>
      </c>
      <c r="X4586" s="75" t="n"/>
      <c r="Y4586" s="77" t="n"/>
      <c r="Z4586" s="77" t="n"/>
      <c r="AA4586" s="75" t="n"/>
      <c r="AB4586" s="75" t="n"/>
      <c r="AC4586" s="6" t="n"/>
      <c r="AD4586" s="75" t="n"/>
      <c r="AE4586" s="75" t="n"/>
      <c r="AF4586" s="75" t="n"/>
    </row>
    <row r="4587" ht="15.75" customHeight="1" s="133">
      <c r="A4587" s="75" t="n"/>
      <c r="B4587" s="75" t="n"/>
      <c r="C4587" s="75" t="n"/>
      <c r="D4587" s="75" t="n"/>
      <c r="E4587" s="76" t="n"/>
      <c r="F4587" s="77" t="n"/>
      <c r="G4587" s="75" t="n"/>
      <c r="H4587" s="75">
        <f>IF(ISBLANK(E4587),"",IF(OR(D4587="Butterfly",D4587="Butterfly ",D4587="Iron Fly", D4587="Iron Fly "),LEN(E4587)-LEN(SUBSTITUTE(E4587,"/",""))+2,LEN(E4587)-LEN(SUBSTITUTE(E4587,"/",""))+1))</f>
        <v/>
      </c>
      <c r="I4587" s="78">
        <f>IF(ISBLANK(G4587),"",IF(D4587="Stock","0",Key!$A$3*H4587*G4587))</f>
        <v/>
      </c>
      <c r="J4587" s="78">
        <f>IF(ISBLANK(E4587),"",IF(ISNUMBER(SEARCH("/",E4587)), IF(LEN(E4587)-LEN(SUBSTITUTE(E4587,"/",""))=1,(RIGHT(E4587,LEN(E4587)-FIND("/",E4587)))-(LEFT(E4587,FIND("/",E4587)-1)),(MID(E4587, SEARCH("/",E4587) + 1, SEARCH("/",E4587, SEARCH("/",E4587)+1) - SEARCH("/",E4587) - 1))-(LEFT(E4587,FIND("/",E4587)-1))), "NA"))</f>
        <v/>
      </c>
      <c r="K4587" s="79">
        <f>IF(A4587&lt;&gt;"", IF(ISBLANK(L4587), TODAY(), K4587), "")</f>
        <v/>
      </c>
      <c r="L4587" s="78" t="n"/>
      <c r="M4587" s="78">
        <f>IF(ISBLANK(L4587),"",IF(D4587="Stock",IF(C4587="Buy",L4587*G4587,IF(C4587="Sell",(L4587*G4587)-I4587, X)),IF(C4587="Buy",(L4587*G4587*100)+I4587,IF(C4587="Sell",(L4587*G4587*100)-I4587, X))))</f>
        <v/>
      </c>
      <c r="N4587" s="78">
        <f>IF(ISBLANK(L4587),"",IF(AND(C4587="Sell",D4587="Stock"),M4587,IF(ISBLANK(L4587),"",IF(C4587="Buy",M4587, IF(AND(C4587="Sell",J4587="NA"),(E4587*G4587*100*0.1)+I4587, IF(C4587="Sell",(J4587-L4587)*(100*G4587)+I4587))))))</f>
        <v/>
      </c>
      <c r="O4587" s="75" t="n"/>
      <c r="P4587" s="75" t="n"/>
      <c r="Q4587" s="75">
        <f>IF(ISBLANK(P4587),"",IF(D4587="Stock",P4587*G4587,IF(P4587=0,"0",G4587*P4587*100-(G4587*$AF$14))))</f>
        <v/>
      </c>
      <c r="R4587" s="79">
        <f>IF(P4587&lt;&gt;"", TODAY(), "")</f>
        <v/>
      </c>
      <c r="S4587" s="78">
        <f>IF(AND(K4587&lt;&gt;"", R4587&lt;&gt;""), R4587-K4587, "")</f>
        <v/>
      </c>
      <c r="T4587" s="78" t="n"/>
      <c r="U4587" s="92">
        <f>IF(ISBLANK(P4587),"",IF(C4587="Buy",Q4587-M4587+T4587, IF(C4587="Sell",M4587-Q4587-T4587, X)))</f>
        <v/>
      </c>
      <c r="V4587" s="81">
        <f>IF(ISBLANK(P4587),"",U4587/N4587)</f>
        <v/>
      </c>
      <c r="W4587" s="81">
        <f>IF(ISBLANK(P4587),"",IF(S4587=0,(365/0.5)*V4587,(365/S4587)*V4587))</f>
        <v/>
      </c>
      <c r="X4587" s="75" t="n"/>
      <c r="Y4587" s="77" t="n"/>
      <c r="Z4587" s="77" t="n"/>
      <c r="AA4587" s="75" t="n"/>
      <c r="AB4587" s="75" t="n"/>
      <c r="AC4587" s="6" t="n"/>
      <c r="AD4587" s="75" t="n"/>
      <c r="AE4587" s="75" t="n"/>
      <c r="AF4587" s="75" t="n"/>
    </row>
    <row r="4588" ht="15.75" customHeight="1" s="133">
      <c r="A4588" s="75" t="n"/>
      <c r="B4588" s="75" t="n"/>
      <c r="C4588" s="75" t="n"/>
      <c r="D4588" s="75" t="n"/>
      <c r="E4588" s="76" t="n"/>
      <c r="F4588" s="77" t="n"/>
      <c r="G4588" s="75" t="n"/>
      <c r="H4588" s="75">
        <f>IF(ISBLANK(E4588),"",IF(OR(D4588="Butterfly",D4588="Butterfly ",D4588="Iron Fly", D4588="Iron Fly "),LEN(E4588)-LEN(SUBSTITUTE(E4588,"/",""))+2,LEN(E4588)-LEN(SUBSTITUTE(E4588,"/",""))+1))</f>
        <v/>
      </c>
      <c r="I4588" s="78">
        <f>IF(ISBLANK(G4588),"",IF(D4588="Stock","0",Key!$A$3*H4588*G4588))</f>
        <v/>
      </c>
      <c r="J4588" s="78">
        <f>IF(ISBLANK(E4588),"",IF(ISNUMBER(SEARCH("/",E4588)), IF(LEN(E4588)-LEN(SUBSTITUTE(E4588,"/",""))=1,(RIGHT(E4588,LEN(E4588)-FIND("/",E4588)))-(LEFT(E4588,FIND("/",E4588)-1)),(MID(E4588, SEARCH("/",E4588) + 1, SEARCH("/",E4588, SEARCH("/",E4588)+1) - SEARCH("/",E4588) - 1))-(LEFT(E4588,FIND("/",E4588)-1))), "NA"))</f>
        <v/>
      </c>
      <c r="K4588" s="79">
        <f>IF(A4588&lt;&gt;"", IF(ISBLANK(L4588), TODAY(), K4588), "")</f>
        <v/>
      </c>
      <c r="L4588" s="78" t="n"/>
      <c r="M4588" s="78">
        <f>IF(ISBLANK(L4588),"",IF(D4588="Stock",IF(C4588="Buy",L4588*G4588,IF(C4588="Sell",(L4588*G4588)-I4588, X)),IF(C4588="Buy",(L4588*G4588*100)+I4588,IF(C4588="Sell",(L4588*G4588*100)-I4588, X))))</f>
        <v/>
      </c>
      <c r="N4588" s="78">
        <f>IF(ISBLANK(L4588),"",IF(AND(C4588="Sell",D4588="Stock"),M4588,IF(ISBLANK(L4588),"",IF(C4588="Buy",M4588, IF(AND(C4588="Sell",J4588="NA"),(E4588*G4588*100*0.1)+I4588, IF(C4588="Sell",(J4588-L4588)*(100*G4588)+I4588))))))</f>
        <v/>
      </c>
      <c r="O4588" s="75" t="n"/>
      <c r="P4588" s="75" t="n"/>
      <c r="Q4588" s="75">
        <f>IF(ISBLANK(P4588),"",IF(D4588="Stock",P4588*G4588,IF(P4588=0,"0",G4588*P4588*100-(G4588*$AF$14))))</f>
        <v/>
      </c>
      <c r="R4588" s="79">
        <f>IF(P4588&lt;&gt;"", TODAY(), "")</f>
        <v/>
      </c>
      <c r="S4588" s="78">
        <f>IF(AND(K4588&lt;&gt;"", R4588&lt;&gt;""), R4588-K4588, "")</f>
        <v/>
      </c>
      <c r="T4588" s="78" t="n"/>
      <c r="U4588" s="92">
        <f>IF(ISBLANK(P4588),"",IF(C4588="Buy",Q4588-M4588+T4588, IF(C4588="Sell",M4588-Q4588-T4588, X)))</f>
        <v/>
      </c>
      <c r="V4588" s="81">
        <f>IF(ISBLANK(P4588),"",U4588/N4588)</f>
        <v/>
      </c>
      <c r="W4588" s="81">
        <f>IF(ISBLANK(P4588),"",IF(S4588=0,(365/0.5)*V4588,(365/S4588)*V4588))</f>
        <v/>
      </c>
      <c r="X4588" s="75" t="n"/>
      <c r="Y4588" s="77" t="n"/>
      <c r="Z4588" s="77" t="n"/>
      <c r="AA4588" s="75" t="n"/>
      <c r="AB4588" s="75" t="n"/>
      <c r="AC4588" s="6" t="n"/>
      <c r="AD4588" s="75" t="n"/>
      <c r="AE4588" s="75" t="n"/>
      <c r="AF4588" s="75" t="n"/>
    </row>
    <row r="4589" ht="15.75" customHeight="1" s="133">
      <c r="A4589" s="75" t="n"/>
      <c r="B4589" s="75" t="n"/>
      <c r="C4589" s="75" t="n"/>
      <c r="D4589" s="75" t="n"/>
      <c r="E4589" s="76" t="n"/>
      <c r="F4589" s="77" t="n"/>
      <c r="G4589" s="75" t="n"/>
      <c r="H4589" s="75">
        <f>IF(ISBLANK(E4589),"",IF(OR(D4589="Butterfly",D4589="Butterfly ",D4589="Iron Fly", D4589="Iron Fly "),LEN(E4589)-LEN(SUBSTITUTE(E4589,"/",""))+2,LEN(E4589)-LEN(SUBSTITUTE(E4589,"/",""))+1))</f>
        <v/>
      </c>
      <c r="I4589" s="78">
        <f>IF(ISBLANK(G4589),"",IF(D4589="Stock","0",Key!$A$3*H4589*G4589))</f>
        <v/>
      </c>
      <c r="J4589" s="78">
        <f>IF(ISBLANK(E4589),"",IF(ISNUMBER(SEARCH("/",E4589)), IF(LEN(E4589)-LEN(SUBSTITUTE(E4589,"/",""))=1,(RIGHT(E4589,LEN(E4589)-FIND("/",E4589)))-(LEFT(E4589,FIND("/",E4589)-1)),(MID(E4589, SEARCH("/",E4589) + 1, SEARCH("/",E4589, SEARCH("/",E4589)+1) - SEARCH("/",E4589) - 1))-(LEFT(E4589,FIND("/",E4589)-1))), "NA"))</f>
        <v/>
      </c>
      <c r="K4589" s="79">
        <f>IF(A4589&lt;&gt;"", IF(ISBLANK(L4589), TODAY(), K4589), "")</f>
        <v/>
      </c>
      <c r="L4589" s="78" t="n"/>
      <c r="M4589" s="78">
        <f>IF(ISBLANK(L4589),"",IF(D4589="Stock",IF(C4589="Buy",L4589*G4589,IF(C4589="Sell",(L4589*G4589)-I4589, X)),IF(C4589="Buy",(L4589*G4589*100)+I4589,IF(C4589="Sell",(L4589*G4589*100)-I4589, X))))</f>
        <v/>
      </c>
      <c r="N4589" s="78">
        <f>IF(ISBLANK(L4589),"",IF(AND(C4589="Sell",D4589="Stock"),M4589,IF(ISBLANK(L4589),"",IF(C4589="Buy",M4589, IF(AND(C4589="Sell",J4589="NA"),(E4589*G4589*100*0.1)+I4589, IF(C4589="Sell",(J4589-L4589)*(100*G4589)+I4589))))))</f>
        <v/>
      </c>
      <c r="O4589" s="75" t="n"/>
      <c r="P4589" s="75" t="n"/>
      <c r="Q4589" s="75">
        <f>IF(ISBLANK(P4589),"",IF(D4589="Stock",P4589*G4589,IF(P4589=0,"0",G4589*P4589*100-(G4589*$AF$14))))</f>
        <v/>
      </c>
      <c r="R4589" s="79">
        <f>IF(P4589&lt;&gt;"", TODAY(), "")</f>
        <v/>
      </c>
      <c r="S4589" s="78">
        <f>IF(AND(K4589&lt;&gt;"", R4589&lt;&gt;""), R4589-K4589, "")</f>
        <v/>
      </c>
      <c r="T4589" s="78" t="n"/>
      <c r="U4589" s="92">
        <f>IF(ISBLANK(P4589),"",IF(C4589="Buy",Q4589-M4589+T4589, IF(C4589="Sell",M4589-Q4589-T4589, X)))</f>
        <v/>
      </c>
      <c r="V4589" s="81">
        <f>IF(ISBLANK(P4589),"",U4589/N4589)</f>
        <v/>
      </c>
      <c r="W4589" s="81">
        <f>IF(ISBLANK(P4589),"",IF(S4589=0,(365/0.5)*V4589,(365/S4589)*V4589))</f>
        <v/>
      </c>
      <c r="X4589" s="75" t="n"/>
      <c r="Y4589" s="77" t="n"/>
      <c r="Z4589" s="77" t="n"/>
      <c r="AA4589" s="75" t="n"/>
      <c r="AB4589" s="75" t="n"/>
      <c r="AC4589" s="6" t="n"/>
      <c r="AD4589" s="75" t="n"/>
      <c r="AE4589" s="75" t="n"/>
      <c r="AF4589" s="75" t="n"/>
    </row>
    <row r="4590" ht="15.75" customHeight="1" s="133">
      <c r="A4590" s="75" t="n"/>
      <c r="B4590" s="75" t="n"/>
      <c r="C4590" s="75" t="n"/>
      <c r="D4590" s="75" t="n"/>
      <c r="E4590" s="76" t="n"/>
      <c r="F4590" s="77" t="n"/>
      <c r="G4590" s="75" t="n"/>
      <c r="H4590" s="75">
        <f>IF(ISBLANK(E4590),"",IF(OR(D4590="Butterfly",D4590="Butterfly ",D4590="Iron Fly", D4590="Iron Fly "),LEN(E4590)-LEN(SUBSTITUTE(E4590,"/",""))+2,LEN(E4590)-LEN(SUBSTITUTE(E4590,"/",""))+1))</f>
        <v/>
      </c>
      <c r="I4590" s="78">
        <f>IF(ISBLANK(G4590),"",IF(D4590="Stock","0",Key!$A$3*H4590*G4590))</f>
        <v/>
      </c>
      <c r="J4590" s="78">
        <f>IF(ISBLANK(E4590),"",IF(ISNUMBER(SEARCH("/",E4590)), IF(LEN(E4590)-LEN(SUBSTITUTE(E4590,"/",""))=1,(RIGHT(E4590,LEN(E4590)-FIND("/",E4590)))-(LEFT(E4590,FIND("/",E4590)-1)),(MID(E4590, SEARCH("/",E4590) + 1, SEARCH("/",E4590, SEARCH("/",E4590)+1) - SEARCH("/",E4590) - 1))-(LEFT(E4590,FIND("/",E4590)-1))), "NA"))</f>
        <v/>
      </c>
      <c r="K4590" s="79">
        <f>IF(A4590&lt;&gt;"", IF(ISBLANK(L4590), TODAY(), K4590), "")</f>
        <v/>
      </c>
      <c r="L4590" s="78" t="n"/>
      <c r="M4590" s="78">
        <f>IF(ISBLANK(L4590),"",IF(D4590="Stock",IF(C4590="Buy",L4590*G4590,IF(C4590="Sell",(L4590*G4590)-I4590, X)),IF(C4590="Buy",(L4590*G4590*100)+I4590,IF(C4590="Sell",(L4590*G4590*100)-I4590, X))))</f>
        <v/>
      </c>
      <c r="N4590" s="78">
        <f>IF(ISBLANK(L4590),"",IF(AND(C4590="Sell",D4590="Stock"),M4590,IF(ISBLANK(L4590),"",IF(C4590="Buy",M4590, IF(AND(C4590="Sell",J4590="NA"),(E4590*G4590*100*0.1)+I4590, IF(C4590="Sell",(J4590-L4590)*(100*G4590)+I4590))))))</f>
        <v/>
      </c>
      <c r="O4590" s="75" t="n"/>
      <c r="P4590" s="75" t="n"/>
      <c r="Q4590" s="75">
        <f>IF(ISBLANK(P4590),"",IF(D4590="Stock",P4590*G4590,IF(P4590=0,"0",G4590*P4590*100-(G4590*$AF$14))))</f>
        <v/>
      </c>
      <c r="R4590" s="79">
        <f>IF(P4590&lt;&gt;"", TODAY(), "")</f>
        <v/>
      </c>
      <c r="S4590" s="78">
        <f>IF(AND(K4590&lt;&gt;"", R4590&lt;&gt;""), R4590-K4590, "")</f>
        <v/>
      </c>
      <c r="T4590" s="78" t="n"/>
      <c r="U4590" s="92">
        <f>IF(ISBLANK(P4590),"",IF(C4590="Buy",Q4590-M4590+T4590, IF(C4590="Sell",M4590-Q4590-T4590, X)))</f>
        <v/>
      </c>
      <c r="V4590" s="81">
        <f>IF(ISBLANK(P4590),"",U4590/N4590)</f>
        <v/>
      </c>
      <c r="W4590" s="81">
        <f>IF(ISBLANK(P4590),"",IF(S4590=0,(365/0.5)*V4590,(365/S4590)*V4590))</f>
        <v/>
      </c>
      <c r="X4590" s="75" t="n"/>
      <c r="Y4590" s="77" t="n"/>
      <c r="Z4590" s="77" t="n"/>
      <c r="AA4590" s="75" t="n"/>
      <c r="AB4590" s="75" t="n"/>
      <c r="AC4590" s="6" t="n"/>
      <c r="AD4590" s="75" t="n"/>
      <c r="AE4590" s="75" t="n"/>
      <c r="AF4590" s="75" t="n"/>
    </row>
    <row r="4591" ht="15.75" customHeight="1" s="133">
      <c r="A4591" s="75" t="n"/>
      <c r="B4591" s="75" t="n"/>
      <c r="C4591" s="75" t="n"/>
      <c r="D4591" s="75" t="n"/>
      <c r="E4591" s="76" t="n"/>
      <c r="F4591" s="77" t="n"/>
      <c r="G4591" s="75" t="n"/>
      <c r="H4591" s="75">
        <f>IF(ISBLANK(E4591),"",IF(OR(D4591="Butterfly",D4591="Butterfly ",D4591="Iron Fly", D4591="Iron Fly "),LEN(E4591)-LEN(SUBSTITUTE(E4591,"/",""))+2,LEN(E4591)-LEN(SUBSTITUTE(E4591,"/",""))+1))</f>
        <v/>
      </c>
      <c r="I4591" s="78">
        <f>IF(ISBLANK(G4591),"",IF(D4591="Stock","0",Key!$A$3*H4591*G4591))</f>
        <v/>
      </c>
      <c r="J4591" s="78">
        <f>IF(ISBLANK(E4591),"",IF(ISNUMBER(SEARCH("/",E4591)), IF(LEN(E4591)-LEN(SUBSTITUTE(E4591,"/",""))=1,(RIGHT(E4591,LEN(E4591)-FIND("/",E4591)))-(LEFT(E4591,FIND("/",E4591)-1)),(MID(E4591, SEARCH("/",E4591) + 1, SEARCH("/",E4591, SEARCH("/",E4591)+1) - SEARCH("/",E4591) - 1))-(LEFT(E4591,FIND("/",E4591)-1))), "NA"))</f>
        <v/>
      </c>
      <c r="K4591" s="79">
        <f>IF(A4591&lt;&gt;"", IF(ISBLANK(L4591), TODAY(), K4591), "")</f>
        <v/>
      </c>
      <c r="L4591" s="78" t="n"/>
      <c r="M4591" s="78">
        <f>IF(ISBLANK(L4591),"",IF(D4591="Stock",IF(C4591="Buy",L4591*G4591,IF(C4591="Sell",(L4591*G4591)-I4591, X)),IF(C4591="Buy",(L4591*G4591*100)+I4591,IF(C4591="Sell",(L4591*G4591*100)-I4591, X))))</f>
        <v/>
      </c>
      <c r="N4591" s="78">
        <f>IF(ISBLANK(L4591),"",IF(AND(C4591="Sell",D4591="Stock"),M4591,IF(ISBLANK(L4591),"",IF(C4591="Buy",M4591, IF(AND(C4591="Sell",J4591="NA"),(E4591*G4591*100*0.1)+I4591, IF(C4591="Sell",(J4591-L4591)*(100*G4591)+I4591))))))</f>
        <v/>
      </c>
      <c r="O4591" s="75" t="n"/>
      <c r="P4591" s="75" t="n"/>
      <c r="Q4591" s="75">
        <f>IF(ISBLANK(P4591),"",IF(D4591="Stock",P4591*G4591,IF(P4591=0,"0",G4591*P4591*100-(G4591*$AF$14))))</f>
        <v/>
      </c>
      <c r="R4591" s="79">
        <f>IF(P4591&lt;&gt;"", TODAY(), "")</f>
        <v/>
      </c>
      <c r="S4591" s="78">
        <f>IF(AND(K4591&lt;&gt;"", R4591&lt;&gt;""), R4591-K4591, "")</f>
        <v/>
      </c>
      <c r="T4591" s="78" t="n"/>
      <c r="U4591" s="92">
        <f>IF(ISBLANK(P4591),"",IF(C4591="Buy",Q4591-M4591+T4591, IF(C4591="Sell",M4591-Q4591-T4591, X)))</f>
        <v/>
      </c>
      <c r="V4591" s="81">
        <f>IF(ISBLANK(P4591),"",U4591/N4591)</f>
        <v/>
      </c>
      <c r="W4591" s="81">
        <f>IF(ISBLANK(P4591),"",IF(S4591=0,(365/0.5)*V4591,(365/S4591)*V4591))</f>
        <v/>
      </c>
      <c r="X4591" s="75" t="n"/>
      <c r="Y4591" s="77" t="n"/>
      <c r="Z4591" s="77" t="n"/>
      <c r="AA4591" s="75" t="n"/>
      <c r="AB4591" s="75" t="n"/>
      <c r="AC4591" s="6" t="n"/>
      <c r="AD4591" s="75" t="n"/>
      <c r="AE4591" s="75" t="n"/>
      <c r="AF4591" s="75" t="n"/>
    </row>
    <row r="4592" ht="15.75" customHeight="1" s="133">
      <c r="A4592" s="75" t="n"/>
      <c r="B4592" s="75" t="n"/>
      <c r="C4592" s="75" t="n"/>
      <c r="D4592" s="75" t="n"/>
      <c r="E4592" s="76" t="n"/>
      <c r="F4592" s="77" t="n"/>
      <c r="G4592" s="75" t="n"/>
      <c r="H4592" s="75">
        <f>IF(ISBLANK(E4592),"",IF(OR(D4592="Butterfly",D4592="Butterfly ",D4592="Iron Fly", D4592="Iron Fly "),LEN(E4592)-LEN(SUBSTITUTE(E4592,"/",""))+2,LEN(E4592)-LEN(SUBSTITUTE(E4592,"/",""))+1))</f>
        <v/>
      </c>
      <c r="I4592" s="78">
        <f>IF(ISBLANK(G4592),"",IF(D4592="Stock","0",Key!$A$3*H4592*G4592))</f>
        <v/>
      </c>
      <c r="J4592" s="78">
        <f>IF(ISBLANK(E4592),"",IF(ISNUMBER(SEARCH("/",E4592)), IF(LEN(E4592)-LEN(SUBSTITUTE(E4592,"/",""))=1,(RIGHT(E4592,LEN(E4592)-FIND("/",E4592)))-(LEFT(E4592,FIND("/",E4592)-1)),(MID(E4592, SEARCH("/",E4592) + 1, SEARCH("/",E4592, SEARCH("/",E4592)+1) - SEARCH("/",E4592) - 1))-(LEFT(E4592,FIND("/",E4592)-1))), "NA"))</f>
        <v/>
      </c>
      <c r="K4592" s="79">
        <f>IF(A4592&lt;&gt;"", IF(ISBLANK(L4592), TODAY(), K4592), "")</f>
        <v/>
      </c>
      <c r="L4592" s="78" t="n"/>
      <c r="M4592" s="78">
        <f>IF(ISBLANK(L4592),"",IF(D4592="Stock",IF(C4592="Buy",L4592*G4592,IF(C4592="Sell",(L4592*G4592)-I4592, X)),IF(C4592="Buy",(L4592*G4592*100)+I4592,IF(C4592="Sell",(L4592*G4592*100)-I4592, X))))</f>
        <v/>
      </c>
      <c r="N4592" s="78">
        <f>IF(ISBLANK(L4592),"",IF(AND(C4592="Sell",D4592="Stock"),M4592,IF(ISBLANK(L4592),"",IF(C4592="Buy",M4592, IF(AND(C4592="Sell",J4592="NA"),(E4592*G4592*100*0.1)+I4592, IF(C4592="Sell",(J4592-L4592)*(100*G4592)+I4592))))))</f>
        <v/>
      </c>
      <c r="O4592" s="75" t="n"/>
      <c r="P4592" s="75" t="n"/>
      <c r="Q4592" s="75">
        <f>IF(ISBLANK(P4592),"",IF(D4592="Stock",P4592*G4592,IF(P4592=0,"0",G4592*P4592*100-(G4592*$AF$14))))</f>
        <v/>
      </c>
      <c r="R4592" s="79">
        <f>IF(P4592&lt;&gt;"", TODAY(), "")</f>
        <v/>
      </c>
      <c r="S4592" s="78">
        <f>IF(AND(K4592&lt;&gt;"", R4592&lt;&gt;""), R4592-K4592, "")</f>
        <v/>
      </c>
      <c r="T4592" s="78" t="n"/>
      <c r="U4592" s="92">
        <f>IF(ISBLANK(P4592),"",IF(C4592="Buy",Q4592-M4592+T4592, IF(C4592="Sell",M4592-Q4592-T4592, X)))</f>
        <v/>
      </c>
      <c r="V4592" s="81">
        <f>IF(ISBLANK(P4592),"",U4592/N4592)</f>
        <v/>
      </c>
      <c r="W4592" s="81">
        <f>IF(ISBLANK(P4592),"",IF(S4592=0,(365/0.5)*V4592,(365/S4592)*V4592))</f>
        <v/>
      </c>
      <c r="X4592" s="75" t="n"/>
      <c r="Y4592" s="77" t="n"/>
      <c r="Z4592" s="77" t="n"/>
      <c r="AA4592" s="75" t="n"/>
      <c r="AB4592" s="75" t="n"/>
      <c r="AC4592" s="6" t="n"/>
      <c r="AD4592" s="75" t="n"/>
      <c r="AE4592" s="75" t="n"/>
      <c r="AF4592" s="75" t="n"/>
    </row>
    <row r="4593" ht="15.75" customHeight="1" s="133">
      <c r="A4593" s="75" t="n"/>
      <c r="B4593" s="75" t="n"/>
      <c r="C4593" s="75" t="n"/>
      <c r="D4593" s="75" t="n"/>
      <c r="E4593" s="76" t="n"/>
      <c r="F4593" s="77" t="n"/>
      <c r="G4593" s="75" t="n"/>
      <c r="H4593" s="75">
        <f>IF(ISBLANK(E4593),"",IF(OR(D4593="Butterfly",D4593="Butterfly ",D4593="Iron Fly", D4593="Iron Fly "),LEN(E4593)-LEN(SUBSTITUTE(E4593,"/",""))+2,LEN(E4593)-LEN(SUBSTITUTE(E4593,"/",""))+1))</f>
        <v/>
      </c>
      <c r="I4593" s="78">
        <f>IF(ISBLANK(G4593),"",IF(D4593="Stock","0",Key!$A$3*H4593*G4593))</f>
        <v/>
      </c>
      <c r="J4593" s="78">
        <f>IF(ISBLANK(E4593),"",IF(ISNUMBER(SEARCH("/",E4593)), IF(LEN(E4593)-LEN(SUBSTITUTE(E4593,"/",""))=1,(RIGHT(E4593,LEN(E4593)-FIND("/",E4593)))-(LEFT(E4593,FIND("/",E4593)-1)),(MID(E4593, SEARCH("/",E4593) + 1, SEARCH("/",E4593, SEARCH("/",E4593)+1) - SEARCH("/",E4593) - 1))-(LEFT(E4593,FIND("/",E4593)-1))), "NA"))</f>
        <v/>
      </c>
      <c r="K4593" s="79">
        <f>IF(A4593&lt;&gt;"", IF(ISBLANK(L4593), TODAY(), K4593), "")</f>
        <v/>
      </c>
      <c r="L4593" s="78" t="n"/>
      <c r="M4593" s="78">
        <f>IF(ISBLANK(L4593),"",IF(D4593="Stock",IF(C4593="Buy",L4593*G4593,IF(C4593="Sell",(L4593*G4593)-I4593, X)),IF(C4593="Buy",(L4593*G4593*100)+I4593,IF(C4593="Sell",(L4593*G4593*100)-I4593, X))))</f>
        <v/>
      </c>
      <c r="N4593" s="78">
        <f>IF(ISBLANK(L4593),"",IF(AND(C4593="Sell",D4593="Stock"),M4593,IF(ISBLANK(L4593),"",IF(C4593="Buy",M4593, IF(AND(C4593="Sell",J4593="NA"),(E4593*G4593*100*0.1)+I4593, IF(C4593="Sell",(J4593-L4593)*(100*G4593)+I4593))))))</f>
        <v/>
      </c>
      <c r="O4593" s="75" t="n"/>
      <c r="P4593" s="75" t="n"/>
      <c r="Q4593" s="75">
        <f>IF(ISBLANK(P4593),"",IF(D4593="Stock",P4593*G4593,IF(P4593=0,"0",G4593*P4593*100-(G4593*$AF$14))))</f>
        <v/>
      </c>
      <c r="R4593" s="79">
        <f>IF(P4593&lt;&gt;"", TODAY(), "")</f>
        <v/>
      </c>
      <c r="S4593" s="78">
        <f>IF(AND(K4593&lt;&gt;"", R4593&lt;&gt;""), R4593-K4593, "")</f>
        <v/>
      </c>
      <c r="T4593" s="78" t="n"/>
      <c r="U4593" s="92">
        <f>IF(ISBLANK(P4593),"",IF(C4593="Buy",Q4593-M4593+T4593, IF(C4593="Sell",M4593-Q4593-T4593, X)))</f>
        <v/>
      </c>
      <c r="V4593" s="81">
        <f>IF(ISBLANK(P4593),"",U4593/N4593)</f>
        <v/>
      </c>
      <c r="W4593" s="81">
        <f>IF(ISBLANK(P4593),"",IF(S4593=0,(365/0.5)*V4593,(365/S4593)*V4593))</f>
        <v/>
      </c>
      <c r="X4593" s="75" t="n"/>
      <c r="Y4593" s="77" t="n"/>
      <c r="Z4593" s="77" t="n"/>
      <c r="AA4593" s="75" t="n"/>
      <c r="AB4593" s="75" t="n"/>
      <c r="AC4593" s="6" t="n"/>
      <c r="AD4593" s="75" t="n"/>
      <c r="AE4593" s="75" t="n"/>
      <c r="AF4593" s="75" t="n"/>
    </row>
    <row r="4594" ht="15.75" customHeight="1" s="133">
      <c r="A4594" s="75" t="n"/>
      <c r="B4594" s="75" t="n"/>
      <c r="C4594" s="75" t="n"/>
      <c r="D4594" s="75" t="n"/>
      <c r="E4594" s="76" t="n"/>
      <c r="F4594" s="77" t="n"/>
      <c r="G4594" s="75" t="n"/>
      <c r="H4594" s="75">
        <f>IF(ISBLANK(E4594),"",IF(OR(D4594="Butterfly",D4594="Butterfly ",D4594="Iron Fly", D4594="Iron Fly "),LEN(E4594)-LEN(SUBSTITUTE(E4594,"/",""))+2,LEN(E4594)-LEN(SUBSTITUTE(E4594,"/",""))+1))</f>
        <v/>
      </c>
      <c r="I4594" s="78">
        <f>IF(ISBLANK(G4594),"",IF(D4594="Stock","0",Key!$A$3*H4594*G4594))</f>
        <v/>
      </c>
      <c r="J4594" s="78">
        <f>IF(ISBLANK(E4594),"",IF(ISNUMBER(SEARCH("/",E4594)), IF(LEN(E4594)-LEN(SUBSTITUTE(E4594,"/",""))=1,(RIGHT(E4594,LEN(E4594)-FIND("/",E4594)))-(LEFT(E4594,FIND("/",E4594)-1)),(MID(E4594, SEARCH("/",E4594) + 1, SEARCH("/",E4594, SEARCH("/",E4594)+1) - SEARCH("/",E4594) - 1))-(LEFT(E4594,FIND("/",E4594)-1))), "NA"))</f>
        <v/>
      </c>
      <c r="K4594" s="79">
        <f>IF(A4594&lt;&gt;"", IF(ISBLANK(L4594), TODAY(), K4594), "")</f>
        <v/>
      </c>
      <c r="L4594" s="78" t="n"/>
      <c r="M4594" s="78">
        <f>IF(ISBLANK(L4594),"",IF(D4594="Stock",IF(C4594="Buy",L4594*G4594,IF(C4594="Sell",(L4594*G4594)-I4594, X)),IF(C4594="Buy",(L4594*G4594*100)+I4594,IF(C4594="Sell",(L4594*G4594*100)-I4594, X))))</f>
        <v/>
      </c>
      <c r="N4594" s="78">
        <f>IF(ISBLANK(L4594),"",IF(AND(C4594="Sell",D4594="Stock"),M4594,IF(ISBLANK(L4594),"",IF(C4594="Buy",M4594, IF(AND(C4594="Sell",J4594="NA"),(E4594*G4594*100*0.1)+I4594, IF(C4594="Sell",(J4594-L4594)*(100*G4594)+I4594))))))</f>
        <v/>
      </c>
      <c r="O4594" s="75" t="n"/>
      <c r="P4594" s="75" t="n"/>
      <c r="Q4594" s="75">
        <f>IF(ISBLANK(P4594),"",IF(D4594="Stock",P4594*G4594,IF(P4594=0,"0",G4594*P4594*100-(G4594*$AF$14))))</f>
        <v/>
      </c>
      <c r="R4594" s="79">
        <f>IF(P4594&lt;&gt;"", TODAY(), "")</f>
        <v/>
      </c>
      <c r="S4594" s="78">
        <f>IF(AND(K4594&lt;&gt;"", R4594&lt;&gt;""), R4594-K4594, "")</f>
        <v/>
      </c>
      <c r="T4594" s="78" t="n"/>
      <c r="U4594" s="92">
        <f>IF(ISBLANK(P4594),"",IF(C4594="Buy",Q4594-M4594+T4594, IF(C4594="Sell",M4594-Q4594-T4594, X)))</f>
        <v/>
      </c>
      <c r="V4594" s="81">
        <f>IF(ISBLANK(P4594),"",U4594/N4594)</f>
        <v/>
      </c>
      <c r="W4594" s="81">
        <f>IF(ISBLANK(P4594),"",IF(S4594=0,(365/0.5)*V4594,(365/S4594)*V4594))</f>
        <v/>
      </c>
      <c r="X4594" s="75" t="n"/>
      <c r="Y4594" s="77" t="n"/>
      <c r="Z4594" s="77" t="n"/>
      <c r="AA4594" s="75" t="n"/>
      <c r="AB4594" s="75" t="n"/>
      <c r="AC4594" s="6" t="n"/>
      <c r="AD4594" s="75" t="n"/>
      <c r="AE4594" s="75" t="n"/>
      <c r="AF4594" s="75" t="n"/>
    </row>
    <row r="4595" ht="15.75" customHeight="1" s="133">
      <c r="A4595" s="75" t="n"/>
      <c r="B4595" s="75" t="n"/>
      <c r="C4595" s="75" t="n"/>
      <c r="D4595" s="75" t="n"/>
      <c r="E4595" s="76" t="n"/>
      <c r="F4595" s="77" t="n"/>
      <c r="G4595" s="75" t="n"/>
      <c r="H4595" s="75">
        <f>IF(ISBLANK(E4595),"",IF(OR(D4595="Butterfly",D4595="Butterfly ",D4595="Iron Fly", D4595="Iron Fly "),LEN(E4595)-LEN(SUBSTITUTE(E4595,"/",""))+2,LEN(E4595)-LEN(SUBSTITUTE(E4595,"/",""))+1))</f>
        <v/>
      </c>
      <c r="I4595" s="78">
        <f>IF(ISBLANK(G4595),"",IF(D4595="Stock","0",Key!$A$3*H4595*G4595))</f>
        <v/>
      </c>
      <c r="J4595" s="78">
        <f>IF(ISBLANK(E4595),"",IF(ISNUMBER(SEARCH("/",E4595)), IF(LEN(E4595)-LEN(SUBSTITUTE(E4595,"/",""))=1,(RIGHT(E4595,LEN(E4595)-FIND("/",E4595)))-(LEFT(E4595,FIND("/",E4595)-1)),(MID(E4595, SEARCH("/",E4595) + 1, SEARCH("/",E4595, SEARCH("/",E4595)+1) - SEARCH("/",E4595) - 1))-(LEFT(E4595,FIND("/",E4595)-1))), "NA"))</f>
        <v/>
      </c>
      <c r="K4595" s="79">
        <f>IF(A4595&lt;&gt;"", IF(ISBLANK(L4595), TODAY(), K4595), "")</f>
        <v/>
      </c>
      <c r="L4595" s="78" t="n"/>
      <c r="M4595" s="78">
        <f>IF(ISBLANK(L4595),"",IF(D4595="Stock",IF(C4595="Buy",L4595*G4595,IF(C4595="Sell",(L4595*G4595)-I4595, X)),IF(C4595="Buy",(L4595*G4595*100)+I4595,IF(C4595="Sell",(L4595*G4595*100)-I4595, X))))</f>
        <v/>
      </c>
      <c r="N4595" s="78">
        <f>IF(ISBLANK(L4595),"",IF(AND(C4595="Sell",D4595="Stock"),M4595,IF(ISBLANK(L4595),"",IF(C4595="Buy",M4595, IF(AND(C4595="Sell",J4595="NA"),(E4595*G4595*100*0.1)+I4595, IF(C4595="Sell",(J4595-L4595)*(100*G4595)+I4595))))))</f>
        <v/>
      </c>
      <c r="O4595" s="75" t="n"/>
      <c r="P4595" s="75" t="n"/>
      <c r="Q4595" s="75">
        <f>IF(ISBLANK(P4595),"",IF(D4595="Stock",P4595*G4595,IF(P4595=0,"0",G4595*P4595*100-(G4595*$AF$14))))</f>
        <v/>
      </c>
      <c r="R4595" s="79">
        <f>IF(P4595&lt;&gt;"", TODAY(), "")</f>
        <v/>
      </c>
      <c r="S4595" s="78">
        <f>IF(AND(K4595&lt;&gt;"", R4595&lt;&gt;""), R4595-K4595, "")</f>
        <v/>
      </c>
      <c r="T4595" s="78" t="n"/>
      <c r="U4595" s="92">
        <f>IF(ISBLANK(P4595),"",IF(C4595="Buy",Q4595-M4595+T4595, IF(C4595="Sell",M4595-Q4595-T4595, X)))</f>
        <v/>
      </c>
      <c r="V4595" s="81">
        <f>IF(ISBLANK(P4595),"",U4595/N4595)</f>
        <v/>
      </c>
      <c r="W4595" s="81">
        <f>IF(ISBLANK(P4595),"",IF(S4595=0,(365/0.5)*V4595,(365/S4595)*V4595))</f>
        <v/>
      </c>
      <c r="X4595" s="75" t="n"/>
      <c r="Y4595" s="77" t="n"/>
      <c r="Z4595" s="77" t="n"/>
      <c r="AA4595" s="75" t="n"/>
      <c r="AB4595" s="75" t="n"/>
      <c r="AC4595" s="6" t="n"/>
      <c r="AD4595" s="75" t="n"/>
      <c r="AE4595" s="75" t="n"/>
      <c r="AF4595" s="75" t="n"/>
    </row>
    <row r="4596" ht="15.75" customHeight="1" s="133">
      <c r="A4596" s="75" t="n"/>
      <c r="B4596" s="75" t="n"/>
      <c r="C4596" s="75" t="n"/>
      <c r="D4596" s="75" t="n"/>
      <c r="E4596" s="76" t="n"/>
      <c r="F4596" s="77" t="n"/>
      <c r="G4596" s="75" t="n"/>
      <c r="H4596" s="75">
        <f>IF(ISBLANK(E4596),"",IF(OR(D4596="Butterfly",D4596="Butterfly ",D4596="Iron Fly", D4596="Iron Fly "),LEN(E4596)-LEN(SUBSTITUTE(E4596,"/",""))+2,LEN(E4596)-LEN(SUBSTITUTE(E4596,"/",""))+1))</f>
        <v/>
      </c>
      <c r="I4596" s="78">
        <f>IF(ISBLANK(G4596),"",IF(D4596="Stock","0",Key!$A$3*H4596*G4596))</f>
        <v/>
      </c>
      <c r="J4596" s="78">
        <f>IF(ISBLANK(E4596),"",IF(ISNUMBER(SEARCH("/",E4596)), IF(LEN(E4596)-LEN(SUBSTITUTE(E4596,"/",""))=1,(RIGHT(E4596,LEN(E4596)-FIND("/",E4596)))-(LEFT(E4596,FIND("/",E4596)-1)),(MID(E4596, SEARCH("/",E4596) + 1, SEARCH("/",E4596, SEARCH("/",E4596)+1) - SEARCH("/",E4596) - 1))-(LEFT(E4596,FIND("/",E4596)-1))), "NA"))</f>
        <v/>
      </c>
      <c r="K4596" s="79">
        <f>IF(A4596&lt;&gt;"", IF(ISBLANK(L4596), TODAY(), K4596), "")</f>
        <v/>
      </c>
      <c r="L4596" s="78" t="n"/>
      <c r="M4596" s="78">
        <f>IF(ISBLANK(L4596),"",IF(D4596="Stock",IF(C4596="Buy",L4596*G4596,IF(C4596="Sell",(L4596*G4596)-I4596, X)),IF(C4596="Buy",(L4596*G4596*100)+I4596,IF(C4596="Sell",(L4596*G4596*100)-I4596, X))))</f>
        <v/>
      </c>
      <c r="N4596" s="78">
        <f>IF(ISBLANK(L4596),"",IF(AND(C4596="Sell",D4596="Stock"),M4596,IF(ISBLANK(L4596),"",IF(C4596="Buy",M4596, IF(AND(C4596="Sell",J4596="NA"),(E4596*G4596*100*0.1)+I4596, IF(C4596="Sell",(J4596-L4596)*(100*G4596)+I4596))))))</f>
        <v/>
      </c>
      <c r="O4596" s="75" t="n"/>
      <c r="P4596" s="75" t="n"/>
      <c r="Q4596" s="75">
        <f>IF(ISBLANK(P4596),"",IF(D4596="Stock",P4596*G4596,IF(P4596=0,"0",G4596*P4596*100-(G4596*$AF$14))))</f>
        <v/>
      </c>
      <c r="R4596" s="79">
        <f>IF(P4596&lt;&gt;"", TODAY(), "")</f>
        <v/>
      </c>
      <c r="S4596" s="78">
        <f>IF(AND(K4596&lt;&gt;"", R4596&lt;&gt;""), R4596-K4596, "")</f>
        <v/>
      </c>
      <c r="T4596" s="78" t="n"/>
      <c r="U4596" s="92">
        <f>IF(ISBLANK(P4596),"",IF(C4596="Buy",Q4596-M4596+T4596, IF(C4596="Sell",M4596-Q4596-T4596, X)))</f>
        <v/>
      </c>
      <c r="V4596" s="81">
        <f>IF(ISBLANK(P4596),"",U4596/N4596)</f>
        <v/>
      </c>
      <c r="W4596" s="81">
        <f>IF(ISBLANK(P4596),"",IF(S4596=0,(365/0.5)*V4596,(365/S4596)*V4596))</f>
        <v/>
      </c>
      <c r="X4596" s="75" t="n"/>
      <c r="Y4596" s="77" t="n"/>
      <c r="Z4596" s="77" t="n"/>
      <c r="AA4596" s="75" t="n"/>
      <c r="AB4596" s="75" t="n"/>
      <c r="AC4596" s="6" t="n"/>
      <c r="AD4596" s="75" t="n"/>
      <c r="AE4596" s="75" t="n"/>
      <c r="AF4596" s="75" t="n"/>
    </row>
    <row r="4597" ht="15.75" customHeight="1" s="133">
      <c r="A4597" s="75" t="n"/>
      <c r="B4597" s="75" t="n"/>
      <c r="C4597" s="75" t="n"/>
      <c r="D4597" s="75" t="n"/>
      <c r="E4597" s="76" t="n"/>
      <c r="F4597" s="77" t="n"/>
      <c r="G4597" s="75" t="n"/>
      <c r="H4597" s="75">
        <f>IF(ISBLANK(E4597),"",IF(OR(D4597="Butterfly",D4597="Butterfly ",D4597="Iron Fly", D4597="Iron Fly "),LEN(E4597)-LEN(SUBSTITUTE(E4597,"/",""))+2,LEN(E4597)-LEN(SUBSTITUTE(E4597,"/",""))+1))</f>
        <v/>
      </c>
      <c r="I4597" s="78">
        <f>IF(ISBLANK(G4597),"",IF(D4597="Stock","0",Key!$A$3*H4597*G4597))</f>
        <v/>
      </c>
      <c r="J4597" s="78">
        <f>IF(ISBLANK(E4597),"",IF(ISNUMBER(SEARCH("/",E4597)), IF(LEN(E4597)-LEN(SUBSTITUTE(E4597,"/",""))=1,(RIGHT(E4597,LEN(E4597)-FIND("/",E4597)))-(LEFT(E4597,FIND("/",E4597)-1)),(MID(E4597, SEARCH("/",E4597) + 1, SEARCH("/",E4597, SEARCH("/",E4597)+1) - SEARCH("/",E4597) - 1))-(LEFT(E4597,FIND("/",E4597)-1))), "NA"))</f>
        <v/>
      </c>
      <c r="K4597" s="79">
        <f>IF(A4597&lt;&gt;"", IF(ISBLANK(L4597), TODAY(), K4597), "")</f>
        <v/>
      </c>
      <c r="L4597" s="78" t="n"/>
      <c r="M4597" s="78">
        <f>IF(ISBLANK(L4597),"",IF(D4597="Stock",IF(C4597="Buy",L4597*G4597,IF(C4597="Sell",(L4597*G4597)-I4597, X)),IF(C4597="Buy",(L4597*G4597*100)+I4597,IF(C4597="Sell",(L4597*G4597*100)-I4597, X))))</f>
        <v/>
      </c>
      <c r="N4597" s="78">
        <f>IF(ISBLANK(L4597),"",IF(AND(C4597="Sell",D4597="Stock"),M4597,IF(ISBLANK(L4597),"",IF(C4597="Buy",M4597, IF(AND(C4597="Sell",J4597="NA"),(E4597*G4597*100*0.1)+I4597, IF(C4597="Sell",(J4597-L4597)*(100*G4597)+I4597))))))</f>
        <v/>
      </c>
      <c r="O4597" s="75" t="n"/>
      <c r="P4597" s="75" t="n"/>
      <c r="Q4597" s="75">
        <f>IF(ISBLANK(P4597),"",IF(D4597="Stock",P4597*G4597,IF(P4597=0,"0",G4597*P4597*100-(G4597*$AF$14))))</f>
        <v/>
      </c>
      <c r="R4597" s="79">
        <f>IF(P4597&lt;&gt;"", TODAY(), "")</f>
        <v/>
      </c>
      <c r="S4597" s="78">
        <f>IF(AND(K4597&lt;&gt;"", R4597&lt;&gt;""), R4597-K4597, "")</f>
        <v/>
      </c>
      <c r="T4597" s="78" t="n"/>
      <c r="U4597" s="92">
        <f>IF(ISBLANK(P4597),"",IF(C4597="Buy",Q4597-M4597+T4597, IF(C4597="Sell",M4597-Q4597-T4597, X)))</f>
        <v/>
      </c>
      <c r="V4597" s="81">
        <f>IF(ISBLANK(P4597),"",U4597/N4597)</f>
        <v/>
      </c>
      <c r="W4597" s="81">
        <f>IF(ISBLANK(P4597),"",IF(S4597=0,(365/0.5)*V4597,(365/S4597)*V4597))</f>
        <v/>
      </c>
      <c r="X4597" s="75" t="n"/>
      <c r="Y4597" s="77" t="n"/>
      <c r="Z4597" s="77" t="n"/>
      <c r="AA4597" s="75" t="n"/>
      <c r="AB4597" s="75" t="n"/>
      <c r="AC4597" s="6" t="n"/>
      <c r="AD4597" s="75" t="n"/>
      <c r="AE4597" s="75" t="n"/>
      <c r="AF4597" s="75" t="n"/>
    </row>
    <row r="4598" ht="15.75" customHeight="1" s="133">
      <c r="A4598" s="75" t="n"/>
      <c r="B4598" s="75" t="n"/>
      <c r="C4598" s="75" t="n"/>
      <c r="D4598" s="75" t="n"/>
      <c r="E4598" s="76" t="n"/>
      <c r="F4598" s="77" t="n"/>
      <c r="G4598" s="75" t="n"/>
      <c r="H4598" s="75">
        <f>IF(ISBLANK(E4598),"",IF(OR(D4598="Butterfly",D4598="Butterfly ",D4598="Iron Fly", D4598="Iron Fly "),LEN(E4598)-LEN(SUBSTITUTE(E4598,"/",""))+2,LEN(E4598)-LEN(SUBSTITUTE(E4598,"/",""))+1))</f>
        <v/>
      </c>
      <c r="I4598" s="78">
        <f>IF(ISBLANK(G4598),"",IF(D4598="Stock","0",Key!$A$3*H4598*G4598))</f>
        <v/>
      </c>
      <c r="J4598" s="78">
        <f>IF(ISBLANK(E4598),"",IF(ISNUMBER(SEARCH("/",E4598)), IF(LEN(E4598)-LEN(SUBSTITUTE(E4598,"/",""))=1,(RIGHT(E4598,LEN(E4598)-FIND("/",E4598)))-(LEFT(E4598,FIND("/",E4598)-1)),(MID(E4598, SEARCH("/",E4598) + 1, SEARCH("/",E4598, SEARCH("/",E4598)+1) - SEARCH("/",E4598) - 1))-(LEFT(E4598,FIND("/",E4598)-1))), "NA"))</f>
        <v/>
      </c>
      <c r="K4598" s="79">
        <f>IF(A4598&lt;&gt;"", IF(ISBLANK(L4598), TODAY(), K4598), "")</f>
        <v/>
      </c>
      <c r="L4598" s="78" t="n"/>
      <c r="M4598" s="78">
        <f>IF(ISBLANK(L4598),"",IF(D4598="Stock",IF(C4598="Buy",L4598*G4598,IF(C4598="Sell",(L4598*G4598)-I4598, X)),IF(C4598="Buy",(L4598*G4598*100)+I4598,IF(C4598="Sell",(L4598*G4598*100)-I4598, X))))</f>
        <v/>
      </c>
      <c r="N4598" s="78">
        <f>IF(ISBLANK(L4598),"",IF(AND(C4598="Sell",D4598="Stock"),M4598,IF(ISBLANK(L4598),"",IF(C4598="Buy",M4598, IF(AND(C4598="Sell",J4598="NA"),(E4598*G4598*100*0.1)+I4598, IF(C4598="Sell",(J4598-L4598)*(100*G4598)+I4598))))))</f>
        <v/>
      </c>
      <c r="O4598" s="75" t="n"/>
      <c r="P4598" s="75" t="n"/>
      <c r="Q4598" s="75">
        <f>IF(ISBLANK(P4598),"",IF(D4598="Stock",P4598*G4598,IF(P4598=0,"0",G4598*P4598*100-(G4598*$AF$14))))</f>
        <v/>
      </c>
      <c r="R4598" s="79">
        <f>IF(P4598&lt;&gt;"", TODAY(), "")</f>
        <v/>
      </c>
      <c r="S4598" s="78">
        <f>IF(AND(K4598&lt;&gt;"", R4598&lt;&gt;""), R4598-K4598, "")</f>
        <v/>
      </c>
      <c r="T4598" s="78" t="n"/>
      <c r="U4598" s="92">
        <f>IF(ISBLANK(P4598),"",IF(C4598="Buy",Q4598-M4598+T4598, IF(C4598="Sell",M4598-Q4598-T4598, X)))</f>
        <v/>
      </c>
      <c r="V4598" s="81">
        <f>IF(ISBLANK(P4598),"",U4598/N4598)</f>
        <v/>
      </c>
      <c r="W4598" s="81">
        <f>IF(ISBLANK(P4598),"",IF(S4598=0,(365/0.5)*V4598,(365/S4598)*V4598))</f>
        <v/>
      </c>
      <c r="X4598" s="75" t="n"/>
      <c r="Y4598" s="77" t="n"/>
      <c r="Z4598" s="77" t="n"/>
      <c r="AA4598" s="75" t="n"/>
      <c r="AB4598" s="75" t="n"/>
      <c r="AC4598" s="6" t="n"/>
      <c r="AD4598" s="75" t="n"/>
      <c r="AE4598" s="75" t="n"/>
      <c r="AF4598" s="75" t="n"/>
    </row>
    <row r="4599" ht="15.75" customHeight="1" s="133">
      <c r="A4599" s="75" t="n"/>
      <c r="B4599" s="75" t="n"/>
      <c r="C4599" s="75" t="n"/>
      <c r="D4599" s="75" t="n"/>
      <c r="E4599" s="76" t="n"/>
      <c r="F4599" s="77" t="n"/>
      <c r="G4599" s="75" t="n"/>
      <c r="H4599" s="75">
        <f>IF(ISBLANK(E4599),"",IF(OR(D4599="Butterfly",D4599="Butterfly ",D4599="Iron Fly", D4599="Iron Fly "),LEN(E4599)-LEN(SUBSTITUTE(E4599,"/",""))+2,LEN(E4599)-LEN(SUBSTITUTE(E4599,"/",""))+1))</f>
        <v/>
      </c>
      <c r="I4599" s="78">
        <f>IF(ISBLANK(G4599),"",IF(D4599="Stock","0",Key!$A$3*H4599*G4599))</f>
        <v/>
      </c>
      <c r="J4599" s="78">
        <f>IF(ISBLANK(E4599),"",IF(ISNUMBER(SEARCH("/",E4599)), IF(LEN(E4599)-LEN(SUBSTITUTE(E4599,"/",""))=1,(RIGHT(E4599,LEN(E4599)-FIND("/",E4599)))-(LEFT(E4599,FIND("/",E4599)-1)),(MID(E4599, SEARCH("/",E4599) + 1, SEARCH("/",E4599, SEARCH("/",E4599)+1) - SEARCH("/",E4599) - 1))-(LEFT(E4599,FIND("/",E4599)-1))), "NA"))</f>
        <v/>
      </c>
      <c r="K4599" s="79">
        <f>IF(A4599&lt;&gt;"", IF(ISBLANK(L4599), TODAY(), K4599), "")</f>
        <v/>
      </c>
      <c r="L4599" s="78" t="n"/>
      <c r="M4599" s="78">
        <f>IF(ISBLANK(L4599),"",IF(D4599="Stock",IF(C4599="Buy",L4599*G4599,IF(C4599="Sell",(L4599*G4599)-I4599, X)),IF(C4599="Buy",(L4599*G4599*100)+I4599,IF(C4599="Sell",(L4599*G4599*100)-I4599, X))))</f>
        <v/>
      </c>
      <c r="N4599" s="78">
        <f>IF(ISBLANK(L4599),"",IF(AND(C4599="Sell",D4599="Stock"),M4599,IF(ISBLANK(L4599),"",IF(C4599="Buy",M4599, IF(AND(C4599="Sell",J4599="NA"),(E4599*G4599*100*0.1)+I4599, IF(C4599="Sell",(J4599-L4599)*(100*G4599)+I4599))))))</f>
        <v/>
      </c>
      <c r="O4599" s="75" t="n"/>
      <c r="P4599" s="75" t="n"/>
      <c r="Q4599" s="75">
        <f>IF(ISBLANK(P4599),"",IF(D4599="Stock",P4599*G4599,IF(P4599=0,"0",G4599*P4599*100-(G4599*$AF$14))))</f>
        <v/>
      </c>
      <c r="R4599" s="79">
        <f>IF(P4599&lt;&gt;"", TODAY(), "")</f>
        <v/>
      </c>
      <c r="S4599" s="78">
        <f>IF(AND(K4599&lt;&gt;"", R4599&lt;&gt;""), R4599-K4599, "")</f>
        <v/>
      </c>
      <c r="T4599" s="78" t="n"/>
      <c r="U4599" s="92">
        <f>IF(ISBLANK(P4599),"",IF(C4599="Buy",Q4599-M4599+T4599, IF(C4599="Sell",M4599-Q4599-T4599, X)))</f>
        <v/>
      </c>
      <c r="V4599" s="81">
        <f>IF(ISBLANK(P4599),"",U4599/N4599)</f>
        <v/>
      </c>
      <c r="W4599" s="81">
        <f>IF(ISBLANK(P4599),"",IF(S4599=0,(365/0.5)*V4599,(365/S4599)*V4599))</f>
        <v/>
      </c>
      <c r="X4599" s="75" t="n"/>
      <c r="Y4599" s="77" t="n"/>
      <c r="Z4599" s="77" t="n"/>
      <c r="AA4599" s="75" t="n"/>
      <c r="AB4599" s="75" t="n"/>
      <c r="AC4599" s="6" t="n"/>
      <c r="AD4599" s="75" t="n"/>
      <c r="AE4599" s="75" t="n"/>
      <c r="AF4599" s="75" t="n"/>
    </row>
    <row r="4600" ht="15.75" customHeight="1" s="133">
      <c r="A4600" s="75" t="n"/>
      <c r="B4600" s="75" t="n"/>
      <c r="C4600" s="75" t="n"/>
      <c r="D4600" s="75" t="n"/>
      <c r="E4600" s="76" t="n"/>
      <c r="F4600" s="77" t="n"/>
      <c r="G4600" s="75" t="n"/>
      <c r="H4600" s="75">
        <f>IF(ISBLANK(E4600),"",IF(OR(D4600="Butterfly",D4600="Butterfly ",D4600="Iron Fly", D4600="Iron Fly "),LEN(E4600)-LEN(SUBSTITUTE(E4600,"/",""))+2,LEN(E4600)-LEN(SUBSTITUTE(E4600,"/",""))+1))</f>
        <v/>
      </c>
      <c r="I4600" s="78">
        <f>IF(ISBLANK(G4600),"",IF(D4600="Stock","0",Key!$A$3*H4600*G4600))</f>
        <v/>
      </c>
      <c r="J4600" s="78">
        <f>IF(ISBLANK(E4600),"",IF(ISNUMBER(SEARCH("/",E4600)), IF(LEN(E4600)-LEN(SUBSTITUTE(E4600,"/",""))=1,(RIGHT(E4600,LEN(E4600)-FIND("/",E4600)))-(LEFT(E4600,FIND("/",E4600)-1)),(MID(E4600, SEARCH("/",E4600) + 1, SEARCH("/",E4600, SEARCH("/",E4600)+1) - SEARCH("/",E4600) - 1))-(LEFT(E4600,FIND("/",E4600)-1))), "NA"))</f>
        <v/>
      </c>
      <c r="K4600" s="79">
        <f>IF(A4600&lt;&gt;"", IF(ISBLANK(L4600), TODAY(), K4600), "")</f>
        <v/>
      </c>
      <c r="L4600" s="78" t="n"/>
      <c r="M4600" s="78">
        <f>IF(ISBLANK(L4600),"",IF(D4600="Stock",IF(C4600="Buy",L4600*G4600,IF(C4600="Sell",(L4600*G4600)-I4600, X)),IF(C4600="Buy",(L4600*G4600*100)+I4600,IF(C4600="Sell",(L4600*G4600*100)-I4600, X))))</f>
        <v/>
      </c>
      <c r="N4600" s="78">
        <f>IF(ISBLANK(L4600),"",IF(AND(C4600="Sell",D4600="Stock"),M4600,IF(ISBLANK(L4600),"",IF(C4600="Buy",M4600, IF(AND(C4600="Sell",J4600="NA"),(E4600*G4600*100*0.1)+I4600, IF(C4600="Sell",(J4600-L4600)*(100*G4600)+I4600))))))</f>
        <v/>
      </c>
      <c r="O4600" s="75" t="n"/>
      <c r="P4600" s="75" t="n"/>
      <c r="Q4600" s="75">
        <f>IF(ISBLANK(P4600),"",IF(D4600="Stock",P4600*G4600,IF(P4600=0,"0",G4600*P4600*100-(G4600*$AF$14))))</f>
        <v/>
      </c>
      <c r="R4600" s="79">
        <f>IF(P4600&lt;&gt;"", TODAY(), "")</f>
        <v/>
      </c>
      <c r="S4600" s="78">
        <f>IF(AND(K4600&lt;&gt;"", R4600&lt;&gt;""), R4600-K4600, "")</f>
        <v/>
      </c>
      <c r="T4600" s="78" t="n"/>
      <c r="U4600" s="92">
        <f>IF(ISBLANK(P4600),"",IF(C4600="Buy",Q4600-M4600+T4600, IF(C4600="Sell",M4600-Q4600-T4600, X)))</f>
        <v/>
      </c>
      <c r="V4600" s="81">
        <f>IF(ISBLANK(P4600),"",U4600/N4600)</f>
        <v/>
      </c>
      <c r="W4600" s="81">
        <f>IF(ISBLANK(P4600),"",IF(S4600=0,(365/0.5)*V4600,(365/S4600)*V4600))</f>
        <v/>
      </c>
      <c r="X4600" s="75" t="n"/>
      <c r="Y4600" s="77" t="n"/>
      <c r="Z4600" s="77" t="n"/>
      <c r="AA4600" s="75" t="n"/>
      <c r="AB4600" s="75" t="n"/>
      <c r="AC4600" s="6" t="n"/>
      <c r="AD4600" s="75" t="n"/>
      <c r="AE4600" s="75" t="n"/>
      <c r="AF4600" s="75" t="n"/>
    </row>
    <row r="4601" ht="15.75" customHeight="1" s="133">
      <c r="A4601" s="75" t="n"/>
      <c r="B4601" s="75" t="n"/>
      <c r="C4601" s="75" t="n"/>
      <c r="D4601" s="75" t="n"/>
      <c r="E4601" s="76" t="n"/>
      <c r="F4601" s="77" t="n"/>
      <c r="G4601" s="75" t="n"/>
      <c r="H4601" s="75">
        <f>IF(ISBLANK(E4601),"",IF(OR(D4601="Butterfly",D4601="Butterfly ",D4601="Iron Fly", D4601="Iron Fly "),LEN(E4601)-LEN(SUBSTITUTE(E4601,"/",""))+2,LEN(E4601)-LEN(SUBSTITUTE(E4601,"/",""))+1))</f>
        <v/>
      </c>
      <c r="I4601" s="78">
        <f>IF(ISBLANK(G4601),"",IF(D4601="Stock","0",Key!$A$3*H4601*G4601))</f>
        <v/>
      </c>
      <c r="J4601" s="78">
        <f>IF(ISBLANK(E4601),"",IF(ISNUMBER(SEARCH("/",E4601)), IF(LEN(E4601)-LEN(SUBSTITUTE(E4601,"/",""))=1,(RIGHT(E4601,LEN(E4601)-FIND("/",E4601)))-(LEFT(E4601,FIND("/",E4601)-1)),(MID(E4601, SEARCH("/",E4601) + 1, SEARCH("/",E4601, SEARCH("/",E4601)+1) - SEARCH("/",E4601) - 1))-(LEFT(E4601,FIND("/",E4601)-1))), "NA"))</f>
        <v/>
      </c>
      <c r="K4601" s="79">
        <f>IF(A4601&lt;&gt;"", IF(ISBLANK(L4601), TODAY(), K4601), "")</f>
        <v/>
      </c>
      <c r="L4601" s="78" t="n"/>
      <c r="M4601" s="78">
        <f>IF(ISBLANK(L4601),"",IF(D4601="Stock",IF(C4601="Buy",L4601*G4601,IF(C4601="Sell",(L4601*G4601)-I4601, X)),IF(C4601="Buy",(L4601*G4601*100)+I4601,IF(C4601="Sell",(L4601*G4601*100)-I4601, X))))</f>
        <v/>
      </c>
      <c r="N4601" s="78">
        <f>IF(ISBLANK(L4601),"",IF(AND(C4601="Sell",D4601="Stock"),M4601,IF(ISBLANK(L4601),"",IF(C4601="Buy",M4601, IF(AND(C4601="Sell",J4601="NA"),(E4601*G4601*100*0.1)+I4601, IF(C4601="Sell",(J4601-L4601)*(100*G4601)+I4601))))))</f>
        <v/>
      </c>
      <c r="O4601" s="75" t="n"/>
      <c r="P4601" s="75" t="n"/>
      <c r="Q4601" s="75">
        <f>IF(ISBLANK(P4601),"",IF(D4601="Stock",P4601*G4601,IF(P4601=0,"0",G4601*P4601*100-(G4601*$AF$14))))</f>
        <v/>
      </c>
      <c r="R4601" s="79">
        <f>IF(P4601&lt;&gt;"", TODAY(), "")</f>
        <v/>
      </c>
      <c r="S4601" s="78">
        <f>IF(AND(K4601&lt;&gt;"", R4601&lt;&gt;""), R4601-K4601, "")</f>
        <v/>
      </c>
      <c r="T4601" s="78" t="n"/>
      <c r="U4601" s="92">
        <f>IF(ISBLANK(P4601),"",IF(C4601="Buy",Q4601-M4601+T4601, IF(C4601="Sell",M4601-Q4601-T4601, X)))</f>
        <v/>
      </c>
      <c r="V4601" s="81">
        <f>IF(ISBLANK(P4601),"",U4601/N4601)</f>
        <v/>
      </c>
      <c r="W4601" s="81">
        <f>IF(ISBLANK(P4601),"",IF(S4601=0,(365/0.5)*V4601,(365/S4601)*V4601))</f>
        <v/>
      </c>
      <c r="X4601" s="75" t="n"/>
      <c r="Y4601" s="77" t="n"/>
      <c r="Z4601" s="77" t="n"/>
      <c r="AA4601" s="75" t="n"/>
      <c r="AB4601" s="75" t="n"/>
      <c r="AC4601" s="6" t="n"/>
      <c r="AD4601" s="75" t="n"/>
      <c r="AE4601" s="75" t="n"/>
      <c r="AF4601" s="75" t="n"/>
    </row>
    <row r="4602" ht="15.75" customHeight="1" s="133">
      <c r="A4602" s="75" t="n"/>
      <c r="B4602" s="75" t="n"/>
      <c r="C4602" s="75" t="n"/>
      <c r="D4602" s="75" t="n"/>
      <c r="E4602" s="76" t="n"/>
      <c r="F4602" s="77" t="n"/>
      <c r="G4602" s="75" t="n"/>
      <c r="H4602" s="75">
        <f>IF(ISBLANK(E4602),"",IF(OR(D4602="Butterfly",D4602="Butterfly ",D4602="Iron Fly", D4602="Iron Fly "),LEN(E4602)-LEN(SUBSTITUTE(E4602,"/",""))+2,LEN(E4602)-LEN(SUBSTITUTE(E4602,"/",""))+1))</f>
        <v/>
      </c>
      <c r="I4602" s="78">
        <f>IF(ISBLANK(G4602),"",IF(D4602="Stock","0",Key!$A$3*H4602*G4602))</f>
        <v/>
      </c>
      <c r="J4602" s="78">
        <f>IF(ISBLANK(E4602),"",IF(ISNUMBER(SEARCH("/",E4602)), IF(LEN(E4602)-LEN(SUBSTITUTE(E4602,"/",""))=1,(RIGHT(E4602,LEN(E4602)-FIND("/",E4602)))-(LEFT(E4602,FIND("/",E4602)-1)),(MID(E4602, SEARCH("/",E4602) + 1, SEARCH("/",E4602, SEARCH("/",E4602)+1) - SEARCH("/",E4602) - 1))-(LEFT(E4602,FIND("/",E4602)-1))), "NA"))</f>
        <v/>
      </c>
      <c r="K4602" s="79">
        <f>IF(A4602&lt;&gt;"", IF(ISBLANK(L4602), TODAY(), K4602), "")</f>
        <v/>
      </c>
      <c r="L4602" s="78" t="n"/>
      <c r="M4602" s="78">
        <f>IF(ISBLANK(L4602),"",IF(D4602="Stock",IF(C4602="Buy",L4602*G4602,IF(C4602="Sell",(L4602*G4602)-I4602, X)),IF(C4602="Buy",(L4602*G4602*100)+I4602,IF(C4602="Sell",(L4602*G4602*100)-I4602, X))))</f>
        <v/>
      </c>
      <c r="N4602" s="78">
        <f>IF(ISBLANK(L4602),"",IF(AND(C4602="Sell",D4602="Stock"),M4602,IF(ISBLANK(L4602),"",IF(C4602="Buy",M4602, IF(AND(C4602="Sell",J4602="NA"),(E4602*G4602*100*0.1)+I4602, IF(C4602="Sell",(J4602-L4602)*(100*G4602)+I4602))))))</f>
        <v/>
      </c>
      <c r="O4602" s="75" t="n"/>
      <c r="P4602" s="75" t="n"/>
      <c r="Q4602" s="75">
        <f>IF(ISBLANK(P4602),"",IF(D4602="Stock",P4602*G4602,IF(P4602=0,"0",G4602*P4602*100-(G4602*$AF$14))))</f>
        <v/>
      </c>
      <c r="R4602" s="79">
        <f>IF(P4602&lt;&gt;"", TODAY(), "")</f>
        <v/>
      </c>
      <c r="S4602" s="78">
        <f>IF(AND(K4602&lt;&gt;"", R4602&lt;&gt;""), R4602-K4602, "")</f>
        <v/>
      </c>
      <c r="T4602" s="78" t="n"/>
      <c r="U4602" s="92">
        <f>IF(ISBLANK(P4602),"",IF(C4602="Buy",Q4602-M4602+T4602, IF(C4602="Sell",M4602-Q4602-T4602, X)))</f>
        <v/>
      </c>
      <c r="V4602" s="81">
        <f>IF(ISBLANK(P4602),"",U4602/N4602)</f>
        <v/>
      </c>
      <c r="W4602" s="81">
        <f>IF(ISBLANK(P4602),"",IF(S4602=0,(365/0.5)*V4602,(365/S4602)*V4602))</f>
        <v/>
      </c>
      <c r="X4602" s="75" t="n"/>
      <c r="Y4602" s="77" t="n"/>
      <c r="Z4602" s="77" t="n"/>
      <c r="AA4602" s="75" t="n"/>
      <c r="AB4602" s="75" t="n"/>
      <c r="AC4602" s="6" t="n"/>
      <c r="AD4602" s="75" t="n"/>
      <c r="AE4602" s="75" t="n"/>
      <c r="AF4602" s="75" t="n"/>
    </row>
    <row r="4603" ht="15.75" customHeight="1" s="133">
      <c r="A4603" s="75" t="n"/>
      <c r="B4603" s="75" t="n"/>
      <c r="C4603" s="75" t="n"/>
      <c r="D4603" s="75" t="n"/>
      <c r="E4603" s="76" t="n"/>
      <c r="F4603" s="77" t="n"/>
      <c r="G4603" s="75" t="n"/>
      <c r="H4603" s="75">
        <f>IF(ISBLANK(E4603),"",IF(OR(D4603="Butterfly",D4603="Butterfly ",D4603="Iron Fly", D4603="Iron Fly "),LEN(E4603)-LEN(SUBSTITUTE(E4603,"/",""))+2,LEN(E4603)-LEN(SUBSTITUTE(E4603,"/",""))+1))</f>
        <v/>
      </c>
      <c r="I4603" s="78">
        <f>IF(ISBLANK(G4603),"",IF(D4603="Stock","0",Key!$A$3*H4603*G4603))</f>
        <v/>
      </c>
      <c r="J4603" s="78">
        <f>IF(ISBLANK(E4603),"",IF(ISNUMBER(SEARCH("/",E4603)), IF(LEN(E4603)-LEN(SUBSTITUTE(E4603,"/",""))=1,(RIGHT(E4603,LEN(E4603)-FIND("/",E4603)))-(LEFT(E4603,FIND("/",E4603)-1)),(MID(E4603, SEARCH("/",E4603) + 1, SEARCH("/",E4603, SEARCH("/",E4603)+1) - SEARCH("/",E4603) - 1))-(LEFT(E4603,FIND("/",E4603)-1))), "NA"))</f>
        <v/>
      </c>
      <c r="K4603" s="79">
        <f>IF(A4603&lt;&gt;"", IF(ISBLANK(L4603), TODAY(), K4603), "")</f>
        <v/>
      </c>
      <c r="L4603" s="78" t="n"/>
      <c r="M4603" s="78">
        <f>IF(ISBLANK(L4603),"",IF(D4603="Stock",IF(C4603="Buy",L4603*G4603,IF(C4603="Sell",(L4603*G4603)-I4603, X)),IF(C4603="Buy",(L4603*G4603*100)+I4603,IF(C4603="Sell",(L4603*G4603*100)-I4603, X))))</f>
        <v/>
      </c>
      <c r="N4603" s="78">
        <f>IF(ISBLANK(L4603),"",IF(AND(C4603="Sell",D4603="Stock"),M4603,IF(ISBLANK(L4603),"",IF(C4603="Buy",M4603, IF(AND(C4603="Sell",J4603="NA"),(E4603*G4603*100*0.1)+I4603, IF(C4603="Sell",(J4603-L4603)*(100*G4603)+I4603))))))</f>
        <v/>
      </c>
      <c r="O4603" s="75" t="n"/>
      <c r="P4603" s="75" t="n"/>
      <c r="Q4603" s="75">
        <f>IF(ISBLANK(P4603),"",IF(D4603="Stock",P4603*G4603,IF(P4603=0,"0",G4603*P4603*100-(G4603*$AF$14))))</f>
        <v/>
      </c>
      <c r="R4603" s="79">
        <f>IF(P4603&lt;&gt;"", TODAY(), "")</f>
        <v/>
      </c>
      <c r="S4603" s="78">
        <f>IF(AND(K4603&lt;&gt;"", R4603&lt;&gt;""), R4603-K4603, "")</f>
        <v/>
      </c>
      <c r="T4603" s="78" t="n"/>
      <c r="U4603" s="92">
        <f>IF(ISBLANK(P4603),"",IF(C4603="Buy",Q4603-M4603+T4603, IF(C4603="Sell",M4603-Q4603-T4603, X)))</f>
        <v/>
      </c>
      <c r="V4603" s="81">
        <f>IF(ISBLANK(P4603),"",U4603/N4603)</f>
        <v/>
      </c>
      <c r="W4603" s="81">
        <f>IF(ISBLANK(P4603),"",IF(S4603=0,(365/0.5)*V4603,(365/S4603)*V4603))</f>
        <v/>
      </c>
      <c r="X4603" s="75" t="n"/>
      <c r="Y4603" s="77" t="n"/>
      <c r="Z4603" s="77" t="n"/>
      <c r="AA4603" s="75" t="n"/>
      <c r="AB4603" s="75" t="n"/>
      <c r="AC4603" s="6" t="n"/>
      <c r="AD4603" s="75" t="n"/>
      <c r="AE4603" s="75" t="n"/>
      <c r="AF4603" s="75" t="n"/>
    </row>
    <row r="4604" ht="15.75" customHeight="1" s="133">
      <c r="A4604" s="75" t="n"/>
      <c r="B4604" s="75" t="n"/>
      <c r="C4604" s="75" t="n"/>
      <c r="D4604" s="75" t="n"/>
      <c r="E4604" s="76" t="n"/>
      <c r="F4604" s="77" t="n"/>
      <c r="G4604" s="75" t="n"/>
      <c r="H4604" s="75">
        <f>IF(ISBLANK(E4604),"",IF(OR(D4604="Butterfly",D4604="Butterfly ",D4604="Iron Fly", D4604="Iron Fly "),LEN(E4604)-LEN(SUBSTITUTE(E4604,"/",""))+2,LEN(E4604)-LEN(SUBSTITUTE(E4604,"/",""))+1))</f>
        <v/>
      </c>
      <c r="I4604" s="78">
        <f>IF(ISBLANK(G4604),"",IF(D4604="Stock","0",Key!$A$3*H4604*G4604))</f>
        <v/>
      </c>
      <c r="J4604" s="78">
        <f>IF(ISBLANK(E4604),"",IF(ISNUMBER(SEARCH("/",E4604)), IF(LEN(E4604)-LEN(SUBSTITUTE(E4604,"/",""))=1,(RIGHT(E4604,LEN(E4604)-FIND("/",E4604)))-(LEFT(E4604,FIND("/",E4604)-1)),(MID(E4604, SEARCH("/",E4604) + 1, SEARCH("/",E4604, SEARCH("/",E4604)+1) - SEARCH("/",E4604) - 1))-(LEFT(E4604,FIND("/",E4604)-1))), "NA"))</f>
        <v/>
      </c>
      <c r="K4604" s="79">
        <f>IF(A4604&lt;&gt;"", IF(ISBLANK(L4604), TODAY(), K4604), "")</f>
        <v/>
      </c>
      <c r="L4604" s="78" t="n"/>
      <c r="M4604" s="78">
        <f>IF(ISBLANK(L4604),"",IF(D4604="Stock",IF(C4604="Buy",L4604*G4604,IF(C4604="Sell",(L4604*G4604)-I4604, X)),IF(C4604="Buy",(L4604*G4604*100)+I4604,IF(C4604="Sell",(L4604*G4604*100)-I4604, X))))</f>
        <v/>
      </c>
      <c r="N4604" s="78">
        <f>IF(ISBLANK(L4604),"",IF(AND(C4604="Sell",D4604="Stock"),M4604,IF(ISBLANK(L4604),"",IF(C4604="Buy",M4604, IF(AND(C4604="Sell",J4604="NA"),(E4604*G4604*100*0.1)+I4604, IF(C4604="Sell",(J4604-L4604)*(100*G4604)+I4604))))))</f>
        <v/>
      </c>
      <c r="O4604" s="75" t="n"/>
      <c r="P4604" s="75" t="n"/>
      <c r="Q4604" s="75">
        <f>IF(ISBLANK(P4604),"",IF(D4604="Stock",P4604*G4604,IF(P4604=0,"0",G4604*P4604*100-(G4604*$AF$14))))</f>
        <v/>
      </c>
      <c r="R4604" s="79">
        <f>IF(P4604&lt;&gt;"", TODAY(), "")</f>
        <v/>
      </c>
      <c r="S4604" s="78">
        <f>IF(AND(K4604&lt;&gt;"", R4604&lt;&gt;""), R4604-K4604, "")</f>
        <v/>
      </c>
      <c r="T4604" s="78" t="n"/>
      <c r="U4604" s="92">
        <f>IF(ISBLANK(P4604),"",IF(C4604="Buy",Q4604-M4604+T4604, IF(C4604="Sell",M4604-Q4604-T4604, X)))</f>
        <v/>
      </c>
      <c r="V4604" s="81">
        <f>IF(ISBLANK(P4604),"",U4604/N4604)</f>
        <v/>
      </c>
      <c r="W4604" s="81">
        <f>IF(ISBLANK(P4604),"",IF(S4604=0,(365/0.5)*V4604,(365/S4604)*V4604))</f>
        <v/>
      </c>
      <c r="X4604" s="75" t="n"/>
      <c r="Y4604" s="77" t="n"/>
      <c r="Z4604" s="77" t="n"/>
      <c r="AA4604" s="75" t="n"/>
      <c r="AB4604" s="75" t="n"/>
      <c r="AC4604" s="6" t="n"/>
      <c r="AD4604" s="75" t="n"/>
      <c r="AE4604" s="75" t="n"/>
      <c r="AF4604" s="75" t="n"/>
    </row>
    <row r="4605" ht="15.75" customHeight="1" s="133">
      <c r="A4605" s="75" t="n"/>
      <c r="B4605" s="75" t="n"/>
      <c r="C4605" s="75" t="n"/>
      <c r="D4605" s="75" t="n"/>
      <c r="E4605" s="76" t="n"/>
      <c r="F4605" s="77" t="n"/>
      <c r="G4605" s="75" t="n"/>
      <c r="H4605" s="75">
        <f>IF(ISBLANK(E4605),"",IF(OR(D4605="Butterfly",D4605="Butterfly ",D4605="Iron Fly", D4605="Iron Fly "),LEN(E4605)-LEN(SUBSTITUTE(E4605,"/",""))+2,LEN(E4605)-LEN(SUBSTITUTE(E4605,"/",""))+1))</f>
        <v/>
      </c>
      <c r="I4605" s="78">
        <f>IF(ISBLANK(G4605),"",IF(D4605="Stock","0",Key!$A$3*H4605*G4605))</f>
        <v/>
      </c>
      <c r="J4605" s="78">
        <f>IF(ISBLANK(E4605),"",IF(ISNUMBER(SEARCH("/",E4605)), IF(LEN(E4605)-LEN(SUBSTITUTE(E4605,"/",""))=1,(RIGHT(E4605,LEN(E4605)-FIND("/",E4605)))-(LEFT(E4605,FIND("/",E4605)-1)),(MID(E4605, SEARCH("/",E4605) + 1, SEARCH("/",E4605, SEARCH("/",E4605)+1) - SEARCH("/",E4605) - 1))-(LEFT(E4605,FIND("/",E4605)-1))), "NA"))</f>
        <v/>
      </c>
      <c r="K4605" s="79">
        <f>IF(A4605&lt;&gt;"", IF(ISBLANK(L4605), TODAY(), K4605), "")</f>
        <v/>
      </c>
      <c r="L4605" s="78" t="n"/>
      <c r="M4605" s="78">
        <f>IF(ISBLANK(L4605),"",IF(D4605="Stock",IF(C4605="Buy",L4605*G4605,IF(C4605="Sell",(L4605*G4605)-I4605, X)),IF(C4605="Buy",(L4605*G4605*100)+I4605,IF(C4605="Sell",(L4605*G4605*100)-I4605, X))))</f>
        <v/>
      </c>
      <c r="N4605" s="78">
        <f>IF(ISBLANK(L4605),"",IF(AND(C4605="Sell",D4605="Stock"),M4605,IF(ISBLANK(L4605),"",IF(C4605="Buy",M4605, IF(AND(C4605="Sell",J4605="NA"),(E4605*G4605*100*0.1)+I4605, IF(C4605="Sell",(J4605-L4605)*(100*G4605)+I4605))))))</f>
        <v/>
      </c>
      <c r="O4605" s="75" t="n"/>
      <c r="P4605" s="75" t="n"/>
      <c r="Q4605" s="75">
        <f>IF(ISBLANK(P4605),"",IF(D4605="Stock",P4605*G4605,IF(P4605=0,"0",G4605*P4605*100-(G4605*$AF$14))))</f>
        <v/>
      </c>
      <c r="R4605" s="79">
        <f>IF(P4605&lt;&gt;"", TODAY(), "")</f>
        <v/>
      </c>
      <c r="S4605" s="78">
        <f>IF(AND(K4605&lt;&gt;"", R4605&lt;&gt;""), R4605-K4605, "")</f>
        <v/>
      </c>
      <c r="T4605" s="78" t="n"/>
      <c r="U4605" s="92">
        <f>IF(ISBLANK(P4605),"",IF(C4605="Buy",Q4605-M4605+T4605, IF(C4605="Sell",M4605-Q4605-T4605, X)))</f>
        <v/>
      </c>
      <c r="V4605" s="81">
        <f>IF(ISBLANK(P4605),"",U4605/N4605)</f>
        <v/>
      </c>
      <c r="W4605" s="81">
        <f>IF(ISBLANK(P4605),"",IF(S4605=0,(365/0.5)*V4605,(365/S4605)*V4605))</f>
        <v/>
      </c>
      <c r="X4605" s="75" t="n"/>
      <c r="Y4605" s="77" t="n"/>
      <c r="Z4605" s="77" t="n"/>
      <c r="AA4605" s="75" t="n"/>
      <c r="AB4605" s="75" t="n"/>
      <c r="AC4605" s="6" t="n"/>
      <c r="AD4605" s="75" t="n"/>
      <c r="AE4605" s="75" t="n"/>
      <c r="AF4605" s="75" t="n"/>
    </row>
    <row r="4606" ht="15.75" customHeight="1" s="133">
      <c r="A4606" s="75" t="n"/>
      <c r="B4606" s="75" t="n"/>
      <c r="C4606" s="75" t="n"/>
      <c r="D4606" s="75" t="n"/>
      <c r="E4606" s="76" t="n"/>
      <c r="F4606" s="77" t="n"/>
      <c r="G4606" s="75" t="n"/>
      <c r="H4606" s="75">
        <f>IF(ISBLANK(E4606),"",IF(OR(D4606="Butterfly",D4606="Butterfly ",D4606="Iron Fly", D4606="Iron Fly "),LEN(E4606)-LEN(SUBSTITUTE(E4606,"/",""))+2,LEN(E4606)-LEN(SUBSTITUTE(E4606,"/",""))+1))</f>
        <v/>
      </c>
      <c r="I4606" s="78">
        <f>IF(ISBLANK(G4606),"",IF(D4606="Stock","0",Key!$A$3*H4606*G4606))</f>
        <v/>
      </c>
      <c r="J4606" s="78">
        <f>IF(ISBLANK(E4606),"",IF(ISNUMBER(SEARCH("/",E4606)), IF(LEN(E4606)-LEN(SUBSTITUTE(E4606,"/",""))=1,(RIGHT(E4606,LEN(E4606)-FIND("/",E4606)))-(LEFT(E4606,FIND("/",E4606)-1)),(MID(E4606, SEARCH("/",E4606) + 1, SEARCH("/",E4606, SEARCH("/",E4606)+1) - SEARCH("/",E4606) - 1))-(LEFT(E4606,FIND("/",E4606)-1))), "NA"))</f>
        <v/>
      </c>
      <c r="K4606" s="79">
        <f>IF(A4606&lt;&gt;"", IF(ISBLANK(L4606), TODAY(), K4606), "")</f>
        <v/>
      </c>
      <c r="L4606" s="78" t="n"/>
      <c r="M4606" s="78">
        <f>IF(ISBLANK(L4606),"",IF(D4606="Stock",IF(C4606="Buy",L4606*G4606,IF(C4606="Sell",(L4606*G4606)-I4606, X)),IF(C4606="Buy",(L4606*G4606*100)+I4606,IF(C4606="Sell",(L4606*G4606*100)-I4606, X))))</f>
        <v/>
      </c>
      <c r="N4606" s="78">
        <f>IF(ISBLANK(L4606),"",IF(AND(C4606="Sell",D4606="Stock"),M4606,IF(ISBLANK(L4606),"",IF(C4606="Buy",M4606, IF(AND(C4606="Sell",J4606="NA"),(E4606*G4606*100*0.1)+I4606, IF(C4606="Sell",(J4606-L4606)*(100*G4606)+I4606))))))</f>
        <v/>
      </c>
      <c r="O4606" s="75" t="n"/>
      <c r="P4606" s="75" t="n"/>
      <c r="Q4606" s="75">
        <f>IF(ISBLANK(P4606),"",IF(D4606="Stock",P4606*G4606,IF(P4606=0,"0",G4606*P4606*100-(G4606*$AF$14))))</f>
        <v/>
      </c>
      <c r="R4606" s="79">
        <f>IF(P4606&lt;&gt;"", TODAY(), "")</f>
        <v/>
      </c>
      <c r="S4606" s="78">
        <f>IF(AND(K4606&lt;&gt;"", R4606&lt;&gt;""), R4606-K4606, "")</f>
        <v/>
      </c>
      <c r="T4606" s="78" t="n"/>
      <c r="U4606" s="92">
        <f>IF(ISBLANK(P4606),"",IF(C4606="Buy",Q4606-M4606+T4606, IF(C4606="Sell",M4606-Q4606-T4606, X)))</f>
        <v/>
      </c>
      <c r="V4606" s="81">
        <f>IF(ISBLANK(P4606),"",U4606/N4606)</f>
        <v/>
      </c>
      <c r="W4606" s="81">
        <f>IF(ISBLANK(P4606),"",IF(S4606=0,(365/0.5)*V4606,(365/S4606)*V4606))</f>
        <v/>
      </c>
      <c r="X4606" s="75" t="n"/>
      <c r="Y4606" s="77" t="n"/>
      <c r="Z4606" s="77" t="n"/>
      <c r="AA4606" s="75" t="n"/>
      <c r="AB4606" s="75" t="n"/>
      <c r="AC4606" s="6" t="n"/>
      <c r="AD4606" s="75" t="n"/>
      <c r="AE4606" s="75" t="n"/>
      <c r="AF4606" s="75" t="n"/>
    </row>
    <row r="4607" ht="15.75" customHeight="1" s="133">
      <c r="A4607" s="75" t="n"/>
      <c r="B4607" s="75" t="n"/>
      <c r="C4607" s="75" t="n"/>
      <c r="D4607" s="75" t="n"/>
      <c r="E4607" s="76" t="n"/>
      <c r="F4607" s="77" t="n"/>
      <c r="G4607" s="75" t="n"/>
      <c r="H4607" s="75">
        <f>IF(ISBLANK(E4607),"",IF(OR(D4607="Butterfly",D4607="Butterfly ",D4607="Iron Fly", D4607="Iron Fly "),LEN(E4607)-LEN(SUBSTITUTE(E4607,"/",""))+2,LEN(E4607)-LEN(SUBSTITUTE(E4607,"/",""))+1))</f>
        <v/>
      </c>
      <c r="I4607" s="78">
        <f>IF(ISBLANK(G4607),"",IF(D4607="Stock","0",Key!$A$3*H4607*G4607))</f>
        <v/>
      </c>
      <c r="J4607" s="78">
        <f>IF(ISBLANK(E4607),"",IF(ISNUMBER(SEARCH("/",E4607)), IF(LEN(E4607)-LEN(SUBSTITUTE(E4607,"/",""))=1,(RIGHT(E4607,LEN(E4607)-FIND("/",E4607)))-(LEFT(E4607,FIND("/",E4607)-1)),(MID(E4607, SEARCH("/",E4607) + 1, SEARCH("/",E4607, SEARCH("/",E4607)+1) - SEARCH("/",E4607) - 1))-(LEFT(E4607,FIND("/",E4607)-1))), "NA"))</f>
        <v/>
      </c>
      <c r="K4607" s="79">
        <f>IF(A4607&lt;&gt;"", IF(ISBLANK(L4607), TODAY(), K4607), "")</f>
        <v/>
      </c>
      <c r="L4607" s="78" t="n"/>
      <c r="M4607" s="78">
        <f>IF(ISBLANK(L4607),"",IF(D4607="Stock",IF(C4607="Buy",L4607*G4607,IF(C4607="Sell",(L4607*G4607)-I4607, X)),IF(C4607="Buy",(L4607*G4607*100)+I4607,IF(C4607="Sell",(L4607*G4607*100)-I4607, X))))</f>
        <v/>
      </c>
      <c r="N4607" s="78">
        <f>IF(ISBLANK(L4607),"",IF(AND(C4607="Sell",D4607="Stock"),M4607,IF(ISBLANK(L4607),"",IF(C4607="Buy",M4607, IF(AND(C4607="Sell",J4607="NA"),(E4607*G4607*100*0.1)+I4607, IF(C4607="Sell",(J4607-L4607)*(100*G4607)+I4607))))))</f>
        <v/>
      </c>
      <c r="O4607" s="75" t="n"/>
      <c r="P4607" s="75" t="n"/>
      <c r="Q4607" s="75">
        <f>IF(ISBLANK(P4607),"",IF(D4607="Stock",P4607*G4607,IF(P4607=0,"0",G4607*P4607*100-(G4607*$AF$14))))</f>
        <v/>
      </c>
      <c r="R4607" s="79">
        <f>IF(P4607&lt;&gt;"", TODAY(), "")</f>
        <v/>
      </c>
      <c r="S4607" s="78">
        <f>IF(AND(K4607&lt;&gt;"", R4607&lt;&gt;""), R4607-K4607, "")</f>
        <v/>
      </c>
      <c r="T4607" s="78" t="n"/>
      <c r="U4607" s="92">
        <f>IF(ISBLANK(P4607),"",IF(C4607="Buy",Q4607-M4607+T4607, IF(C4607="Sell",M4607-Q4607-T4607, X)))</f>
        <v/>
      </c>
      <c r="V4607" s="81">
        <f>IF(ISBLANK(P4607),"",U4607/N4607)</f>
        <v/>
      </c>
      <c r="W4607" s="81">
        <f>IF(ISBLANK(P4607),"",IF(S4607=0,(365/0.5)*V4607,(365/S4607)*V4607))</f>
        <v/>
      </c>
      <c r="X4607" s="75" t="n"/>
      <c r="Y4607" s="77" t="n"/>
      <c r="Z4607" s="77" t="n"/>
      <c r="AA4607" s="75" t="n"/>
      <c r="AB4607" s="75" t="n"/>
      <c r="AC4607" s="6" t="n"/>
      <c r="AD4607" s="75" t="n"/>
      <c r="AE4607" s="75" t="n"/>
      <c r="AF4607" s="75" t="n"/>
    </row>
    <row r="4608" ht="15.75" customHeight="1" s="133">
      <c r="A4608" s="75" t="n"/>
      <c r="B4608" s="75" t="n"/>
      <c r="C4608" s="75" t="n"/>
      <c r="D4608" s="75" t="n"/>
      <c r="E4608" s="76" t="n"/>
      <c r="F4608" s="77" t="n"/>
      <c r="G4608" s="75" t="n"/>
      <c r="H4608" s="75">
        <f>IF(ISBLANK(E4608),"",IF(OR(D4608="Butterfly",D4608="Butterfly ",D4608="Iron Fly", D4608="Iron Fly "),LEN(E4608)-LEN(SUBSTITUTE(E4608,"/",""))+2,LEN(E4608)-LEN(SUBSTITUTE(E4608,"/",""))+1))</f>
        <v/>
      </c>
      <c r="I4608" s="78">
        <f>IF(ISBLANK(G4608),"",IF(D4608="Stock","0",Key!$A$3*H4608*G4608))</f>
        <v/>
      </c>
      <c r="J4608" s="78">
        <f>IF(ISBLANK(E4608),"",IF(ISNUMBER(SEARCH("/",E4608)), IF(LEN(E4608)-LEN(SUBSTITUTE(E4608,"/",""))=1,(RIGHT(E4608,LEN(E4608)-FIND("/",E4608)))-(LEFT(E4608,FIND("/",E4608)-1)),(MID(E4608, SEARCH("/",E4608) + 1, SEARCH("/",E4608, SEARCH("/",E4608)+1) - SEARCH("/",E4608) - 1))-(LEFT(E4608,FIND("/",E4608)-1))), "NA"))</f>
        <v/>
      </c>
      <c r="K4608" s="79">
        <f>IF(A4608&lt;&gt;"", IF(ISBLANK(L4608), TODAY(), K4608), "")</f>
        <v/>
      </c>
      <c r="L4608" s="78" t="n"/>
      <c r="M4608" s="78">
        <f>IF(ISBLANK(L4608),"",IF(D4608="Stock",IF(C4608="Buy",L4608*G4608,IF(C4608="Sell",(L4608*G4608)-I4608, X)),IF(C4608="Buy",(L4608*G4608*100)+I4608,IF(C4608="Sell",(L4608*G4608*100)-I4608, X))))</f>
        <v/>
      </c>
      <c r="N4608" s="78">
        <f>IF(ISBLANK(L4608),"",IF(AND(C4608="Sell",D4608="Stock"),M4608,IF(ISBLANK(L4608),"",IF(C4608="Buy",M4608, IF(AND(C4608="Sell",J4608="NA"),(E4608*G4608*100*0.1)+I4608, IF(C4608="Sell",(J4608-L4608)*(100*G4608)+I4608))))))</f>
        <v/>
      </c>
      <c r="O4608" s="75" t="n"/>
      <c r="P4608" s="75" t="n"/>
      <c r="Q4608" s="75">
        <f>IF(ISBLANK(P4608),"",IF(D4608="Stock",P4608*G4608,IF(P4608=0,"0",G4608*P4608*100-(G4608*$AF$14))))</f>
        <v/>
      </c>
      <c r="R4608" s="79">
        <f>IF(P4608&lt;&gt;"", TODAY(), "")</f>
        <v/>
      </c>
      <c r="S4608" s="78">
        <f>IF(AND(K4608&lt;&gt;"", R4608&lt;&gt;""), R4608-K4608, "")</f>
        <v/>
      </c>
      <c r="T4608" s="78" t="n"/>
      <c r="U4608" s="92">
        <f>IF(ISBLANK(P4608),"",IF(C4608="Buy",Q4608-M4608+T4608, IF(C4608="Sell",M4608-Q4608-T4608, X)))</f>
        <v/>
      </c>
      <c r="V4608" s="81">
        <f>IF(ISBLANK(P4608),"",U4608/N4608)</f>
        <v/>
      </c>
      <c r="W4608" s="81">
        <f>IF(ISBLANK(P4608),"",IF(S4608=0,(365/0.5)*V4608,(365/S4608)*V4608))</f>
        <v/>
      </c>
      <c r="X4608" s="75" t="n"/>
      <c r="Y4608" s="77" t="n"/>
      <c r="Z4608" s="77" t="n"/>
      <c r="AA4608" s="75" t="n"/>
      <c r="AB4608" s="75" t="n"/>
      <c r="AC4608" s="6" t="n"/>
      <c r="AD4608" s="75" t="n"/>
      <c r="AE4608" s="75" t="n"/>
      <c r="AF4608" s="75" t="n"/>
    </row>
    <row r="4609" ht="15.75" customHeight="1" s="133">
      <c r="A4609" s="75" t="n"/>
      <c r="B4609" s="75" t="n"/>
      <c r="C4609" s="75" t="n"/>
      <c r="D4609" s="75" t="n"/>
      <c r="E4609" s="76" t="n"/>
      <c r="F4609" s="77" t="n"/>
      <c r="G4609" s="75" t="n"/>
      <c r="H4609" s="75">
        <f>IF(ISBLANK(E4609),"",IF(OR(D4609="Butterfly",D4609="Butterfly ",D4609="Iron Fly", D4609="Iron Fly "),LEN(E4609)-LEN(SUBSTITUTE(E4609,"/",""))+2,LEN(E4609)-LEN(SUBSTITUTE(E4609,"/",""))+1))</f>
        <v/>
      </c>
      <c r="I4609" s="78">
        <f>IF(ISBLANK(G4609),"",IF(D4609="Stock","0",Key!$A$3*H4609*G4609))</f>
        <v/>
      </c>
      <c r="J4609" s="78">
        <f>IF(ISBLANK(E4609),"",IF(ISNUMBER(SEARCH("/",E4609)), IF(LEN(E4609)-LEN(SUBSTITUTE(E4609,"/",""))=1,(RIGHT(E4609,LEN(E4609)-FIND("/",E4609)))-(LEFT(E4609,FIND("/",E4609)-1)),(MID(E4609, SEARCH("/",E4609) + 1, SEARCH("/",E4609, SEARCH("/",E4609)+1) - SEARCH("/",E4609) - 1))-(LEFT(E4609,FIND("/",E4609)-1))), "NA"))</f>
        <v/>
      </c>
      <c r="K4609" s="79">
        <f>IF(A4609&lt;&gt;"", IF(ISBLANK(L4609), TODAY(), K4609), "")</f>
        <v/>
      </c>
      <c r="L4609" s="78" t="n"/>
      <c r="M4609" s="78">
        <f>IF(ISBLANK(L4609),"",IF(D4609="Stock",IF(C4609="Buy",L4609*G4609,IF(C4609="Sell",(L4609*G4609)-I4609, X)),IF(C4609="Buy",(L4609*G4609*100)+I4609,IF(C4609="Sell",(L4609*G4609*100)-I4609, X))))</f>
        <v/>
      </c>
      <c r="N4609" s="78">
        <f>IF(ISBLANK(L4609),"",IF(AND(C4609="Sell",D4609="Stock"),M4609,IF(ISBLANK(L4609),"",IF(C4609="Buy",M4609, IF(AND(C4609="Sell",J4609="NA"),(E4609*G4609*100*0.1)+I4609, IF(C4609="Sell",(J4609-L4609)*(100*G4609)+I4609))))))</f>
        <v/>
      </c>
      <c r="O4609" s="75" t="n"/>
      <c r="P4609" s="75" t="n"/>
      <c r="Q4609" s="75">
        <f>IF(ISBLANK(P4609),"",IF(D4609="Stock",P4609*G4609,IF(P4609=0,"0",G4609*P4609*100-(G4609*$AF$14))))</f>
        <v/>
      </c>
      <c r="R4609" s="79">
        <f>IF(P4609&lt;&gt;"", TODAY(), "")</f>
        <v/>
      </c>
      <c r="S4609" s="78">
        <f>IF(AND(K4609&lt;&gt;"", R4609&lt;&gt;""), R4609-K4609, "")</f>
        <v/>
      </c>
      <c r="T4609" s="78" t="n"/>
      <c r="U4609" s="92">
        <f>IF(ISBLANK(P4609),"",IF(C4609="Buy",Q4609-M4609+T4609, IF(C4609="Sell",M4609-Q4609-T4609, X)))</f>
        <v/>
      </c>
      <c r="V4609" s="81">
        <f>IF(ISBLANK(P4609),"",U4609/N4609)</f>
        <v/>
      </c>
      <c r="W4609" s="81">
        <f>IF(ISBLANK(P4609),"",IF(S4609=0,(365/0.5)*V4609,(365/S4609)*V4609))</f>
        <v/>
      </c>
      <c r="X4609" s="75" t="n"/>
      <c r="Y4609" s="77" t="n"/>
      <c r="Z4609" s="77" t="n"/>
      <c r="AA4609" s="75" t="n"/>
      <c r="AB4609" s="75" t="n"/>
      <c r="AC4609" s="6" t="n"/>
      <c r="AD4609" s="75" t="n"/>
      <c r="AE4609" s="75" t="n"/>
      <c r="AF4609" s="75" t="n"/>
    </row>
    <row r="4610" ht="15.75" customHeight="1" s="133">
      <c r="A4610" s="75" t="n"/>
      <c r="B4610" s="75" t="n"/>
      <c r="C4610" s="75" t="n"/>
      <c r="D4610" s="75" t="n"/>
      <c r="E4610" s="76" t="n"/>
      <c r="F4610" s="77" t="n"/>
      <c r="G4610" s="75" t="n"/>
      <c r="H4610" s="75">
        <f>IF(ISBLANK(E4610),"",IF(OR(D4610="Butterfly",D4610="Butterfly ",D4610="Iron Fly", D4610="Iron Fly "),LEN(E4610)-LEN(SUBSTITUTE(E4610,"/",""))+2,LEN(E4610)-LEN(SUBSTITUTE(E4610,"/",""))+1))</f>
        <v/>
      </c>
      <c r="I4610" s="78">
        <f>IF(ISBLANK(G4610),"",IF(D4610="Stock","0",Key!$A$3*H4610*G4610))</f>
        <v/>
      </c>
      <c r="J4610" s="78">
        <f>IF(ISBLANK(E4610),"",IF(ISNUMBER(SEARCH("/",E4610)), IF(LEN(E4610)-LEN(SUBSTITUTE(E4610,"/",""))=1,(RIGHT(E4610,LEN(E4610)-FIND("/",E4610)))-(LEFT(E4610,FIND("/",E4610)-1)),(MID(E4610, SEARCH("/",E4610) + 1, SEARCH("/",E4610, SEARCH("/",E4610)+1) - SEARCH("/",E4610) - 1))-(LEFT(E4610,FIND("/",E4610)-1))), "NA"))</f>
        <v/>
      </c>
      <c r="K4610" s="79">
        <f>IF(A4610&lt;&gt;"", IF(ISBLANK(L4610), TODAY(), K4610), "")</f>
        <v/>
      </c>
      <c r="L4610" s="78" t="n"/>
      <c r="M4610" s="78">
        <f>IF(ISBLANK(L4610),"",IF(D4610="Stock",IF(C4610="Buy",L4610*G4610,IF(C4610="Sell",(L4610*G4610)-I4610, X)),IF(C4610="Buy",(L4610*G4610*100)+I4610,IF(C4610="Sell",(L4610*G4610*100)-I4610, X))))</f>
        <v/>
      </c>
      <c r="N4610" s="78">
        <f>IF(ISBLANK(L4610),"",IF(AND(C4610="Sell",D4610="Stock"),M4610,IF(ISBLANK(L4610),"",IF(C4610="Buy",M4610, IF(AND(C4610="Sell",J4610="NA"),(E4610*G4610*100*0.1)+I4610, IF(C4610="Sell",(J4610-L4610)*(100*G4610)+I4610))))))</f>
        <v/>
      </c>
      <c r="O4610" s="75" t="n"/>
      <c r="P4610" s="75" t="n"/>
      <c r="Q4610" s="75">
        <f>IF(ISBLANK(P4610),"",IF(D4610="Stock",P4610*G4610,IF(P4610=0,"0",G4610*P4610*100-(G4610*$AF$14))))</f>
        <v/>
      </c>
      <c r="R4610" s="79">
        <f>IF(P4610&lt;&gt;"", TODAY(), "")</f>
        <v/>
      </c>
      <c r="S4610" s="78">
        <f>IF(AND(K4610&lt;&gt;"", R4610&lt;&gt;""), R4610-K4610, "")</f>
        <v/>
      </c>
      <c r="T4610" s="78" t="n"/>
      <c r="U4610" s="92">
        <f>IF(ISBLANK(P4610),"",IF(C4610="Buy",Q4610-M4610+T4610, IF(C4610="Sell",M4610-Q4610-T4610, X)))</f>
        <v/>
      </c>
      <c r="V4610" s="81">
        <f>IF(ISBLANK(P4610),"",U4610/N4610)</f>
        <v/>
      </c>
      <c r="W4610" s="81">
        <f>IF(ISBLANK(P4610),"",IF(S4610=0,(365/0.5)*V4610,(365/S4610)*V4610))</f>
        <v/>
      </c>
      <c r="X4610" s="75" t="n"/>
      <c r="Y4610" s="77" t="n"/>
      <c r="Z4610" s="77" t="n"/>
      <c r="AA4610" s="75" t="n"/>
      <c r="AB4610" s="75" t="n"/>
      <c r="AC4610" s="6" t="n"/>
      <c r="AD4610" s="75" t="n"/>
      <c r="AE4610" s="75" t="n"/>
      <c r="AF4610" s="75" t="n"/>
    </row>
    <row r="4611" ht="15.75" customHeight="1" s="133">
      <c r="A4611" s="75" t="n"/>
      <c r="B4611" s="75" t="n"/>
      <c r="C4611" s="75" t="n"/>
      <c r="D4611" s="75" t="n"/>
      <c r="E4611" s="76" t="n"/>
      <c r="F4611" s="77" t="n"/>
      <c r="G4611" s="75" t="n"/>
      <c r="H4611" s="75">
        <f>IF(ISBLANK(E4611),"",IF(OR(D4611="Butterfly",D4611="Butterfly ",D4611="Iron Fly", D4611="Iron Fly "),LEN(E4611)-LEN(SUBSTITUTE(E4611,"/",""))+2,LEN(E4611)-LEN(SUBSTITUTE(E4611,"/",""))+1))</f>
        <v/>
      </c>
      <c r="I4611" s="78">
        <f>IF(ISBLANK(G4611),"",IF(D4611="Stock","0",Key!$A$3*H4611*G4611))</f>
        <v/>
      </c>
      <c r="J4611" s="78">
        <f>IF(ISBLANK(E4611),"",IF(ISNUMBER(SEARCH("/",E4611)), IF(LEN(E4611)-LEN(SUBSTITUTE(E4611,"/",""))=1,(RIGHT(E4611,LEN(E4611)-FIND("/",E4611)))-(LEFT(E4611,FIND("/",E4611)-1)),(MID(E4611, SEARCH("/",E4611) + 1, SEARCH("/",E4611, SEARCH("/",E4611)+1) - SEARCH("/",E4611) - 1))-(LEFT(E4611,FIND("/",E4611)-1))), "NA"))</f>
        <v/>
      </c>
      <c r="K4611" s="79">
        <f>IF(A4611&lt;&gt;"", IF(ISBLANK(L4611), TODAY(), K4611), "")</f>
        <v/>
      </c>
      <c r="L4611" s="78" t="n"/>
      <c r="M4611" s="78">
        <f>IF(ISBLANK(L4611),"",IF(D4611="Stock",IF(C4611="Buy",L4611*G4611,IF(C4611="Sell",(L4611*G4611)-I4611, X)),IF(C4611="Buy",(L4611*G4611*100)+I4611,IF(C4611="Sell",(L4611*G4611*100)-I4611, X))))</f>
        <v/>
      </c>
      <c r="N4611" s="78">
        <f>IF(ISBLANK(L4611),"",IF(AND(C4611="Sell",D4611="Stock"),M4611,IF(ISBLANK(L4611),"",IF(C4611="Buy",M4611, IF(AND(C4611="Sell",J4611="NA"),(E4611*G4611*100*0.1)+I4611, IF(C4611="Sell",(J4611-L4611)*(100*G4611)+I4611))))))</f>
        <v/>
      </c>
      <c r="O4611" s="75" t="n"/>
      <c r="P4611" s="75" t="n"/>
      <c r="Q4611" s="75">
        <f>IF(ISBLANK(P4611),"",IF(D4611="Stock",P4611*G4611,IF(P4611=0,"0",G4611*P4611*100-(G4611*$AF$14))))</f>
        <v/>
      </c>
      <c r="R4611" s="79">
        <f>IF(P4611&lt;&gt;"", TODAY(), "")</f>
        <v/>
      </c>
      <c r="S4611" s="78">
        <f>IF(AND(K4611&lt;&gt;"", R4611&lt;&gt;""), R4611-K4611, "")</f>
        <v/>
      </c>
      <c r="T4611" s="78" t="n"/>
      <c r="U4611" s="92">
        <f>IF(ISBLANK(P4611),"",IF(C4611="Buy",Q4611-M4611+T4611, IF(C4611="Sell",M4611-Q4611-T4611, X)))</f>
        <v/>
      </c>
      <c r="V4611" s="81">
        <f>IF(ISBLANK(P4611),"",U4611/N4611)</f>
        <v/>
      </c>
      <c r="W4611" s="81">
        <f>IF(ISBLANK(P4611),"",IF(S4611=0,(365/0.5)*V4611,(365/S4611)*V4611))</f>
        <v/>
      </c>
      <c r="X4611" s="75" t="n"/>
      <c r="Y4611" s="77" t="n"/>
      <c r="Z4611" s="77" t="n"/>
      <c r="AA4611" s="75" t="n"/>
      <c r="AB4611" s="75" t="n"/>
      <c r="AC4611" s="6" t="n"/>
      <c r="AD4611" s="75" t="n"/>
      <c r="AE4611" s="75" t="n"/>
      <c r="AF4611" s="75" t="n"/>
    </row>
    <row r="4612" ht="15.75" customHeight="1" s="133">
      <c r="A4612" s="75" t="n"/>
      <c r="B4612" s="75" t="n"/>
      <c r="C4612" s="75" t="n"/>
      <c r="D4612" s="75" t="n"/>
      <c r="E4612" s="76" t="n"/>
      <c r="F4612" s="77" t="n"/>
      <c r="G4612" s="75" t="n"/>
      <c r="H4612" s="75">
        <f>IF(ISBLANK(E4612),"",IF(OR(D4612="Butterfly",D4612="Butterfly ",D4612="Iron Fly", D4612="Iron Fly "),LEN(E4612)-LEN(SUBSTITUTE(E4612,"/",""))+2,LEN(E4612)-LEN(SUBSTITUTE(E4612,"/",""))+1))</f>
        <v/>
      </c>
      <c r="I4612" s="78">
        <f>IF(ISBLANK(G4612),"",IF(D4612="Stock","0",Key!$A$3*H4612*G4612))</f>
        <v/>
      </c>
      <c r="J4612" s="78">
        <f>IF(ISBLANK(E4612),"",IF(ISNUMBER(SEARCH("/",E4612)), IF(LEN(E4612)-LEN(SUBSTITUTE(E4612,"/",""))=1,(RIGHT(E4612,LEN(E4612)-FIND("/",E4612)))-(LEFT(E4612,FIND("/",E4612)-1)),(MID(E4612, SEARCH("/",E4612) + 1, SEARCH("/",E4612, SEARCH("/",E4612)+1) - SEARCH("/",E4612) - 1))-(LEFT(E4612,FIND("/",E4612)-1))), "NA"))</f>
        <v/>
      </c>
      <c r="K4612" s="79">
        <f>IF(A4612&lt;&gt;"", IF(ISBLANK(L4612), TODAY(), K4612), "")</f>
        <v/>
      </c>
      <c r="L4612" s="78" t="n"/>
      <c r="M4612" s="78">
        <f>IF(ISBLANK(L4612),"",IF(D4612="Stock",IF(C4612="Buy",L4612*G4612,IF(C4612="Sell",(L4612*G4612)-I4612, X)),IF(C4612="Buy",(L4612*G4612*100)+I4612,IF(C4612="Sell",(L4612*G4612*100)-I4612, X))))</f>
        <v/>
      </c>
      <c r="N4612" s="78">
        <f>IF(ISBLANK(L4612),"",IF(AND(C4612="Sell",D4612="Stock"),M4612,IF(ISBLANK(L4612),"",IF(C4612="Buy",M4612, IF(AND(C4612="Sell",J4612="NA"),(E4612*G4612*100*0.1)+I4612, IF(C4612="Sell",(J4612-L4612)*(100*G4612)+I4612))))))</f>
        <v/>
      </c>
      <c r="O4612" s="75" t="n"/>
      <c r="P4612" s="75" t="n"/>
      <c r="Q4612" s="75">
        <f>IF(ISBLANK(P4612),"",IF(D4612="Stock",P4612*G4612,IF(P4612=0,"0",G4612*P4612*100-(G4612*$AF$14))))</f>
        <v/>
      </c>
      <c r="R4612" s="79">
        <f>IF(P4612&lt;&gt;"", TODAY(), "")</f>
        <v/>
      </c>
      <c r="S4612" s="78">
        <f>IF(AND(K4612&lt;&gt;"", R4612&lt;&gt;""), R4612-K4612, "")</f>
        <v/>
      </c>
      <c r="T4612" s="78" t="n"/>
      <c r="U4612" s="92">
        <f>IF(ISBLANK(P4612),"",IF(C4612="Buy",Q4612-M4612+T4612, IF(C4612="Sell",M4612-Q4612-T4612, X)))</f>
        <v/>
      </c>
      <c r="V4612" s="81">
        <f>IF(ISBLANK(P4612),"",U4612/N4612)</f>
        <v/>
      </c>
      <c r="W4612" s="81">
        <f>IF(ISBLANK(P4612),"",IF(S4612=0,(365/0.5)*V4612,(365/S4612)*V4612))</f>
        <v/>
      </c>
      <c r="X4612" s="75" t="n"/>
      <c r="Y4612" s="77" t="n"/>
      <c r="Z4612" s="77" t="n"/>
      <c r="AA4612" s="75" t="n"/>
      <c r="AB4612" s="75" t="n"/>
      <c r="AC4612" s="6" t="n"/>
      <c r="AD4612" s="75" t="n"/>
      <c r="AE4612" s="75" t="n"/>
      <c r="AF4612" s="75" t="n"/>
    </row>
    <row r="4613" ht="15.75" customHeight="1" s="133">
      <c r="A4613" s="75" t="n"/>
      <c r="B4613" s="75" t="n"/>
      <c r="C4613" s="75" t="n"/>
      <c r="D4613" s="75" t="n"/>
      <c r="E4613" s="76" t="n"/>
      <c r="F4613" s="77" t="n"/>
      <c r="G4613" s="75" t="n"/>
      <c r="H4613" s="75">
        <f>IF(ISBLANK(E4613),"",IF(OR(D4613="Butterfly",D4613="Butterfly ",D4613="Iron Fly", D4613="Iron Fly "),LEN(E4613)-LEN(SUBSTITUTE(E4613,"/",""))+2,LEN(E4613)-LEN(SUBSTITUTE(E4613,"/",""))+1))</f>
        <v/>
      </c>
      <c r="I4613" s="78">
        <f>IF(ISBLANK(G4613),"",IF(D4613="Stock","0",Key!$A$3*H4613*G4613))</f>
        <v/>
      </c>
      <c r="J4613" s="78">
        <f>IF(ISBLANK(E4613),"",IF(ISNUMBER(SEARCH("/",E4613)), IF(LEN(E4613)-LEN(SUBSTITUTE(E4613,"/",""))=1,(RIGHT(E4613,LEN(E4613)-FIND("/",E4613)))-(LEFT(E4613,FIND("/",E4613)-1)),(MID(E4613, SEARCH("/",E4613) + 1, SEARCH("/",E4613, SEARCH("/",E4613)+1) - SEARCH("/",E4613) - 1))-(LEFT(E4613,FIND("/",E4613)-1))), "NA"))</f>
        <v/>
      </c>
      <c r="K4613" s="79">
        <f>IF(A4613&lt;&gt;"", IF(ISBLANK(L4613), TODAY(), K4613), "")</f>
        <v/>
      </c>
      <c r="L4613" s="78" t="n"/>
      <c r="M4613" s="78">
        <f>IF(ISBLANK(L4613),"",IF(D4613="Stock",IF(C4613="Buy",L4613*G4613,IF(C4613="Sell",(L4613*G4613)-I4613, X)),IF(C4613="Buy",(L4613*G4613*100)+I4613,IF(C4613="Sell",(L4613*G4613*100)-I4613, X))))</f>
        <v/>
      </c>
      <c r="N4613" s="78">
        <f>IF(ISBLANK(L4613),"",IF(AND(C4613="Sell",D4613="Stock"),M4613,IF(ISBLANK(L4613),"",IF(C4613="Buy",M4613, IF(AND(C4613="Sell",J4613="NA"),(E4613*G4613*100*0.1)+I4613, IF(C4613="Sell",(J4613-L4613)*(100*G4613)+I4613))))))</f>
        <v/>
      </c>
      <c r="O4613" s="75" t="n"/>
      <c r="P4613" s="75" t="n"/>
      <c r="Q4613" s="75">
        <f>IF(ISBLANK(P4613),"",IF(D4613="Stock",P4613*G4613,IF(P4613=0,"0",G4613*P4613*100-(G4613*$AF$14))))</f>
        <v/>
      </c>
      <c r="R4613" s="79">
        <f>IF(P4613&lt;&gt;"", TODAY(), "")</f>
        <v/>
      </c>
      <c r="S4613" s="78">
        <f>IF(AND(K4613&lt;&gt;"", R4613&lt;&gt;""), R4613-K4613, "")</f>
        <v/>
      </c>
      <c r="T4613" s="78" t="n"/>
      <c r="U4613" s="92">
        <f>IF(ISBLANK(P4613),"",IF(C4613="Buy",Q4613-M4613+T4613, IF(C4613="Sell",M4613-Q4613-T4613, X)))</f>
        <v/>
      </c>
      <c r="V4613" s="81">
        <f>IF(ISBLANK(P4613),"",U4613/N4613)</f>
        <v/>
      </c>
      <c r="W4613" s="81">
        <f>IF(ISBLANK(P4613),"",IF(S4613=0,(365/0.5)*V4613,(365/S4613)*V4613))</f>
        <v/>
      </c>
      <c r="X4613" s="75" t="n"/>
      <c r="Y4613" s="77" t="n"/>
      <c r="Z4613" s="77" t="n"/>
      <c r="AA4613" s="75" t="n"/>
      <c r="AB4613" s="75" t="n"/>
      <c r="AC4613" s="6" t="n"/>
      <c r="AD4613" s="75" t="n"/>
      <c r="AE4613" s="75" t="n"/>
      <c r="AF4613" s="75" t="n"/>
    </row>
    <row r="4614" ht="15.75" customHeight="1" s="133">
      <c r="A4614" s="75" t="n"/>
      <c r="B4614" s="75" t="n"/>
      <c r="C4614" s="75" t="n"/>
      <c r="D4614" s="75" t="n"/>
      <c r="E4614" s="76" t="n"/>
      <c r="F4614" s="77" t="n"/>
      <c r="G4614" s="75" t="n"/>
      <c r="H4614" s="75">
        <f>IF(ISBLANK(E4614),"",IF(OR(D4614="Butterfly",D4614="Butterfly ",D4614="Iron Fly", D4614="Iron Fly "),LEN(E4614)-LEN(SUBSTITUTE(E4614,"/",""))+2,LEN(E4614)-LEN(SUBSTITUTE(E4614,"/",""))+1))</f>
        <v/>
      </c>
      <c r="I4614" s="78">
        <f>IF(ISBLANK(G4614),"",IF(D4614="Stock","0",Key!$A$3*H4614*G4614))</f>
        <v/>
      </c>
      <c r="J4614" s="78">
        <f>IF(ISBLANK(E4614),"",IF(ISNUMBER(SEARCH("/",E4614)), IF(LEN(E4614)-LEN(SUBSTITUTE(E4614,"/",""))=1,(RIGHT(E4614,LEN(E4614)-FIND("/",E4614)))-(LEFT(E4614,FIND("/",E4614)-1)),(MID(E4614, SEARCH("/",E4614) + 1, SEARCH("/",E4614, SEARCH("/",E4614)+1) - SEARCH("/",E4614) - 1))-(LEFT(E4614,FIND("/",E4614)-1))), "NA"))</f>
        <v/>
      </c>
      <c r="K4614" s="79">
        <f>IF(A4614&lt;&gt;"", IF(ISBLANK(L4614), TODAY(), K4614), "")</f>
        <v/>
      </c>
      <c r="L4614" s="78" t="n"/>
      <c r="M4614" s="78">
        <f>IF(ISBLANK(L4614),"",IF(D4614="Stock",IF(C4614="Buy",L4614*G4614,IF(C4614="Sell",(L4614*G4614)-I4614, X)),IF(C4614="Buy",(L4614*G4614*100)+I4614,IF(C4614="Sell",(L4614*G4614*100)-I4614, X))))</f>
        <v/>
      </c>
      <c r="N4614" s="78">
        <f>IF(ISBLANK(L4614),"",IF(AND(C4614="Sell",D4614="Stock"),M4614,IF(ISBLANK(L4614),"",IF(C4614="Buy",M4614, IF(AND(C4614="Sell",J4614="NA"),(E4614*G4614*100*0.1)+I4614, IF(C4614="Sell",(J4614-L4614)*(100*G4614)+I4614))))))</f>
        <v/>
      </c>
      <c r="O4614" s="75" t="n"/>
      <c r="P4614" s="75" t="n"/>
      <c r="Q4614" s="75">
        <f>IF(ISBLANK(P4614),"",IF(D4614="Stock",P4614*G4614,IF(P4614=0,"0",G4614*P4614*100-(G4614*$AF$14))))</f>
        <v/>
      </c>
      <c r="R4614" s="79">
        <f>IF(P4614&lt;&gt;"", TODAY(), "")</f>
        <v/>
      </c>
      <c r="S4614" s="78">
        <f>IF(AND(K4614&lt;&gt;"", R4614&lt;&gt;""), R4614-K4614, "")</f>
        <v/>
      </c>
      <c r="T4614" s="78" t="n"/>
      <c r="U4614" s="92">
        <f>IF(ISBLANK(P4614),"",IF(C4614="Buy",Q4614-M4614+T4614, IF(C4614="Sell",M4614-Q4614-T4614, X)))</f>
        <v/>
      </c>
      <c r="V4614" s="81">
        <f>IF(ISBLANK(P4614),"",U4614/N4614)</f>
        <v/>
      </c>
      <c r="W4614" s="81">
        <f>IF(ISBLANK(P4614),"",IF(S4614=0,(365/0.5)*V4614,(365/S4614)*V4614))</f>
        <v/>
      </c>
      <c r="X4614" s="75" t="n"/>
      <c r="Y4614" s="77" t="n"/>
      <c r="Z4614" s="77" t="n"/>
      <c r="AA4614" s="75" t="n"/>
      <c r="AB4614" s="75" t="n"/>
      <c r="AC4614" s="6" t="n"/>
      <c r="AD4614" s="75" t="n"/>
      <c r="AE4614" s="75" t="n"/>
      <c r="AF4614" s="75" t="n"/>
    </row>
    <row r="4615" ht="15.75" customHeight="1" s="133">
      <c r="A4615" s="75" t="n"/>
      <c r="B4615" s="75" t="n"/>
      <c r="C4615" s="75" t="n"/>
      <c r="D4615" s="75" t="n"/>
      <c r="E4615" s="76" t="n"/>
      <c r="F4615" s="77" t="n"/>
      <c r="G4615" s="75" t="n"/>
      <c r="H4615" s="75">
        <f>IF(ISBLANK(E4615),"",IF(OR(D4615="Butterfly",D4615="Butterfly ",D4615="Iron Fly", D4615="Iron Fly "),LEN(E4615)-LEN(SUBSTITUTE(E4615,"/",""))+2,LEN(E4615)-LEN(SUBSTITUTE(E4615,"/",""))+1))</f>
        <v/>
      </c>
      <c r="I4615" s="78">
        <f>IF(ISBLANK(G4615),"",IF(D4615="Stock","0",Key!$A$3*H4615*G4615))</f>
        <v/>
      </c>
      <c r="J4615" s="78">
        <f>IF(ISBLANK(E4615),"",IF(ISNUMBER(SEARCH("/",E4615)), IF(LEN(E4615)-LEN(SUBSTITUTE(E4615,"/",""))=1,(RIGHT(E4615,LEN(E4615)-FIND("/",E4615)))-(LEFT(E4615,FIND("/",E4615)-1)),(MID(E4615, SEARCH("/",E4615) + 1, SEARCH("/",E4615, SEARCH("/",E4615)+1) - SEARCH("/",E4615) - 1))-(LEFT(E4615,FIND("/",E4615)-1))), "NA"))</f>
        <v/>
      </c>
      <c r="K4615" s="79">
        <f>IF(A4615&lt;&gt;"", IF(ISBLANK(L4615), TODAY(), K4615), "")</f>
        <v/>
      </c>
      <c r="L4615" s="78" t="n"/>
      <c r="M4615" s="78">
        <f>IF(ISBLANK(L4615),"",IF(D4615="Stock",IF(C4615="Buy",L4615*G4615,IF(C4615="Sell",(L4615*G4615)-I4615, X)),IF(C4615="Buy",(L4615*G4615*100)+I4615,IF(C4615="Sell",(L4615*G4615*100)-I4615, X))))</f>
        <v/>
      </c>
      <c r="N4615" s="78">
        <f>IF(ISBLANK(L4615),"",IF(AND(C4615="Sell",D4615="Stock"),M4615,IF(ISBLANK(L4615),"",IF(C4615="Buy",M4615, IF(AND(C4615="Sell",J4615="NA"),(E4615*G4615*100*0.1)+I4615, IF(C4615="Sell",(J4615-L4615)*(100*G4615)+I4615))))))</f>
        <v/>
      </c>
      <c r="O4615" s="75" t="n"/>
      <c r="P4615" s="75" t="n"/>
      <c r="Q4615" s="75">
        <f>IF(ISBLANK(P4615),"",IF(D4615="Stock",P4615*G4615,IF(P4615=0,"0",G4615*P4615*100-(G4615*$AF$14))))</f>
        <v/>
      </c>
      <c r="R4615" s="79">
        <f>IF(P4615&lt;&gt;"", TODAY(), "")</f>
        <v/>
      </c>
      <c r="S4615" s="78">
        <f>IF(AND(K4615&lt;&gt;"", R4615&lt;&gt;""), R4615-K4615, "")</f>
        <v/>
      </c>
      <c r="T4615" s="78" t="n"/>
      <c r="U4615" s="92">
        <f>IF(ISBLANK(P4615),"",IF(C4615="Buy",Q4615-M4615+T4615, IF(C4615="Sell",M4615-Q4615-T4615, X)))</f>
        <v/>
      </c>
      <c r="V4615" s="81">
        <f>IF(ISBLANK(P4615),"",U4615/N4615)</f>
        <v/>
      </c>
      <c r="W4615" s="81">
        <f>IF(ISBLANK(P4615),"",IF(S4615=0,(365/0.5)*V4615,(365/S4615)*V4615))</f>
        <v/>
      </c>
      <c r="X4615" s="75" t="n"/>
      <c r="Y4615" s="77" t="n"/>
      <c r="Z4615" s="77" t="n"/>
      <c r="AA4615" s="75" t="n"/>
      <c r="AB4615" s="75" t="n"/>
      <c r="AC4615" s="6" t="n"/>
      <c r="AD4615" s="75" t="n"/>
      <c r="AE4615" s="75" t="n"/>
      <c r="AF4615" s="75" t="n"/>
    </row>
    <row r="4616" ht="15.75" customHeight="1" s="133">
      <c r="A4616" s="75" t="n"/>
      <c r="B4616" s="75" t="n"/>
      <c r="C4616" s="75" t="n"/>
      <c r="D4616" s="75" t="n"/>
      <c r="E4616" s="76" t="n"/>
      <c r="F4616" s="77" t="n"/>
      <c r="G4616" s="75" t="n"/>
      <c r="H4616" s="75">
        <f>IF(ISBLANK(E4616),"",IF(OR(D4616="Butterfly",D4616="Butterfly ",D4616="Iron Fly", D4616="Iron Fly "),LEN(E4616)-LEN(SUBSTITUTE(E4616,"/",""))+2,LEN(E4616)-LEN(SUBSTITUTE(E4616,"/",""))+1))</f>
        <v/>
      </c>
      <c r="I4616" s="78">
        <f>IF(ISBLANK(G4616),"",IF(D4616="Stock","0",Key!$A$3*H4616*G4616))</f>
        <v/>
      </c>
      <c r="J4616" s="78">
        <f>IF(ISBLANK(E4616),"",IF(ISNUMBER(SEARCH("/",E4616)), IF(LEN(E4616)-LEN(SUBSTITUTE(E4616,"/",""))=1,(RIGHT(E4616,LEN(E4616)-FIND("/",E4616)))-(LEFT(E4616,FIND("/",E4616)-1)),(MID(E4616, SEARCH("/",E4616) + 1, SEARCH("/",E4616, SEARCH("/",E4616)+1) - SEARCH("/",E4616) - 1))-(LEFT(E4616,FIND("/",E4616)-1))), "NA"))</f>
        <v/>
      </c>
      <c r="K4616" s="79">
        <f>IF(A4616&lt;&gt;"", IF(ISBLANK(L4616), TODAY(), K4616), "")</f>
        <v/>
      </c>
      <c r="L4616" s="78" t="n"/>
      <c r="M4616" s="78">
        <f>IF(ISBLANK(L4616),"",IF(D4616="Stock",IF(C4616="Buy",L4616*G4616,IF(C4616="Sell",(L4616*G4616)-I4616, X)),IF(C4616="Buy",(L4616*G4616*100)+I4616,IF(C4616="Sell",(L4616*G4616*100)-I4616, X))))</f>
        <v/>
      </c>
      <c r="N4616" s="78">
        <f>IF(ISBLANK(L4616),"",IF(AND(C4616="Sell",D4616="Stock"),M4616,IF(ISBLANK(L4616),"",IF(C4616="Buy",M4616, IF(AND(C4616="Sell",J4616="NA"),(E4616*G4616*100*0.1)+I4616, IF(C4616="Sell",(J4616-L4616)*(100*G4616)+I4616))))))</f>
        <v/>
      </c>
      <c r="O4616" s="75" t="n"/>
      <c r="P4616" s="75" t="n"/>
      <c r="Q4616" s="75">
        <f>IF(ISBLANK(P4616),"",IF(D4616="Stock",P4616*G4616,IF(P4616=0,"0",G4616*P4616*100-(G4616*$AF$14))))</f>
        <v/>
      </c>
      <c r="R4616" s="79">
        <f>IF(P4616&lt;&gt;"", TODAY(), "")</f>
        <v/>
      </c>
      <c r="S4616" s="78">
        <f>IF(AND(K4616&lt;&gt;"", R4616&lt;&gt;""), R4616-K4616, "")</f>
        <v/>
      </c>
      <c r="T4616" s="78" t="n"/>
      <c r="U4616" s="92">
        <f>IF(ISBLANK(P4616),"",IF(C4616="Buy",Q4616-M4616+T4616, IF(C4616="Sell",M4616-Q4616-T4616, X)))</f>
        <v/>
      </c>
      <c r="V4616" s="81">
        <f>IF(ISBLANK(P4616),"",U4616/N4616)</f>
        <v/>
      </c>
      <c r="W4616" s="81">
        <f>IF(ISBLANK(P4616),"",IF(S4616=0,(365/0.5)*V4616,(365/S4616)*V4616))</f>
        <v/>
      </c>
      <c r="X4616" s="75" t="n"/>
      <c r="Y4616" s="77" t="n"/>
      <c r="Z4616" s="77" t="n"/>
      <c r="AA4616" s="75" t="n"/>
      <c r="AB4616" s="75" t="n"/>
      <c r="AC4616" s="6" t="n"/>
      <c r="AD4616" s="75" t="n"/>
      <c r="AE4616" s="75" t="n"/>
      <c r="AF4616" s="75" t="n"/>
    </row>
    <row r="4617" ht="15.75" customHeight="1" s="133">
      <c r="A4617" s="75" t="n"/>
      <c r="B4617" s="75" t="n"/>
      <c r="C4617" s="75" t="n"/>
      <c r="D4617" s="75" t="n"/>
      <c r="E4617" s="76" t="n"/>
      <c r="F4617" s="77" t="n"/>
      <c r="G4617" s="75" t="n"/>
      <c r="H4617" s="75">
        <f>IF(ISBLANK(E4617),"",IF(OR(D4617="Butterfly",D4617="Butterfly ",D4617="Iron Fly", D4617="Iron Fly "),LEN(E4617)-LEN(SUBSTITUTE(E4617,"/",""))+2,LEN(E4617)-LEN(SUBSTITUTE(E4617,"/",""))+1))</f>
        <v/>
      </c>
      <c r="I4617" s="78">
        <f>IF(ISBLANK(G4617),"",IF(D4617="Stock","0",Key!$A$3*H4617*G4617))</f>
        <v/>
      </c>
      <c r="J4617" s="78">
        <f>IF(ISBLANK(E4617),"",IF(ISNUMBER(SEARCH("/",E4617)), IF(LEN(E4617)-LEN(SUBSTITUTE(E4617,"/",""))=1,(RIGHT(E4617,LEN(E4617)-FIND("/",E4617)))-(LEFT(E4617,FIND("/",E4617)-1)),(MID(E4617, SEARCH("/",E4617) + 1, SEARCH("/",E4617, SEARCH("/",E4617)+1) - SEARCH("/",E4617) - 1))-(LEFT(E4617,FIND("/",E4617)-1))), "NA"))</f>
        <v/>
      </c>
      <c r="K4617" s="79">
        <f>IF(A4617&lt;&gt;"", IF(ISBLANK(L4617), TODAY(), K4617), "")</f>
        <v/>
      </c>
      <c r="L4617" s="78" t="n"/>
      <c r="M4617" s="78">
        <f>IF(ISBLANK(L4617),"",IF(D4617="Stock",IF(C4617="Buy",L4617*G4617,IF(C4617="Sell",(L4617*G4617)-I4617, X)),IF(C4617="Buy",(L4617*G4617*100)+I4617,IF(C4617="Sell",(L4617*G4617*100)-I4617, X))))</f>
        <v/>
      </c>
      <c r="N4617" s="78">
        <f>IF(ISBLANK(L4617),"",IF(AND(C4617="Sell",D4617="Stock"),M4617,IF(ISBLANK(L4617),"",IF(C4617="Buy",M4617, IF(AND(C4617="Sell",J4617="NA"),(E4617*G4617*100*0.1)+I4617, IF(C4617="Sell",(J4617-L4617)*(100*G4617)+I4617))))))</f>
        <v/>
      </c>
      <c r="O4617" s="75" t="n"/>
      <c r="P4617" s="75" t="n"/>
      <c r="Q4617" s="75">
        <f>IF(ISBLANK(P4617),"",IF(D4617="Stock",P4617*G4617,IF(P4617=0,"0",G4617*P4617*100-(G4617*$AF$14))))</f>
        <v/>
      </c>
      <c r="R4617" s="79">
        <f>IF(P4617&lt;&gt;"", TODAY(), "")</f>
        <v/>
      </c>
      <c r="S4617" s="78">
        <f>IF(AND(K4617&lt;&gt;"", R4617&lt;&gt;""), R4617-K4617, "")</f>
        <v/>
      </c>
      <c r="T4617" s="78" t="n"/>
      <c r="U4617" s="92">
        <f>IF(ISBLANK(P4617),"",IF(C4617="Buy",Q4617-M4617+T4617, IF(C4617="Sell",M4617-Q4617-T4617, X)))</f>
        <v/>
      </c>
      <c r="V4617" s="81">
        <f>IF(ISBLANK(P4617),"",U4617/N4617)</f>
        <v/>
      </c>
      <c r="W4617" s="81">
        <f>IF(ISBLANK(P4617),"",IF(S4617=0,(365/0.5)*V4617,(365/S4617)*V4617))</f>
        <v/>
      </c>
      <c r="X4617" s="75" t="n"/>
      <c r="Y4617" s="77" t="n"/>
      <c r="Z4617" s="77" t="n"/>
      <c r="AA4617" s="75" t="n"/>
      <c r="AB4617" s="75" t="n"/>
      <c r="AC4617" s="6" t="n"/>
      <c r="AD4617" s="75" t="n"/>
      <c r="AE4617" s="75" t="n"/>
      <c r="AF4617" s="75" t="n"/>
    </row>
    <row r="4618" ht="15.75" customHeight="1" s="133">
      <c r="A4618" s="75" t="n"/>
      <c r="B4618" s="75" t="n"/>
      <c r="C4618" s="75" t="n"/>
      <c r="D4618" s="75" t="n"/>
      <c r="E4618" s="76" t="n"/>
      <c r="F4618" s="77" t="n"/>
      <c r="G4618" s="75" t="n"/>
      <c r="H4618" s="75">
        <f>IF(ISBLANK(E4618),"",IF(OR(D4618="Butterfly",D4618="Butterfly ",D4618="Iron Fly", D4618="Iron Fly "),LEN(E4618)-LEN(SUBSTITUTE(E4618,"/",""))+2,LEN(E4618)-LEN(SUBSTITUTE(E4618,"/",""))+1))</f>
        <v/>
      </c>
      <c r="I4618" s="78">
        <f>IF(ISBLANK(G4618),"",IF(D4618="Stock","0",Key!$A$3*H4618*G4618))</f>
        <v/>
      </c>
      <c r="J4618" s="78">
        <f>IF(ISBLANK(E4618),"",IF(ISNUMBER(SEARCH("/",E4618)), IF(LEN(E4618)-LEN(SUBSTITUTE(E4618,"/",""))=1,(RIGHT(E4618,LEN(E4618)-FIND("/",E4618)))-(LEFT(E4618,FIND("/",E4618)-1)),(MID(E4618, SEARCH("/",E4618) + 1, SEARCH("/",E4618, SEARCH("/",E4618)+1) - SEARCH("/",E4618) - 1))-(LEFT(E4618,FIND("/",E4618)-1))), "NA"))</f>
        <v/>
      </c>
      <c r="K4618" s="79">
        <f>IF(A4618&lt;&gt;"", IF(ISBLANK(L4618), TODAY(), K4618), "")</f>
        <v/>
      </c>
      <c r="L4618" s="78" t="n"/>
      <c r="M4618" s="78">
        <f>IF(ISBLANK(L4618),"",IF(D4618="Stock",IF(C4618="Buy",L4618*G4618,IF(C4618="Sell",(L4618*G4618)-I4618, X)),IF(C4618="Buy",(L4618*G4618*100)+I4618,IF(C4618="Sell",(L4618*G4618*100)-I4618, X))))</f>
        <v/>
      </c>
      <c r="N4618" s="78">
        <f>IF(ISBLANK(L4618),"",IF(AND(C4618="Sell",D4618="Stock"),M4618,IF(ISBLANK(L4618),"",IF(C4618="Buy",M4618, IF(AND(C4618="Sell",J4618="NA"),(E4618*G4618*100*0.1)+I4618, IF(C4618="Sell",(J4618-L4618)*(100*G4618)+I4618))))))</f>
        <v/>
      </c>
      <c r="O4618" s="75" t="n"/>
      <c r="P4618" s="75" t="n"/>
      <c r="Q4618" s="75">
        <f>IF(ISBLANK(P4618),"",IF(D4618="Stock",P4618*G4618,IF(P4618=0,"0",G4618*P4618*100-(G4618*$AF$14))))</f>
        <v/>
      </c>
      <c r="R4618" s="79">
        <f>IF(P4618&lt;&gt;"", TODAY(), "")</f>
        <v/>
      </c>
      <c r="S4618" s="78">
        <f>IF(AND(K4618&lt;&gt;"", R4618&lt;&gt;""), R4618-K4618, "")</f>
        <v/>
      </c>
      <c r="T4618" s="78" t="n"/>
      <c r="U4618" s="92">
        <f>IF(ISBLANK(P4618),"",IF(C4618="Buy",Q4618-M4618+T4618, IF(C4618="Sell",M4618-Q4618-T4618, X)))</f>
        <v/>
      </c>
      <c r="V4618" s="81">
        <f>IF(ISBLANK(P4618),"",U4618/N4618)</f>
        <v/>
      </c>
      <c r="W4618" s="81">
        <f>IF(ISBLANK(P4618),"",IF(S4618=0,(365/0.5)*V4618,(365/S4618)*V4618))</f>
        <v/>
      </c>
      <c r="X4618" s="75" t="n"/>
      <c r="Y4618" s="77" t="n"/>
      <c r="Z4618" s="77" t="n"/>
      <c r="AA4618" s="75" t="n"/>
      <c r="AB4618" s="75" t="n"/>
      <c r="AC4618" s="6" t="n"/>
      <c r="AD4618" s="75" t="n"/>
      <c r="AE4618" s="75" t="n"/>
      <c r="AF4618" s="75" t="n"/>
    </row>
    <row r="4619" ht="15.75" customHeight="1" s="133">
      <c r="A4619" s="75" t="n"/>
      <c r="B4619" s="75" t="n"/>
      <c r="C4619" s="75" t="n"/>
      <c r="D4619" s="75" t="n"/>
      <c r="E4619" s="76" t="n"/>
      <c r="F4619" s="77" t="n"/>
      <c r="G4619" s="75" t="n"/>
      <c r="H4619" s="75">
        <f>IF(ISBLANK(E4619),"",IF(OR(D4619="Butterfly",D4619="Butterfly ",D4619="Iron Fly", D4619="Iron Fly "),LEN(E4619)-LEN(SUBSTITUTE(E4619,"/",""))+2,LEN(E4619)-LEN(SUBSTITUTE(E4619,"/",""))+1))</f>
        <v/>
      </c>
      <c r="I4619" s="78">
        <f>IF(ISBLANK(G4619),"",IF(D4619="Stock","0",Key!$A$3*H4619*G4619))</f>
        <v/>
      </c>
      <c r="J4619" s="78">
        <f>IF(ISBLANK(E4619),"",IF(ISNUMBER(SEARCH("/",E4619)), IF(LEN(E4619)-LEN(SUBSTITUTE(E4619,"/",""))=1,(RIGHT(E4619,LEN(E4619)-FIND("/",E4619)))-(LEFT(E4619,FIND("/",E4619)-1)),(MID(E4619, SEARCH("/",E4619) + 1, SEARCH("/",E4619, SEARCH("/",E4619)+1) - SEARCH("/",E4619) - 1))-(LEFT(E4619,FIND("/",E4619)-1))), "NA"))</f>
        <v/>
      </c>
      <c r="K4619" s="79">
        <f>IF(A4619&lt;&gt;"", IF(ISBLANK(L4619), TODAY(), K4619), "")</f>
        <v/>
      </c>
      <c r="L4619" s="78" t="n"/>
      <c r="M4619" s="78">
        <f>IF(ISBLANK(L4619),"",IF(D4619="Stock",IF(C4619="Buy",L4619*G4619,IF(C4619="Sell",(L4619*G4619)-I4619, X)),IF(C4619="Buy",(L4619*G4619*100)+I4619,IF(C4619="Sell",(L4619*G4619*100)-I4619, X))))</f>
        <v/>
      </c>
      <c r="N4619" s="78">
        <f>IF(ISBLANK(L4619),"",IF(AND(C4619="Sell",D4619="Stock"),M4619,IF(ISBLANK(L4619),"",IF(C4619="Buy",M4619, IF(AND(C4619="Sell",J4619="NA"),(E4619*G4619*100*0.1)+I4619, IF(C4619="Sell",(J4619-L4619)*(100*G4619)+I4619))))))</f>
        <v/>
      </c>
      <c r="O4619" s="75" t="n"/>
      <c r="P4619" s="75" t="n"/>
      <c r="Q4619" s="75">
        <f>IF(ISBLANK(P4619),"",IF(D4619="Stock",P4619*G4619,IF(P4619=0,"0",G4619*P4619*100-(G4619*$AF$14))))</f>
        <v/>
      </c>
      <c r="R4619" s="79">
        <f>IF(P4619&lt;&gt;"", TODAY(), "")</f>
        <v/>
      </c>
      <c r="S4619" s="78">
        <f>IF(AND(K4619&lt;&gt;"", R4619&lt;&gt;""), R4619-K4619, "")</f>
        <v/>
      </c>
      <c r="T4619" s="78" t="n"/>
      <c r="U4619" s="92">
        <f>IF(ISBLANK(P4619),"",IF(C4619="Buy",Q4619-M4619+T4619, IF(C4619="Sell",M4619-Q4619-T4619, X)))</f>
        <v/>
      </c>
      <c r="V4619" s="81">
        <f>IF(ISBLANK(P4619),"",U4619/N4619)</f>
        <v/>
      </c>
      <c r="W4619" s="81">
        <f>IF(ISBLANK(P4619),"",IF(S4619=0,(365/0.5)*V4619,(365/S4619)*V4619))</f>
        <v/>
      </c>
      <c r="X4619" s="75" t="n"/>
      <c r="Y4619" s="77" t="n"/>
      <c r="Z4619" s="77" t="n"/>
      <c r="AA4619" s="75" t="n"/>
      <c r="AB4619" s="75" t="n"/>
      <c r="AC4619" s="6" t="n"/>
      <c r="AD4619" s="75" t="n"/>
      <c r="AE4619" s="75" t="n"/>
      <c r="AF4619" s="75" t="n"/>
    </row>
    <row r="4620" ht="15.75" customHeight="1" s="133">
      <c r="A4620" s="75" t="n"/>
      <c r="B4620" s="75" t="n"/>
      <c r="C4620" s="75" t="n"/>
      <c r="D4620" s="75" t="n"/>
      <c r="E4620" s="76" t="n"/>
      <c r="F4620" s="77" t="n"/>
      <c r="G4620" s="75" t="n"/>
      <c r="H4620" s="75">
        <f>IF(ISBLANK(E4620),"",IF(OR(D4620="Butterfly",D4620="Butterfly ",D4620="Iron Fly", D4620="Iron Fly "),LEN(E4620)-LEN(SUBSTITUTE(E4620,"/",""))+2,LEN(E4620)-LEN(SUBSTITUTE(E4620,"/",""))+1))</f>
        <v/>
      </c>
      <c r="I4620" s="78">
        <f>IF(ISBLANK(G4620),"",IF(D4620="Stock","0",Key!$A$3*H4620*G4620))</f>
        <v/>
      </c>
      <c r="J4620" s="78">
        <f>IF(ISBLANK(E4620),"",IF(ISNUMBER(SEARCH("/",E4620)), IF(LEN(E4620)-LEN(SUBSTITUTE(E4620,"/",""))=1,(RIGHT(E4620,LEN(E4620)-FIND("/",E4620)))-(LEFT(E4620,FIND("/",E4620)-1)),(MID(E4620, SEARCH("/",E4620) + 1, SEARCH("/",E4620, SEARCH("/",E4620)+1) - SEARCH("/",E4620) - 1))-(LEFT(E4620,FIND("/",E4620)-1))), "NA"))</f>
        <v/>
      </c>
      <c r="K4620" s="79">
        <f>IF(A4620&lt;&gt;"", IF(ISBLANK(L4620), TODAY(), K4620), "")</f>
        <v/>
      </c>
      <c r="L4620" s="78" t="n"/>
      <c r="M4620" s="78">
        <f>IF(ISBLANK(L4620),"",IF(D4620="Stock",IF(C4620="Buy",L4620*G4620,IF(C4620="Sell",(L4620*G4620)-I4620, X)),IF(C4620="Buy",(L4620*G4620*100)+I4620,IF(C4620="Sell",(L4620*G4620*100)-I4620, X))))</f>
        <v/>
      </c>
      <c r="N4620" s="78">
        <f>IF(ISBLANK(L4620),"",IF(AND(C4620="Sell",D4620="Stock"),M4620,IF(ISBLANK(L4620),"",IF(C4620="Buy",M4620, IF(AND(C4620="Sell",J4620="NA"),(E4620*G4620*100*0.1)+I4620, IF(C4620="Sell",(J4620-L4620)*(100*G4620)+I4620))))))</f>
        <v/>
      </c>
      <c r="O4620" s="75" t="n"/>
      <c r="P4620" s="75" t="n"/>
      <c r="Q4620" s="75">
        <f>IF(ISBLANK(P4620),"",IF(D4620="Stock",P4620*G4620,IF(P4620=0,"0",G4620*P4620*100-(G4620*$AF$14))))</f>
        <v/>
      </c>
      <c r="R4620" s="79">
        <f>IF(P4620&lt;&gt;"", TODAY(), "")</f>
        <v/>
      </c>
      <c r="S4620" s="78">
        <f>IF(AND(K4620&lt;&gt;"", R4620&lt;&gt;""), R4620-K4620, "")</f>
        <v/>
      </c>
      <c r="T4620" s="78" t="n"/>
      <c r="U4620" s="92">
        <f>IF(ISBLANK(P4620),"",IF(C4620="Buy",Q4620-M4620+T4620, IF(C4620="Sell",M4620-Q4620-T4620, X)))</f>
        <v/>
      </c>
      <c r="V4620" s="81">
        <f>IF(ISBLANK(P4620),"",U4620/N4620)</f>
        <v/>
      </c>
      <c r="W4620" s="81">
        <f>IF(ISBLANK(P4620),"",IF(S4620=0,(365/0.5)*V4620,(365/S4620)*V4620))</f>
        <v/>
      </c>
      <c r="X4620" s="75" t="n"/>
      <c r="Y4620" s="77" t="n"/>
      <c r="Z4620" s="77" t="n"/>
      <c r="AA4620" s="75" t="n"/>
      <c r="AB4620" s="75" t="n"/>
      <c r="AC4620" s="6" t="n"/>
      <c r="AD4620" s="75" t="n"/>
      <c r="AE4620" s="75" t="n"/>
      <c r="AF4620" s="75" t="n"/>
    </row>
    <row r="4621" ht="15.75" customHeight="1" s="133">
      <c r="A4621" s="75" t="n"/>
      <c r="B4621" s="75" t="n"/>
      <c r="C4621" s="75" t="n"/>
      <c r="D4621" s="75" t="n"/>
      <c r="E4621" s="76" t="n"/>
      <c r="F4621" s="77" t="n"/>
      <c r="G4621" s="75" t="n"/>
      <c r="H4621" s="75">
        <f>IF(ISBLANK(E4621),"",IF(OR(D4621="Butterfly",D4621="Butterfly ",D4621="Iron Fly", D4621="Iron Fly "),LEN(E4621)-LEN(SUBSTITUTE(E4621,"/",""))+2,LEN(E4621)-LEN(SUBSTITUTE(E4621,"/",""))+1))</f>
        <v/>
      </c>
      <c r="I4621" s="78">
        <f>IF(ISBLANK(G4621),"",IF(D4621="Stock","0",Key!$A$3*H4621*G4621))</f>
        <v/>
      </c>
      <c r="J4621" s="78">
        <f>IF(ISBLANK(E4621),"",IF(ISNUMBER(SEARCH("/",E4621)), IF(LEN(E4621)-LEN(SUBSTITUTE(E4621,"/",""))=1,(RIGHT(E4621,LEN(E4621)-FIND("/",E4621)))-(LEFT(E4621,FIND("/",E4621)-1)),(MID(E4621, SEARCH("/",E4621) + 1, SEARCH("/",E4621, SEARCH("/",E4621)+1) - SEARCH("/",E4621) - 1))-(LEFT(E4621,FIND("/",E4621)-1))), "NA"))</f>
        <v/>
      </c>
      <c r="K4621" s="79">
        <f>IF(A4621&lt;&gt;"", IF(ISBLANK(L4621), TODAY(), K4621), "")</f>
        <v/>
      </c>
      <c r="L4621" s="78" t="n"/>
      <c r="M4621" s="78">
        <f>IF(ISBLANK(L4621),"",IF(D4621="Stock",IF(C4621="Buy",L4621*G4621,IF(C4621="Sell",(L4621*G4621)-I4621, X)),IF(C4621="Buy",(L4621*G4621*100)+I4621,IF(C4621="Sell",(L4621*G4621*100)-I4621, X))))</f>
        <v/>
      </c>
      <c r="N4621" s="78">
        <f>IF(ISBLANK(L4621),"",IF(AND(C4621="Sell",D4621="Stock"),M4621,IF(ISBLANK(L4621),"",IF(C4621="Buy",M4621, IF(AND(C4621="Sell",J4621="NA"),(E4621*G4621*100*0.1)+I4621, IF(C4621="Sell",(J4621-L4621)*(100*G4621)+I4621))))))</f>
        <v/>
      </c>
      <c r="O4621" s="75" t="n"/>
      <c r="P4621" s="75" t="n"/>
      <c r="Q4621" s="75">
        <f>IF(ISBLANK(P4621),"",IF(D4621="Stock",P4621*G4621,IF(P4621=0,"0",G4621*P4621*100-(G4621*$AF$14))))</f>
        <v/>
      </c>
      <c r="R4621" s="79">
        <f>IF(P4621&lt;&gt;"", TODAY(), "")</f>
        <v/>
      </c>
      <c r="S4621" s="78">
        <f>IF(AND(K4621&lt;&gt;"", R4621&lt;&gt;""), R4621-K4621, "")</f>
        <v/>
      </c>
      <c r="T4621" s="78" t="n"/>
      <c r="U4621" s="92">
        <f>IF(ISBLANK(P4621),"",IF(C4621="Buy",Q4621-M4621+T4621, IF(C4621="Sell",M4621-Q4621-T4621, X)))</f>
        <v/>
      </c>
      <c r="V4621" s="81">
        <f>IF(ISBLANK(P4621),"",U4621/N4621)</f>
        <v/>
      </c>
      <c r="W4621" s="81">
        <f>IF(ISBLANK(P4621),"",IF(S4621=0,(365/0.5)*V4621,(365/S4621)*V4621))</f>
        <v/>
      </c>
      <c r="X4621" s="75" t="n"/>
      <c r="Y4621" s="77" t="n"/>
      <c r="Z4621" s="77" t="n"/>
      <c r="AA4621" s="75" t="n"/>
      <c r="AB4621" s="75" t="n"/>
      <c r="AC4621" s="6" t="n"/>
      <c r="AD4621" s="75" t="n"/>
      <c r="AE4621" s="75" t="n"/>
      <c r="AF4621" s="75" t="n"/>
    </row>
    <row r="4622" ht="15.75" customHeight="1" s="133">
      <c r="A4622" s="75" t="n"/>
      <c r="B4622" s="75" t="n"/>
      <c r="C4622" s="75" t="n"/>
      <c r="D4622" s="75" t="n"/>
      <c r="E4622" s="76" t="n"/>
      <c r="F4622" s="77" t="n"/>
      <c r="G4622" s="75" t="n"/>
      <c r="H4622" s="75">
        <f>IF(ISBLANK(E4622),"",IF(OR(D4622="Butterfly",D4622="Butterfly ",D4622="Iron Fly", D4622="Iron Fly "),LEN(E4622)-LEN(SUBSTITUTE(E4622,"/",""))+2,LEN(E4622)-LEN(SUBSTITUTE(E4622,"/",""))+1))</f>
        <v/>
      </c>
      <c r="I4622" s="78">
        <f>IF(ISBLANK(G4622),"",IF(D4622="Stock","0",Key!$A$3*H4622*G4622))</f>
        <v/>
      </c>
      <c r="J4622" s="78">
        <f>IF(ISBLANK(E4622),"",IF(ISNUMBER(SEARCH("/",E4622)), IF(LEN(E4622)-LEN(SUBSTITUTE(E4622,"/",""))=1,(RIGHT(E4622,LEN(E4622)-FIND("/",E4622)))-(LEFT(E4622,FIND("/",E4622)-1)),(MID(E4622, SEARCH("/",E4622) + 1, SEARCH("/",E4622, SEARCH("/",E4622)+1) - SEARCH("/",E4622) - 1))-(LEFT(E4622,FIND("/",E4622)-1))), "NA"))</f>
        <v/>
      </c>
      <c r="K4622" s="79">
        <f>IF(A4622&lt;&gt;"", IF(ISBLANK(L4622), TODAY(), K4622), "")</f>
        <v/>
      </c>
      <c r="L4622" s="78" t="n"/>
      <c r="M4622" s="78">
        <f>IF(ISBLANK(L4622),"",IF(D4622="Stock",IF(C4622="Buy",L4622*G4622,IF(C4622="Sell",(L4622*G4622)-I4622, X)),IF(C4622="Buy",(L4622*G4622*100)+I4622,IF(C4622="Sell",(L4622*G4622*100)-I4622, X))))</f>
        <v/>
      </c>
      <c r="N4622" s="78">
        <f>IF(ISBLANK(L4622),"",IF(AND(C4622="Sell",D4622="Stock"),M4622,IF(ISBLANK(L4622),"",IF(C4622="Buy",M4622, IF(AND(C4622="Sell",J4622="NA"),(E4622*G4622*100*0.1)+I4622, IF(C4622="Sell",(J4622-L4622)*(100*G4622)+I4622))))))</f>
        <v/>
      </c>
      <c r="O4622" s="75" t="n"/>
      <c r="P4622" s="75" t="n"/>
      <c r="Q4622" s="75">
        <f>IF(ISBLANK(P4622),"",IF(D4622="Stock",P4622*G4622,IF(P4622=0,"0",G4622*P4622*100-(G4622*$AF$14))))</f>
        <v/>
      </c>
      <c r="R4622" s="79">
        <f>IF(P4622&lt;&gt;"", TODAY(), "")</f>
        <v/>
      </c>
      <c r="S4622" s="78">
        <f>IF(AND(K4622&lt;&gt;"", R4622&lt;&gt;""), R4622-K4622, "")</f>
        <v/>
      </c>
      <c r="T4622" s="78" t="n"/>
      <c r="U4622" s="92">
        <f>IF(ISBLANK(P4622),"",IF(C4622="Buy",Q4622-M4622+T4622, IF(C4622="Sell",M4622-Q4622-T4622, X)))</f>
        <v/>
      </c>
      <c r="V4622" s="81">
        <f>IF(ISBLANK(P4622),"",U4622/N4622)</f>
        <v/>
      </c>
      <c r="W4622" s="81">
        <f>IF(ISBLANK(P4622),"",IF(S4622=0,(365/0.5)*V4622,(365/S4622)*V4622))</f>
        <v/>
      </c>
      <c r="X4622" s="75" t="n"/>
      <c r="Y4622" s="77" t="n"/>
      <c r="Z4622" s="77" t="n"/>
      <c r="AA4622" s="75" t="n"/>
      <c r="AB4622" s="75" t="n"/>
      <c r="AC4622" s="6" t="n"/>
      <c r="AD4622" s="75" t="n"/>
      <c r="AE4622" s="75" t="n"/>
      <c r="AF4622" s="75" t="n"/>
    </row>
    <row r="4623" ht="15.75" customHeight="1" s="133">
      <c r="A4623" s="75" t="n"/>
      <c r="B4623" s="75" t="n"/>
      <c r="C4623" s="75" t="n"/>
      <c r="D4623" s="75" t="n"/>
      <c r="E4623" s="76" t="n"/>
      <c r="F4623" s="77" t="n"/>
      <c r="G4623" s="75" t="n"/>
      <c r="H4623" s="75">
        <f>IF(ISBLANK(E4623),"",IF(OR(D4623="Butterfly",D4623="Butterfly ",D4623="Iron Fly", D4623="Iron Fly "),LEN(E4623)-LEN(SUBSTITUTE(E4623,"/",""))+2,LEN(E4623)-LEN(SUBSTITUTE(E4623,"/",""))+1))</f>
        <v/>
      </c>
      <c r="I4623" s="78">
        <f>IF(ISBLANK(G4623),"",IF(D4623="Stock","0",Key!$A$3*H4623*G4623))</f>
        <v/>
      </c>
      <c r="J4623" s="78">
        <f>IF(ISBLANK(E4623),"",IF(ISNUMBER(SEARCH("/",E4623)), IF(LEN(E4623)-LEN(SUBSTITUTE(E4623,"/",""))=1,(RIGHT(E4623,LEN(E4623)-FIND("/",E4623)))-(LEFT(E4623,FIND("/",E4623)-1)),(MID(E4623, SEARCH("/",E4623) + 1, SEARCH("/",E4623, SEARCH("/",E4623)+1) - SEARCH("/",E4623) - 1))-(LEFT(E4623,FIND("/",E4623)-1))), "NA"))</f>
        <v/>
      </c>
      <c r="K4623" s="79">
        <f>IF(A4623&lt;&gt;"", IF(ISBLANK(L4623), TODAY(), K4623), "")</f>
        <v/>
      </c>
      <c r="L4623" s="78" t="n"/>
      <c r="M4623" s="78">
        <f>IF(ISBLANK(L4623),"",IF(D4623="Stock",IF(C4623="Buy",L4623*G4623,IF(C4623="Sell",(L4623*G4623)-I4623, X)),IF(C4623="Buy",(L4623*G4623*100)+I4623,IF(C4623="Sell",(L4623*G4623*100)-I4623, X))))</f>
        <v/>
      </c>
      <c r="N4623" s="78">
        <f>IF(ISBLANK(L4623),"",IF(AND(C4623="Sell",D4623="Stock"),M4623,IF(ISBLANK(L4623),"",IF(C4623="Buy",M4623, IF(AND(C4623="Sell",J4623="NA"),(E4623*G4623*100*0.1)+I4623, IF(C4623="Sell",(J4623-L4623)*(100*G4623)+I4623))))))</f>
        <v/>
      </c>
      <c r="O4623" s="75" t="n"/>
      <c r="P4623" s="75" t="n"/>
      <c r="Q4623" s="75">
        <f>IF(ISBLANK(P4623),"",IF(D4623="Stock",P4623*G4623,IF(P4623=0,"0",G4623*P4623*100-(G4623*$AF$14))))</f>
        <v/>
      </c>
      <c r="R4623" s="79">
        <f>IF(P4623&lt;&gt;"", TODAY(), "")</f>
        <v/>
      </c>
      <c r="S4623" s="78">
        <f>IF(AND(K4623&lt;&gt;"", R4623&lt;&gt;""), R4623-K4623, "")</f>
        <v/>
      </c>
      <c r="T4623" s="78" t="n"/>
      <c r="U4623" s="92">
        <f>IF(ISBLANK(P4623),"",IF(C4623="Buy",Q4623-M4623+T4623, IF(C4623="Sell",M4623-Q4623-T4623, X)))</f>
        <v/>
      </c>
      <c r="V4623" s="81">
        <f>IF(ISBLANK(P4623),"",U4623/N4623)</f>
        <v/>
      </c>
      <c r="W4623" s="81">
        <f>IF(ISBLANK(P4623),"",IF(S4623=0,(365/0.5)*V4623,(365/S4623)*V4623))</f>
        <v/>
      </c>
      <c r="X4623" s="75" t="n"/>
      <c r="Y4623" s="77" t="n"/>
      <c r="Z4623" s="77" t="n"/>
      <c r="AA4623" s="75" t="n"/>
      <c r="AB4623" s="75" t="n"/>
      <c r="AC4623" s="6" t="n"/>
      <c r="AD4623" s="75" t="n"/>
      <c r="AE4623" s="75" t="n"/>
      <c r="AF4623" s="75" t="n"/>
    </row>
    <row r="4624" ht="15.75" customHeight="1" s="133">
      <c r="A4624" s="75" t="n"/>
      <c r="B4624" s="75" t="n"/>
      <c r="C4624" s="75" t="n"/>
      <c r="D4624" s="75" t="n"/>
      <c r="E4624" s="76" t="n"/>
      <c r="F4624" s="77" t="n"/>
      <c r="G4624" s="75" t="n"/>
      <c r="H4624" s="75">
        <f>IF(ISBLANK(E4624),"",IF(OR(D4624="Butterfly",D4624="Butterfly ",D4624="Iron Fly", D4624="Iron Fly "),LEN(E4624)-LEN(SUBSTITUTE(E4624,"/",""))+2,LEN(E4624)-LEN(SUBSTITUTE(E4624,"/",""))+1))</f>
        <v/>
      </c>
      <c r="I4624" s="78">
        <f>IF(ISBLANK(G4624),"",IF(D4624="Stock","0",Key!$A$3*H4624*G4624))</f>
        <v/>
      </c>
      <c r="J4624" s="78">
        <f>IF(ISBLANK(E4624),"",IF(ISNUMBER(SEARCH("/",E4624)), IF(LEN(E4624)-LEN(SUBSTITUTE(E4624,"/",""))=1,(RIGHT(E4624,LEN(E4624)-FIND("/",E4624)))-(LEFT(E4624,FIND("/",E4624)-1)),(MID(E4624, SEARCH("/",E4624) + 1, SEARCH("/",E4624, SEARCH("/",E4624)+1) - SEARCH("/",E4624) - 1))-(LEFT(E4624,FIND("/",E4624)-1))), "NA"))</f>
        <v/>
      </c>
      <c r="K4624" s="79">
        <f>IF(A4624&lt;&gt;"", IF(ISBLANK(L4624), TODAY(), K4624), "")</f>
        <v/>
      </c>
      <c r="L4624" s="78" t="n"/>
      <c r="M4624" s="78">
        <f>IF(ISBLANK(L4624),"",IF(D4624="Stock",IF(C4624="Buy",L4624*G4624,IF(C4624="Sell",(L4624*G4624)-I4624, X)),IF(C4624="Buy",(L4624*G4624*100)+I4624,IF(C4624="Sell",(L4624*G4624*100)-I4624, X))))</f>
        <v/>
      </c>
      <c r="N4624" s="78">
        <f>IF(ISBLANK(L4624),"",IF(AND(C4624="Sell",D4624="Stock"),M4624,IF(ISBLANK(L4624),"",IF(C4624="Buy",M4624, IF(AND(C4624="Sell",J4624="NA"),(E4624*G4624*100*0.1)+I4624, IF(C4624="Sell",(J4624-L4624)*(100*G4624)+I4624))))))</f>
        <v/>
      </c>
      <c r="O4624" s="75" t="n"/>
      <c r="P4624" s="75" t="n"/>
      <c r="Q4624" s="75">
        <f>IF(ISBLANK(P4624),"",IF(D4624="Stock",P4624*G4624,IF(P4624=0,"0",G4624*P4624*100-(G4624*$AF$14))))</f>
        <v/>
      </c>
      <c r="R4624" s="79">
        <f>IF(P4624&lt;&gt;"", TODAY(), "")</f>
        <v/>
      </c>
      <c r="S4624" s="78">
        <f>IF(AND(K4624&lt;&gt;"", R4624&lt;&gt;""), R4624-K4624, "")</f>
        <v/>
      </c>
      <c r="T4624" s="78" t="n"/>
      <c r="U4624" s="92">
        <f>IF(ISBLANK(P4624),"",IF(C4624="Buy",Q4624-M4624+T4624, IF(C4624="Sell",M4624-Q4624-T4624, X)))</f>
        <v/>
      </c>
      <c r="V4624" s="81">
        <f>IF(ISBLANK(P4624),"",U4624/N4624)</f>
        <v/>
      </c>
      <c r="W4624" s="81">
        <f>IF(ISBLANK(P4624),"",IF(S4624=0,(365/0.5)*V4624,(365/S4624)*V4624))</f>
        <v/>
      </c>
      <c r="X4624" s="75" t="n"/>
      <c r="Y4624" s="77" t="n"/>
      <c r="Z4624" s="77" t="n"/>
      <c r="AA4624" s="75" t="n"/>
      <c r="AB4624" s="75" t="n"/>
      <c r="AC4624" s="6" t="n"/>
      <c r="AD4624" s="75" t="n"/>
      <c r="AE4624" s="75" t="n"/>
      <c r="AF4624" s="75" t="n"/>
    </row>
    <row r="4625" ht="15.75" customHeight="1" s="133">
      <c r="A4625" s="75" t="n"/>
      <c r="B4625" s="75" t="n"/>
      <c r="C4625" s="75" t="n"/>
      <c r="D4625" s="75" t="n"/>
      <c r="E4625" s="76" t="n"/>
      <c r="F4625" s="77" t="n"/>
      <c r="G4625" s="75" t="n"/>
      <c r="H4625" s="75">
        <f>IF(ISBLANK(E4625),"",IF(OR(D4625="Butterfly",D4625="Butterfly ",D4625="Iron Fly", D4625="Iron Fly "),LEN(E4625)-LEN(SUBSTITUTE(E4625,"/",""))+2,LEN(E4625)-LEN(SUBSTITUTE(E4625,"/",""))+1))</f>
        <v/>
      </c>
      <c r="I4625" s="78">
        <f>IF(ISBLANK(G4625),"",IF(D4625="Stock","0",Key!$A$3*H4625*G4625))</f>
        <v/>
      </c>
      <c r="J4625" s="78">
        <f>IF(ISBLANK(E4625),"",IF(ISNUMBER(SEARCH("/",E4625)), IF(LEN(E4625)-LEN(SUBSTITUTE(E4625,"/",""))=1,(RIGHT(E4625,LEN(E4625)-FIND("/",E4625)))-(LEFT(E4625,FIND("/",E4625)-1)),(MID(E4625, SEARCH("/",E4625) + 1, SEARCH("/",E4625, SEARCH("/",E4625)+1) - SEARCH("/",E4625) - 1))-(LEFT(E4625,FIND("/",E4625)-1))), "NA"))</f>
        <v/>
      </c>
      <c r="K4625" s="79">
        <f>IF(A4625&lt;&gt;"", IF(ISBLANK(L4625), TODAY(), K4625), "")</f>
        <v/>
      </c>
      <c r="L4625" s="78" t="n"/>
      <c r="M4625" s="78">
        <f>IF(ISBLANK(L4625),"",IF(D4625="Stock",IF(C4625="Buy",L4625*G4625,IF(C4625="Sell",(L4625*G4625)-I4625, X)),IF(C4625="Buy",(L4625*G4625*100)+I4625,IF(C4625="Sell",(L4625*G4625*100)-I4625, X))))</f>
        <v/>
      </c>
      <c r="N4625" s="78">
        <f>IF(ISBLANK(L4625),"",IF(AND(C4625="Sell",D4625="Stock"),M4625,IF(ISBLANK(L4625),"",IF(C4625="Buy",M4625, IF(AND(C4625="Sell",J4625="NA"),(E4625*G4625*100*0.1)+I4625, IF(C4625="Sell",(J4625-L4625)*(100*G4625)+I4625))))))</f>
        <v/>
      </c>
      <c r="O4625" s="75" t="n"/>
      <c r="P4625" s="75" t="n"/>
      <c r="Q4625" s="75">
        <f>IF(ISBLANK(P4625),"",IF(D4625="Stock",P4625*G4625,IF(P4625=0,"0",G4625*P4625*100-(G4625*$AF$14))))</f>
        <v/>
      </c>
      <c r="R4625" s="79">
        <f>IF(P4625&lt;&gt;"", TODAY(), "")</f>
        <v/>
      </c>
      <c r="S4625" s="78">
        <f>IF(AND(K4625&lt;&gt;"", R4625&lt;&gt;""), R4625-K4625, "")</f>
        <v/>
      </c>
      <c r="T4625" s="78" t="n"/>
      <c r="U4625" s="92">
        <f>IF(ISBLANK(P4625),"",IF(C4625="Buy",Q4625-M4625+T4625, IF(C4625="Sell",M4625-Q4625-T4625, X)))</f>
        <v/>
      </c>
      <c r="V4625" s="81">
        <f>IF(ISBLANK(P4625),"",U4625/N4625)</f>
        <v/>
      </c>
      <c r="W4625" s="81">
        <f>IF(ISBLANK(P4625),"",IF(S4625=0,(365/0.5)*V4625,(365/S4625)*V4625))</f>
        <v/>
      </c>
      <c r="X4625" s="75" t="n"/>
      <c r="Y4625" s="77" t="n"/>
      <c r="Z4625" s="77" t="n"/>
      <c r="AA4625" s="75" t="n"/>
      <c r="AB4625" s="75" t="n"/>
      <c r="AC4625" s="6" t="n"/>
      <c r="AD4625" s="75" t="n"/>
      <c r="AE4625" s="75" t="n"/>
      <c r="AF4625" s="75" t="n"/>
    </row>
    <row r="4626" ht="15.75" customHeight="1" s="133">
      <c r="A4626" s="75" t="n"/>
      <c r="B4626" s="75" t="n"/>
      <c r="C4626" s="75" t="n"/>
      <c r="D4626" s="75" t="n"/>
      <c r="E4626" s="76" t="n"/>
      <c r="F4626" s="77" t="n"/>
      <c r="G4626" s="75" t="n"/>
      <c r="H4626" s="75">
        <f>IF(ISBLANK(E4626),"",IF(OR(D4626="Butterfly",D4626="Butterfly ",D4626="Iron Fly", D4626="Iron Fly "),LEN(E4626)-LEN(SUBSTITUTE(E4626,"/",""))+2,LEN(E4626)-LEN(SUBSTITUTE(E4626,"/",""))+1))</f>
        <v/>
      </c>
      <c r="I4626" s="78">
        <f>IF(ISBLANK(G4626),"",IF(D4626="Stock","0",Key!$A$3*H4626*G4626))</f>
        <v/>
      </c>
      <c r="J4626" s="78">
        <f>IF(ISBLANK(E4626),"",IF(ISNUMBER(SEARCH("/",E4626)), IF(LEN(E4626)-LEN(SUBSTITUTE(E4626,"/",""))=1,(RIGHT(E4626,LEN(E4626)-FIND("/",E4626)))-(LEFT(E4626,FIND("/",E4626)-1)),(MID(E4626, SEARCH("/",E4626) + 1, SEARCH("/",E4626, SEARCH("/",E4626)+1) - SEARCH("/",E4626) - 1))-(LEFT(E4626,FIND("/",E4626)-1))), "NA"))</f>
        <v/>
      </c>
      <c r="K4626" s="79">
        <f>IF(A4626&lt;&gt;"", IF(ISBLANK(L4626), TODAY(), K4626), "")</f>
        <v/>
      </c>
      <c r="L4626" s="78" t="n"/>
      <c r="M4626" s="78">
        <f>IF(ISBLANK(L4626),"",IF(D4626="Stock",IF(C4626="Buy",L4626*G4626,IF(C4626="Sell",(L4626*G4626)-I4626, X)),IF(C4626="Buy",(L4626*G4626*100)+I4626,IF(C4626="Sell",(L4626*G4626*100)-I4626, X))))</f>
        <v/>
      </c>
      <c r="N4626" s="78">
        <f>IF(ISBLANK(L4626),"",IF(AND(C4626="Sell",D4626="Stock"),M4626,IF(ISBLANK(L4626),"",IF(C4626="Buy",M4626, IF(AND(C4626="Sell",J4626="NA"),(E4626*G4626*100*0.1)+I4626, IF(C4626="Sell",(J4626-L4626)*(100*G4626)+I4626))))))</f>
        <v/>
      </c>
      <c r="O4626" s="75" t="n"/>
      <c r="P4626" s="75" t="n"/>
      <c r="Q4626" s="75">
        <f>IF(ISBLANK(P4626),"",IF(D4626="Stock",P4626*G4626,IF(P4626=0,"0",G4626*P4626*100-(G4626*$AF$14))))</f>
        <v/>
      </c>
      <c r="R4626" s="79">
        <f>IF(P4626&lt;&gt;"", TODAY(), "")</f>
        <v/>
      </c>
      <c r="S4626" s="78">
        <f>IF(AND(K4626&lt;&gt;"", R4626&lt;&gt;""), R4626-K4626, "")</f>
        <v/>
      </c>
      <c r="T4626" s="78" t="n"/>
      <c r="U4626" s="92">
        <f>IF(ISBLANK(P4626),"",IF(C4626="Buy",Q4626-M4626+T4626, IF(C4626="Sell",M4626-Q4626-T4626, X)))</f>
        <v/>
      </c>
      <c r="V4626" s="81">
        <f>IF(ISBLANK(P4626),"",U4626/N4626)</f>
        <v/>
      </c>
      <c r="W4626" s="81">
        <f>IF(ISBLANK(P4626),"",IF(S4626=0,(365/0.5)*V4626,(365/S4626)*V4626))</f>
        <v/>
      </c>
      <c r="X4626" s="75" t="n"/>
      <c r="Y4626" s="77" t="n"/>
      <c r="Z4626" s="77" t="n"/>
      <c r="AA4626" s="75" t="n"/>
      <c r="AB4626" s="75" t="n"/>
      <c r="AC4626" s="6" t="n"/>
      <c r="AD4626" s="75" t="n"/>
      <c r="AE4626" s="75" t="n"/>
      <c r="AF4626" s="75" t="n"/>
    </row>
    <row r="4627" ht="15.75" customHeight="1" s="133">
      <c r="A4627" s="75" t="n"/>
      <c r="B4627" s="75" t="n"/>
      <c r="C4627" s="75" t="n"/>
      <c r="D4627" s="75" t="n"/>
      <c r="E4627" s="76" t="n"/>
      <c r="F4627" s="77" t="n"/>
      <c r="G4627" s="75" t="n"/>
      <c r="H4627" s="75">
        <f>IF(ISBLANK(E4627),"",IF(OR(D4627="Butterfly",D4627="Butterfly ",D4627="Iron Fly", D4627="Iron Fly "),LEN(E4627)-LEN(SUBSTITUTE(E4627,"/",""))+2,LEN(E4627)-LEN(SUBSTITUTE(E4627,"/",""))+1))</f>
        <v/>
      </c>
      <c r="I4627" s="78">
        <f>IF(ISBLANK(G4627),"",IF(D4627="Stock","0",Key!$A$3*H4627*G4627))</f>
        <v/>
      </c>
      <c r="J4627" s="78">
        <f>IF(ISBLANK(E4627),"",IF(ISNUMBER(SEARCH("/",E4627)), IF(LEN(E4627)-LEN(SUBSTITUTE(E4627,"/",""))=1,(RIGHT(E4627,LEN(E4627)-FIND("/",E4627)))-(LEFT(E4627,FIND("/",E4627)-1)),(MID(E4627, SEARCH("/",E4627) + 1, SEARCH("/",E4627, SEARCH("/",E4627)+1) - SEARCH("/",E4627) - 1))-(LEFT(E4627,FIND("/",E4627)-1))), "NA"))</f>
        <v/>
      </c>
      <c r="K4627" s="79">
        <f>IF(A4627&lt;&gt;"", IF(ISBLANK(L4627), TODAY(), K4627), "")</f>
        <v/>
      </c>
      <c r="L4627" s="78" t="n"/>
      <c r="M4627" s="78">
        <f>IF(ISBLANK(L4627),"",IF(D4627="Stock",IF(C4627="Buy",L4627*G4627,IF(C4627="Sell",(L4627*G4627)-I4627, X)),IF(C4627="Buy",(L4627*G4627*100)+I4627,IF(C4627="Sell",(L4627*G4627*100)-I4627, X))))</f>
        <v/>
      </c>
      <c r="N4627" s="78">
        <f>IF(ISBLANK(L4627),"",IF(AND(C4627="Sell",D4627="Stock"),M4627,IF(ISBLANK(L4627),"",IF(C4627="Buy",M4627, IF(AND(C4627="Sell",J4627="NA"),(E4627*G4627*100*0.1)+I4627, IF(C4627="Sell",(J4627-L4627)*(100*G4627)+I4627))))))</f>
        <v/>
      </c>
      <c r="O4627" s="75" t="n"/>
      <c r="P4627" s="75" t="n"/>
      <c r="Q4627" s="75">
        <f>IF(ISBLANK(P4627),"",IF(D4627="Stock",P4627*G4627,IF(P4627=0,"0",G4627*P4627*100-(G4627*$AF$14))))</f>
        <v/>
      </c>
      <c r="R4627" s="79">
        <f>IF(P4627&lt;&gt;"", TODAY(), "")</f>
        <v/>
      </c>
      <c r="S4627" s="78">
        <f>IF(AND(K4627&lt;&gt;"", R4627&lt;&gt;""), R4627-K4627, "")</f>
        <v/>
      </c>
      <c r="T4627" s="78" t="n"/>
      <c r="U4627" s="92">
        <f>IF(ISBLANK(P4627),"",IF(C4627="Buy",Q4627-M4627+T4627, IF(C4627="Sell",M4627-Q4627-T4627, X)))</f>
        <v/>
      </c>
      <c r="V4627" s="81">
        <f>IF(ISBLANK(P4627),"",U4627/N4627)</f>
        <v/>
      </c>
      <c r="W4627" s="81">
        <f>IF(ISBLANK(P4627),"",IF(S4627=0,(365/0.5)*V4627,(365/S4627)*V4627))</f>
        <v/>
      </c>
      <c r="X4627" s="75" t="n"/>
      <c r="Y4627" s="77" t="n"/>
      <c r="Z4627" s="77" t="n"/>
      <c r="AA4627" s="75" t="n"/>
      <c r="AB4627" s="75" t="n"/>
      <c r="AC4627" s="6" t="n"/>
      <c r="AD4627" s="75" t="n"/>
      <c r="AE4627" s="75" t="n"/>
      <c r="AF4627" s="75" t="n"/>
    </row>
    <row r="4628" ht="15.75" customHeight="1" s="133">
      <c r="A4628" s="75" t="n"/>
      <c r="B4628" s="75" t="n"/>
      <c r="C4628" s="75" t="n"/>
      <c r="D4628" s="75" t="n"/>
      <c r="E4628" s="76" t="n"/>
      <c r="F4628" s="77" t="n"/>
      <c r="G4628" s="75" t="n"/>
      <c r="H4628" s="75">
        <f>IF(ISBLANK(E4628),"",IF(OR(D4628="Butterfly",D4628="Butterfly ",D4628="Iron Fly", D4628="Iron Fly "),LEN(E4628)-LEN(SUBSTITUTE(E4628,"/",""))+2,LEN(E4628)-LEN(SUBSTITUTE(E4628,"/",""))+1))</f>
        <v/>
      </c>
      <c r="I4628" s="78">
        <f>IF(ISBLANK(G4628),"",IF(D4628="Stock","0",Key!$A$3*H4628*G4628))</f>
        <v/>
      </c>
      <c r="J4628" s="78">
        <f>IF(ISBLANK(E4628),"",IF(ISNUMBER(SEARCH("/",E4628)), IF(LEN(E4628)-LEN(SUBSTITUTE(E4628,"/",""))=1,(RIGHT(E4628,LEN(E4628)-FIND("/",E4628)))-(LEFT(E4628,FIND("/",E4628)-1)),(MID(E4628, SEARCH("/",E4628) + 1, SEARCH("/",E4628, SEARCH("/",E4628)+1) - SEARCH("/",E4628) - 1))-(LEFT(E4628,FIND("/",E4628)-1))), "NA"))</f>
        <v/>
      </c>
      <c r="K4628" s="79">
        <f>IF(A4628&lt;&gt;"", IF(ISBLANK(L4628), TODAY(), K4628), "")</f>
        <v/>
      </c>
      <c r="L4628" s="78" t="n"/>
      <c r="M4628" s="78">
        <f>IF(ISBLANK(L4628),"",IF(D4628="Stock",IF(C4628="Buy",L4628*G4628,IF(C4628="Sell",(L4628*G4628)-I4628, X)),IF(C4628="Buy",(L4628*G4628*100)+I4628,IF(C4628="Sell",(L4628*G4628*100)-I4628, X))))</f>
        <v/>
      </c>
      <c r="N4628" s="78">
        <f>IF(ISBLANK(L4628),"",IF(AND(C4628="Sell",D4628="Stock"),M4628,IF(ISBLANK(L4628),"",IF(C4628="Buy",M4628, IF(AND(C4628="Sell",J4628="NA"),(E4628*G4628*100*0.1)+I4628, IF(C4628="Sell",(J4628-L4628)*(100*G4628)+I4628))))))</f>
        <v/>
      </c>
      <c r="O4628" s="75" t="n"/>
      <c r="P4628" s="75" t="n"/>
      <c r="Q4628" s="75">
        <f>IF(ISBLANK(P4628),"",IF(D4628="Stock",P4628*G4628,IF(P4628=0,"0",G4628*P4628*100-(G4628*$AF$14))))</f>
        <v/>
      </c>
      <c r="R4628" s="79">
        <f>IF(P4628&lt;&gt;"", TODAY(), "")</f>
        <v/>
      </c>
      <c r="S4628" s="78">
        <f>IF(AND(K4628&lt;&gt;"", R4628&lt;&gt;""), R4628-K4628, "")</f>
        <v/>
      </c>
      <c r="T4628" s="78" t="n"/>
      <c r="U4628" s="92">
        <f>IF(ISBLANK(P4628),"",IF(C4628="Buy",Q4628-M4628+T4628, IF(C4628="Sell",M4628-Q4628-T4628, X)))</f>
        <v/>
      </c>
      <c r="V4628" s="81">
        <f>IF(ISBLANK(P4628),"",U4628/N4628)</f>
        <v/>
      </c>
      <c r="W4628" s="81">
        <f>IF(ISBLANK(P4628),"",IF(S4628=0,(365/0.5)*V4628,(365/S4628)*V4628))</f>
        <v/>
      </c>
      <c r="X4628" s="75" t="n"/>
      <c r="Y4628" s="77" t="n"/>
      <c r="Z4628" s="77" t="n"/>
      <c r="AA4628" s="75" t="n"/>
      <c r="AB4628" s="75" t="n"/>
      <c r="AC4628" s="6" t="n"/>
      <c r="AD4628" s="75" t="n"/>
      <c r="AE4628" s="75" t="n"/>
      <c r="AF4628" s="75" t="n"/>
    </row>
    <row r="4629" ht="15.75" customHeight="1" s="133">
      <c r="A4629" s="75" t="n"/>
      <c r="B4629" s="75" t="n"/>
      <c r="C4629" s="75" t="n"/>
      <c r="D4629" s="75" t="n"/>
      <c r="E4629" s="76" t="n"/>
      <c r="F4629" s="77" t="n"/>
      <c r="G4629" s="75" t="n"/>
      <c r="H4629" s="75">
        <f>IF(ISBLANK(E4629),"",IF(OR(D4629="Butterfly",D4629="Butterfly ",D4629="Iron Fly", D4629="Iron Fly "),LEN(E4629)-LEN(SUBSTITUTE(E4629,"/",""))+2,LEN(E4629)-LEN(SUBSTITUTE(E4629,"/",""))+1))</f>
        <v/>
      </c>
      <c r="I4629" s="78">
        <f>IF(ISBLANK(G4629),"",IF(D4629="Stock","0",Key!$A$3*H4629*G4629))</f>
        <v/>
      </c>
      <c r="J4629" s="78">
        <f>IF(ISBLANK(E4629),"",IF(ISNUMBER(SEARCH("/",E4629)), IF(LEN(E4629)-LEN(SUBSTITUTE(E4629,"/",""))=1,(RIGHT(E4629,LEN(E4629)-FIND("/",E4629)))-(LEFT(E4629,FIND("/",E4629)-1)),(MID(E4629, SEARCH("/",E4629) + 1, SEARCH("/",E4629, SEARCH("/",E4629)+1) - SEARCH("/",E4629) - 1))-(LEFT(E4629,FIND("/",E4629)-1))), "NA"))</f>
        <v/>
      </c>
      <c r="K4629" s="79">
        <f>IF(A4629&lt;&gt;"", IF(ISBLANK(L4629), TODAY(), K4629), "")</f>
        <v/>
      </c>
      <c r="L4629" s="78" t="n"/>
      <c r="M4629" s="78">
        <f>IF(ISBLANK(L4629),"",IF(D4629="Stock",IF(C4629="Buy",L4629*G4629,IF(C4629="Sell",(L4629*G4629)-I4629, X)),IF(C4629="Buy",(L4629*G4629*100)+I4629,IF(C4629="Sell",(L4629*G4629*100)-I4629, X))))</f>
        <v/>
      </c>
      <c r="N4629" s="78">
        <f>IF(ISBLANK(L4629),"",IF(AND(C4629="Sell",D4629="Stock"),M4629,IF(ISBLANK(L4629),"",IF(C4629="Buy",M4629, IF(AND(C4629="Sell",J4629="NA"),(E4629*G4629*100*0.1)+I4629, IF(C4629="Sell",(J4629-L4629)*(100*G4629)+I4629))))))</f>
        <v/>
      </c>
      <c r="O4629" s="75" t="n"/>
      <c r="P4629" s="75" t="n"/>
      <c r="Q4629" s="75">
        <f>IF(ISBLANK(P4629),"",IF(D4629="Stock",P4629*G4629,IF(P4629=0,"0",G4629*P4629*100-(G4629*$AF$14))))</f>
        <v/>
      </c>
      <c r="R4629" s="79">
        <f>IF(P4629&lt;&gt;"", TODAY(), "")</f>
        <v/>
      </c>
      <c r="S4629" s="78">
        <f>IF(AND(K4629&lt;&gt;"", R4629&lt;&gt;""), R4629-K4629, "")</f>
        <v/>
      </c>
      <c r="T4629" s="78" t="n"/>
      <c r="U4629" s="92">
        <f>IF(ISBLANK(P4629),"",IF(C4629="Buy",Q4629-M4629+T4629, IF(C4629="Sell",M4629-Q4629-T4629, X)))</f>
        <v/>
      </c>
      <c r="V4629" s="81">
        <f>IF(ISBLANK(P4629),"",U4629/N4629)</f>
        <v/>
      </c>
      <c r="W4629" s="81">
        <f>IF(ISBLANK(P4629),"",IF(S4629=0,(365/0.5)*V4629,(365/S4629)*V4629))</f>
        <v/>
      </c>
      <c r="X4629" s="75" t="n"/>
      <c r="Y4629" s="77" t="n"/>
      <c r="Z4629" s="77" t="n"/>
      <c r="AA4629" s="75" t="n"/>
      <c r="AB4629" s="75" t="n"/>
      <c r="AC4629" s="6" t="n"/>
      <c r="AD4629" s="75" t="n"/>
      <c r="AE4629" s="75" t="n"/>
      <c r="AF4629" s="75" t="n"/>
    </row>
    <row r="4630" ht="15.75" customHeight="1" s="133">
      <c r="A4630" s="75" t="n"/>
      <c r="B4630" s="75" t="n"/>
      <c r="C4630" s="75" t="n"/>
      <c r="D4630" s="75" t="n"/>
      <c r="E4630" s="76" t="n"/>
      <c r="F4630" s="77" t="n"/>
      <c r="G4630" s="75" t="n"/>
      <c r="H4630" s="75">
        <f>IF(ISBLANK(E4630),"",IF(OR(D4630="Butterfly",D4630="Butterfly ",D4630="Iron Fly", D4630="Iron Fly "),LEN(E4630)-LEN(SUBSTITUTE(E4630,"/",""))+2,LEN(E4630)-LEN(SUBSTITUTE(E4630,"/",""))+1))</f>
        <v/>
      </c>
      <c r="I4630" s="78">
        <f>IF(ISBLANK(G4630),"",IF(D4630="Stock","0",Key!$A$3*H4630*G4630))</f>
        <v/>
      </c>
      <c r="J4630" s="78">
        <f>IF(ISBLANK(E4630),"",IF(ISNUMBER(SEARCH("/",E4630)), IF(LEN(E4630)-LEN(SUBSTITUTE(E4630,"/",""))=1,(RIGHT(E4630,LEN(E4630)-FIND("/",E4630)))-(LEFT(E4630,FIND("/",E4630)-1)),(MID(E4630, SEARCH("/",E4630) + 1, SEARCH("/",E4630, SEARCH("/",E4630)+1) - SEARCH("/",E4630) - 1))-(LEFT(E4630,FIND("/",E4630)-1))), "NA"))</f>
        <v/>
      </c>
      <c r="K4630" s="79">
        <f>IF(A4630&lt;&gt;"", IF(ISBLANK(L4630), TODAY(), K4630), "")</f>
        <v/>
      </c>
      <c r="L4630" s="78" t="n"/>
      <c r="M4630" s="78">
        <f>IF(ISBLANK(L4630),"",IF(D4630="Stock",IF(C4630="Buy",L4630*G4630,IF(C4630="Sell",(L4630*G4630)-I4630, X)),IF(C4630="Buy",(L4630*G4630*100)+I4630,IF(C4630="Sell",(L4630*G4630*100)-I4630, X))))</f>
        <v/>
      </c>
      <c r="N4630" s="78">
        <f>IF(ISBLANK(L4630),"",IF(AND(C4630="Sell",D4630="Stock"),M4630,IF(ISBLANK(L4630),"",IF(C4630="Buy",M4630, IF(AND(C4630="Sell",J4630="NA"),(E4630*G4630*100*0.1)+I4630, IF(C4630="Sell",(J4630-L4630)*(100*G4630)+I4630))))))</f>
        <v/>
      </c>
      <c r="O4630" s="75" t="n"/>
      <c r="P4630" s="75" t="n"/>
      <c r="Q4630" s="75">
        <f>IF(ISBLANK(P4630),"",IF(D4630="Stock",P4630*G4630,IF(P4630=0,"0",G4630*P4630*100-(G4630*$AF$14))))</f>
        <v/>
      </c>
      <c r="R4630" s="79">
        <f>IF(P4630&lt;&gt;"", TODAY(), "")</f>
        <v/>
      </c>
      <c r="S4630" s="78">
        <f>IF(AND(K4630&lt;&gt;"", R4630&lt;&gt;""), R4630-K4630, "")</f>
        <v/>
      </c>
      <c r="T4630" s="78" t="n"/>
      <c r="U4630" s="92">
        <f>IF(ISBLANK(P4630),"",IF(C4630="Buy",Q4630-M4630+T4630, IF(C4630="Sell",M4630-Q4630-T4630, X)))</f>
        <v/>
      </c>
      <c r="V4630" s="81">
        <f>IF(ISBLANK(P4630),"",U4630/N4630)</f>
        <v/>
      </c>
      <c r="W4630" s="81">
        <f>IF(ISBLANK(P4630),"",IF(S4630=0,(365/0.5)*V4630,(365/S4630)*V4630))</f>
        <v/>
      </c>
      <c r="X4630" s="75" t="n"/>
      <c r="Y4630" s="77" t="n"/>
      <c r="Z4630" s="77" t="n"/>
      <c r="AA4630" s="75" t="n"/>
      <c r="AB4630" s="75" t="n"/>
      <c r="AC4630" s="6" t="n"/>
      <c r="AD4630" s="75" t="n"/>
      <c r="AE4630" s="75" t="n"/>
      <c r="AF4630" s="75" t="n"/>
    </row>
    <row r="4631" ht="15.75" customHeight="1" s="133">
      <c r="A4631" s="75" t="n"/>
      <c r="B4631" s="75" t="n"/>
      <c r="C4631" s="75" t="n"/>
      <c r="D4631" s="75" t="n"/>
      <c r="E4631" s="76" t="n"/>
      <c r="F4631" s="77" t="n"/>
      <c r="G4631" s="75" t="n"/>
      <c r="H4631" s="75">
        <f>IF(ISBLANK(E4631),"",IF(OR(D4631="Butterfly",D4631="Butterfly ",D4631="Iron Fly", D4631="Iron Fly "),LEN(E4631)-LEN(SUBSTITUTE(E4631,"/",""))+2,LEN(E4631)-LEN(SUBSTITUTE(E4631,"/",""))+1))</f>
        <v/>
      </c>
      <c r="I4631" s="78">
        <f>IF(ISBLANK(G4631),"",IF(D4631="Stock","0",Key!$A$3*H4631*G4631))</f>
        <v/>
      </c>
      <c r="J4631" s="78">
        <f>IF(ISBLANK(E4631),"",IF(ISNUMBER(SEARCH("/",E4631)), IF(LEN(E4631)-LEN(SUBSTITUTE(E4631,"/",""))=1,(RIGHT(E4631,LEN(E4631)-FIND("/",E4631)))-(LEFT(E4631,FIND("/",E4631)-1)),(MID(E4631, SEARCH("/",E4631) + 1, SEARCH("/",E4631, SEARCH("/",E4631)+1) - SEARCH("/",E4631) - 1))-(LEFT(E4631,FIND("/",E4631)-1))), "NA"))</f>
        <v/>
      </c>
      <c r="K4631" s="79">
        <f>IF(A4631&lt;&gt;"", IF(ISBLANK(L4631), TODAY(), K4631), "")</f>
        <v/>
      </c>
      <c r="L4631" s="78" t="n"/>
      <c r="M4631" s="78">
        <f>IF(ISBLANK(L4631),"",IF(D4631="Stock",IF(C4631="Buy",L4631*G4631,IF(C4631="Sell",(L4631*G4631)-I4631, X)),IF(C4631="Buy",(L4631*G4631*100)+I4631,IF(C4631="Sell",(L4631*G4631*100)-I4631, X))))</f>
        <v/>
      </c>
      <c r="N4631" s="78">
        <f>IF(ISBLANK(L4631),"",IF(AND(C4631="Sell",D4631="Stock"),M4631,IF(ISBLANK(L4631),"",IF(C4631="Buy",M4631, IF(AND(C4631="Sell",J4631="NA"),(E4631*G4631*100*0.1)+I4631, IF(C4631="Sell",(J4631-L4631)*(100*G4631)+I4631))))))</f>
        <v/>
      </c>
      <c r="O4631" s="75" t="n"/>
      <c r="P4631" s="75" t="n"/>
      <c r="Q4631" s="75">
        <f>IF(ISBLANK(P4631),"",IF(D4631="Stock",P4631*G4631,IF(P4631=0,"0",G4631*P4631*100-(G4631*$AF$14))))</f>
        <v/>
      </c>
      <c r="R4631" s="79">
        <f>IF(P4631&lt;&gt;"", TODAY(), "")</f>
        <v/>
      </c>
      <c r="S4631" s="78">
        <f>IF(AND(K4631&lt;&gt;"", R4631&lt;&gt;""), R4631-K4631, "")</f>
        <v/>
      </c>
      <c r="T4631" s="78" t="n"/>
      <c r="U4631" s="92">
        <f>IF(ISBLANK(P4631),"",IF(C4631="Buy",Q4631-M4631+T4631, IF(C4631="Sell",M4631-Q4631-T4631, X)))</f>
        <v/>
      </c>
      <c r="V4631" s="81">
        <f>IF(ISBLANK(P4631),"",U4631/N4631)</f>
        <v/>
      </c>
      <c r="W4631" s="81">
        <f>IF(ISBLANK(P4631),"",IF(S4631=0,(365/0.5)*V4631,(365/S4631)*V4631))</f>
        <v/>
      </c>
      <c r="X4631" s="75" t="n"/>
      <c r="Y4631" s="77" t="n"/>
      <c r="Z4631" s="77" t="n"/>
      <c r="AA4631" s="75" t="n"/>
      <c r="AB4631" s="75" t="n"/>
      <c r="AC4631" s="6" t="n"/>
      <c r="AD4631" s="75" t="n"/>
      <c r="AE4631" s="75" t="n"/>
      <c r="AF4631" s="75" t="n"/>
    </row>
    <row r="4632" ht="15.75" customHeight="1" s="133">
      <c r="A4632" s="75" t="n"/>
      <c r="B4632" s="75" t="n"/>
      <c r="C4632" s="75" t="n"/>
      <c r="D4632" s="75" t="n"/>
      <c r="E4632" s="76" t="n"/>
      <c r="F4632" s="77" t="n"/>
      <c r="G4632" s="75" t="n"/>
      <c r="H4632" s="75">
        <f>IF(ISBLANK(E4632),"",IF(OR(D4632="Butterfly",D4632="Butterfly ",D4632="Iron Fly", D4632="Iron Fly "),LEN(E4632)-LEN(SUBSTITUTE(E4632,"/",""))+2,LEN(E4632)-LEN(SUBSTITUTE(E4632,"/",""))+1))</f>
        <v/>
      </c>
      <c r="I4632" s="78">
        <f>IF(ISBLANK(G4632),"",IF(D4632="Stock","0",Key!$A$3*H4632*G4632))</f>
        <v/>
      </c>
      <c r="J4632" s="78">
        <f>IF(ISBLANK(E4632),"",IF(ISNUMBER(SEARCH("/",E4632)), IF(LEN(E4632)-LEN(SUBSTITUTE(E4632,"/",""))=1,(RIGHT(E4632,LEN(E4632)-FIND("/",E4632)))-(LEFT(E4632,FIND("/",E4632)-1)),(MID(E4632, SEARCH("/",E4632) + 1, SEARCH("/",E4632, SEARCH("/",E4632)+1) - SEARCH("/",E4632) - 1))-(LEFT(E4632,FIND("/",E4632)-1))), "NA"))</f>
        <v/>
      </c>
      <c r="K4632" s="79">
        <f>IF(A4632&lt;&gt;"", IF(ISBLANK(L4632), TODAY(), K4632), "")</f>
        <v/>
      </c>
      <c r="L4632" s="78" t="n"/>
      <c r="M4632" s="78">
        <f>IF(ISBLANK(L4632),"",IF(D4632="Stock",IF(C4632="Buy",L4632*G4632,IF(C4632="Sell",(L4632*G4632)-I4632, X)),IF(C4632="Buy",(L4632*G4632*100)+I4632,IF(C4632="Sell",(L4632*G4632*100)-I4632, X))))</f>
        <v/>
      </c>
      <c r="N4632" s="78">
        <f>IF(ISBLANK(L4632),"",IF(AND(C4632="Sell",D4632="Stock"),M4632,IF(ISBLANK(L4632),"",IF(C4632="Buy",M4632, IF(AND(C4632="Sell",J4632="NA"),(E4632*G4632*100*0.1)+I4632, IF(C4632="Sell",(J4632-L4632)*(100*G4632)+I4632))))))</f>
        <v/>
      </c>
      <c r="O4632" s="75" t="n"/>
      <c r="P4632" s="75" t="n"/>
      <c r="Q4632" s="75">
        <f>IF(ISBLANK(P4632),"",IF(D4632="Stock",P4632*G4632,IF(P4632=0,"0",G4632*P4632*100-(G4632*$AF$14))))</f>
        <v/>
      </c>
      <c r="R4632" s="79">
        <f>IF(P4632&lt;&gt;"", TODAY(), "")</f>
        <v/>
      </c>
      <c r="S4632" s="78">
        <f>IF(AND(K4632&lt;&gt;"", R4632&lt;&gt;""), R4632-K4632, "")</f>
        <v/>
      </c>
      <c r="T4632" s="78" t="n"/>
      <c r="U4632" s="92">
        <f>IF(ISBLANK(P4632),"",IF(C4632="Buy",Q4632-M4632+T4632, IF(C4632="Sell",M4632-Q4632-T4632, X)))</f>
        <v/>
      </c>
      <c r="V4632" s="81">
        <f>IF(ISBLANK(P4632),"",U4632/N4632)</f>
        <v/>
      </c>
      <c r="W4632" s="81">
        <f>IF(ISBLANK(P4632),"",IF(S4632=0,(365/0.5)*V4632,(365/S4632)*V4632))</f>
        <v/>
      </c>
      <c r="X4632" s="75" t="n"/>
      <c r="Y4632" s="77" t="n"/>
      <c r="Z4632" s="77" t="n"/>
      <c r="AA4632" s="75" t="n"/>
      <c r="AB4632" s="75" t="n"/>
      <c r="AC4632" s="6" t="n"/>
      <c r="AD4632" s="75" t="n"/>
      <c r="AE4632" s="75" t="n"/>
      <c r="AF4632" s="75" t="n"/>
    </row>
    <row r="4633" ht="15.75" customHeight="1" s="133">
      <c r="A4633" s="75" t="n"/>
      <c r="B4633" s="75" t="n"/>
      <c r="C4633" s="75" t="n"/>
      <c r="D4633" s="75" t="n"/>
      <c r="E4633" s="76" t="n"/>
      <c r="F4633" s="77" t="n"/>
      <c r="G4633" s="75" t="n"/>
      <c r="H4633" s="75">
        <f>IF(ISBLANK(E4633),"",IF(OR(D4633="Butterfly",D4633="Butterfly ",D4633="Iron Fly", D4633="Iron Fly "),LEN(E4633)-LEN(SUBSTITUTE(E4633,"/",""))+2,LEN(E4633)-LEN(SUBSTITUTE(E4633,"/",""))+1))</f>
        <v/>
      </c>
      <c r="I4633" s="78">
        <f>IF(ISBLANK(G4633),"",IF(D4633="Stock","0",Key!$A$3*H4633*G4633))</f>
        <v/>
      </c>
      <c r="J4633" s="78">
        <f>IF(ISBLANK(E4633),"",IF(ISNUMBER(SEARCH("/",E4633)), IF(LEN(E4633)-LEN(SUBSTITUTE(E4633,"/",""))=1,(RIGHT(E4633,LEN(E4633)-FIND("/",E4633)))-(LEFT(E4633,FIND("/",E4633)-1)),(MID(E4633, SEARCH("/",E4633) + 1, SEARCH("/",E4633, SEARCH("/",E4633)+1) - SEARCH("/",E4633) - 1))-(LEFT(E4633,FIND("/",E4633)-1))), "NA"))</f>
        <v/>
      </c>
      <c r="K4633" s="79">
        <f>IF(A4633&lt;&gt;"", IF(ISBLANK(L4633), TODAY(), K4633), "")</f>
        <v/>
      </c>
      <c r="L4633" s="78" t="n"/>
      <c r="M4633" s="78">
        <f>IF(ISBLANK(L4633),"",IF(D4633="Stock",IF(C4633="Buy",L4633*G4633,IF(C4633="Sell",(L4633*G4633)-I4633, X)),IF(C4633="Buy",(L4633*G4633*100)+I4633,IF(C4633="Sell",(L4633*G4633*100)-I4633, X))))</f>
        <v/>
      </c>
      <c r="N4633" s="78">
        <f>IF(ISBLANK(L4633),"",IF(AND(C4633="Sell",D4633="Stock"),M4633,IF(ISBLANK(L4633),"",IF(C4633="Buy",M4633, IF(AND(C4633="Sell",J4633="NA"),(E4633*G4633*100*0.1)+I4633, IF(C4633="Sell",(J4633-L4633)*(100*G4633)+I4633))))))</f>
        <v/>
      </c>
      <c r="O4633" s="75" t="n"/>
      <c r="P4633" s="75" t="n"/>
      <c r="Q4633" s="75">
        <f>IF(ISBLANK(P4633),"",IF(D4633="Stock",P4633*G4633,IF(P4633=0,"0",G4633*P4633*100-(G4633*$AF$14))))</f>
        <v/>
      </c>
      <c r="R4633" s="79">
        <f>IF(P4633&lt;&gt;"", TODAY(), "")</f>
        <v/>
      </c>
      <c r="S4633" s="78">
        <f>IF(AND(K4633&lt;&gt;"", R4633&lt;&gt;""), R4633-K4633, "")</f>
        <v/>
      </c>
      <c r="T4633" s="78" t="n"/>
      <c r="U4633" s="92">
        <f>IF(ISBLANK(P4633),"",IF(C4633="Buy",Q4633-M4633+T4633, IF(C4633="Sell",M4633-Q4633-T4633, X)))</f>
        <v/>
      </c>
      <c r="V4633" s="81">
        <f>IF(ISBLANK(P4633),"",U4633/N4633)</f>
        <v/>
      </c>
      <c r="W4633" s="81">
        <f>IF(ISBLANK(P4633),"",IF(S4633=0,(365/0.5)*V4633,(365/S4633)*V4633))</f>
        <v/>
      </c>
      <c r="X4633" s="75" t="n"/>
      <c r="Y4633" s="77" t="n"/>
      <c r="Z4633" s="77" t="n"/>
      <c r="AA4633" s="75" t="n"/>
      <c r="AB4633" s="75" t="n"/>
      <c r="AC4633" s="6" t="n"/>
      <c r="AD4633" s="75" t="n"/>
      <c r="AE4633" s="75" t="n"/>
      <c r="AF4633" s="75" t="n"/>
    </row>
    <row r="4634" ht="15.75" customHeight="1" s="133">
      <c r="A4634" s="75" t="n"/>
      <c r="B4634" s="75" t="n"/>
      <c r="C4634" s="75" t="n"/>
      <c r="D4634" s="75" t="n"/>
      <c r="E4634" s="76" t="n"/>
      <c r="F4634" s="77" t="n"/>
      <c r="G4634" s="75" t="n"/>
      <c r="H4634" s="75">
        <f>IF(ISBLANK(E4634),"",IF(OR(D4634="Butterfly",D4634="Butterfly ",D4634="Iron Fly", D4634="Iron Fly "),LEN(E4634)-LEN(SUBSTITUTE(E4634,"/",""))+2,LEN(E4634)-LEN(SUBSTITUTE(E4634,"/",""))+1))</f>
        <v/>
      </c>
      <c r="I4634" s="78">
        <f>IF(ISBLANK(G4634),"",IF(D4634="Stock","0",Key!$A$3*H4634*G4634))</f>
        <v/>
      </c>
      <c r="J4634" s="78">
        <f>IF(ISBLANK(E4634),"",IF(ISNUMBER(SEARCH("/",E4634)), IF(LEN(E4634)-LEN(SUBSTITUTE(E4634,"/",""))=1,(RIGHT(E4634,LEN(E4634)-FIND("/",E4634)))-(LEFT(E4634,FIND("/",E4634)-1)),(MID(E4634, SEARCH("/",E4634) + 1, SEARCH("/",E4634, SEARCH("/",E4634)+1) - SEARCH("/",E4634) - 1))-(LEFT(E4634,FIND("/",E4634)-1))), "NA"))</f>
        <v/>
      </c>
      <c r="K4634" s="79">
        <f>IF(A4634&lt;&gt;"", IF(ISBLANK(L4634), TODAY(), K4634), "")</f>
        <v/>
      </c>
      <c r="L4634" s="78" t="n"/>
      <c r="M4634" s="78">
        <f>IF(ISBLANK(L4634),"",IF(D4634="Stock",IF(C4634="Buy",L4634*G4634,IF(C4634="Sell",(L4634*G4634)-I4634, X)),IF(C4634="Buy",(L4634*G4634*100)+I4634,IF(C4634="Sell",(L4634*G4634*100)-I4634, X))))</f>
        <v/>
      </c>
      <c r="N4634" s="78">
        <f>IF(ISBLANK(L4634),"",IF(AND(C4634="Sell",D4634="Stock"),M4634,IF(ISBLANK(L4634),"",IF(C4634="Buy",M4634, IF(AND(C4634="Sell",J4634="NA"),(E4634*G4634*100*0.1)+I4634, IF(C4634="Sell",(J4634-L4634)*(100*G4634)+I4634))))))</f>
        <v/>
      </c>
      <c r="O4634" s="75" t="n"/>
      <c r="P4634" s="75" t="n"/>
      <c r="Q4634" s="75">
        <f>IF(ISBLANK(P4634),"",IF(D4634="Stock",P4634*G4634,IF(P4634=0,"0",G4634*P4634*100-(G4634*$AF$14))))</f>
        <v/>
      </c>
      <c r="R4634" s="79">
        <f>IF(P4634&lt;&gt;"", TODAY(), "")</f>
        <v/>
      </c>
      <c r="S4634" s="78">
        <f>IF(AND(K4634&lt;&gt;"", R4634&lt;&gt;""), R4634-K4634, "")</f>
        <v/>
      </c>
      <c r="T4634" s="78" t="n"/>
      <c r="U4634" s="92">
        <f>IF(ISBLANK(P4634),"",IF(C4634="Buy",Q4634-M4634+T4634, IF(C4634="Sell",M4634-Q4634-T4634, X)))</f>
        <v/>
      </c>
      <c r="V4634" s="81">
        <f>IF(ISBLANK(P4634),"",U4634/N4634)</f>
        <v/>
      </c>
      <c r="W4634" s="81">
        <f>IF(ISBLANK(P4634),"",IF(S4634=0,(365/0.5)*V4634,(365/S4634)*V4634))</f>
        <v/>
      </c>
      <c r="X4634" s="75" t="n"/>
      <c r="Y4634" s="77" t="n"/>
      <c r="Z4634" s="77" t="n"/>
      <c r="AA4634" s="75" t="n"/>
      <c r="AB4634" s="75" t="n"/>
      <c r="AC4634" s="6" t="n"/>
      <c r="AD4634" s="75" t="n"/>
      <c r="AE4634" s="75" t="n"/>
      <c r="AF4634" s="75" t="n"/>
    </row>
    <row r="4635" ht="15.75" customHeight="1" s="133">
      <c r="A4635" s="75" t="n"/>
      <c r="B4635" s="75" t="n"/>
      <c r="C4635" s="75" t="n"/>
      <c r="D4635" s="75" t="n"/>
      <c r="E4635" s="76" t="n"/>
      <c r="F4635" s="77" t="n"/>
      <c r="G4635" s="75" t="n"/>
      <c r="H4635" s="75">
        <f>IF(ISBLANK(E4635),"",IF(OR(D4635="Butterfly",D4635="Butterfly ",D4635="Iron Fly", D4635="Iron Fly "),LEN(E4635)-LEN(SUBSTITUTE(E4635,"/",""))+2,LEN(E4635)-LEN(SUBSTITUTE(E4635,"/",""))+1))</f>
        <v/>
      </c>
      <c r="I4635" s="78">
        <f>IF(ISBLANK(G4635),"",IF(D4635="Stock","0",Key!$A$3*H4635*G4635))</f>
        <v/>
      </c>
      <c r="J4635" s="78">
        <f>IF(ISBLANK(E4635),"",IF(ISNUMBER(SEARCH("/",E4635)), IF(LEN(E4635)-LEN(SUBSTITUTE(E4635,"/",""))=1,(RIGHT(E4635,LEN(E4635)-FIND("/",E4635)))-(LEFT(E4635,FIND("/",E4635)-1)),(MID(E4635, SEARCH("/",E4635) + 1, SEARCH("/",E4635, SEARCH("/",E4635)+1) - SEARCH("/",E4635) - 1))-(LEFT(E4635,FIND("/",E4635)-1))), "NA"))</f>
        <v/>
      </c>
      <c r="K4635" s="79">
        <f>IF(A4635&lt;&gt;"", IF(ISBLANK(L4635), TODAY(), K4635), "")</f>
        <v/>
      </c>
      <c r="L4635" s="78" t="n"/>
      <c r="M4635" s="78">
        <f>IF(ISBLANK(L4635),"",IF(D4635="Stock",IF(C4635="Buy",L4635*G4635,IF(C4635="Sell",(L4635*G4635)-I4635, X)),IF(C4635="Buy",(L4635*G4635*100)+I4635,IF(C4635="Sell",(L4635*G4635*100)-I4635, X))))</f>
        <v/>
      </c>
      <c r="N4635" s="78">
        <f>IF(ISBLANK(L4635),"",IF(AND(C4635="Sell",D4635="Stock"),M4635,IF(ISBLANK(L4635),"",IF(C4635="Buy",M4635, IF(AND(C4635="Sell",J4635="NA"),(E4635*G4635*100*0.1)+I4635, IF(C4635="Sell",(J4635-L4635)*(100*G4635)+I4635))))))</f>
        <v/>
      </c>
      <c r="O4635" s="75" t="n"/>
      <c r="P4635" s="75" t="n"/>
      <c r="Q4635" s="75">
        <f>IF(ISBLANK(P4635),"",IF(D4635="Stock",P4635*G4635,IF(P4635=0,"0",G4635*P4635*100-(G4635*$AF$14))))</f>
        <v/>
      </c>
      <c r="R4635" s="79">
        <f>IF(P4635&lt;&gt;"", TODAY(), "")</f>
        <v/>
      </c>
      <c r="S4635" s="78">
        <f>IF(AND(K4635&lt;&gt;"", R4635&lt;&gt;""), R4635-K4635, "")</f>
        <v/>
      </c>
      <c r="T4635" s="78" t="n"/>
      <c r="U4635" s="92">
        <f>IF(ISBLANK(P4635),"",IF(C4635="Buy",Q4635-M4635+T4635, IF(C4635="Sell",M4635-Q4635-T4635, X)))</f>
        <v/>
      </c>
      <c r="V4635" s="81">
        <f>IF(ISBLANK(P4635),"",U4635/N4635)</f>
        <v/>
      </c>
      <c r="W4635" s="81">
        <f>IF(ISBLANK(P4635),"",IF(S4635=0,(365/0.5)*V4635,(365/S4635)*V4635))</f>
        <v/>
      </c>
      <c r="X4635" s="75" t="n"/>
      <c r="Y4635" s="77" t="n"/>
      <c r="Z4635" s="77" t="n"/>
      <c r="AA4635" s="75" t="n"/>
      <c r="AB4635" s="75" t="n"/>
      <c r="AC4635" s="6" t="n"/>
      <c r="AD4635" s="75" t="n"/>
      <c r="AE4635" s="75" t="n"/>
      <c r="AF4635" s="75" t="n"/>
    </row>
    <row r="4636" ht="15.75" customHeight="1" s="133">
      <c r="A4636" s="75" t="n"/>
      <c r="B4636" s="75" t="n"/>
      <c r="C4636" s="75" t="n"/>
      <c r="D4636" s="75" t="n"/>
      <c r="E4636" s="76" t="n"/>
      <c r="F4636" s="77" t="n"/>
      <c r="G4636" s="75" t="n"/>
      <c r="H4636" s="75">
        <f>IF(ISBLANK(E4636),"",IF(OR(D4636="Butterfly",D4636="Butterfly ",D4636="Iron Fly", D4636="Iron Fly "),LEN(E4636)-LEN(SUBSTITUTE(E4636,"/",""))+2,LEN(E4636)-LEN(SUBSTITUTE(E4636,"/",""))+1))</f>
        <v/>
      </c>
      <c r="I4636" s="78">
        <f>IF(ISBLANK(G4636),"",IF(D4636="Stock","0",Key!$A$3*H4636*G4636))</f>
        <v/>
      </c>
      <c r="J4636" s="78">
        <f>IF(ISBLANK(E4636),"",IF(ISNUMBER(SEARCH("/",E4636)), IF(LEN(E4636)-LEN(SUBSTITUTE(E4636,"/",""))=1,(RIGHT(E4636,LEN(E4636)-FIND("/",E4636)))-(LEFT(E4636,FIND("/",E4636)-1)),(MID(E4636, SEARCH("/",E4636) + 1, SEARCH("/",E4636, SEARCH("/",E4636)+1) - SEARCH("/",E4636) - 1))-(LEFT(E4636,FIND("/",E4636)-1))), "NA"))</f>
        <v/>
      </c>
      <c r="K4636" s="79">
        <f>IF(A4636&lt;&gt;"", IF(ISBLANK(L4636), TODAY(), K4636), "")</f>
        <v/>
      </c>
      <c r="L4636" s="78" t="n"/>
      <c r="M4636" s="78">
        <f>IF(ISBLANK(L4636),"",IF(D4636="Stock",IF(C4636="Buy",L4636*G4636,IF(C4636="Sell",(L4636*G4636)-I4636, X)),IF(C4636="Buy",(L4636*G4636*100)+I4636,IF(C4636="Sell",(L4636*G4636*100)-I4636, X))))</f>
        <v/>
      </c>
      <c r="N4636" s="78">
        <f>IF(ISBLANK(L4636),"",IF(AND(C4636="Sell",D4636="Stock"),M4636,IF(ISBLANK(L4636),"",IF(C4636="Buy",M4636, IF(AND(C4636="Sell",J4636="NA"),(E4636*G4636*100*0.1)+I4636, IF(C4636="Sell",(J4636-L4636)*(100*G4636)+I4636))))))</f>
        <v/>
      </c>
      <c r="O4636" s="75" t="n"/>
      <c r="P4636" s="75" t="n"/>
      <c r="Q4636" s="75">
        <f>IF(ISBLANK(P4636),"",IF(D4636="Stock",P4636*G4636,IF(P4636=0,"0",G4636*P4636*100-(G4636*$AF$14))))</f>
        <v/>
      </c>
      <c r="R4636" s="79">
        <f>IF(P4636&lt;&gt;"", TODAY(), "")</f>
        <v/>
      </c>
      <c r="S4636" s="78">
        <f>IF(AND(K4636&lt;&gt;"", R4636&lt;&gt;""), R4636-K4636, "")</f>
        <v/>
      </c>
      <c r="T4636" s="78" t="n"/>
      <c r="U4636" s="92">
        <f>IF(ISBLANK(P4636),"",IF(C4636="Buy",Q4636-M4636+T4636, IF(C4636="Sell",M4636-Q4636-T4636, X)))</f>
        <v/>
      </c>
      <c r="V4636" s="81">
        <f>IF(ISBLANK(P4636),"",U4636/N4636)</f>
        <v/>
      </c>
      <c r="W4636" s="81">
        <f>IF(ISBLANK(P4636),"",IF(S4636=0,(365/0.5)*V4636,(365/S4636)*V4636))</f>
        <v/>
      </c>
      <c r="X4636" s="75" t="n"/>
      <c r="Y4636" s="77" t="n"/>
      <c r="Z4636" s="77" t="n"/>
      <c r="AA4636" s="75" t="n"/>
      <c r="AB4636" s="75" t="n"/>
      <c r="AC4636" s="6" t="n"/>
      <c r="AD4636" s="75" t="n"/>
      <c r="AE4636" s="75" t="n"/>
      <c r="AF4636" s="75" t="n"/>
    </row>
    <row r="4637" ht="15.75" customHeight="1" s="133">
      <c r="A4637" s="75" t="n"/>
      <c r="B4637" s="75" t="n"/>
      <c r="C4637" s="75" t="n"/>
      <c r="D4637" s="75" t="n"/>
      <c r="E4637" s="76" t="n"/>
      <c r="F4637" s="77" t="n"/>
      <c r="G4637" s="75" t="n"/>
      <c r="H4637" s="75">
        <f>IF(ISBLANK(E4637),"",IF(OR(D4637="Butterfly",D4637="Butterfly ",D4637="Iron Fly", D4637="Iron Fly "),LEN(E4637)-LEN(SUBSTITUTE(E4637,"/",""))+2,LEN(E4637)-LEN(SUBSTITUTE(E4637,"/",""))+1))</f>
        <v/>
      </c>
      <c r="I4637" s="78">
        <f>IF(ISBLANK(G4637),"",IF(D4637="Stock","0",Key!$A$3*H4637*G4637))</f>
        <v/>
      </c>
      <c r="J4637" s="78">
        <f>IF(ISBLANK(E4637),"",IF(ISNUMBER(SEARCH("/",E4637)), IF(LEN(E4637)-LEN(SUBSTITUTE(E4637,"/",""))=1,(RIGHT(E4637,LEN(E4637)-FIND("/",E4637)))-(LEFT(E4637,FIND("/",E4637)-1)),(MID(E4637, SEARCH("/",E4637) + 1, SEARCH("/",E4637, SEARCH("/",E4637)+1) - SEARCH("/",E4637) - 1))-(LEFT(E4637,FIND("/",E4637)-1))), "NA"))</f>
        <v/>
      </c>
      <c r="K4637" s="79">
        <f>IF(A4637&lt;&gt;"", IF(ISBLANK(L4637), TODAY(), K4637), "")</f>
        <v/>
      </c>
      <c r="L4637" s="78" t="n"/>
      <c r="M4637" s="78">
        <f>IF(ISBLANK(L4637),"",IF(D4637="Stock",IF(C4637="Buy",L4637*G4637,IF(C4637="Sell",(L4637*G4637)-I4637, X)),IF(C4637="Buy",(L4637*G4637*100)+I4637,IF(C4637="Sell",(L4637*G4637*100)-I4637, X))))</f>
        <v/>
      </c>
      <c r="N4637" s="78">
        <f>IF(ISBLANK(L4637),"",IF(AND(C4637="Sell",D4637="Stock"),M4637,IF(ISBLANK(L4637),"",IF(C4637="Buy",M4637, IF(AND(C4637="Sell",J4637="NA"),(E4637*G4637*100*0.1)+I4637, IF(C4637="Sell",(J4637-L4637)*(100*G4637)+I4637))))))</f>
        <v/>
      </c>
      <c r="O4637" s="75" t="n"/>
      <c r="P4637" s="75" t="n"/>
      <c r="Q4637" s="75">
        <f>IF(ISBLANK(P4637),"",IF(D4637="Stock",P4637*G4637,IF(P4637=0,"0",G4637*P4637*100-(G4637*$AF$14))))</f>
        <v/>
      </c>
      <c r="R4637" s="79">
        <f>IF(P4637&lt;&gt;"", TODAY(), "")</f>
        <v/>
      </c>
      <c r="S4637" s="78">
        <f>IF(AND(K4637&lt;&gt;"", R4637&lt;&gt;""), R4637-K4637, "")</f>
        <v/>
      </c>
      <c r="T4637" s="78" t="n"/>
      <c r="U4637" s="92">
        <f>IF(ISBLANK(P4637),"",IF(C4637="Buy",Q4637-M4637+T4637, IF(C4637="Sell",M4637-Q4637-T4637, X)))</f>
        <v/>
      </c>
      <c r="V4637" s="81">
        <f>IF(ISBLANK(P4637),"",U4637/N4637)</f>
        <v/>
      </c>
      <c r="W4637" s="81">
        <f>IF(ISBLANK(P4637),"",IF(S4637=0,(365/0.5)*V4637,(365/S4637)*V4637))</f>
        <v/>
      </c>
      <c r="X4637" s="75" t="n"/>
      <c r="Y4637" s="77" t="n"/>
      <c r="Z4637" s="77" t="n"/>
      <c r="AA4637" s="75" t="n"/>
      <c r="AB4637" s="75" t="n"/>
      <c r="AC4637" s="6" t="n"/>
      <c r="AD4637" s="75" t="n"/>
      <c r="AE4637" s="75" t="n"/>
      <c r="AF4637" s="75" t="n"/>
    </row>
    <row r="4638" ht="15.75" customHeight="1" s="133">
      <c r="A4638" s="75" t="n"/>
      <c r="B4638" s="75" t="n"/>
      <c r="C4638" s="75" t="n"/>
      <c r="D4638" s="75" t="n"/>
      <c r="E4638" s="76" t="n"/>
      <c r="F4638" s="77" t="n"/>
      <c r="G4638" s="75" t="n"/>
      <c r="H4638" s="75">
        <f>IF(ISBLANK(E4638),"",IF(OR(D4638="Butterfly",D4638="Butterfly ",D4638="Iron Fly", D4638="Iron Fly "),LEN(E4638)-LEN(SUBSTITUTE(E4638,"/",""))+2,LEN(E4638)-LEN(SUBSTITUTE(E4638,"/",""))+1))</f>
        <v/>
      </c>
      <c r="I4638" s="78">
        <f>IF(ISBLANK(G4638),"",IF(D4638="Stock","0",Key!$A$3*H4638*G4638))</f>
        <v/>
      </c>
      <c r="J4638" s="78">
        <f>IF(ISBLANK(E4638),"",IF(ISNUMBER(SEARCH("/",E4638)), IF(LEN(E4638)-LEN(SUBSTITUTE(E4638,"/",""))=1,(RIGHT(E4638,LEN(E4638)-FIND("/",E4638)))-(LEFT(E4638,FIND("/",E4638)-1)),(MID(E4638, SEARCH("/",E4638) + 1, SEARCH("/",E4638, SEARCH("/",E4638)+1) - SEARCH("/",E4638) - 1))-(LEFT(E4638,FIND("/",E4638)-1))), "NA"))</f>
        <v/>
      </c>
      <c r="K4638" s="79">
        <f>IF(A4638&lt;&gt;"", IF(ISBLANK(L4638), TODAY(), K4638), "")</f>
        <v/>
      </c>
      <c r="L4638" s="78" t="n"/>
      <c r="M4638" s="78">
        <f>IF(ISBLANK(L4638),"",IF(D4638="Stock",IF(C4638="Buy",L4638*G4638,IF(C4638="Sell",(L4638*G4638)-I4638, X)),IF(C4638="Buy",(L4638*G4638*100)+I4638,IF(C4638="Sell",(L4638*G4638*100)-I4638, X))))</f>
        <v/>
      </c>
      <c r="N4638" s="78">
        <f>IF(ISBLANK(L4638),"",IF(AND(C4638="Sell",D4638="Stock"),M4638,IF(ISBLANK(L4638),"",IF(C4638="Buy",M4638, IF(AND(C4638="Sell",J4638="NA"),(E4638*G4638*100*0.1)+I4638, IF(C4638="Sell",(J4638-L4638)*(100*G4638)+I4638))))))</f>
        <v/>
      </c>
      <c r="O4638" s="75" t="n"/>
      <c r="P4638" s="75" t="n"/>
      <c r="Q4638" s="75">
        <f>IF(ISBLANK(P4638),"",IF(D4638="Stock",P4638*G4638,IF(P4638=0,"0",G4638*P4638*100-(G4638*$AF$14))))</f>
        <v/>
      </c>
      <c r="R4638" s="79">
        <f>IF(P4638&lt;&gt;"", TODAY(), "")</f>
        <v/>
      </c>
      <c r="S4638" s="78">
        <f>IF(AND(K4638&lt;&gt;"", R4638&lt;&gt;""), R4638-K4638, "")</f>
        <v/>
      </c>
      <c r="T4638" s="78" t="n"/>
      <c r="U4638" s="92">
        <f>IF(ISBLANK(P4638),"",IF(C4638="Buy",Q4638-M4638+T4638, IF(C4638="Sell",M4638-Q4638-T4638, X)))</f>
        <v/>
      </c>
      <c r="V4638" s="81">
        <f>IF(ISBLANK(P4638),"",U4638/N4638)</f>
        <v/>
      </c>
      <c r="W4638" s="81">
        <f>IF(ISBLANK(P4638),"",IF(S4638=0,(365/0.5)*V4638,(365/S4638)*V4638))</f>
        <v/>
      </c>
      <c r="X4638" s="75" t="n"/>
      <c r="Y4638" s="77" t="n"/>
      <c r="Z4638" s="77" t="n"/>
      <c r="AA4638" s="75" t="n"/>
      <c r="AB4638" s="75" t="n"/>
      <c r="AC4638" s="6" t="n"/>
      <c r="AD4638" s="75" t="n"/>
      <c r="AE4638" s="75" t="n"/>
      <c r="AF4638" s="75" t="n"/>
    </row>
    <row r="4639" ht="15.75" customHeight="1" s="133">
      <c r="A4639" s="75" t="n"/>
      <c r="B4639" s="75" t="n"/>
      <c r="C4639" s="75" t="n"/>
      <c r="D4639" s="75" t="n"/>
      <c r="E4639" s="76" t="n"/>
      <c r="F4639" s="77" t="n"/>
      <c r="G4639" s="75" t="n"/>
      <c r="H4639" s="75">
        <f>IF(ISBLANK(E4639),"",IF(OR(D4639="Butterfly",D4639="Butterfly ",D4639="Iron Fly", D4639="Iron Fly "),LEN(E4639)-LEN(SUBSTITUTE(E4639,"/",""))+2,LEN(E4639)-LEN(SUBSTITUTE(E4639,"/",""))+1))</f>
        <v/>
      </c>
      <c r="I4639" s="78">
        <f>IF(ISBLANK(G4639),"",IF(D4639="Stock","0",Key!$A$3*H4639*G4639))</f>
        <v/>
      </c>
      <c r="J4639" s="78">
        <f>IF(ISBLANK(E4639),"",IF(ISNUMBER(SEARCH("/",E4639)), IF(LEN(E4639)-LEN(SUBSTITUTE(E4639,"/",""))=1,(RIGHT(E4639,LEN(E4639)-FIND("/",E4639)))-(LEFT(E4639,FIND("/",E4639)-1)),(MID(E4639, SEARCH("/",E4639) + 1, SEARCH("/",E4639, SEARCH("/",E4639)+1) - SEARCH("/",E4639) - 1))-(LEFT(E4639,FIND("/",E4639)-1))), "NA"))</f>
        <v/>
      </c>
      <c r="K4639" s="79">
        <f>IF(A4639&lt;&gt;"", IF(ISBLANK(L4639), TODAY(), K4639), "")</f>
        <v/>
      </c>
      <c r="L4639" s="78" t="n"/>
      <c r="M4639" s="78">
        <f>IF(ISBLANK(L4639),"",IF(D4639="Stock",IF(C4639="Buy",L4639*G4639,IF(C4639="Sell",(L4639*G4639)-I4639, X)),IF(C4639="Buy",(L4639*G4639*100)+I4639,IF(C4639="Sell",(L4639*G4639*100)-I4639, X))))</f>
        <v/>
      </c>
      <c r="N4639" s="78">
        <f>IF(ISBLANK(L4639),"",IF(AND(C4639="Sell",D4639="Stock"),M4639,IF(ISBLANK(L4639),"",IF(C4639="Buy",M4639, IF(AND(C4639="Sell",J4639="NA"),(E4639*G4639*100*0.1)+I4639, IF(C4639="Sell",(J4639-L4639)*(100*G4639)+I4639))))))</f>
        <v/>
      </c>
      <c r="O4639" s="75" t="n"/>
      <c r="P4639" s="75" t="n"/>
      <c r="Q4639" s="75">
        <f>IF(ISBLANK(P4639),"",IF(D4639="Stock",P4639*G4639,IF(P4639=0,"0",G4639*P4639*100-(G4639*$AF$14))))</f>
        <v/>
      </c>
      <c r="R4639" s="79">
        <f>IF(P4639&lt;&gt;"", TODAY(), "")</f>
        <v/>
      </c>
      <c r="S4639" s="78">
        <f>IF(AND(K4639&lt;&gt;"", R4639&lt;&gt;""), R4639-K4639, "")</f>
        <v/>
      </c>
      <c r="T4639" s="78" t="n"/>
      <c r="U4639" s="92">
        <f>IF(ISBLANK(P4639),"",IF(C4639="Buy",Q4639-M4639+T4639, IF(C4639="Sell",M4639-Q4639-T4639, X)))</f>
        <v/>
      </c>
      <c r="V4639" s="81">
        <f>IF(ISBLANK(P4639),"",U4639/N4639)</f>
        <v/>
      </c>
      <c r="W4639" s="81">
        <f>IF(ISBLANK(P4639),"",IF(S4639=0,(365/0.5)*V4639,(365/S4639)*V4639))</f>
        <v/>
      </c>
      <c r="X4639" s="75" t="n"/>
      <c r="Y4639" s="77" t="n"/>
      <c r="Z4639" s="77" t="n"/>
      <c r="AA4639" s="75" t="n"/>
      <c r="AB4639" s="75" t="n"/>
      <c r="AC4639" s="6" t="n"/>
      <c r="AD4639" s="75" t="n"/>
      <c r="AE4639" s="75" t="n"/>
      <c r="AF4639" s="75" t="n"/>
    </row>
    <row r="4640" ht="15.75" customHeight="1" s="133">
      <c r="A4640" s="75" t="n"/>
      <c r="B4640" s="75" t="n"/>
      <c r="C4640" s="75" t="n"/>
      <c r="D4640" s="75" t="n"/>
      <c r="E4640" s="76" t="n"/>
      <c r="F4640" s="77" t="n"/>
      <c r="G4640" s="75" t="n"/>
      <c r="H4640" s="75">
        <f>IF(ISBLANK(E4640),"",IF(OR(D4640="Butterfly",D4640="Butterfly ",D4640="Iron Fly", D4640="Iron Fly "),LEN(E4640)-LEN(SUBSTITUTE(E4640,"/",""))+2,LEN(E4640)-LEN(SUBSTITUTE(E4640,"/",""))+1))</f>
        <v/>
      </c>
      <c r="I4640" s="78">
        <f>IF(ISBLANK(G4640),"",IF(D4640="Stock","0",Key!$A$3*H4640*G4640))</f>
        <v/>
      </c>
      <c r="J4640" s="78">
        <f>IF(ISBLANK(E4640),"",IF(ISNUMBER(SEARCH("/",E4640)), IF(LEN(E4640)-LEN(SUBSTITUTE(E4640,"/",""))=1,(RIGHT(E4640,LEN(E4640)-FIND("/",E4640)))-(LEFT(E4640,FIND("/",E4640)-1)),(MID(E4640, SEARCH("/",E4640) + 1, SEARCH("/",E4640, SEARCH("/",E4640)+1) - SEARCH("/",E4640) - 1))-(LEFT(E4640,FIND("/",E4640)-1))), "NA"))</f>
        <v/>
      </c>
      <c r="K4640" s="79">
        <f>IF(A4640&lt;&gt;"", IF(ISBLANK(L4640), TODAY(), K4640), "")</f>
        <v/>
      </c>
      <c r="L4640" s="78" t="n"/>
      <c r="M4640" s="78">
        <f>IF(ISBLANK(L4640),"",IF(D4640="Stock",IF(C4640="Buy",L4640*G4640,IF(C4640="Sell",(L4640*G4640)-I4640, X)),IF(C4640="Buy",(L4640*G4640*100)+I4640,IF(C4640="Sell",(L4640*G4640*100)-I4640, X))))</f>
        <v/>
      </c>
      <c r="N4640" s="78">
        <f>IF(ISBLANK(L4640),"",IF(AND(C4640="Sell",D4640="Stock"),M4640,IF(ISBLANK(L4640),"",IF(C4640="Buy",M4640, IF(AND(C4640="Sell",J4640="NA"),(E4640*G4640*100*0.1)+I4640, IF(C4640="Sell",(J4640-L4640)*(100*G4640)+I4640))))))</f>
        <v/>
      </c>
      <c r="O4640" s="75" t="n"/>
      <c r="P4640" s="75" t="n"/>
      <c r="Q4640" s="75">
        <f>IF(ISBLANK(P4640),"",IF(D4640="Stock",P4640*G4640,IF(P4640=0,"0",G4640*P4640*100-(G4640*$AF$14))))</f>
        <v/>
      </c>
      <c r="R4640" s="79">
        <f>IF(P4640&lt;&gt;"", TODAY(), "")</f>
        <v/>
      </c>
      <c r="S4640" s="78">
        <f>IF(AND(K4640&lt;&gt;"", R4640&lt;&gt;""), R4640-K4640, "")</f>
        <v/>
      </c>
      <c r="T4640" s="78" t="n"/>
      <c r="U4640" s="92">
        <f>IF(ISBLANK(P4640),"",IF(C4640="Buy",Q4640-M4640+T4640, IF(C4640="Sell",M4640-Q4640-T4640, X)))</f>
        <v/>
      </c>
      <c r="V4640" s="81">
        <f>IF(ISBLANK(P4640),"",U4640/N4640)</f>
        <v/>
      </c>
      <c r="W4640" s="81">
        <f>IF(ISBLANK(P4640),"",IF(S4640=0,(365/0.5)*V4640,(365/S4640)*V4640))</f>
        <v/>
      </c>
      <c r="X4640" s="75" t="n"/>
      <c r="Y4640" s="77" t="n"/>
      <c r="Z4640" s="77" t="n"/>
      <c r="AA4640" s="75" t="n"/>
      <c r="AB4640" s="75" t="n"/>
      <c r="AC4640" s="6" t="n"/>
      <c r="AD4640" s="75" t="n"/>
      <c r="AE4640" s="75" t="n"/>
      <c r="AF4640" s="75" t="n"/>
    </row>
    <row r="4641" ht="15.75" customHeight="1" s="133">
      <c r="A4641" s="75" t="n"/>
      <c r="B4641" s="75" t="n"/>
      <c r="C4641" s="75" t="n"/>
      <c r="D4641" s="75" t="n"/>
      <c r="E4641" s="76" t="n"/>
      <c r="F4641" s="77" t="n"/>
      <c r="G4641" s="75" t="n"/>
      <c r="H4641" s="75">
        <f>IF(ISBLANK(E4641),"",IF(OR(D4641="Butterfly",D4641="Butterfly ",D4641="Iron Fly", D4641="Iron Fly "),LEN(E4641)-LEN(SUBSTITUTE(E4641,"/",""))+2,LEN(E4641)-LEN(SUBSTITUTE(E4641,"/",""))+1))</f>
        <v/>
      </c>
      <c r="I4641" s="78">
        <f>IF(ISBLANK(G4641),"",IF(D4641="Stock","0",Key!$A$3*H4641*G4641))</f>
        <v/>
      </c>
      <c r="J4641" s="78">
        <f>IF(ISBLANK(E4641),"",IF(ISNUMBER(SEARCH("/",E4641)), IF(LEN(E4641)-LEN(SUBSTITUTE(E4641,"/",""))=1,(RIGHT(E4641,LEN(E4641)-FIND("/",E4641)))-(LEFT(E4641,FIND("/",E4641)-1)),(MID(E4641, SEARCH("/",E4641) + 1, SEARCH("/",E4641, SEARCH("/",E4641)+1) - SEARCH("/",E4641) - 1))-(LEFT(E4641,FIND("/",E4641)-1))), "NA"))</f>
        <v/>
      </c>
      <c r="K4641" s="79">
        <f>IF(A4641&lt;&gt;"", IF(ISBLANK(L4641), TODAY(), K4641), "")</f>
        <v/>
      </c>
      <c r="L4641" s="78" t="n"/>
      <c r="M4641" s="78">
        <f>IF(ISBLANK(L4641),"",IF(D4641="Stock",IF(C4641="Buy",L4641*G4641,IF(C4641="Sell",(L4641*G4641)-I4641, X)),IF(C4641="Buy",(L4641*G4641*100)+I4641,IF(C4641="Sell",(L4641*G4641*100)-I4641, X))))</f>
        <v/>
      </c>
      <c r="N4641" s="78">
        <f>IF(ISBLANK(L4641),"",IF(AND(C4641="Sell",D4641="Stock"),M4641,IF(ISBLANK(L4641),"",IF(C4641="Buy",M4641, IF(AND(C4641="Sell",J4641="NA"),(E4641*G4641*100*0.1)+I4641, IF(C4641="Sell",(J4641-L4641)*(100*G4641)+I4641))))))</f>
        <v/>
      </c>
      <c r="O4641" s="75" t="n"/>
      <c r="P4641" s="75" t="n"/>
      <c r="Q4641" s="75">
        <f>IF(ISBLANK(P4641),"",IF(D4641="Stock",P4641*G4641,IF(P4641=0,"0",G4641*P4641*100-(G4641*$AF$14))))</f>
        <v/>
      </c>
      <c r="R4641" s="79">
        <f>IF(P4641&lt;&gt;"", TODAY(), "")</f>
        <v/>
      </c>
      <c r="S4641" s="78">
        <f>IF(AND(K4641&lt;&gt;"", R4641&lt;&gt;""), R4641-K4641, "")</f>
        <v/>
      </c>
      <c r="T4641" s="78" t="n"/>
      <c r="U4641" s="92">
        <f>IF(ISBLANK(P4641),"",IF(C4641="Buy",Q4641-M4641+T4641, IF(C4641="Sell",M4641-Q4641-T4641, X)))</f>
        <v/>
      </c>
      <c r="V4641" s="81">
        <f>IF(ISBLANK(P4641),"",U4641/N4641)</f>
        <v/>
      </c>
      <c r="W4641" s="81">
        <f>IF(ISBLANK(P4641),"",IF(S4641=0,(365/0.5)*V4641,(365/S4641)*V4641))</f>
        <v/>
      </c>
      <c r="X4641" s="75" t="n"/>
      <c r="Y4641" s="77" t="n"/>
      <c r="Z4641" s="77" t="n"/>
      <c r="AA4641" s="75" t="n"/>
      <c r="AB4641" s="75" t="n"/>
      <c r="AC4641" s="6" t="n"/>
      <c r="AD4641" s="75" t="n"/>
      <c r="AE4641" s="75" t="n"/>
      <c r="AF4641" s="75" t="n"/>
    </row>
    <row r="4642" ht="15.75" customHeight="1" s="133">
      <c r="A4642" s="75" t="n"/>
      <c r="B4642" s="75" t="n"/>
      <c r="C4642" s="75" t="n"/>
      <c r="D4642" s="75" t="n"/>
      <c r="E4642" s="76" t="n"/>
      <c r="F4642" s="77" t="n"/>
      <c r="G4642" s="75" t="n"/>
      <c r="H4642" s="75">
        <f>IF(ISBLANK(E4642),"",IF(OR(D4642="Butterfly",D4642="Butterfly ",D4642="Iron Fly", D4642="Iron Fly "),LEN(E4642)-LEN(SUBSTITUTE(E4642,"/",""))+2,LEN(E4642)-LEN(SUBSTITUTE(E4642,"/",""))+1))</f>
        <v/>
      </c>
      <c r="I4642" s="78">
        <f>IF(ISBLANK(G4642),"",IF(D4642="Stock","0",Key!$A$3*H4642*G4642))</f>
        <v/>
      </c>
      <c r="J4642" s="78">
        <f>IF(ISBLANK(E4642),"",IF(ISNUMBER(SEARCH("/",E4642)), IF(LEN(E4642)-LEN(SUBSTITUTE(E4642,"/",""))=1,(RIGHT(E4642,LEN(E4642)-FIND("/",E4642)))-(LEFT(E4642,FIND("/",E4642)-1)),(MID(E4642, SEARCH("/",E4642) + 1, SEARCH("/",E4642, SEARCH("/",E4642)+1) - SEARCH("/",E4642) - 1))-(LEFT(E4642,FIND("/",E4642)-1))), "NA"))</f>
        <v/>
      </c>
      <c r="K4642" s="79">
        <f>IF(A4642&lt;&gt;"", IF(ISBLANK(L4642), TODAY(), K4642), "")</f>
        <v/>
      </c>
      <c r="L4642" s="78" t="n"/>
      <c r="M4642" s="78">
        <f>IF(ISBLANK(L4642),"",IF(D4642="Stock",IF(C4642="Buy",L4642*G4642,IF(C4642="Sell",(L4642*G4642)-I4642, X)),IF(C4642="Buy",(L4642*G4642*100)+I4642,IF(C4642="Sell",(L4642*G4642*100)-I4642, X))))</f>
        <v/>
      </c>
      <c r="N4642" s="78">
        <f>IF(ISBLANK(L4642),"",IF(AND(C4642="Sell",D4642="Stock"),M4642,IF(ISBLANK(L4642),"",IF(C4642="Buy",M4642, IF(AND(C4642="Sell",J4642="NA"),(E4642*G4642*100*0.1)+I4642, IF(C4642="Sell",(J4642-L4642)*(100*G4642)+I4642))))))</f>
        <v/>
      </c>
      <c r="O4642" s="75" t="n"/>
      <c r="P4642" s="75" t="n"/>
      <c r="Q4642" s="75">
        <f>IF(ISBLANK(P4642),"",IF(D4642="Stock",P4642*G4642,IF(P4642=0,"0",G4642*P4642*100-(G4642*$AF$14))))</f>
        <v/>
      </c>
      <c r="R4642" s="79">
        <f>IF(P4642&lt;&gt;"", TODAY(), "")</f>
        <v/>
      </c>
      <c r="S4642" s="78">
        <f>IF(AND(K4642&lt;&gt;"", R4642&lt;&gt;""), R4642-K4642, "")</f>
        <v/>
      </c>
      <c r="T4642" s="78" t="n"/>
      <c r="U4642" s="92">
        <f>IF(ISBLANK(P4642),"",IF(C4642="Buy",Q4642-M4642+T4642, IF(C4642="Sell",M4642-Q4642-T4642, X)))</f>
        <v/>
      </c>
      <c r="V4642" s="81">
        <f>IF(ISBLANK(P4642),"",U4642/N4642)</f>
        <v/>
      </c>
      <c r="W4642" s="81">
        <f>IF(ISBLANK(P4642),"",IF(S4642=0,(365/0.5)*V4642,(365/S4642)*V4642))</f>
        <v/>
      </c>
      <c r="X4642" s="75" t="n"/>
      <c r="Y4642" s="77" t="n"/>
      <c r="Z4642" s="77" t="n"/>
      <c r="AA4642" s="75" t="n"/>
      <c r="AB4642" s="75" t="n"/>
      <c r="AC4642" s="6" t="n"/>
      <c r="AD4642" s="75" t="n"/>
      <c r="AE4642" s="75" t="n"/>
      <c r="AF4642" s="75" t="n"/>
    </row>
    <row r="4643" ht="15.75" customHeight="1" s="133">
      <c r="A4643" s="75" t="n"/>
      <c r="B4643" s="75" t="n"/>
      <c r="C4643" s="75" t="n"/>
      <c r="D4643" s="75" t="n"/>
      <c r="E4643" s="76" t="n"/>
      <c r="F4643" s="77" t="n"/>
      <c r="G4643" s="75" t="n"/>
      <c r="H4643" s="75">
        <f>IF(ISBLANK(E4643),"",IF(OR(D4643="Butterfly",D4643="Butterfly ",D4643="Iron Fly", D4643="Iron Fly "),LEN(E4643)-LEN(SUBSTITUTE(E4643,"/",""))+2,LEN(E4643)-LEN(SUBSTITUTE(E4643,"/",""))+1))</f>
        <v/>
      </c>
      <c r="I4643" s="78">
        <f>IF(ISBLANK(G4643),"",IF(D4643="Stock","0",Key!$A$3*H4643*G4643))</f>
        <v/>
      </c>
      <c r="J4643" s="78">
        <f>IF(ISBLANK(E4643),"",IF(ISNUMBER(SEARCH("/",E4643)), IF(LEN(E4643)-LEN(SUBSTITUTE(E4643,"/",""))=1,(RIGHT(E4643,LEN(E4643)-FIND("/",E4643)))-(LEFT(E4643,FIND("/",E4643)-1)),(MID(E4643, SEARCH("/",E4643) + 1, SEARCH("/",E4643, SEARCH("/",E4643)+1) - SEARCH("/",E4643) - 1))-(LEFT(E4643,FIND("/",E4643)-1))), "NA"))</f>
        <v/>
      </c>
      <c r="K4643" s="79">
        <f>IF(A4643&lt;&gt;"", IF(ISBLANK(L4643), TODAY(), K4643), "")</f>
        <v/>
      </c>
      <c r="L4643" s="78" t="n"/>
      <c r="M4643" s="78">
        <f>IF(ISBLANK(L4643),"",IF(D4643="Stock",IF(C4643="Buy",L4643*G4643,IF(C4643="Sell",(L4643*G4643)-I4643, X)),IF(C4643="Buy",(L4643*G4643*100)+I4643,IF(C4643="Sell",(L4643*G4643*100)-I4643, X))))</f>
        <v/>
      </c>
      <c r="N4643" s="78">
        <f>IF(ISBLANK(L4643),"",IF(AND(C4643="Sell",D4643="Stock"),M4643,IF(ISBLANK(L4643),"",IF(C4643="Buy",M4643, IF(AND(C4643="Sell",J4643="NA"),(E4643*G4643*100*0.1)+I4643, IF(C4643="Sell",(J4643-L4643)*(100*G4643)+I4643))))))</f>
        <v/>
      </c>
      <c r="O4643" s="75" t="n"/>
      <c r="P4643" s="75" t="n"/>
      <c r="Q4643" s="75">
        <f>IF(ISBLANK(P4643),"",IF(D4643="Stock",P4643*G4643,IF(P4643=0,"0",G4643*P4643*100-(G4643*$AF$14))))</f>
        <v/>
      </c>
      <c r="R4643" s="79">
        <f>IF(P4643&lt;&gt;"", TODAY(), "")</f>
        <v/>
      </c>
      <c r="S4643" s="78">
        <f>IF(AND(K4643&lt;&gt;"", R4643&lt;&gt;""), R4643-K4643, "")</f>
        <v/>
      </c>
      <c r="T4643" s="78" t="n"/>
      <c r="U4643" s="92">
        <f>IF(ISBLANK(P4643),"",IF(C4643="Buy",Q4643-M4643+T4643, IF(C4643="Sell",M4643-Q4643-T4643, X)))</f>
        <v/>
      </c>
      <c r="V4643" s="81">
        <f>IF(ISBLANK(P4643),"",U4643/N4643)</f>
        <v/>
      </c>
      <c r="W4643" s="81">
        <f>IF(ISBLANK(P4643),"",IF(S4643=0,(365/0.5)*V4643,(365/S4643)*V4643))</f>
        <v/>
      </c>
      <c r="X4643" s="75" t="n"/>
      <c r="Y4643" s="77" t="n"/>
      <c r="Z4643" s="77" t="n"/>
      <c r="AA4643" s="75" t="n"/>
      <c r="AB4643" s="75" t="n"/>
      <c r="AC4643" s="6" t="n"/>
      <c r="AD4643" s="75" t="n"/>
      <c r="AE4643" s="75" t="n"/>
      <c r="AF4643" s="75" t="n"/>
    </row>
    <row r="4644" ht="15.75" customHeight="1" s="133">
      <c r="A4644" s="75" t="n"/>
      <c r="B4644" s="75" t="n"/>
      <c r="C4644" s="75" t="n"/>
      <c r="D4644" s="75" t="n"/>
      <c r="E4644" s="76" t="n"/>
      <c r="F4644" s="77" t="n"/>
      <c r="G4644" s="75" t="n"/>
      <c r="H4644" s="75">
        <f>IF(ISBLANK(E4644),"",IF(OR(D4644="Butterfly",D4644="Butterfly ",D4644="Iron Fly", D4644="Iron Fly "),LEN(E4644)-LEN(SUBSTITUTE(E4644,"/",""))+2,LEN(E4644)-LEN(SUBSTITUTE(E4644,"/",""))+1))</f>
        <v/>
      </c>
      <c r="I4644" s="78">
        <f>IF(ISBLANK(G4644),"",IF(D4644="Stock","0",Key!$A$3*H4644*G4644))</f>
        <v/>
      </c>
      <c r="J4644" s="78">
        <f>IF(ISBLANK(E4644),"",IF(ISNUMBER(SEARCH("/",E4644)), IF(LEN(E4644)-LEN(SUBSTITUTE(E4644,"/",""))=1,(RIGHT(E4644,LEN(E4644)-FIND("/",E4644)))-(LEFT(E4644,FIND("/",E4644)-1)),(MID(E4644, SEARCH("/",E4644) + 1, SEARCH("/",E4644, SEARCH("/",E4644)+1) - SEARCH("/",E4644) - 1))-(LEFT(E4644,FIND("/",E4644)-1))), "NA"))</f>
        <v/>
      </c>
      <c r="K4644" s="79">
        <f>IF(A4644&lt;&gt;"", IF(ISBLANK(L4644), TODAY(), K4644), "")</f>
        <v/>
      </c>
      <c r="L4644" s="78" t="n"/>
      <c r="M4644" s="78">
        <f>IF(ISBLANK(L4644),"",IF(D4644="Stock",IF(C4644="Buy",L4644*G4644,IF(C4644="Sell",(L4644*G4644)-I4644, X)),IF(C4644="Buy",(L4644*G4644*100)+I4644,IF(C4644="Sell",(L4644*G4644*100)-I4644, X))))</f>
        <v/>
      </c>
      <c r="N4644" s="78">
        <f>IF(ISBLANK(L4644),"",IF(AND(C4644="Sell",D4644="Stock"),M4644,IF(ISBLANK(L4644),"",IF(C4644="Buy",M4644, IF(AND(C4644="Sell",J4644="NA"),(E4644*G4644*100*0.1)+I4644, IF(C4644="Sell",(J4644-L4644)*(100*G4644)+I4644))))))</f>
        <v/>
      </c>
      <c r="O4644" s="75" t="n"/>
      <c r="P4644" s="75" t="n"/>
      <c r="Q4644" s="75">
        <f>IF(ISBLANK(P4644),"",IF(D4644="Stock",P4644*G4644,IF(P4644=0,"0",G4644*P4644*100-(G4644*$AF$14))))</f>
        <v/>
      </c>
      <c r="R4644" s="79">
        <f>IF(P4644&lt;&gt;"", TODAY(), "")</f>
        <v/>
      </c>
      <c r="S4644" s="78">
        <f>IF(AND(K4644&lt;&gt;"", R4644&lt;&gt;""), R4644-K4644, "")</f>
        <v/>
      </c>
      <c r="T4644" s="78" t="n"/>
      <c r="U4644" s="92">
        <f>IF(ISBLANK(P4644),"",IF(C4644="Buy",Q4644-M4644+T4644, IF(C4644="Sell",M4644-Q4644-T4644, X)))</f>
        <v/>
      </c>
      <c r="V4644" s="81">
        <f>IF(ISBLANK(P4644),"",U4644/N4644)</f>
        <v/>
      </c>
      <c r="W4644" s="81">
        <f>IF(ISBLANK(P4644),"",IF(S4644=0,(365/0.5)*V4644,(365/S4644)*V4644))</f>
        <v/>
      </c>
      <c r="X4644" s="75" t="n"/>
      <c r="Y4644" s="77" t="n"/>
      <c r="Z4644" s="77" t="n"/>
      <c r="AA4644" s="75" t="n"/>
      <c r="AB4644" s="75" t="n"/>
      <c r="AC4644" s="6" t="n"/>
      <c r="AD4644" s="75" t="n"/>
      <c r="AE4644" s="75" t="n"/>
      <c r="AF4644" s="75" t="n"/>
    </row>
    <row r="4645" ht="15.75" customHeight="1" s="133">
      <c r="A4645" s="75" t="n"/>
      <c r="B4645" s="75" t="n"/>
      <c r="C4645" s="75" t="n"/>
      <c r="D4645" s="75" t="n"/>
      <c r="E4645" s="76" t="n"/>
      <c r="F4645" s="77" t="n"/>
      <c r="G4645" s="75" t="n"/>
      <c r="H4645" s="75">
        <f>IF(ISBLANK(E4645),"",IF(OR(D4645="Butterfly",D4645="Butterfly ",D4645="Iron Fly", D4645="Iron Fly "),LEN(E4645)-LEN(SUBSTITUTE(E4645,"/",""))+2,LEN(E4645)-LEN(SUBSTITUTE(E4645,"/",""))+1))</f>
        <v/>
      </c>
      <c r="I4645" s="78">
        <f>IF(ISBLANK(G4645),"",IF(D4645="Stock","0",Key!$A$3*H4645*G4645))</f>
        <v/>
      </c>
      <c r="J4645" s="78">
        <f>IF(ISBLANK(E4645),"",IF(ISNUMBER(SEARCH("/",E4645)), IF(LEN(E4645)-LEN(SUBSTITUTE(E4645,"/",""))=1,(RIGHT(E4645,LEN(E4645)-FIND("/",E4645)))-(LEFT(E4645,FIND("/",E4645)-1)),(MID(E4645, SEARCH("/",E4645) + 1, SEARCH("/",E4645, SEARCH("/",E4645)+1) - SEARCH("/",E4645) - 1))-(LEFT(E4645,FIND("/",E4645)-1))), "NA"))</f>
        <v/>
      </c>
      <c r="K4645" s="79">
        <f>IF(A4645&lt;&gt;"", IF(ISBLANK(L4645), TODAY(), K4645), "")</f>
        <v/>
      </c>
      <c r="L4645" s="78" t="n"/>
      <c r="M4645" s="78">
        <f>IF(ISBLANK(L4645),"",IF(D4645="Stock",IF(C4645="Buy",L4645*G4645,IF(C4645="Sell",(L4645*G4645)-I4645, X)),IF(C4645="Buy",(L4645*G4645*100)+I4645,IF(C4645="Sell",(L4645*G4645*100)-I4645, X))))</f>
        <v/>
      </c>
      <c r="N4645" s="78">
        <f>IF(ISBLANK(L4645),"",IF(AND(C4645="Sell",D4645="Stock"),M4645,IF(ISBLANK(L4645),"",IF(C4645="Buy",M4645, IF(AND(C4645="Sell",J4645="NA"),(E4645*G4645*100*0.1)+I4645, IF(C4645="Sell",(J4645-L4645)*(100*G4645)+I4645))))))</f>
        <v/>
      </c>
      <c r="O4645" s="75" t="n"/>
      <c r="P4645" s="75" t="n"/>
      <c r="Q4645" s="75">
        <f>IF(ISBLANK(P4645),"",IF(D4645="Stock",P4645*G4645,IF(P4645=0,"0",G4645*P4645*100-(G4645*$AF$14))))</f>
        <v/>
      </c>
      <c r="R4645" s="79">
        <f>IF(P4645&lt;&gt;"", TODAY(), "")</f>
        <v/>
      </c>
      <c r="S4645" s="78">
        <f>IF(AND(K4645&lt;&gt;"", R4645&lt;&gt;""), R4645-K4645, "")</f>
        <v/>
      </c>
      <c r="T4645" s="78" t="n"/>
      <c r="U4645" s="92">
        <f>IF(ISBLANK(P4645),"",IF(C4645="Buy",Q4645-M4645+T4645, IF(C4645="Sell",M4645-Q4645-T4645, X)))</f>
        <v/>
      </c>
      <c r="V4645" s="81">
        <f>IF(ISBLANK(P4645),"",U4645/N4645)</f>
        <v/>
      </c>
      <c r="W4645" s="81">
        <f>IF(ISBLANK(P4645),"",IF(S4645=0,(365/0.5)*V4645,(365/S4645)*V4645))</f>
        <v/>
      </c>
      <c r="X4645" s="75" t="n"/>
      <c r="Y4645" s="77" t="n"/>
      <c r="Z4645" s="77" t="n"/>
      <c r="AA4645" s="75" t="n"/>
      <c r="AB4645" s="75" t="n"/>
      <c r="AC4645" s="6" t="n"/>
      <c r="AD4645" s="75" t="n"/>
      <c r="AE4645" s="75" t="n"/>
      <c r="AF4645" s="75" t="n"/>
    </row>
    <row r="4646" ht="15.75" customHeight="1" s="133">
      <c r="A4646" s="75" t="n"/>
      <c r="B4646" s="75" t="n"/>
      <c r="C4646" s="75" t="n"/>
      <c r="D4646" s="75" t="n"/>
      <c r="E4646" s="76" t="n"/>
      <c r="F4646" s="77" t="n"/>
      <c r="G4646" s="75" t="n"/>
      <c r="H4646" s="75">
        <f>IF(ISBLANK(E4646),"",IF(OR(D4646="Butterfly",D4646="Butterfly ",D4646="Iron Fly", D4646="Iron Fly "),LEN(E4646)-LEN(SUBSTITUTE(E4646,"/",""))+2,LEN(E4646)-LEN(SUBSTITUTE(E4646,"/",""))+1))</f>
        <v/>
      </c>
      <c r="I4646" s="78">
        <f>IF(ISBLANK(G4646),"",IF(D4646="Stock","0",Key!$A$3*H4646*G4646))</f>
        <v/>
      </c>
      <c r="J4646" s="78">
        <f>IF(ISBLANK(E4646),"",IF(ISNUMBER(SEARCH("/",E4646)), IF(LEN(E4646)-LEN(SUBSTITUTE(E4646,"/",""))=1,(RIGHT(E4646,LEN(E4646)-FIND("/",E4646)))-(LEFT(E4646,FIND("/",E4646)-1)),(MID(E4646, SEARCH("/",E4646) + 1, SEARCH("/",E4646, SEARCH("/",E4646)+1) - SEARCH("/",E4646) - 1))-(LEFT(E4646,FIND("/",E4646)-1))), "NA"))</f>
        <v/>
      </c>
      <c r="K4646" s="79">
        <f>IF(A4646&lt;&gt;"", IF(ISBLANK(L4646), TODAY(), K4646), "")</f>
        <v/>
      </c>
      <c r="L4646" s="78" t="n"/>
      <c r="M4646" s="78">
        <f>IF(ISBLANK(L4646),"",IF(D4646="Stock",IF(C4646="Buy",L4646*G4646,IF(C4646="Sell",(L4646*G4646)-I4646, X)),IF(C4646="Buy",(L4646*G4646*100)+I4646,IF(C4646="Sell",(L4646*G4646*100)-I4646, X))))</f>
        <v/>
      </c>
      <c r="N4646" s="78">
        <f>IF(ISBLANK(L4646),"",IF(AND(C4646="Sell",D4646="Stock"),M4646,IF(ISBLANK(L4646),"",IF(C4646="Buy",M4646, IF(AND(C4646="Sell",J4646="NA"),(E4646*G4646*100*0.1)+I4646, IF(C4646="Sell",(J4646-L4646)*(100*G4646)+I4646))))))</f>
        <v/>
      </c>
      <c r="O4646" s="75" t="n"/>
      <c r="P4646" s="75" t="n"/>
      <c r="Q4646" s="75">
        <f>IF(ISBLANK(P4646),"",IF(D4646="Stock",P4646*G4646,IF(P4646=0,"0",G4646*P4646*100-(G4646*$AF$14))))</f>
        <v/>
      </c>
      <c r="R4646" s="79">
        <f>IF(P4646&lt;&gt;"", TODAY(), "")</f>
        <v/>
      </c>
      <c r="S4646" s="78">
        <f>IF(AND(K4646&lt;&gt;"", R4646&lt;&gt;""), R4646-K4646, "")</f>
        <v/>
      </c>
      <c r="T4646" s="78" t="n"/>
      <c r="U4646" s="92">
        <f>IF(ISBLANK(P4646),"",IF(C4646="Buy",Q4646-M4646+T4646, IF(C4646="Sell",M4646-Q4646-T4646, X)))</f>
        <v/>
      </c>
      <c r="V4646" s="81">
        <f>IF(ISBLANK(P4646),"",U4646/N4646)</f>
        <v/>
      </c>
      <c r="W4646" s="81">
        <f>IF(ISBLANK(P4646),"",IF(S4646=0,(365/0.5)*V4646,(365/S4646)*V4646))</f>
        <v/>
      </c>
      <c r="X4646" s="75" t="n"/>
      <c r="Y4646" s="77" t="n"/>
      <c r="Z4646" s="77" t="n"/>
      <c r="AA4646" s="75" t="n"/>
      <c r="AB4646" s="75" t="n"/>
      <c r="AC4646" s="6" t="n"/>
      <c r="AD4646" s="75" t="n"/>
      <c r="AE4646" s="75" t="n"/>
      <c r="AF4646" s="75" t="n"/>
    </row>
    <row r="4647" ht="15.75" customHeight="1" s="133">
      <c r="A4647" s="75" t="n"/>
      <c r="B4647" s="75" t="n"/>
      <c r="C4647" s="75" t="n"/>
      <c r="D4647" s="75" t="n"/>
      <c r="E4647" s="76" t="n"/>
      <c r="F4647" s="77" t="n"/>
      <c r="G4647" s="75" t="n"/>
      <c r="H4647" s="75">
        <f>IF(ISBLANK(E4647),"",IF(OR(D4647="Butterfly",D4647="Butterfly ",D4647="Iron Fly", D4647="Iron Fly "),LEN(E4647)-LEN(SUBSTITUTE(E4647,"/",""))+2,LEN(E4647)-LEN(SUBSTITUTE(E4647,"/",""))+1))</f>
        <v/>
      </c>
      <c r="I4647" s="78">
        <f>IF(ISBLANK(G4647),"",IF(D4647="Stock","0",Key!$A$3*H4647*G4647))</f>
        <v/>
      </c>
      <c r="J4647" s="78">
        <f>IF(ISBLANK(E4647),"",IF(ISNUMBER(SEARCH("/",E4647)), IF(LEN(E4647)-LEN(SUBSTITUTE(E4647,"/",""))=1,(RIGHT(E4647,LEN(E4647)-FIND("/",E4647)))-(LEFT(E4647,FIND("/",E4647)-1)),(MID(E4647, SEARCH("/",E4647) + 1, SEARCH("/",E4647, SEARCH("/",E4647)+1) - SEARCH("/",E4647) - 1))-(LEFT(E4647,FIND("/",E4647)-1))), "NA"))</f>
        <v/>
      </c>
      <c r="K4647" s="79">
        <f>IF(A4647&lt;&gt;"", IF(ISBLANK(L4647), TODAY(), K4647), "")</f>
        <v/>
      </c>
      <c r="L4647" s="78" t="n"/>
      <c r="M4647" s="78">
        <f>IF(ISBLANK(L4647),"",IF(D4647="Stock",IF(C4647="Buy",L4647*G4647,IF(C4647="Sell",(L4647*G4647)-I4647, X)),IF(C4647="Buy",(L4647*G4647*100)+I4647,IF(C4647="Sell",(L4647*G4647*100)-I4647, X))))</f>
        <v/>
      </c>
      <c r="N4647" s="78">
        <f>IF(ISBLANK(L4647),"",IF(AND(C4647="Sell",D4647="Stock"),M4647,IF(ISBLANK(L4647),"",IF(C4647="Buy",M4647, IF(AND(C4647="Sell",J4647="NA"),(E4647*G4647*100*0.1)+I4647, IF(C4647="Sell",(J4647-L4647)*(100*G4647)+I4647))))))</f>
        <v/>
      </c>
      <c r="O4647" s="75" t="n"/>
      <c r="P4647" s="75" t="n"/>
      <c r="Q4647" s="75">
        <f>IF(ISBLANK(P4647),"",IF(D4647="Stock",P4647*G4647,IF(P4647=0,"0",G4647*P4647*100-(G4647*$AF$14))))</f>
        <v/>
      </c>
      <c r="R4647" s="79">
        <f>IF(P4647&lt;&gt;"", TODAY(), "")</f>
        <v/>
      </c>
      <c r="S4647" s="78">
        <f>IF(AND(K4647&lt;&gt;"", R4647&lt;&gt;""), R4647-K4647, "")</f>
        <v/>
      </c>
      <c r="T4647" s="78" t="n"/>
      <c r="U4647" s="92">
        <f>IF(ISBLANK(P4647),"",IF(C4647="Buy",Q4647-M4647+T4647, IF(C4647="Sell",M4647-Q4647-T4647, X)))</f>
        <v/>
      </c>
      <c r="V4647" s="81">
        <f>IF(ISBLANK(P4647),"",U4647/N4647)</f>
        <v/>
      </c>
      <c r="W4647" s="81">
        <f>IF(ISBLANK(P4647),"",IF(S4647=0,(365/0.5)*V4647,(365/S4647)*V4647))</f>
        <v/>
      </c>
      <c r="X4647" s="75" t="n"/>
      <c r="Y4647" s="77" t="n"/>
      <c r="Z4647" s="77" t="n"/>
      <c r="AA4647" s="75" t="n"/>
      <c r="AB4647" s="75" t="n"/>
      <c r="AC4647" s="6" t="n"/>
      <c r="AD4647" s="75" t="n"/>
      <c r="AE4647" s="75" t="n"/>
      <c r="AF4647" s="75" t="n"/>
    </row>
    <row r="4648" ht="15.75" customHeight="1" s="133">
      <c r="A4648" s="75" t="n"/>
      <c r="B4648" s="75" t="n"/>
      <c r="C4648" s="75" t="n"/>
      <c r="D4648" s="75" t="n"/>
      <c r="E4648" s="76" t="n"/>
      <c r="F4648" s="77" t="n"/>
      <c r="G4648" s="75" t="n"/>
      <c r="H4648" s="75">
        <f>IF(ISBLANK(E4648),"",IF(OR(D4648="Butterfly",D4648="Butterfly ",D4648="Iron Fly", D4648="Iron Fly "),LEN(E4648)-LEN(SUBSTITUTE(E4648,"/",""))+2,LEN(E4648)-LEN(SUBSTITUTE(E4648,"/",""))+1))</f>
        <v/>
      </c>
      <c r="I4648" s="78">
        <f>IF(ISBLANK(G4648),"",IF(D4648="Stock","0",Key!$A$3*H4648*G4648))</f>
        <v/>
      </c>
      <c r="J4648" s="78">
        <f>IF(ISBLANK(E4648),"",IF(ISNUMBER(SEARCH("/",E4648)), IF(LEN(E4648)-LEN(SUBSTITUTE(E4648,"/",""))=1,(RIGHT(E4648,LEN(E4648)-FIND("/",E4648)))-(LEFT(E4648,FIND("/",E4648)-1)),(MID(E4648, SEARCH("/",E4648) + 1, SEARCH("/",E4648, SEARCH("/",E4648)+1) - SEARCH("/",E4648) - 1))-(LEFT(E4648,FIND("/",E4648)-1))), "NA"))</f>
        <v/>
      </c>
      <c r="K4648" s="79">
        <f>IF(A4648&lt;&gt;"", IF(ISBLANK(L4648), TODAY(), K4648), "")</f>
        <v/>
      </c>
      <c r="L4648" s="78" t="n"/>
      <c r="M4648" s="78">
        <f>IF(ISBLANK(L4648),"",IF(D4648="Stock",IF(C4648="Buy",L4648*G4648,IF(C4648="Sell",(L4648*G4648)-I4648, X)),IF(C4648="Buy",(L4648*G4648*100)+I4648,IF(C4648="Sell",(L4648*G4648*100)-I4648, X))))</f>
        <v/>
      </c>
      <c r="N4648" s="78">
        <f>IF(ISBLANK(L4648),"",IF(AND(C4648="Sell",D4648="Stock"),M4648,IF(ISBLANK(L4648),"",IF(C4648="Buy",M4648, IF(AND(C4648="Sell",J4648="NA"),(E4648*G4648*100*0.1)+I4648, IF(C4648="Sell",(J4648-L4648)*(100*G4648)+I4648))))))</f>
        <v/>
      </c>
      <c r="O4648" s="75" t="n"/>
      <c r="P4648" s="75" t="n"/>
      <c r="Q4648" s="75">
        <f>IF(ISBLANK(P4648),"",IF(D4648="Stock",P4648*G4648,IF(P4648=0,"0",G4648*P4648*100-(G4648*$AF$14))))</f>
        <v/>
      </c>
      <c r="R4648" s="79">
        <f>IF(P4648&lt;&gt;"", TODAY(), "")</f>
        <v/>
      </c>
      <c r="S4648" s="78">
        <f>IF(AND(K4648&lt;&gt;"", R4648&lt;&gt;""), R4648-K4648, "")</f>
        <v/>
      </c>
      <c r="T4648" s="78" t="n"/>
      <c r="U4648" s="92">
        <f>IF(ISBLANK(P4648),"",IF(C4648="Buy",Q4648-M4648+T4648, IF(C4648="Sell",M4648-Q4648-T4648, X)))</f>
        <v/>
      </c>
      <c r="V4648" s="81">
        <f>IF(ISBLANK(P4648),"",U4648/N4648)</f>
        <v/>
      </c>
      <c r="W4648" s="81">
        <f>IF(ISBLANK(P4648),"",IF(S4648=0,(365/0.5)*V4648,(365/S4648)*V4648))</f>
        <v/>
      </c>
      <c r="X4648" s="75" t="n"/>
      <c r="Y4648" s="77" t="n"/>
      <c r="Z4648" s="77" t="n"/>
      <c r="AA4648" s="75" t="n"/>
      <c r="AB4648" s="75" t="n"/>
      <c r="AC4648" s="6" t="n"/>
      <c r="AD4648" s="75" t="n"/>
      <c r="AE4648" s="75" t="n"/>
      <c r="AF4648" s="75" t="n"/>
    </row>
    <row r="4649" ht="15.75" customHeight="1" s="133">
      <c r="A4649" s="75" t="n"/>
      <c r="B4649" s="75" t="n"/>
      <c r="C4649" s="75" t="n"/>
      <c r="D4649" s="75" t="n"/>
      <c r="E4649" s="76" t="n"/>
      <c r="F4649" s="77" t="n"/>
      <c r="G4649" s="75" t="n"/>
      <c r="H4649" s="75">
        <f>IF(ISBLANK(E4649),"",IF(OR(D4649="Butterfly",D4649="Butterfly ",D4649="Iron Fly", D4649="Iron Fly "),LEN(E4649)-LEN(SUBSTITUTE(E4649,"/",""))+2,LEN(E4649)-LEN(SUBSTITUTE(E4649,"/",""))+1))</f>
        <v/>
      </c>
      <c r="I4649" s="78">
        <f>IF(ISBLANK(G4649),"",IF(D4649="Stock","0",Key!$A$3*H4649*G4649))</f>
        <v/>
      </c>
      <c r="J4649" s="78">
        <f>IF(ISBLANK(E4649),"",IF(ISNUMBER(SEARCH("/",E4649)), IF(LEN(E4649)-LEN(SUBSTITUTE(E4649,"/",""))=1,(RIGHT(E4649,LEN(E4649)-FIND("/",E4649)))-(LEFT(E4649,FIND("/",E4649)-1)),(MID(E4649, SEARCH("/",E4649) + 1, SEARCH("/",E4649, SEARCH("/",E4649)+1) - SEARCH("/",E4649) - 1))-(LEFT(E4649,FIND("/",E4649)-1))), "NA"))</f>
        <v/>
      </c>
      <c r="K4649" s="79">
        <f>IF(A4649&lt;&gt;"", IF(ISBLANK(L4649), TODAY(), K4649), "")</f>
        <v/>
      </c>
      <c r="L4649" s="78" t="n"/>
      <c r="M4649" s="78">
        <f>IF(ISBLANK(L4649),"",IF(D4649="Stock",IF(C4649="Buy",L4649*G4649,IF(C4649="Sell",(L4649*G4649)-I4649, X)),IF(C4649="Buy",(L4649*G4649*100)+I4649,IF(C4649="Sell",(L4649*G4649*100)-I4649, X))))</f>
        <v/>
      </c>
      <c r="N4649" s="78">
        <f>IF(ISBLANK(L4649),"",IF(AND(C4649="Sell",D4649="Stock"),M4649,IF(ISBLANK(L4649),"",IF(C4649="Buy",M4649, IF(AND(C4649="Sell",J4649="NA"),(E4649*G4649*100*0.1)+I4649, IF(C4649="Sell",(J4649-L4649)*(100*G4649)+I4649))))))</f>
        <v/>
      </c>
      <c r="O4649" s="75" t="n"/>
      <c r="P4649" s="75" t="n"/>
      <c r="Q4649" s="75">
        <f>IF(ISBLANK(P4649),"",IF(D4649="Stock",P4649*G4649,IF(P4649=0,"0",G4649*P4649*100-(G4649*$AF$14))))</f>
        <v/>
      </c>
      <c r="R4649" s="79">
        <f>IF(P4649&lt;&gt;"", TODAY(), "")</f>
        <v/>
      </c>
      <c r="S4649" s="78">
        <f>IF(AND(K4649&lt;&gt;"", R4649&lt;&gt;""), R4649-K4649, "")</f>
        <v/>
      </c>
      <c r="T4649" s="78" t="n"/>
      <c r="U4649" s="92">
        <f>IF(ISBLANK(P4649),"",IF(C4649="Buy",Q4649-M4649+T4649, IF(C4649="Sell",M4649-Q4649-T4649, X)))</f>
        <v/>
      </c>
      <c r="V4649" s="81">
        <f>IF(ISBLANK(P4649),"",U4649/N4649)</f>
        <v/>
      </c>
      <c r="W4649" s="81">
        <f>IF(ISBLANK(P4649),"",IF(S4649=0,(365/0.5)*V4649,(365/S4649)*V4649))</f>
        <v/>
      </c>
      <c r="X4649" s="75" t="n"/>
      <c r="Y4649" s="77" t="n"/>
      <c r="Z4649" s="77" t="n"/>
      <c r="AA4649" s="75" t="n"/>
      <c r="AB4649" s="75" t="n"/>
      <c r="AC4649" s="6" t="n"/>
      <c r="AD4649" s="75" t="n"/>
      <c r="AE4649" s="75" t="n"/>
      <c r="AF4649" s="75" t="n"/>
    </row>
    <row r="4650" ht="15.75" customHeight="1" s="133">
      <c r="A4650" s="75" t="n"/>
      <c r="B4650" s="75" t="n"/>
      <c r="C4650" s="75" t="n"/>
      <c r="D4650" s="75" t="n"/>
      <c r="E4650" s="76" t="n"/>
      <c r="F4650" s="77" t="n"/>
      <c r="G4650" s="75" t="n"/>
      <c r="H4650" s="75">
        <f>IF(ISBLANK(E4650),"",IF(OR(D4650="Butterfly",D4650="Butterfly ",D4650="Iron Fly", D4650="Iron Fly "),LEN(E4650)-LEN(SUBSTITUTE(E4650,"/",""))+2,LEN(E4650)-LEN(SUBSTITUTE(E4650,"/",""))+1))</f>
        <v/>
      </c>
      <c r="I4650" s="78">
        <f>IF(ISBLANK(G4650),"",IF(D4650="Stock","0",Key!$A$3*H4650*G4650))</f>
        <v/>
      </c>
      <c r="J4650" s="78">
        <f>IF(ISBLANK(E4650),"",IF(ISNUMBER(SEARCH("/",E4650)), IF(LEN(E4650)-LEN(SUBSTITUTE(E4650,"/",""))=1,(RIGHT(E4650,LEN(E4650)-FIND("/",E4650)))-(LEFT(E4650,FIND("/",E4650)-1)),(MID(E4650, SEARCH("/",E4650) + 1, SEARCH("/",E4650, SEARCH("/",E4650)+1) - SEARCH("/",E4650) - 1))-(LEFT(E4650,FIND("/",E4650)-1))), "NA"))</f>
        <v/>
      </c>
      <c r="K4650" s="79">
        <f>IF(A4650&lt;&gt;"", IF(ISBLANK(L4650), TODAY(), K4650), "")</f>
        <v/>
      </c>
      <c r="L4650" s="78" t="n"/>
      <c r="M4650" s="78">
        <f>IF(ISBLANK(L4650),"",IF(D4650="Stock",IF(C4650="Buy",L4650*G4650,IF(C4650="Sell",(L4650*G4650)-I4650, X)),IF(C4650="Buy",(L4650*G4650*100)+I4650,IF(C4650="Sell",(L4650*G4650*100)-I4650, X))))</f>
        <v/>
      </c>
      <c r="N4650" s="78">
        <f>IF(ISBLANK(L4650),"",IF(AND(C4650="Sell",D4650="Stock"),M4650,IF(ISBLANK(L4650),"",IF(C4650="Buy",M4650, IF(AND(C4650="Sell",J4650="NA"),(E4650*G4650*100*0.1)+I4650, IF(C4650="Sell",(J4650-L4650)*(100*G4650)+I4650))))))</f>
        <v/>
      </c>
      <c r="O4650" s="75" t="n"/>
      <c r="P4650" s="75" t="n"/>
      <c r="Q4650" s="75">
        <f>IF(ISBLANK(P4650),"",IF(D4650="Stock",P4650*G4650,IF(P4650=0,"0",G4650*P4650*100-(G4650*$AF$14))))</f>
        <v/>
      </c>
      <c r="R4650" s="79">
        <f>IF(P4650&lt;&gt;"", TODAY(), "")</f>
        <v/>
      </c>
      <c r="S4650" s="78">
        <f>IF(AND(K4650&lt;&gt;"", R4650&lt;&gt;""), R4650-K4650, "")</f>
        <v/>
      </c>
      <c r="T4650" s="78" t="n"/>
      <c r="U4650" s="92">
        <f>IF(ISBLANK(P4650),"",IF(C4650="Buy",Q4650-M4650+T4650, IF(C4650="Sell",M4650-Q4650-T4650, X)))</f>
        <v/>
      </c>
      <c r="V4650" s="81">
        <f>IF(ISBLANK(P4650),"",U4650/N4650)</f>
        <v/>
      </c>
      <c r="W4650" s="81">
        <f>IF(ISBLANK(P4650),"",IF(S4650=0,(365/0.5)*V4650,(365/S4650)*V4650))</f>
        <v/>
      </c>
      <c r="X4650" s="75" t="n"/>
      <c r="Y4650" s="77" t="n"/>
      <c r="Z4650" s="77" t="n"/>
      <c r="AA4650" s="75" t="n"/>
      <c r="AB4650" s="75" t="n"/>
      <c r="AC4650" s="6" t="n"/>
      <c r="AD4650" s="75" t="n"/>
      <c r="AE4650" s="75" t="n"/>
      <c r="AF4650" s="75" t="n"/>
    </row>
    <row r="4651" ht="15.75" customHeight="1" s="133">
      <c r="A4651" s="75" t="n"/>
      <c r="B4651" s="75" t="n"/>
      <c r="C4651" s="75" t="n"/>
      <c r="D4651" s="75" t="n"/>
      <c r="E4651" s="76" t="n"/>
      <c r="F4651" s="77" t="n"/>
      <c r="G4651" s="75" t="n"/>
      <c r="H4651" s="75">
        <f>IF(ISBLANK(E4651),"",IF(OR(D4651="Butterfly",D4651="Butterfly ",D4651="Iron Fly", D4651="Iron Fly "),LEN(E4651)-LEN(SUBSTITUTE(E4651,"/",""))+2,LEN(E4651)-LEN(SUBSTITUTE(E4651,"/",""))+1))</f>
        <v/>
      </c>
      <c r="I4651" s="78">
        <f>IF(ISBLANK(G4651),"",IF(D4651="Stock","0",Key!$A$3*H4651*G4651))</f>
        <v/>
      </c>
      <c r="J4651" s="78">
        <f>IF(ISBLANK(E4651),"",IF(ISNUMBER(SEARCH("/",E4651)), IF(LEN(E4651)-LEN(SUBSTITUTE(E4651,"/",""))=1,(RIGHT(E4651,LEN(E4651)-FIND("/",E4651)))-(LEFT(E4651,FIND("/",E4651)-1)),(MID(E4651, SEARCH("/",E4651) + 1, SEARCH("/",E4651, SEARCH("/",E4651)+1) - SEARCH("/",E4651) - 1))-(LEFT(E4651,FIND("/",E4651)-1))), "NA"))</f>
        <v/>
      </c>
      <c r="K4651" s="79">
        <f>IF(A4651&lt;&gt;"", IF(ISBLANK(L4651), TODAY(), K4651), "")</f>
        <v/>
      </c>
      <c r="L4651" s="78" t="n"/>
      <c r="M4651" s="78">
        <f>IF(ISBLANK(L4651),"",IF(D4651="Stock",IF(C4651="Buy",L4651*G4651,IF(C4651="Sell",(L4651*G4651)-I4651, X)),IF(C4651="Buy",(L4651*G4651*100)+I4651,IF(C4651="Sell",(L4651*G4651*100)-I4651, X))))</f>
        <v/>
      </c>
      <c r="N4651" s="78">
        <f>IF(ISBLANK(L4651),"",IF(AND(C4651="Sell",D4651="Stock"),M4651,IF(ISBLANK(L4651),"",IF(C4651="Buy",M4651, IF(AND(C4651="Sell",J4651="NA"),(E4651*G4651*100*0.1)+I4651, IF(C4651="Sell",(J4651-L4651)*(100*G4651)+I4651))))))</f>
        <v/>
      </c>
      <c r="O4651" s="75" t="n"/>
      <c r="P4651" s="75" t="n"/>
      <c r="Q4651" s="75">
        <f>IF(ISBLANK(P4651),"",IF(D4651="Stock",P4651*G4651,IF(P4651=0,"0",G4651*P4651*100-(G4651*$AF$14))))</f>
        <v/>
      </c>
      <c r="R4651" s="79">
        <f>IF(P4651&lt;&gt;"", TODAY(), "")</f>
        <v/>
      </c>
      <c r="S4651" s="78">
        <f>IF(AND(K4651&lt;&gt;"", R4651&lt;&gt;""), R4651-K4651, "")</f>
        <v/>
      </c>
      <c r="T4651" s="78" t="n"/>
      <c r="U4651" s="92">
        <f>IF(ISBLANK(P4651),"",IF(C4651="Buy",Q4651-M4651+T4651, IF(C4651="Sell",M4651-Q4651-T4651, X)))</f>
        <v/>
      </c>
      <c r="V4651" s="81">
        <f>IF(ISBLANK(P4651),"",U4651/N4651)</f>
        <v/>
      </c>
      <c r="W4651" s="81">
        <f>IF(ISBLANK(P4651),"",IF(S4651=0,(365/0.5)*V4651,(365/S4651)*V4651))</f>
        <v/>
      </c>
      <c r="X4651" s="75" t="n"/>
      <c r="Y4651" s="77" t="n"/>
      <c r="Z4651" s="77" t="n"/>
      <c r="AA4651" s="75" t="n"/>
      <c r="AB4651" s="75" t="n"/>
      <c r="AC4651" s="6" t="n"/>
      <c r="AD4651" s="75" t="n"/>
      <c r="AE4651" s="75" t="n"/>
      <c r="AF4651" s="75" t="n"/>
    </row>
    <row r="4652" ht="15.75" customHeight="1" s="133">
      <c r="A4652" s="75" t="n"/>
      <c r="B4652" s="75" t="n"/>
      <c r="C4652" s="75" t="n"/>
      <c r="D4652" s="75" t="n"/>
      <c r="E4652" s="76" t="n"/>
      <c r="F4652" s="77" t="n"/>
      <c r="G4652" s="75" t="n"/>
      <c r="H4652" s="75">
        <f>IF(ISBLANK(E4652),"",IF(OR(D4652="Butterfly",D4652="Butterfly ",D4652="Iron Fly", D4652="Iron Fly "),LEN(E4652)-LEN(SUBSTITUTE(E4652,"/",""))+2,LEN(E4652)-LEN(SUBSTITUTE(E4652,"/",""))+1))</f>
        <v/>
      </c>
      <c r="I4652" s="78">
        <f>IF(ISBLANK(G4652),"",IF(D4652="Stock","0",Key!$A$3*H4652*G4652))</f>
        <v/>
      </c>
      <c r="J4652" s="78">
        <f>IF(ISBLANK(E4652),"",IF(ISNUMBER(SEARCH("/",E4652)), IF(LEN(E4652)-LEN(SUBSTITUTE(E4652,"/",""))=1,(RIGHT(E4652,LEN(E4652)-FIND("/",E4652)))-(LEFT(E4652,FIND("/",E4652)-1)),(MID(E4652, SEARCH("/",E4652) + 1, SEARCH("/",E4652, SEARCH("/",E4652)+1) - SEARCH("/",E4652) - 1))-(LEFT(E4652,FIND("/",E4652)-1))), "NA"))</f>
        <v/>
      </c>
      <c r="K4652" s="79">
        <f>IF(A4652&lt;&gt;"", IF(ISBLANK(L4652), TODAY(), K4652), "")</f>
        <v/>
      </c>
      <c r="L4652" s="78" t="n"/>
      <c r="M4652" s="78">
        <f>IF(ISBLANK(L4652),"",IF(D4652="Stock",IF(C4652="Buy",L4652*G4652,IF(C4652="Sell",(L4652*G4652)-I4652, X)),IF(C4652="Buy",(L4652*G4652*100)+I4652,IF(C4652="Sell",(L4652*G4652*100)-I4652, X))))</f>
        <v/>
      </c>
      <c r="N4652" s="78">
        <f>IF(ISBLANK(L4652),"",IF(AND(C4652="Sell",D4652="Stock"),M4652,IF(ISBLANK(L4652),"",IF(C4652="Buy",M4652, IF(AND(C4652="Sell",J4652="NA"),(E4652*G4652*100*0.1)+I4652, IF(C4652="Sell",(J4652-L4652)*(100*G4652)+I4652))))))</f>
        <v/>
      </c>
      <c r="O4652" s="75" t="n"/>
      <c r="P4652" s="75" t="n"/>
      <c r="Q4652" s="75">
        <f>IF(ISBLANK(P4652),"",IF(D4652="Stock",P4652*G4652,IF(P4652=0,"0",G4652*P4652*100-(G4652*$AF$14))))</f>
        <v/>
      </c>
      <c r="R4652" s="79">
        <f>IF(P4652&lt;&gt;"", TODAY(), "")</f>
        <v/>
      </c>
      <c r="S4652" s="78">
        <f>IF(AND(K4652&lt;&gt;"", R4652&lt;&gt;""), R4652-K4652, "")</f>
        <v/>
      </c>
      <c r="T4652" s="78" t="n"/>
      <c r="U4652" s="92">
        <f>IF(ISBLANK(P4652),"",IF(C4652="Buy",Q4652-M4652+T4652, IF(C4652="Sell",M4652-Q4652-T4652, X)))</f>
        <v/>
      </c>
      <c r="V4652" s="81">
        <f>IF(ISBLANK(P4652),"",U4652/N4652)</f>
        <v/>
      </c>
      <c r="W4652" s="81">
        <f>IF(ISBLANK(P4652),"",IF(S4652=0,(365/0.5)*V4652,(365/S4652)*V4652))</f>
        <v/>
      </c>
      <c r="X4652" s="75" t="n"/>
      <c r="Y4652" s="77" t="n"/>
      <c r="Z4652" s="77" t="n"/>
      <c r="AA4652" s="75" t="n"/>
      <c r="AB4652" s="75" t="n"/>
      <c r="AC4652" s="6" t="n"/>
      <c r="AD4652" s="75" t="n"/>
      <c r="AE4652" s="75" t="n"/>
      <c r="AF4652" s="75" t="n"/>
    </row>
    <row r="4653" ht="15.75" customHeight="1" s="133">
      <c r="A4653" s="75" t="n"/>
      <c r="B4653" s="75" t="n"/>
      <c r="C4653" s="75" t="n"/>
      <c r="D4653" s="75" t="n"/>
      <c r="E4653" s="76" t="n"/>
      <c r="F4653" s="77" t="n"/>
      <c r="G4653" s="75" t="n"/>
      <c r="H4653" s="75">
        <f>IF(ISBLANK(E4653),"",IF(OR(D4653="Butterfly",D4653="Butterfly ",D4653="Iron Fly", D4653="Iron Fly "),LEN(E4653)-LEN(SUBSTITUTE(E4653,"/",""))+2,LEN(E4653)-LEN(SUBSTITUTE(E4653,"/",""))+1))</f>
        <v/>
      </c>
      <c r="I4653" s="78">
        <f>IF(ISBLANK(G4653),"",IF(D4653="Stock","0",Key!$A$3*H4653*G4653))</f>
        <v/>
      </c>
      <c r="J4653" s="78">
        <f>IF(ISBLANK(E4653),"",IF(ISNUMBER(SEARCH("/",E4653)), IF(LEN(E4653)-LEN(SUBSTITUTE(E4653,"/",""))=1,(RIGHT(E4653,LEN(E4653)-FIND("/",E4653)))-(LEFT(E4653,FIND("/",E4653)-1)),(MID(E4653, SEARCH("/",E4653) + 1, SEARCH("/",E4653, SEARCH("/",E4653)+1) - SEARCH("/",E4653) - 1))-(LEFT(E4653,FIND("/",E4653)-1))), "NA"))</f>
        <v/>
      </c>
      <c r="K4653" s="79">
        <f>IF(A4653&lt;&gt;"", IF(ISBLANK(L4653), TODAY(), K4653), "")</f>
        <v/>
      </c>
      <c r="L4653" s="78" t="n"/>
      <c r="M4653" s="78">
        <f>IF(ISBLANK(L4653),"",IF(D4653="Stock",IF(C4653="Buy",L4653*G4653,IF(C4653="Sell",(L4653*G4653)-I4653, X)),IF(C4653="Buy",(L4653*G4653*100)+I4653,IF(C4653="Sell",(L4653*G4653*100)-I4653, X))))</f>
        <v/>
      </c>
      <c r="N4653" s="78">
        <f>IF(ISBLANK(L4653),"",IF(AND(C4653="Sell",D4653="Stock"),M4653,IF(ISBLANK(L4653),"",IF(C4653="Buy",M4653, IF(AND(C4653="Sell",J4653="NA"),(E4653*G4653*100*0.1)+I4653, IF(C4653="Sell",(J4653-L4653)*(100*G4653)+I4653))))))</f>
        <v/>
      </c>
      <c r="O4653" s="75" t="n"/>
      <c r="P4653" s="75" t="n"/>
      <c r="Q4653" s="75">
        <f>IF(ISBLANK(P4653),"",IF(D4653="Stock",P4653*G4653,IF(P4653=0,"0",G4653*P4653*100-(G4653*$AF$14))))</f>
        <v/>
      </c>
      <c r="R4653" s="79">
        <f>IF(P4653&lt;&gt;"", TODAY(), "")</f>
        <v/>
      </c>
      <c r="S4653" s="78">
        <f>IF(AND(K4653&lt;&gt;"", R4653&lt;&gt;""), R4653-K4653, "")</f>
        <v/>
      </c>
      <c r="T4653" s="78" t="n"/>
      <c r="U4653" s="92">
        <f>IF(ISBLANK(P4653),"",IF(C4653="Buy",Q4653-M4653+T4653, IF(C4653="Sell",M4653-Q4653-T4653, X)))</f>
        <v/>
      </c>
      <c r="V4653" s="81">
        <f>IF(ISBLANK(P4653),"",U4653/N4653)</f>
        <v/>
      </c>
      <c r="W4653" s="81">
        <f>IF(ISBLANK(P4653),"",IF(S4653=0,(365/0.5)*V4653,(365/S4653)*V4653))</f>
        <v/>
      </c>
      <c r="X4653" s="75" t="n"/>
      <c r="Y4653" s="77" t="n"/>
      <c r="Z4653" s="77" t="n"/>
      <c r="AA4653" s="75" t="n"/>
      <c r="AB4653" s="75" t="n"/>
      <c r="AC4653" s="6" t="n"/>
      <c r="AD4653" s="75" t="n"/>
      <c r="AE4653" s="75" t="n"/>
      <c r="AF4653" s="75" t="n"/>
    </row>
    <row r="4654" ht="15.75" customHeight="1" s="133">
      <c r="A4654" s="75" t="n"/>
      <c r="B4654" s="75" t="n"/>
      <c r="C4654" s="75" t="n"/>
      <c r="D4654" s="75" t="n"/>
      <c r="E4654" s="76" t="n"/>
      <c r="F4654" s="77" t="n"/>
      <c r="G4654" s="75" t="n"/>
      <c r="H4654" s="75">
        <f>IF(ISBLANK(E4654),"",IF(OR(D4654="Butterfly",D4654="Butterfly ",D4654="Iron Fly", D4654="Iron Fly "),LEN(E4654)-LEN(SUBSTITUTE(E4654,"/",""))+2,LEN(E4654)-LEN(SUBSTITUTE(E4654,"/",""))+1))</f>
        <v/>
      </c>
      <c r="I4654" s="78">
        <f>IF(ISBLANK(G4654),"",IF(D4654="Stock","0",Key!$A$3*H4654*G4654))</f>
        <v/>
      </c>
      <c r="J4654" s="78">
        <f>IF(ISBLANK(E4654),"",IF(ISNUMBER(SEARCH("/",E4654)), IF(LEN(E4654)-LEN(SUBSTITUTE(E4654,"/",""))=1,(RIGHT(E4654,LEN(E4654)-FIND("/",E4654)))-(LEFT(E4654,FIND("/",E4654)-1)),(MID(E4654, SEARCH("/",E4654) + 1, SEARCH("/",E4654, SEARCH("/",E4654)+1) - SEARCH("/",E4654) - 1))-(LEFT(E4654,FIND("/",E4654)-1))), "NA"))</f>
        <v/>
      </c>
      <c r="K4654" s="79">
        <f>IF(A4654&lt;&gt;"", IF(ISBLANK(L4654), TODAY(), K4654), "")</f>
        <v/>
      </c>
      <c r="L4654" s="78" t="n"/>
      <c r="M4654" s="78">
        <f>IF(ISBLANK(L4654),"",IF(D4654="Stock",IF(C4654="Buy",L4654*G4654,IF(C4654="Sell",(L4654*G4654)-I4654, X)),IF(C4654="Buy",(L4654*G4654*100)+I4654,IF(C4654="Sell",(L4654*G4654*100)-I4654, X))))</f>
        <v/>
      </c>
      <c r="N4654" s="78">
        <f>IF(ISBLANK(L4654),"",IF(AND(C4654="Sell",D4654="Stock"),M4654,IF(ISBLANK(L4654),"",IF(C4654="Buy",M4654, IF(AND(C4654="Sell",J4654="NA"),(E4654*G4654*100*0.1)+I4654, IF(C4654="Sell",(J4654-L4654)*(100*G4654)+I4654))))))</f>
        <v/>
      </c>
      <c r="O4654" s="75" t="n"/>
      <c r="P4654" s="75" t="n"/>
      <c r="Q4654" s="75">
        <f>IF(ISBLANK(P4654),"",IF(D4654="Stock",P4654*G4654,IF(P4654=0,"0",G4654*P4654*100-(G4654*$AF$14))))</f>
        <v/>
      </c>
      <c r="R4654" s="79">
        <f>IF(P4654&lt;&gt;"", TODAY(), "")</f>
        <v/>
      </c>
      <c r="S4654" s="78">
        <f>IF(AND(K4654&lt;&gt;"", R4654&lt;&gt;""), R4654-K4654, "")</f>
        <v/>
      </c>
      <c r="T4654" s="78" t="n"/>
      <c r="U4654" s="92">
        <f>IF(ISBLANK(P4654),"",IF(C4654="Buy",Q4654-M4654+T4654, IF(C4654="Sell",M4654-Q4654-T4654, X)))</f>
        <v/>
      </c>
      <c r="V4654" s="81">
        <f>IF(ISBLANK(P4654),"",U4654/N4654)</f>
        <v/>
      </c>
      <c r="W4654" s="81">
        <f>IF(ISBLANK(P4654),"",IF(S4654=0,(365/0.5)*V4654,(365/S4654)*V4654))</f>
        <v/>
      </c>
      <c r="X4654" s="75" t="n"/>
      <c r="Y4654" s="77" t="n"/>
      <c r="Z4654" s="77" t="n"/>
      <c r="AA4654" s="75" t="n"/>
      <c r="AB4654" s="75" t="n"/>
      <c r="AC4654" s="6" t="n"/>
      <c r="AD4654" s="75" t="n"/>
      <c r="AE4654" s="75" t="n"/>
      <c r="AF4654" s="75" t="n"/>
    </row>
    <row r="4655" ht="15.75" customHeight="1" s="133">
      <c r="A4655" s="75" t="n"/>
      <c r="B4655" s="75" t="n"/>
      <c r="C4655" s="75" t="n"/>
      <c r="D4655" s="75" t="n"/>
      <c r="E4655" s="76" t="n"/>
      <c r="F4655" s="77" t="n"/>
      <c r="G4655" s="75" t="n"/>
      <c r="H4655" s="75">
        <f>IF(ISBLANK(E4655),"",IF(OR(D4655="Butterfly",D4655="Butterfly ",D4655="Iron Fly", D4655="Iron Fly "),LEN(E4655)-LEN(SUBSTITUTE(E4655,"/",""))+2,LEN(E4655)-LEN(SUBSTITUTE(E4655,"/",""))+1))</f>
        <v/>
      </c>
      <c r="I4655" s="78">
        <f>IF(ISBLANK(G4655),"",IF(D4655="Stock","0",Key!$A$3*H4655*G4655))</f>
        <v/>
      </c>
      <c r="J4655" s="78">
        <f>IF(ISBLANK(E4655),"",IF(ISNUMBER(SEARCH("/",E4655)), IF(LEN(E4655)-LEN(SUBSTITUTE(E4655,"/",""))=1,(RIGHT(E4655,LEN(E4655)-FIND("/",E4655)))-(LEFT(E4655,FIND("/",E4655)-1)),(MID(E4655, SEARCH("/",E4655) + 1, SEARCH("/",E4655, SEARCH("/",E4655)+1) - SEARCH("/",E4655) - 1))-(LEFT(E4655,FIND("/",E4655)-1))), "NA"))</f>
        <v/>
      </c>
      <c r="K4655" s="79">
        <f>IF(A4655&lt;&gt;"", IF(ISBLANK(L4655), TODAY(), K4655), "")</f>
        <v/>
      </c>
      <c r="L4655" s="78" t="n"/>
      <c r="M4655" s="78">
        <f>IF(ISBLANK(L4655),"",IF(D4655="Stock",IF(C4655="Buy",L4655*G4655,IF(C4655="Sell",(L4655*G4655)-I4655, X)),IF(C4655="Buy",(L4655*G4655*100)+I4655,IF(C4655="Sell",(L4655*G4655*100)-I4655, X))))</f>
        <v/>
      </c>
      <c r="N4655" s="78">
        <f>IF(ISBLANK(L4655),"",IF(AND(C4655="Sell",D4655="Stock"),M4655,IF(ISBLANK(L4655),"",IF(C4655="Buy",M4655, IF(AND(C4655="Sell",J4655="NA"),(E4655*G4655*100*0.1)+I4655, IF(C4655="Sell",(J4655-L4655)*(100*G4655)+I4655))))))</f>
        <v/>
      </c>
      <c r="O4655" s="75" t="n"/>
      <c r="P4655" s="75" t="n"/>
      <c r="Q4655" s="75">
        <f>IF(ISBLANK(P4655),"",IF(D4655="Stock",P4655*G4655,IF(P4655=0,"0",G4655*P4655*100-(G4655*$AF$14))))</f>
        <v/>
      </c>
      <c r="R4655" s="79">
        <f>IF(P4655&lt;&gt;"", TODAY(), "")</f>
        <v/>
      </c>
      <c r="S4655" s="78">
        <f>IF(AND(K4655&lt;&gt;"", R4655&lt;&gt;""), R4655-K4655, "")</f>
        <v/>
      </c>
      <c r="T4655" s="78" t="n"/>
      <c r="U4655" s="92">
        <f>IF(ISBLANK(P4655),"",IF(C4655="Buy",Q4655-M4655+T4655, IF(C4655="Sell",M4655-Q4655-T4655, X)))</f>
        <v/>
      </c>
      <c r="V4655" s="81">
        <f>IF(ISBLANK(P4655),"",U4655/N4655)</f>
        <v/>
      </c>
      <c r="W4655" s="81">
        <f>IF(ISBLANK(P4655),"",IF(S4655=0,(365/0.5)*V4655,(365/S4655)*V4655))</f>
        <v/>
      </c>
      <c r="X4655" s="75" t="n"/>
      <c r="Y4655" s="77" t="n"/>
      <c r="Z4655" s="77" t="n"/>
      <c r="AA4655" s="75" t="n"/>
      <c r="AB4655" s="75" t="n"/>
      <c r="AC4655" s="6" t="n"/>
      <c r="AD4655" s="75" t="n"/>
      <c r="AE4655" s="75" t="n"/>
      <c r="AF4655" s="75" t="n"/>
    </row>
    <row r="4656" ht="15.75" customHeight="1" s="133">
      <c r="A4656" s="75" t="n"/>
      <c r="B4656" s="75" t="n"/>
      <c r="C4656" s="75" t="n"/>
      <c r="D4656" s="75" t="n"/>
      <c r="E4656" s="76" t="n"/>
      <c r="F4656" s="77" t="n"/>
      <c r="G4656" s="75" t="n"/>
      <c r="H4656" s="75">
        <f>IF(ISBLANK(E4656),"",IF(OR(D4656="Butterfly",D4656="Butterfly ",D4656="Iron Fly", D4656="Iron Fly "),LEN(E4656)-LEN(SUBSTITUTE(E4656,"/",""))+2,LEN(E4656)-LEN(SUBSTITUTE(E4656,"/",""))+1))</f>
        <v/>
      </c>
      <c r="I4656" s="78">
        <f>IF(ISBLANK(G4656),"",IF(D4656="Stock","0",Key!$A$3*H4656*G4656))</f>
        <v/>
      </c>
      <c r="J4656" s="78">
        <f>IF(ISBLANK(E4656),"",IF(ISNUMBER(SEARCH("/",E4656)), IF(LEN(E4656)-LEN(SUBSTITUTE(E4656,"/",""))=1,(RIGHT(E4656,LEN(E4656)-FIND("/",E4656)))-(LEFT(E4656,FIND("/",E4656)-1)),(MID(E4656, SEARCH("/",E4656) + 1, SEARCH("/",E4656, SEARCH("/",E4656)+1) - SEARCH("/",E4656) - 1))-(LEFT(E4656,FIND("/",E4656)-1))), "NA"))</f>
        <v/>
      </c>
      <c r="K4656" s="79">
        <f>IF(A4656&lt;&gt;"", IF(ISBLANK(L4656), TODAY(), K4656), "")</f>
        <v/>
      </c>
      <c r="L4656" s="78" t="n"/>
      <c r="M4656" s="78">
        <f>IF(ISBLANK(L4656),"",IF(D4656="Stock",IF(C4656="Buy",L4656*G4656,IF(C4656="Sell",(L4656*G4656)-I4656, X)),IF(C4656="Buy",(L4656*G4656*100)+I4656,IF(C4656="Sell",(L4656*G4656*100)-I4656, X))))</f>
        <v/>
      </c>
      <c r="N4656" s="78">
        <f>IF(ISBLANK(L4656),"",IF(AND(C4656="Sell",D4656="Stock"),M4656,IF(ISBLANK(L4656),"",IF(C4656="Buy",M4656, IF(AND(C4656="Sell",J4656="NA"),(E4656*G4656*100*0.1)+I4656, IF(C4656="Sell",(J4656-L4656)*(100*G4656)+I4656))))))</f>
        <v/>
      </c>
      <c r="O4656" s="75" t="n"/>
      <c r="P4656" s="75" t="n"/>
      <c r="Q4656" s="75">
        <f>IF(ISBLANK(P4656),"",IF(D4656="Stock",P4656*G4656,IF(P4656=0,"0",G4656*P4656*100-(G4656*$AF$14))))</f>
        <v/>
      </c>
      <c r="R4656" s="79">
        <f>IF(P4656&lt;&gt;"", TODAY(), "")</f>
        <v/>
      </c>
      <c r="S4656" s="78">
        <f>IF(AND(K4656&lt;&gt;"", R4656&lt;&gt;""), R4656-K4656, "")</f>
        <v/>
      </c>
      <c r="T4656" s="78" t="n"/>
      <c r="U4656" s="92">
        <f>IF(ISBLANK(P4656),"",IF(C4656="Buy",Q4656-M4656+T4656, IF(C4656="Sell",M4656-Q4656-T4656, X)))</f>
        <v/>
      </c>
      <c r="V4656" s="81">
        <f>IF(ISBLANK(P4656),"",U4656/N4656)</f>
        <v/>
      </c>
      <c r="W4656" s="81">
        <f>IF(ISBLANK(P4656),"",IF(S4656=0,(365/0.5)*V4656,(365/S4656)*V4656))</f>
        <v/>
      </c>
      <c r="X4656" s="75" t="n"/>
      <c r="Y4656" s="77" t="n"/>
      <c r="Z4656" s="77" t="n"/>
      <c r="AA4656" s="75" t="n"/>
      <c r="AB4656" s="75" t="n"/>
      <c r="AC4656" s="6" t="n"/>
      <c r="AD4656" s="75" t="n"/>
      <c r="AE4656" s="75" t="n"/>
      <c r="AF4656" s="75" t="n"/>
    </row>
    <row r="4657" ht="15.75" customHeight="1" s="133">
      <c r="A4657" s="75" t="n"/>
      <c r="B4657" s="75" t="n"/>
      <c r="C4657" s="75" t="n"/>
      <c r="D4657" s="75" t="n"/>
      <c r="E4657" s="76" t="n"/>
      <c r="F4657" s="77" t="n"/>
      <c r="G4657" s="75" t="n"/>
      <c r="H4657" s="75">
        <f>IF(ISBLANK(E4657),"",IF(OR(D4657="Butterfly",D4657="Butterfly ",D4657="Iron Fly", D4657="Iron Fly "),LEN(E4657)-LEN(SUBSTITUTE(E4657,"/",""))+2,LEN(E4657)-LEN(SUBSTITUTE(E4657,"/",""))+1))</f>
        <v/>
      </c>
      <c r="I4657" s="78">
        <f>IF(ISBLANK(G4657),"",IF(D4657="Stock","0",Key!$A$3*H4657*G4657))</f>
        <v/>
      </c>
      <c r="J4657" s="78">
        <f>IF(ISBLANK(E4657),"",IF(ISNUMBER(SEARCH("/",E4657)), IF(LEN(E4657)-LEN(SUBSTITUTE(E4657,"/",""))=1,(RIGHT(E4657,LEN(E4657)-FIND("/",E4657)))-(LEFT(E4657,FIND("/",E4657)-1)),(MID(E4657, SEARCH("/",E4657) + 1, SEARCH("/",E4657, SEARCH("/",E4657)+1) - SEARCH("/",E4657) - 1))-(LEFT(E4657,FIND("/",E4657)-1))), "NA"))</f>
        <v/>
      </c>
      <c r="K4657" s="79">
        <f>IF(A4657&lt;&gt;"", IF(ISBLANK(L4657), TODAY(), K4657), "")</f>
        <v/>
      </c>
      <c r="L4657" s="78" t="n"/>
      <c r="M4657" s="78">
        <f>IF(ISBLANK(L4657),"",IF(D4657="Stock",IF(C4657="Buy",L4657*G4657,IF(C4657="Sell",(L4657*G4657)-I4657, X)),IF(C4657="Buy",(L4657*G4657*100)+I4657,IF(C4657="Sell",(L4657*G4657*100)-I4657, X))))</f>
        <v/>
      </c>
      <c r="N4657" s="78">
        <f>IF(ISBLANK(L4657),"",IF(AND(C4657="Sell",D4657="Stock"),M4657,IF(ISBLANK(L4657),"",IF(C4657="Buy",M4657, IF(AND(C4657="Sell",J4657="NA"),(E4657*G4657*100*0.1)+I4657, IF(C4657="Sell",(J4657-L4657)*(100*G4657)+I4657))))))</f>
        <v/>
      </c>
      <c r="O4657" s="75" t="n"/>
      <c r="P4657" s="75" t="n"/>
      <c r="Q4657" s="75">
        <f>IF(ISBLANK(P4657),"",IF(D4657="Stock",P4657*G4657,IF(P4657=0,"0",G4657*P4657*100-(G4657*$AF$14))))</f>
        <v/>
      </c>
      <c r="R4657" s="79">
        <f>IF(P4657&lt;&gt;"", TODAY(), "")</f>
        <v/>
      </c>
      <c r="S4657" s="78">
        <f>IF(AND(K4657&lt;&gt;"", R4657&lt;&gt;""), R4657-K4657, "")</f>
        <v/>
      </c>
      <c r="T4657" s="78" t="n"/>
      <c r="U4657" s="92">
        <f>IF(ISBLANK(P4657),"",IF(C4657="Buy",Q4657-M4657+T4657, IF(C4657="Sell",M4657-Q4657-T4657, X)))</f>
        <v/>
      </c>
      <c r="V4657" s="81">
        <f>IF(ISBLANK(P4657),"",U4657/N4657)</f>
        <v/>
      </c>
      <c r="W4657" s="81">
        <f>IF(ISBLANK(P4657),"",IF(S4657=0,(365/0.5)*V4657,(365/S4657)*V4657))</f>
        <v/>
      </c>
      <c r="X4657" s="75" t="n"/>
      <c r="Y4657" s="77" t="n"/>
      <c r="Z4657" s="77" t="n"/>
      <c r="AA4657" s="75" t="n"/>
      <c r="AB4657" s="75" t="n"/>
      <c r="AC4657" s="6" t="n"/>
      <c r="AD4657" s="75" t="n"/>
      <c r="AE4657" s="75" t="n"/>
      <c r="AF4657" s="75" t="n"/>
    </row>
    <row r="4658" ht="15.75" customHeight="1" s="133">
      <c r="A4658" s="75" t="n"/>
      <c r="B4658" s="75" t="n"/>
      <c r="C4658" s="75" t="n"/>
      <c r="D4658" s="75" t="n"/>
      <c r="E4658" s="76" t="n"/>
      <c r="F4658" s="77" t="n"/>
      <c r="G4658" s="75" t="n"/>
      <c r="H4658" s="75">
        <f>IF(ISBLANK(E4658),"",IF(OR(D4658="Butterfly",D4658="Butterfly ",D4658="Iron Fly", D4658="Iron Fly "),LEN(E4658)-LEN(SUBSTITUTE(E4658,"/",""))+2,LEN(E4658)-LEN(SUBSTITUTE(E4658,"/",""))+1))</f>
        <v/>
      </c>
      <c r="I4658" s="78">
        <f>IF(ISBLANK(G4658),"",IF(D4658="Stock","0",Key!$A$3*H4658*G4658))</f>
        <v/>
      </c>
      <c r="J4658" s="78">
        <f>IF(ISBLANK(E4658),"",IF(ISNUMBER(SEARCH("/",E4658)), IF(LEN(E4658)-LEN(SUBSTITUTE(E4658,"/",""))=1,(RIGHT(E4658,LEN(E4658)-FIND("/",E4658)))-(LEFT(E4658,FIND("/",E4658)-1)),(MID(E4658, SEARCH("/",E4658) + 1, SEARCH("/",E4658, SEARCH("/",E4658)+1) - SEARCH("/",E4658) - 1))-(LEFT(E4658,FIND("/",E4658)-1))), "NA"))</f>
        <v/>
      </c>
      <c r="K4658" s="79">
        <f>IF(A4658&lt;&gt;"", IF(ISBLANK(L4658), TODAY(), K4658), "")</f>
        <v/>
      </c>
      <c r="L4658" s="78" t="n"/>
      <c r="M4658" s="78">
        <f>IF(ISBLANK(L4658),"",IF(D4658="Stock",IF(C4658="Buy",L4658*G4658,IF(C4658="Sell",(L4658*G4658)-I4658, X)),IF(C4658="Buy",(L4658*G4658*100)+I4658,IF(C4658="Sell",(L4658*G4658*100)-I4658, X))))</f>
        <v/>
      </c>
      <c r="N4658" s="78">
        <f>IF(ISBLANK(L4658),"",IF(AND(C4658="Sell",D4658="Stock"),M4658,IF(ISBLANK(L4658),"",IF(C4658="Buy",M4658, IF(AND(C4658="Sell",J4658="NA"),(E4658*G4658*100*0.1)+I4658, IF(C4658="Sell",(J4658-L4658)*(100*G4658)+I4658))))))</f>
        <v/>
      </c>
      <c r="O4658" s="75" t="n"/>
      <c r="P4658" s="75" t="n"/>
      <c r="Q4658" s="75">
        <f>IF(ISBLANK(P4658),"",IF(D4658="Stock",P4658*G4658,IF(P4658=0,"0",G4658*P4658*100-(G4658*$AF$14))))</f>
        <v/>
      </c>
      <c r="R4658" s="79">
        <f>IF(P4658&lt;&gt;"", TODAY(), "")</f>
        <v/>
      </c>
      <c r="S4658" s="78">
        <f>IF(AND(K4658&lt;&gt;"", R4658&lt;&gt;""), R4658-K4658, "")</f>
        <v/>
      </c>
      <c r="T4658" s="78" t="n"/>
      <c r="U4658" s="92">
        <f>IF(ISBLANK(P4658),"",IF(C4658="Buy",Q4658-M4658+T4658, IF(C4658="Sell",M4658-Q4658-T4658, X)))</f>
        <v/>
      </c>
      <c r="V4658" s="81">
        <f>IF(ISBLANK(P4658),"",U4658/N4658)</f>
        <v/>
      </c>
      <c r="W4658" s="81">
        <f>IF(ISBLANK(P4658),"",IF(S4658=0,(365/0.5)*V4658,(365/S4658)*V4658))</f>
        <v/>
      </c>
      <c r="X4658" s="75" t="n"/>
      <c r="Y4658" s="77" t="n"/>
      <c r="Z4658" s="77" t="n"/>
      <c r="AA4658" s="75" t="n"/>
      <c r="AB4658" s="75" t="n"/>
      <c r="AC4658" s="6" t="n"/>
      <c r="AD4658" s="75" t="n"/>
      <c r="AE4658" s="75" t="n"/>
      <c r="AF4658" s="75" t="n"/>
    </row>
    <row r="4659" ht="15.75" customHeight="1" s="133">
      <c r="A4659" s="75" t="n"/>
      <c r="B4659" s="75" t="n"/>
      <c r="C4659" s="75" t="n"/>
      <c r="D4659" s="75" t="n"/>
      <c r="E4659" s="76" t="n"/>
      <c r="F4659" s="77" t="n"/>
      <c r="G4659" s="75" t="n"/>
      <c r="H4659" s="75">
        <f>IF(ISBLANK(E4659),"",IF(OR(D4659="Butterfly",D4659="Butterfly ",D4659="Iron Fly", D4659="Iron Fly "),LEN(E4659)-LEN(SUBSTITUTE(E4659,"/",""))+2,LEN(E4659)-LEN(SUBSTITUTE(E4659,"/",""))+1))</f>
        <v/>
      </c>
      <c r="I4659" s="78">
        <f>IF(ISBLANK(G4659),"",IF(D4659="Stock","0",Key!$A$3*H4659*G4659))</f>
        <v/>
      </c>
      <c r="J4659" s="78">
        <f>IF(ISBLANK(E4659),"",IF(ISNUMBER(SEARCH("/",E4659)), IF(LEN(E4659)-LEN(SUBSTITUTE(E4659,"/",""))=1,(RIGHT(E4659,LEN(E4659)-FIND("/",E4659)))-(LEFT(E4659,FIND("/",E4659)-1)),(MID(E4659, SEARCH("/",E4659) + 1, SEARCH("/",E4659, SEARCH("/",E4659)+1) - SEARCH("/",E4659) - 1))-(LEFT(E4659,FIND("/",E4659)-1))), "NA"))</f>
        <v/>
      </c>
      <c r="K4659" s="79">
        <f>IF(A4659&lt;&gt;"", IF(ISBLANK(L4659), TODAY(), K4659), "")</f>
        <v/>
      </c>
      <c r="L4659" s="78" t="n"/>
      <c r="M4659" s="78">
        <f>IF(ISBLANK(L4659),"",IF(D4659="Stock",IF(C4659="Buy",L4659*G4659,IF(C4659="Sell",(L4659*G4659)-I4659, X)),IF(C4659="Buy",(L4659*G4659*100)+I4659,IF(C4659="Sell",(L4659*G4659*100)-I4659, X))))</f>
        <v/>
      </c>
      <c r="N4659" s="78">
        <f>IF(ISBLANK(L4659),"",IF(AND(C4659="Sell",D4659="Stock"),M4659,IF(ISBLANK(L4659),"",IF(C4659="Buy",M4659, IF(AND(C4659="Sell",J4659="NA"),(E4659*G4659*100*0.1)+I4659, IF(C4659="Sell",(J4659-L4659)*(100*G4659)+I4659))))))</f>
        <v/>
      </c>
      <c r="O4659" s="75" t="n"/>
      <c r="P4659" s="75" t="n"/>
      <c r="Q4659" s="75">
        <f>IF(ISBLANK(P4659),"",IF(D4659="Stock",P4659*G4659,IF(P4659=0,"0",G4659*P4659*100-(G4659*$AF$14))))</f>
        <v/>
      </c>
      <c r="R4659" s="79">
        <f>IF(P4659&lt;&gt;"", TODAY(), "")</f>
        <v/>
      </c>
      <c r="S4659" s="78">
        <f>IF(AND(K4659&lt;&gt;"", R4659&lt;&gt;""), R4659-K4659, "")</f>
        <v/>
      </c>
      <c r="T4659" s="78" t="n"/>
      <c r="U4659" s="92">
        <f>IF(ISBLANK(P4659),"",IF(C4659="Buy",Q4659-M4659+T4659, IF(C4659="Sell",M4659-Q4659-T4659, X)))</f>
        <v/>
      </c>
      <c r="V4659" s="81">
        <f>IF(ISBLANK(P4659),"",U4659/N4659)</f>
        <v/>
      </c>
      <c r="W4659" s="81">
        <f>IF(ISBLANK(P4659),"",IF(S4659=0,(365/0.5)*V4659,(365/S4659)*V4659))</f>
        <v/>
      </c>
      <c r="X4659" s="75" t="n"/>
      <c r="Y4659" s="77" t="n"/>
      <c r="Z4659" s="77" t="n"/>
      <c r="AA4659" s="75" t="n"/>
      <c r="AB4659" s="75" t="n"/>
      <c r="AC4659" s="6" t="n"/>
      <c r="AD4659" s="75" t="n"/>
      <c r="AE4659" s="75" t="n"/>
      <c r="AF4659" s="75" t="n"/>
    </row>
    <row r="4660" ht="15.75" customHeight="1" s="133">
      <c r="A4660" s="75" t="n"/>
      <c r="B4660" s="75" t="n"/>
      <c r="C4660" s="75" t="n"/>
      <c r="D4660" s="75" t="n"/>
      <c r="E4660" s="76" t="n"/>
      <c r="F4660" s="77" t="n"/>
      <c r="G4660" s="75" t="n"/>
      <c r="H4660" s="75">
        <f>IF(ISBLANK(E4660),"",IF(OR(D4660="Butterfly",D4660="Butterfly ",D4660="Iron Fly", D4660="Iron Fly "),LEN(E4660)-LEN(SUBSTITUTE(E4660,"/",""))+2,LEN(E4660)-LEN(SUBSTITUTE(E4660,"/",""))+1))</f>
        <v/>
      </c>
      <c r="I4660" s="78">
        <f>IF(ISBLANK(G4660),"",IF(D4660="Stock","0",Key!$A$3*H4660*G4660))</f>
        <v/>
      </c>
      <c r="J4660" s="78">
        <f>IF(ISBLANK(E4660),"",IF(ISNUMBER(SEARCH("/",E4660)), IF(LEN(E4660)-LEN(SUBSTITUTE(E4660,"/",""))=1,(RIGHT(E4660,LEN(E4660)-FIND("/",E4660)))-(LEFT(E4660,FIND("/",E4660)-1)),(MID(E4660, SEARCH("/",E4660) + 1, SEARCH("/",E4660, SEARCH("/",E4660)+1) - SEARCH("/",E4660) - 1))-(LEFT(E4660,FIND("/",E4660)-1))), "NA"))</f>
        <v/>
      </c>
      <c r="K4660" s="79">
        <f>IF(A4660&lt;&gt;"", IF(ISBLANK(L4660), TODAY(), K4660), "")</f>
        <v/>
      </c>
      <c r="L4660" s="78" t="n"/>
      <c r="M4660" s="78">
        <f>IF(ISBLANK(L4660),"",IF(D4660="Stock",IF(C4660="Buy",L4660*G4660,IF(C4660="Sell",(L4660*G4660)-I4660, X)),IF(C4660="Buy",(L4660*G4660*100)+I4660,IF(C4660="Sell",(L4660*G4660*100)-I4660, X))))</f>
        <v/>
      </c>
      <c r="N4660" s="78">
        <f>IF(ISBLANK(L4660),"",IF(AND(C4660="Sell",D4660="Stock"),M4660,IF(ISBLANK(L4660),"",IF(C4660="Buy",M4660, IF(AND(C4660="Sell",J4660="NA"),(E4660*G4660*100*0.1)+I4660, IF(C4660="Sell",(J4660-L4660)*(100*G4660)+I4660))))))</f>
        <v/>
      </c>
      <c r="O4660" s="75" t="n"/>
      <c r="P4660" s="75" t="n"/>
      <c r="Q4660" s="75">
        <f>IF(ISBLANK(P4660),"",IF(D4660="Stock",P4660*G4660,IF(P4660=0,"0",G4660*P4660*100-(G4660*$AF$14))))</f>
        <v/>
      </c>
      <c r="R4660" s="79">
        <f>IF(P4660&lt;&gt;"", TODAY(), "")</f>
        <v/>
      </c>
      <c r="S4660" s="78">
        <f>IF(AND(K4660&lt;&gt;"", R4660&lt;&gt;""), R4660-K4660, "")</f>
        <v/>
      </c>
      <c r="T4660" s="78" t="n"/>
      <c r="U4660" s="92">
        <f>IF(ISBLANK(P4660),"",IF(C4660="Buy",Q4660-M4660+T4660, IF(C4660="Sell",M4660-Q4660-T4660, X)))</f>
        <v/>
      </c>
      <c r="V4660" s="81">
        <f>IF(ISBLANK(P4660),"",U4660/N4660)</f>
        <v/>
      </c>
      <c r="W4660" s="81">
        <f>IF(ISBLANK(P4660),"",IF(S4660=0,(365/0.5)*V4660,(365/S4660)*V4660))</f>
        <v/>
      </c>
      <c r="X4660" s="75" t="n"/>
      <c r="Y4660" s="77" t="n"/>
      <c r="Z4660" s="77" t="n"/>
      <c r="AA4660" s="75" t="n"/>
      <c r="AB4660" s="75" t="n"/>
      <c r="AC4660" s="6" t="n"/>
      <c r="AD4660" s="75" t="n"/>
      <c r="AE4660" s="75" t="n"/>
      <c r="AF4660" s="75" t="n"/>
    </row>
    <row r="4661" ht="15.75" customHeight="1" s="133">
      <c r="A4661" s="75" t="n"/>
      <c r="B4661" s="75" t="n"/>
      <c r="C4661" s="75" t="n"/>
      <c r="D4661" s="75" t="n"/>
      <c r="E4661" s="76" t="n"/>
      <c r="F4661" s="77" t="n"/>
      <c r="G4661" s="75" t="n"/>
      <c r="H4661" s="75">
        <f>IF(ISBLANK(E4661),"",IF(OR(D4661="Butterfly",D4661="Butterfly ",D4661="Iron Fly", D4661="Iron Fly "),LEN(E4661)-LEN(SUBSTITUTE(E4661,"/",""))+2,LEN(E4661)-LEN(SUBSTITUTE(E4661,"/",""))+1))</f>
        <v/>
      </c>
      <c r="I4661" s="78">
        <f>IF(ISBLANK(G4661),"",IF(D4661="Stock","0",Key!$A$3*H4661*G4661))</f>
        <v/>
      </c>
      <c r="J4661" s="78">
        <f>IF(ISBLANK(E4661),"",IF(ISNUMBER(SEARCH("/",E4661)), IF(LEN(E4661)-LEN(SUBSTITUTE(E4661,"/",""))=1,(RIGHT(E4661,LEN(E4661)-FIND("/",E4661)))-(LEFT(E4661,FIND("/",E4661)-1)),(MID(E4661, SEARCH("/",E4661) + 1, SEARCH("/",E4661, SEARCH("/",E4661)+1) - SEARCH("/",E4661) - 1))-(LEFT(E4661,FIND("/",E4661)-1))), "NA"))</f>
        <v/>
      </c>
      <c r="K4661" s="79">
        <f>IF(A4661&lt;&gt;"", IF(ISBLANK(L4661), TODAY(), K4661), "")</f>
        <v/>
      </c>
      <c r="L4661" s="78" t="n"/>
      <c r="M4661" s="78">
        <f>IF(ISBLANK(L4661),"",IF(D4661="Stock",IF(C4661="Buy",L4661*G4661,IF(C4661="Sell",(L4661*G4661)-I4661, X)),IF(C4661="Buy",(L4661*G4661*100)+I4661,IF(C4661="Sell",(L4661*G4661*100)-I4661, X))))</f>
        <v/>
      </c>
      <c r="N4661" s="78">
        <f>IF(ISBLANK(L4661),"",IF(AND(C4661="Sell",D4661="Stock"),M4661,IF(ISBLANK(L4661),"",IF(C4661="Buy",M4661, IF(AND(C4661="Sell",J4661="NA"),(E4661*G4661*100*0.1)+I4661, IF(C4661="Sell",(J4661-L4661)*(100*G4661)+I4661))))))</f>
        <v/>
      </c>
      <c r="O4661" s="75" t="n"/>
      <c r="P4661" s="75" t="n"/>
      <c r="Q4661" s="75">
        <f>IF(ISBLANK(P4661),"",IF(D4661="Stock",P4661*G4661,IF(P4661=0,"0",G4661*P4661*100-(G4661*$AF$14))))</f>
        <v/>
      </c>
      <c r="R4661" s="79">
        <f>IF(P4661&lt;&gt;"", TODAY(), "")</f>
        <v/>
      </c>
      <c r="S4661" s="78">
        <f>IF(AND(K4661&lt;&gt;"", R4661&lt;&gt;""), R4661-K4661, "")</f>
        <v/>
      </c>
      <c r="T4661" s="78" t="n"/>
      <c r="U4661" s="92">
        <f>IF(ISBLANK(P4661),"",IF(C4661="Buy",Q4661-M4661+T4661, IF(C4661="Sell",M4661-Q4661-T4661, X)))</f>
        <v/>
      </c>
      <c r="V4661" s="81">
        <f>IF(ISBLANK(P4661),"",U4661/N4661)</f>
        <v/>
      </c>
      <c r="W4661" s="81">
        <f>IF(ISBLANK(P4661),"",IF(S4661=0,(365/0.5)*V4661,(365/S4661)*V4661))</f>
        <v/>
      </c>
      <c r="X4661" s="75" t="n"/>
      <c r="Y4661" s="77" t="n"/>
      <c r="Z4661" s="77" t="n"/>
      <c r="AA4661" s="75" t="n"/>
      <c r="AB4661" s="75" t="n"/>
      <c r="AC4661" s="6" t="n"/>
      <c r="AD4661" s="75" t="n"/>
      <c r="AE4661" s="75" t="n"/>
      <c r="AF4661" s="75" t="n"/>
    </row>
    <row r="4662" ht="15.75" customHeight="1" s="133">
      <c r="A4662" s="75" t="n"/>
      <c r="B4662" s="75" t="n"/>
      <c r="C4662" s="75" t="n"/>
      <c r="D4662" s="75" t="n"/>
      <c r="E4662" s="76" t="n"/>
      <c r="F4662" s="77" t="n"/>
      <c r="G4662" s="75" t="n"/>
      <c r="H4662" s="75">
        <f>IF(ISBLANK(E4662),"",IF(OR(D4662="Butterfly",D4662="Butterfly ",D4662="Iron Fly", D4662="Iron Fly "),LEN(E4662)-LEN(SUBSTITUTE(E4662,"/",""))+2,LEN(E4662)-LEN(SUBSTITUTE(E4662,"/",""))+1))</f>
        <v/>
      </c>
      <c r="I4662" s="78">
        <f>IF(ISBLANK(G4662),"",IF(D4662="Stock","0",Key!$A$3*H4662*G4662))</f>
        <v/>
      </c>
      <c r="J4662" s="78">
        <f>IF(ISBLANK(E4662),"",IF(ISNUMBER(SEARCH("/",E4662)), IF(LEN(E4662)-LEN(SUBSTITUTE(E4662,"/",""))=1,(RIGHT(E4662,LEN(E4662)-FIND("/",E4662)))-(LEFT(E4662,FIND("/",E4662)-1)),(MID(E4662, SEARCH("/",E4662) + 1, SEARCH("/",E4662, SEARCH("/",E4662)+1) - SEARCH("/",E4662) - 1))-(LEFT(E4662,FIND("/",E4662)-1))), "NA"))</f>
        <v/>
      </c>
      <c r="K4662" s="79">
        <f>IF(A4662&lt;&gt;"", IF(ISBLANK(L4662), TODAY(), K4662), "")</f>
        <v/>
      </c>
      <c r="L4662" s="78" t="n"/>
      <c r="M4662" s="78">
        <f>IF(ISBLANK(L4662),"",IF(D4662="Stock",IF(C4662="Buy",L4662*G4662,IF(C4662="Sell",(L4662*G4662)-I4662, X)),IF(C4662="Buy",(L4662*G4662*100)+I4662,IF(C4662="Sell",(L4662*G4662*100)-I4662, X))))</f>
        <v/>
      </c>
      <c r="N4662" s="78">
        <f>IF(ISBLANK(L4662),"",IF(AND(C4662="Sell",D4662="Stock"),M4662,IF(ISBLANK(L4662),"",IF(C4662="Buy",M4662, IF(AND(C4662="Sell",J4662="NA"),(E4662*G4662*100*0.1)+I4662, IF(C4662="Sell",(J4662-L4662)*(100*G4662)+I4662))))))</f>
        <v/>
      </c>
      <c r="O4662" s="75" t="n"/>
      <c r="P4662" s="75" t="n"/>
      <c r="Q4662" s="75">
        <f>IF(ISBLANK(P4662),"",IF(D4662="Stock",P4662*G4662,IF(P4662=0,"0",G4662*P4662*100-(G4662*$AF$14))))</f>
        <v/>
      </c>
      <c r="R4662" s="79">
        <f>IF(P4662&lt;&gt;"", TODAY(), "")</f>
        <v/>
      </c>
      <c r="S4662" s="78">
        <f>IF(AND(K4662&lt;&gt;"", R4662&lt;&gt;""), R4662-K4662, "")</f>
        <v/>
      </c>
      <c r="T4662" s="78" t="n"/>
      <c r="U4662" s="92">
        <f>IF(ISBLANK(P4662),"",IF(C4662="Buy",Q4662-M4662+T4662, IF(C4662="Sell",M4662-Q4662-T4662, X)))</f>
        <v/>
      </c>
      <c r="V4662" s="81">
        <f>IF(ISBLANK(P4662),"",U4662/N4662)</f>
        <v/>
      </c>
      <c r="W4662" s="81">
        <f>IF(ISBLANK(P4662),"",IF(S4662=0,(365/0.5)*V4662,(365/S4662)*V4662))</f>
        <v/>
      </c>
      <c r="X4662" s="75" t="n"/>
      <c r="Y4662" s="77" t="n"/>
      <c r="Z4662" s="77" t="n"/>
      <c r="AA4662" s="75" t="n"/>
      <c r="AB4662" s="75" t="n"/>
      <c r="AC4662" s="6" t="n"/>
      <c r="AD4662" s="75" t="n"/>
      <c r="AE4662" s="75" t="n"/>
      <c r="AF4662" s="75" t="n"/>
    </row>
    <row r="4663" ht="15.75" customHeight="1" s="133">
      <c r="A4663" s="75" t="n"/>
      <c r="B4663" s="75" t="n"/>
      <c r="C4663" s="75" t="n"/>
      <c r="D4663" s="75" t="n"/>
      <c r="E4663" s="76" t="n"/>
      <c r="F4663" s="77" t="n"/>
      <c r="G4663" s="75" t="n"/>
      <c r="H4663" s="75">
        <f>IF(ISBLANK(E4663),"",IF(OR(D4663="Butterfly",D4663="Butterfly ",D4663="Iron Fly", D4663="Iron Fly "),LEN(E4663)-LEN(SUBSTITUTE(E4663,"/",""))+2,LEN(E4663)-LEN(SUBSTITUTE(E4663,"/",""))+1))</f>
        <v/>
      </c>
      <c r="I4663" s="78">
        <f>IF(ISBLANK(G4663),"",IF(D4663="Stock","0",Key!$A$3*H4663*G4663))</f>
        <v/>
      </c>
      <c r="J4663" s="78">
        <f>IF(ISBLANK(E4663),"",IF(ISNUMBER(SEARCH("/",E4663)), IF(LEN(E4663)-LEN(SUBSTITUTE(E4663,"/",""))=1,(RIGHT(E4663,LEN(E4663)-FIND("/",E4663)))-(LEFT(E4663,FIND("/",E4663)-1)),(MID(E4663, SEARCH("/",E4663) + 1, SEARCH("/",E4663, SEARCH("/",E4663)+1) - SEARCH("/",E4663) - 1))-(LEFT(E4663,FIND("/",E4663)-1))), "NA"))</f>
        <v/>
      </c>
      <c r="K4663" s="79">
        <f>IF(A4663&lt;&gt;"", IF(ISBLANK(L4663), TODAY(), K4663), "")</f>
        <v/>
      </c>
      <c r="L4663" s="78" t="n"/>
      <c r="M4663" s="78">
        <f>IF(ISBLANK(L4663),"",IF(D4663="Stock",IF(C4663="Buy",L4663*G4663,IF(C4663="Sell",(L4663*G4663)-I4663, X)),IF(C4663="Buy",(L4663*G4663*100)+I4663,IF(C4663="Sell",(L4663*G4663*100)-I4663, X))))</f>
        <v/>
      </c>
      <c r="N4663" s="78">
        <f>IF(ISBLANK(L4663),"",IF(AND(C4663="Sell",D4663="Stock"),M4663,IF(ISBLANK(L4663),"",IF(C4663="Buy",M4663, IF(AND(C4663="Sell",J4663="NA"),(E4663*G4663*100*0.1)+I4663, IF(C4663="Sell",(J4663-L4663)*(100*G4663)+I4663))))))</f>
        <v/>
      </c>
      <c r="O4663" s="75" t="n"/>
      <c r="P4663" s="75" t="n"/>
      <c r="Q4663" s="75">
        <f>IF(ISBLANK(P4663),"",IF(D4663="Stock",P4663*G4663,IF(P4663=0,"0",G4663*P4663*100-(G4663*$AF$14))))</f>
        <v/>
      </c>
      <c r="R4663" s="79">
        <f>IF(P4663&lt;&gt;"", TODAY(), "")</f>
        <v/>
      </c>
      <c r="S4663" s="78">
        <f>IF(AND(K4663&lt;&gt;"", R4663&lt;&gt;""), R4663-K4663, "")</f>
        <v/>
      </c>
      <c r="T4663" s="78" t="n"/>
      <c r="U4663" s="92">
        <f>IF(ISBLANK(P4663),"",IF(C4663="Buy",Q4663-M4663+T4663, IF(C4663="Sell",M4663-Q4663-T4663, X)))</f>
        <v/>
      </c>
      <c r="V4663" s="81">
        <f>IF(ISBLANK(P4663),"",U4663/N4663)</f>
        <v/>
      </c>
      <c r="W4663" s="81">
        <f>IF(ISBLANK(P4663),"",IF(S4663=0,(365/0.5)*V4663,(365/S4663)*V4663))</f>
        <v/>
      </c>
      <c r="X4663" s="75" t="n"/>
      <c r="Y4663" s="77" t="n"/>
      <c r="Z4663" s="77" t="n"/>
      <c r="AA4663" s="75" t="n"/>
      <c r="AB4663" s="75" t="n"/>
      <c r="AC4663" s="6" t="n"/>
      <c r="AD4663" s="75" t="n"/>
      <c r="AE4663" s="75" t="n"/>
      <c r="AF4663" s="75" t="n"/>
    </row>
    <row r="4664" ht="15.75" customHeight="1" s="133">
      <c r="A4664" s="75" t="n"/>
      <c r="B4664" s="75" t="n"/>
      <c r="C4664" s="75" t="n"/>
      <c r="D4664" s="75" t="n"/>
      <c r="E4664" s="76" t="n"/>
      <c r="F4664" s="77" t="n"/>
      <c r="G4664" s="75" t="n"/>
      <c r="H4664" s="75">
        <f>IF(ISBLANK(E4664),"",IF(OR(D4664="Butterfly",D4664="Butterfly ",D4664="Iron Fly", D4664="Iron Fly "),LEN(E4664)-LEN(SUBSTITUTE(E4664,"/",""))+2,LEN(E4664)-LEN(SUBSTITUTE(E4664,"/",""))+1))</f>
        <v/>
      </c>
      <c r="I4664" s="78">
        <f>IF(ISBLANK(G4664),"",IF(D4664="Stock","0",Key!$A$3*H4664*G4664))</f>
        <v/>
      </c>
      <c r="J4664" s="78">
        <f>IF(ISBLANK(E4664),"",IF(ISNUMBER(SEARCH("/",E4664)), IF(LEN(E4664)-LEN(SUBSTITUTE(E4664,"/",""))=1,(RIGHT(E4664,LEN(E4664)-FIND("/",E4664)))-(LEFT(E4664,FIND("/",E4664)-1)),(MID(E4664, SEARCH("/",E4664) + 1, SEARCH("/",E4664, SEARCH("/",E4664)+1) - SEARCH("/",E4664) - 1))-(LEFT(E4664,FIND("/",E4664)-1))), "NA"))</f>
        <v/>
      </c>
      <c r="K4664" s="79">
        <f>IF(A4664&lt;&gt;"", IF(ISBLANK(L4664), TODAY(), K4664), "")</f>
        <v/>
      </c>
      <c r="L4664" s="78" t="n"/>
      <c r="M4664" s="78">
        <f>IF(ISBLANK(L4664),"",IF(D4664="Stock",IF(C4664="Buy",L4664*G4664,IF(C4664="Sell",(L4664*G4664)-I4664, X)),IF(C4664="Buy",(L4664*G4664*100)+I4664,IF(C4664="Sell",(L4664*G4664*100)-I4664, X))))</f>
        <v/>
      </c>
      <c r="N4664" s="78">
        <f>IF(ISBLANK(L4664),"",IF(AND(C4664="Sell",D4664="Stock"),M4664,IF(ISBLANK(L4664),"",IF(C4664="Buy",M4664, IF(AND(C4664="Sell",J4664="NA"),(E4664*G4664*100*0.1)+I4664, IF(C4664="Sell",(J4664-L4664)*(100*G4664)+I4664))))))</f>
        <v/>
      </c>
      <c r="O4664" s="75" t="n"/>
      <c r="P4664" s="75" t="n"/>
      <c r="Q4664" s="75">
        <f>IF(ISBLANK(P4664),"",IF(D4664="Stock",P4664*G4664,IF(P4664=0,"0",G4664*P4664*100-(G4664*$AF$14))))</f>
        <v/>
      </c>
      <c r="R4664" s="79">
        <f>IF(P4664&lt;&gt;"", TODAY(), "")</f>
        <v/>
      </c>
      <c r="S4664" s="78">
        <f>IF(AND(K4664&lt;&gt;"", R4664&lt;&gt;""), R4664-K4664, "")</f>
        <v/>
      </c>
      <c r="T4664" s="78" t="n"/>
      <c r="U4664" s="92">
        <f>IF(ISBLANK(P4664),"",IF(C4664="Buy",Q4664-M4664+T4664, IF(C4664="Sell",M4664-Q4664-T4664, X)))</f>
        <v/>
      </c>
      <c r="V4664" s="81">
        <f>IF(ISBLANK(P4664),"",U4664/N4664)</f>
        <v/>
      </c>
      <c r="W4664" s="81">
        <f>IF(ISBLANK(P4664),"",IF(S4664=0,(365/0.5)*V4664,(365/S4664)*V4664))</f>
        <v/>
      </c>
      <c r="X4664" s="75" t="n"/>
      <c r="Y4664" s="77" t="n"/>
      <c r="Z4664" s="77" t="n"/>
      <c r="AA4664" s="75" t="n"/>
      <c r="AB4664" s="75" t="n"/>
      <c r="AC4664" s="6" t="n"/>
      <c r="AD4664" s="75" t="n"/>
      <c r="AE4664" s="75" t="n"/>
      <c r="AF4664" s="75" t="n"/>
    </row>
    <row r="4665" ht="15.75" customHeight="1" s="133">
      <c r="A4665" s="75" t="n"/>
      <c r="B4665" s="75" t="n"/>
      <c r="C4665" s="75" t="n"/>
      <c r="D4665" s="75" t="n"/>
      <c r="E4665" s="76" t="n"/>
      <c r="F4665" s="77" t="n"/>
      <c r="G4665" s="75" t="n"/>
      <c r="H4665" s="75">
        <f>IF(ISBLANK(E4665),"",IF(OR(D4665="Butterfly",D4665="Butterfly ",D4665="Iron Fly", D4665="Iron Fly "),LEN(E4665)-LEN(SUBSTITUTE(E4665,"/",""))+2,LEN(E4665)-LEN(SUBSTITUTE(E4665,"/",""))+1))</f>
        <v/>
      </c>
      <c r="I4665" s="78">
        <f>IF(ISBLANK(G4665),"",IF(D4665="Stock","0",Key!$A$3*H4665*G4665))</f>
        <v/>
      </c>
      <c r="J4665" s="78">
        <f>IF(ISBLANK(E4665),"",IF(ISNUMBER(SEARCH("/",E4665)), IF(LEN(E4665)-LEN(SUBSTITUTE(E4665,"/",""))=1,(RIGHT(E4665,LEN(E4665)-FIND("/",E4665)))-(LEFT(E4665,FIND("/",E4665)-1)),(MID(E4665, SEARCH("/",E4665) + 1, SEARCH("/",E4665, SEARCH("/",E4665)+1) - SEARCH("/",E4665) - 1))-(LEFT(E4665,FIND("/",E4665)-1))), "NA"))</f>
        <v/>
      </c>
      <c r="K4665" s="79">
        <f>IF(A4665&lt;&gt;"", IF(ISBLANK(L4665), TODAY(), K4665), "")</f>
        <v/>
      </c>
      <c r="L4665" s="78" t="n"/>
      <c r="M4665" s="78">
        <f>IF(ISBLANK(L4665),"",IF(D4665="Stock",IF(C4665="Buy",L4665*G4665,IF(C4665="Sell",(L4665*G4665)-I4665, X)),IF(C4665="Buy",(L4665*G4665*100)+I4665,IF(C4665="Sell",(L4665*G4665*100)-I4665, X))))</f>
        <v/>
      </c>
      <c r="N4665" s="78">
        <f>IF(ISBLANK(L4665),"",IF(AND(C4665="Sell",D4665="Stock"),M4665,IF(ISBLANK(L4665),"",IF(C4665="Buy",M4665, IF(AND(C4665="Sell",J4665="NA"),(E4665*G4665*100*0.1)+I4665, IF(C4665="Sell",(J4665-L4665)*(100*G4665)+I4665))))))</f>
        <v/>
      </c>
      <c r="O4665" s="75" t="n"/>
      <c r="P4665" s="75" t="n"/>
      <c r="Q4665" s="75">
        <f>IF(ISBLANK(P4665),"",IF(D4665="Stock",P4665*G4665,IF(P4665=0,"0",G4665*P4665*100-(G4665*$AF$14))))</f>
        <v/>
      </c>
      <c r="R4665" s="79">
        <f>IF(P4665&lt;&gt;"", TODAY(), "")</f>
        <v/>
      </c>
      <c r="S4665" s="78">
        <f>IF(AND(K4665&lt;&gt;"", R4665&lt;&gt;""), R4665-K4665, "")</f>
        <v/>
      </c>
      <c r="T4665" s="78" t="n"/>
      <c r="U4665" s="92">
        <f>IF(ISBLANK(P4665),"",IF(C4665="Buy",Q4665-M4665+T4665, IF(C4665="Sell",M4665-Q4665-T4665, X)))</f>
        <v/>
      </c>
      <c r="V4665" s="81">
        <f>IF(ISBLANK(P4665),"",U4665/N4665)</f>
        <v/>
      </c>
      <c r="W4665" s="81">
        <f>IF(ISBLANK(P4665),"",IF(S4665=0,(365/0.5)*V4665,(365/S4665)*V4665))</f>
        <v/>
      </c>
      <c r="X4665" s="75" t="n"/>
      <c r="Y4665" s="77" t="n"/>
      <c r="Z4665" s="77" t="n"/>
      <c r="AA4665" s="75" t="n"/>
      <c r="AB4665" s="75" t="n"/>
      <c r="AC4665" s="6" t="n"/>
      <c r="AD4665" s="75" t="n"/>
      <c r="AE4665" s="75" t="n"/>
      <c r="AF4665" s="75" t="n"/>
    </row>
    <row r="4666" ht="15.75" customHeight="1" s="133">
      <c r="A4666" s="75" t="n"/>
      <c r="B4666" s="75" t="n"/>
      <c r="C4666" s="75" t="n"/>
      <c r="D4666" s="75" t="n"/>
      <c r="E4666" s="76" t="n"/>
      <c r="F4666" s="77" t="n"/>
      <c r="G4666" s="75" t="n"/>
      <c r="H4666" s="75">
        <f>IF(ISBLANK(E4666),"",IF(OR(D4666="Butterfly",D4666="Butterfly ",D4666="Iron Fly", D4666="Iron Fly "),LEN(E4666)-LEN(SUBSTITUTE(E4666,"/",""))+2,LEN(E4666)-LEN(SUBSTITUTE(E4666,"/",""))+1))</f>
        <v/>
      </c>
      <c r="I4666" s="78">
        <f>IF(ISBLANK(G4666),"",IF(D4666="Stock","0",Key!$A$3*H4666*G4666))</f>
        <v/>
      </c>
      <c r="J4666" s="78">
        <f>IF(ISBLANK(E4666),"",IF(ISNUMBER(SEARCH("/",E4666)), IF(LEN(E4666)-LEN(SUBSTITUTE(E4666,"/",""))=1,(RIGHT(E4666,LEN(E4666)-FIND("/",E4666)))-(LEFT(E4666,FIND("/",E4666)-1)),(MID(E4666, SEARCH("/",E4666) + 1, SEARCH("/",E4666, SEARCH("/",E4666)+1) - SEARCH("/",E4666) - 1))-(LEFT(E4666,FIND("/",E4666)-1))), "NA"))</f>
        <v/>
      </c>
      <c r="K4666" s="79">
        <f>IF(A4666&lt;&gt;"", IF(ISBLANK(L4666), TODAY(), K4666), "")</f>
        <v/>
      </c>
      <c r="L4666" s="78" t="n"/>
      <c r="M4666" s="78">
        <f>IF(ISBLANK(L4666),"",IF(D4666="Stock",IF(C4666="Buy",L4666*G4666,IF(C4666="Sell",(L4666*G4666)-I4666, X)),IF(C4666="Buy",(L4666*G4666*100)+I4666,IF(C4666="Sell",(L4666*G4666*100)-I4666, X))))</f>
        <v/>
      </c>
      <c r="N4666" s="78">
        <f>IF(ISBLANK(L4666),"",IF(AND(C4666="Sell",D4666="Stock"),M4666,IF(ISBLANK(L4666),"",IF(C4666="Buy",M4666, IF(AND(C4666="Sell",J4666="NA"),(E4666*G4666*100*0.1)+I4666, IF(C4666="Sell",(J4666-L4666)*(100*G4666)+I4666))))))</f>
        <v/>
      </c>
      <c r="O4666" s="75" t="n"/>
      <c r="P4666" s="75" t="n"/>
      <c r="Q4666" s="75">
        <f>IF(ISBLANK(P4666),"",IF(D4666="Stock",P4666*G4666,IF(P4666=0,"0",G4666*P4666*100-(G4666*$AF$14))))</f>
        <v/>
      </c>
      <c r="R4666" s="79">
        <f>IF(P4666&lt;&gt;"", TODAY(), "")</f>
        <v/>
      </c>
      <c r="S4666" s="78">
        <f>IF(AND(K4666&lt;&gt;"", R4666&lt;&gt;""), R4666-K4666, "")</f>
        <v/>
      </c>
      <c r="T4666" s="78" t="n"/>
      <c r="U4666" s="92">
        <f>IF(ISBLANK(P4666),"",IF(C4666="Buy",Q4666-M4666+T4666, IF(C4666="Sell",M4666-Q4666-T4666, X)))</f>
        <v/>
      </c>
      <c r="V4666" s="81">
        <f>IF(ISBLANK(P4666),"",U4666/N4666)</f>
        <v/>
      </c>
      <c r="W4666" s="81">
        <f>IF(ISBLANK(P4666),"",IF(S4666=0,(365/0.5)*V4666,(365/S4666)*V4666))</f>
        <v/>
      </c>
      <c r="X4666" s="75" t="n"/>
      <c r="Y4666" s="77" t="n"/>
      <c r="Z4666" s="77" t="n"/>
      <c r="AA4666" s="75" t="n"/>
      <c r="AB4666" s="75" t="n"/>
      <c r="AC4666" s="6" t="n"/>
      <c r="AD4666" s="75" t="n"/>
      <c r="AE4666" s="75" t="n"/>
      <c r="AF4666" s="75" t="n"/>
    </row>
    <row r="4667" ht="15.75" customHeight="1" s="133">
      <c r="A4667" s="75" t="n"/>
      <c r="B4667" s="75" t="n"/>
      <c r="C4667" s="75" t="n"/>
      <c r="D4667" s="75" t="n"/>
      <c r="E4667" s="76" t="n"/>
      <c r="F4667" s="77" t="n"/>
      <c r="G4667" s="75" t="n"/>
      <c r="H4667" s="75">
        <f>IF(ISBLANK(E4667),"",IF(OR(D4667="Butterfly",D4667="Butterfly ",D4667="Iron Fly", D4667="Iron Fly "),LEN(E4667)-LEN(SUBSTITUTE(E4667,"/",""))+2,LEN(E4667)-LEN(SUBSTITUTE(E4667,"/",""))+1))</f>
        <v/>
      </c>
      <c r="I4667" s="78">
        <f>IF(ISBLANK(G4667),"",IF(D4667="Stock","0",Key!$A$3*H4667*G4667))</f>
        <v/>
      </c>
      <c r="J4667" s="78">
        <f>IF(ISBLANK(E4667),"",IF(ISNUMBER(SEARCH("/",E4667)), IF(LEN(E4667)-LEN(SUBSTITUTE(E4667,"/",""))=1,(RIGHT(E4667,LEN(E4667)-FIND("/",E4667)))-(LEFT(E4667,FIND("/",E4667)-1)),(MID(E4667, SEARCH("/",E4667) + 1, SEARCH("/",E4667, SEARCH("/",E4667)+1) - SEARCH("/",E4667) - 1))-(LEFT(E4667,FIND("/",E4667)-1))), "NA"))</f>
        <v/>
      </c>
      <c r="K4667" s="79">
        <f>IF(A4667&lt;&gt;"", IF(ISBLANK(L4667), TODAY(), K4667), "")</f>
        <v/>
      </c>
      <c r="L4667" s="78" t="n"/>
      <c r="M4667" s="78">
        <f>IF(ISBLANK(L4667),"",IF(D4667="Stock",IF(C4667="Buy",L4667*G4667,IF(C4667="Sell",(L4667*G4667)-I4667, X)),IF(C4667="Buy",(L4667*G4667*100)+I4667,IF(C4667="Sell",(L4667*G4667*100)-I4667, X))))</f>
        <v/>
      </c>
      <c r="N4667" s="78">
        <f>IF(ISBLANK(L4667),"",IF(AND(C4667="Sell",D4667="Stock"),M4667,IF(ISBLANK(L4667),"",IF(C4667="Buy",M4667, IF(AND(C4667="Sell",J4667="NA"),(E4667*G4667*100*0.1)+I4667, IF(C4667="Sell",(J4667-L4667)*(100*G4667)+I4667))))))</f>
        <v/>
      </c>
      <c r="O4667" s="75" t="n"/>
      <c r="P4667" s="75" t="n"/>
      <c r="Q4667" s="75">
        <f>IF(ISBLANK(P4667),"",IF(D4667="Stock",P4667*G4667,IF(P4667=0,"0",G4667*P4667*100-(G4667*$AF$14))))</f>
        <v/>
      </c>
      <c r="R4667" s="79">
        <f>IF(P4667&lt;&gt;"", TODAY(), "")</f>
        <v/>
      </c>
      <c r="S4667" s="78">
        <f>IF(AND(K4667&lt;&gt;"", R4667&lt;&gt;""), R4667-K4667, "")</f>
        <v/>
      </c>
      <c r="T4667" s="78" t="n"/>
      <c r="U4667" s="92">
        <f>IF(ISBLANK(P4667),"",IF(C4667="Buy",Q4667-M4667+T4667, IF(C4667="Sell",M4667-Q4667-T4667, X)))</f>
        <v/>
      </c>
      <c r="V4667" s="81">
        <f>IF(ISBLANK(P4667),"",U4667/N4667)</f>
        <v/>
      </c>
      <c r="W4667" s="81">
        <f>IF(ISBLANK(P4667),"",IF(S4667=0,(365/0.5)*V4667,(365/S4667)*V4667))</f>
        <v/>
      </c>
      <c r="X4667" s="75" t="n"/>
      <c r="Y4667" s="77" t="n"/>
      <c r="Z4667" s="77" t="n"/>
      <c r="AA4667" s="75" t="n"/>
      <c r="AB4667" s="75" t="n"/>
      <c r="AC4667" s="6" t="n"/>
      <c r="AD4667" s="75" t="n"/>
      <c r="AE4667" s="75" t="n"/>
      <c r="AF4667" s="75" t="n"/>
    </row>
    <row r="4668" ht="15.75" customHeight="1" s="133">
      <c r="A4668" s="75" t="n"/>
      <c r="B4668" s="75" t="n"/>
      <c r="C4668" s="75" t="n"/>
      <c r="D4668" s="75" t="n"/>
      <c r="E4668" s="76" t="n"/>
      <c r="F4668" s="77" t="n"/>
      <c r="G4668" s="75" t="n"/>
      <c r="H4668" s="75">
        <f>IF(ISBLANK(E4668),"",IF(OR(D4668="Butterfly",D4668="Butterfly ",D4668="Iron Fly", D4668="Iron Fly "),LEN(E4668)-LEN(SUBSTITUTE(E4668,"/",""))+2,LEN(E4668)-LEN(SUBSTITUTE(E4668,"/",""))+1))</f>
        <v/>
      </c>
      <c r="I4668" s="78">
        <f>IF(ISBLANK(G4668),"",IF(D4668="Stock","0",Key!$A$3*H4668*G4668))</f>
        <v/>
      </c>
      <c r="J4668" s="78">
        <f>IF(ISBLANK(E4668),"",IF(ISNUMBER(SEARCH("/",E4668)), IF(LEN(E4668)-LEN(SUBSTITUTE(E4668,"/",""))=1,(RIGHT(E4668,LEN(E4668)-FIND("/",E4668)))-(LEFT(E4668,FIND("/",E4668)-1)),(MID(E4668, SEARCH("/",E4668) + 1, SEARCH("/",E4668, SEARCH("/",E4668)+1) - SEARCH("/",E4668) - 1))-(LEFT(E4668,FIND("/",E4668)-1))), "NA"))</f>
        <v/>
      </c>
      <c r="K4668" s="79">
        <f>IF(A4668&lt;&gt;"", IF(ISBLANK(L4668), TODAY(), K4668), "")</f>
        <v/>
      </c>
      <c r="L4668" s="78" t="n"/>
      <c r="M4668" s="78">
        <f>IF(ISBLANK(L4668),"",IF(D4668="Stock",IF(C4668="Buy",L4668*G4668,IF(C4668="Sell",(L4668*G4668)-I4668, X)),IF(C4668="Buy",(L4668*G4668*100)+I4668,IF(C4668="Sell",(L4668*G4668*100)-I4668, X))))</f>
        <v/>
      </c>
      <c r="N4668" s="78">
        <f>IF(ISBLANK(L4668),"",IF(AND(C4668="Sell",D4668="Stock"),M4668,IF(ISBLANK(L4668),"",IF(C4668="Buy",M4668, IF(AND(C4668="Sell",J4668="NA"),(E4668*G4668*100*0.1)+I4668, IF(C4668="Sell",(J4668-L4668)*(100*G4668)+I4668))))))</f>
        <v/>
      </c>
      <c r="O4668" s="75" t="n"/>
      <c r="P4668" s="75" t="n"/>
      <c r="Q4668" s="75">
        <f>IF(ISBLANK(P4668),"",IF(D4668="Stock",P4668*G4668,IF(P4668=0,"0",G4668*P4668*100-(G4668*$AF$14))))</f>
        <v/>
      </c>
      <c r="R4668" s="79">
        <f>IF(P4668&lt;&gt;"", TODAY(), "")</f>
        <v/>
      </c>
      <c r="S4668" s="78">
        <f>IF(AND(K4668&lt;&gt;"", R4668&lt;&gt;""), R4668-K4668, "")</f>
        <v/>
      </c>
      <c r="T4668" s="78" t="n"/>
      <c r="U4668" s="92">
        <f>IF(ISBLANK(P4668),"",IF(C4668="Buy",Q4668-M4668+T4668, IF(C4668="Sell",M4668-Q4668-T4668, X)))</f>
        <v/>
      </c>
      <c r="V4668" s="81">
        <f>IF(ISBLANK(P4668),"",U4668/N4668)</f>
        <v/>
      </c>
      <c r="W4668" s="81">
        <f>IF(ISBLANK(P4668),"",IF(S4668=0,(365/0.5)*V4668,(365/S4668)*V4668))</f>
        <v/>
      </c>
      <c r="X4668" s="75" t="n"/>
      <c r="Y4668" s="77" t="n"/>
      <c r="Z4668" s="77" t="n"/>
      <c r="AA4668" s="75" t="n"/>
      <c r="AB4668" s="75" t="n"/>
      <c r="AC4668" s="6" t="n"/>
      <c r="AD4668" s="75" t="n"/>
      <c r="AE4668" s="75" t="n"/>
      <c r="AF4668" s="75" t="n"/>
    </row>
    <row r="4669" ht="15.75" customHeight="1" s="133">
      <c r="A4669" s="75" t="n"/>
      <c r="B4669" s="75" t="n"/>
      <c r="C4669" s="75" t="n"/>
      <c r="D4669" s="75" t="n"/>
      <c r="E4669" s="76" t="n"/>
      <c r="F4669" s="77" t="n"/>
      <c r="G4669" s="75" t="n"/>
      <c r="H4669" s="75">
        <f>IF(ISBLANK(E4669),"",IF(OR(D4669="Butterfly",D4669="Butterfly ",D4669="Iron Fly", D4669="Iron Fly "),LEN(E4669)-LEN(SUBSTITUTE(E4669,"/",""))+2,LEN(E4669)-LEN(SUBSTITUTE(E4669,"/",""))+1))</f>
        <v/>
      </c>
      <c r="I4669" s="78">
        <f>IF(ISBLANK(G4669),"",IF(D4669="Stock","0",Key!$A$3*H4669*G4669))</f>
        <v/>
      </c>
      <c r="J4669" s="78">
        <f>IF(ISBLANK(E4669),"",IF(ISNUMBER(SEARCH("/",E4669)), IF(LEN(E4669)-LEN(SUBSTITUTE(E4669,"/",""))=1,(RIGHT(E4669,LEN(E4669)-FIND("/",E4669)))-(LEFT(E4669,FIND("/",E4669)-1)),(MID(E4669, SEARCH("/",E4669) + 1, SEARCH("/",E4669, SEARCH("/",E4669)+1) - SEARCH("/",E4669) - 1))-(LEFT(E4669,FIND("/",E4669)-1))), "NA"))</f>
        <v/>
      </c>
      <c r="K4669" s="79">
        <f>IF(A4669&lt;&gt;"", IF(ISBLANK(L4669), TODAY(), K4669), "")</f>
        <v/>
      </c>
      <c r="L4669" s="78" t="n"/>
      <c r="M4669" s="78">
        <f>IF(ISBLANK(L4669),"",IF(D4669="Stock",IF(C4669="Buy",L4669*G4669,IF(C4669="Sell",(L4669*G4669)-I4669, X)),IF(C4669="Buy",(L4669*G4669*100)+I4669,IF(C4669="Sell",(L4669*G4669*100)-I4669, X))))</f>
        <v/>
      </c>
      <c r="N4669" s="78">
        <f>IF(ISBLANK(L4669),"",IF(AND(C4669="Sell",D4669="Stock"),M4669,IF(ISBLANK(L4669),"",IF(C4669="Buy",M4669, IF(AND(C4669="Sell",J4669="NA"),(E4669*G4669*100*0.1)+I4669, IF(C4669="Sell",(J4669-L4669)*(100*G4669)+I4669))))))</f>
        <v/>
      </c>
      <c r="O4669" s="75" t="n"/>
      <c r="P4669" s="75" t="n"/>
      <c r="Q4669" s="75">
        <f>IF(ISBLANK(P4669),"",IF(D4669="Stock",P4669*G4669,IF(P4669=0,"0",G4669*P4669*100-(G4669*$AF$14))))</f>
        <v/>
      </c>
      <c r="R4669" s="79">
        <f>IF(P4669&lt;&gt;"", TODAY(), "")</f>
        <v/>
      </c>
      <c r="S4669" s="78">
        <f>IF(AND(K4669&lt;&gt;"", R4669&lt;&gt;""), R4669-K4669, "")</f>
        <v/>
      </c>
      <c r="T4669" s="78" t="n"/>
      <c r="U4669" s="92">
        <f>IF(ISBLANK(P4669),"",IF(C4669="Buy",Q4669-M4669+T4669, IF(C4669="Sell",M4669-Q4669-T4669, X)))</f>
        <v/>
      </c>
      <c r="V4669" s="81">
        <f>IF(ISBLANK(P4669),"",U4669/N4669)</f>
        <v/>
      </c>
      <c r="W4669" s="81">
        <f>IF(ISBLANK(P4669),"",IF(S4669=0,(365/0.5)*V4669,(365/S4669)*V4669))</f>
        <v/>
      </c>
      <c r="X4669" s="75" t="n"/>
      <c r="Y4669" s="77" t="n"/>
      <c r="Z4669" s="77" t="n"/>
      <c r="AA4669" s="75" t="n"/>
      <c r="AB4669" s="75" t="n"/>
      <c r="AC4669" s="6" t="n"/>
      <c r="AD4669" s="75" t="n"/>
      <c r="AE4669" s="75" t="n"/>
      <c r="AF4669" s="75" t="n"/>
    </row>
    <row r="4670" ht="15.75" customHeight="1" s="133">
      <c r="A4670" s="75" t="n"/>
      <c r="B4670" s="75" t="n"/>
      <c r="C4670" s="75" t="n"/>
      <c r="D4670" s="75" t="n"/>
      <c r="E4670" s="76" t="n"/>
      <c r="F4670" s="77" t="n"/>
      <c r="G4670" s="75" t="n"/>
      <c r="H4670" s="75">
        <f>IF(ISBLANK(E4670),"",IF(OR(D4670="Butterfly",D4670="Butterfly ",D4670="Iron Fly", D4670="Iron Fly "),LEN(E4670)-LEN(SUBSTITUTE(E4670,"/",""))+2,LEN(E4670)-LEN(SUBSTITUTE(E4670,"/",""))+1))</f>
        <v/>
      </c>
      <c r="I4670" s="78">
        <f>IF(ISBLANK(G4670),"",IF(D4670="Stock","0",Key!$A$3*H4670*G4670))</f>
        <v/>
      </c>
      <c r="J4670" s="78">
        <f>IF(ISBLANK(E4670),"",IF(ISNUMBER(SEARCH("/",E4670)), IF(LEN(E4670)-LEN(SUBSTITUTE(E4670,"/",""))=1,(RIGHT(E4670,LEN(E4670)-FIND("/",E4670)))-(LEFT(E4670,FIND("/",E4670)-1)),(MID(E4670, SEARCH("/",E4670) + 1, SEARCH("/",E4670, SEARCH("/",E4670)+1) - SEARCH("/",E4670) - 1))-(LEFT(E4670,FIND("/",E4670)-1))), "NA"))</f>
        <v/>
      </c>
      <c r="K4670" s="79">
        <f>IF(A4670&lt;&gt;"", IF(ISBLANK(L4670), TODAY(), K4670), "")</f>
        <v/>
      </c>
      <c r="L4670" s="78" t="n"/>
      <c r="M4670" s="78">
        <f>IF(ISBLANK(L4670),"",IF(D4670="Stock",IF(C4670="Buy",L4670*G4670,IF(C4670="Sell",(L4670*G4670)-I4670, X)),IF(C4670="Buy",(L4670*G4670*100)+I4670,IF(C4670="Sell",(L4670*G4670*100)-I4670, X))))</f>
        <v/>
      </c>
      <c r="N4670" s="78">
        <f>IF(ISBLANK(L4670),"",IF(AND(C4670="Sell",D4670="Stock"),M4670,IF(ISBLANK(L4670),"",IF(C4670="Buy",M4670, IF(AND(C4670="Sell",J4670="NA"),(E4670*G4670*100*0.1)+I4670, IF(C4670="Sell",(J4670-L4670)*(100*G4670)+I4670))))))</f>
        <v/>
      </c>
      <c r="O4670" s="75" t="n"/>
      <c r="P4670" s="75" t="n"/>
      <c r="Q4670" s="75">
        <f>IF(ISBLANK(P4670),"",IF(D4670="Stock",P4670*G4670,IF(P4670=0,"0",G4670*P4670*100-(G4670*$AF$14))))</f>
        <v/>
      </c>
      <c r="R4670" s="79">
        <f>IF(P4670&lt;&gt;"", TODAY(), "")</f>
        <v/>
      </c>
      <c r="S4670" s="78">
        <f>IF(AND(K4670&lt;&gt;"", R4670&lt;&gt;""), R4670-K4670, "")</f>
        <v/>
      </c>
      <c r="T4670" s="78" t="n"/>
      <c r="U4670" s="92">
        <f>IF(ISBLANK(P4670),"",IF(C4670="Buy",Q4670-M4670+T4670, IF(C4670="Sell",M4670-Q4670-T4670, X)))</f>
        <v/>
      </c>
      <c r="V4670" s="81">
        <f>IF(ISBLANK(P4670),"",U4670/N4670)</f>
        <v/>
      </c>
      <c r="W4670" s="81">
        <f>IF(ISBLANK(P4670),"",IF(S4670=0,(365/0.5)*V4670,(365/S4670)*V4670))</f>
        <v/>
      </c>
      <c r="X4670" s="75" t="n"/>
      <c r="Y4670" s="77" t="n"/>
      <c r="Z4670" s="77" t="n"/>
      <c r="AA4670" s="75" t="n"/>
      <c r="AB4670" s="75" t="n"/>
      <c r="AC4670" s="6" t="n"/>
      <c r="AD4670" s="75" t="n"/>
      <c r="AE4670" s="75" t="n"/>
      <c r="AF4670" s="75" t="n"/>
    </row>
    <row r="4671" ht="15.75" customHeight="1" s="133">
      <c r="A4671" s="75" t="n"/>
      <c r="B4671" s="75" t="n"/>
      <c r="C4671" s="75" t="n"/>
      <c r="D4671" s="75" t="n"/>
      <c r="E4671" s="76" t="n"/>
      <c r="F4671" s="77" t="n"/>
      <c r="G4671" s="75" t="n"/>
      <c r="H4671" s="75">
        <f>IF(ISBLANK(E4671),"",IF(OR(D4671="Butterfly",D4671="Butterfly ",D4671="Iron Fly", D4671="Iron Fly "),LEN(E4671)-LEN(SUBSTITUTE(E4671,"/",""))+2,LEN(E4671)-LEN(SUBSTITUTE(E4671,"/",""))+1))</f>
        <v/>
      </c>
      <c r="I4671" s="78">
        <f>IF(ISBLANK(G4671),"",IF(D4671="Stock","0",Key!$A$3*H4671*G4671))</f>
        <v/>
      </c>
      <c r="J4671" s="78">
        <f>IF(ISBLANK(E4671),"",IF(ISNUMBER(SEARCH("/",E4671)), IF(LEN(E4671)-LEN(SUBSTITUTE(E4671,"/",""))=1,(RIGHT(E4671,LEN(E4671)-FIND("/",E4671)))-(LEFT(E4671,FIND("/",E4671)-1)),(MID(E4671, SEARCH("/",E4671) + 1, SEARCH("/",E4671, SEARCH("/",E4671)+1) - SEARCH("/",E4671) - 1))-(LEFT(E4671,FIND("/",E4671)-1))), "NA"))</f>
        <v/>
      </c>
      <c r="K4671" s="79">
        <f>IF(A4671&lt;&gt;"", IF(ISBLANK(L4671), TODAY(), K4671), "")</f>
        <v/>
      </c>
      <c r="L4671" s="78" t="n"/>
      <c r="M4671" s="78">
        <f>IF(ISBLANK(L4671),"",IF(D4671="Stock",IF(C4671="Buy",L4671*G4671,IF(C4671="Sell",(L4671*G4671)-I4671, X)),IF(C4671="Buy",(L4671*G4671*100)+I4671,IF(C4671="Sell",(L4671*G4671*100)-I4671, X))))</f>
        <v/>
      </c>
      <c r="N4671" s="78">
        <f>IF(ISBLANK(L4671),"",IF(AND(C4671="Sell",D4671="Stock"),M4671,IF(ISBLANK(L4671),"",IF(C4671="Buy",M4671, IF(AND(C4671="Sell",J4671="NA"),(E4671*G4671*100*0.1)+I4671, IF(C4671="Sell",(J4671-L4671)*(100*G4671)+I4671))))))</f>
        <v/>
      </c>
      <c r="O4671" s="75" t="n"/>
      <c r="P4671" s="75" t="n"/>
      <c r="Q4671" s="75">
        <f>IF(ISBLANK(P4671),"",IF(D4671="Stock",P4671*G4671,IF(P4671=0,"0",G4671*P4671*100-(G4671*$AF$14))))</f>
        <v/>
      </c>
      <c r="R4671" s="79">
        <f>IF(P4671&lt;&gt;"", TODAY(), "")</f>
        <v/>
      </c>
      <c r="S4671" s="78">
        <f>IF(AND(K4671&lt;&gt;"", R4671&lt;&gt;""), R4671-K4671, "")</f>
        <v/>
      </c>
      <c r="T4671" s="78" t="n"/>
      <c r="U4671" s="92">
        <f>IF(ISBLANK(P4671),"",IF(C4671="Buy",Q4671-M4671+T4671, IF(C4671="Sell",M4671-Q4671-T4671, X)))</f>
        <v/>
      </c>
      <c r="V4671" s="81">
        <f>IF(ISBLANK(P4671),"",U4671/N4671)</f>
        <v/>
      </c>
      <c r="W4671" s="81">
        <f>IF(ISBLANK(P4671),"",IF(S4671=0,(365/0.5)*V4671,(365/S4671)*V4671))</f>
        <v/>
      </c>
      <c r="X4671" s="75" t="n"/>
      <c r="Y4671" s="77" t="n"/>
      <c r="Z4671" s="77" t="n"/>
      <c r="AA4671" s="75" t="n"/>
      <c r="AB4671" s="75" t="n"/>
      <c r="AC4671" s="6" t="n"/>
      <c r="AD4671" s="75" t="n"/>
      <c r="AE4671" s="75" t="n"/>
      <c r="AF4671" s="75" t="n"/>
    </row>
    <row r="4672" ht="15.75" customHeight="1" s="133">
      <c r="A4672" s="75" t="n"/>
      <c r="B4672" s="75" t="n"/>
      <c r="C4672" s="75" t="n"/>
      <c r="D4672" s="75" t="n"/>
      <c r="E4672" s="76" t="n"/>
      <c r="F4672" s="77" t="n"/>
      <c r="G4672" s="75" t="n"/>
      <c r="H4672" s="75">
        <f>IF(ISBLANK(E4672),"",IF(OR(D4672="Butterfly",D4672="Butterfly ",D4672="Iron Fly", D4672="Iron Fly "),LEN(E4672)-LEN(SUBSTITUTE(E4672,"/",""))+2,LEN(E4672)-LEN(SUBSTITUTE(E4672,"/",""))+1))</f>
        <v/>
      </c>
      <c r="I4672" s="78">
        <f>IF(ISBLANK(G4672),"",IF(D4672="Stock","0",Key!$A$3*H4672*G4672))</f>
        <v/>
      </c>
      <c r="J4672" s="78">
        <f>IF(ISBLANK(E4672),"",IF(ISNUMBER(SEARCH("/",E4672)), IF(LEN(E4672)-LEN(SUBSTITUTE(E4672,"/",""))=1,(RIGHT(E4672,LEN(E4672)-FIND("/",E4672)))-(LEFT(E4672,FIND("/",E4672)-1)),(MID(E4672, SEARCH("/",E4672) + 1, SEARCH("/",E4672, SEARCH("/",E4672)+1) - SEARCH("/",E4672) - 1))-(LEFT(E4672,FIND("/",E4672)-1))), "NA"))</f>
        <v/>
      </c>
      <c r="K4672" s="79">
        <f>IF(A4672&lt;&gt;"", IF(ISBLANK(L4672), TODAY(), K4672), "")</f>
        <v/>
      </c>
      <c r="L4672" s="78" t="n"/>
      <c r="M4672" s="78">
        <f>IF(ISBLANK(L4672),"",IF(D4672="Stock",IF(C4672="Buy",L4672*G4672,IF(C4672="Sell",(L4672*G4672)-I4672, X)),IF(C4672="Buy",(L4672*G4672*100)+I4672,IF(C4672="Sell",(L4672*G4672*100)-I4672, X))))</f>
        <v/>
      </c>
      <c r="N4672" s="78">
        <f>IF(ISBLANK(L4672),"",IF(AND(C4672="Sell",D4672="Stock"),M4672,IF(ISBLANK(L4672),"",IF(C4672="Buy",M4672, IF(AND(C4672="Sell",J4672="NA"),(E4672*G4672*100*0.1)+I4672, IF(C4672="Sell",(J4672-L4672)*(100*G4672)+I4672))))))</f>
        <v/>
      </c>
      <c r="O4672" s="75" t="n"/>
      <c r="P4672" s="75" t="n"/>
      <c r="Q4672" s="75">
        <f>IF(ISBLANK(P4672),"",IF(D4672="Stock",P4672*G4672,IF(P4672=0,"0",G4672*P4672*100-(G4672*$AF$14))))</f>
        <v/>
      </c>
      <c r="R4672" s="79">
        <f>IF(P4672&lt;&gt;"", TODAY(), "")</f>
        <v/>
      </c>
      <c r="S4672" s="78">
        <f>IF(AND(K4672&lt;&gt;"", R4672&lt;&gt;""), R4672-K4672, "")</f>
        <v/>
      </c>
      <c r="T4672" s="78" t="n"/>
      <c r="U4672" s="92">
        <f>IF(ISBLANK(P4672),"",IF(C4672="Buy",Q4672-M4672+T4672, IF(C4672="Sell",M4672-Q4672-T4672, X)))</f>
        <v/>
      </c>
      <c r="V4672" s="81">
        <f>IF(ISBLANK(P4672),"",U4672/N4672)</f>
        <v/>
      </c>
      <c r="W4672" s="81">
        <f>IF(ISBLANK(P4672),"",IF(S4672=0,(365/0.5)*V4672,(365/S4672)*V4672))</f>
        <v/>
      </c>
      <c r="X4672" s="75" t="n"/>
      <c r="Y4672" s="77" t="n"/>
      <c r="Z4672" s="77" t="n"/>
      <c r="AA4672" s="75" t="n"/>
      <c r="AB4672" s="75" t="n"/>
      <c r="AC4672" s="6" t="n"/>
      <c r="AD4672" s="75" t="n"/>
      <c r="AE4672" s="75" t="n"/>
      <c r="AF4672" s="75" t="n"/>
    </row>
    <row r="4673" ht="15.75" customHeight="1" s="133">
      <c r="A4673" s="75" t="n"/>
      <c r="B4673" s="75" t="n"/>
      <c r="C4673" s="75" t="n"/>
      <c r="D4673" s="75" t="n"/>
      <c r="E4673" s="76" t="n"/>
      <c r="F4673" s="77" t="n"/>
      <c r="G4673" s="75" t="n"/>
      <c r="H4673" s="75">
        <f>IF(ISBLANK(E4673),"",IF(OR(D4673="Butterfly",D4673="Butterfly ",D4673="Iron Fly", D4673="Iron Fly "),LEN(E4673)-LEN(SUBSTITUTE(E4673,"/",""))+2,LEN(E4673)-LEN(SUBSTITUTE(E4673,"/",""))+1))</f>
        <v/>
      </c>
      <c r="I4673" s="78">
        <f>IF(ISBLANK(G4673),"",IF(D4673="Stock","0",Key!$A$3*H4673*G4673))</f>
        <v/>
      </c>
      <c r="J4673" s="78">
        <f>IF(ISBLANK(E4673),"",IF(ISNUMBER(SEARCH("/",E4673)), IF(LEN(E4673)-LEN(SUBSTITUTE(E4673,"/",""))=1,(RIGHT(E4673,LEN(E4673)-FIND("/",E4673)))-(LEFT(E4673,FIND("/",E4673)-1)),(MID(E4673, SEARCH("/",E4673) + 1, SEARCH("/",E4673, SEARCH("/",E4673)+1) - SEARCH("/",E4673) - 1))-(LEFT(E4673,FIND("/",E4673)-1))), "NA"))</f>
        <v/>
      </c>
      <c r="K4673" s="79">
        <f>IF(A4673&lt;&gt;"", IF(ISBLANK(L4673), TODAY(), K4673), "")</f>
        <v/>
      </c>
      <c r="L4673" s="78" t="n"/>
      <c r="M4673" s="78">
        <f>IF(ISBLANK(L4673),"",IF(D4673="Stock",IF(C4673="Buy",L4673*G4673,IF(C4673="Sell",(L4673*G4673)-I4673, X)),IF(C4673="Buy",(L4673*G4673*100)+I4673,IF(C4673="Sell",(L4673*G4673*100)-I4673, X))))</f>
        <v/>
      </c>
      <c r="N4673" s="78">
        <f>IF(ISBLANK(L4673),"",IF(AND(C4673="Sell",D4673="Stock"),M4673,IF(ISBLANK(L4673),"",IF(C4673="Buy",M4673, IF(AND(C4673="Sell",J4673="NA"),(E4673*G4673*100*0.1)+I4673, IF(C4673="Sell",(J4673-L4673)*(100*G4673)+I4673))))))</f>
        <v/>
      </c>
      <c r="O4673" s="75" t="n"/>
      <c r="P4673" s="75" t="n"/>
      <c r="Q4673" s="75">
        <f>IF(ISBLANK(P4673),"",IF(D4673="Stock",P4673*G4673,IF(P4673=0,"0",G4673*P4673*100-(G4673*$AF$14))))</f>
        <v/>
      </c>
      <c r="R4673" s="79">
        <f>IF(P4673&lt;&gt;"", TODAY(), "")</f>
        <v/>
      </c>
      <c r="S4673" s="78">
        <f>IF(AND(K4673&lt;&gt;"", R4673&lt;&gt;""), R4673-K4673, "")</f>
        <v/>
      </c>
      <c r="T4673" s="78" t="n"/>
      <c r="U4673" s="92">
        <f>IF(ISBLANK(P4673),"",IF(C4673="Buy",Q4673-M4673+T4673, IF(C4673="Sell",M4673-Q4673-T4673, X)))</f>
        <v/>
      </c>
      <c r="V4673" s="81">
        <f>IF(ISBLANK(P4673),"",U4673/N4673)</f>
        <v/>
      </c>
      <c r="W4673" s="81">
        <f>IF(ISBLANK(P4673),"",IF(S4673=0,(365/0.5)*V4673,(365/S4673)*V4673))</f>
        <v/>
      </c>
      <c r="X4673" s="75" t="n"/>
      <c r="Y4673" s="77" t="n"/>
      <c r="Z4673" s="77" t="n"/>
      <c r="AA4673" s="75" t="n"/>
      <c r="AB4673" s="75" t="n"/>
      <c r="AC4673" s="6" t="n"/>
      <c r="AD4673" s="75" t="n"/>
      <c r="AE4673" s="75" t="n"/>
      <c r="AF4673" s="75" t="n"/>
    </row>
    <row r="4674" ht="15.75" customHeight="1" s="133">
      <c r="A4674" s="75" t="n"/>
      <c r="B4674" s="75" t="n"/>
      <c r="C4674" s="75" t="n"/>
      <c r="D4674" s="75" t="n"/>
      <c r="E4674" s="76" t="n"/>
      <c r="F4674" s="77" t="n"/>
      <c r="G4674" s="75" t="n"/>
      <c r="H4674" s="75">
        <f>IF(ISBLANK(E4674),"",IF(OR(D4674="Butterfly",D4674="Butterfly ",D4674="Iron Fly", D4674="Iron Fly "),LEN(E4674)-LEN(SUBSTITUTE(E4674,"/",""))+2,LEN(E4674)-LEN(SUBSTITUTE(E4674,"/",""))+1))</f>
        <v/>
      </c>
      <c r="I4674" s="78">
        <f>IF(ISBLANK(G4674),"",IF(D4674="Stock","0",Key!$A$3*H4674*G4674))</f>
        <v/>
      </c>
      <c r="J4674" s="78">
        <f>IF(ISBLANK(E4674),"",IF(ISNUMBER(SEARCH("/",E4674)), IF(LEN(E4674)-LEN(SUBSTITUTE(E4674,"/",""))=1,(RIGHT(E4674,LEN(E4674)-FIND("/",E4674)))-(LEFT(E4674,FIND("/",E4674)-1)),(MID(E4674, SEARCH("/",E4674) + 1, SEARCH("/",E4674, SEARCH("/",E4674)+1) - SEARCH("/",E4674) - 1))-(LEFT(E4674,FIND("/",E4674)-1))), "NA"))</f>
        <v/>
      </c>
      <c r="K4674" s="79">
        <f>IF(A4674&lt;&gt;"", IF(ISBLANK(L4674), TODAY(), K4674), "")</f>
        <v/>
      </c>
      <c r="L4674" s="78" t="n"/>
      <c r="M4674" s="78">
        <f>IF(ISBLANK(L4674),"",IF(D4674="Stock",IF(C4674="Buy",L4674*G4674,IF(C4674="Sell",(L4674*G4674)-I4674, X)),IF(C4674="Buy",(L4674*G4674*100)+I4674,IF(C4674="Sell",(L4674*G4674*100)-I4674, X))))</f>
        <v/>
      </c>
      <c r="N4674" s="78">
        <f>IF(ISBLANK(L4674),"",IF(AND(C4674="Sell",D4674="Stock"),M4674,IF(ISBLANK(L4674),"",IF(C4674="Buy",M4674, IF(AND(C4674="Sell",J4674="NA"),(E4674*G4674*100*0.1)+I4674, IF(C4674="Sell",(J4674-L4674)*(100*G4674)+I4674))))))</f>
        <v/>
      </c>
      <c r="O4674" s="75" t="n"/>
      <c r="P4674" s="75" t="n"/>
      <c r="Q4674" s="75">
        <f>IF(ISBLANK(P4674),"",IF(D4674="Stock",P4674*G4674,IF(P4674=0,"0",G4674*P4674*100-(G4674*$AF$14))))</f>
        <v/>
      </c>
      <c r="R4674" s="79">
        <f>IF(P4674&lt;&gt;"", TODAY(), "")</f>
        <v/>
      </c>
      <c r="S4674" s="78">
        <f>IF(AND(K4674&lt;&gt;"", R4674&lt;&gt;""), R4674-K4674, "")</f>
        <v/>
      </c>
      <c r="T4674" s="78" t="n"/>
      <c r="U4674" s="92">
        <f>IF(ISBLANK(P4674),"",IF(C4674="Buy",Q4674-M4674+T4674, IF(C4674="Sell",M4674-Q4674-T4674, X)))</f>
        <v/>
      </c>
      <c r="V4674" s="81">
        <f>IF(ISBLANK(P4674),"",U4674/N4674)</f>
        <v/>
      </c>
      <c r="W4674" s="81">
        <f>IF(ISBLANK(P4674),"",IF(S4674=0,(365/0.5)*V4674,(365/S4674)*V4674))</f>
        <v/>
      </c>
      <c r="X4674" s="75" t="n"/>
      <c r="Y4674" s="77" t="n"/>
      <c r="Z4674" s="77" t="n"/>
      <c r="AA4674" s="75" t="n"/>
      <c r="AB4674" s="75" t="n"/>
      <c r="AC4674" s="6" t="n"/>
      <c r="AD4674" s="75" t="n"/>
      <c r="AE4674" s="75" t="n"/>
      <c r="AF4674" s="75" t="n"/>
    </row>
    <row r="4675" ht="15.75" customHeight="1" s="133">
      <c r="A4675" s="75" t="n"/>
      <c r="B4675" s="75" t="n"/>
      <c r="C4675" s="75" t="n"/>
      <c r="D4675" s="75" t="n"/>
      <c r="E4675" s="76" t="n"/>
      <c r="F4675" s="77" t="n"/>
      <c r="G4675" s="75" t="n"/>
      <c r="H4675" s="75">
        <f>IF(ISBLANK(E4675),"",IF(OR(D4675="Butterfly",D4675="Butterfly ",D4675="Iron Fly", D4675="Iron Fly "),LEN(E4675)-LEN(SUBSTITUTE(E4675,"/",""))+2,LEN(E4675)-LEN(SUBSTITUTE(E4675,"/",""))+1))</f>
        <v/>
      </c>
      <c r="I4675" s="78">
        <f>IF(ISBLANK(G4675),"",IF(D4675="Stock","0",Key!$A$3*H4675*G4675))</f>
        <v/>
      </c>
      <c r="J4675" s="78">
        <f>IF(ISBLANK(E4675),"",IF(ISNUMBER(SEARCH("/",E4675)), IF(LEN(E4675)-LEN(SUBSTITUTE(E4675,"/",""))=1,(RIGHT(E4675,LEN(E4675)-FIND("/",E4675)))-(LEFT(E4675,FIND("/",E4675)-1)),(MID(E4675, SEARCH("/",E4675) + 1, SEARCH("/",E4675, SEARCH("/",E4675)+1) - SEARCH("/",E4675) - 1))-(LEFT(E4675,FIND("/",E4675)-1))), "NA"))</f>
        <v/>
      </c>
      <c r="K4675" s="79">
        <f>IF(A4675&lt;&gt;"", IF(ISBLANK(L4675), TODAY(), K4675), "")</f>
        <v/>
      </c>
      <c r="L4675" s="78" t="n"/>
      <c r="M4675" s="78">
        <f>IF(ISBLANK(L4675),"",IF(D4675="Stock",IF(C4675="Buy",L4675*G4675,IF(C4675="Sell",(L4675*G4675)-I4675, X)),IF(C4675="Buy",(L4675*G4675*100)+I4675,IF(C4675="Sell",(L4675*G4675*100)-I4675, X))))</f>
        <v/>
      </c>
      <c r="N4675" s="78">
        <f>IF(ISBLANK(L4675),"",IF(AND(C4675="Sell",D4675="Stock"),M4675,IF(ISBLANK(L4675),"",IF(C4675="Buy",M4675, IF(AND(C4675="Sell",J4675="NA"),(E4675*G4675*100*0.1)+I4675, IF(C4675="Sell",(J4675-L4675)*(100*G4675)+I4675))))))</f>
        <v/>
      </c>
      <c r="O4675" s="75" t="n"/>
      <c r="P4675" s="75" t="n"/>
      <c r="Q4675" s="75">
        <f>IF(ISBLANK(P4675),"",IF(D4675="Stock",P4675*G4675,IF(P4675=0,"0",G4675*P4675*100-(G4675*$AF$14))))</f>
        <v/>
      </c>
      <c r="R4675" s="79">
        <f>IF(P4675&lt;&gt;"", TODAY(), "")</f>
        <v/>
      </c>
      <c r="S4675" s="78">
        <f>IF(AND(K4675&lt;&gt;"", R4675&lt;&gt;""), R4675-K4675, "")</f>
        <v/>
      </c>
      <c r="T4675" s="78" t="n"/>
      <c r="U4675" s="92">
        <f>IF(ISBLANK(P4675),"",IF(C4675="Buy",Q4675-M4675+T4675, IF(C4675="Sell",M4675-Q4675-T4675, X)))</f>
        <v/>
      </c>
      <c r="V4675" s="81">
        <f>IF(ISBLANK(P4675),"",U4675/N4675)</f>
        <v/>
      </c>
      <c r="W4675" s="81">
        <f>IF(ISBLANK(P4675),"",IF(S4675=0,(365/0.5)*V4675,(365/S4675)*V4675))</f>
        <v/>
      </c>
      <c r="X4675" s="75" t="n"/>
      <c r="Y4675" s="77" t="n"/>
      <c r="Z4675" s="77" t="n"/>
      <c r="AA4675" s="75" t="n"/>
      <c r="AB4675" s="75" t="n"/>
      <c r="AC4675" s="6" t="n"/>
      <c r="AD4675" s="75" t="n"/>
      <c r="AE4675" s="75" t="n"/>
      <c r="AF4675" s="75" t="n"/>
    </row>
    <row r="4676" ht="15.75" customHeight="1" s="133">
      <c r="A4676" s="75" t="n"/>
      <c r="B4676" s="75" t="n"/>
      <c r="C4676" s="75" t="n"/>
      <c r="D4676" s="75" t="n"/>
      <c r="E4676" s="76" t="n"/>
      <c r="F4676" s="77" t="n"/>
      <c r="G4676" s="75" t="n"/>
      <c r="H4676" s="75">
        <f>IF(ISBLANK(E4676),"",IF(OR(D4676="Butterfly",D4676="Butterfly ",D4676="Iron Fly", D4676="Iron Fly "),LEN(E4676)-LEN(SUBSTITUTE(E4676,"/",""))+2,LEN(E4676)-LEN(SUBSTITUTE(E4676,"/",""))+1))</f>
        <v/>
      </c>
      <c r="I4676" s="78">
        <f>IF(ISBLANK(G4676),"",IF(D4676="Stock","0",Key!$A$3*H4676*G4676))</f>
        <v/>
      </c>
      <c r="J4676" s="78">
        <f>IF(ISBLANK(E4676),"",IF(ISNUMBER(SEARCH("/",E4676)), IF(LEN(E4676)-LEN(SUBSTITUTE(E4676,"/",""))=1,(RIGHT(E4676,LEN(E4676)-FIND("/",E4676)))-(LEFT(E4676,FIND("/",E4676)-1)),(MID(E4676, SEARCH("/",E4676) + 1, SEARCH("/",E4676, SEARCH("/",E4676)+1) - SEARCH("/",E4676) - 1))-(LEFT(E4676,FIND("/",E4676)-1))), "NA"))</f>
        <v/>
      </c>
      <c r="K4676" s="79">
        <f>IF(A4676&lt;&gt;"", IF(ISBLANK(L4676), TODAY(), K4676), "")</f>
        <v/>
      </c>
      <c r="L4676" s="78" t="n"/>
      <c r="M4676" s="78">
        <f>IF(ISBLANK(L4676),"",IF(D4676="Stock",IF(C4676="Buy",L4676*G4676,IF(C4676="Sell",(L4676*G4676)-I4676, X)),IF(C4676="Buy",(L4676*G4676*100)+I4676,IF(C4676="Sell",(L4676*G4676*100)-I4676, X))))</f>
        <v/>
      </c>
      <c r="N4676" s="78">
        <f>IF(ISBLANK(L4676),"",IF(AND(C4676="Sell",D4676="Stock"),M4676,IF(ISBLANK(L4676),"",IF(C4676="Buy",M4676, IF(AND(C4676="Sell",J4676="NA"),(E4676*G4676*100*0.1)+I4676, IF(C4676="Sell",(J4676-L4676)*(100*G4676)+I4676))))))</f>
        <v/>
      </c>
      <c r="O4676" s="75" t="n"/>
      <c r="P4676" s="75" t="n"/>
      <c r="Q4676" s="75">
        <f>IF(ISBLANK(P4676),"",IF(D4676="Stock",P4676*G4676,IF(P4676=0,"0",G4676*P4676*100-(G4676*$AF$14))))</f>
        <v/>
      </c>
      <c r="R4676" s="79">
        <f>IF(P4676&lt;&gt;"", TODAY(), "")</f>
        <v/>
      </c>
      <c r="S4676" s="78">
        <f>IF(AND(K4676&lt;&gt;"", R4676&lt;&gt;""), R4676-K4676, "")</f>
        <v/>
      </c>
      <c r="T4676" s="78" t="n"/>
      <c r="U4676" s="92">
        <f>IF(ISBLANK(P4676),"",IF(C4676="Buy",Q4676-M4676+T4676, IF(C4676="Sell",M4676-Q4676-T4676, X)))</f>
        <v/>
      </c>
      <c r="V4676" s="81">
        <f>IF(ISBLANK(P4676),"",U4676/N4676)</f>
        <v/>
      </c>
      <c r="W4676" s="81">
        <f>IF(ISBLANK(P4676),"",IF(S4676=0,(365/0.5)*V4676,(365/S4676)*V4676))</f>
        <v/>
      </c>
      <c r="X4676" s="75" t="n"/>
      <c r="Y4676" s="77" t="n"/>
      <c r="Z4676" s="77" t="n"/>
      <c r="AA4676" s="75" t="n"/>
      <c r="AB4676" s="75" t="n"/>
      <c r="AC4676" s="6" t="n"/>
      <c r="AD4676" s="75" t="n"/>
      <c r="AE4676" s="75" t="n"/>
      <c r="AF4676" s="75" t="n"/>
    </row>
    <row r="4677" ht="15.75" customHeight="1" s="133">
      <c r="A4677" s="75" t="n"/>
      <c r="B4677" s="75" t="n"/>
      <c r="C4677" s="75" t="n"/>
      <c r="D4677" s="75" t="n"/>
      <c r="E4677" s="76" t="n"/>
      <c r="F4677" s="77" t="n"/>
      <c r="G4677" s="75" t="n"/>
      <c r="H4677" s="75">
        <f>IF(ISBLANK(E4677),"",IF(OR(D4677="Butterfly",D4677="Butterfly ",D4677="Iron Fly", D4677="Iron Fly "),LEN(E4677)-LEN(SUBSTITUTE(E4677,"/",""))+2,LEN(E4677)-LEN(SUBSTITUTE(E4677,"/",""))+1))</f>
        <v/>
      </c>
      <c r="I4677" s="78">
        <f>IF(ISBLANK(G4677),"",IF(D4677="Stock","0",Key!$A$3*H4677*G4677))</f>
        <v/>
      </c>
      <c r="J4677" s="78">
        <f>IF(ISBLANK(E4677),"",IF(ISNUMBER(SEARCH("/",E4677)), IF(LEN(E4677)-LEN(SUBSTITUTE(E4677,"/",""))=1,(RIGHT(E4677,LEN(E4677)-FIND("/",E4677)))-(LEFT(E4677,FIND("/",E4677)-1)),(MID(E4677, SEARCH("/",E4677) + 1, SEARCH("/",E4677, SEARCH("/",E4677)+1) - SEARCH("/",E4677) - 1))-(LEFT(E4677,FIND("/",E4677)-1))), "NA"))</f>
        <v/>
      </c>
      <c r="K4677" s="79">
        <f>IF(A4677&lt;&gt;"", IF(ISBLANK(L4677), TODAY(), K4677), "")</f>
        <v/>
      </c>
      <c r="L4677" s="78" t="n"/>
      <c r="M4677" s="78">
        <f>IF(ISBLANK(L4677),"",IF(D4677="Stock",IF(C4677="Buy",L4677*G4677,IF(C4677="Sell",(L4677*G4677)-I4677, X)),IF(C4677="Buy",(L4677*G4677*100)+I4677,IF(C4677="Sell",(L4677*G4677*100)-I4677, X))))</f>
        <v/>
      </c>
      <c r="N4677" s="78">
        <f>IF(ISBLANK(L4677),"",IF(AND(C4677="Sell",D4677="Stock"),M4677,IF(ISBLANK(L4677),"",IF(C4677="Buy",M4677, IF(AND(C4677="Sell",J4677="NA"),(E4677*G4677*100*0.1)+I4677, IF(C4677="Sell",(J4677-L4677)*(100*G4677)+I4677))))))</f>
        <v/>
      </c>
      <c r="O4677" s="75" t="n"/>
      <c r="P4677" s="75" t="n"/>
      <c r="Q4677" s="75">
        <f>IF(ISBLANK(P4677),"",IF(D4677="Stock",P4677*G4677,IF(P4677=0,"0",G4677*P4677*100-(G4677*$AF$14))))</f>
        <v/>
      </c>
      <c r="R4677" s="79">
        <f>IF(P4677&lt;&gt;"", TODAY(), "")</f>
        <v/>
      </c>
      <c r="S4677" s="78">
        <f>IF(AND(K4677&lt;&gt;"", R4677&lt;&gt;""), R4677-K4677, "")</f>
        <v/>
      </c>
      <c r="T4677" s="78" t="n"/>
      <c r="U4677" s="92">
        <f>IF(ISBLANK(P4677),"",IF(C4677="Buy",Q4677-M4677+T4677, IF(C4677="Sell",M4677-Q4677-T4677, X)))</f>
        <v/>
      </c>
      <c r="V4677" s="81">
        <f>IF(ISBLANK(P4677),"",U4677/N4677)</f>
        <v/>
      </c>
      <c r="W4677" s="81">
        <f>IF(ISBLANK(P4677),"",IF(S4677=0,(365/0.5)*V4677,(365/S4677)*V4677))</f>
        <v/>
      </c>
      <c r="X4677" s="75" t="n"/>
      <c r="Y4677" s="77" t="n"/>
      <c r="Z4677" s="77" t="n"/>
      <c r="AA4677" s="75" t="n"/>
      <c r="AB4677" s="75" t="n"/>
      <c r="AC4677" s="6" t="n"/>
      <c r="AD4677" s="75" t="n"/>
      <c r="AE4677" s="75" t="n"/>
      <c r="AF4677" s="75" t="n"/>
    </row>
    <row r="4678" ht="15.75" customHeight="1" s="133">
      <c r="A4678" s="75" t="n"/>
      <c r="B4678" s="75" t="n"/>
      <c r="C4678" s="75" t="n"/>
      <c r="D4678" s="75" t="n"/>
      <c r="E4678" s="76" t="n"/>
      <c r="F4678" s="77" t="n"/>
      <c r="G4678" s="75" t="n"/>
      <c r="H4678" s="75">
        <f>IF(ISBLANK(E4678),"",IF(OR(D4678="Butterfly",D4678="Butterfly ",D4678="Iron Fly", D4678="Iron Fly "),LEN(E4678)-LEN(SUBSTITUTE(E4678,"/",""))+2,LEN(E4678)-LEN(SUBSTITUTE(E4678,"/",""))+1))</f>
        <v/>
      </c>
      <c r="I4678" s="78">
        <f>IF(ISBLANK(G4678),"",IF(D4678="Stock","0",Key!$A$3*H4678*G4678))</f>
        <v/>
      </c>
      <c r="J4678" s="78">
        <f>IF(ISBLANK(E4678),"",IF(ISNUMBER(SEARCH("/",E4678)), IF(LEN(E4678)-LEN(SUBSTITUTE(E4678,"/",""))=1,(RIGHT(E4678,LEN(E4678)-FIND("/",E4678)))-(LEFT(E4678,FIND("/",E4678)-1)),(MID(E4678, SEARCH("/",E4678) + 1, SEARCH("/",E4678, SEARCH("/",E4678)+1) - SEARCH("/",E4678) - 1))-(LEFT(E4678,FIND("/",E4678)-1))), "NA"))</f>
        <v/>
      </c>
      <c r="K4678" s="79">
        <f>IF(A4678&lt;&gt;"", IF(ISBLANK(L4678), TODAY(), K4678), "")</f>
        <v/>
      </c>
      <c r="L4678" s="78" t="n"/>
      <c r="M4678" s="78">
        <f>IF(ISBLANK(L4678),"",IF(D4678="Stock",IF(C4678="Buy",L4678*G4678,IF(C4678="Sell",(L4678*G4678)-I4678, X)),IF(C4678="Buy",(L4678*G4678*100)+I4678,IF(C4678="Sell",(L4678*G4678*100)-I4678, X))))</f>
        <v/>
      </c>
      <c r="N4678" s="78">
        <f>IF(ISBLANK(L4678),"",IF(AND(C4678="Sell",D4678="Stock"),M4678,IF(ISBLANK(L4678),"",IF(C4678="Buy",M4678, IF(AND(C4678="Sell",J4678="NA"),(E4678*G4678*100*0.1)+I4678, IF(C4678="Sell",(J4678-L4678)*(100*G4678)+I4678))))))</f>
        <v/>
      </c>
      <c r="O4678" s="75" t="n"/>
      <c r="P4678" s="75" t="n"/>
      <c r="Q4678" s="75">
        <f>IF(ISBLANK(P4678),"",IF(D4678="Stock",P4678*G4678,IF(P4678=0,"0",G4678*P4678*100-(G4678*$AF$14))))</f>
        <v/>
      </c>
      <c r="R4678" s="79">
        <f>IF(P4678&lt;&gt;"", TODAY(), "")</f>
        <v/>
      </c>
      <c r="S4678" s="78">
        <f>IF(AND(K4678&lt;&gt;"", R4678&lt;&gt;""), R4678-K4678, "")</f>
        <v/>
      </c>
      <c r="T4678" s="78" t="n"/>
      <c r="U4678" s="92">
        <f>IF(ISBLANK(P4678),"",IF(C4678="Buy",Q4678-M4678+T4678, IF(C4678="Sell",M4678-Q4678-T4678, X)))</f>
        <v/>
      </c>
      <c r="V4678" s="81">
        <f>IF(ISBLANK(P4678),"",U4678/N4678)</f>
        <v/>
      </c>
      <c r="W4678" s="81">
        <f>IF(ISBLANK(P4678),"",IF(S4678=0,(365/0.5)*V4678,(365/S4678)*V4678))</f>
        <v/>
      </c>
      <c r="X4678" s="75" t="n"/>
      <c r="Y4678" s="77" t="n"/>
      <c r="Z4678" s="77" t="n"/>
      <c r="AA4678" s="75" t="n"/>
      <c r="AB4678" s="75" t="n"/>
      <c r="AC4678" s="6" t="n"/>
      <c r="AD4678" s="75" t="n"/>
      <c r="AE4678" s="75" t="n"/>
      <c r="AF4678" s="75" t="n"/>
    </row>
    <row r="4679" ht="15.75" customHeight="1" s="133">
      <c r="A4679" s="75" t="n"/>
      <c r="B4679" s="75" t="n"/>
      <c r="C4679" s="75" t="n"/>
      <c r="D4679" s="75" t="n"/>
      <c r="E4679" s="76" t="n"/>
      <c r="F4679" s="77" t="n"/>
      <c r="G4679" s="75" t="n"/>
      <c r="H4679" s="75">
        <f>IF(ISBLANK(E4679),"",IF(OR(D4679="Butterfly",D4679="Butterfly ",D4679="Iron Fly", D4679="Iron Fly "),LEN(E4679)-LEN(SUBSTITUTE(E4679,"/",""))+2,LEN(E4679)-LEN(SUBSTITUTE(E4679,"/",""))+1))</f>
        <v/>
      </c>
      <c r="I4679" s="78">
        <f>IF(ISBLANK(G4679),"",IF(D4679="Stock","0",Key!$A$3*H4679*G4679))</f>
        <v/>
      </c>
      <c r="J4679" s="78">
        <f>IF(ISBLANK(E4679),"",IF(ISNUMBER(SEARCH("/",E4679)), IF(LEN(E4679)-LEN(SUBSTITUTE(E4679,"/",""))=1,(RIGHT(E4679,LEN(E4679)-FIND("/",E4679)))-(LEFT(E4679,FIND("/",E4679)-1)),(MID(E4679, SEARCH("/",E4679) + 1, SEARCH("/",E4679, SEARCH("/",E4679)+1) - SEARCH("/",E4679) - 1))-(LEFT(E4679,FIND("/",E4679)-1))), "NA"))</f>
        <v/>
      </c>
      <c r="K4679" s="79">
        <f>IF(A4679&lt;&gt;"", IF(ISBLANK(L4679), TODAY(), K4679), "")</f>
        <v/>
      </c>
      <c r="L4679" s="78" t="n"/>
      <c r="M4679" s="78">
        <f>IF(ISBLANK(L4679),"",IF(D4679="Stock",IF(C4679="Buy",L4679*G4679,IF(C4679="Sell",(L4679*G4679)-I4679, X)),IF(C4679="Buy",(L4679*G4679*100)+I4679,IF(C4679="Sell",(L4679*G4679*100)-I4679, X))))</f>
        <v/>
      </c>
      <c r="N4679" s="78">
        <f>IF(ISBLANK(L4679),"",IF(AND(C4679="Sell",D4679="Stock"),M4679,IF(ISBLANK(L4679),"",IF(C4679="Buy",M4679, IF(AND(C4679="Sell",J4679="NA"),(E4679*G4679*100*0.1)+I4679, IF(C4679="Sell",(J4679-L4679)*(100*G4679)+I4679))))))</f>
        <v/>
      </c>
      <c r="O4679" s="75" t="n"/>
      <c r="P4679" s="75" t="n"/>
      <c r="Q4679" s="75">
        <f>IF(ISBLANK(P4679),"",IF(D4679="Stock",P4679*G4679,IF(P4679=0,"0",G4679*P4679*100-(G4679*$AF$14))))</f>
        <v/>
      </c>
      <c r="R4679" s="79">
        <f>IF(P4679&lt;&gt;"", TODAY(), "")</f>
        <v/>
      </c>
      <c r="S4679" s="78">
        <f>IF(AND(K4679&lt;&gt;"", R4679&lt;&gt;""), R4679-K4679, "")</f>
        <v/>
      </c>
      <c r="T4679" s="78" t="n"/>
      <c r="U4679" s="92">
        <f>IF(ISBLANK(P4679),"",IF(C4679="Buy",Q4679-M4679+T4679, IF(C4679="Sell",M4679-Q4679-T4679, X)))</f>
        <v/>
      </c>
      <c r="V4679" s="81">
        <f>IF(ISBLANK(P4679),"",U4679/N4679)</f>
        <v/>
      </c>
      <c r="W4679" s="81">
        <f>IF(ISBLANK(P4679),"",IF(S4679=0,(365/0.5)*V4679,(365/S4679)*V4679))</f>
        <v/>
      </c>
      <c r="X4679" s="75" t="n"/>
      <c r="Y4679" s="77" t="n"/>
      <c r="Z4679" s="77" t="n"/>
      <c r="AA4679" s="75" t="n"/>
      <c r="AB4679" s="75" t="n"/>
      <c r="AC4679" s="6" t="n"/>
      <c r="AD4679" s="75" t="n"/>
      <c r="AE4679" s="75" t="n"/>
      <c r="AF4679" s="75" t="n"/>
    </row>
    <row r="4680" ht="15.75" customHeight="1" s="133">
      <c r="A4680" s="75" t="n"/>
      <c r="B4680" s="75" t="n"/>
      <c r="C4680" s="75" t="n"/>
      <c r="D4680" s="75" t="n"/>
      <c r="E4680" s="76" t="n"/>
      <c r="F4680" s="77" t="n"/>
      <c r="G4680" s="75" t="n"/>
      <c r="H4680" s="75">
        <f>IF(ISBLANK(E4680),"",IF(OR(D4680="Butterfly",D4680="Butterfly ",D4680="Iron Fly", D4680="Iron Fly "),LEN(E4680)-LEN(SUBSTITUTE(E4680,"/",""))+2,LEN(E4680)-LEN(SUBSTITUTE(E4680,"/",""))+1))</f>
        <v/>
      </c>
      <c r="I4680" s="78">
        <f>IF(ISBLANK(G4680),"",IF(D4680="Stock","0",Key!$A$3*H4680*G4680))</f>
        <v/>
      </c>
      <c r="J4680" s="78">
        <f>IF(ISBLANK(E4680),"",IF(ISNUMBER(SEARCH("/",E4680)), IF(LEN(E4680)-LEN(SUBSTITUTE(E4680,"/",""))=1,(RIGHT(E4680,LEN(E4680)-FIND("/",E4680)))-(LEFT(E4680,FIND("/",E4680)-1)),(MID(E4680, SEARCH("/",E4680) + 1, SEARCH("/",E4680, SEARCH("/",E4680)+1) - SEARCH("/",E4680) - 1))-(LEFT(E4680,FIND("/",E4680)-1))), "NA"))</f>
        <v/>
      </c>
      <c r="K4680" s="79">
        <f>IF(A4680&lt;&gt;"", IF(ISBLANK(L4680), TODAY(), K4680), "")</f>
        <v/>
      </c>
      <c r="L4680" s="78" t="n"/>
      <c r="M4680" s="78">
        <f>IF(ISBLANK(L4680),"",IF(D4680="Stock",IF(C4680="Buy",L4680*G4680,IF(C4680="Sell",(L4680*G4680)-I4680, X)),IF(C4680="Buy",(L4680*G4680*100)+I4680,IF(C4680="Sell",(L4680*G4680*100)-I4680, X))))</f>
        <v/>
      </c>
      <c r="N4680" s="78">
        <f>IF(ISBLANK(L4680),"",IF(AND(C4680="Sell",D4680="Stock"),M4680,IF(ISBLANK(L4680),"",IF(C4680="Buy",M4680, IF(AND(C4680="Sell",J4680="NA"),(E4680*G4680*100*0.1)+I4680, IF(C4680="Sell",(J4680-L4680)*(100*G4680)+I4680))))))</f>
        <v/>
      </c>
      <c r="O4680" s="75" t="n"/>
      <c r="P4680" s="75" t="n"/>
      <c r="Q4680" s="75">
        <f>IF(ISBLANK(P4680),"",IF(D4680="Stock",P4680*G4680,IF(P4680=0,"0",G4680*P4680*100-(G4680*$AF$14))))</f>
        <v/>
      </c>
      <c r="R4680" s="79">
        <f>IF(P4680&lt;&gt;"", TODAY(), "")</f>
        <v/>
      </c>
      <c r="S4680" s="78">
        <f>IF(AND(K4680&lt;&gt;"", R4680&lt;&gt;""), R4680-K4680, "")</f>
        <v/>
      </c>
      <c r="T4680" s="78" t="n"/>
      <c r="U4680" s="92">
        <f>IF(ISBLANK(P4680),"",IF(C4680="Buy",Q4680-M4680+T4680, IF(C4680="Sell",M4680-Q4680-T4680, X)))</f>
        <v/>
      </c>
      <c r="V4680" s="81">
        <f>IF(ISBLANK(P4680),"",U4680/N4680)</f>
        <v/>
      </c>
      <c r="W4680" s="81">
        <f>IF(ISBLANK(P4680),"",IF(S4680=0,(365/0.5)*V4680,(365/S4680)*V4680))</f>
        <v/>
      </c>
      <c r="X4680" s="75" t="n"/>
      <c r="Y4680" s="77" t="n"/>
      <c r="Z4680" s="77" t="n"/>
      <c r="AA4680" s="75" t="n"/>
      <c r="AB4680" s="75" t="n"/>
      <c r="AC4680" s="6" t="n"/>
      <c r="AD4680" s="75" t="n"/>
      <c r="AE4680" s="75" t="n"/>
      <c r="AF4680" s="75" t="n"/>
    </row>
    <row r="4681" ht="15.75" customHeight="1" s="133">
      <c r="A4681" s="75" t="n"/>
      <c r="B4681" s="75" t="n"/>
      <c r="C4681" s="75" t="n"/>
      <c r="D4681" s="75" t="n"/>
      <c r="E4681" s="76" t="n"/>
      <c r="F4681" s="77" t="n"/>
      <c r="G4681" s="75" t="n"/>
      <c r="H4681" s="75">
        <f>IF(ISBLANK(E4681),"",IF(OR(D4681="Butterfly",D4681="Butterfly ",D4681="Iron Fly", D4681="Iron Fly "),LEN(E4681)-LEN(SUBSTITUTE(E4681,"/",""))+2,LEN(E4681)-LEN(SUBSTITUTE(E4681,"/",""))+1))</f>
        <v/>
      </c>
      <c r="I4681" s="78">
        <f>IF(ISBLANK(G4681),"",IF(D4681="Stock","0",Key!$A$3*H4681*G4681))</f>
        <v/>
      </c>
      <c r="J4681" s="78">
        <f>IF(ISBLANK(E4681),"",IF(ISNUMBER(SEARCH("/",E4681)), IF(LEN(E4681)-LEN(SUBSTITUTE(E4681,"/",""))=1,(RIGHT(E4681,LEN(E4681)-FIND("/",E4681)))-(LEFT(E4681,FIND("/",E4681)-1)),(MID(E4681, SEARCH("/",E4681) + 1, SEARCH("/",E4681, SEARCH("/",E4681)+1) - SEARCH("/",E4681) - 1))-(LEFT(E4681,FIND("/",E4681)-1))), "NA"))</f>
        <v/>
      </c>
      <c r="K4681" s="79">
        <f>IF(A4681&lt;&gt;"", IF(ISBLANK(L4681), TODAY(), K4681), "")</f>
        <v/>
      </c>
      <c r="L4681" s="78" t="n"/>
      <c r="M4681" s="78">
        <f>IF(ISBLANK(L4681),"",IF(D4681="Stock",IF(C4681="Buy",L4681*G4681,IF(C4681="Sell",(L4681*G4681)-I4681, X)),IF(C4681="Buy",(L4681*G4681*100)+I4681,IF(C4681="Sell",(L4681*G4681*100)-I4681, X))))</f>
        <v/>
      </c>
      <c r="N4681" s="78">
        <f>IF(ISBLANK(L4681),"",IF(AND(C4681="Sell",D4681="Stock"),M4681,IF(ISBLANK(L4681),"",IF(C4681="Buy",M4681, IF(AND(C4681="Sell",J4681="NA"),(E4681*G4681*100*0.1)+I4681, IF(C4681="Sell",(J4681-L4681)*(100*G4681)+I4681))))))</f>
        <v/>
      </c>
      <c r="O4681" s="75" t="n"/>
      <c r="P4681" s="75" t="n"/>
      <c r="Q4681" s="75">
        <f>IF(ISBLANK(P4681),"",IF(D4681="Stock",P4681*G4681,IF(P4681=0,"0",G4681*P4681*100-(G4681*$AF$14))))</f>
        <v/>
      </c>
      <c r="R4681" s="79">
        <f>IF(P4681&lt;&gt;"", TODAY(), "")</f>
        <v/>
      </c>
      <c r="S4681" s="78">
        <f>IF(AND(K4681&lt;&gt;"", R4681&lt;&gt;""), R4681-K4681, "")</f>
        <v/>
      </c>
      <c r="T4681" s="78" t="n"/>
      <c r="U4681" s="92">
        <f>IF(ISBLANK(P4681),"",IF(C4681="Buy",Q4681-M4681+T4681, IF(C4681="Sell",M4681-Q4681-T4681, X)))</f>
        <v/>
      </c>
      <c r="V4681" s="81">
        <f>IF(ISBLANK(P4681),"",U4681/N4681)</f>
        <v/>
      </c>
      <c r="W4681" s="81">
        <f>IF(ISBLANK(P4681),"",IF(S4681=0,(365/0.5)*V4681,(365/S4681)*V4681))</f>
        <v/>
      </c>
      <c r="X4681" s="75" t="n"/>
      <c r="Y4681" s="77" t="n"/>
      <c r="Z4681" s="77" t="n"/>
      <c r="AA4681" s="75" t="n"/>
      <c r="AB4681" s="75" t="n"/>
      <c r="AC4681" s="6" t="n"/>
      <c r="AD4681" s="75" t="n"/>
      <c r="AE4681" s="75" t="n"/>
      <c r="AF4681" s="75" t="n"/>
    </row>
    <row r="4682" ht="15.75" customHeight="1" s="133">
      <c r="A4682" s="75" t="n"/>
      <c r="B4682" s="75" t="n"/>
      <c r="C4682" s="75" t="n"/>
      <c r="D4682" s="75" t="n"/>
      <c r="E4682" s="76" t="n"/>
      <c r="F4682" s="77" t="n"/>
      <c r="G4682" s="75" t="n"/>
      <c r="H4682" s="75">
        <f>IF(ISBLANK(E4682),"",IF(OR(D4682="Butterfly",D4682="Butterfly ",D4682="Iron Fly", D4682="Iron Fly "),LEN(E4682)-LEN(SUBSTITUTE(E4682,"/",""))+2,LEN(E4682)-LEN(SUBSTITUTE(E4682,"/",""))+1))</f>
        <v/>
      </c>
      <c r="I4682" s="78">
        <f>IF(ISBLANK(G4682),"",IF(D4682="Stock","0",Key!$A$3*H4682*G4682))</f>
        <v/>
      </c>
      <c r="J4682" s="78">
        <f>IF(ISBLANK(E4682),"",IF(ISNUMBER(SEARCH("/",E4682)), IF(LEN(E4682)-LEN(SUBSTITUTE(E4682,"/",""))=1,(RIGHT(E4682,LEN(E4682)-FIND("/",E4682)))-(LEFT(E4682,FIND("/",E4682)-1)),(MID(E4682, SEARCH("/",E4682) + 1, SEARCH("/",E4682, SEARCH("/",E4682)+1) - SEARCH("/",E4682) - 1))-(LEFT(E4682,FIND("/",E4682)-1))), "NA"))</f>
        <v/>
      </c>
      <c r="K4682" s="79">
        <f>IF(A4682&lt;&gt;"", IF(ISBLANK(L4682), TODAY(), K4682), "")</f>
        <v/>
      </c>
      <c r="L4682" s="78" t="n"/>
      <c r="M4682" s="78">
        <f>IF(ISBLANK(L4682),"",IF(D4682="Stock",IF(C4682="Buy",L4682*G4682,IF(C4682="Sell",(L4682*G4682)-I4682, X)),IF(C4682="Buy",(L4682*G4682*100)+I4682,IF(C4682="Sell",(L4682*G4682*100)-I4682, X))))</f>
        <v/>
      </c>
      <c r="N4682" s="78">
        <f>IF(ISBLANK(L4682),"",IF(AND(C4682="Sell",D4682="Stock"),M4682,IF(ISBLANK(L4682),"",IF(C4682="Buy",M4682, IF(AND(C4682="Sell",J4682="NA"),(E4682*G4682*100*0.1)+I4682, IF(C4682="Sell",(J4682-L4682)*(100*G4682)+I4682))))))</f>
        <v/>
      </c>
      <c r="O4682" s="75" t="n"/>
      <c r="P4682" s="75" t="n"/>
      <c r="Q4682" s="75">
        <f>IF(ISBLANK(P4682),"",IF(D4682="Stock",P4682*G4682,IF(P4682=0,"0",G4682*P4682*100-(G4682*$AF$14))))</f>
        <v/>
      </c>
      <c r="R4682" s="79">
        <f>IF(P4682&lt;&gt;"", TODAY(), "")</f>
        <v/>
      </c>
      <c r="S4682" s="78">
        <f>IF(AND(K4682&lt;&gt;"", R4682&lt;&gt;""), R4682-K4682, "")</f>
        <v/>
      </c>
      <c r="T4682" s="78" t="n"/>
      <c r="U4682" s="92">
        <f>IF(ISBLANK(P4682),"",IF(C4682="Buy",Q4682-M4682+T4682, IF(C4682="Sell",M4682-Q4682-T4682, X)))</f>
        <v/>
      </c>
      <c r="V4682" s="81">
        <f>IF(ISBLANK(P4682),"",U4682/N4682)</f>
        <v/>
      </c>
      <c r="W4682" s="81">
        <f>IF(ISBLANK(P4682),"",IF(S4682=0,(365/0.5)*V4682,(365/S4682)*V4682))</f>
        <v/>
      </c>
      <c r="X4682" s="75" t="n"/>
      <c r="Y4682" s="77" t="n"/>
      <c r="Z4682" s="77" t="n"/>
      <c r="AA4682" s="75" t="n"/>
      <c r="AB4682" s="75" t="n"/>
      <c r="AC4682" s="6" t="n"/>
      <c r="AD4682" s="75" t="n"/>
      <c r="AE4682" s="75" t="n"/>
      <c r="AF4682" s="75" t="n"/>
    </row>
    <row r="4683" ht="15.75" customHeight="1" s="133">
      <c r="A4683" s="75" t="n"/>
      <c r="B4683" s="75" t="n"/>
      <c r="C4683" s="75" t="n"/>
      <c r="D4683" s="75" t="n"/>
      <c r="E4683" s="76" t="n"/>
      <c r="F4683" s="77" t="n"/>
      <c r="G4683" s="75" t="n"/>
      <c r="H4683" s="75">
        <f>IF(ISBLANK(E4683),"",IF(OR(D4683="Butterfly",D4683="Butterfly ",D4683="Iron Fly", D4683="Iron Fly "),LEN(E4683)-LEN(SUBSTITUTE(E4683,"/",""))+2,LEN(E4683)-LEN(SUBSTITUTE(E4683,"/",""))+1))</f>
        <v/>
      </c>
      <c r="I4683" s="78">
        <f>IF(ISBLANK(G4683),"",IF(D4683="Stock","0",Key!$A$3*H4683*G4683))</f>
        <v/>
      </c>
      <c r="J4683" s="78">
        <f>IF(ISBLANK(E4683),"",IF(ISNUMBER(SEARCH("/",E4683)), IF(LEN(E4683)-LEN(SUBSTITUTE(E4683,"/",""))=1,(RIGHT(E4683,LEN(E4683)-FIND("/",E4683)))-(LEFT(E4683,FIND("/",E4683)-1)),(MID(E4683, SEARCH("/",E4683) + 1, SEARCH("/",E4683, SEARCH("/",E4683)+1) - SEARCH("/",E4683) - 1))-(LEFT(E4683,FIND("/",E4683)-1))), "NA"))</f>
        <v/>
      </c>
      <c r="K4683" s="79">
        <f>IF(A4683&lt;&gt;"", IF(ISBLANK(L4683), TODAY(), K4683), "")</f>
        <v/>
      </c>
      <c r="L4683" s="78" t="n"/>
      <c r="M4683" s="78">
        <f>IF(ISBLANK(L4683),"",IF(D4683="Stock",IF(C4683="Buy",L4683*G4683,IF(C4683="Sell",(L4683*G4683)-I4683, X)),IF(C4683="Buy",(L4683*G4683*100)+I4683,IF(C4683="Sell",(L4683*G4683*100)-I4683, X))))</f>
        <v/>
      </c>
      <c r="N4683" s="78">
        <f>IF(ISBLANK(L4683),"",IF(AND(C4683="Sell",D4683="Stock"),M4683,IF(ISBLANK(L4683),"",IF(C4683="Buy",M4683, IF(AND(C4683="Sell",J4683="NA"),(E4683*G4683*100*0.1)+I4683, IF(C4683="Sell",(J4683-L4683)*(100*G4683)+I4683))))))</f>
        <v/>
      </c>
      <c r="O4683" s="75" t="n"/>
      <c r="P4683" s="75" t="n"/>
      <c r="Q4683" s="75">
        <f>IF(ISBLANK(P4683),"",IF(D4683="Stock",P4683*G4683,IF(P4683=0,"0",G4683*P4683*100-(G4683*$AF$14))))</f>
        <v/>
      </c>
      <c r="R4683" s="79">
        <f>IF(P4683&lt;&gt;"", TODAY(), "")</f>
        <v/>
      </c>
      <c r="S4683" s="78">
        <f>IF(AND(K4683&lt;&gt;"", R4683&lt;&gt;""), R4683-K4683, "")</f>
        <v/>
      </c>
      <c r="T4683" s="78" t="n"/>
      <c r="U4683" s="92">
        <f>IF(ISBLANK(P4683),"",IF(C4683="Buy",Q4683-M4683+T4683, IF(C4683="Sell",M4683-Q4683-T4683, X)))</f>
        <v/>
      </c>
      <c r="V4683" s="81">
        <f>IF(ISBLANK(P4683),"",U4683/N4683)</f>
        <v/>
      </c>
      <c r="W4683" s="81">
        <f>IF(ISBLANK(P4683),"",IF(S4683=0,(365/0.5)*V4683,(365/S4683)*V4683))</f>
        <v/>
      </c>
      <c r="X4683" s="75" t="n"/>
      <c r="Y4683" s="77" t="n"/>
      <c r="Z4683" s="77" t="n"/>
      <c r="AA4683" s="75" t="n"/>
      <c r="AB4683" s="75" t="n"/>
      <c r="AC4683" s="6" t="n"/>
      <c r="AD4683" s="75" t="n"/>
      <c r="AE4683" s="75" t="n"/>
      <c r="AF4683" s="75" t="n"/>
    </row>
    <row r="4684" ht="15.75" customHeight="1" s="133">
      <c r="A4684" s="75" t="n"/>
      <c r="B4684" s="75" t="n"/>
      <c r="C4684" s="75" t="n"/>
      <c r="D4684" s="75" t="n"/>
      <c r="E4684" s="76" t="n"/>
      <c r="F4684" s="77" t="n"/>
      <c r="G4684" s="75" t="n"/>
      <c r="H4684" s="75">
        <f>IF(ISBLANK(E4684),"",IF(OR(D4684="Butterfly",D4684="Butterfly ",D4684="Iron Fly", D4684="Iron Fly "),LEN(E4684)-LEN(SUBSTITUTE(E4684,"/",""))+2,LEN(E4684)-LEN(SUBSTITUTE(E4684,"/",""))+1))</f>
        <v/>
      </c>
      <c r="I4684" s="78">
        <f>IF(ISBLANK(G4684),"",IF(D4684="Stock","0",Key!$A$3*H4684*G4684))</f>
        <v/>
      </c>
      <c r="J4684" s="78">
        <f>IF(ISBLANK(E4684),"",IF(ISNUMBER(SEARCH("/",E4684)), IF(LEN(E4684)-LEN(SUBSTITUTE(E4684,"/",""))=1,(RIGHT(E4684,LEN(E4684)-FIND("/",E4684)))-(LEFT(E4684,FIND("/",E4684)-1)),(MID(E4684, SEARCH("/",E4684) + 1, SEARCH("/",E4684, SEARCH("/",E4684)+1) - SEARCH("/",E4684) - 1))-(LEFT(E4684,FIND("/",E4684)-1))), "NA"))</f>
        <v/>
      </c>
      <c r="K4684" s="79">
        <f>IF(A4684&lt;&gt;"", IF(ISBLANK(L4684), TODAY(), K4684), "")</f>
        <v/>
      </c>
      <c r="L4684" s="78" t="n"/>
      <c r="M4684" s="78">
        <f>IF(ISBLANK(L4684),"",IF(D4684="Stock",IF(C4684="Buy",L4684*G4684,IF(C4684="Sell",(L4684*G4684)-I4684, X)),IF(C4684="Buy",(L4684*G4684*100)+I4684,IF(C4684="Sell",(L4684*G4684*100)-I4684, X))))</f>
        <v/>
      </c>
      <c r="N4684" s="78">
        <f>IF(ISBLANK(L4684),"",IF(AND(C4684="Sell",D4684="Stock"),M4684,IF(ISBLANK(L4684),"",IF(C4684="Buy",M4684, IF(AND(C4684="Sell",J4684="NA"),(E4684*G4684*100*0.1)+I4684, IF(C4684="Sell",(J4684-L4684)*(100*G4684)+I4684))))))</f>
        <v/>
      </c>
      <c r="O4684" s="75" t="n"/>
      <c r="P4684" s="75" t="n"/>
      <c r="Q4684" s="75">
        <f>IF(ISBLANK(P4684),"",IF(D4684="Stock",P4684*G4684,IF(P4684=0,"0",G4684*P4684*100-(G4684*$AF$14))))</f>
        <v/>
      </c>
      <c r="R4684" s="79">
        <f>IF(P4684&lt;&gt;"", TODAY(), "")</f>
        <v/>
      </c>
      <c r="S4684" s="78">
        <f>IF(AND(K4684&lt;&gt;"", R4684&lt;&gt;""), R4684-K4684, "")</f>
        <v/>
      </c>
      <c r="T4684" s="78" t="n"/>
      <c r="U4684" s="92">
        <f>IF(ISBLANK(P4684),"",IF(C4684="Buy",Q4684-M4684+T4684, IF(C4684="Sell",M4684-Q4684-T4684, X)))</f>
        <v/>
      </c>
      <c r="V4684" s="81">
        <f>IF(ISBLANK(P4684),"",U4684/N4684)</f>
        <v/>
      </c>
      <c r="W4684" s="81">
        <f>IF(ISBLANK(P4684),"",IF(S4684=0,(365/0.5)*V4684,(365/S4684)*V4684))</f>
        <v/>
      </c>
      <c r="X4684" s="75" t="n"/>
      <c r="Y4684" s="77" t="n"/>
      <c r="Z4684" s="77" t="n"/>
      <c r="AA4684" s="75" t="n"/>
      <c r="AB4684" s="75" t="n"/>
      <c r="AC4684" s="6" t="n"/>
      <c r="AD4684" s="75" t="n"/>
      <c r="AE4684" s="75" t="n"/>
      <c r="AF4684" s="75" t="n"/>
    </row>
    <row r="4685" ht="15.75" customHeight="1" s="133">
      <c r="A4685" s="75" t="n"/>
      <c r="B4685" s="75" t="n"/>
      <c r="C4685" s="75" t="n"/>
      <c r="D4685" s="75" t="n"/>
      <c r="E4685" s="76" t="n"/>
      <c r="F4685" s="77" t="n"/>
      <c r="G4685" s="75" t="n"/>
      <c r="H4685" s="75">
        <f>IF(ISBLANK(E4685),"",IF(OR(D4685="Butterfly",D4685="Butterfly ",D4685="Iron Fly", D4685="Iron Fly "),LEN(E4685)-LEN(SUBSTITUTE(E4685,"/",""))+2,LEN(E4685)-LEN(SUBSTITUTE(E4685,"/",""))+1))</f>
        <v/>
      </c>
      <c r="I4685" s="78">
        <f>IF(ISBLANK(G4685),"",IF(D4685="Stock","0",Key!$A$3*H4685*G4685))</f>
        <v/>
      </c>
      <c r="J4685" s="78">
        <f>IF(ISBLANK(E4685),"",IF(ISNUMBER(SEARCH("/",E4685)), IF(LEN(E4685)-LEN(SUBSTITUTE(E4685,"/",""))=1,(RIGHT(E4685,LEN(E4685)-FIND("/",E4685)))-(LEFT(E4685,FIND("/",E4685)-1)),(MID(E4685, SEARCH("/",E4685) + 1, SEARCH("/",E4685, SEARCH("/",E4685)+1) - SEARCH("/",E4685) - 1))-(LEFT(E4685,FIND("/",E4685)-1))), "NA"))</f>
        <v/>
      </c>
      <c r="K4685" s="79">
        <f>IF(A4685&lt;&gt;"", IF(ISBLANK(L4685), TODAY(), K4685), "")</f>
        <v/>
      </c>
      <c r="L4685" s="78" t="n"/>
      <c r="M4685" s="78">
        <f>IF(ISBLANK(L4685),"",IF(D4685="Stock",IF(C4685="Buy",L4685*G4685,IF(C4685="Sell",(L4685*G4685)-I4685, X)),IF(C4685="Buy",(L4685*G4685*100)+I4685,IF(C4685="Sell",(L4685*G4685*100)-I4685, X))))</f>
        <v/>
      </c>
      <c r="N4685" s="78">
        <f>IF(ISBLANK(L4685),"",IF(AND(C4685="Sell",D4685="Stock"),M4685,IF(ISBLANK(L4685),"",IF(C4685="Buy",M4685, IF(AND(C4685="Sell",J4685="NA"),(E4685*G4685*100*0.1)+I4685, IF(C4685="Sell",(J4685-L4685)*(100*G4685)+I4685))))))</f>
        <v/>
      </c>
      <c r="O4685" s="75" t="n"/>
      <c r="P4685" s="75" t="n"/>
      <c r="Q4685" s="75">
        <f>IF(ISBLANK(P4685),"",IF(D4685="Stock",P4685*G4685,IF(P4685=0,"0",G4685*P4685*100-(G4685*$AF$14))))</f>
        <v/>
      </c>
      <c r="R4685" s="79">
        <f>IF(P4685&lt;&gt;"", TODAY(), "")</f>
        <v/>
      </c>
      <c r="S4685" s="78">
        <f>IF(AND(K4685&lt;&gt;"", R4685&lt;&gt;""), R4685-K4685, "")</f>
        <v/>
      </c>
      <c r="T4685" s="78" t="n"/>
      <c r="U4685" s="92">
        <f>IF(ISBLANK(P4685),"",IF(C4685="Buy",Q4685-M4685+T4685, IF(C4685="Sell",M4685-Q4685-T4685, X)))</f>
        <v/>
      </c>
      <c r="V4685" s="81">
        <f>IF(ISBLANK(P4685),"",U4685/N4685)</f>
        <v/>
      </c>
      <c r="W4685" s="81">
        <f>IF(ISBLANK(P4685),"",IF(S4685=0,(365/0.5)*V4685,(365/S4685)*V4685))</f>
        <v/>
      </c>
      <c r="X4685" s="75" t="n"/>
      <c r="Y4685" s="77" t="n"/>
      <c r="Z4685" s="77" t="n"/>
      <c r="AA4685" s="75" t="n"/>
      <c r="AB4685" s="75" t="n"/>
      <c r="AC4685" s="6" t="n"/>
      <c r="AD4685" s="75" t="n"/>
      <c r="AE4685" s="75" t="n"/>
      <c r="AF4685" s="75" t="n"/>
    </row>
    <row r="4686" ht="15.75" customHeight="1" s="133">
      <c r="A4686" s="75" t="n"/>
      <c r="B4686" s="75" t="n"/>
      <c r="C4686" s="75" t="n"/>
      <c r="D4686" s="75" t="n"/>
      <c r="E4686" s="76" t="n"/>
      <c r="F4686" s="77" t="n"/>
      <c r="G4686" s="75" t="n"/>
      <c r="H4686" s="75">
        <f>IF(ISBLANK(E4686),"",IF(OR(D4686="Butterfly",D4686="Butterfly ",D4686="Iron Fly", D4686="Iron Fly "),LEN(E4686)-LEN(SUBSTITUTE(E4686,"/",""))+2,LEN(E4686)-LEN(SUBSTITUTE(E4686,"/",""))+1))</f>
        <v/>
      </c>
      <c r="I4686" s="78">
        <f>IF(ISBLANK(G4686),"",IF(D4686="Stock","0",Key!$A$3*H4686*G4686))</f>
        <v/>
      </c>
      <c r="J4686" s="78">
        <f>IF(ISBLANK(E4686),"",IF(ISNUMBER(SEARCH("/",E4686)), IF(LEN(E4686)-LEN(SUBSTITUTE(E4686,"/",""))=1,(RIGHT(E4686,LEN(E4686)-FIND("/",E4686)))-(LEFT(E4686,FIND("/",E4686)-1)),(MID(E4686, SEARCH("/",E4686) + 1, SEARCH("/",E4686, SEARCH("/",E4686)+1) - SEARCH("/",E4686) - 1))-(LEFT(E4686,FIND("/",E4686)-1))), "NA"))</f>
        <v/>
      </c>
      <c r="K4686" s="79">
        <f>IF(A4686&lt;&gt;"", IF(ISBLANK(L4686), TODAY(), K4686), "")</f>
        <v/>
      </c>
      <c r="L4686" s="78" t="n"/>
      <c r="M4686" s="78">
        <f>IF(ISBLANK(L4686),"",IF(D4686="Stock",IF(C4686="Buy",L4686*G4686,IF(C4686="Sell",(L4686*G4686)-I4686, X)),IF(C4686="Buy",(L4686*G4686*100)+I4686,IF(C4686="Sell",(L4686*G4686*100)-I4686, X))))</f>
        <v/>
      </c>
      <c r="N4686" s="78">
        <f>IF(ISBLANK(L4686),"",IF(AND(C4686="Sell",D4686="Stock"),M4686,IF(ISBLANK(L4686),"",IF(C4686="Buy",M4686, IF(AND(C4686="Sell",J4686="NA"),(E4686*G4686*100*0.1)+I4686, IF(C4686="Sell",(J4686-L4686)*(100*G4686)+I4686))))))</f>
        <v/>
      </c>
      <c r="O4686" s="75" t="n"/>
      <c r="P4686" s="75" t="n"/>
      <c r="Q4686" s="75">
        <f>IF(ISBLANK(P4686),"",IF(D4686="Stock",P4686*G4686,IF(P4686=0,"0",G4686*P4686*100-(G4686*$AF$14))))</f>
        <v/>
      </c>
      <c r="R4686" s="79">
        <f>IF(P4686&lt;&gt;"", TODAY(), "")</f>
        <v/>
      </c>
      <c r="S4686" s="78">
        <f>IF(AND(K4686&lt;&gt;"", R4686&lt;&gt;""), R4686-K4686, "")</f>
        <v/>
      </c>
      <c r="T4686" s="78" t="n"/>
      <c r="U4686" s="92">
        <f>IF(ISBLANK(P4686),"",IF(C4686="Buy",Q4686-M4686+T4686, IF(C4686="Sell",M4686-Q4686-T4686, X)))</f>
        <v/>
      </c>
      <c r="V4686" s="81">
        <f>IF(ISBLANK(P4686),"",U4686/N4686)</f>
        <v/>
      </c>
      <c r="W4686" s="81">
        <f>IF(ISBLANK(P4686),"",IF(S4686=0,(365/0.5)*V4686,(365/S4686)*V4686))</f>
        <v/>
      </c>
      <c r="X4686" s="75" t="n"/>
      <c r="Y4686" s="77" t="n"/>
      <c r="Z4686" s="77" t="n"/>
      <c r="AA4686" s="75" t="n"/>
      <c r="AB4686" s="75" t="n"/>
      <c r="AC4686" s="6" t="n"/>
      <c r="AD4686" s="75" t="n"/>
      <c r="AE4686" s="75" t="n"/>
      <c r="AF4686" s="75" t="n"/>
    </row>
    <row r="4687" ht="15.75" customHeight="1" s="133">
      <c r="A4687" s="75" t="n"/>
      <c r="B4687" s="75" t="n"/>
      <c r="C4687" s="75" t="n"/>
      <c r="D4687" s="75" t="n"/>
      <c r="E4687" s="76" t="n"/>
      <c r="F4687" s="77" t="n"/>
      <c r="G4687" s="75" t="n"/>
      <c r="H4687" s="75">
        <f>IF(ISBLANK(E4687),"",IF(OR(D4687="Butterfly",D4687="Butterfly ",D4687="Iron Fly", D4687="Iron Fly "),LEN(E4687)-LEN(SUBSTITUTE(E4687,"/",""))+2,LEN(E4687)-LEN(SUBSTITUTE(E4687,"/",""))+1))</f>
        <v/>
      </c>
      <c r="I4687" s="78">
        <f>IF(ISBLANK(G4687),"",IF(D4687="Stock","0",Key!$A$3*H4687*G4687))</f>
        <v/>
      </c>
      <c r="J4687" s="78">
        <f>IF(ISBLANK(E4687),"",IF(ISNUMBER(SEARCH("/",E4687)), IF(LEN(E4687)-LEN(SUBSTITUTE(E4687,"/",""))=1,(RIGHT(E4687,LEN(E4687)-FIND("/",E4687)))-(LEFT(E4687,FIND("/",E4687)-1)),(MID(E4687, SEARCH("/",E4687) + 1, SEARCH("/",E4687, SEARCH("/",E4687)+1) - SEARCH("/",E4687) - 1))-(LEFT(E4687,FIND("/",E4687)-1))), "NA"))</f>
        <v/>
      </c>
      <c r="K4687" s="79">
        <f>IF(A4687&lt;&gt;"", IF(ISBLANK(L4687), TODAY(), K4687), "")</f>
        <v/>
      </c>
      <c r="L4687" s="78" t="n"/>
      <c r="M4687" s="78">
        <f>IF(ISBLANK(L4687),"",IF(D4687="Stock",IF(C4687="Buy",L4687*G4687,IF(C4687="Sell",(L4687*G4687)-I4687, X)),IF(C4687="Buy",(L4687*G4687*100)+I4687,IF(C4687="Sell",(L4687*G4687*100)-I4687, X))))</f>
        <v/>
      </c>
      <c r="N4687" s="78">
        <f>IF(ISBLANK(L4687),"",IF(AND(C4687="Sell",D4687="Stock"),M4687,IF(ISBLANK(L4687),"",IF(C4687="Buy",M4687, IF(AND(C4687="Sell",J4687="NA"),(E4687*G4687*100*0.1)+I4687, IF(C4687="Sell",(J4687-L4687)*(100*G4687)+I4687))))))</f>
        <v/>
      </c>
      <c r="O4687" s="75" t="n"/>
      <c r="P4687" s="75" t="n"/>
      <c r="Q4687" s="75">
        <f>IF(ISBLANK(P4687),"",IF(D4687="Stock",P4687*G4687,IF(P4687=0,"0",G4687*P4687*100-(G4687*$AF$14))))</f>
        <v/>
      </c>
      <c r="R4687" s="79">
        <f>IF(P4687&lt;&gt;"", TODAY(), "")</f>
        <v/>
      </c>
      <c r="S4687" s="78">
        <f>IF(AND(K4687&lt;&gt;"", R4687&lt;&gt;""), R4687-K4687, "")</f>
        <v/>
      </c>
      <c r="T4687" s="78" t="n"/>
      <c r="U4687" s="92">
        <f>IF(ISBLANK(P4687),"",IF(C4687="Buy",Q4687-M4687+T4687, IF(C4687="Sell",M4687-Q4687-T4687, X)))</f>
        <v/>
      </c>
      <c r="V4687" s="81">
        <f>IF(ISBLANK(P4687),"",U4687/N4687)</f>
        <v/>
      </c>
      <c r="W4687" s="81">
        <f>IF(ISBLANK(P4687),"",IF(S4687=0,(365/0.5)*V4687,(365/S4687)*V4687))</f>
        <v/>
      </c>
      <c r="X4687" s="75" t="n"/>
      <c r="Y4687" s="77" t="n"/>
      <c r="Z4687" s="77" t="n"/>
      <c r="AA4687" s="75" t="n"/>
      <c r="AB4687" s="75" t="n"/>
      <c r="AC4687" s="6" t="n"/>
      <c r="AD4687" s="75" t="n"/>
      <c r="AE4687" s="75" t="n"/>
      <c r="AF4687" s="75" t="n"/>
    </row>
    <row r="4688" ht="15.75" customHeight="1" s="133">
      <c r="A4688" s="75" t="n"/>
      <c r="B4688" s="75" t="n"/>
      <c r="C4688" s="75" t="n"/>
      <c r="D4688" s="75" t="n"/>
      <c r="E4688" s="76" t="n"/>
      <c r="F4688" s="77" t="n"/>
      <c r="G4688" s="75" t="n"/>
      <c r="H4688" s="75">
        <f>IF(ISBLANK(E4688),"",IF(OR(D4688="Butterfly",D4688="Butterfly ",D4688="Iron Fly", D4688="Iron Fly "),LEN(E4688)-LEN(SUBSTITUTE(E4688,"/",""))+2,LEN(E4688)-LEN(SUBSTITUTE(E4688,"/",""))+1))</f>
        <v/>
      </c>
      <c r="I4688" s="78">
        <f>IF(ISBLANK(G4688),"",IF(D4688="Stock","0",Key!$A$3*H4688*G4688))</f>
        <v/>
      </c>
      <c r="J4688" s="78">
        <f>IF(ISBLANK(E4688),"",IF(ISNUMBER(SEARCH("/",E4688)), IF(LEN(E4688)-LEN(SUBSTITUTE(E4688,"/",""))=1,(RIGHT(E4688,LEN(E4688)-FIND("/",E4688)))-(LEFT(E4688,FIND("/",E4688)-1)),(MID(E4688, SEARCH("/",E4688) + 1, SEARCH("/",E4688, SEARCH("/",E4688)+1) - SEARCH("/",E4688) - 1))-(LEFT(E4688,FIND("/",E4688)-1))), "NA"))</f>
        <v/>
      </c>
      <c r="K4688" s="79">
        <f>IF(A4688&lt;&gt;"", IF(ISBLANK(L4688), TODAY(), K4688), "")</f>
        <v/>
      </c>
      <c r="L4688" s="78" t="n"/>
      <c r="M4688" s="78">
        <f>IF(ISBLANK(L4688),"",IF(D4688="Stock",IF(C4688="Buy",L4688*G4688,IF(C4688="Sell",(L4688*G4688)-I4688, X)),IF(C4688="Buy",(L4688*G4688*100)+I4688,IF(C4688="Sell",(L4688*G4688*100)-I4688, X))))</f>
        <v/>
      </c>
      <c r="N4688" s="78">
        <f>IF(ISBLANK(L4688),"",IF(AND(C4688="Sell",D4688="Stock"),M4688,IF(ISBLANK(L4688),"",IF(C4688="Buy",M4688, IF(AND(C4688="Sell",J4688="NA"),(E4688*G4688*100*0.1)+I4688, IF(C4688="Sell",(J4688-L4688)*(100*G4688)+I4688))))))</f>
        <v/>
      </c>
      <c r="O4688" s="75" t="n"/>
      <c r="P4688" s="75" t="n"/>
      <c r="Q4688" s="75">
        <f>IF(ISBLANK(P4688),"",IF(D4688="Stock",P4688*G4688,IF(P4688=0,"0",G4688*P4688*100-(G4688*$AF$14))))</f>
        <v/>
      </c>
      <c r="R4688" s="79">
        <f>IF(P4688&lt;&gt;"", TODAY(), "")</f>
        <v/>
      </c>
      <c r="S4688" s="78">
        <f>IF(AND(K4688&lt;&gt;"", R4688&lt;&gt;""), R4688-K4688, "")</f>
        <v/>
      </c>
      <c r="T4688" s="78" t="n"/>
      <c r="U4688" s="92">
        <f>IF(ISBLANK(P4688),"",IF(C4688="Buy",Q4688-M4688+T4688, IF(C4688="Sell",M4688-Q4688-T4688, X)))</f>
        <v/>
      </c>
      <c r="V4688" s="81">
        <f>IF(ISBLANK(P4688),"",U4688/N4688)</f>
        <v/>
      </c>
      <c r="W4688" s="81">
        <f>IF(ISBLANK(P4688),"",IF(S4688=0,(365/0.5)*V4688,(365/S4688)*V4688))</f>
        <v/>
      </c>
      <c r="X4688" s="75" t="n"/>
      <c r="Y4688" s="77" t="n"/>
      <c r="Z4688" s="77" t="n"/>
      <c r="AA4688" s="75" t="n"/>
      <c r="AB4688" s="75" t="n"/>
      <c r="AC4688" s="6" t="n"/>
      <c r="AD4688" s="75" t="n"/>
      <c r="AE4688" s="75" t="n"/>
      <c r="AF4688" s="75" t="n"/>
    </row>
    <row r="4689" ht="15.75" customHeight="1" s="133">
      <c r="A4689" s="75" t="n"/>
      <c r="B4689" s="75" t="n"/>
      <c r="C4689" s="75" t="n"/>
      <c r="D4689" s="75" t="n"/>
      <c r="E4689" s="76" t="n"/>
      <c r="F4689" s="77" t="n"/>
      <c r="G4689" s="75" t="n"/>
      <c r="H4689" s="75">
        <f>IF(ISBLANK(E4689),"",IF(OR(D4689="Butterfly",D4689="Butterfly ",D4689="Iron Fly", D4689="Iron Fly "),LEN(E4689)-LEN(SUBSTITUTE(E4689,"/",""))+2,LEN(E4689)-LEN(SUBSTITUTE(E4689,"/",""))+1))</f>
        <v/>
      </c>
      <c r="I4689" s="78">
        <f>IF(ISBLANK(G4689),"",IF(D4689="Stock","0",Key!$A$3*H4689*G4689))</f>
        <v/>
      </c>
      <c r="J4689" s="78">
        <f>IF(ISBLANK(E4689),"",IF(ISNUMBER(SEARCH("/",E4689)), IF(LEN(E4689)-LEN(SUBSTITUTE(E4689,"/",""))=1,(RIGHT(E4689,LEN(E4689)-FIND("/",E4689)))-(LEFT(E4689,FIND("/",E4689)-1)),(MID(E4689, SEARCH("/",E4689) + 1, SEARCH("/",E4689, SEARCH("/",E4689)+1) - SEARCH("/",E4689) - 1))-(LEFT(E4689,FIND("/",E4689)-1))), "NA"))</f>
        <v/>
      </c>
      <c r="K4689" s="79">
        <f>IF(A4689&lt;&gt;"", IF(ISBLANK(L4689), TODAY(), K4689), "")</f>
        <v/>
      </c>
      <c r="L4689" s="78" t="n"/>
      <c r="M4689" s="78">
        <f>IF(ISBLANK(L4689),"",IF(D4689="Stock",IF(C4689="Buy",L4689*G4689,IF(C4689="Sell",(L4689*G4689)-I4689, X)),IF(C4689="Buy",(L4689*G4689*100)+I4689,IF(C4689="Sell",(L4689*G4689*100)-I4689, X))))</f>
        <v/>
      </c>
      <c r="N4689" s="78">
        <f>IF(ISBLANK(L4689),"",IF(AND(C4689="Sell",D4689="Stock"),M4689,IF(ISBLANK(L4689),"",IF(C4689="Buy",M4689, IF(AND(C4689="Sell",J4689="NA"),(E4689*G4689*100*0.1)+I4689, IF(C4689="Sell",(J4689-L4689)*(100*G4689)+I4689))))))</f>
        <v/>
      </c>
      <c r="O4689" s="75" t="n"/>
      <c r="P4689" s="75" t="n"/>
      <c r="Q4689" s="75">
        <f>IF(ISBLANK(P4689),"",IF(D4689="Stock",P4689*G4689,IF(P4689=0,"0",G4689*P4689*100-(G4689*$AF$14))))</f>
        <v/>
      </c>
      <c r="R4689" s="79">
        <f>IF(P4689&lt;&gt;"", TODAY(), "")</f>
        <v/>
      </c>
      <c r="S4689" s="78">
        <f>IF(AND(K4689&lt;&gt;"", R4689&lt;&gt;""), R4689-K4689, "")</f>
        <v/>
      </c>
      <c r="T4689" s="78" t="n"/>
      <c r="U4689" s="92">
        <f>IF(ISBLANK(P4689),"",IF(C4689="Buy",Q4689-M4689+T4689, IF(C4689="Sell",M4689-Q4689-T4689, X)))</f>
        <v/>
      </c>
      <c r="V4689" s="81">
        <f>IF(ISBLANK(P4689),"",U4689/N4689)</f>
        <v/>
      </c>
      <c r="W4689" s="81">
        <f>IF(ISBLANK(P4689),"",IF(S4689=0,(365/0.5)*V4689,(365/S4689)*V4689))</f>
        <v/>
      </c>
      <c r="X4689" s="75" t="n"/>
      <c r="Y4689" s="77" t="n"/>
      <c r="Z4689" s="77" t="n"/>
      <c r="AA4689" s="75" t="n"/>
      <c r="AB4689" s="75" t="n"/>
      <c r="AC4689" s="6" t="n"/>
      <c r="AD4689" s="75" t="n"/>
      <c r="AE4689" s="75" t="n"/>
      <c r="AF4689" s="75" t="n"/>
    </row>
    <row r="4690" ht="15.75" customHeight="1" s="133">
      <c r="A4690" s="75" t="n"/>
      <c r="B4690" s="75" t="n"/>
      <c r="C4690" s="75" t="n"/>
      <c r="D4690" s="75" t="n"/>
      <c r="E4690" s="76" t="n"/>
      <c r="F4690" s="77" t="n"/>
      <c r="G4690" s="75" t="n"/>
      <c r="H4690" s="75">
        <f>IF(ISBLANK(E4690),"",IF(OR(D4690="Butterfly",D4690="Butterfly ",D4690="Iron Fly", D4690="Iron Fly "),LEN(E4690)-LEN(SUBSTITUTE(E4690,"/",""))+2,LEN(E4690)-LEN(SUBSTITUTE(E4690,"/",""))+1))</f>
        <v/>
      </c>
      <c r="I4690" s="78">
        <f>IF(ISBLANK(G4690),"",IF(D4690="Stock","0",Key!$A$3*H4690*G4690))</f>
        <v/>
      </c>
      <c r="J4690" s="78">
        <f>IF(ISBLANK(E4690),"",IF(ISNUMBER(SEARCH("/",E4690)), IF(LEN(E4690)-LEN(SUBSTITUTE(E4690,"/",""))=1,(RIGHT(E4690,LEN(E4690)-FIND("/",E4690)))-(LEFT(E4690,FIND("/",E4690)-1)),(MID(E4690, SEARCH("/",E4690) + 1, SEARCH("/",E4690, SEARCH("/",E4690)+1) - SEARCH("/",E4690) - 1))-(LEFT(E4690,FIND("/",E4690)-1))), "NA"))</f>
        <v/>
      </c>
      <c r="K4690" s="79">
        <f>IF(A4690&lt;&gt;"", IF(ISBLANK(L4690), TODAY(), K4690), "")</f>
        <v/>
      </c>
      <c r="L4690" s="78" t="n"/>
      <c r="M4690" s="78">
        <f>IF(ISBLANK(L4690),"",IF(D4690="Stock",IF(C4690="Buy",L4690*G4690,IF(C4690="Sell",(L4690*G4690)-I4690, X)),IF(C4690="Buy",(L4690*G4690*100)+I4690,IF(C4690="Sell",(L4690*G4690*100)-I4690, X))))</f>
        <v/>
      </c>
      <c r="N4690" s="78">
        <f>IF(ISBLANK(L4690),"",IF(AND(C4690="Sell",D4690="Stock"),M4690,IF(ISBLANK(L4690),"",IF(C4690="Buy",M4690, IF(AND(C4690="Sell",J4690="NA"),(E4690*G4690*100*0.1)+I4690, IF(C4690="Sell",(J4690-L4690)*(100*G4690)+I4690))))))</f>
        <v/>
      </c>
      <c r="O4690" s="75" t="n"/>
      <c r="P4690" s="75" t="n"/>
      <c r="Q4690" s="75">
        <f>IF(ISBLANK(P4690),"",IF(D4690="Stock",P4690*G4690,IF(P4690=0,"0",G4690*P4690*100-(G4690*$AF$14))))</f>
        <v/>
      </c>
      <c r="R4690" s="79">
        <f>IF(P4690&lt;&gt;"", TODAY(), "")</f>
        <v/>
      </c>
      <c r="S4690" s="78">
        <f>IF(AND(K4690&lt;&gt;"", R4690&lt;&gt;""), R4690-K4690, "")</f>
        <v/>
      </c>
      <c r="T4690" s="78" t="n"/>
      <c r="U4690" s="92">
        <f>IF(ISBLANK(P4690),"",IF(C4690="Buy",Q4690-M4690+T4690, IF(C4690="Sell",M4690-Q4690-T4690, X)))</f>
        <v/>
      </c>
      <c r="V4690" s="81">
        <f>IF(ISBLANK(P4690),"",U4690/N4690)</f>
        <v/>
      </c>
      <c r="W4690" s="81">
        <f>IF(ISBLANK(P4690),"",IF(S4690=0,(365/0.5)*V4690,(365/S4690)*V4690))</f>
        <v/>
      </c>
      <c r="X4690" s="75" t="n"/>
      <c r="Y4690" s="77" t="n"/>
      <c r="Z4690" s="77" t="n"/>
      <c r="AA4690" s="75" t="n"/>
      <c r="AB4690" s="75" t="n"/>
      <c r="AC4690" s="6" t="n"/>
      <c r="AD4690" s="75" t="n"/>
      <c r="AE4690" s="75" t="n"/>
      <c r="AF4690" s="75" t="n"/>
    </row>
    <row r="4691" ht="15.75" customHeight="1" s="133">
      <c r="A4691" s="75" t="n"/>
      <c r="B4691" s="75" t="n"/>
      <c r="C4691" s="75" t="n"/>
      <c r="D4691" s="75" t="n"/>
      <c r="E4691" s="76" t="n"/>
      <c r="F4691" s="77" t="n"/>
      <c r="G4691" s="75" t="n"/>
      <c r="H4691" s="75">
        <f>IF(ISBLANK(E4691),"",IF(OR(D4691="Butterfly",D4691="Butterfly ",D4691="Iron Fly", D4691="Iron Fly "),LEN(E4691)-LEN(SUBSTITUTE(E4691,"/",""))+2,LEN(E4691)-LEN(SUBSTITUTE(E4691,"/",""))+1))</f>
        <v/>
      </c>
      <c r="I4691" s="78">
        <f>IF(ISBLANK(G4691),"",IF(D4691="Stock","0",Key!$A$3*H4691*G4691))</f>
        <v/>
      </c>
      <c r="J4691" s="78">
        <f>IF(ISBLANK(E4691),"",IF(ISNUMBER(SEARCH("/",E4691)), IF(LEN(E4691)-LEN(SUBSTITUTE(E4691,"/",""))=1,(RIGHT(E4691,LEN(E4691)-FIND("/",E4691)))-(LEFT(E4691,FIND("/",E4691)-1)),(MID(E4691, SEARCH("/",E4691) + 1, SEARCH("/",E4691, SEARCH("/",E4691)+1) - SEARCH("/",E4691) - 1))-(LEFT(E4691,FIND("/",E4691)-1))), "NA"))</f>
        <v/>
      </c>
      <c r="K4691" s="79">
        <f>IF(A4691&lt;&gt;"", IF(ISBLANK(L4691), TODAY(), K4691), "")</f>
        <v/>
      </c>
      <c r="L4691" s="78" t="n"/>
      <c r="M4691" s="78">
        <f>IF(ISBLANK(L4691),"",IF(D4691="Stock",IF(C4691="Buy",L4691*G4691,IF(C4691="Sell",(L4691*G4691)-I4691, X)),IF(C4691="Buy",(L4691*G4691*100)+I4691,IF(C4691="Sell",(L4691*G4691*100)-I4691, X))))</f>
        <v/>
      </c>
      <c r="N4691" s="78">
        <f>IF(ISBLANK(L4691),"",IF(AND(C4691="Sell",D4691="Stock"),M4691,IF(ISBLANK(L4691),"",IF(C4691="Buy",M4691, IF(AND(C4691="Sell",J4691="NA"),(E4691*G4691*100*0.1)+I4691, IF(C4691="Sell",(J4691-L4691)*(100*G4691)+I4691))))))</f>
        <v/>
      </c>
      <c r="O4691" s="75" t="n"/>
      <c r="P4691" s="75" t="n"/>
      <c r="Q4691" s="75">
        <f>IF(ISBLANK(P4691),"",IF(D4691="Stock",P4691*G4691,IF(P4691=0,"0",G4691*P4691*100-(G4691*$AF$14))))</f>
        <v/>
      </c>
      <c r="R4691" s="79">
        <f>IF(P4691&lt;&gt;"", TODAY(), "")</f>
        <v/>
      </c>
      <c r="S4691" s="78">
        <f>IF(AND(K4691&lt;&gt;"", R4691&lt;&gt;""), R4691-K4691, "")</f>
        <v/>
      </c>
      <c r="T4691" s="78" t="n"/>
      <c r="U4691" s="92">
        <f>IF(ISBLANK(P4691),"",IF(C4691="Buy",Q4691-M4691+T4691, IF(C4691="Sell",M4691-Q4691-T4691, X)))</f>
        <v/>
      </c>
      <c r="V4691" s="81">
        <f>IF(ISBLANK(P4691),"",U4691/N4691)</f>
        <v/>
      </c>
      <c r="W4691" s="81">
        <f>IF(ISBLANK(P4691),"",IF(S4691=0,(365/0.5)*V4691,(365/S4691)*V4691))</f>
        <v/>
      </c>
      <c r="X4691" s="75" t="n"/>
      <c r="Y4691" s="77" t="n"/>
      <c r="Z4691" s="77" t="n"/>
      <c r="AA4691" s="75" t="n"/>
      <c r="AB4691" s="75" t="n"/>
      <c r="AC4691" s="6" t="n"/>
      <c r="AD4691" s="75" t="n"/>
      <c r="AE4691" s="75" t="n"/>
      <c r="AF4691" s="75" t="n"/>
    </row>
    <row r="4692" ht="15.75" customHeight="1" s="133">
      <c r="A4692" s="75" t="n"/>
      <c r="B4692" s="75" t="n"/>
      <c r="C4692" s="75" t="n"/>
      <c r="D4692" s="75" t="n"/>
      <c r="E4692" s="76" t="n"/>
      <c r="F4692" s="77" t="n"/>
      <c r="G4692" s="75" t="n"/>
      <c r="H4692" s="75">
        <f>IF(ISBLANK(E4692),"",IF(OR(D4692="Butterfly",D4692="Butterfly ",D4692="Iron Fly", D4692="Iron Fly "),LEN(E4692)-LEN(SUBSTITUTE(E4692,"/",""))+2,LEN(E4692)-LEN(SUBSTITUTE(E4692,"/",""))+1))</f>
        <v/>
      </c>
      <c r="I4692" s="78">
        <f>IF(ISBLANK(G4692),"",IF(D4692="Stock","0",Key!$A$3*H4692*G4692))</f>
        <v/>
      </c>
      <c r="J4692" s="78">
        <f>IF(ISBLANK(E4692),"",IF(ISNUMBER(SEARCH("/",E4692)), IF(LEN(E4692)-LEN(SUBSTITUTE(E4692,"/",""))=1,(RIGHT(E4692,LEN(E4692)-FIND("/",E4692)))-(LEFT(E4692,FIND("/",E4692)-1)),(MID(E4692, SEARCH("/",E4692) + 1, SEARCH("/",E4692, SEARCH("/",E4692)+1) - SEARCH("/",E4692) - 1))-(LEFT(E4692,FIND("/",E4692)-1))), "NA"))</f>
        <v/>
      </c>
      <c r="K4692" s="79">
        <f>IF(A4692&lt;&gt;"", IF(ISBLANK(L4692), TODAY(), K4692), "")</f>
        <v/>
      </c>
      <c r="L4692" s="78" t="n"/>
      <c r="M4692" s="78">
        <f>IF(ISBLANK(L4692),"",IF(D4692="Stock",IF(C4692="Buy",L4692*G4692,IF(C4692="Sell",(L4692*G4692)-I4692, X)),IF(C4692="Buy",(L4692*G4692*100)+I4692,IF(C4692="Sell",(L4692*G4692*100)-I4692, X))))</f>
        <v/>
      </c>
      <c r="N4692" s="78">
        <f>IF(ISBLANK(L4692),"",IF(AND(C4692="Sell",D4692="Stock"),M4692,IF(ISBLANK(L4692),"",IF(C4692="Buy",M4692, IF(AND(C4692="Sell",J4692="NA"),(E4692*G4692*100*0.1)+I4692, IF(C4692="Sell",(J4692-L4692)*(100*G4692)+I4692))))))</f>
        <v/>
      </c>
      <c r="O4692" s="75" t="n"/>
      <c r="P4692" s="75" t="n"/>
      <c r="Q4692" s="75">
        <f>IF(ISBLANK(P4692),"",IF(D4692="Stock",P4692*G4692,IF(P4692=0,"0",G4692*P4692*100-(G4692*$AF$14))))</f>
        <v/>
      </c>
      <c r="R4692" s="79">
        <f>IF(P4692&lt;&gt;"", TODAY(), "")</f>
        <v/>
      </c>
      <c r="S4692" s="78">
        <f>IF(AND(K4692&lt;&gt;"", R4692&lt;&gt;""), R4692-K4692, "")</f>
        <v/>
      </c>
      <c r="T4692" s="78" t="n"/>
      <c r="U4692" s="92">
        <f>IF(ISBLANK(P4692),"",IF(C4692="Buy",Q4692-M4692+T4692, IF(C4692="Sell",M4692-Q4692-T4692, X)))</f>
        <v/>
      </c>
      <c r="V4692" s="81">
        <f>IF(ISBLANK(P4692),"",U4692/N4692)</f>
        <v/>
      </c>
      <c r="W4692" s="81">
        <f>IF(ISBLANK(P4692),"",IF(S4692=0,(365/0.5)*V4692,(365/S4692)*V4692))</f>
        <v/>
      </c>
      <c r="X4692" s="75" t="n"/>
      <c r="Y4692" s="77" t="n"/>
      <c r="Z4692" s="77" t="n"/>
      <c r="AA4692" s="75" t="n"/>
      <c r="AB4692" s="75" t="n"/>
      <c r="AC4692" s="6" t="n"/>
      <c r="AD4692" s="75" t="n"/>
      <c r="AE4692" s="75" t="n"/>
      <c r="AF4692" s="75" t="n"/>
    </row>
    <row r="4693" ht="15.75" customHeight="1" s="133">
      <c r="A4693" s="75" t="n"/>
      <c r="B4693" s="75" t="n"/>
      <c r="C4693" s="75" t="n"/>
      <c r="D4693" s="75" t="n"/>
      <c r="E4693" s="76" t="n"/>
      <c r="F4693" s="77" t="n"/>
      <c r="G4693" s="75" t="n"/>
      <c r="H4693" s="75">
        <f>IF(ISBLANK(E4693),"",IF(OR(D4693="Butterfly",D4693="Butterfly ",D4693="Iron Fly", D4693="Iron Fly "),LEN(E4693)-LEN(SUBSTITUTE(E4693,"/",""))+2,LEN(E4693)-LEN(SUBSTITUTE(E4693,"/",""))+1))</f>
        <v/>
      </c>
      <c r="I4693" s="78">
        <f>IF(ISBLANK(G4693),"",IF(D4693="Stock","0",Key!$A$3*H4693*G4693))</f>
        <v/>
      </c>
      <c r="J4693" s="78">
        <f>IF(ISBLANK(E4693),"",IF(ISNUMBER(SEARCH("/",E4693)), IF(LEN(E4693)-LEN(SUBSTITUTE(E4693,"/",""))=1,(RIGHT(E4693,LEN(E4693)-FIND("/",E4693)))-(LEFT(E4693,FIND("/",E4693)-1)),(MID(E4693, SEARCH("/",E4693) + 1, SEARCH("/",E4693, SEARCH("/",E4693)+1) - SEARCH("/",E4693) - 1))-(LEFT(E4693,FIND("/",E4693)-1))), "NA"))</f>
        <v/>
      </c>
      <c r="K4693" s="79">
        <f>IF(A4693&lt;&gt;"", IF(ISBLANK(L4693), TODAY(), K4693), "")</f>
        <v/>
      </c>
      <c r="L4693" s="78" t="n"/>
      <c r="M4693" s="78">
        <f>IF(ISBLANK(L4693),"",IF(D4693="Stock",IF(C4693="Buy",L4693*G4693,IF(C4693="Sell",(L4693*G4693)-I4693, X)),IF(C4693="Buy",(L4693*G4693*100)+I4693,IF(C4693="Sell",(L4693*G4693*100)-I4693, X))))</f>
        <v/>
      </c>
      <c r="N4693" s="78">
        <f>IF(ISBLANK(L4693),"",IF(AND(C4693="Sell",D4693="Stock"),M4693,IF(ISBLANK(L4693),"",IF(C4693="Buy",M4693, IF(AND(C4693="Sell",J4693="NA"),(E4693*G4693*100*0.1)+I4693, IF(C4693="Sell",(J4693-L4693)*(100*G4693)+I4693))))))</f>
        <v/>
      </c>
      <c r="O4693" s="75" t="n"/>
      <c r="P4693" s="75" t="n"/>
      <c r="Q4693" s="75">
        <f>IF(ISBLANK(P4693),"",IF(D4693="Stock",P4693*G4693,IF(P4693=0,"0",G4693*P4693*100-(G4693*$AF$14))))</f>
        <v/>
      </c>
      <c r="R4693" s="79">
        <f>IF(P4693&lt;&gt;"", TODAY(), "")</f>
        <v/>
      </c>
      <c r="S4693" s="78">
        <f>IF(AND(K4693&lt;&gt;"", R4693&lt;&gt;""), R4693-K4693, "")</f>
        <v/>
      </c>
      <c r="T4693" s="78" t="n"/>
      <c r="U4693" s="92">
        <f>IF(ISBLANK(P4693),"",IF(C4693="Buy",Q4693-M4693+T4693, IF(C4693="Sell",M4693-Q4693-T4693, X)))</f>
        <v/>
      </c>
      <c r="V4693" s="81">
        <f>IF(ISBLANK(P4693),"",U4693/N4693)</f>
        <v/>
      </c>
      <c r="W4693" s="81">
        <f>IF(ISBLANK(P4693),"",IF(S4693=0,(365/0.5)*V4693,(365/S4693)*V4693))</f>
        <v/>
      </c>
      <c r="X4693" s="75" t="n"/>
      <c r="Y4693" s="77" t="n"/>
      <c r="Z4693" s="77" t="n"/>
      <c r="AA4693" s="75" t="n"/>
      <c r="AB4693" s="75" t="n"/>
      <c r="AC4693" s="6" t="n"/>
      <c r="AD4693" s="75" t="n"/>
      <c r="AE4693" s="75" t="n"/>
      <c r="AF4693" s="75" t="n"/>
    </row>
    <row r="4694" ht="15.75" customHeight="1" s="133">
      <c r="A4694" s="75" t="n"/>
      <c r="B4694" s="75" t="n"/>
      <c r="C4694" s="75" t="n"/>
      <c r="D4694" s="75" t="n"/>
      <c r="E4694" s="76" t="n"/>
      <c r="F4694" s="77" t="n"/>
      <c r="G4694" s="75" t="n"/>
      <c r="H4694" s="75">
        <f>IF(ISBLANK(E4694),"",IF(OR(D4694="Butterfly",D4694="Butterfly ",D4694="Iron Fly", D4694="Iron Fly "),LEN(E4694)-LEN(SUBSTITUTE(E4694,"/",""))+2,LEN(E4694)-LEN(SUBSTITUTE(E4694,"/",""))+1))</f>
        <v/>
      </c>
      <c r="I4694" s="78">
        <f>IF(ISBLANK(G4694),"",IF(D4694="Stock","0",Key!$A$3*H4694*G4694))</f>
        <v/>
      </c>
      <c r="J4694" s="78">
        <f>IF(ISBLANK(E4694),"",IF(ISNUMBER(SEARCH("/",E4694)), IF(LEN(E4694)-LEN(SUBSTITUTE(E4694,"/",""))=1,(RIGHT(E4694,LEN(E4694)-FIND("/",E4694)))-(LEFT(E4694,FIND("/",E4694)-1)),(MID(E4694, SEARCH("/",E4694) + 1, SEARCH("/",E4694, SEARCH("/",E4694)+1) - SEARCH("/",E4694) - 1))-(LEFT(E4694,FIND("/",E4694)-1))), "NA"))</f>
        <v/>
      </c>
      <c r="K4694" s="79">
        <f>IF(A4694&lt;&gt;"", IF(ISBLANK(L4694), TODAY(), K4694), "")</f>
        <v/>
      </c>
      <c r="L4694" s="78" t="n"/>
      <c r="M4694" s="78">
        <f>IF(ISBLANK(L4694),"",IF(D4694="Stock",IF(C4694="Buy",L4694*G4694,IF(C4694="Sell",(L4694*G4694)-I4694, X)),IF(C4694="Buy",(L4694*G4694*100)+I4694,IF(C4694="Sell",(L4694*G4694*100)-I4694, X))))</f>
        <v/>
      </c>
      <c r="N4694" s="78">
        <f>IF(ISBLANK(L4694),"",IF(AND(C4694="Sell",D4694="Stock"),M4694,IF(ISBLANK(L4694),"",IF(C4694="Buy",M4694, IF(AND(C4694="Sell",J4694="NA"),(E4694*G4694*100*0.1)+I4694, IF(C4694="Sell",(J4694-L4694)*(100*G4694)+I4694))))))</f>
        <v/>
      </c>
      <c r="O4694" s="75" t="n"/>
      <c r="P4694" s="75" t="n"/>
      <c r="Q4694" s="75">
        <f>IF(ISBLANK(P4694),"",IF(D4694="Stock",P4694*G4694,IF(P4694=0,"0",G4694*P4694*100-(G4694*$AF$14))))</f>
        <v/>
      </c>
      <c r="R4694" s="79">
        <f>IF(P4694&lt;&gt;"", TODAY(), "")</f>
        <v/>
      </c>
      <c r="S4694" s="78">
        <f>IF(AND(K4694&lt;&gt;"", R4694&lt;&gt;""), R4694-K4694, "")</f>
        <v/>
      </c>
      <c r="T4694" s="78" t="n"/>
      <c r="U4694" s="92">
        <f>IF(ISBLANK(P4694),"",IF(C4694="Buy",Q4694-M4694+T4694, IF(C4694="Sell",M4694-Q4694-T4694, X)))</f>
        <v/>
      </c>
      <c r="V4694" s="81">
        <f>IF(ISBLANK(P4694),"",U4694/N4694)</f>
        <v/>
      </c>
      <c r="W4694" s="81">
        <f>IF(ISBLANK(P4694),"",IF(S4694=0,(365/0.5)*V4694,(365/S4694)*V4694))</f>
        <v/>
      </c>
      <c r="X4694" s="75" t="n"/>
      <c r="Y4694" s="77" t="n"/>
      <c r="Z4694" s="77" t="n"/>
      <c r="AA4694" s="75" t="n"/>
      <c r="AB4694" s="75" t="n"/>
      <c r="AC4694" s="6" t="n"/>
      <c r="AD4694" s="75" t="n"/>
      <c r="AE4694" s="75" t="n"/>
      <c r="AF4694" s="75" t="n"/>
    </row>
    <row r="4695" ht="15.75" customHeight="1" s="133">
      <c r="A4695" s="75" t="n"/>
      <c r="B4695" s="75" t="n"/>
      <c r="C4695" s="75" t="n"/>
      <c r="D4695" s="75" t="n"/>
      <c r="E4695" s="76" t="n"/>
      <c r="F4695" s="77" t="n"/>
      <c r="G4695" s="75" t="n"/>
      <c r="H4695" s="75">
        <f>IF(ISBLANK(E4695),"",IF(OR(D4695="Butterfly",D4695="Butterfly ",D4695="Iron Fly", D4695="Iron Fly "),LEN(E4695)-LEN(SUBSTITUTE(E4695,"/",""))+2,LEN(E4695)-LEN(SUBSTITUTE(E4695,"/",""))+1))</f>
        <v/>
      </c>
      <c r="I4695" s="78">
        <f>IF(ISBLANK(G4695),"",IF(D4695="Stock","0",Key!$A$3*H4695*G4695))</f>
        <v/>
      </c>
      <c r="J4695" s="78">
        <f>IF(ISBLANK(E4695),"",IF(ISNUMBER(SEARCH("/",E4695)), IF(LEN(E4695)-LEN(SUBSTITUTE(E4695,"/",""))=1,(RIGHT(E4695,LEN(E4695)-FIND("/",E4695)))-(LEFT(E4695,FIND("/",E4695)-1)),(MID(E4695, SEARCH("/",E4695) + 1, SEARCH("/",E4695, SEARCH("/",E4695)+1) - SEARCH("/",E4695) - 1))-(LEFT(E4695,FIND("/",E4695)-1))), "NA"))</f>
        <v/>
      </c>
      <c r="K4695" s="79">
        <f>IF(A4695&lt;&gt;"", IF(ISBLANK(L4695), TODAY(), K4695), "")</f>
        <v/>
      </c>
      <c r="L4695" s="78" t="n"/>
      <c r="M4695" s="78">
        <f>IF(ISBLANK(L4695),"",IF(D4695="Stock",IF(C4695="Buy",L4695*G4695,IF(C4695="Sell",(L4695*G4695)-I4695, X)),IF(C4695="Buy",(L4695*G4695*100)+I4695,IF(C4695="Sell",(L4695*G4695*100)-I4695, X))))</f>
        <v/>
      </c>
      <c r="N4695" s="78">
        <f>IF(ISBLANK(L4695),"",IF(AND(C4695="Sell",D4695="Stock"),M4695,IF(ISBLANK(L4695),"",IF(C4695="Buy",M4695, IF(AND(C4695="Sell",J4695="NA"),(E4695*G4695*100*0.1)+I4695, IF(C4695="Sell",(J4695-L4695)*(100*G4695)+I4695))))))</f>
        <v/>
      </c>
      <c r="O4695" s="75" t="n"/>
      <c r="P4695" s="75" t="n"/>
      <c r="Q4695" s="75">
        <f>IF(ISBLANK(P4695),"",IF(D4695="Stock",P4695*G4695,IF(P4695=0,"0",G4695*P4695*100-(G4695*$AF$14))))</f>
        <v/>
      </c>
      <c r="R4695" s="79">
        <f>IF(P4695&lt;&gt;"", TODAY(), "")</f>
        <v/>
      </c>
      <c r="S4695" s="78">
        <f>IF(AND(K4695&lt;&gt;"", R4695&lt;&gt;""), R4695-K4695, "")</f>
        <v/>
      </c>
      <c r="T4695" s="78" t="n"/>
      <c r="U4695" s="92">
        <f>IF(ISBLANK(P4695),"",IF(C4695="Buy",Q4695-M4695+T4695, IF(C4695="Sell",M4695-Q4695-T4695, X)))</f>
        <v/>
      </c>
      <c r="V4695" s="81">
        <f>IF(ISBLANK(P4695),"",U4695/N4695)</f>
        <v/>
      </c>
      <c r="W4695" s="81">
        <f>IF(ISBLANK(P4695),"",IF(S4695=0,(365/0.5)*V4695,(365/S4695)*V4695))</f>
        <v/>
      </c>
      <c r="X4695" s="75" t="n"/>
      <c r="Y4695" s="77" t="n"/>
      <c r="Z4695" s="77" t="n"/>
      <c r="AA4695" s="75" t="n"/>
      <c r="AB4695" s="75" t="n"/>
      <c r="AC4695" s="6" t="n"/>
      <c r="AD4695" s="75" t="n"/>
      <c r="AE4695" s="75" t="n"/>
      <c r="AF4695" s="75" t="n"/>
    </row>
    <row r="4696" ht="15.75" customHeight="1" s="133">
      <c r="A4696" s="75" t="n"/>
      <c r="B4696" s="75" t="n"/>
      <c r="C4696" s="75" t="n"/>
      <c r="D4696" s="75" t="n"/>
      <c r="E4696" s="76" t="n"/>
      <c r="F4696" s="77" t="n"/>
      <c r="G4696" s="75" t="n"/>
      <c r="H4696" s="75">
        <f>IF(ISBLANK(E4696),"",IF(OR(D4696="Butterfly",D4696="Butterfly ",D4696="Iron Fly", D4696="Iron Fly "),LEN(E4696)-LEN(SUBSTITUTE(E4696,"/",""))+2,LEN(E4696)-LEN(SUBSTITUTE(E4696,"/",""))+1))</f>
        <v/>
      </c>
      <c r="I4696" s="78">
        <f>IF(ISBLANK(G4696),"",IF(D4696="Stock","0",Key!$A$3*H4696*G4696))</f>
        <v/>
      </c>
      <c r="J4696" s="78">
        <f>IF(ISBLANK(E4696),"",IF(ISNUMBER(SEARCH("/",E4696)), IF(LEN(E4696)-LEN(SUBSTITUTE(E4696,"/",""))=1,(RIGHT(E4696,LEN(E4696)-FIND("/",E4696)))-(LEFT(E4696,FIND("/",E4696)-1)),(MID(E4696, SEARCH("/",E4696) + 1, SEARCH("/",E4696, SEARCH("/",E4696)+1) - SEARCH("/",E4696) - 1))-(LEFT(E4696,FIND("/",E4696)-1))), "NA"))</f>
        <v/>
      </c>
      <c r="K4696" s="79">
        <f>IF(A4696&lt;&gt;"", IF(ISBLANK(L4696), TODAY(), K4696), "")</f>
        <v/>
      </c>
      <c r="L4696" s="78" t="n"/>
      <c r="M4696" s="78">
        <f>IF(ISBLANK(L4696),"",IF(D4696="Stock",IF(C4696="Buy",L4696*G4696,IF(C4696="Sell",(L4696*G4696)-I4696, X)),IF(C4696="Buy",(L4696*G4696*100)+I4696,IF(C4696="Sell",(L4696*G4696*100)-I4696, X))))</f>
        <v/>
      </c>
      <c r="N4696" s="78">
        <f>IF(ISBLANK(L4696),"",IF(AND(C4696="Sell",D4696="Stock"),M4696,IF(ISBLANK(L4696),"",IF(C4696="Buy",M4696, IF(AND(C4696="Sell",J4696="NA"),(E4696*G4696*100*0.1)+I4696, IF(C4696="Sell",(J4696-L4696)*(100*G4696)+I4696))))))</f>
        <v/>
      </c>
      <c r="O4696" s="75" t="n"/>
      <c r="P4696" s="75" t="n"/>
      <c r="Q4696" s="75">
        <f>IF(ISBLANK(P4696),"",IF(D4696="Stock",P4696*G4696,IF(P4696=0,"0",G4696*P4696*100-(G4696*$AF$14))))</f>
        <v/>
      </c>
      <c r="R4696" s="79">
        <f>IF(P4696&lt;&gt;"", TODAY(), "")</f>
        <v/>
      </c>
      <c r="S4696" s="78">
        <f>IF(AND(K4696&lt;&gt;"", R4696&lt;&gt;""), R4696-K4696, "")</f>
        <v/>
      </c>
      <c r="T4696" s="78" t="n"/>
      <c r="U4696" s="92">
        <f>IF(ISBLANK(P4696),"",IF(C4696="Buy",Q4696-M4696+T4696, IF(C4696="Sell",M4696-Q4696-T4696, X)))</f>
        <v/>
      </c>
      <c r="V4696" s="81">
        <f>IF(ISBLANK(P4696),"",U4696/N4696)</f>
        <v/>
      </c>
      <c r="W4696" s="81">
        <f>IF(ISBLANK(P4696),"",IF(S4696=0,(365/0.5)*V4696,(365/S4696)*V4696))</f>
        <v/>
      </c>
      <c r="X4696" s="75" t="n"/>
      <c r="Y4696" s="77" t="n"/>
      <c r="Z4696" s="77" t="n"/>
      <c r="AA4696" s="75" t="n"/>
      <c r="AB4696" s="75" t="n"/>
      <c r="AC4696" s="6" t="n"/>
      <c r="AD4696" s="75" t="n"/>
      <c r="AE4696" s="75" t="n"/>
      <c r="AF4696" s="75" t="n"/>
    </row>
    <row r="4697" ht="15.75" customHeight="1" s="133">
      <c r="A4697" s="75" t="n"/>
      <c r="B4697" s="75" t="n"/>
      <c r="C4697" s="75" t="n"/>
      <c r="D4697" s="75" t="n"/>
      <c r="E4697" s="76" t="n"/>
      <c r="F4697" s="77" t="n"/>
      <c r="G4697" s="75" t="n"/>
      <c r="H4697" s="75">
        <f>IF(ISBLANK(E4697),"",IF(OR(D4697="Butterfly",D4697="Butterfly ",D4697="Iron Fly", D4697="Iron Fly "),LEN(E4697)-LEN(SUBSTITUTE(E4697,"/",""))+2,LEN(E4697)-LEN(SUBSTITUTE(E4697,"/",""))+1))</f>
        <v/>
      </c>
      <c r="I4697" s="78">
        <f>IF(ISBLANK(G4697),"",IF(D4697="Stock","0",Key!$A$3*H4697*G4697))</f>
        <v/>
      </c>
      <c r="J4697" s="78">
        <f>IF(ISBLANK(E4697),"",IF(ISNUMBER(SEARCH("/",E4697)), IF(LEN(E4697)-LEN(SUBSTITUTE(E4697,"/",""))=1,(RIGHT(E4697,LEN(E4697)-FIND("/",E4697)))-(LEFT(E4697,FIND("/",E4697)-1)),(MID(E4697, SEARCH("/",E4697) + 1, SEARCH("/",E4697, SEARCH("/",E4697)+1) - SEARCH("/",E4697) - 1))-(LEFT(E4697,FIND("/",E4697)-1))), "NA"))</f>
        <v/>
      </c>
      <c r="K4697" s="79">
        <f>IF(A4697&lt;&gt;"", IF(ISBLANK(L4697), TODAY(), K4697), "")</f>
        <v/>
      </c>
      <c r="L4697" s="78" t="n"/>
      <c r="M4697" s="78">
        <f>IF(ISBLANK(L4697),"",IF(D4697="Stock",IF(C4697="Buy",L4697*G4697,IF(C4697="Sell",(L4697*G4697)-I4697, X)),IF(C4697="Buy",(L4697*G4697*100)+I4697,IF(C4697="Sell",(L4697*G4697*100)-I4697, X))))</f>
        <v/>
      </c>
      <c r="N4697" s="78">
        <f>IF(ISBLANK(L4697),"",IF(AND(C4697="Sell",D4697="Stock"),M4697,IF(ISBLANK(L4697),"",IF(C4697="Buy",M4697, IF(AND(C4697="Sell",J4697="NA"),(E4697*G4697*100*0.1)+I4697, IF(C4697="Sell",(J4697-L4697)*(100*G4697)+I4697))))))</f>
        <v/>
      </c>
      <c r="O4697" s="75" t="n"/>
      <c r="P4697" s="75" t="n"/>
      <c r="Q4697" s="75">
        <f>IF(ISBLANK(P4697),"",IF(D4697="Stock",P4697*G4697,IF(P4697=0,"0",G4697*P4697*100-(G4697*$AF$14))))</f>
        <v/>
      </c>
      <c r="R4697" s="79">
        <f>IF(P4697&lt;&gt;"", TODAY(), "")</f>
        <v/>
      </c>
      <c r="S4697" s="78">
        <f>IF(AND(K4697&lt;&gt;"", R4697&lt;&gt;""), R4697-K4697, "")</f>
        <v/>
      </c>
      <c r="T4697" s="78" t="n"/>
      <c r="U4697" s="92">
        <f>IF(ISBLANK(P4697),"",IF(C4697="Buy",Q4697-M4697+T4697, IF(C4697="Sell",M4697-Q4697-T4697, X)))</f>
        <v/>
      </c>
      <c r="V4697" s="81">
        <f>IF(ISBLANK(P4697),"",U4697/N4697)</f>
        <v/>
      </c>
      <c r="W4697" s="81">
        <f>IF(ISBLANK(P4697),"",IF(S4697=0,(365/0.5)*V4697,(365/S4697)*V4697))</f>
        <v/>
      </c>
      <c r="X4697" s="75" t="n"/>
      <c r="Y4697" s="77" t="n"/>
      <c r="Z4697" s="77" t="n"/>
      <c r="AA4697" s="75" t="n"/>
      <c r="AB4697" s="75" t="n"/>
      <c r="AC4697" s="6" t="n"/>
      <c r="AD4697" s="75" t="n"/>
      <c r="AE4697" s="75" t="n"/>
      <c r="AF4697" s="75" t="n"/>
    </row>
    <row r="4698" ht="15.75" customHeight="1" s="133">
      <c r="A4698" s="75" t="n"/>
      <c r="B4698" s="75" t="n"/>
      <c r="C4698" s="75" t="n"/>
      <c r="D4698" s="75" t="n"/>
      <c r="E4698" s="76" t="n"/>
      <c r="F4698" s="77" t="n"/>
      <c r="G4698" s="75" t="n"/>
      <c r="H4698" s="75">
        <f>IF(ISBLANK(E4698),"",IF(OR(D4698="Butterfly",D4698="Butterfly ",D4698="Iron Fly", D4698="Iron Fly "),LEN(E4698)-LEN(SUBSTITUTE(E4698,"/",""))+2,LEN(E4698)-LEN(SUBSTITUTE(E4698,"/",""))+1))</f>
        <v/>
      </c>
      <c r="I4698" s="78">
        <f>IF(ISBLANK(G4698),"",IF(D4698="Stock","0",Key!$A$3*H4698*G4698))</f>
        <v/>
      </c>
      <c r="J4698" s="78">
        <f>IF(ISBLANK(E4698),"",IF(ISNUMBER(SEARCH("/",E4698)), IF(LEN(E4698)-LEN(SUBSTITUTE(E4698,"/",""))=1,(RIGHT(E4698,LEN(E4698)-FIND("/",E4698)))-(LEFT(E4698,FIND("/",E4698)-1)),(MID(E4698, SEARCH("/",E4698) + 1, SEARCH("/",E4698, SEARCH("/",E4698)+1) - SEARCH("/",E4698) - 1))-(LEFT(E4698,FIND("/",E4698)-1))), "NA"))</f>
        <v/>
      </c>
      <c r="K4698" s="79">
        <f>IF(A4698&lt;&gt;"", IF(ISBLANK(L4698), TODAY(), K4698), "")</f>
        <v/>
      </c>
      <c r="L4698" s="78" t="n"/>
      <c r="M4698" s="78">
        <f>IF(ISBLANK(L4698),"",IF(D4698="Stock",IF(C4698="Buy",L4698*G4698,IF(C4698="Sell",(L4698*G4698)-I4698, X)),IF(C4698="Buy",(L4698*G4698*100)+I4698,IF(C4698="Sell",(L4698*G4698*100)-I4698, X))))</f>
        <v/>
      </c>
      <c r="N4698" s="78">
        <f>IF(ISBLANK(L4698),"",IF(AND(C4698="Sell",D4698="Stock"),M4698,IF(ISBLANK(L4698),"",IF(C4698="Buy",M4698, IF(AND(C4698="Sell",J4698="NA"),(E4698*G4698*100*0.1)+I4698, IF(C4698="Sell",(J4698-L4698)*(100*G4698)+I4698))))))</f>
        <v/>
      </c>
      <c r="O4698" s="75" t="n"/>
      <c r="P4698" s="75" t="n"/>
      <c r="Q4698" s="75">
        <f>IF(ISBLANK(P4698),"",IF(D4698="Stock",P4698*G4698,IF(P4698=0,"0",G4698*P4698*100-(G4698*$AF$14))))</f>
        <v/>
      </c>
      <c r="R4698" s="79">
        <f>IF(P4698&lt;&gt;"", TODAY(), "")</f>
        <v/>
      </c>
      <c r="S4698" s="78">
        <f>IF(AND(K4698&lt;&gt;"", R4698&lt;&gt;""), R4698-K4698, "")</f>
        <v/>
      </c>
      <c r="T4698" s="78" t="n"/>
      <c r="U4698" s="92">
        <f>IF(ISBLANK(P4698),"",IF(C4698="Buy",Q4698-M4698+T4698, IF(C4698="Sell",M4698-Q4698-T4698, X)))</f>
        <v/>
      </c>
      <c r="V4698" s="81">
        <f>IF(ISBLANK(P4698),"",U4698/N4698)</f>
        <v/>
      </c>
      <c r="W4698" s="81">
        <f>IF(ISBLANK(P4698),"",IF(S4698=0,(365/0.5)*V4698,(365/S4698)*V4698))</f>
        <v/>
      </c>
      <c r="X4698" s="75" t="n"/>
      <c r="Y4698" s="77" t="n"/>
      <c r="Z4698" s="77" t="n"/>
      <c r="AA4698" s="75" t="n"/>
      <c r="AB4698" s="75" t="n"/>
      <c r="AC4698" s="6" t="n"/>
      <c r="AD4698" s="75" t="n"/>
      <c r="AE4698" s="75" t="n"/>
      <c r="AF4698" s="75" t="n"/>
    </row>
    <row r="4699" ht="15.75" customHeight="1" s="133">
      <c r="A4699" s="75" t="n"/>
      <c r="B4699" s="75" t="n"/>
      <c r="C4699" s="75" t="n"/>
      <c r="D4699" s="75" t="n"/>
      <c r="E4699" s="76" t="n"/>
      <c r="F4699" s="77" t="n"/>
      <c r="G4699" s="75" t="n"/>
      <c r="H4699" s="75">
        <f>IF(ISBLANK(E4699),"",IF(OR(D4699="Butterfly",D4699="Butterfly ",D4699="Iron Fly", D4699="Iron Fly "),LEN(E4699)-LEN(SUBSTITUTE(E4699,"/",""))+2,LEN(E4699)-LEN(SUBSTITUTE(E4699,"/",""))+1))</f>
        <v/>
      </c>
      <c r="I4699" s="78">
        <f>IF(ISBLANK(G4699),"",IF(D4699="Stock","0",Key!$A$3*H4699*G4699))</f>
        <v/>
      </c>
      <c r="J4699" s="78">
        <f>IF(ISBLANK(E4699),"",IF(ISNUMBER(SEARCH("/",E4699)), IF(LEN(E4699)-LEN(SUBSTITUTE(E4699,"/",""))=1,(RIGHT(E4699,LEN(E4699)-FIND("/",E4699)))-(LEFT(E4699,FIND("/",E4699)-1)),(MID(E4699, SEARCH("/",E4699) + 1, SEARCH("/",E4699, SEARCH("/",E4699)+1) - SEARCH("/",E4699) - 1))-(LEFT(E4699,FIND("/",E4699)-1))), "NA"))</f>
        <v/>
      </c>
      <c r="K4699" s="79">
        <f>IF(A4699&lt;&gt;"", IF(ISBLANK(L4699), TODAY(), K4699), "")</f>
        <v/>
      </c>
      <c r="L4699" s="78" t="n"/>
      <c r="M4699" s="78">
        <f>IF(ISBLANK(L4699),"",IF(D4699="Stock",IF(C4699="Buy",L4699*G4699,IF(C4699="Sell",(L4699*G4699)-I4699, X)),IF(C4699="Buy",(L4699*G4699*100)+I4699,IF(C4699="Sell",(L4699*G4699*100)-I4699, X))))</f>
        <v/>
      </c>
      <c r="N4699" s="78">
        <f>IF(ISBLANK(L4699),"",IF(AND(C4699="Sell",D4699="Stock"),M4699,IF(ISBLANK(L4699),"",IF(C4699="Buy",M4699, IF(AND(C4699="Sell",J4699="NA"),(E4699*G4699*100*0.1)+I4699, IF(C4699="Sell",(J4699-L4699)*(100*G4699)+I4699))))))</f>
        <v/>
      </c>
      <c r="O4699" s="75" t="n"/>
      <c r="P4699" s="75" t="n"/>
      <c r="Q4699" s="75">
        <f>IF(ISBLANK(P4699),"",IF(D4699="Stock",P4699*G4699,IF(P4699=0,"0",G4699*P4699*100-(G4699*$AF$14))))</f>
        <v/>
      </c>
      <c r="R4699" s="79">
        <f>IF(P4699&lt;&gt;"", TODAY(), "")</f>
        <v/>
      </c>
      <c r="S4699" s="78">
        <f>IF(AND(K4699&lt;&gt;"", R4699&lt;&gt;""), R4699-K4699, "")</f>
        <v/>
      </c>
      <c r="T4699" s="78" t="n"/>
      <c r="U4699" s="92">
        <f>IF(ISBLANK(P4699),"",IF(C4699="Buy",Q4699-M4699+T4699, IF(C4699="Sell",M4699-Q4699-T4699, X)))</f>
        <v/>
      </c>
      <c r="V4699" s="81">
        <f>IF(ISBLANK(P4699),"",U4699/N4699)</f>
        <v/>
      </c>
      <c r="W4699" s="81">
        <f>IF(ISBLANK(P4699),"",IF(S4699=0,(365/0.5)*V4699,(365/S4699)*V4699))</f>
        <v/>
      </c>
      <c r="X4699" s="75" t="n"/>
      <c r="Y4699" s="77" t="n"/>
      <c r="Z4699" s="77" t="n"/>
      <c r="AA4699" s="75" t="n"/>
      <c r="AB4699" s="75" t="n"/>
      <c r="AC4699" s="6" t="n"/>
      <c r="AD4699" s="75" t="n"/>
      <c r="AE4699" s="75" t="n"/>
      <c r="AF4699" s="75" t="n"/>
    </row>
    <row r="4700" ht="15.75" customHeight="1" s="133">
      <c r="A4700" s="75" t="n"/>
      <c r="B4700" s="75" t="n"/>
      <c r="C4700" s="75" t="n"/>
      <c r="D4700" s="75" t="n"/>
      <c r="E4700" s="76" t="n"/>
      <c r="F4700" s="77" t="n"/>
      <c r="G4700" s="75" t="n"/>
      <c r="H4700" s="75">
        <f>IF(ISBLANK(E4700),"",IF(OR(D4700="Butterfly",D4700="Butterfly ",D4700="Iron Fly", D4700="Iron Fly "),LEN(E4700)-LEN(SUBSTITUTE(E4700,"/",""))+2,LEN(E4700)-LEN(SUBSTITUTE(E4700,"/",""))+1))</f>
        <v/>
      </c>
      <c r="I4700" s="78">
        <f>IF(ISBLANK(G4700),"",IF(D4700="Stock","0",Key!$A$3*H4700*G4700))</f>
        <v/>
      </c>
      <c r="J4700" s="78">
        <f>IF(ISBLANK(E4700),"",IF(ISNUMBER(SEARCH("/",E4700)), IF(LEN(E4700)-LEN(SUBSTITUTE(E4700,"/",""))=1,(RIGHT(E4700,LEN(E4700)-FIND("/",E4700)))-(LEFT(E4700,FIND("/",E4700)-1)),(MID(E4700, SEARCH("/",E4700) + 1, SEARCH("/",E4700, SEARCH("/",E4700)+1) - SEARCH("/",E4700) - 1))-(LEFT(E4700,FIND("/",E4700)-1))), "NA"))</f>
        <v/>
      </c>
      <c r="K4700" s="79">
        <f>IF(A4700&lt;&gt;"", IF(ISBLANK(L4700), TODAY(), K4700), "")</f>
        <v/>
      </c>
      <c r="L4700" s="78" t="n"/>
      <c r="M4700" s="78">
        <f>IF(ISBLANK(L4700),"",IF(D4700="Stock",IF(C4700="Buy",L4700*G4700,IF(C4700="Sell",(L4700*G4700)-I4700, X)),IF(C4700="Buy",(L4700*G4700*100)+I4700,IF(C4700="Sell",(L4700*G4700*100)-I4700, X))))</f>
        <v/>
      </c>
      <c r="N4700" s="78">
        <f>IF(ISBLANK(L4700),"",IF(AND(C4700="Sell",D4700="Stock"),M4700,IF(ISBLANK(L4700),"",IF(C4700="Buy",M4700, IF(AND(C4700="Sell",J4700="NA"),(E4700*G4700*100*0.1)+I4700, IF(C4700="Sell",(J4700-L4700)*(100*G4700)+I4700))))))</f>
        <v/>
      </c>
      <c r="O4700" s="75" t="n"/>
      <c r="P4700" s="75" t="n"/>
      <c r="Q4700" s="75">
        <f>IF(ISBLANK(P4700),"",IF(D4700="Stock",P4700*G4700,IF(P4700=0,"0",G4700*P4700*100-(G4700*$AF$14))))</f>
        <v/>
      </c>
      <c r="R4700" s="79">
        <f>IF(P4700&lt;&gt;"", TODAY(), "")</f>
        <v/>
      </c>
      <c r="S4700" s="78">
        <f>IF(AND(K4700&lt;&gt;"", R4700&lt;&gt;""), R4700-K4700, "")</f>
        <v/>
      </c>
      <c r="T4700" s="78" t="n"/>
      <c r="U4700" s="92">
        <f>IF(ISBLANK(P4700),"",IF(C4700="Buy",Q4700-M4700+T4700, IF(C4700="Sell",M4700-Q4700-T4700, X)))</f>
        <v/>
      </c>
      <c r="V4700" s="81">
        <f>IF(ISBLANK(P4700),"",U4700/N4700)</f>
        <v/>
      </c>
      <c r="W4700" s="81">
        <f>IF(ISBLANK(P4700),"",IF(S4700=0,(365/0.5)*V4700,(365/S4700)*V4700))</f>
        <v/>
      </c>
      <c r="X4700" s="75" t="n"/>
      <c r="Y4700" s="77" t="n"/>
      <c r="Z4700" s="77" t="n"/>
      <c r="AA4700" s="75" t="n"/>
      <c r="AB4700" s="75" t="n"/>
      <c r="AC4700" s="6" t="n"/>
      <c r="AD4700" s="75" t="n"/>
      <c r="AE4700" s="75" t="n"/>
      <c r="AF4700" s="75" t="n"/>
    </row>
    <row r="4701" ht="15.75" customHeight="1" s="133">
      <c r="A4701" s="75" t="n"/>
      <c r="B4701" s="75" t="n"/>
      <c r="C4701" s="75" t="n"/>
      <c r="D4701" s="75" t="n"/>
      <c r="E4701" s="76" t="n"/>
      <c r="F4701" s="77" t="n"/>
      <c r="G4701" s="75" t="n"/>
      <c r="H4701" s="75">
        <f>IF(ISBLANK(E4701),"",IF(OR(D4701="Butterfly",D4701="Butterfly ",D4701="Iron Fly", D4701="Iron Fly "),LEN(E4701)-LEN(SUBSTITUTE(E4701,"/",""))+2,LEN(E4701)-LEN(SUBSTITUTE(E4701,"/",""))+1))</f>
        <v/>
      </c>
      <c r="I4701" s="78">
        <f>IF(ISBLANK(G4701),"",IF(D4701="Stock","0",Key!$A$3*H4701*G4701))</f>
        <v/>
      </c>
      <c r="J4701" s="78">
        <f>IF(ISBLANK(E4701),"",IF(ISNUMBER(SEARCH("/",E4701)), IF(LEN(E4701)-LEN(SUBSTITUTE(E4701,"/",""))=1,(RIGHT(E4701,LEN(E4701)-FIND("/",E4701)))-(LEFT(E4701,FIND("/",E4701)-1)),(MID(E4701, SEARCH("/",E4701) + 1, SEARCH("/",E4701, SEARCH("/",E4701)+1) - SEARCH("/",E4701) - 1))-(LEFT(E4701,FIND("/",E4701)-1))), "NA"))</f>
        <v/>
      </c>
      <c r="K4701" s="79">
        <f>IF(A4701&lt;&gt;"", IF(ISBLANK(L4701), TODAY(), K4701), "")</f>
        <v/>
      </c>
      <c r="L4701" s="78" t="n"/>
      <c r="M4701" s="78">
        <f>IF(ISBLANK(L4701),"",IF(D4701="Stock",IF(C4701="Buy",L4701*G4701,IF(C4701="Sell",(L4701*G4701)-I4701, X)),IF(C4701="Buy",(L4701*G4701*100)+I4701,IF(C4701="Sell",(L4701*G4701*100)-I4701, X))))</f>
        <v/>
      </c>
      <c r="N4701" s="78">
        <f>IF(ISBLANK(L4701),"",IF(AND(C4701="Sell",D4701="Stock"),M4701,IF(ISBLANK(L4701),"",IF(C4701="Buy",M4701, IF(AND(C4701="Sell",J4701="NA"),(E4701*G4701*100*0.1)+I4701, IF(C4701="Sell",(J4701-L4701)*(100*G4701)+I4701))))))</f>
        <v/>
      </c>
      <c r="O4701" s="75" t="n"/>
      <c r="P4701" s="75" t="n"/>
      <c r="Q4701" s="75">
        <f>IF(ISBLANK(P4701),"",IF(D4701="Stock",P4701*G4701,IF(P4701=0,"0",G4701*P4701*100-(G4701*$AF$14))))</f>
        <v/>
      </c>
      <c r="R4701" s="79">
        <f>IF(P4701&lt;&gt;"", TODAY(), "")</f>
        <v/>
      </c>
      <c r="S4701" s="78">
        <f>IF(AND(K4701&lt;&gt;"", R4701&lt;&gt;""), R4701-K4701, "")</f>
        <v/>
      </c>
      <c r="T4701" s="78" t="n"/>
      <c r="U4701" s="92">
        <f>IF(ISBLANK(P4701),"",IF(C4701="Buy",Q4701-M4701+T4701, IF(C4701="Sell",M4701-Q4701-T4701, X)))</f>
        <v/>
      </c>
      <c r="V4701" s="81">
        <f>IF(ISBLANK(P4701),"",U4701/N4701)</f>
        <v/>
      </c>
      <c r="W4701" s="81">
        <f>IF(ISBLANK(P4701),"",IF(S4701=0,(365/0.5)*V4701,(365/S4701)*V4701))</f>
        <v/>
      </c>
      <c r="X4701" s="75" t="n"/>
      <c r="Y4701" s="77" t="n"/>
      <c r="Z4701" s="77" t="n"/>
      <c r="AA4701" s="75" t="n"/>
      <c r="AB4701" s="75" t="n"/>
      <c r="AC4701" s="6" t="n"/>
      <c r="AD4701" s="75" t="n"/>
      <c r="AE4701" s="75" t="n"/>
      <c r="AF4701" s="75" t="n"/>
    </row>
    <row r="4702" ht="15.75" customHeight="1" s="133">
      <c r="A4702" s="75" t="n"/>
      <c r="B4702" s="75" t="n"/>
      <c r="C4702" s="75" t="n"/>
      <c r="D4702" s="75" t="n"/>
      <c r="E4702" s="76" t="n"/>
      <c r="F4702" s="77" t="n"/>
      <c r="G4702" s="75" t="n"/>
      <c r="H4702" s="75">
        <f>IF(ISBLANK(E4702),"",IF(OR(D4702="Butterfly",D4702="Butterfly ",D4702="Iron Fly", D4702="Iron Fly "),LEN(E4702)-LEN(SUBSTITUTE(E4702,"/",""))+2,LEN(E4702)-LEN(SUBSTITUTE(E4702,"/",""))+1))</f>
        <v/>
      </c>
      <c r="I4702" s="78">
        <f>IF(ISBLANK(G4702),"",IF(D4702="Stock","0",Key!$A$3*H4702*G4702))</f>
        <v/>
      </c>
      <c r="J4702" s="78">
        <f>IF(ISBLANK(E4702),"",IF(ISNUMBER(SEARCH("/",E4702)), IF(LEN(E4702)-LEN(SUBSTITUTE(E4702,"/",""))=1,(RIGHT(E4702,LEN(E4702)-FIND("/",E4702)))-(LEFT(E4702,FIND("/",E4702)-1)),(MID(E4702, SEARCH("/",E4702) + 1, SEARCH("/",E4702, SEARCH("/",E4702)+1) - SEARCH("/",E4702) - 1))-(LEFT(E4702,FIND("/",E4702)-1))), "NA"))</f>
        <v/>
      </c>
      <c r="K4702" s="79">
        <f>IF(A4702&lt;&gt;"", IF(ISBLANK(L4702), TODAY(), K4702), "")</f>
        <v/>
      </c>
      <c r="L4702" s="78" t="n"/>
      <c r="M4702" s="78">
        <f>IF(ISBLANK(L4702),"",IF(D4702="Stock",IF(C4702="Buy",L4702*G4702,IF(C4702="Sell",(L4702*G4702)-I4702, X)),IF(C4702="Buy",(L4702*G4702*100)+I4702,IF(C4702="Sell",(L4702*G4702*100)-I4702, X))))</f>
        <v/>
      </c>
      <c r="N4702" s="78">
        <f>IF(ISBLANK(L4702),"",IF(AND(C4702="Sell",D4702="Stock"),M4702,IF(ISBLANK(L4702),"",IF(C4702="Buy",M4702, IF(AND(C4702="Sell",J4702="NA"),(E4702*G4702*100*0.1)+I4702, IF(C4702="Sell",(J4702-L4702)*(100*G4702)+I4702))))))</f>
        <v/>
      </c>
      <c r="O4702" s="75" t="n"/>
      <c r="P4702" s="75" t="n"/>
      <c r="Q4702" s="75">
        <f>IF(ISBLANK(P4702),"",IF(D4702="Stock",P4702*G4702,IF(P4702=0,"0",G4702*P4702*100-(G4702*$AF$14))))</f>
        <v/>
      </c>
      <c r="R4702" s="79">
        <f>IF(P4702&lt;&gt;"", TODAY(), "")</f>
        <v/>
      </c>
      <c r="S4702" s="78">
        <f>IF(AND(K4702&lt;&gt;"", R4702&lt;&gt;""), R4702-K4702, "")</f>
        <v/>
      </c>
      <c r="T4702" s="78" t="n"/>
      <c r="U4702" s="92">
        <f>IF(ISBLANK(P4702),"",IF(C4702="Buy",Q4702-M4702+T4702, IF(C4702="Sell",M4702-Q4702-T4702, X)))</f>
        <v/>
      </c>
      <c r="V4702" s="81">
        <f>IF(ISBLANK(P4702),"",U4702/N4702)</f>
        <v/>
      </c>
      <c r="W4702" s="81">
        <f>IF(ISBLANK(P4702),"",IF(S4702=0,(365/0.5)*V4702,(365/S4702)*V4702))</f>
        <v/>
      </c>
      <c r="X4702" s="75" t="n"/>
      <c r="Y4702" s="77" t="n"/>
      <c r="Z4702" s="77" t="n"/>
      <c r="AA4702" s="75" t="n"/>
      <c r="AB4702" s="75" t="n"/>
      <c r="AC4702" s="6" t="n"/>
      <c r="AD4702" s="75" t="n"/>
      <c r="AE4702" s="75" t="n"/>
      <c r="AF4702" s="75" t="n"/>
    </row>
    <row r="4703" ht="15.75" customHeight="1" s="133">
      <c r="A4703" s="75" t="n"/>
      <c r="B4703" s="75" t="n"/>
      <c r="C4703" s="75" t="n"/>
      <c r="D4703" s="75" t="n"/>
      <c r="E4703" s="76" t="n"/>
      <c r="F4703" s="77" t="n"/>
      <c r="G4703" s="75" t="n"/>
      <c r="H4703" s="75">
        <f>IF(ISBLANK(E4703),"",IF(OR(D4703="Butterfly",D4703="Butterfly ",D4703="Iron Fly", D4703="Iron Fly "),LEN(E4703)-LEN(SUBSTITUTE(E4703,"/",""))+2,LEN(E4703)-LEN(SUBSTITUTE(E4703,"/",""))+1))</f>
        <v/>
      </c>
      <c r="I4703" s="78">
        <f>IF(ISBLANK(G4703),"",IF(D4703="Stock","0",Key!$A$3*H4703*G4703))</f>
        <v/>
      </c>
      <c r="J4703" s="78">
        <f>IF(ISBLANK(E4703),"",IF(ISNUMBER(SEARCH("/",E4703)), IF(LEN(E4703)-LEN(SUBSTITUTE(E4703,"/",""))=1,(RIGHT(E4703,LEN(E4703)-FIND("/",E4703)))-(LEFT(E4703,FIND("/",E4703)-1)),(MID(E4703, SEARCH("/",E4703) + 1, SEARCH("/",E4703, SEARCH("/",E4703)+1) - SEARCH("/",E4703) - 1))-(LEFT(E4703,FIND("/",E4703)-1))), "NA"))</f>
        <v/>
      </c>
      <c r="K4703" s="79">
        <f>IF(A4703&lt;&gt;"", IF(ISBLANK(L4703), TODAY(), K4703), "")</f>
        <v/>
      </c>
      <c r="L4703" s="78" t="n"/>
      <c r="M4703" s="78">
        <f>IF(ISBLANK(L4703),"",IF(D4703="Stock",IF(C4703="Buy",L4703*G4703,IF(C4703="Sell",(L4703*G4703)-I4703, X)),IF(C4703="Buy",(L4703*G4703*100)+I4703,IF(C4703="Sell",(L4703*G4703*100)-I4703, X))))</f>
        <v/>
      </c>
      <c r="N4703" s="78">
        <f>IF(ISBLANK(L4703),"",IF(AND(C4703="Sell",D4703="Stock"),M4703,IF(ISBLANK(L4703),"",IF(C4703="Buy",M4703, IF(AND(C4703="Sell",J4703="NA"),(E4703*G4703*100*0.1)+I4703, IF(C4703="Sell",(J4703-L4703)*(100*G4703)+I4703))))))</f>
        <v/>
      </c>
      <c r="O4703" s="75" t="n"/>
      <c r="P4703" s="75" t="n"/>
      <c r="Q4703" s="75">
        <f>IF(ISBLANK(P4703),"",IF(D4703="Stock",P4703*G4703,IF(P4703=0,"0",G4703*P4703*100-(G4703*$AF$14))))</f>
        <v/>
      </c>
      <c r="R4703" s="79">
        <f>IF(P4703&lt;&gt;"", TODAY(), "")</f>
        <v/>
      </c>
      <c r="S4703" s="78">
        <f>IF(AND(K4703&lt;&gt;"", R4703&lt;&gt;""), R4703-K4703, "")</f>
        <v/>
      </c>
      <c r="T4703" s="78" t="n"/>
      <c r="U4703" s="92">
        <f>IF(ISBLANK(P4703),"",IF(C4703="Buy",Q4703-M4703+T4703, IF(C4703="Sell",M4703-Q4703-T4703, X)))</f>
        <v/>
      </c>
      <c r="V4703" s="81">
        <f>IF(ISBLANK(P4703),"",U4703/N4703)</f>
        <v/>
      </c>
      <c r="W4703" s="81">
        <f>IF(ISBLANK(P4703),"",IF(S4703=0,(365/0.5)*V4703,(365/S4703)*V4703))</f>
        <v/>
      </c>
      <c r="X4703" s="75" t="n"/>
      <c r="Y4703" s="77" t="n"/>
      <c r="Z4703" s="77" t="n"/>
      <c r="AA4703" s="75" t="n"/>
      <c r="AB4703" s="75" t="n"/>
      <c r="AC4703" s="6" t="n"/>
      <c r="AD4703" s="75" t="n"/>
      <c r="AE4703" s="75" t="n"/>
      <c r="AF4703" s="75" t="n"/>
    </row>
    <row r="4704" ht="15.75" customHeight="1" s="133">
      <c r="A4704" s="75" t="n"/>
      <c r="B4704" s="75" t="n"/>
      <c r="C4704" s="75" t="n"/>
      <c r="D4704" s="75" t="n"/>
      <c r="E4704" s="76" t="n"/>
      <c r="F4704" s="77" t="n"/>
      <c r="G4704" s="75" t="n"/>
      <c r="H4704" s="75">
        <f>IF(ISBLANK(E4704),"",IF(OR(D4704="Butterfly",D4704="Butterfly ",D4704="Iron Fly", D4704="Iron Fly "),LEN(E4704)-LEN(SUBSTITUTE(E4704,"/",""))+2,LEN(E4704)-LEN(SUBSTITUTE(E4704,"/",""))+1))</f>
        <v/>
      </c>
      <c r="I4704" s="78">
        <f>IF(ISBLANK(G4704),"",IF(D4704="Stock","0",Key!$A$3*H4704*G4704))</f>
        <v/>
      </c>
      <c r="J4704" s="78">
        <f>IF(ISBLANK(E4704),"",IF(ISNUMBER(SEARCH("/",E4704)), IF(LEN(E4704)-LEN(SUBSTITUTE(E4704,"/",""))=1,(RIGHT(E4704,LEN(E4704)-FIND("/",E4704)))-(LEFT(E4704,FIND("/",E4704)-1)),(MID(E4704, SEARCH("/",E4704) + 1, SEARCH("/",E4704, SEARCH("/",E4704)+1) - SEARCH("/",E4704) - 1))-(LEFT(E4704,FIND("/",E4704)-1))), "NA"))</f>
        <v/>
      </c>
      <c r="K4704" s="79">
        <f>IF(A4704&lt;&gt;"", IF(ISBLANK(L4704), TODAY(), K4704), "")</f>
        <v/>
      </c>
      <c r="L4704" s="78" t="n"/>
      <c r="M4704" s="78">
        <f>IF(ISBLANK(L4704),"",IF(D4704="Stock",IF(C4704="Buy",L4704*G4704,IF(C4704="Sell",(L4704*G4704)-I4704, X)),IF(C4704="Buy",(L4704*G4704*100)+I4704,IF(C4704="Sell",(L4704*G4704*100)-I4704, X))))</f>
        <v/>
      </c>
      <c r="N4704" s="78">
        <f>IF(ISBLANK(L4704),"",IF(AND(C4704="Sell",D4704="Stock"),M4704,IF(ISBLANK(L4704),"",IF(C4704="Buy",M4704, IF(AND(C4704="Sell",J4704="NA"),(E4704*G4704*100*0.1)+I4704, IF(C4704="Sell",(J4704-L4704)*(100*G4704)+I4704))))))</f>
        <v/>
      </c>
      <c r="O4704" s="75" t="n"/>
      <c r="P4704" s="75" t="n"/>
      <c r="Q4704" s="75">
        <f>IF(ISBLANK(P4704),"",IF(D4704="Stock",P4704*G4704,IF(P4704=0,"0",G4704*P4704*100-(G4704*$AF$14))))</f>
        <v/>
      </c>
      <c r="R4704" s="79">
        <f>IF(P4704&lt;&gt;"", TODAY(), "")</f>
        <v/>
      </c>
      <c r="S4704" s="78">
        <f>IF(AND(K4704&lt;&gt;"", R4704&lt;&gt;""), R4704-K4704, "")</f>
        <v/>
      </c>
      <c r="T4704" s="78" t="n"/>
      <c r="U4704" s="92">
        <f>IF(ISBLANK(P4704),"",IF(C4704="Buy",Q4704-M4704+T4704, IF(C4704="Sell",M4704-Q4704-T4704, X)))</f>
        <v/>
      </c>
      <c r="V4704" s="81">
        <f>IF(ISBLANK(P4704),"",U4704/N4704)</f>
        <v/>
      </c>
      <c r="W4704" s="81">
        <f>IF(ISBLANK(P4704),"",IF(S4704=0,(365/0.5)*V4704,(365/S4704)*V4704))</f>
        <v/>
      </c>
      <c r="X4704" s="75" t="n"/>
      <c r="Y4704" s="77" t="n"/>
      <c r="Z4704" s="77" t="n"/>
      <c r="AA4704" s="75" t="n"/>
      <c r="AB4704" s="75" t="n"/>
      <c r="AC4704" s="6" t="n"/>
      <c r="AD4704" s="75" t="n"/>
      <c r="AE4704" s="75" t="n"/>
      <c r="AF4704" s="75" t="n"/>
    </row>
    <row r="4705" ht="15.75" customHeight="1" s="133">
      <c r="A4705" s="75" t="n"/>
      <c r="B4705" s="75" t="n"/>
      <c r="C4705" s="75" t="n"/>
      <c r="D4705" s="75" t="n"/>
      <c r="E4705" s="76" t="n"/>
      <c r="F4705" s="77" t="n"/>
      <c r="G4705" s="75" t="n"/>
      <c r="H4705" s="75">
        <f>IF(ISBLANK(E4705),"",IF(OR(D4705="Butterfly",D4705="Butterfly ",D4705="Iron Fly", D4705="Iron Fly "),LEN(E4705)-LEN(SUBSTITUTE(E4705,"/",""))+2,LEN(E4705)-LEN(SUBSTITUTE(E4705,"/",""))+1))</f>
        <v/>
      </c>
      <c r="I4705" s="78">
        <f>IF(ISBLANK(G4705),"",IF(D4705="Stock","0",Key!$A$3*H4705*G4705))</f>
        <v/>
      </c>
      <c r="J4705" s="78">
        <f>IF(ISBLANK(E4705),"",IF(ISNUMBER(SEARCH("/",E4705)), IF(LEN(E4705)-LEN(SUBSTITUTE(E4705,"/",""))=1,(RIGHT(E4705,LEN(E4705)-FIND("/",E4705)))-(LEFT(E4705,FIND("/",E4705)-1)),(MID(E4705, SEARCH("/",E4705) + 1, SEARCH("/",E4705, SEARCH("/",E4705)+1) - SEARCH("/",E4705) - 1))-(LEFT(E4705,FIND("/",E4705)-1))), "NA"))</f>
        <v/>
      </c>
      <c r="K4705" s="79">
        <f>IF(A4705&lt;&gt;"", IF(ISBLANK(L4705), TODAY(), K4705), "")</f>
        <v/>
      </c>
      <c r="L4705" s="78" t="n"/>
      <c r="M4705" s="78">
        <f>IF(ISBLANK(L4705),"",IF(D4705="Stock",IF(C4705="Buy",L4705*G4705,IF(C4705="Sell",(L4705*G4705)-I4705, X)),IF(C4705="Buy",(L4705*G4705*100)+I4705,IF(C4705="Sell",(L4705*G4705*100)-I4705, X))))</f>
        <v/>
      </c>
      <c r="N4705" s="78">
        <f>IF(ISBLANK(L4705),"",IF(AND(C4705="Sell",D4705="Stock"),M4705,IF(ISBLANK(L4705),"",IF(C4705="Buy",M4705, IF(AND(C4705="Sell",J4705="NA"),(E4705*G4705*100*0.1)+I4705, IF(C4705="Sell",(J4705-L4705)*(100*G4705)+I4705))))))</f>
        <v/>
      </c>
      <c r="O4705" s="75" t="n"/>
      <c r="P4705" s="75" t="n"/>
      <c r="Q4705" s="75">
        <f>IF(ISBLANK(P4705),"",IF(D4705="Stock",P4705*G4705,IF(P4705=0,"0",G4705*P4705*100-(G4705*$AF$14))))</f>
        <v/>
      </c>
      <c r="R4705" s="79">
        <f>IF(P4705&lt;&gt;"", TODAY(), "")</f>
        <v/>
      </c>
      <c r="S4705" s="78">
        <f>IF(AND(K4705&lt;&gt;"", R4705&lt;&gt;""), R4705-K4705, "")</f>
        <v/>
      </c>
      <c r="T4705" s="78" t="n"/>
      <c r="U4705" s="92">
        <f>IF(ISBLANK(P4705),"",IF(C4705="Buy",Q4705-M4705+T4705, IF(C4705="Sell",M4705-Q4705-T4705, X)))</f>
        <v/>
      </c>
      <c r="V4705" s="81">
        <f>IF(ISBLANK(P4705),"",U4705/N4705)</f>
        <v/>
      </c>
      <c r="W4705" s="81">
        <f>IF(ISBLANK(P4705),"",IF(S4705=0,(365/0.5)*V4705,(365/S4705)*V4705))</f>
        <v/>
      </c>
      <c r="X4705" s="75" t="n"/>
      <c r="Y4705" s="77" t="n"/>
      <c r="Z4705" s="77" t="n"/>
      <c r="AA4705" s="75" t="n"/>
      <c r="AB4705" s="75" t="n"/>
      <c r="AC4705" s="6" t="n"/>
      <c r="AD4705" s="75" t="n"/>
      <c r="AE4705" s="75" t="n"/>
      <c r="AF4705" s="75" t="n"/>
    </row>
    <row r="4706" ht="15.75" customHeight="1" s="133">
      <c r="A4706" s="75" t="n"/>
      <c r="B4706" s="75" t="n"/>
      <c r="C4706" s="75" t="n"/>
      <c r="D4706" s="75" t="n"/>
      <c r="E4706" s="76" t="n"/>
      <c r="F4706" s="77" t="n"/>
      <c r="G4706" s="75" t="n"/>
      <c r="H4706" s="75">
        <f>IF(ISBLANK(E4706),"",IF(OR(D4706="Butterfly",D4706="Butterfly ",D4706="Iron Fly", D4706="Iron Fly "),LEN(E4706)-LEN(SUBSTITUTE(E4706,"/",""))+2,LEN(E4706)-LEN(SUBSTITUTE(E4706,"/",""))+1))</f>
        <v/>
      </c>
      <c r="I4706" s="78">
        <f>IF(ISBLANK(G4706),"",IF(D4706="Stock","0",Key!$A$3*H4706*G4706))</f>
        <v/>
      </c>
      <c r="J4706" s="78">
        <f>IF(ISBLANK(E4706),"",IF(ISNUMBER(SEARCH("/",E4706)), IF(LEN(E4706)-LEN(SUBSTITUTE(E4706,"/",""))=1,(RIGHT(E4706,LEN(E4706)-FIND("/",E4706)))-(LEFT(E4706,FIND("/",E4706)-1)),(MID(E4706, SEARCH("/",E4706) + 1, SEARCH("/",E4706, SEARCH("/",E4706)+1) - SEARCH("/",E4706) - 1))-(LEFT(E4706,FIND("/",E4706)-1))), "NA"))</f>
        <v/>
      </c>
      <c r="K4706" s="79">
        <f>IF(A4706&lt;&gt;"", IF(ISBLANK(L4706), TODAY(), K4706), "")</f>
        <v/>
      </c>
      <c r="L4706" s="78" t="n"/>
      <c r="M4706" s="78">
        <f>IF(ISBLANK(L4706),"",IF(D4706="Stock",IF(C4706="Buy",L4706*G4706,IF(C4706="Sell",(L4706*G4706)-I4706, X)),IF(C4706="Buy",(L4706*G4706*100)+I4706,IF(C4706="Sell",(L4706*G4706*100)-I4706, X))))</f>
        <v/>
      </c>
      <c r="N4706" s="78">
        <f>IF(ISBLANK(L4706),"",IF(AND(C4706="Sell",D4706="Stock"),M4706,IF(ISBLANK(L4706),"",IF(C4706="Buy",M4706, IF(AND(C4706="Sell",J4706="NA"),(E4706*G4706*100*0.1)+I4706, IF(C4706="Sell",(J4706-L4706)*(100*G4706)+I4706))))))</f>
        <v/>
      </c>
      <c r="O4706" s="75" t="n"/>
      <c r="P4706" s="75" t="n"/>
      <c r="Q4706" s="75">
        <f>IF(ISBLANK(P4706),"",IF(D4706="Stock",P4706*G4706,IF(P4706=0,"0",G4706*P4706*100-(G4706*$AF$14))))</f>
        <v/>
      </c>
      <c r="R4706" s="79">
        <f>IF(P4706&lt;&gt;"", TODAY(), "")</f>
        <v/>
      </c>
      <c r="S4706" s="78">
        <f>IF(AND(K4706&lt;&gt;"", R4706&lt;&gt;""), R4706-K4706, "")</f>
        <v/>
      </c>
      <c r="T4706" s="78" t="n"/>
      <c r="U4706" s="92">
        <f>IF(ISBLANK(P4706),"",IF(C4706="Buy",Q4706-M4706+T4706, IF(C4706="Sell",M4706-Q4706-T4706, X)))</f>
        <v/>
      </c>
      <c r="V4706" s="81">
        <f>IF(ISBLANK(P4706),"",U4706/N4706)</f>
        <v/>
      </c>
      <c r="W4706" s="81">
        <f>IF(ISBLANK(P4706),"",IF(S4706=0,(365/0.5)*V4706,(365/S4706)*V4706))</f>
        <v/>
      </c>
      <c r="X4706" s="75" t="n"/>
      <c r="Y4706" s="77" t="n"/>
      <c r="Z4706" s="77" t="n"/>
      <c r="AA4706" s="75" t="n"/>
      <c r="AB4706" s="75" t="n"/>
      <c r="AC4706" s="6" t="n"/>
      <c r="AD4706" s="75" t="n"/>
      <c r="AE4706" s="75" t="n"/>
      <c r="AF4706" s="75" t="n"/>
    </row>
    <row r="4707" ht="15.75" customHeight="1" s="133">
      <c r="A4707" s="75" t="n"/>
      <c r="B4707" s="75" t="n"/>
      <c r="C4707" s="75" t="n"/>
      <c r="D4707" s="75" t="n"/>
      <c r="E4707" s="76" t="n"/>
      <c r="F4707" s="77" t="n"/>
      <c r="G4707" s="75" t="n"/>
      <c r="H4707" s="75">
        <f>IF(ISBLANK(E4707),"",IF(OR(D4707="Butterfly",D4707="Butterfly ",D4707="Iron Fly", D4707="Iron Fly "),LEN(E4707)-LEN(SUBSTITUTE(E4707,"/",""))+2,LEN(E4707)-LEN(SUBSTITUTE(E4707,"/",""))+1))</f>
        <v/>
      </c>
      <c r="I4707" s="78">
        <f>IF(ISBLANK(G4707),"",IF(D4707="Stock","0",Key!$A$3*H4707*G4707))</f>
        <v/>
      </c>
      <c r="J4707" s="78">
        <f>IF(ISBLANK(E4707),"",IF(ISNUMBER(SEARCH("/",E4707)), IF(LEN(E4707)-LEN(SUBSTITUTE(E4707,"/",""))=1,(RIGHT(E4707,LEN(E4707)-FIND("/",E4707)))-(LEFT(E4707,FIND("/",E4707)-1)),(MID(E4707, SEARCH("/",E4707) + 1, SEARCH("/",E4707, SEARCH("/",E4707)+1) - SEARCH("/",E4707) - 1))-(LEFT(E4707,FIND("/",E4707)-1))), "NA"))</f>
        <v/>
      </c>
      <c r="K4707" s="79">
        <f>IF(A4707&lt;&gt;"", IF(ISBLANK(L4707), TODAY(), K4707), "")</f>
        <v/>
      </c>
      <c r="L4707" s="78" t="n"/>
      <c r="M4707" s="78">
        <f>IF(ISBLANK(L4707),"",IF(D4707="Stock",IF(C4707="Buy",L4707*G4707,IF(C4707="Sell",(L4707*G4707)-I4707, X)),IF(C4707="Buy",(L4707*G4707*100)+I4707,IF(C4707="Sell",(L4707*G4707*100)-I4707, X))))</f>
        <v/>
      </c>
      <c r="N4707" s="78">
        <f>IF(ISBLANK(L4707),"",IF(AND(C4707="Sell",D4707="Stock"),M4707,IF(ISBLANK(L4707),"",IF(C4707="Buy",M4707, IF(AND(C4707="Sell",J4707="NA"),(E4707*G4707*100*0.1)+I4707, IF(C4707="Sell",(J4707-L4707)*(100*G4707)+I4707))))))</f>
        <v/>
      </c>
      <c r="O4707" s="75" t="n"/>
      <c r="P4707" s="75" t="n"/>
      <c r="Q4707" s="75">
        <f>IF(ISBLANK(P4707),"",IF(D4707="Stock",P4707*G4707,IF(P4707=0,"0",G4707*P4707*100-(G4707*$AF$14))))</f>
        <v/>
      </c>
      <c r="R4707" s="79">
        <f>IF(P4707&lt;&gt;"", TODAY(), "")</f>
        <v/>
      </c>
      <c r="S4707" s="78">
        <f>IF(AND(K4707&lt;&gt;"", R4707&lt;&gt;""), R4707-K4707, "")</f>
        <v/>
      </c>
      <c r="T4707" s="78" t="n"/>
      <c r="U4707" s="92">
        <f>IF(ISBLANK(P4707),"",IF(C4707="Buy",Q4707-M4707+T4707, IF(C4707="Sell",M4707-Q4707-T4707, X)))</f>
        <v/>
      </c>
      <c r="V4707" s="81">
        <f>IF(ISBLANK(P4707),"",U4707/N4707)</f>
        <v/>
      </c>
      <c r="W4707" s="81">
        <f>IF(ISBLANK(P4707),"",IF(S4707=0,(365/0.5)*V4707,(365/S4707)*V4707))</f>
        <v/>
      </c>
      <c r="X4707" s="75" t="n"/>
      <c r="Y4707" s="77" t="n"/>
      <c r="Z4707" s="77" t="n"/>
      <c r="AA4707" s="75" t="n"/>
      <c r="AB4707" s="75" t="n"/>
      <c r="AC4707" s="6" t="n"/>
      <c r="AD4707" s="75" t="n"/>
      <c r="AE4707" s="75" t="n"/>
      <c r="AF4707" s="75" t="n"/>
    </row>
    <row r="4708" ht="15.75" customHeight="1" s="133">
      <c r="A4708" s="75" t="n"/>
      <c r="B4708" s="75" t="n"/>
      <c r="C4708" s="75" t="n"/>
      <c r="D4708" s="75" t="n"/>
      <c r="E4708" s="76" t="n"/>
      <c r="F4708" s="77" t="n"/>
      <c r="G4708" s="75" t="n"/>
      <c r="H4708" s="75">
        <f>IF(ISBLANK(E4708),"",IF(OR(D4708="Butterfly",D4708="Butterfly ",D4708="Iron Fly", D4708="Iron Fly "),LEN(E4708)-LEN(SUBSTITUTE(E4708,"/",""))+2,LEN(E4708)-LEN(SUBSTITUTE(E4708,"/",""))+1))</f>
        <v/>
      </c>
      <c r="I4708" s="78">
        <f>IF(ISBLANK(G4708),"",IF(D4708="Stock","0",Key!$A$3*H4708*G4708))</f>
        <v/>
      </c>
      <c r="J4708" s="78">
        <f>IF(ISBLANK(E4708),"",IF(ISNUMBER(SEARCH("/",E4708)), IF(LEN(E4708)-LEN(SUBSTITUTE(E4708,"/",""))=1,(RIGHT(E4708,LEN(E4708)-FIND("/",E4708)))-(LEFT(E4708,FIND("/",E4708)-1)),(MID(E4708, SEARCH("/",E4708) + 1, SEARCH("/",E4708, SEARCH("/",E4708)+1) - SEARCH("/",E4708) - 1))-(LEFT(E4708,FIND("/",E4708)-1))), "NA"))</f>
        <v/>
      </c>
      <c r="K4708" s="79">
        <f>IF(A4708&lt;&gt;"", IF(ISBLANK(L4708), TODAY(), K4708), "")</f>
        <v/>
      </c>
      <c r="L4708" s="78" t="n"/>
      <c r="M4708" s="78">
        <f>IF(ISBLANK(L4708),"",IF(D4708="Stock",IF(C4708="Buy",L4708*G4708,IF(C4708="Sell",(L4708*G4708)-I4708, X)),IF(C4708="Buy",(L4708*G4708*100)+I4708,IF(C4708="Sell",(L4708*G4708*100)-I4708, X))))</f>
        <v/>
      </c>
      <c r="N4708" s="78">
        <f>IF(ISBLANK(L4708),"",IF(AND(C4708="Sell",D4708="Stock"),M4708,IF(ISBLANK(L4708),"",IF(C4708="Buy",M4708, IF(AND(C4708="Sell",J4708="NA"),(E4708*G4708*100*0.1)+I4708, IF(C4708="Sell",(J4708-L4708)*(100*G4708)+I4708))))))</f>
        <v/>
      </c>
      <c r="O4708" s="75" t="n"/>
      <c r="P4708" s="75" t="n"/>
      <c r="Q4708" s="75">
        <f>IF(ISBLANK(P4708),"",IF(D4708="Stock",P4708*G4708,IF(P4708=0,"0",G4708*P4708*100-(G4708*$AF$14))))</f>
        <v/>
      </c>
      <c r="R4708" s="79">
        <f>IF(P4708&lt;&gt;"", TODAY(), "")</f>
        <v/>
      </c>
      <c r="S4708" s="78">
        <f>IF(AND(K4708&lt;&gt;"", R4708&lt;&gt;""), R4708-K4708, "")</f>
        <v/>
      </c>
      <c r="T4708" s="78" t="n"/>
      <c r="U4708" s="92">
        <f>IF(ISBLANK(P4708),"",IF(C4708="Buy",Q4708-M4708+T4708, IF(C4708="Sell",M4708-Q4708-T4708, X)))</f>
        <v/>
      </c>
      <c r="V4708" s="81">
        <f>IF(ISBLANK(P4708),"",U4708/N4708)</f>
        <v/>
      </c>
      <c r="W4708" s="81">
        <f>IF(ISBLANK(P4708),"",IF(S4708=0,(365/0.5)*V4708,(365/S4708)*V4708))</f>
        <v/>
      </c>
      <c r="X4708" s="75" t="n"/>
      <c r="Y4708" s="77" t="n"/>
      <c r="Z4708" s="77" t="n"/>
      <c r="AA4708" s="75" t="n"/>
      <c r="AB4708" s="75" t="n"/>
      <c r="AC4708" s="6" t="n"/>
      <c r="AD4708" s="75" t="n"/>
      <c r="AE4708" s="75" t="n"/>
      <c r="AF4708" s="75" t="n"/>
    </row>
    <row r="4709" ht="15.75" customHeight="1" s="133">
      <c r="A4709" s="75" t="n"/>
      <c r="B4709" s="75" t="n"/>
      <c r="C4709" s="75" t="n"/>
      <c r="D4709" s="75" t="n"/>
      <c r="E4709" s="76" t="n"/>
      <c r="F4709" s="77" t="n"/>
      <c r="G4709" s="75" t="n"/>
      <c r="H4709" s="75">
        <f>IF(ISBLANK(E4709),"",IF(OR(D4709="Butterfly",D4709="Butterfly ",D4709="Iron Fly", D4709="Iron Fly "),LEN(E4709)-LEN(SUBSTITUTE(E4709,"/",""))+2,LEN(E4709)-LEN(SUBSTITUTE(E4709,"/",""))+1))</f>
        <v/>
      </c>
      <c r="I4709" s="78">
        <f>IF(ISBLANK(G4709),"",IF(D4709="Stock","0",Key!$A$3*H4709*G4709))</f>
        <v/>
      </c>
      <c r="J4709" s="78">
        <f>IF(ISBLANK(E4709),"",IF(ISNUMBER(SEARCH("/",E4709)), IF(LEN(E4709)-LEN(SUBSTITUTE(E4709,"/",""))=1,(RIGHT(E4709,LEN(E4709)-FIND("/",E4709)))-(LEFT(E4709,FIND("/",E4709)-1)),(MID(E4709, SEARCH("/",E4709) + 1, SEARCH("/",E4709, SEARCH("/",E4709)+1) - SEARCH("/",E4709) - 1))-(LEFT(E4709,FIND("/",E4709)-1))), "NA"))</f>
        <v/>
      </c>
      <c r="K4709" s="79">
        <f>IF(A4709&lt;&gt;"", IF(ISBLANK(L4709), TODAY(), K4709), "")</f>
        <v/>
      </c>
      <c r="L4709" s="78" t="n"/>
      <c r="M4709" s="78">
        <f>IF(ISBLANK(L4709),"",IF(D4709="Stock",IF(C4709="Buy",L4709*G4709,IF(C4709="Sell",(L4709*G4709)-I4709, X)),IF(C4709="Buy",(L4709*G4709*100)+I4709,IF(C4709="Sell",(L4709*G4709*100)-I4709, X))))</f>
        <v/>
      </c>
      <c r="N4709" s="78">
        <f>IF(ISBLANK(L4709),"",IF(AND(C4709="Sell",D4709="Stock"),M4709,IF(ISBLANK(L4709),"",IF(C4709="Buy",M4709, IF(AND(C4709="Sell",J4709="NA"),(E4709*G4709*100*0.1)+I4709, IF(C4709="Sell",(J4709-L4709)*(100*G4709)+I4709))))))</f>
        <v/>
      </c>
      <c r="O4709" s="75" t="n"/>
      <c r="P4709" s="75" t="n"/>
      <c r="Q4709" s="75">
        <f>IF(ISBLANK(P4709),"",IF(D4709="Stock",P4709*G4709,IF(P4709=0,"0",G4709*P4709*100-(G4709*$AF$14))))</f>
        <v/>
      </c>
      <c r="R4709" s="79">
        <f>IF(P4709&lt;&gt;"", TODAY(), "")</f>
        <v/>
      </c>
      <c r="S4709" s="78">
        <f>IF(AND(K4709&lt;&gt;"", R4709&lt;&gt;""), R4709-K4709, "")</f>
        <v/>
      </c>
      <c r="T4709" s="78" t="n"/>
      <c r="U4709" s="92">
        <f>IF(ISBLANK(P4709),"",IF(C4709="Buy",Q4709-M4709+T4709, IF(C4709="Sell",M4709-Q4709-T4709, X)))</f>
        <v/>
      </c>
      <c r="V4709" s="81">
        <f>IF(ISBLANK(P4709),"",U4709/N4709)</f>
        <v/>
      </c>
      <c r="W4709" s="81">
        <f>IF(ISBLANK(P4709),"",IF(S4709=0,(365/0.5)*V4709,(365/S4709)*V4709))</f>
        <v/>
      </c>
      <c r="X4709" s="75" t="n"/>
      <c r="Y4709" s="77" t="n"/>
      <c r="Z4709" s="77" t="n"/>
      <c r="AA4709" s="75" t="n"/>
      <c r="AB4709" s="75" t="n"/>
      <c r="AC4709" s="6" t="n"/>
      <c r="AD4709" s="75" t="n"/>
      <c r="AE4709" s="75" t="n"/>
      <c r="AF4709" s="75" t="n"/>
    </row>
    <row r="4710" ht="15.75" customHeight="1" s="133">
      <c r="A4710" s="75" t="n"/>
      <c r="B4710" s="75" t="n"/>
      <c r="C4710" s="75" t="n"/>
      <c r="D4710" s="75" t="n"/>
      <c r="E4710" s="76" t="n"/>
      <c r="F4710" s="77" t="n"/>
      <c r="G4710" s="75" t="n"/>
      <c r="H4710" s="75">
        <f>IF(ISBLANK(E4710),"",IF(OR(D4710="Butterfly",D4710="Butterfly ",D4710="Iron Fly", D4710="Iron Fly "),LEN(E4710)-LEN(SUBSTITUTE(E4710,"/",""))+2,LEN(E4710)-LEN(SUBSTITUTE(E4710,"/",""))+1))</f>
        <v/>
      </c>
      <c r="I4710" s="78">
        <f>IF(ISBLANK(G4710),"",IF(D4710="Stock","0",Key!$A$3*H4710*G4710))</f>
        <v/>
      </c>
      <c r="J4710" s="78">
        <f>IF(ISBLANK(E4710),"",IF(ISNUMBER(SEARCH("/",E4710)), IF(LEN(E4710)-LEN(SUBSTITUTE(E4710,"/",""))=1,(RIGHT(E4710,LEN(E4710)-FIND("/",E4710)))-(LEFT(E4710,FIND("/",E4710)-1)),(MID(E4710, SEARCH("/",E4710) + 1, SEARCH("/",E4710, SEARCH("/",E4710)+1) - SEARCH("/",E4710) - 1))-(LEFT(E4710,FIND("/",E4710)-1))), "NA"))</f>
        <v/>
      </c>
      <c r="K4710" s="79">
        <f>IF(A4710&lt;&gt;"", IF(ISBLANK(L4710), TODAY(), K4710), "")</f>
        <v/>
      </c>
      <c r="L4710" s="78" t="n"/>
      <c r="M4710" s="78">
        <f>IF(ISBLANK(L4710),"",IF(D4710="Stock",IF(C4710="Buy",L4710*G4710,IF(C4710="Sell",(L4710*G4710)-I4710, X)),IF(C4710="Buy",(L4710*G4710*100)+I4710,IF(C4710="Sell",(L4710*G4710*100)-I4710, X))))</f>
        <v/>
      </c>
      <c r="N4710" s="78">
        <f>IF(ISBLANK(L4710),"",IF(AND(C4710="Sell",D4710="Stock"),M4710,IF(ISBLANK(L4710),"",IF(C4710="Buy",M4710, IF(AND(C4710="Sell",J4710="NA"),(E4710*G4710*100*0.1)+I4710, IF(C4710="Sell",(J4710-L4710)*(100*G4710)+I4710))))))</f>
        <v/>
      </c>
      <c r="O4710" s="75" t="n"/>
      <c r="P4710" s="75" t="n"/>
      <c r="Q4710" s="75">
        <f>IF(ISBLANK(P4710),"",IF(D4710="Stock",P4710*G4710,IF(P4710=0,"0",G4710*P4710*100-(G4710*$AF$14))))</f>
        <v/>
      </c>
      <c r="R4710" s="79">
        <f>IF(P4710&lt;&gt;"", TODAY(), "")</f>
        <v/>
      </c>
      <c r="S4710" s="78">
        <f>IF(AND(K4710&lt;&gt;"", R4710&lt;&gt;""), R4710-K4710, "")</f>
        <v/>
      </c>
      <c r="T4710" s="78" t="n"/>
      <c r="U4710" s="92">
        <f>IF(ISBLANK(P4710),"",IF(C4710="Buy",Q4710-M4710+T4710, IF(C4710="Sell",M4710-Q4710-T4710, X)))</f>
        <v/>
      </c>
      <c r="V4710" s="81">
        <f>IF(ISBLANK(P4710),"",U4710/N4710)</f>
        <v/>
      </c>
      <c r="W4710" s="81">
        <f>IF(ISBLANK(P4710),"",IF(S4710=0,(365/0.5)*V4710,(365/S4710)*V4710))</f>
        <v/>
      </c>
      <c r="X4710" s="75" t="n"/>
      <c r="Y4710" s="77" t="n"/>
      <c r="Z4710" s="77" t="n"/>
      <c r="AA4710" s="75" t="n"/>
      <c r="AB4710" s="75" t="n"/>
      <c r="AC4710" s="6" t="n"/>
      <c r="AD4710" s="75" t="n"/>
      <c r="AE4710" s="75" t="n"/>
      <c r="AF4710" s="75" t="n"/>
    </row>
    <row r="4711" ht="15.75" customHeight="1" s="133">
      <c r="A4711" s="75" t="n"/>
      <c r="B4711" s="75" t="n"/>
      <c r="C4711" s="75" t="n"/>
      <c r="D4711" s="75" t="n"/>
      <c r="E4711" s="76" t="n"/>
      <c r="F4711" s="77" t="n"/>
      <c r="G4711" s="75" t="n"/>
      <c r="H4711" s="75">
        <f>IF(ISBLANK(E4711),"",IF(OR(D4711="Butterfly",D4711="Butterfly ",D4711="Iron Fly", D4711="Iron Fly "),LEN(E4711)-LEN(SUBSTITUTE(E4711,"/",""))+2,LEN(E4711)-LEN(SUBSTITUTE(E4711,"/",""))+1))</f>
        <v/>
      </c>
      <c r="I4711" s="78">
        <f>IF(ISBLANK(G4711),"",IF(D4711="Stock","0",Key!$A$3*H4711*G4711))</f>
        <v/>
      </c>
      <c r="J4711" s="78">
        <f>IF(ISBLANK(E4711),"",IF(ISNUMBER(SEARCH("/",E4711)), IF(LEN(E4711)-LEN(SUBSTITUTE(E4711,"/",""))=1,(RIGHT(E4711,LEN(E4711)-FIND("/",E4711)))-(LEFT(E4711,FIND("/",E4711)-1)),(MID(E4711, SEARCH("/",E4711) + 1, SEARCH("/",E4711, SEARCH("/",E4711)+1) - SEARCH("/",E4711) - 1))-(LEFT(E4711,FIND("/",E4711)-1))), "NA"))</f>
        <v/>
      </c>
      <c r="K4711" s="79">
        <f>IF(A4711&lt;&gt;"", IF(ISBLANK(L4711), TODAY(), K4711), "")</f>
        <v/>
      </c>
      <c r="L4711" s="78" t="n"/>
      <c r="M4711" s="78">
        <f>IF(ISBLANK(L4711),"",IF(D4711="Stock",IF(C4711="Buy",L4711*G4711,IF(C4711="Sell",(L4711*G4711)-I4711, X)),IF(C4711="Buy",(L4711*G4711*100)+I4711,IF(C4711="Sell",(L4711*G4711*100)-I4711, X))))</f>
        <v/>
      </c>
      <c r="N4711" s="78">
        <f>IF(ISBLANK(L4711),"",IF(AND(C4711="Sell",D4711="Stock"),M4711,IF(ISBLANK(L4711),"",IF(C4711="Buy",M4711, IF(AND(C4711="Sell",J4711="NA"),(E4711*G4711*100*0.1)+I4711, IF(C4711="Sell",(J4711-L4711)*(100*G4711)+I4711))))))</f>
        <v/>
      </c>
      <c r="O4711" s="75" t="n"/>
      <c r="P4711" s="75" t="n"/>
      <c r="Q4711" s="75">
        <f>IF(ISBLANK(P4711),"",IF(D4711="Stock",P4711*G4711,IF(P4711=0,"0",G4711*P4711*100-(G4711*$AF$14))))</f>
        <v/>
      </c>
      <c r="R4711" s="79">
        <f>IF(P4711&lt;&gt;"", TODAY(), "")</f>
        <v/>
      </c>
      <c r="S4711" s="78">
        <f>IF(AND(K4711&lt;&gt;"", R4711&lt;&gt;""), R4711-K4711, "")</f>
        <v/>
      </c>
      <c r="T4711" s="78" t="n"/>
      <c r="U4711" s="92">
        <f>IF(ISBLANK(P4711),"",IF(C4711="Buy",Q4711-M4711+T4711, IF(C4711="Sell",M4711-Q4711-T4711, X)))</f>
        <v/>
      </c>
      <c r="V4711" s="81">
        <f>IF(ISBLANK(P4711),"",U4711/N4711)</f>
        <v/>
      </c>
      <c r="W4711" s="81">
        <f>IF(ISBLANK(P4711),"",IF(S4711=0,(365/0.5)*V4711,(365/S4711)*V4711))</f>
        <v/>
      </c>
      <c r="X4711" s="75" t="n"/>
      <c r="Y4711" s="77" t="n"/>
      <c r="Z4711" s="77" t="n"/>
      <c r="AA4711" s="75" t="n"/>
      <c r="AB4711" s="75" t="n"/>
      <c r="AC4711" s="6" t="n"/>
      <c r="AD4711" s="75" t="n"/>
      <c r="AE4711" s="75" t="n"/>
      <c r="AF4711" s="75" t="n"/>
    </row>
    <row r="4712" ht="15.75" customHeight="1" s="133">
      <c r="A4712" s="75" t="n"/>
      <c r="B4712" s="75" t="n"/>
      <c r="C4712" s="75" t="n"/>
      <c r="D4712" s="75" t="n"/>
      <c r="E4712" s="76" t="n"/>
      <c r="F4712" s="77" t="n"/>
      <c r="G4712" s="75" t="n"/>
      <c r="H4712" s="75">
        <f>IF(ISBLANK(E4712),"",IF(OR(D4712="Butterfly",D4712="Butterfly ",D4712="Iron Fly", D4712="Iron Fly "),LEN(E4712)-LEN(SUBSTITUTE(E4712,"/",""))+2,LEN(E4712)-LEN(SUBSTITUTE(E4712,"/",""))+1))</f>
        <v/>
      </c>
      <c r="I4712" s="78">
        <f>IF(ISBLANK(G4712),"",IF(D4712="Stock","0",Key!$A$3*H4712*G4712))</f>
        <v/>
      </c>
      <c r="J4712" s="78">
        <f>IF(ISBLANK(E4712),"",IF(ISNUMBER(SEARCH("/",E4712)), IF(LEN(E4712)-LEN(SUBSTITUTE(E4712,"/",""))=1,(RIGHT(E4712,LEN(E4712)-FIND("/",E4712)))-(LEFT(E4712,FIND("/",E4712)-1)),(MID(E4712, SEARCH("/",E4712) + 1, SEARCH("/",E4712, SEARCH("/",E4712)+1) - SEARCH("/",E4712) - 1))-(LEFT(E4712,FIND("/",E4712)-1))), "NA"))</f>
        <v/>
      </c>
      <c r="K4712" s="79">
        <f>IF(A4712&lt;&gt;"", IF(ISBLANK(L4712), TODAY(), K4712), "")</f>
        <v/>
      </c>
      <c r="L4712" s="78" t="n"/>
      <c r="M4712" s="78">
        <f>IF(ISBLANK(L4712),"",IF(D4712="Stock",IF(C4712="Buy",L4712*G4712,IF(C4712="Sell",(L4712*G4712)-I4712, X)),IF(C4712="Buy",(L4712*G4712*100)+I4712,IF(C4712="Sell",(L4712*G4712*100)-I4712, X))))</f>
        <v/>
      </c>
      <c r="N4712" s="78">
        <f>IF(ISBLANK(L4712),"",IF(AND(C4712="Sell",D4712="Stock"),M4712,IF(ISBLANK(L4712),"",IF(C4712="Buy",M4712, IF(AND(C4712="Sell",J4712="NA"),(E4712*G4712*100*0.1)+I4712, IF(C4712="Sell",(J4712-L4712)*(100*G4712)+I4712))))))</f>
        <v/>
      </c>
      <c r="O4712" s="75" t="n"/>
      <c r="P4712" s="75" t="n"/>
      <c r="Q4712" s="75">
        <f>IF(ISBLANK(P4712),"",IF(D4712="Stock",P4712*G4712,IF(P4712=0,"0",G4712*P4712*100-(G4712*$AF$14))))</f>
        <v/>
      </c>
      <c r="R4712" s="79">
        <f>IF(P4712&lt;&gt;"", TODAY(), "")</f>
        <v/>
      </c>
      <c r="S4712" s="78">
        <f>IF(AND(K4712&lt;&gt;"", R4712&lt;&gt;""), R4712-K4712, "")</f>
        <v/>
      </c>
      <c r="T4712" s="78" t="n"/>
      <c r="U4712" s="92">
        <f>IF(ISBLANK(P4712),"",IF(C4712="Buy",Q4712-M4712+T4712, IF(C4712="Sell",M4712-Q4712-T4712, X)))</f>
        <v/>
      </c>
      <c r="V4712" s="81">
        <f>IF(ISBLANK(P4712),"",U4712/N4712)</f>
        <v/>
      </c>
      <c r="W4712" s="81">
        <f>IF(ISBLANK(P4712),"",IF(S4712=0,(365/0.5)*V4712,(365/S4712)*V4712))</f>
        <v/>
      </c>
      <c r="X4712" s="75" t="n"/>
      <c r="Y4712" s="77" t="n"/>
      <c r="Z4712" s="77" t="n"/>
      <c r="AA4712" s="75" t="n"/>
      <c r="AB4712" s="75" t="n"/>
      <c r="AC4712" s="6" t="n"/>
      <c r="AD4712" s="75" t="n"/>
      <c r="AE4712" s="75" t="n"/>
      <c r="AF4712" s="75" t="n"/>
    </row>
    <row r="4713" ht="15.75" customHeight="1" s="133">
      <c r="A4713" s="75" t="n"/>
      <c r="B4713" s="75" t="n"/>
      <c r="C4713" s="75" t="n"/>
      <c r="D4713" s="75" t="n"/>
      <c r="E4713" s="76" t="n"/>
      <c r="F4713" s="77" t="n"/>
      <c r="G4713" s="75" t="n"/>
      <c r="H4713" s="75">
        <f>IF(ISBLANK(E4713),"",IF(OR(D4713="Butterfly",D4713="Butterfly ",D4713="Iron Fly", D4713="Iron Fly "),LEN(E4713)-LEN(SUBSTITUTE(E4713,"/",""))+2,LEN(E4713)-LEN(SUBSTITUTE(E4713,"/",""))+1))</f>
        <v/>
      </c>
      <c r="I4713" s="78">
        <f>IF(ISBLANK(G4713),"",IF(D4713="Stock","0",Key!$A$3*H4713*G4713))</f>
        <v/>
      </c>
      <c r="J4713" s="78">
        <f>IF(ISBLANK(E4713),"",IF(ISNUMBER(SEARCH("/",E4713)), IF(LEN(E4713)-LEN(SUBSTITUTE(E4713,"/",""))=1,(RIGHT(E4713,LEN(E4713)-FIND("/",E4713)))-(LEFT(E4713,FIND("/",E4713)-1)),(MID(E4713, SEARCH("/",E4713) + 1, SEARCH("/",E4713, SEARCH("/",E4713)+1) - SEARCH("/",E4713) - 1))-(LEFT(E4713,FIND("/",E4713)-1))), "NA"))</f>
        <v/>
      </c>
      <c r="K4713" s="79">
        <f>IF(A4713&lt;&gt;"", IF(ISBLANK(L4713), TODAY(), K4713), "")</f>
        <v/>
      </c>
      <c r="L4713" s="78" t="n"/>
      <c r="M4713" s="78">
        <f>IF(ISBLANK(L4713),"",IF(D4713="Stock",IF(C4713="Buy",L4713*G4713,IF(C4713="Sell",(L4713*G4713)-I4713, X)),IF(C4713="Buy",(L4713*G4713*100)+I4713,IF(C4713="Sell",(L4713*G4713*100)-I4713, X))))</f>
        <v/>
      </c>
      <c r="N4713" s="78">
        <f>IF(ISBLANK(L4713),"",IF(AND(C4713="Sell",D4713="Stock"),M4713,IF(ISBLANK(L4713),"",IF(C4713="Buy",M4713, IF(AND(C4713="Sell",J4713="NA"),(E4713*G4713*100*0.1)+I4713, IF(C4713="Sell",(J4713-L4713)*(100*G4713)+I4713))))))</f>
        <v/>
      </c>
      <c r="O4713" s="75" t="n"/>
      <c r="P4713" s="75" t="n"/>
      <c r="Q4713" s="75">
        <f>IF(ISBLANK(P4713),"",IF(D4713="Stock",P4713*G4713,IF(P4713=0,"0",G4713*P4713*100-(G4713*$AF$14))))</f>
        <v/>
      </c>
      <c r="R4713" s="79">
        <f>IF(P4713&lt;&gt;"", TODAY(), "")</f>
        <v/>
      </c>
      <c r="S4713" s="78">
        <f>IF(AND(K4713&lt;&gt;"", R4713&lt;&gt;""), R4713-K4713, "")</f>
        <v/>
      </c>
      <c r="T4713" s="78" t="n"/>
      <c r="U4713" s="92">
        <f>IF(ISBLANK(P4713),"",IF(C4713="Buy",Q4713-M4713+T4713, IF(C4713="Sell",M4713-Q4713-T4713, X)))</f>
        <v/>
      </c>
      <c r="V4713" s="81">
        <f>IF(ISBLANK(P4713),"",U4713/N4713)</f>
        <v/>
      </c>
      <c r="W4713" s="81">
        <f>IF(ISBLANK(P4713),"",IF(S4713=0,(365/0.5)*V4713,(365/S4713)*V4713))</f>
        <v/>
      </c>
      <c r="X4713" s="75" t="n"/>
      <c r="Y4713" s="77" t="n"/>
      <c r="Z4713" s="77" t="n"/>
      <c r="AA4713" s="75" t="n"/>
      <c r="AB4713" s="75" t="n"/>
      <c r="AC4713" s="6" t="n"/>
      <c r="AD4713" s="75" t="n"/>
      <c r="AE4713" s="75" t="n"/>
      <c r="AF4713" s="75" t="n"/>
    </row>
    <row r="4714" ht="15.75" customHeight="1" s="133">
      <c r="A4714" s="75" t="n"/>
      <c r="B4714" s="75" t="n"/>
      <c r="C4714" s="75" t="n"/>
      <c r="D4714" s="75" t="n"/>
      <c r="E4714" s="76" t="n"/>
      <c r="F4714" s="77" t="n"/>
      <c r="G4714" s="75" t="n"/>
      <c r="H4714" s="75">
        <f>IF(ISBLANK(E4714),"",IF(OR(D4714="Butterfly",D4714="Butterfly ",D4714="Iron Fly", D4714="Iron Fly "),LEN(E4714)-LEN(SUBSTITUTE(E4714,"/",""))+2,LEN(E4714)-LEN(SUBSTITUTE(E4714,"/",""))+1))</f>
        <v/>
      </c>
      <c r="I4714" s="78">
        <f>IF(ISBLANK(G4714),"",IF(D4714="Stock","0",Key!$A$3*H4714*G4714))</f>
        <v/>
      </c>
      <c r="J4714" s="78">
        <f>IF(ISBLANK(E4714),"",IF(ISNUMBER(SEARCH("/",E4714)), IF(LEN(E4714)-LEN(SUBSTITUTE(E4714,"/",""))=1,(RIGHT(E4714,LEN(E4714)-FIND("/",E4714)))-(LEFT(E4714,FIND("/",E4714)-1)),(MID(E4714, SEARCH("/",E4714) + 1, SEARCH("/",E4714, SEARCH("/",E4714)+1) - SEARCH("/",E4714) - 1))-(LEFT(E4714,FIND("/",E4714)-1))), "NA"))</f>
        <v/>
      </c>
      <c r="K4714" s="79">
        <f>IF(A4714&lt;&gt;"", IF(ISBLANK(L4714), TODAY(), K4714), "")</f>
        <v/>
      </c>
      <c r="L4714" s="78" t="n"/>
      <c r="M4714" s="78">
        <f>IF(ISBLANK(L4714),"",IF(D4714="Stock",IF(C4714="Buy",L4714*G4714,IF(C4714="Sell",(L4714*G4714)-I4714, X)),IF(C4714="Buy",(L4714*G4714*100)+I4714,IF(C4714="Sell",(L4714*G4714*100)-I4714, X))))</f>
        <v/>
      </c>
      <c r="N4714" s="78">
        <f>IF(ISBLANK(L4714),"",IF(AND(C4714="Sell",D4714="Stock"),M4714,IF(ISBLANK(L4714),"",IF(C4714="Buy",M4714, IF(AND(C4714="Sell",J4714="NA"),(E4714*G4714*100*0.1)+I4714, IF(C4714="Sell",(J4714-L4714)*(100*G4714)+I4714))))))</f>
        <v/>
      </c>
      <c r="O4714" s="75" t="n"/>
      <c r="P4714" s="75" t="n"/>
      <c r="Q4714" s="75">
        <f>IF(ISBLANK(P4714),"",IF(D4714="Stock",P4714*G4714,IF(P4714=0,"0",G4714*P4714*100-(G4714*$AF$14))))</f>
        <v/>
      </c>
      <c r="R4714" s="79">
        <f>IF(P4714&lt;&gt;"", TODAY(), "")</f>
        <v/>
      </c>
      <c r="S4714" s="78">
        <f>IF(AND(K4714&lt;&gt;"", R4714&lt;&gt;""), R4714-K4714, "")</f>
        <v/>
      </c>
      <c r="T4714" s="78" t="n"/>
      <c r="U4714" s="92">
        <f>IF(ISBLANK(P4714),"",IF(C4714="Buy",Q4714-M4714+T4714, IF(C4714="Sell",M4714-Q4714-T4714, X)))</f>
        <v/>
      </c>
      <c r="V4714" s="81">
        <f>IF(ISBLANK(P4714),"",U4714/N4714)</f>
        <v/>
      </c>
      <c r="W4714" s="81">
        <f>IF(ISBLANK(P4714),"",IF(S4714=0,(365/0.5)*V4714,(365/S4714)*V4714))</f>
        <v/>
      </c>
      <c r="X4714" s="75" t="n"/>
      <c r="Y4714" s="77" t="n"/>
      <c r="Z4714" s="77" t="n"/>
      <c r="AA4714" s="75" t="n"/>
      <c r="AB4714" s="75" t="n"/>
      <c r="AC4714" s="6" t="n"/>
      <c r="AD4714" s="75" t="n"/>
      <c r="AE4714" s="75" t="n"/>
      <c r="AF4714" s="75" t="n"/>
    </row>
    <row r="4715" ht="15.75" customHeight="1" s="133">
      <c r="A4715" s="75" t="n"/>
      <c r="B4715" s="75" t="n"/>
      <c r="C4715" s="75" t="n"/>
      <c r="D4715" s="75" t="n"/>
      <c r="E4715" s="76" t="n"/>
      <c r="F4715" s="77" t="n"/>
      <c r="G4715" s="75" t="n"/>
      <c r="H4715" s="75">
        <f>IF(ISBLANK(E4715),"",IF(OR(D4715="Butterfly",D4715="Butterfly ",D4715="Iron Fly", D4715="Iron Fly "),LEN(E4715)-LEN(SUBSTITUTE(E4715,"/",""))+2,LEN(E4715)-LEN(SUBSTITUTE(E4715,"/",""))+1))</f>
        <v/>
      </c>
      <c r="I4715" s="78">
        <f>IF(ISBLANK(G4715),"",IF(D4715="Stock","0",Key!$A$3*H4715*G4715))</f>
        <v/>
      </c>
      <c r="J4715" s="78">
        <f>IF(ISBLANK(E4715),"",IF(ISNUMBER(SEARCH("/",E4715)), IF(LEN(E4715)-LEN(SUBSTITUTE(E4715,"/",""))=1,(RIGHT(E4715,LEN(E4715)-FIND("/",E4715)))-(LEFT(E4715,FIND("/",E4715)-1)),(MID(E4715, SEARCH("/",E4715) + 1, SEARCH("/",E4715, SEARCH("/",E4715)+1) - SEARCH("/",E4715) - 1))-(LEFT(E4715,FIND("/",E4715)-1))), "NA"))</f>
        <v/>
      </c>
      <c r="K4715" s="79">
        <f>IF(A4715&lt;&gt;"", IF(ISBLANK(L4715), TODAY(), K4715), "")</f>
        <v/>
      </c>
      <c r="L4715" s="78" t="n"/>
      <c r="M4715" s="78">
        <f>IF(ISBLANK(L4715),"",IF(D4715="Stock",IF(C4715="Buy",L4715*G4715,IF(C4715="Sell",(L4715*G4715)-I4715, X)),IF(C4715="Buy",(L4715*G4715*100)+I4715,IF(C4715="Sell",(L4715*G4715*100)-I4715, X))))</f>
        <v/>
      </c>
      <c r="N4715" s="78">
        <f>IF(ISBLANK(L4715),"",IF(AND(C4715="Sell",D4715="Stock"),M4715,IF(ISBLANK(L4715),"",IF(C4715="Buy",M4715, IF(AND(C4715="Sell",J4715="NA"),(E4715*G4715*100*0.1)+I4715, IF(C4715="Sell",(J4715-L4715)*(100*G4715)+I4715))))))</f>
        <v/>
      </c>
      <c r="O4715" s="75" t="n"/>
      <c r="P4715" s="75" t="n"/>
      <c r="Q4715" s="75">
        <f>IF(ISBLANK(P4715),"",IF(D4715="Stock",P4715*G4715,IF(P4715=0,"0",G4715*P4715*100-(G4715*$AF$14))))</f>
        <v/>
      </c>
      <c r="R4715" s="79">
        <f>IF(P4715&lt;&gt;"", TODAY(), "")</f>
        <v/>
      </c>
      <c r="S4715" s="78">
        <f>IF(AND(K4715&lt;&gt;"", R4715&lt;&gt;""), R4715-K4715, "")</f>
        <v/>
      </c>
      <c r="T4715" s="78" t="n"/>
      <c r="U4715" s="92">
        <f>IF(ISBLANK(P4715),"",IF(C4715="Buy",Q4715-M4715+T4715, IF(C4715="Sell",M4715-Q4715-T4715, X)))</f>
        <v/>
      </c>
      <c r="V4715" s="81">
        <f>IF(ISBLANK(P4715),"",U4715/N4715)</f>
        <v/>
      </c>
      <c r="W4715" s="81">
        <f>IF(ISBLANK(P4715),"",IF(S4715=0,(365/0.5)*V4715,(365/S4715)*V4715))</f>
        <v/>
      </c>
      <c r="X4715" s="75" t="n"/>
      <c r="Y4715" s="77" t="n"/>
      <c r="Z4715" s="77" t="n"/>
      <c r="AA4715" s="75" t="n"/>
      <c r="AB4715" s="75" t="n"/>
      <c r="AC4715" s="6" t="n"/>
      <c r="AD4715" s="75" t="n"/>
      <c r="AE4715" s="75" t="n"/>
      <c r="AF4715" s="75" t="n"/>
    </row>
    <row r="4716" ht="15.75" customHeight="1" s="133">
      <c r="A4716" s="75" t="n"/>
      <c r="B4716" s="75" t="n"/>
      <c r="C4716" s="75" t="n"/>
      <c r="D4716" s="75" t="n"/>
      <c r="E4716" s="76" t="n"/>
      <c r="F4716" s="77" t="n"/>
      <c r="G4716" s="75" t="n"/>
      <c r="H4716" s="75">
        <f>IF(ISBLANK(E4716),"",IF(OR(D4716="Butterfly",D4716="Butterfly ",D4716="Iron Fly", D4716="Iron Fly "),LEN(E4716)-LEN(SUBSTITUTE(E4716,"/",""))+2,LEN(E4716)-LEN(SUBSTITUTE(E4716,"/",""))+1))</f>
        <v/>
      </c>
      <c r="I4716" s="78">
        <f>IF(ISBLANK(G4716),"",IF(D4716="Stock","0",Key!$A$3*H4716*G4716))</f>
        <v/>
      </c>
      <c r="J4716" s="78">
        <f>IF(ISBLANK(E4716),"",IF(ISNUMBER(SEARCH("/",E4716)), IF(LEN(E4716)-LEN(SUBSTITUTE(E4716,"/",""))=1,(RIGHT(E4716,LEN(E4716)-FIND("/",E4716)))-(LEFT(E4716,FIND("/",E4716)-1)),(MID(E4716, SEARCH("/",E4716) + 1, SEARCH("/",E4716, SEARCH("/",E4716)+1) - SEARCH("/",E4716) - 1))-(LEFT(E4716,FIND("/",E4716)-1))), "NA"))</f>
        <v/>
      </c>
      <c r="K4716" s="79">
        <f>IF(A4716&lt;&gt;"", IF(ISBLANK(L4716), TODAY(), K4716), "")</f>
        <v/>
      </c>
      <c r="L4716" s="78" t="n"/>
      <c r="M4716" s="78">
        <f>IF(ISBLANK(L4716),"",IF(D4716="Stock",IF(C4716="Buy",L4716*G4716,IF(C4716="Sell",(L4716*G4716)-I4716, X)),IF(C4716="Buy",(L4716*G4716*100)+I4716,IF(C4716="Sell",(L4716*G4716*100)-I4716, X))))</f>
        <v/>
      </c>
      <c r="N4716" s="78">
        <f>IF(ISBLANK(L4716),"",IF(AND(C4716="Sell",D4716="Stock"),M4716,IF(ISBLANK(L4716),"",IF(C4716="Buy",M4716, IF(AND(C4716="Sell",J4716="NA"),(E4716*G4716*100*0.1)+I4716, IF(C4716="Sell",(J4716-L4716)*(100*G4716)+I4716))))))</f>
        <v/>
      </c>
      <c r="O4716" s="75" t="n"/>
      <c r="P4716" s="75" t="n"/>
      <c r="Q4716" s="75">
        <f>IF(ISBLANK(P4716),"",IF(D4716="Stock",P4716*G4716,IF(P4716=0,"0",G4716*P4716*100-(G4716*$AF$14))))</f>
        <v/>
      </c>
      <c r="R4716" s="79">
        <f>IF(P4716&lt;&gt;"", TODAY(), "")</f>
        <v/>
      </c>
      <c r="S4716" s="78">
        <f>IF(AND(K4716&lt;&gt;"", R4716&lt;&gt;""), R4716-K4716, "")</f>
        <v/>
      </c>
      <c r="T4716" s="78" t="n"/>
      <c r="U4716" s="92">
        <f>IF(ISBLANK(P4716),"",IF(C4716="Buy",Q4716-M4716+T4716, IF(C4716="Sell",M4716-Q4716-T4716, X)))</f>
        <v/>
      </c>
      <c r="V4716" s="81">
        <f>IF(ISBLANK(P4716),"",U4716/N4716)</f>
        <v/>
      </c>
      <c r="W4716" s="81">
        <f>IF(ISBLANK(P4716),"",IF(S4716=0,(365/0.5)*V4716,(365/S4716)*V4716))</f>
        <v/>
      </c>
      <c r="X4716" s="75" t="n"/>
      <c r="Y4716" s="77" t="n"/>
      <c r="Z4716" s="77" t="n"/>
      <c r="AA4716" s="75" t="n"/>
      <c r="AB4716" s="75" t="n"/>
      <c r="AC4716" s="6" t="n"/>
      <c r="AD4716" s="75" t="n"/>
      <c r="AE4716" s="75" t="n"/>
      <c r="AF4716" s="75" t="n"/>
    </row>
    <row r="4717" ht="15.75" customHeight="1" s="133">
      <c r="A4717" s="75" t="n"/>
      <c r="B4717" s="75" t="n"/>
      <c r="C4717" s="75" t="n"/>
      <c r="D4717" s="75" t="n"/>
      <c r="E4717" s="76" t="n"/>
      <c r="F4717" s="77" t="n"/>
      <c r="G4717" s="75" t="n"/>
      <c r="H4717" s="75">
        <f>IF(ISBLANK(E4717),"",IF(OR(D4717="Butterfly",D4717="Butterfly ",D4717="Iron Fly", D4717="Iron Fly "),LEN(E4717)-LEN(SUBSTITUTE(E4717,"/",""))+2,LEN(E4717)-LEN(SUBSTITUTE(E4717,"/",""))+1))</f>
        <v/>
      </c>
      <c r="I4717" s="78">
        <f>IF(ISBLANK(G4717),"",IF(D4717="Stock","0",Key!$A$3*H4717*G4717))</f>
        <v/>
      </c>
      <c r="J4717" s="78">
        <f>IF(ISBLANK(E4717),"",IF(ISNUMBER(SEARCH("/",E4717)), IF(LEN(E4717)-LEN(SUBSTITUTE(E4717,"/",""))=1,(RIGHT(E4717,LEN(E4717)-FIND("/",E4717)))-(LEFT(E4717,FIND("/",E4717)-1)),(MID(E4717, SEARCH("/",E4717) + 1, SEARCH("/",E4717, SEARCH("/",E4717)+1) - SEARCH("/",E4717) - 1))-(LEFT(E4717,FIND("/",E4717)-1))), "NA"))</f>
        <v/>
      </c>
      <c r="K4717" s="79">
        <f>IF(A4717&lt;&gt;"", IF(ISBLANK(L4717), TODAY(), K4717), "")</f>
        <v/>
      </c>
      <c r="L4717" s="78" t="n"/>
      <c r="M4717" s="78">
        <f>IF(ISBLANK(L4717),"",IF(D4717="Stock",IF(C4717="Buy",L4717*G4717,IF(C4717="Sell",(L4717*G4717)-I4717, X)),IF(C4717="Buy",(L4717*G4717*100)+I4717,IF(C4717="Sell",(L4717*G4717*100)-I4717, X))))</f>
        <v/>
      </c>
      <c r="N4717" s="78">
        <f>IF(ISBLANK(L4717),"",IF(AND(C4717="Sell",D4717="Stock"),M4717,IF(ISBLANK(L4717),"",IF(C4717="Buy",M4717, IF(AND(C4717="Sell",J4717="NA"),(E4717*G4717*100*0.1)+I4717, IF(C4717="Sell",(J4717-L4717)*(100*G4717)+I4717))))))</f>
        <v/>
      </c>
      <c r="O4717" s="75" t="n"/>
      <c r="P4717" s="75" t="n"/>
      <c r="Q4717" s="75">
        <f>IF(ISBLANK(P4717),"",IF(D4717="Stock",P4717*G4717,IF(P4717=0,"0",G4717*P4717*100-(G4717*$AF$14))))</f>
        <v/>
      </c>
      <c r="R4717" s="79">
        <f>IF(P4717&lt;&gt;"", TODAY(), "")</f>
        <v/>
      </c>
      <c r="S4717" s="78">
        <f>IF(AND(K4717&lt;&gt;"", R4717&lt;&gt;""), R4717-K4717, "")</f>
        <v/>
      </c>
      <c r="T4717" s="78" t="n"/>
      <c r="U4717" s="92">
        <f>IF(ISBLANK(P4717),"",IF(C4717="Buy",Q4717-M4717+T4717, IF(C4717="Sell",M4717-Q4717-T4717, X)))</f>
        <v/>
      </c>
      <c r="V4717" s="81">
        <f>IF(ISBLANK(P4717),"",U4717/N4717)</f>
        <v/>
      </c>
      <c r="W4717" s="81">
        <f>IF(ISBLANK(P4717),"",IF(S4717=0,(365/0.5)*V4717,(365/S4717)*V4717))</f>
        <v/>
      </c>
      <c r="X4717" s="75" t="n"/>
      <c r="Y4717" s="77" t="n"/>
      <c r="Z4717" s="77" t="n"/>
      <c r="AA4717" s="75" t="n"/>
      <c r="AB4717" s="75" t="n"/>
      <c r="AC4717" s="6" t="n"/>
      <c r="AD4717" s="75" t="n"/>
      <c r="AE4717" s="75" t="n"/>
      <c r="AF4717" s="75" t="n"/>
    </row>
    <row r="4718" ht="15.75" customHeight="1" s="133">
      <c r="A4718" s="75" t="n"/>
      <c r="B4718" s="75" t="n"/>
      <c r="C4718" s="75" t="n"/>
      <c r="D4718" s="75" t="n"/>
      <c r="E4718" s="76" t="n"/>
      <c r="F4718" s="77" t="n"/>
      <c r="G4718" s="75" t="n"/>
      <c r="H4718" s="75">
        <f>IF(ISBLANK(E4718),"",IF(OR(D4718="Butterfly",D4718="Butterfly ",D4718="Iron Fly", D4718="Iron Fly "),LEN(E4718)-LEN(SUBSTITUTE(E4718,"/",""))+2,LEN(E4718)-LEN(SUBSTITUTE(E4718,"/",""))+1))</f>
        <v/>
      </c>
      <c r="I4718" s="78">
        <f>IF(ISBLANK(G4718),"",IF(D4718="Stock","0",Key!$A$3*H4718*G4718))</f>
        <v/>
      </c>
      <c r="J4718" s="78">
        <f>IF(ISBLANK(E4718),"",IF(ISNUMBER(SEARCH("/",E4718)), IF(LEN(E4718)-LEN(SUBSTITUTE(E4718,"/",""))=1,(RIGHT(E4718,LEN(E4718)-FIND("/",E4718)))-(LEFT(E4718,FIND("/",E4718)-1)),(MID(E4718, SEARCH("/",E4718) + 1, SEARCH("/",E4718, SEARCH("/",E4718)+1) - SEARCH("/",E4718) - 1))-(LEFT(E4718,FIND("/",E4718)-1))), "NA"))</f>
        <v/>
      </c>
      <c r="K4718" s="79">
        <f>IF(A4718&lt;&gt;"", IF(ISBLANK(L4718), TODAY(), K4718), "")</f>
        <v/>
      </c>
      <c r="L4718" s="78" t="n"/>
      <c r="M4718" s="78">
        <f>IF(ISBLANK(L4718),"",IF(D4718="Stock",IF(C4718="Buy",L4718*G4718,IF(C4718="Sell",(L4718*G4718)-I4718, X)),IF(C4718="Buy",(L4718*G4718*100)+I4718,IF(C4718="Sell",(L4718*G4718*100)-I4718, X))))</f>
        <v/>
      </c>
      <c r="N4718" s="78">
        <f>IF(ISBLANK(L4718),"",IF(AND(C4718="Sell",D4718="Stock"),M4718,IF(ISBLANK(L4718),"",IF(C4718="Buy",M4718, IF(AND(C4718="Sell",J4718="NA"),(E4718*G4718*100*0.1)+I4718, IF(C4718="Sell",(J4718-L4718)*(100*G4718)+I4718))))))</f>
        <v/>
      </c>
      <c r="O4718" s="75" t="n"/>
      <c r="P4718" s="75" t="n"/>
      <c r="Q4718" s="75">
        <f>IF(ISBLANK(P4718),"",IF(D4718="Stock",P4718*G4718,IF(P4718=0,"0",G4718*P4718*100-(G4718*$AF$14))))</f>
        <v/>
      </c>
      <c r="R4718" s="79">
        <f>IF(P4718&lt;&gt;"", TODAY(), "")</f>
        <v/>
      </c>
      <c r="S4718" s="78">
        <f>IF(AND(K4718&lt;&gt;"", R4718&lt;&gt;""), R4718-K4718, "")</f>
        <v/>
      </c>
      <c r="T4718" s="78" t="n"/>
      <c r="U4718" s="92">
        <f>IF(ISBLANK(P4718),"",IF(C4718="Buy",Q4718-M4718+T4718, IF(C4718="Sell",M4718-Q4718-T4718, X)))</f>
        <v/>
      </c>
      <c r="V4718" s="81">
        <f>IF(ISBLANK(P4718),"",U4718/N4718)</f>
        <v/>
      </c>
      <c r="W4718" s="81">
        <f>IF(ISBLANK(P4718),"",IF(S4718=0,(365/0.5)*V4718,(365/S4718)*V4718))</f>
        <v/>
      </c>
      <c r="X4718" s="75" t="n"/>
      <c r="Y4718" s="77" t="n"/>
      <c r="Z4718" s="77" t="n"/>
      <c r="AA4718" s="75" t="n"/>
      <c r="AB4718" s="75" t="n"/>
      <c r="AC4718" s="6" t="n"/>
      <c r="AD4718" s="75" t="n"/>
      <c r="AE4718" s="75" t="n"/>
      <c r="AF4718" s="75" t="n"/>
    </row>
    <row r="4719" ht="15.75" customHeight="1" s="133">
      <c r="A4719" s="75" t="n"/>
      <c r="B4719" s="75" t="n"/>
      <c r="C4719" s="75" t="n"/>
      <c r="D4719" s="75" t="n"/>
      <c r="E4719" s="76" t="n"/>
      <c r="F4719" s="77" t="n"/>
      <c r="G4719" s="75" t="n"/>
      <c r="H4719" s="75">
        <f>IF(ISBLANK(E4719),"",IF(OR(D4719="Butterfly",D4719="Butterfly ",D4719="Iron Fly", D4719="Iron Fly "),LEN(E4719)-LEN(SUBSTITUTE(E4719,"/",""))+2,LEN(E4719)-LEN(SUBSTITUTE(E4719,"/",""))+1))</f>
        <v/>
      </c>
      <c r="I4719" s="78">
        <f>IF(ISBLANK(G4719),"",IF(D4719="Stock","0",Key!$A$3*H4719*G4719))</f>
        <v/>
      </c>
      <c r="J4719" s="78">
        <f>IF(ISBLANK(E4719),"",IF(ISNUMBER(SEARCH("/",E4719)), IF(LEN(E4719)-LEN(SUBSTITUTE(E4719,"/",""))=1,(RIGHT(E4719,LEN(E4719)-FIND("/",E4719)))-(LEFT(E4719,FIND("/",E4719)-1)),(MID(E4719, SEARCH("/",E4719) + 1, SEARCH("/",E4719, SEARCH("/",E4719)+1) - SEARCH("/",E4719) - 1))-(LEFT(E4719,FIND("/",E4719)-1))), "NA"))</f>
        <v/>
      </c>
      <c r="K4719" s="79">
        <f>IF(A4719&lt;&gt;"", IF(ISBLANK(L4719), TODAY(), K4719), "")</f>
        <v/>
      </c>
      <c r="L4719" s="78" t="n"/>
      <c r="M4719" s="78">
        <f>IF(ISBLANK(L4719),"",IF(D4719="Stock",IF(C4719="Buy",L4719*G4719,IF(C4719="Sell",(L4719*G4719)-I4719, X)),IF(C4719="Buy",(L4719*G4719*100)+I4719,IF(C4719="Sell",(L4719*G4719*100)-I4719, X))))</f>
        <v/>
      </c>
      <c r="N4719" s="78">
        <f>IF(ISBLANK(L4719),"",IF(AND(C4719="Sell",D4719="Stock"),M4719,IF(ISBLANK(L4719),"",IF(C4719="Buy",M4719, IF(AND(C4719="Sell",J4719="NA"),(E4719*G4719*100*0.1)+I4719, IF(C4719="Sell",(J4719-L4719)*(100*G4719)+I4719))))))</f>
        <v/>
      </c>
      <c r="O4719" s="75" t="n"/>
      <c r="P4719" s="75" t="n"/>
      <c r="Q4719" s="75">
        <f>IF(ISBLANK(P4719),"",IF(D4719="Stock",P4719*G4719,IF(P4719=0,"0",G4719*P4719*100-(G4719*$AF$14))))</f>
        <v/>
      </c>
      <c r="R4719" s="79">
        <f>IF(P4719&lt;&gt;"", TODAY(), "")</f>
        <v/>
      </c>
      <c r="S4719" s="78">
        <f>IF(AND(K4719&lt;&gt;"", R4719&lt;&gt;""), R4719-K4719, "")</f>
        <v/>
      </c>
      <c r="T4719" s="78" t="n"/>
      <c r="U4719" s="92">
        <f>IF(ISBLANK(P4719),"",IF(C4719="Buy",Q4719-M4719+T4719, IF(C4719="Sell",M4719-Q4719-T4719, X)))</f>
        <v/>
      </c>
      <c r="V4719" s="81">
        <f>IF(ISBLANK(P4719),"",U4719/N4719)</f>
        <v/>
      </c>
      <c r="W4719" s="81">
        <f>IF(ISBLANK(P4719),"",IF(S4719=0,(365/0.5)*V4719,(365/S4719)*V4719))</f>
        <v/>
      </c>
      <c r="X4719" s="75" t="n"/>
      <c r="Y4719" s="77" t="n"/>
      <c r="Z4719" s="77" t="n"/>
      <c r="AA4719" s="75" t="n"/>
      <c r="AB4719" s="75" t="n"/>
      <c r="AC4719" s="6" t="n"/>
      <c r="AD4719" s="75" t="n"/>
      <c r="AE4719" s="75" t="n"/>
      <c r="AF4719" s="75" t="n"/>
    </row>
    <row r="4720" ht="15.75" customHeight="1" s="133">
      <c r="A4720" s="75" t="n"/>
      <c r="B4720" s="75" t="n"/>
      <c r="C4720" s="75" t="n"/>
      <c r="D4720" s="75" t="n"/>
      <c r="E4720" s="76" t="n"/>
      <c r="F4720" s="77" t="n"/>
      <c r="G4720" s="75" t="n"/>
      <c r="H4720" s="75">
        <f>IF(ISBLANK(E4720),"",IF(OR(D4720="Butterfly",D4720="Butterfly ",D4720="Iron Fly", D4720="Iron Fly "),LEN(E4720)-LEN(SUBSTITUTE(E4720,"/",""))+2,LEN(E4720)-LEN(SUBSTITUTE(E4720,"/",""))+1))</f>
        <v/>
      </c>
      <c r="I4720" s="78">
        <f>IF(ISBLANK(G4720),"",IF(D4720="Stock","0",Key!$A$3*H4720*G4720))</f>
        <v/>
      </c>
      <c r="J4720" s="78">
        <f>IF(ISBLANK(E4720),"",IF(ISNUMBER(SEARCH("/",E4720)), IF(LEN(E4720)-LEN(SUBSTITUTE(E4720,"/",""))=1,(RIGHT(E4720,LEN(E4720)-FIND("/",E4720)))-(LEFT(E4720,FIND("/",E4720)-1)),(MID(E4720, SEARCH("/",E4720) + 1, SEARCH("/",E4720, SEARCH("/",E4720)+1) - SEARCH("/",E4720) - 1))-(LEFT(E4720,FIND("/",E4720)-1))), "NA"))</f>
        <v/>
      </c>
      <c r="K4720" s="79">
        <f>IF(A4720&lt;&gt;"", IF(ISBLANK(L4720), TODAY(), K4720), "")</f>
        <v/>
      </c>
      <c r="L4720" s="78" t="n"/>
      <c r="M4720" s="78">
        <f>IF(ISBLANK(L4720),"",IF(D4720="Stock",IF(C4720="Buy",L4720*G4720,IF(C4720="Sell",(L4720*G4720)-I4720, X)),IF(C4720="Buy",(L4720*G4720*100)+I4720,IF(C4720="Sell",(L4720*G4720*100)-I4720, X))))</f>
        <v/>
      </c>
      <c r="N4720" s="78">
        <f>IF(ISBLANK(L4720),"",IF(AND(C4720="Sell",D4720="Stock"),M4720,IF(ISBLANK(L4720),"",IF(C4720="Buy",M4720, IF(AND(C4720="Sell",J4720="NA"),(E4720*G4720*100*0.1)+I4720, IF(C4720="Sell",(J4720-L4720)*(100*G4720)+I4720))))))</f>
        <v/>
      </c>
      <c r="O4720" s="75" t="n"/>
      <c r="P4720" s="75" t="n"/>
      <c r="Q4720" s="75">
        <f>IF(ISBLANK(P4720),"",IF(D4720="Stock",P4720*G4720,IF(P4720=0,"0",G4720*P4720*100-(G4720*$AF$14))))</f>
        <v/>
      </c>
      <c r="R4720" s="79">
        <f>IF(P4720&lt;&gt;"", TODAY(), "")</f>
        <v/>
      </c>
      <c r="S4720" s="78">
        <f>IF(AND(K4720&lt;&gt;"", R4720&lt;&gt;""), R4720-K4720, "")</f>
        <v/>
      </c>
      <c r="T4720" s="78" t="n"/>
      <c r="U4720" s="92">
        <f>IF(ISBLANK(P4720),"",IF(C4720="Buy",Q4720-M4720+T4720, IF(C4720="Sell",M4720-Q4720-T4720, X)))</f>
        <v/>
      </c>
      <c r="V4720" s="81">
        <f>IF(ISBLANK(P4720),"",U4720/N4720)</f>
        <v/>
      </c>
      <c r="W4720" s="81">
        <f>IF(ISBLANK(P4720),"",IF(S4720=0,(365/0.5)*V4720,(365/S4720)*V4720))</f>
        <v/>
      </c>
      <c r="X4720" s="75" t="n"/>
      <c r="Y4720" s="77" t="n"/>
      <c r="Z4720" s="77" t="n"/>
      <c r="AA4720" s="75" t="n"/>
      <c r="AB4720" s="75" t="n"/>
      <c r="AC4720" s="6" t="n"/>
      <c r="AD4720" s="75" t="n"/>
      <c r="AE4720" s="75" t="n"/>
      <c r="AF4720" s="75" t="n"/>
    </row>
    <row r="4721" ht="15.75" customHeight="1" s="133">
      <c r="A4721" s="75" t="n"/>
      <c r="B4721" s="75" t="n"/>
      <c r="C4721" s="75" t="n"/>
      <c r="D4721" s="75" t="n"/>
      <c r="E4721" s="76" t="n"/>
      <c r="F4721" s="77" t="n"/>
      <c r="G4721" s="75" t="n"/>
      <c r="H4721" s="75">
        <f>IF(ISBLANK(E4721),"",IF(OR(D4721="Butterfly",D4721="Butterfly ",D4721="Iron Fly", D4721="Iron Fly "),LEN(E4721)-LEN(SUBSTITUTE(E4721,"/",""))+2,LEN(E4721)-LEN(SUBSTITUTE(E4721,"/",""))+1))</f>
        <v/>
      </c>
      <c r="I4721" s="78">
        <f>IF(ISBLANK(G4721),"",IF(D4721="Stock","0",Key!$A$3*H4721*G4721))</f>
        <v/>
      </c>
      <c r="J4721" s="78">
        <f>IF(ISBLANK(E4721),"",IF(ISNUMBER(SEARCH("/",E4721)), IF(LEN(E4721)-LEN(SUBSTITUTE(E4721,"/",""))=1,(RIGHT(E4721,LEN(E4721)-FIND("/",E4721)))-(LEFT(E4721,FIND("/",E4721)-1)),(MID(E4721, SEARCH("/",E4721) + 1, SEARCH("/",E4721, SEARCH("/",E4721)+1) - SEARCH("/",E4721) - 1))-(LEFT(E4721,FIND("/",E4721)-1))), "NA"))</f>
        <v/>
      </c>
      <c r="K4721" s="79">
        <f>IF(A4721&lt;&gt;"", IF(ISBLANK(L4721), TODAY(), K4721), "")</f>
        <v/>
      </c>
      <c r="L4721" s="78" t="n"/>
      <c r="M4721" s="78">
        <f>IF(ISBLANK(L4721),"",IF(D4721="Stock",IF(C4721="Buy",L4721*G4721,IF(C4721="Sell",(L4721*G4721)-I4721, X)),IF(C4721="Buy",(L4721*G4721*100)+I4721,IF(C4721="Sell",(L4721*G4721*100)-I4721, X))))</f>
        <v/>
      </c>
      <c r="N4721" s="78">
        <f>IF(ISBLANK(L4721),"",IF(AND(C4721="Sell",D4721="Stock"),M4721,IF(ISBLANK(L4721),"",IF(C4721="Buy",M4721, IF(AND(C4721="Sell",J4721="NA"),(E4721*G4721*100*0.1)+I4721, IF(C4721="Sell",(J4721-L4721)*(100*G4721)+I4721))))))</f>
        <v/>
      </c>
      <c r="O4721" s="75" t="n"/>
      <c r="P4721" s="75" t="n"/>
      <c r="Q4721" s="75">
        <f>IF(ISBLANK(P4721),"",IF(D4721="Stock",P4721*G4721,IF(P4721=0,"0",G4721*P4721*100-(G4721*$AF$14))))</f>
        <v/>
      </c>
      <c r="R4721" s="79">
        <f>IF(P4721&lt;&gt;"", TODAY(), "")</f>
        <v/>
      </c>
      <c r="S4721" s="78">
        <f>IF(AND(K4721&lt;&gt;"", R4721&lt;&gt;""), R4721-K4721, "")</f>
        <v/>
      </c>
      <c r="T4721" s="78" t="n"/>
      <c r="U4721" s="92">
        <f>IF(ISBLANK(P4721),"",IF(C4721="Buy",Q4721-M4721+T4721, IF(C4721="Sell",M4721-Q4721-T4721, X)))</f>
        <v/>
      </c>
      <c r="V4721" s="81">
        <f>IF(ISBLANK(P4721),"",U4721/N4721)</f>
        <v/>
      </c>
      <c r="W4721" s="81">
        <f>IF(ISBLANK(P4721),"",IF(S4721=0,(365/0.5)*V4721,(365/S4721)*V4721))</f>
        <v/>
      </c>
      <c r="X4721" s="75" t="n"/>
      <c r="Y4721" s="77" t="n"/>
      <c r="Z4721" s="77" t="n"/>
      <c r="AA4721" s="75" t="n"/>
      <c r="AB4721" s="75" t="n"/>
      <c r="AC4721" s="6" t="n"/>
      <c r="AD4721" s="75" t="n"/>
      <c r="AE4721" s="75" t="n"/>
      <c r="AF4721" s="75" t="n"/>
    </row>
    <row r="4722" ht="15.75" customHeight="1" s="133">
      <c r="A4722" s="75" t="n"/>
      <c r="B4722" s="75" t="n"/>
      <c r="C4722" s="75" t="n"/>
      <c r="D4722" s="75" t="n"/>
      <c r="E4722" s="76" t="n"/>
      <c r="F4722" s="77" t="n"/>
      <c r="G4722" s="75" t="n"/>
      <c r="H4722" s="75">
        <f>IF(ISBLANK(E4722),"",IF(OR(D4722="Butterfly",D4722="Butterfly ",D4722="Iron Fly", D4722="Iron Fly "),LEN(E4722)-LEN(SUBSTITUTE(E4722,"/",""))+2,LEN(E4722)-LEN(SUBSTITUTE(E4722,"/",""))+1))</f>
        <v/>
      </c>
      <c r="I4722" s="78">
        <f>IF(ISBLANK(G4722),"",IF(D4722="Stock","0",Key!$A$3*H4722*G4722))</f>
        <v/>
      </c>
      <c r="J4722" s="78">
        <f>IF(ISBLANK(E4722),"",IF(ISNUMBER(SEARCH("/",E4722)), IF(LEN(E4722)-LEN(SUBSTITUTE(E4722,"/",""))=1,(RIGHT(E4722,LEN(E4722)-FIND("/",E4722)))-(LEFT(E4722,FIND("/",E4722)-1)),(MID(E4722, SEARCH("/",E4722) + 1, SEARCH("/",E4722, SEARCH("/",E4722)+1) - SEARCH("/",E4722) - 1))-(LEFT(E4722,FIND("/",E4722)-1))), "NA"))</f>
        <v/>
      </c>
      <c r="K4722" s="79">
        <f>IF(A4722&lt;&gt;"", IF(ISBLANK(L4722), TODAY(), K4722), "")</f>
        <v/>
      </c>
      <c r="L4722" s="78" t="n"/>
      <c r="M4722" s="78">
        <f>IF(ISBLANK(L4722),"",IF(D4722="Stock",IF(C4722="Buy",L4722*G4722,IF(C4722="Sell",(L4722*G4722)-I4722, X)),IF(C4722="Buy",(L4722*G4722*100)+I4722,IF(C4722="Sell",(L4722*G4722*100)-I4722, X))))</f>
        <v/>
      </c>
      <c r="N4722" s="78">
        <f>IF(ISBLANK(L4722),"",IF(AND(C4722="Sell",D4722="Stock"),M4722,IF(ISBLANK(L4722),"",IF(C4722="Buy",M4722, IF(AND(C4722="Sell",J4722="NA"),(E4722*G4722*100*0.1)+I4722, IF(C4722="Sell",(J4722-L4722)*(100*G4722)+I4722))))))</f>
        <v/>
      </c>
      <c r="O4722" s="75" t="n"/>
      <c r="P4722" s="75" t="n"/>
      <c r="Q4722" s="75">
        <f>IF(ISBLANK(P4722),"",IF(D4722="Stock",P4722*G4722,IF(P4722=0,"0",G4722*P4722*100-(G4722*$AF$14))))</f>
        <v/>
      </c>
      <c r="R4722" s="79">
        <f>IF(P4722&lt;&gt;"", TODAY(), "")</f>
        <v/>
      </c>
      <c r="S4722" s="78">
        <f>IF(AND(K4722&lt;&gt;"", R4722&lt;&gt;""), R4722-K4722, "")</f>
        <v/>
      </c>
      <c r="T4722" s="78" t="n"/>
      <c r="U4722" s="92">
        <f>IF(ISBLANK(P4722),"",IF(C4722="Buy",Q4722-M4722+T4722, IF(C4722="Sell",M4722-Q4722-T4722, X)))</f>
        <v/>
      </c>
      <c r="V4722" s="81">
        <f>IF(ISBLANK(P4722),"",U4722/N4722)</f>
        <v/>
      </c>
      <c r="W4722" s="81">
        <f>IF(ISBLANK(P4722),"",IF(S4722=0,(365/0.5)*V4722,(365/S4722)*V4722))</f>
        <v/>
      </c>
      <c r="X4722" s="75" t="n"/>
      <c r="Y4722" s="77" t="n"/>
      <c r="Z4722" s="77" t="n"/>
      <c r="AA4722" s="75" t="n"/>
      <c r="AB4722" s="75" t="n"/>
      <c r="AC4722" s="6" t="n"/>
      <c r="AD4722" s="75" t="n"/>
      <c r="AE4722" s="75" t="n"/>
      <c r="AF4722" s="75" t="n"/>
    </row>
    <row r="4723" ht="15.75" customHeight="1" s="133">
      <c r="A4723" s="75" t="n"/>
      <c r="B4723" s="75" t="n"/>
      <c r="C4723" s="75" t="n"/>
      <c r="D4723" s="75" t="n"/>
      <c r="E4723" s="76" t="n"/>
      <c r="F4723" s="77" t="n"/>
      <c r="G4723" s="75" t="n"/>
      <c r="H4723" s="75">
        <f>IF(ISBLANK(E4723),"",IF(OR(D4723="Butterfly",D4723="Butterfly ",D4723="Iron Fly", D4723="Iron Fly "),LEN(E4723)-LEN(SUBSTITUTE(E4723,"/",""))+2,LEN(E4723)-LEN(SUBSTITUTE(E4723,"/",""))+1))</f>
        <v/>
      </c>
      <c r="I4723" s="78">
        <f>IF(ISBLANK(G4723),"",IF(D4723="Stock","0",Key!$A$3*H4723*G4723))</f>
        <v/>
      </c>
      <c r="J4723" s="78">
        <f>IF(ISBLANK(E4723),"",IF(ISNUMBER(SEARCH("/",E4723)), IF(LEN(E4723)-LEN(SUBSTITUTE(E4723,"/",""))=1,(RIGHT(E4723,LEN(E4723)-FIND("/",E4723)))-(LEFT(E4723,FIND("/",E4723)-1)),(MID(E4723, SEARCH("/",E4723) + 1, SEARCH("/",E4723, SEARCH("/",E4723)+1) - SEARCH("/",E4723) - 1))-(LEFT(E4723,FIND("/",E4723)-1))), "NA"))</f>
        <v/>
      </c>
      <c r="K4723" s="79">
        <f>IF(A4723&lt;&gt;"", IF(ISBLANK(L4723), TODAY(), K4723), "")</f>
        <v/>
      </c>
      <c r="L4723" s="78" t="n"/>
      <c r="M4723" s="78">
        <f>IF(ISBLANK(L4723),"",IF(D4723="Stock",IF(C4723="Buy",L4723*G4723,IF(C4723="Sell",(L4723*G4723)-I4723, X)),IF(C4723="Buy",(L4723*G4723*100)+I4723,IF(C4723="Sell",(L4723*G4723*100)-I4723, X))))</f>
        <v/>
      </c>
      <c r="N4723" s="78">
        <f>IF(ISBLANK(L4723),"",IF(AND(C4723="Sell",D4723="Stock"),M4723,IF(ISBLANK(L4723),"",IF(C4723="Buy",M4723, IF(AND(C4723="Sell",J4723="NA"),(E4723*G4723*100*0.1)+I4723, IF(C4723="Sell",(J4723-L4723)*(100*G4723)+I4723))))))</f>
        <v/>
      </c>
      <c r="O4723" s="75" t="n"/>
      <c r="P4723" s="75" t="n"/>
      <c r="Q4723" s="75">
        <f>IF(ISBLANK(P4723),"",IF(D4723="Stock",P4723*G4723,IF(P4723=0,"0",G4723*P4723*100-(G4723*$AF$14))))</f>
        <v/>
      </c>
      <c r="R4723" s="79">
        <f>IF(P4723&lt;&gt;"", TODAY(), "")</f>
        <v/>
      </c>
      <c r="S4723" s="78">
        <f>IF(AND(K4723&lt;&gt;"", R4723&lt;&gt;""), R4723-K4723, "")</f>
        <v/>
      </c>
      <c r="T4723" s="78" t="n"/>
      <c r="U4723" s="92">
        <f>IF(ISBLANK(P4723),"",IF(C4723="Buy",Q4723-M4723+T4723, IF(C4723="Sell",M4723-Q4723-T4723, X)))</f>
        <v/>
      </c>
      <c r="V4723" s="81">
        <f>IF(ISBLANK(P4723),"",U4723/N4723)</f>
        <v/>
      </c>
      <c r="W4723" s="81">
        <f>IF(ISBLANK(P4723),"",IF(S4723=0,(365/0.5)*V4723,(365/S4723)*V4723))</f>
        <v/>
      </c>
      <c r="X4723" s="75" t="n"/>
      <c r="Y4723" s="77" t="n"/>
      <c r="Z4723" s="77" t="n"/>
      <c r="AA4723" s="75" t="n"/>
      <c r="AB4723" s="75" t="n"/>
      <c r="AC4723" s="6" t="n"/>
      <c r="AD4723" s="75" t="n"/>
      <c r="AE4723" s="75" t="n"/>
      <c r="AF4723" s="75" t="n"/>
    </row>
    <row r="4724" ht="15.75" customHeight="1" s="133">
      <c r="A4724" s="75" t="n"/>
      <c r="B4724" s="75" t="n"/>
      <c r="C4724" s="75" t="n"/>
      <c r="D4724" s="75" t="n"/>
      <c r="E4724" s="76" t="n"/>
      <c r="F4724" s="77" t="n"/>
      <c r="G4724" s="75" t="n"/>
      <c r="H4724" s="75">
        <f>IF(ISBLANK(E4724),"",IF(OR(D4724="Butterfly",D4724="Butterfly ",D4724="Iron Fly", D4724="Iron Fly "),LEN(E4724)-LEN(SUBSTITUTE(E4724,"/",""))+2,LEN(E4724)-LEN(SUBSTITUTE(E4724,"/",""))+1))</f>
        <v/>
      </c>
      <c r="I4724" s="78">
        <f>IF(ISBLANK(G4724),"",IF(D4724="Stock","0",Key!$A$3*H4724*G4724))</f>
        <v/>
      </c>
      <c r="J4724" s="78">
        <f>IF(ISBLANK(E4724),"",IF(ISNUMBER(SEARCH("/",E4724)), IF(LEN(E4724)-LEN(SUBSTITUTE(E4724,"/",""))=1,(RIGHT(E4724,LEN(E4724)-FIND("/",E4724)))-(LEFT(E4724,FIND("/",E4724)-1)),(MID(E4724, SEARCH("/",E4724) + 1, SEARCH("/",E4724, SEARCH("/",E4724)+1) - SEARCH("/",E4724) - 1))-(LEFT(E4724,FIND("/",E4724)-1))), "NA"))</f>
        <v/>
      </c>
      <c r="K4724" s="79">
        <f>IF(A4724&lt;&gt;"", IF(ISBLANK(L4724), TODAY(), K4724), "")</f>
        <v/>
      </c>
      <c r="L4724" s="78" t="n"/>
      <c r="M4724" s="78">
        <f>IF(ISBLANK(L4724),"",IF(D4724="Stock",IF(C4724="Buy",L4724*G4724,IF(C4724="Sell",(L4724*G4724)-I4724, X)),IF(C4724="Buy",(L4724*G4724*100)+I4724,IF(C4724="Sell",(L4724*G4724*100)-I4724, X))))</f>
        <v/>
      </c>
      <c r="N4724" s="78">
        <f>IF(ISBLANK(L4724),"",IF(AND(C4724="Sell",D4724="Stock"),M4724,IF(ISBLANK(L4724),"",IF(C4724="Buy",M4724, IF(AND(C4724="Sell",J4724="NA"),(E4724*G4724*100*0.1)+I4724, IF(C4724="Sell",(J4724-L4724)*(100*G4724)+I4724))))))</f>
        <v/>
      </c>
      <c r="O4724" s="75" t="n"/>
      <c r="P4724" s="75" t="n"/>
      <c r="Q4724" s="75">
        <f>IF(ISBLANK(P4724),"",IF(D4724="Stock",P4724*G4724,IF(P4724=0,"0",G4724*P4724*100-(G4724*$AF$14))))</f>
        <v/>
      </c>
      <c r="R4724" s="79">
        <f>IF(P4724&lt;&gt;"", TODAY(), "")</f>
        <v/>
      </c>
      <c r="S4724" s="78">
        <f>IF(AND(K4724&lt;&gt;"", R4724&lt;&gt;""), R4724-K4724, "")</f>
        <v/>
      </c>
      <c r="T4724" s="78" t="n"/>
      <c r="U4724" s="92">
        <f>IF(ISBLANK(P4724),"",IF(C4724="Buy",Q4724-M4724+T4724, IF(C4724="Sell",M4724-Q4724-T4724, X)))</f>
        <v/>
      </c>
      <c r="V4724" s="81">
        <f>IF(ISBLANK(P4724),"",U4724/N4724)</f>
        <v/>
      </c>
      <c r="W4724" s="81">
        <f>IF(ISBLANK(P4724),"",IF(S4724=0,(365/0.5)*V4724,(365/S4724)*V4724))</f>
        <v/>
      </c>
      <c r="X4724" s="75" t="n"/>
      <c r="Y4724" s="77" t="n"/>
      <c r="Z4724" s="77" t="n"/>
      <c r="AA4724" s="75" t="n"/>
      <c r="AB4724" s="75" t="n"/>
      <c r="AC4724" s="6" t="n"/>
      <c r="AD4724" s="75" t="n"/>
      <c r="AE4724" s="75" t="n"/>
      <c r="AF4724" s="75" t="n"/>
    </row>
    <row r="4725" ht="15.75" customHeight="1" s="133">
      <c r="A4725" s="75" t="n"/>
      <c r="B4725" s="75" t="n"/>
      <c r="C4725" s="75" t="n"/>
      <c r="D4725" s="75" t="n"/>
      <c r="E4725" s="76" t="n"/>
      <c r="F4725" s="77" t="n"/>
      <c r="G4725" s="75" t="n"/>
      <c r="H4725" s="75">
        <f>IF(ISBLANK(E4725),"",IF(OR(D4725="Butterfly",D4725="Butterfly ",D4725="Iron Fly", D4725="Iron Fly "),LEN(E4725)-LEN(SUBSTITUTE(E4725,"/",""))+2,LEN(E4725)-LEN(SUBSTITUTE(E4725,"/",""))+1))</f>
        <v/>
      </c>
      <c r="I4725" s="78">
        <f>IF(ISBLANK(G4725),"",IF(D4725="Stock","0",Key!$A$3*H4725*G4725))</f>
        <v/>
      </c>
      <c r="J4725" s="78">
        <f>IF(ISBLANK(E4725),"",IF(ISNUMBER(SEARCH("/",E4725)), IF(LEN(E4725)-LEN(SUBSTITUTE(E4725,"/",""))=1,(RIGHT(E4725,LEN(E4725)-FIND("/",E4725)))-(LEFT(E4725,FIND("/",E4725)-1)),(MID(E4725, SEARCH("/",E4725) + 1, SEARCH("/",E4725, SEARCH("/",E4725)+1) - SEARCH("/",E4725) - 1))-(LEFT(E4725,FIND("/",E4725)-1))), "NA"))</f>
        <v/>
      </c>
      <c r="K4725" s="79">
        <f>IF(A4725&lt;&gt;"", IF(ISBLANK(L4725), TODAY(), K4725), "")</f>
        <v/>
      </c>
      <c r="L4725" s="78" t="n"/>
      <c r="M4725" s="78">
        <f>IF(ISBLANK(L4725),"",IF(D4725="Stock",IF(C4725="Buy",L4725*G4725,IF(C4725="Sell",(L4725*G4725)-I4725, X)),IF(C4725="Buy",(L4725*G4725*100)+I4725,IF(C4725="Sell",(L4725*G4725*100)-I4725, X))))</f>
        <v/>
      </c>
      <c r="N4725" s="78">
        <f>IF(ISBLANK(L4725),"",IF(AND(C4725="Sell",D4725="Stock"),M4725,IF(ISBLANK(L4725),"",IF(C4725="Buy",M4725, IF(AND(C4725="Sell",J4725="NA"),(E4725*G4725*100*0.1)+I4725, IF(C4725="Sell",(J4725-L4725)*(100*G4725)+I4725))))))</f>
        <v/>
      </c>
      <c r="O4725" s="75" t="n"/>
      <c r="P4725" s="75" t="n"/>
      <c r="Q4725" s="75">
        <f>IF(ISBLANK(P4725),"",IF(D4725="Stock",P4725*G4725,IF(P4725=0,"0",G4725*P4725*100-(G4725*$AF$14))))</f>
        <v/>
      </c>
      <c r="R4725" s="79">
        <f>IF(P4725&lt;&gt;"", TODAY(), "")</f>
        <v/>
      </c>
      <c r="S4725" s="78">
        <f>IF(AND(K4725&lt;&gt;"", R4725&lt;&gt;""), R4725-K4725, "")</f>
        <v/>
      </c>
      <c r="T4725" s="78" t="n"/>
      <c r="U4725" s="92">
        <f>IF(ISBLANK(P4725),"",IF(C4725="Buy",Q4725-M4725+T4725, IF(C4725="Sell",M4725-Q4725-T4725, X)))</f>
        <v/>
      </c>
      <c r="V4725" s="81">
        <f>IF(ISBLANK(P4725),"",U4725/N4725)</f>
        <v/>
      </c>
      <c r="W4725" s="81">
        <f>IF(ISBLANK(P4725),"",IF(S4725=0,(365/0.5)*V4725,(365/S4725)*V4725))</f>
        <v/>
      </c>
      <c r="X4725" s="75" t="n"/>
      <c r="Y4725" s="77" t="n"/>
      <c r="Z4725" s="77" t="n"/>
      <c r="AA4725" s="75" t="n"/>
      <c r="AB4725" s="75" t="n"/>
      <c r="AC4725" s="6" t="n"/>
      <c r="AD4725" s="75" t="n"/>
      <c r="AE4725" s="75" t="n"/>
      <c r="AF4725" s="75" t="n"/>
    </row>
    <row r="4726" ht="15.75" customHeight="1" s="133">
      <c r="A4726" s="75" t="n"/>
      <c r="B4726" s="75" t="n"/>
      <c r="C4726" s="75" t="n"/>
      <c r="D4726" s="75" t="n"/>
      <c r="E4726" s="76" t="n"/>
      <c r="F4726" s="77" t="n"/>
      <c r="G4726" s="75" t="n"/>
      <c r="H4726" s="75">
        <f>IF(ISBLANK(E4726),"",IF(OR(D4726="Butterfly",D4726="Butterfly ",D4726="Iron Fly", D4726="Iron Fly "),LEN(E4726)-LEN(SUBSTITUTE(E4726,"/",""))+2,LEN(E4726)-LEN(SUBSTITUTE(E4726,"/",""))+1))</f>
        <v/>
      </c>
      <c r="I4726" s="78">
        <f>IF(ISBLANK(G4726),"",IF(D4726="Stock","0",Key!$A$3*H4726*G4726))</f>
        <v/>
      </c>
      <c r="J4726" s="78">
        <f>IF(ISBLANK(E4726),"",IF(ISNUMBER(SEARCH("/",E4726)), IF(LEN(E4726)-LEN(SUBSTITUTE(E4726,"/",""))=1,(RIGHT(E4726,LEN(E4726)-FIND("/",E4726)))-(LEFT(E4726,FIND("/",E4726)-1)),(MID(E4726, SEARCH("/",E4726) + 1, SEARCH("/",E4726, SEARCH("/",E4726)+1) - SEARCH("/",E4726) - 1))-(LEFT(E4726,FIND("/",E4726)-1))), "NA"))</f>
        <v/>
      </c>
      <c r="K4726" s="79">
        <f>IF(A4726&lt;&gt;"", IF(ISBLANK(L4726), TODAY(), K4726), "")</f>
        <v/>
      </c>
      <c r="L4726" s="78" t="n"/>
      <c r="M4726" s="78">
        <f>IF(ISBLANK(L4726),"",IF(D4726="Stock",IF(C4726="Buy",L4726*G4726,IF(C4726="Sell",(L4726*G4726)-I4726, X)),IF(C4726="Buy",(L4726*G4726*100)+I4726,IF(C4726="Sell",(L4726*G4726*100)-I4726, X))))</f>
        <v/>
      </c>
      <c r="N4726" s="78">
        <f>IF(ISBLANK(L4726),"",IF(AND(C4726="Sell",D4726="Stock"),M4726,IF(ISBLANK(L4726),"",IF(C4726="Buy",M4726, IF(AND(C4726="Sell",J4726="NA"),(E4726*G4726*100*0.1)+I4726, IF(C4726="Sell",(J4726-L4726)*(100*G4726)+I4726))))))</f>
        <v/>
      </c>
      <c r="O4726" s="75" t="n"/>
      <c r="P4726" s="75" t="n"/>
      <c r="Q4726" s="75">
        <f>IF(ISBLANK(P4726),"",IF(D4726="Stock",P4726*G4726,IF(P4726=0,"0",G4726*P4726*100-(G4726*$AF$14))))</f>
        <v/>
      </c>
      <c r="R4726" s="79">
        <f>IF(P4726&lt;&gt;"", TODAY(), "")</f>
        <v/>
      </c>
      <c r="S4726" s="78">
        <f>IF(AND(K4726&lt;&gt;"", R4726&lt;&gt;""), R4726-K4726, "")</f>
        <v/>
      </c>
      <c r="T4726" s="78" t="n"/>
      <c r="U4726" s="92">
        <f>IF(ISBLANK(P4726),"",IF(C4726="Buy",Q4726-M4726+T4726, IF(C4726="Sell",M4726-Q4726-T4726, X)))</f>
        <v/>
      </c>
      <c r="V4726" s="81">
        <f>IF(ISBLANK(P4726),"",U4726/N4726)</f>
        <v/>
      </c>
      <c r="W4726" s="81">
        <f>IF(ISBLANK(P4726),"",IF(S4726=0,(365/0.5)*V4726,(365/S4726)*V4726))</f>
        <v/>
      </c>
      <c r="X4726" s="75" t="n"/>
      <c r="Y4726" s="77" t="n"/>
      <c r="Z4726" s="77" t="n"/>
      <c r="AA4726" s="75" t="n"/>
      <c r="AB4726" s="75" t="n"/>
      <c r="AC4726" s="6" t="n"/>
      <c r="AD4726" s="75" t="n"/>
      <c r="AE4726" s="75" t="n"/>
      <c r="AF4726" s="75" t="n"/>
    </row>
    <row r="4727" ht="15.75" customHeight="1" s="133">
      <c r="A4727" s="75" t="n"/>
      <c r="B4727" s="75" t="n"/>
      <c r="C4727" s="75" t="n"/>
      <c r="D4727" s="75" t="n"/>
      <c r="E4727" s="76" t="n"/>
      <c r="F4727" s="77" t="n"/>
      <c r="G4727" s="75" t="n"/>
      <c r="H4727" s="75">
        <f>IF(ISBLANK(E4727),"",IF(OR(D4727="Butterfly",D4727="Butterfly ",D4727="Iron Fly", D4727="Iron Fly "),LEN(E4727)-LEN(SUBSTITUTE(E4727,"/",""))+2,LEN(E4727)-LEN(SUBSTITUTE(E4727,"/",""))+1))</f>
        <v/>
      </c>
      <c r="I4727" s="78">
        <f>IF(ISBLANK(G4727),"",IF(D4727="Stock","0",Key!$A$3*H4727*G4727))</f>
        <v/>
      </c>
      <c r="J4727" s="78">
        <f>IF(ISBLANK(E4727),"",IF(ISNUMBER(SEARCH("/",E4727)), IF(LEN(E4727)-LEN(SUBSTITUTE(E4727,"/",""))=1,(RIGHT(E4727,LEN(E4727)-FIND("/",E4727)))-(LEFT(E4727,FIND("/",E4727)-1)),(MID(E4727, SEARCH("/",E4727) + 1, SEARCH("/",E4727, SEARCH("/",E4727)+1) - SEARCH("/",E4727) - 1))-(LEFT(E4727,FIND("/",E4727)-1))), "NA"))</f>
        <v/>
      </c>
      <c r="K4727" s="79">
        <f>IF(A4727&lt;&gt;"", IF(ISBLANK(L4727), TODAY(), K4727), "")</f>
        <v/>
      </c>
      <c r="L4727" s="78" t="n"/>
      <c r="M4727" s="78">
        <f>IF(ISBLANK(L4727),"",IF(D4727="Stock",IF(C4727="Buy",L4727*G4727,IF(C4727="Sell",(L4727*G4727)-I4727, X)),IF(C4727="Buy",(L4727*G4727*100)+I4727,IF(C4727="Sell",(L4727*G4727*100)-I4727, X))))</f>
        <v/>
      </c>
      <c r="N4727" s="78">
        <f>IF(ISBLANK(L4727),"",IF(AND(C4727="Sell",D4727="Stock"),M4727,IF(ISBLANK(L4727),"",IF(C4727="Buy",M4727, IF(AND(C4727="Sell",J4727="NA"),(E4727*G4727*100*0.1)+I4727, IF(C4727="Sell",(J4727-L4727)*(100*G4727)+I4727))))))</f>
        <v/>
      </c>
      <c r="O4727" s="75" t="n"/>
      <c r="P4727" s="75" t="n"/>
      <c r="Q4727" s="75">
        <f>IF(ISBLANK(P4727),"",IF(D4727="Stock",P4727*G4727,IF(P4727=0,"0",G4727*P4727*100-(G4727*$AF$14))))</f>
        <v/>
      </c>
      <c r="R4727" s="79">
        <f>IF(P4727&lt;&gt;"", TODAY(), "")</f>
        <v/>
      </c>
      <c r="S4727" s="78">
        <f>IF(AND(K4727&lt;&gt;"", R4727&lt;&gt;""), R4727-K4727, "")</f>
        <v/>
      </c>
      <c r="T4727" s="78" t="n"/>
      <c r="U4727" s="92">
        <f>IF(ISBLANK(P4727),"",IF(C4727="Buy",Q4727-M4727+T4727, IF(C4727="Sell",M4727-Q4727-T4727, X)))</f>
        <v/>
      </c>
      <c r="V4727" s="81">
        <f>IF(ISBLANK(P4727),"",U4727/N4727)</f>
        <v/>
      </c>
      <c r="W4727" s="81">
        <f>IF(ISBLANK(P4727),"",IF(S4727=0,(365/0.5)*V4727,(365/S4727)*V4727))</f>
        <v/>
      </c>
      <c r="X4727" s="75" t="n"/>
      <c r="Y4727" s="77" t="n"/>
      <c r="Z4727" s="77" t="n"/>
      <c r="AA4727" s="75" t="n"/>
      <c r="AB4727" s="75" t="n"/>
      <c r="AC4727" s="6" t="n"/>
      <c r="AD4727" s="75" t="n"/>
      <c r="AE4727" s="75" t="n"/>
      <c r="AF4727" s="75" t="n"/>
    </row>
    <row r="4728" ht="15.75" customHeight="1" s="133">
      <c r="A4728" s="75" t="n"/>
      <c r="B4728" s="75" t="n"/>
      <c r="C4728" s="75" t="n"/>
      <c r="D4728" s="75" t="n"/>
      <c r="E4728" s="76" t="n"/>
      <c r="F4728" s="77" t="n"/>
      <c r="G4728" s="75" t="n"/>
      <c r="H4728" s="75">
        <f>IF(ISBLANK(E4728),"",IF(OR(D4728="Butterfly",D4728="Butterfly ",D4728="Iron Fly", D4728="Iron Fly "),LEN(E4728)-LEN(SUBSTITUTE(E4728,"/",""))+2,LEN(E4728)-LEN(SUBSTITUTE(E4728,"/",""))+1))</f>
        <v/>
      </c>
      <c r="I4728" s="78">
        <f>IF(ISBLANK(G4728),"",IF(D4728="Stock","0",Key!$A$3*H4728*G4728))</f>
        <v/>
      </c>
      <c r="J4728" s="78">
        <f>IF(ISBLANK(E4728),"",IF(ISNUMBER(SEARCH("/",E4728)), IF(LEN(E4728)-LEN(SUBSTITUTE(E4728,"/",""))=1,(RIGHT(E4728,LEN(E4728)-FIND("/",E4728)))-(LEFT(E4728,FIND("/",E4728)-1)),(MID(E4728, SEARCH("/",E4728) + 1, SEARCH("/",E4728, SEARCH("/",E4728)+1) - SEARCH("/",E4728) - 1))-(LEFT(E4728,FIND("/",E4728)-1))), "NA"))</f>
        <v/>
      </c>
      <c r="K4728" s="79">
        <f>IF(A4728&lt;&gt;"", IF(ISBLANK(L4728), TODAY(), K4728), "")</f>
        <v/>
      </c>
      <c r="L4728" s="78" t="n"/>
      <c r="M4728" s="78">
        <f>IF(ISBLANK(L4728),"",IF(D4728="Stock",IF(C4728="Buy",L4728*G4728,IF(C4728="Sell",(L4728*G4728)-I4728, X)),IF(C4728="Buy",(L4728*G4728*100)+I4728,IF(C4728="Sell",(L4728*G4728*100)-I4728, X))))</f>
        <v/>
      </c>
      <c r="N4728" s="78">
        <f>IF(ISBLANK(L4728),"",IF(AND(C4728="Sell",D4728="Stock"),M4728,IF(ISBLANK(L4728),"",IF(C4728="Buy",M4728, IF(AND(C4728="Sell",J4728="NA"),(E4728*G4728*100*0.1)+I4728, IF(C4728="Sell",(J4728-L4728)*(100*G4728)+I4728))))))</f>
        <v/>
      </c>
      <c r="O4728" s="75" t="n"/>
      <c r="P4728" s="75" t="n"/>
      <c r="Q4728" s="75">
        <f>IF(ISBLANK(P4728),"",IF(D4728="Stock",P4728*G4728,IF(P4728=0,"0",G4728*P4728*100-(G4728*$AF$14))))</f>
        <v/>
      </c>
      <c r="R4728" s="79">
        <f>IF(P4728&lt;&gt;"", TODAY(), "")</f>
        <v/>
      </c>
      <c r="S4728" s="78">
        <f>IF(AND(K4728&lt;&gt;"", R4728&lt;&gt;""), R4728-K4728, "")</f>
        <v/>
      </c>
      <c r="T4728" s="78" t="n"/>
      <c r="U4728" s="92">
        <f>IF(ISBLANK(P4728),"",IF(C4728="Buy",Q4728-M4728+T4728, IF(C4728="Sell",M4728-Q4728-T4728, X)))</f>
        <v/>
      </c>
      <c r="V4728" s="81">
        <f>IF(ISBLANK(P4728),"",U4728/N4728)</f>
        <v/>
      </c>
      <c r="W4728" s="81">
        <f>IF(ISBLANK(P4728),"",IF(S4728=0,(365/0.5)*V4728,(365/S4728)*V4728))</f>
        <v/>
      </c>
      <c r="X4728" s="75" t="n"/>
      <c r="Y4728" s="77" t="n"/>
      <c r="Z4728" s="77" t="n"/>
      <c r="AA4728" s="75" t="n"/>
      <c r="AB4728" s="75" t="n"/>
      <c r="AC4728" s="6" t="n"/>
      <c r="AD4728" s="75" t="n"/>
      <c r="AE4728" s="75" t="n"/>
      <c r="AF4728" s="75" t="n"/>
    </row>
    <row r="4729" ht="15.75" customHeight="1" s="133">
      <c r="A4729" s="75" t="n"/>
      <c r="B4729" s="75" t="n"/>
      <c r="C4729" s="75" t="n"/>
      <c r="D4729" s="75" t="n"/>
      <c r="E4729" s="76" t="n"/>
      <c r="F4729" s="77" t="n"/>
      <c r="G4729" s="75" t="n"/>
      <c r="H4729" s="75">
        <f>IF(ISBLANK(E4729),"",IF(OR(D4729="Butterfly",D4729="Butterfly ",D4729="Iron Fly", D4729="Iron Fly "),LEN(E4729)-LEN(SUBSTITUTE(E4729,"/",""))+2,LEN(E4729)-LEN(SUBSTITUTE(E4729,"/",""))+1))</f>
        <v/>
      </c>
      <c r="I4729" s="78">
        <f>IF(ISBLANK(G4729),"",IF(D4729="Stock","0",Key!$A$3*H4729*G4729))</f>
        <v/>
      </c>
      <c r="J4729" s="78">
        <f>IF(ISBLANK(E4729),"",IF(ISNUMBER(SEARCH("/",E4729)), IF(LEN(E4729)-LEN(SUBSTITUTE(E4729,"/",""))=1,(RIGHT(E4729,LEN(E4729)-FIND("/",E4729)))-(LEFT(E4729,FIND("/",E4729)-1)),(MID(E4729, SEARCH("/",E4729) + 1, SEARCH("/",E4729, SEARCH("/",E4729)+1) - SEARCH("/",E4729) - 1))-(LEFT(E4729,FIND("/",E4729)-1))), "NA"))</f>
        <v/>
      </c>
      <c r="K4729" s="79">
        <f>IF(A4729&lt;&gt;"", IF(ISBLANK(L4729), TODAY(), K4729), "")</f>
        <v/>
      </c>
      <c r="L4729" s="78" t="n"/>
      <c r="M4729" s="78">
        <f>IF(ISBLANK(L4729),"",IF(D4729="Stock",IF(C4729="Buy",L4729*G4729,IF(C4729="Sell",(L4729*G4729)-I4729, X)),IF(C4729="Buy",(L4729*G4729*100)+I4729,IF(C4729="Sell",(L4729*G4729*100)-I4729, X))))</f>
        <v/>
      </c>
      <c r="N4729" s="78">
        <f>IF(ISBLANK(L4729),"",IF(AND(C4729="Sell",D4729="Stock"),M4729,IF(ISBLANK(L4729),"",IF(C4729="Buy",M4729, IF(AND(C4729="Sell",J4729="NA"),(E4729*G4729*100*0.1)+I4729, IF(C4729="Sell",(J4729-L4729)*(100*G4729)+I4729))))))</f>
        <v/>
      </c>
      <c r="O4729" s="75" t="n"/>
      <c r="P4729" s="75" t="n"/>
      <c r="Q4729" s="75">
        <f>IF(ISBLANK(P4729),"",IF(D4729="Stock",P4729*G4729,IF(P4729=0,"0",G4729*P4729*100-(G4729*$AF$14))))</f>
        <v/>
      </c>
      <c r="R4729" s="79">
        <f>IF(P4729&lt;&gt;"", TODAY(), "")</f>
        <v/>
      </c>
      <c r="S4729" s="78">
        <f>IF(AND(K4729&lt;&gt;"", R4729&lt;&gt;""), R4729-K4729, "")</f>
        <v/>
      </c>
      <c r="T4729" s="78" t="n"/>
      <c r="U4729" s="92">
        <f>IF(ISBLANK(P4729),"",IF(C4729="Buy",Q4729-M4729+T4729, IF(C4729="Sell",M4729-Q4729-T4729, X)))</f>
        <v/>
      </c>
      <c r="V4729" s="81">
        <f>IF(ISBLANK(P4729),"",U4729/N4729)</f>
        <v/>
      </c>
      <c r="W4729" s="81">
        <f>IF(ISBLANK(P4729),"",IF(S4729=0,(365/0.5)*V4729,(365/S4729)*V4729))</f>
        <v/>
      </c>
      <c r="X4729" s="75" t="n"/>
      <c r="Y4729" s="77" t="n"/>
      <c r="Z4729" s="77" t="n"/>
      <c r="AA4729" s="75" t="n"/>
      <c r="AB4729" s="75" t="n"/>
      <c r="AC4729" s="6" t="n"/>
      <c r="AD4729" s="75" t="n"/>
      <c r="AE4729" s="75" t="n"/>
      <c r="AF4729" s="75" t="n"/>
    </row>
    <row r="4730" ht="15.75" customHeight="1" s="133">
      <c r="A4730" s="75" t="n"/>
      <c r="B4730" s="75" t="n"/>
      <c r="C4730" s="75" t="n"/>
      <c r="D4730" s="75" t="n"/>
      <c r="E4730" s="76" t="n"/>
      <c r="F4730" s="77" t="n"/>
      <c r="G4730" s="75" t="n"/>
      <c r="H4730" s="75">
        <f>IF(ISBLANK(E4730),"",IF(OR(D4730="Butterfly",D4730="Butterfly ",D4730="Iron Fly", D4730="Iron Fly "),LEN(E4730)-LEN(SUBSTITUTE(E4730,"/",""))+2,LEN(E4730)-LEN(SUBSTITUTE(E4730,"/",""))+1))</f>
        <v/>
      </c>
      <c r="I4730" s="78">
        <f>IF(ISBLANK(G4730),"",IF(D4730="Stock","0",Key!$A$3*H4730*G4730))</f>
        <v/>
      </c>
      <c r="J4730" s="78">
        <f>IF(ISBLANK(E4730),"",IF(ISNUMBER(SEARCH("/",E4730)), IF(LEN(E4730)-LEN(SUBSTITUTE(E4730,"/",""))=1,(RIGHT(E4730,LEN(E4730)-FIND("/",E4730)))-(LEFT(E4730,FIND("/",E4730)-1)),(MID(E4730, SEARCH("/",E4730) + 1, SEARCH("/",E4730, SEARCH("/",E4730)+1) - SEARCH("/",E4730) - 1))-(LEFT(E4730,FIND("/",E4730)-1))), "NA"))</f>
        <v/>
      </c>
      <c r="K4730" s="79">
        <f>IF(A4730&lt;&gt;"", IF(ISBLANK(L4730), TODAY(), K4730), "")</f>
        <v/>
      </c>
      <c r="L4730" s="78" t="n"/>
      <c r="M4730" s="78">
        <f>IF(ISBLANK(L4730),"",IF(D4730="Stock",IF(C4730="Buy",L4730*G4730,IF(C4730="Sell",(L4730*G4730)-I4730, X)),IF(C4730="Buy",(L4730*G4730*100)+I4730,IF(C4730="Sell",(L4730*G4730*100)-I4730, X))))</f>
        <v/>
      </c>
      <c r="N4730" s="78">
        <f>IF(ISBLANK(L4730),"",IF(AND(C4730="Sell",D4730="Stock"),M4730,IF(ISBLANK(L4730),"",IF(C4730="Buy",M4730, IF(AND(C4730="Sell",J4730="NA"),(E4730*G4730*100*0.1)+I4730, IF(C4730="Sell",(J4730-L4730)*(100*G4730)+I4730))))))</f>
        <v/>
      </c>
      <c r="O4730" s="75" t="n"/>
      <c r="P4730" s="75" t="n"/>
      <c r="Q4730" s="75">
        <f>IF(ISBLANK(P4730),"",IF(D4730="Stock",P4730*G4730,IF(P4730=0,"0",G4730*P4730*100-(G4730*$AF$14))))</f>
        <v/>
      </c>
      <c r="R4730" s="79">
        <f>IF(P4730&lt;&gt;"", TODAY(), "")</f>
        <v/>
      </c>
      <c r="S4730" s="78">
        <f>IF(AND(K4730&lt;&gt;"", R4730&lt;&gt;""), R4730-K4730, "")</f>
        <v/>
      </c>
      <c r="T4730" s="78" t="n"/>
      <c r="U4730" s="92">
        <f>IF(ISBLANK(P4730),"",IF(C4730="Buy",Q4730-M4730+T4730, IF(C4730="Sell",M4730-Q4730-T4730, X)))</f>
        <v/>
      </c>
      <c r="V4730" s="81">
        <f>IF(ISBLANK(P4730),"",U4730/N4730)</f>
        <v/>
      </c>
      <c r="W4730" s="81">
        <f>IF(ISBLANK(P4730),"",IF(S4730=0,(365/0.5)*V4730,(365/S4730)*V4730))</f>
        <v/>
      </c>
      <c r="X4730" s="75" t="n"/>
      <c r="Y4730" s="77" t="n"/>
      <c r="Z4730" s="77" t="n"/>
      <c r="AA4730" s="75" t="n"/>
      <c r="AB4730" s="75" t="n"/>
      <c r="AC4730" s="6" t="n"/>
      <c r="AD4730" s="75" t="n"/>
      <c r="AE4730" s="75" t="n"/>
      <c r="AF4730" s="75" t="n"/>
    </row>
    <row r="4731" ht="15.75" customHeight="1" s="133">
      <c r="A4731" s="75" t="n"/>
      <c r="B4731" s="75" t="n"/>
      <c r="C4731" s="75" t="n"/>
      <c r="D4731" s="75" t="n"/>
      <c r="E4731" s="76" t="n"/>
      <c r="F4731" s="77" t="n"/>
      <c r="G4731" s="75" t="n"/>
      <c r="H4731" s="75">
        <f>IF(ISBLANK(E4731),"",IF(OR(D4731="Butterfly",D4731="Butterfly ",D4731="Iron Fly", D4731="Iron Fly "),LEN(E4731)-LEN(SUBSTITUTE(E4731,"/",""))+2,LEN(E4731)-LEN(SUBSTITUTE(E4731,"/",""))+1))</f>
        <v/>
      </c>
      <c r="I4731" s="78">
        <f>IF(ISBLANK(G4731),"",IF(D4731="Stock","0",Key!$A$3*H4731*G4731))</f>
        <v/>
      </c>
      <c r="J4731" s="78">
        <f>IF(ISBLANK(E4731),"",IF(ISNUMBER(SEARCH("/",E4731)), IF(LEN(E4731)-LEN(SUBSTITUTE(E4731,"/",""))=1,(RIGHT(E4731,LEN(E4731)-FIND("/",E4731)))-(LEFT(E4731,FIND("/",E4731)-1)),(MID(E4731, SEARCH("/",E4731) + 1, SEARCH("/",E4731, SEARCH("/",E4731)+1) - SEARCH("/",E4731) - 1))-(LEFT(E4731,FIND("/",E4731)-1))), "NA"))</f>
        <v/>
      </c>
      <c r="K4731" s="79">
        <f>IF(A4731&lt;&gt;"", IF(ISBLANK(L4731), TODAY(), K4731), "")</f>
        <v/>
      </c>
      <c r="L4731" s="78" t="n"/>
      <c r="M4731" s="78">
        <f>IF(ISBLANK(L4731),"",IF(D4731="Stock",IF(C4731="Buy",L4731*G4731,IF(C4731="Sell",(L4731*G4731)-I4731, X)),IF(C4731="Buy",(L4731*G4731*100)+I4731,IF(C4731="Sell",(L4731*G4731*100)-I4731, X))))</f>
        <v/>
      </c>
      <c r="N4731" s="78">
        <f>IF(ISBLANK(L4731),"",IF(AND(C4731="Sell",D4731="Stock"),M4731,IF(ISBLANK(L4731),"",IF(C4731="Buy",M4731, IF(AND(C4731="Sell",J4731="NA"),(E4731*G4731*100*0.1)+I4731, IF(C4731="Sell",(J4731-L4731)*(100*G4731)+I4731))))))</f>
        <v/>
      </c>
      <c r="O4731" s="75" t="n"/>
      <c r="P4731" s="75" t="n"/>
      <c r="Q4731" s="75">
        <f>IF(ISBLANK(P4731),"",IF(D4731="Stock",P4731*G4731,IF(P4731=0,"0",G4731*P4731*100-(G4731*$AF$14))))</f>
        <v/>
      </c>
      <c r="R4731" s="79">
        <f>IF(P4731&lt;&gt;"", TODAY(), "")</f>
        <v/>
      </c>
      <c r="S4731" s="78">
        <f>IF(AND(K4731&lt;&gt;"", R4731&lt;&gt;""), R4731-K4731, "")</f>
        <v/>
      </c>
      <c r="T4731" s="78" t="n"/>
      <c r="U4731" s="92">
        <f>IF(ISBLANK(P4731),"",IF(C4731="Buy",Q4731-M4731+T4731, IF(C4731="Sell",M4731-Q4731-T4731, X)))</f>
        <v/>
      </c>
      <c r="V4731" s="81">
        <f>IF(ISBLANK(P4731),"",U4731/N4731)</f>
        <v/>
      </c>
      <c r="W4731" s="81">
        <f>IF(ISBLANK(P4731),"",IF(S4731=0,(365/0.5)*V4731,(365/S4731)*V4731))</f>
        <v/>
      </c>
      <c r="X4731" s="75" t="n"/>
      <c r="Y4731" s="77" t="n"/>
      <c r="Z4731" s="77" t="n"/>
      <c r="AA4731" s="75" t="n"/>
      <c r="AB4731" s="75" t="n"/>
      <c r="AC4731" s="6" t="n"/>
      <c r="AD4731" s="75" t="n"/>
      <c r="AE4731" s="75" t="n"/>
      <c r="AF4731" s="75" t="n"/>
    </row>
    <row r="4732" ht="15.75" customHeight="1" s="133">
      <c r="A4732" s="75" t="n"/>
      <c r="B4732" s="75" t="n"/>
      <c r="C4732" s="75" t="n"/>
      <c r="D4732" s="75" t="n"/>
      <c r="E4732" s="76" t="n"/>
      <c r="F4732" s="77" t="n"/>
      <c r="G4732" s="75" t="n"/>
      <c r="H4732" s="75">
        <f>IF(ISBLANK(E4732),"",IF(OR(D4732="Butterfly",D4732="Butterfly ",D4732="Iron Fly", D4732="Iron Fly "),LEN(E4732)-LEN(SUBSTITUTE(E4732,"/",""))+2,LEN(E4732)-LEN(SUBSTITUTE(E4732,"/",""))+1))</f>
        <v/>
      </c>
      <c r="I4732" s="78">
        <f>IF(ISBLANK(G4732),"",IF(D4732="Stock","0",Key!$A$3*H4732*G4732))</f>
        <v/>
      </c>
      <c r="J4732" s="78">
        <f>IF(ISBLANK(E4732),"",IF(ISNUMBER(SEARCH("/",E4732)), IF(LEN(E4732)-LEN(SUBSTITUTE(E4732,"/",""))=1,(RIGHT(E4732,LEN(E4732)-FIND("/",E4732)))-(LEFT(E4732,FIND("/",E4732)-1)),(MID(E4732, SEARCH("/",E4732) + 1, SEARCH("/",E4732, SEARCH("/",E4732)+1) - SEARCH("/",E4732) - 1))-(LEFT(E4732,FIND("/",E4732)-1))), "NA"))</f>
        <v/>
      </c>
      <c r="K4732" s="79">
        <f>IF(A4732&lt;&gt;"", IF(ISBLANK(L4732), TODAY(), K4732), "")</f>
        <v/>
      </c>
      <c r="L4732" s="78" t="n"/>
      <c r="M4732" s="78">
        <f>IF(ISBLANK(L4732),"",IF(D4732="Stock",IF(C4732="Buy",L4732*G4732,IF(C4732="Sell",(L4732*G4732)-I4732, X)),IF(C4732="Buy",(L4732*G4732*100)+I4732,IF(C4732="Sell",(L4732*G4732*100)-I4732, X))))</f>
        <v/>
      </c>
      <c r="N4732" s="78">
        <f>IF(ISBLANK(L4732),"",IF(AND(C4732="Sell",D4732="Stock"),M4732,IF(ISBLANK(L4732),"",IF(C4732="Buy",M4732, IF(AND(C4732="Sell",J4732="NA"),(E4732*G4732*100*0.1)+I4732, IF(C4732="Sell",(J4732-L4732)*(100*G4732)+I4732))))))</f>
        <v/>
      </c>
      <c r="O4732" s="75" t="n"/>
      <c r="P4732" s="75" t="n"/>
      <c r="Q4732" s="75">
        <f>IF(ISBLANK(P4732),"",IF(D4732="Stock",P4732*G4732,IF(P4732=0,"0",G4732*P4732*100-(G4732*$AF$14))))</f>
        <v/>
      </c>
      <c r="R4732" s="79">
        <f>IF(P4732&lt;&gt;"", TODAY(), "")</f>
        <v/>
      </c>
      <c r="S4732" s="78">
        <f>IF(AND(K4732&lt;&gt;"", R4732&lt;&gt;""), R4732-K4732, "")</f>
        <v/>
      </c>
      <c r="T4732" s="78" t="n"/>
      <c r="U4732" s="92">
        <f>IF(ISBLANK(P4732),"",IF(C4732="Buy",Q4732-M4732+T4732, IF(C4732="Sell",M4732-Q4732-T4732, X)))</f>
        <v/>
      </c>
      <c r="V4732" s="81">
        <f>IF(ISBLANK(P4732),"",U4732/N4732)</f>
        <v/>
      </c>
      <c r="W4732" s="81">
        <f>IF(ISBLANK(P4732),"",IF(S4732=0,(365/0.5)*V4732,(365/S4732)*V4732))</f>
        <v/>
      </c>
      <c r="X4732" s="75" t="n"/>
      <c r="Y4732" s="77" t="n"/>
      <c r="Z4732" s="77" t="n"/>
      <c r="AA4732" s="75" t="n"/>
      <c r="AB4732" s="75" t="n"/>
      <c r="AC4732" s="6" t="n"/>
      <c r="AD4732" s="75" t="n"/>
      <c r="AE4732" s="75" t="n"/>
      <c r="AF4732" s="75" t="n"/>
    </row>
    <row r="4733" ht="15.75" customHeight="1" s="133">
      <c r="A4733" s="75" t="n"/>
      <c r="B4733" s="75" t="n"/>
      <c r="C4733" s="75" t="n"/>
      <c r="D4733" s="75" t="n"/>
      <c r="E4733" s="76" t="n"/>
      <c r="F4733" s="77" t="n"/>
      <c r="G4733" s="75" t="n"/>
      <c r="H4733" s="75">
        <f>IF(ISBLANK(E4733),"",IF(OR(D4733="Butterfly",D4733="Butterfly ",D4733="Iron Fly", D4733="Iron Fly "),LEN(E4733)-LEN(SUBSTITUTE(E4733,"/",""))+2,LEN(E4733)-LEN(SUBSTITUTE(E4733,"/",""))+1))</f>
        <v/>
      </c>
      <c r="I4733" s="78">
        <f>IF(ISBLANK(G4733),"",IF(D4733="Stock","0",Key!$A$3*H4733*G4733))</f>
        <v/>
      </c>
      <c r="J4733" s="78">
        <f>IF(ISBLANK(E4733),"",IF(ISNUMBER(SEARCH("/",E4733)), IF(LEN(E4733)-LEN(SUBSTITUTE(E4733,"/",""))=1,(RIGHT(E4733,LEN(E4733)-FIND("/",E4733)))-(LEFT(E4733,FIND("/",E4733)-1)),(MID(E4733, SEARCH("/",E4733) + 1, SEARCH("/",E4733, SEARCH("/",E4733)+1) - SEARCH("/",E4733) - 1))-(LEFT(E4733,FIND("/",E4733)-1))), "NA"))</f>
        <v/>
      </c>
      <c r="K4733" s="79">
        <f>IF(A4733&lt;&gt;"", IF(ISBLANK(L4733), TODAY(), K4733), "")</f>
        <v/>
      </c>
      <c r="L4733" s="78" t="n"/>
      <c r="M4733" s="78">
        <f>IF(ISBLANK(L4733),"",IF(D4733="Stock",IF(C4733="Buy",L4733*G4733,IF(C4733="Sell",(L4733*G4733)-I4733, X)),IF(C4733="Buy",(L4733*G4733*100)+I4733,IF(C4733="Sell",(L4733*G4733*100)-I4733, X))))</f>
        <v/>
      </c>
      <c r="N4733" s="78">
        <f>IF(ISBLANK(L4733),"",IF(AND(C4733="Sell",D4733="Stock"),M4733,IF(ISBLANK(L4733),"",IF(C4733="Buy",M4733, IF(AND(C4733="Sell",J4733="NA"),(E4733*G4733*100*0.1)+I4733, IF(C4733="Sell",(J4733-L4733)*(100*G4733)+I4733))))))</f>
        <v/>
      </c>
      <c r="O4733" s="75" t="n"/>
      <c r="P4733" s="75" t="n"/>
      <c r="Q4733" s="75">
        <f>IF(ISBLANK(P4733),"",IF(D4733="Stock",P4733*G4733,IF(P4733=0,"0",G4733*P4733*100-(G4733*$AF$14))))</f>
        <v/>
      </c>
      <c r="R4733" s="79">
        <f>IF(P4733&lt;&gt;"", TODAY(), "")</f>
        <v/>
      </c>
      <c r="S4733" s="78">
        <f>IF(AND(K4733&lt;&gt;"", R4733&lt;&gt;""), R4733-K4733, "")</f>
        <v/>
      </c>
      <c r="T4733" s="78" t="n"/>
      <c r="U4733" s="92">
        <f>IF(ISBLANK(P4733),"",IF(C4733="Buy",Q4733-M4733+T4733, IF(C4733="Sell",M4733-Q4733-T4733, X)))</f>
        <v/>
      </c>
      <c r="V4733" s="81">
        <f>IF(ISBLANK(P4733),"",U4733/N4733)</f>
        <v/>
      </c>
      <c r="W4733" s="81">
        <f>IF(ISBLANK(P4733),"",IF(S4733=0,(365/0.5)*V4733,(365/S4733)*V4733))</f>
        <v/>
      </c>
      <c r="X4733" s="75" t="n"/>
      <c r="Y4733" s="77" t="n"/>
      <c r="Z4733" s="77" t="n"/>
      <c r="AA4733" s="75" t="n"/>
      <c r="AB4733" s="75" t="n"/>
      <c r="AC4733" s="6" t="n"/>
      <c r="AD4733" s="75" t="n"/>
      <c r="AE4733" s="75" t="n"/>
      <c r="AF4733" s="75" t="n"/>
    </row>
    <row r="4734" ht="15.75" customHeight="1" s="133">
      <c r="A4734" s="75" t="n"/>
      <c r="B4734" s="75" t="n"/>
      <c r="C4734" s="75" t="n"/>
      <c r="D4734" s="75" t="n"/>
      <c r="E4734" s="76" t="n"/>
      <c r="F4734" s="77" t="n"/>
      <c r="G4734" s="75" t="n"/>
      <c r="H4734" s="75">
        <f>IF(ISBLANK(E4734),"",IF(OR(D4734="Butterfly",D4734="Butterfly ",D4734="Iron Fly", D4734="Iron Fly "),LEN(E4734)-LEN(SUBSTITUTE(E4734,"/",""))+2,LEN(E4734)-LEN(SUBSTITUTE(E4734,"/",""))+1))</f>
        <v/>
      </c>
      <c r="I4734" s="78">
        <f>IF(ISBLANK(G4734),"",IF(D4734="Stock","0",Key!$A$3*H4734*G4734))</f>
        <v/>
      </c>
      <c r="J4734" s="78">
        <f>IF(ISBLANK(E4734),"",IF(ISNUMBER(SEARCH("/",E4734)), IF(LEN(E4734)-LEN(SUBSTITUTE(E4734,"/",""))=1,(RIGHT(E4734,LEN(E4734)-FIND("/",E4734)))-(LEFT(E4734,FIND("/",E4734)-1)),(MID(E4734, SEARCH("/",E4734) + 1, SEARCH("/",E4734, SEARCH("/",E4734)+1) - SEARCH("/",E4734) - 1))-(LEFT(E4734,FIND("/",E4734)-1))), "NA"))</f>
        <v/>
      </c>
      <c r="K4734" s="79">
        <f>IF(A4734&lt;&gt;"", IF(ISBLANK(L4734), TODAY(), K4734), "")</f>
        <v/>
      </c>
      <c r="L4734" s="78" t="n"/>
      <c r="M4734" s="78">
        <f>IF(ISBLANK(L4734),"",IF(D4734="Stock",IF(C4734="Buy",L4734*G4734,IF(C4734="Sell",(L4734*G4734)-I4734, X)),IF(C4734="Buy",(L4734*G4734*100)+I4734,IF(C4734="Sell",(L4734*G4734*100)-I4734, X))))</f>
        <v/>
      </c>
      <c r="N4734" s="78">
        <f>IF(ISBLANK(L4734),"",IF(AND(C4734="Sell",D4734="Stock"),M4734,IF(ISBLANK(L4734),"",IF(C4734="Buy",M4734, IF(AND(C4734="Sell",J4734="NA"),(E4734*G4734*100*0.1)+I4734, IF(C4734="Sell",(J4734-L4734)*(100*G4734)+I4734))))))</f>
        <v/>
      </c>
      <c r="O4734" s="75" t="n"/>
      <c r="P4734" s="75" t="n"/>
      <c r="Q4734" s="75">
        <f>IF(ISBLANK(P4734),"",IF(D4734="Stock",P4734*G4734,IF(P4734=0,"0",G4734*P4734*100-(G4734*$AF$14))))</f>
        <v/>
      </c>
      <c r="R4734" s="79">
        <f>IF(P4734&lt;&gt;"", TODAY(), "")</f>
        <v/>
      </c>
      <c r="S4734" s="78">
        <f>IF(AND(K4734&lt;&gt;"", R4734&lt;&gt;""), R4734-K4734, "")</f>
        <v/>
      </c>
      <c r="T4734" s="78" t="n"/>
      <c r="U4734" s="92">
        <f>IF(ISBLANK(P4734),"",IF(C4734="Buy",Q4734-M4734+T4734, IF(C4734="Sell",M4734-Q4734-T4734, X)))</f>
        <v/>
      </c>
      <c r="V4734" s="81">
        <f>IF(ISBLANK(P4734),"",U4734/N4734)</f>
        <v/>
      </c>
      <c r="W4734" s="81">
        <f>IF(ISBLANK(P4734),"",IF(S4734=0,(365/0.5)*V4734,(365/S4734)*V4734))</f>
        <v/>
      </c>
      <c r="X4734" s="75" t="n"/>
      <c r="Y4734" s="77" t="n"/>
      <c r="Z4734" s="77" t="n"/>
      <c r="AA4734" s="75" t="n"/>
      <c r="AB4734" s="75" t="n"/>
      <c r="AC4734" s="6" t="n"/>
      <c r="AD4734" s="75" t="n"/>
      <c r="AE4734" s="75" t="n"/>
      <c r="AF4734" s="75" t="n"/>
    </row>
    <row r="4735" ht="15.75" customHeight="1" s="133">
      <c r="A4735" s="75" t="n"/>
      <c r="B4735" s="75" t="n"/>
      <c r="C4735" s="75" t="n"/>
      <c r="D4735" s="75" t="n"/>
      <c r="E4735" s="76" t="n"/>
      <c r="F4735" s="77" t="n"/>
      <c r="G4735" s="75" t="n"/>
      <c r="H4735" s="75">
        <f>IF(ISBLANK(E4735),"",IF(OR(D4735="Butterfly",D4735="Butterfly ",D4735="Iron Fly", D4735="Iron Fly "),LEN(E4735)-LEN(SUBSTITUTE(E4735,"/",""))+2,LEN(E4735)-LEN(SUBSTITUTE(E4735,"/",""))+1))</f>
        <v/>
      </c>
      <c r="I4735" s="78">
        <f>IF(ISBLANK(G4735),"",IF(D4735="Stock","0",Key!$A$3*H4735*G4735))</f>
        <v/>
      </c>
      <c r="J4735" s="78">
        <f>IF(ISBLANK(E4735),"",IF(ISNUMBER(SEARCH("/",E4735)), IF(LEN(E4735)-LEN(SUBSTITUTE(E4735,"/",""))=1,(RIGHT(E4735,LEN(E4735)-FIND("/",E4735)))-(LEFT(E4735,FIND("/",E4735)-1)),(MID(E4735, SEARCH("/",E4735) + 1, SEARCH("/",E4735, SEARCH("/",E4735)+1) - SEARCH("/",E4735) - 1))-(LEFT(E4735,FIND("/",E4735)-1))), "NA"))</f>
        <v/>
      </c>
      <c r="K4735" s="79">
        <f>IF(A4735&lt;&gt;"", IF(ISBLANK(L4735), TODAY(), K4735), "")</f>
        <v/>
      </c>
      <c r="L4735" s="78" t="n"/>
      <c r="M4735" s="78">
        <f>IF(ISBLANK(L4735),"",IF(D4735="Stock",IF(C4735="Buy",L4735*G4735,IF(C4735="Sell",(L4735*G4735)-I4735, X)),IF(C4735="Buy",(L4735*G4735*100)+I4735,IF(C4735="Sell",(L4735*G4735*100)-I4735, X))))</f>
        <v/>
      </c>
      <c r="N4735" s="78">
        <f>IF(ISBLANK(L4735),"",IF(AND(C4735="Sell",D4735="Stock"),M4735,IF(ISBLANK(L4735),"",IF(C4735="Buy",M4735, IF(AND(C4735="Sell",J4735="NA"),(E4735*G4735*100*0.1)+I4735, IF(C4735="Sell",(J4735-L4735)*(100*G4735)+I4735))))))</f>
        <v/>
      </c>
      <c r="O4735" s="75" t="n"/>
      <c r="P4735" s="75" t="n"/>
      <c r="Q4735" s="75">
        <f>IF(ISBLANK(P4735),"",IF(D4735="Stock",P4735*G4735,IF(P4735=0,"0",G4735*P4735*100-(G4735*$AF$14))))</f>
        <v/>
      </c>
      <c r="R4735" s="79">
        <f>IF(P4735&lt;&gt;"", TODAY(), "")</f>
        <v/>
      </c>
      <c r="S4735" s="78">
        <f>IF(AND(K4735&lt;&gt;"", R4735&lt;&gt;""), R4735-K4735, "")</f>
        <v/>
      </c>
      <c r="T4735" s="78" t="n"/>
      <c r="U4735" s="92">
        <f>IF(ISBLANK(P4735),"",IF(C4735="Buy",Q4735-M4735+T4735, IF(C4735="Sell",M4735-Q4735-T4735, X)))</f>
        <v/>
      </c>
      <c r="V4735" s="81">
        <f>IF(ISBLANK(P4735),"",U4735/N4735)</f>
        <v/>
      </c>
      <c r="W4735" s="81">
        <f>IF(ISBLANK(P4735),"",IF(S4735=0,(365/0.5)*V4735,(365/S4735)*V4735))</f>
        <v/>
      </c>
      <c r="X4735" s="75" t="n"/>
      <c r="Y4735" s="77" t="n"/>
      <c r="Z4735" s="77" t="n"/>
      <c r="AA4735" s="75" t="n"/>
      <c r="AB4735" s="75" t="n"/>
      <c r="AC4735" s="6" t="n"/>
      <c r="AD4735" s="75" t="n"/>
      <c r="AE4735" s="75" t="n"/>
      <c r="AF4735" s="75" t="n"/>
    </row>
    <row r="4736" ht="15.75" customHeight="1" s="133">
      <c r="A4736" s="75" t="n"/>
      <c r="B4736" s="75" t="n"/>
      <c r="C4736" s="75" t="n"/>
      <c r="D4736" s="75" t="n"/>
      <c r="E4736" s="76" t="n"/>
      <c r="F4736" s="77" t="n"/>
      <c r="G4736" s="75" t="n"/>
      <c r="H4736" s="75">
        <f>IF(ISBLANK(E4736),"",IF(OR(D4736="Butterfly",D4736="Butterfly ",D4736="Iron Fly", D4736="Iron Fly "),LEN(E4736)-LEN(SUBSTITUTE(E4736,"/",""))+2,LEN(E4736)-LEN(SUBSTITUTE(E4736,"/",""))+1))</f>
        <v/>
      </c>
      <c r="I4736" s="78">
        <f>IF(ISBLANK(G4736),"",IF(D4736="Stock","0",Key!$A$3*H4736*G4736))</f>
        <v/>
      </c>
      <c r="J4736" s="78">
        <f>IF(ISBLANK(E4736),"",IF(ISNUMBER(SEARCH("/",E4736)), IF(LEN(E4736)-LEN(SUBSTITUTE(E4736,"/",""))=1,(RIGHT(E4736,LEN(E4736)-FIND("/",E4736)))-(LEFT(E4736,FIND("/",E4736)-1)),(MID(E4736, SEARCH("/",E4736) + 1, SEARCH("/",E4736, SEARCH("/",E4736)+1) - SEARCH("/",E4736) - 1))-(LEFT(E4736,FIND("/",E4736)-1))), "NA"))</f>
        <v/>
      </c>
      <c r="K4736" s="79">
        <f>IF(A4736&lt;&gt;"", IF(ISBLANK(L4736), TODAY(), K4736), "")</f>
        <v/>
      </c>
      <c r="L4736" s="78" t="n"/>
      <c r="M4736" s="78">
        <f>IF(ISBLANK(L4736),"",IF(D4736="Stock",IF(C4736="Buy",L4736*G4736,IF(C4736="Sell",(L4736*G4736)-I4736, X)),IF(C4736="Buy",(L4736*G4736*100)+I4736,IF(C4736="Sell",(L4736*G4736*100)-I4736, X))))</f>
        <v/>
      </c>
      <c r="N4736" s="78">
        <f>IF(ISBLANK(L4736),"",IF(AND(C4736="Sell",D4736="Stock"),M4736,IF(ISBLANK(L4736),"",IF(C4736="Buy",M4736, IF(AND(C4736="Sell",J4736="NA"),(E4736*G4736*100*0.1)+I4736, IF(C4736="Sell",(J4736-L4736)*(100*G4736)+I4736))))))</f>
        <v/>
      </c>
      <c r="O4736" s="75" t="n"/>
      <c r="P4736" s="75" t="n"/>
      <c r="Q4736" s="75">
        <f>IF(ISBLANK(P4736),"",IF(D4736="Stock",P4736*G4736,IF(P4736=0,"0",G4736*P4736*100-(G4736*$AF$14))))</f>
        <v/>
      </c>
      <c r="R4736" s="79">
        <f>IF(P4736&lt;&gt;"", TODAY(), "")</f>
        <v/>
      </c>
      <c r="S4736" s="78">
        <f>IF(AND(K4736&lt;&gt;"", R4736&lt;&gt;""), R4736-K4736, "")</f>
        <v/>
      </c>
      <c r="T4736" s="78" t="n"/>
      <c r="U4736" s="92">
        <f>IF(ISBLANK(P4736),"",IF(C4736="Buy",Q4736-M4736+T4736, IF(C4736="Sell",M4736-Q4736-T4736, X)))</f>
        <v/>
      </c>
      <c r="V4736" s="81">
        <f>IF(ISBLANK(P4736),"",U4736/N4736)</f>
        <v/>
      </c>
      <c r="W4736" s="81">
        <f>IF(ISBLANK(P4736),"",IF(S4736=0,(365/0.5)*V4736,(365/S4736)*V4736))</f>
        <v/>
      </c>
      <c r="X4736" s="75" t="n"/>
      <c r="Y4736" s="77" t="n"/>
      <c r="Z4736" s="77" t="n"/>
      <c r="AA4736" s="75" t="n"/>
      <c r="AB4736" s="75" t="n"/>
      <c r="AC4736" s="6" t="n"/>
      <c r="AD4736" s="75" t="n"/>
      <c r="AE4736" s="75" t="n"/>
      <c r="AF4736" s="75" t="n"/>
    </row>
    <row r="4737" ht="15.75" customHeight="1" s="133">
      <c r="A4737" s="75" t="n"/>
      <c r="B4737" s="75" t="n"/>
      <c r="C4737" s="75" t="n"/>
      <c r="D4737" s="75" t="n"/>
      <c r="E4737" s="76" t="n"/>
      <c r="F4737" s="77" t="n"/>
      <c r="G4737" s="75" t="n"/>
      <c r="H4737" s="75">
        <f>IF(ISBLANK(E4737),"",IF(OR(D4737="Butterfly",D4737="Butterfly ",D4737="Iron Fly", D4737="Iron Fly "),LEN(E4737)-LEN(SUBSTITUTE(E4737,"/",""))+2,LEN(E4737)-LEN(SUBSTITUTE(E4737,"/",""))+1))</f>
        <v/>
      </c>
      <c r="I4737" s="78">
        <f>IF(ISBLANK(G4737),"",IF(D4737="Stock","0",Key!$A$3*H4737*G4737))</f>
        <v/>
      </c>
      <c r="J4737" s="78">
        <f>IF(ISBLANK(E4737),"",IF(ISNUMBER(SEARCH("/",E4737)), IF(LEN(E4737)-LEN(SUBSTITUTE(E4737,"/",""))=1,(RIGHT(E4737,LEN(E4737)-FIND("/",E4737)))-(LEFT(E4737,FIND("/",E4737)-1)),(MID(E4737, SEARCH("/",E4737) + 1, SEARCH("/",E4737, SEARCH("/",E4737)+1) - SEARCH("/",E4737) - 1))-(LEFT(E4737,FIND("/",E4737)-1))), "NA"))</f>
        <v/>
      </c>
      <c r="K4737" s="79">
        <f>IF(A4737&lt;&gt;"", IF(ISBLANK(L4737), TODAY(), K4737), "")</f>
        <v/>
      </c>
      <c r="L4737" s="78" t="n"/>
      <c r="M4737" s="78">
        <f>IF(ISBLANK(L4737),"",IF(D4737="Stock",IF(C4737="Buy",L4737*G4737,IF(C4737="Sell",(L4737*G4737)-I4737, X)),IF(C4737="Buy",(L4737*G4737*100)+I4737,IF(C4737="Sell",(L4737*G4737*100)-I4737, X))))</f>
        <v/>
      </c>
      <c r="N4737" s="78">
        <f>IF(ISBLANK(L4737),"",IF(AND(C4737="Sell",D4737="Stock"),M4737,IF(ISBLANK(L4737),"",IF(C4737="Buy",M4737, IF(AND(C4737="Sell",J4737="NA"),(E4737*G4737*100*0.1)+I4737, IF(C4737="Sell",(J4737-L4737)*(100*G4737)+I4737))))))</f>
        <v/>
      </c>
      <c r="O4737" s="75" t="n"/>
      <c r="P4737" s="75" t="n"/>
      <c r="Q4737" s="75">
        <f>IF(ISBLANK(P4737),"",IF(D4737="Stock",P4737*G4737,IF(P4737=0,"0",G4737*P4737*100-(G4737*$AF$14))))</f>
        <v/>
      </c>
      <c r="R4737" s="79">
        <f>IF(P4737&lt;&gt;"", TODAY(), "")</f>
        <v/>
      </c>
      <c r="S4737" s="78">
        <f>IF(AND(K4737&lt;&gt;"", R4737&lt;&gt;""), R4737-K4737, "")</f>
        <v/>
      </c>
      <c r="T4737" s="78" t="n"/>
      <c r="U4737" s="92">
        <f>IF(ISBLANK(P4737),"",IF(C4737="Buy",Q4737-M4737+T4737, IF(C4737="Sell",M4737-Q4737-T4737, X)))</f>
        <v/>
      </c>
      <c r="V4737" s="81">
        <f>IF(ISBLANK(P4737),"",U4737/N4737)</f>
        <v/>
      </c>
      <c r="W4737" s="81">
        <f>IF(ISBLANK(P4737),"",IF(S4737=0,(365/0.5)*V4737,(365/S4737)*V4737))</f>
        <v/>
      </c>
      <c r="X4737" s="75" t="n"/>
      <c r="Y4737" s="77" t="n"/>
      <c r="Z4737" s="77" t="n"/>
      <c r="AA4737" s="75" t="n"/>
      <c r="AB4737" s="75" t="n"/>
      <c r="AC4737" s="6" t="n"/>
      <c r="AD4737" s="75" t="n"/>
      <c r="AE4737" s="75" t="n"/>
      <c r="AF4737" s="75" t="n"/>
    </row>
    <row r="4738" ht="15.75" customHeight="1" s="133">
      <c r="A4738" s="75" t="n"/>
      <c r="B4738" s="75" t="n"/>
      <c r="C4738" s="75" t="n"/>
      <c r="D4738" s="75" t="n"/>
      <c r="E4738" s="76" t="n"/>
      <c r="F4738" s="77" t="n"/>
      <c r="G4738" s="75" t="n"/>
      <c r="H4738" s="75">
        <f>IF(ISBLANK(E4738),"",IF(OR(D4738="Butterfly",D4738="Butterfly ",D4738="Iron Fly", D4738="Iron Fly "),LEN(E4738)-LEN(SUBSTITUTE(E4738,"/",""))+2,LEN(E4738)-LEN(SUBSTITUTE(E4738,"/",""))+1))</f>
        <v/>
      </c>
      <c r="I4738" s="78">
        <f>IF(ISBLANK(G4738),"",IF(D4738="Stock","0",Key!$A$3*H4738*G4738))</f>
        <v/>
      </c>
      <c r="J4738" s="78">
        <f>IF(ISBLANK(E4738),"",IF(ISNUMBER(SEARCH("/",E4738)), IF(LEN(E4738)-LEN(SUBSTITUTE(E4738,"/",""))=1,(RIGHT(E4738,LEN(E4738)-FIND("/",E4738)))-(LEFT(E4738,FIND("/",E4738)-1)),(MID(E4738, SEARCH("/",E4738) + 1, SEARCH("/",E4738, SEARCH("/",E4738)+1) - SEARCH("/",E4738) - 1))-(LEFT(E4738,FIND("/",E4738)-1))), "NA"))</f>
        <v/>
      </c>
      <c r="K4738" s="79">
        <f>IF(A4738&lt;&gt;"", IF(ISBLANK(L4738), TODAY(), K4738), "")</f>
        <v/>
      </c>
      <c r="L4738" s="78" t="n"/>
      <c r="M4738" s="78">
        <f>IF(ISBLANK(L4738),"",IF(D4738="Stock",IF(C4738="Buy",L4738*G4738,IF(C4738="Sell",(L4738*G4738)-I4738, X)),IF(C4738="Buy",(L4738*G4738*100)+I4738,IF(C4738="Sell",(L4738*G4738*100)-I4738, X))))</f>
        <v/>
      </c>
      <c r="N4738" s="78">
        <f>IF(ISBLANK(L4738),"",IF(AND(C4738="Sell",D4738="Stock"),M4738,IF(ISBLANK(L4738),"",IF(C4738="Buy",M4738, IF(AND(C4738="Sell",J4738="NA"),(E4738*G4738*100*0.1)+I4738, IF(C4738="Sell",(J4738-L4738)*(100*G4738)+I4738))))))</f>
        <v/>
      </c>
      <c r="O4738" s="75" t="n"/>
      <c r="P4738" s="75" t="n"/>
      <c r="Q4738" s="75">
        <f>IF(ISBLANK(P4738),"",IF(D4738="Stock",P4738*G4738,IF(P4738=0,"0",G4738*P4738*100-(G4738*$AF$14))))</f>
        <v/>
      </c>
      <c r="R4738" s="79">
        <f>IF(P4738&lt;&gt;"", TODAY(), "")</f>
        <v/>
      </c>
      <c r="S4738" s="78">
        <f>IF(AND(K4738&lt;&gt;"", R4738&lt;&gt;""), R4738-K4738, "")</f>
        <v/>
      </c>
      <c r="T4738" s="78" t="n"/>
      <c r="U4738" s="92">
        <f>IF(ISBLANK(P4738),"",IF(C4738="Buy",Q4738-M4738+T4738, IF(C4738="Sell",M4738-Q4738-T4738, X)))</f>
        <v/>
      </c>
      <c r="V4738" s="81">
        <f>IF(ISBLANK(P4738),"",U4738/N4738)</f>
        <v/>
      </c>
      <c r="W4738" s="81">
        <f>IF(ISBLANK(P4738),"",IF(S4738=0,(365/0.5)*V4738,(365/S4738)*V4738))</f>
        <v/>
      </c>
      <c r="X4738" s="75" t="n"/>
      <c r="Y4738" s="77" t="n"/>
      <c r="Z4738" s="77" t="n"/>
      <c r="AA4738" s="75" t="n"/>
      <c r="AB4738" s="75" t="n"/>
      <c r="AC4738" s="6" t="n"/>
      <c r="AD4738" s="75" t="n"/>
      <c r="AE4738" s="75" t="n"/>
      <c r="AF4738" s="75" t="n"/>
    </row>
    <row r="4739" ht="15.75" customHeight="1" s="133">
      <c r="A4739" s="75" t="n"/>
      <c r="B4739" s="75" t="n"/>
      <c r="C4739" s="75" t="n"/>
      <c r="D4739" s="75" t="n"/>
      <c r="E4739" s="76" t="n"/>
      <c r="F4739" s="77" t="n"/>
      <c r="G4739" s="75" t="n"/>
      <c r="H4739" s="75">
        <f>IF(ISBLANK(E4739),"",IF(OR(D4739="Butterfly",D4739="Butterfly ",D4739="Iron Fly", D4739="Iron Fly "),LEN(E4739)-LEN(SUBSTITUTE(E4739,"/",""))+2,LEN(E4739)-LEN(SUBSTITUTE(E4739,"/",""))+1))</f>
        <v/>
      </c>
      <c r="I4739" s="78">
        <f>IF(ISBLANK(G4739),"",IF(D4739="Stock","0",Key!$A$3*H4739*G4739))</f>
        <v/>
      </c>
      <c r="J4739" s="78">
        <f>IF(ISBLANK(E4739),"",IF(ISNUMBER(SEARCH("/",E4739)), IF(LEN(E4739)-LEN(SUBSTITUTE(E4739,"/",""))=1,(RIGHT(E4739,LEN(E4739)-FIND("/",E4739)))-(LEFT(E4739,FIND("/",E4739)-1)),(MID(E4739, SEARCH("/",E4739) + 1, SEARCH("/",E4739, SEARCH("/",E4739)+1) - SEARCH("/",E4739) - 1))-(LEFT(E4739,FIND("/",E4739)-1))), "NA"))</f>
        <v/>
      </c>
      <c r="K4739" s="79">
        <f>IF(A4739&lt;&gt;"", IF(ISBLANK(L4739), TODAY(), K4739), "")</f>
        <v/>
      </c>
      <c r="L4739" s="78" t="n"/>
      <c r="M4739" s="78">
        <f>IF(ISBLANK(L4739),"",IF(D4739="Stock",IF(C4739="Buy",L4739*G4739,IF(C4739="Sell",(L4739*G4739)-I4739, X)),IF(C4739="Buy",(L4739*G4739*100)+I4739,IF(C4739="Sell",(L4739*G4739*100)-I4739, X))))</f>
        <v/>
      </c>
      <c r="N4739" s="78">
        <f>IF(ISBLANK(L4739),"",IF(AND(C4739="Sell",D4739="Stock"),M4739,IF(ISBLANK(L4739),"",IF(C4739="Buy",M4739, IF(AND(C4739="Sell",J4739="NA"),(E4739*G4739*100*0.1)+I4739, IF(C4739="Sell",(J4739-L4739)*(100*G4739)+I4739))))))</f>
        <v/>
      </c>
      <c r="O4739" s="75" t="n"/>
      <c r="P4739" s="75" t="n"/>
      <c r="Q4739" s="75">
        <f>IF(ISBLANK(P4739),"",IF(D4739="Stock",P4739*G4739,IF(P4739=0,"0",G4739*P4739*100-(G4739*$AF$14))))</f>
        <v/>
      </c>
      <c r="R4739" s="79">
        <f>IF(P4739&lt;&gt;"", TODAY(), "")</f>
        <v/>
      </c>
      <c r="S4739" s="78">
        <f>IF(AND(K4739&lt;&gt;"", R4739&lt;&gt;""), R4739-K4739, "")</f>
        <v/>
      </c>
      <c r="T4739" s="78" t="n"/>
      <c r="U4739" s="92">
        <f>IF(ISBLANK(P4739),"",IF(C4739="Buy",Q4739-M4739+T4739, IF(C4739="Sell",M4739-Q4739-T4739, X)))</f>
        <v/>
      </c>
      <c r="V4739" s="81">
        <f>IF(ISBLANK(P4739),"",U4739/N4739)</f>
        <v/>
      </c>
      <c r="W4739" s="81">
        <f>IF(ISBLANK(P4739),"",IF(S4739=0,(365/0.5)*V4739,(365/S4739)*V4739))</f>
        <v/>
      </c>
      <c r="X4739" s="75" t="n"/>
      <c r="Y4739" s="77" t="n"/>
      <c r="Z4739" s="77" t="n"/>
      <c r="AA4739" s="75" t="n"/>
      <c r="AB4739" s="75" t="n"/>
      <c r="AC4739" s="6" t="n"/>
      <c r="AD4739" s="75" t="n"/>
      <c r="AE4739" s="75" t="n"/>
      <c r="AF4739" s="75" t="n"/>
    </row>
    <row r="4740" ht="15.75" customHeight="1" s="133">
      <c r="A4740" s="75" t="n"/>
      <c r="B4740" s="75" t="n"/>
      <c r="C4740" s="75" t="n"/>
      <c r="D4740" s="75" t="n"/>
      <c r="E4740" s="76" t="n"/>
      <c r="F4740" s="77" t="n"/>
      <c r="G4740" s="75" t="n"/>
      <c r="H4740" s="75">
        <f>IF(ISBLANK(E4740),"",IF(OR(D4740="Butterfly",D4740="Butterfly ",D4740="Iron Fly", D4740="Iron Fly "),LEN(E4740)-LEN(SUBSTITUTE(E4740,"/",""))+2,LEN(E4740)-LEN(SUBSTITUTE(E4740,"/",""))+1))</f>
        <v/>
      </c>
      <c r="I4740" s="78">
        <f>IF(ISBLANK(G4740),"",IF(D4740="Stock","0",Key!$A$3*H4740*G4740))</f>
        <v/>
      </c>
      <c r="J4740" s="78">
        <f>IF(ISBLANK(E4740),"",IF(ISNUMBER(SEARCH("/",E4740)), IF(LEN(E4740)-LEN(SUBSTITUTE(E4740,"/",""))=1,(RIGHT(E4740,LEN(E4740)-FIND("/",E4740)))-(LEFT(E4740,FIND("/",E4740)-1)),(MID(E4740, SEARCH("/",E4740) + 1, SEARCH("/",E4740, SEARCH("/",E4740)+1) - SEARCH("/",E4740) - 1))-(LEFT(E4740,FIND("/",E4740)-1))), "NA"))</f>
        <v/>
      </c>
      <c r="K4740" s="79">
        <f>IF(A4740&lt;&gt;"", IF(ISBLANK(L4740), TODAY(), K4740), "")</f>
        <v/>
      </c>
      <c r="L4740" s="78" t="n"/>
      <c r="M4740" s="78">
        <f>IF(ISBLANK(L4740),"",IF(D4740="Stock",IF(C4740="Buy",L4740*G4740,IF(C4740="Sell",(L4740*G4740)-I4740, X)),IF(C4740="Buy",(L4740*G4740*100)+I4740,IF(C4740="Sell",(L4740*G4740*100)-I4740, X))))</f>
        <v/>
      </c>
      <c r="N4740" s="78">
        <f>IF(ISBLANK(L4740),"",IF(AND(C4740="Sell",D4740="Stock"),M4740,IF(ISBLANK(L4740),"",IF(C4740="Buy",M4740, IF(AND(C4740="Sell",J4740="NA"),(E4740*G4740*100*0.1)+I4740, IF(C4740="Sell",(J4740-L4740)*(100*G4740)+I4740))))))</f>
        <v/>
      </c>
      <c r="O4740" s="75" t="n"/>
      <c r="P4740" s="75" t="n"/>
      <c r="Q4740" s="75">
        <f>IF(ISBLANK(P4740),"",IF(D4740="Stock",P4740*G4740,IF(P4740=0,"0",G4740*P4740*100-(G4740*$AF$14))))</f>
        <v/>
      </c>
      <c r="R4740" s="79">
        <f>IF(P4740&lt;&gt;"", TODAY(), "")</f>
        <v/>
      </c>
      <c r="S4740" s="78">
        <f>IF(AND(K4740&lt;&gt;"", R4740&lt;&gt;""), R4740-K4740, "")</f>
        <v/>
      </c>
      <c r="T4740" s="78" t="n"/>
      <c r="U4740" s="92">
        <f>IF(ISBLANK(P4740),"",IF(C4740="Buy",Q4740-M4740+T4740, IF(C4740="Sell",M4740-Q4740-T4740, X)))</f>
        <v/>
      </c>
      <c r="V4740" s="81">
        <f>IF(ISBLANK(P4740),"",U4740/N4740)</f>
        <v/>
      </c>
      <c r="W4740" s="81">
        <f>IF(ISBLANK(P4740),"",IF(S4740=0,(365/0.5)*V4740,(365/S4740)*V4740))</f>
        <v/>
      </c>
      <c r="X4740" s="75" t="n"/>
      <c r="Y4740" s="77" t="n"/>
      <c r="Z4740" s="77" t="n"/>
      <c r="AA4740" s="75" t="n"/>
      <c r="AB4740" s="75" t="n"/>
      <c r="AC4740" s="6" t="n"/>
      <c r="AD4740" s="75" t="n"/>
      <c r="AE4740" s="75" t="n"/>
      <c r="AF4740" s="75" t="n"/>
    </row>
    <row r="4741" ht="15.75" customHeight="1" s="133">
      <c r="A4741" s="75" t="n"/>
      <c r="B4741" s="75" t="n"/>
      <c r="C4741" s="75" t="n"/>
      <c r="D4741" s="75" t="n"/>
      <c r="E4741" s="76" t="n"/>
      <c r="F4741" s="77" t="n"/>
      <c r="G4741" s="75" t="n"/>
      <c r="H4741" s="75">
        <f>IF(ISBLANK(E4741),"",IF(OR(D4741="Butterfly",D4741="Butterfly ",D4741="Iron Fly", D4741="Iron Fly "),LEN(E4741)-LEN(SUBSTITUTE(E4741,"/",""))+2,LEN(E4741)-LEN(SUBSTITUTE(E4741,"/",""))+1))</f>
        <v/>
      </c>
      <c r="I4741" s="78">
        <f>IF(ISBLANK(G4741),"",IF(D4741="Stock","0",Key!$A$3*H4741*G4741))</f>
        <v/>
      </c>
      <c r="J4741" s="78">
        <f>IF(ISBLANK(E4741),"",IF(ISNUMBER(SEARCH("/",E4741)), IF(LEN(E4741)-LEN(SUBSTITUTE(E4741,"/",""))=1,(RIGHT(E4741,LEN(E4741)-FIND("/",E4741)))-(LEFT(E4741,FIND("/",E4741)-1)),(MID(E4741, SEARCH("/",E4741) + 1, SEARCH("/",E4741, SEARCH("/",E4741)+1) - SEARCH("/",E4741) - 1))-(LEFT(E4741,FIND("/",E4741)-1))), "NA"))</f>
        <v/>
      </c>
      <c r="K4741" s="79">
        <f>IF(A4741&lt;&gt;"", IF(ISBLANK(L4741), TODAY(), K4741), "")</f>
        <v/>
      </c>
      <c r="L4741" s="78" t="n"/>
      <c r="M4741" s="78">
        <f>IF(ISBLANK(L4741),"",IF(D4741="Stock",IF(C4741="Buy",L4741*G4741,IF(C4741="Sell",(L4741*G4741)-I4741, X)),IF(C4741="Buy",(L4741*G4741*100)+I4741,IF(C4741="Sell",(L4741*G4741*100)-I4741, X))))</f>
        <v/>
      </c>
      <c r="N4741" s="78">
        <f>IF(ISBLANK(L4741),"",IF(AND(C4741="Sell",D4741="Stock"),M4741,IF(ISBLANK(L4741),"",IF(C4741="Buy",M4741, IF(AND(C4741="Sell",J4741="NA"),(E4741*G4741*100*0.1)+I4741, IF(C4741="Sell",(J4741-L4741)*(100*G4741)+I4741))))))</f>
        <v/>
      </c>
      <c r="O4741" s="75" t="n"/>
      <c r="P4741" s="75" t="n"/>
      <c r="Q4741" s="75">
        <f>IF(ISBLANK(P4741),"",IF(D4741="Stock",P4741*G4741,IF(P4741=0,"0",G4741*P4741*100-(G4741*$AF$14))))</f>
        <v/>
      </c>
      <c r="R4741" s="79">
        <f>IF(P4741&lt;&gt;"", TODAY(), "")</f>
        <v/>
      </c>
      <c r="S4741" s="78">
        <f>IF(AND(K4741&lt;&gt;"", R4741&lt;&gt;""), R4741-K4741, "")</f>
        <v/>
      </c>
      <c r="T4741" s="78" t="n"/>
      <c r="U4741" s="92">
        <f>IF(ISBLANK(P4741),"",IF(C4741="Buy",Q4741-M4741+T4741, IF(C4741="Sell",M4741-Q4741-T4741, X)))</f>
        <v/>
      </c>
      <c r="V4741" s="81">
        <f>IF(ISBLANK(P4741),"",U4741/N4741)</f>
        <v/>
      </c>
      <c r="W4741" s="81">
        <f>IF(ISBLANK(P4741),"",IF(S4741=0,(365/0.5)*V4741,(365/S4741)*V4741))</f>
        <v/>
      </c>
      <c r="X4741" s="75" t="n"/>
      <c r="Y4741" s="77" t="n"/>
      <c r="Z4741" s="77" t="n"/>
      <c r="AA4741" s="75" t="n"/>
      <c r="AB4741" s="75" t="n"/>
      <c r="AC4741" s="6" t="n"/>
      <c r="AD4741" s="75" t="n"/>
      <c r="AE4741" s="75" t="n"/>
      <c r="AF4741" s="75" t="n"/>
    </row>
    <row r="4742" ht="15.75" customHeight="1" s="133">
      <c r="A4742" s="75" t="n"/>
      <c r="B4742" s="75" t="n"/>
      <c r="C4742" s="75" t="n"/>
      <c r="D4742" s="75" t="n"/>
      <c r="E4742" s="76" t="n"/>
      <c r="F4742" s="77" t="n"/>
      <c r="G4742" s="75" t="n"/>
      <c r="H4742" s="75">
        <f>IF(ISBLANK(E4742),"",IF(OR(D4742="Butterfly",D4742="Butterfly ",D4742="Iron Fly", D4742="Iron Fly "),LEN(E4742)-LEN(SUBSTITUTE(E4742,"/",""))+2,LEN(E4742)-LEN(SUBSTITUTE(E4742,"/",""))+1))</f>
        <v/>
      </c>
      <c r="I4742" s="78">
        <f>IF(ISBLANK(G4742),"",IF(D4742="Stock","0",Key!$A$3*H4742*G4742))</f>
        <v/>
      </c>
      <c r="J4742" s="78">
        <f>IF(ISBLANK(E4742),"",IF(ISNUMBER(SEARCH("/",E4742)), IF(LEN(E4742)-LEN(SUBSTITUTE(E4742,"/",""))=1,(RIGHT(E4742,LEN(E4742)-FIND("/",E4742)))-(LEFT(E4742,FIND("/",E4742)-1)),(MID(E4742, SEARCH("/",E4742) + 1, SEARCH("/",E4742, SEARCH("/",E4742)+1) - SEARCH("/",E4742) - 1))-(LEFT(E4742,FIND("/",E4742)-1))), "NA"))</f>
        <v/>
      </c>
      <c r="K4742" s="79">
        <f>IF(A4742&lt;&gt;"", IF(ISBLANK(L4742), TODAY(), K4742), "")</f>
        <v/>
      </c>
      <c r="L4742" s="78" t="n"/>
      <c r="M4742" s="78">
        <f>IF(ISBLANK(L4742),"",IF(D4742="Stock",IF(C4742="Buy",L4742*G4742,IF(C4742="Sell",(L4742*G4742)-I4742, X)),IF(C4742="Buy",(L4742*G4742*100)+I4742,IF(C4742="Sell",(L4742*G4742*100)-I4742, X))))</f>
        <v/>
      </c>
      <c r="N4742" s="78">
        <f>IF(ISBLANK(L4742),"",IF(AND(C4742="Sell",D4742="Stock"),M4742,IF(ISBLANK(L4742),"",IF(C4742="Buy",M4742, IF(AND(C4742="Sell",J4742="NA"),(E4742*G4742*100*0.1)+I4742, IF(C4742="Sell",(J4742-L4742)*(100*G4742)+I4742))))))</f>
        <v/>
      </c>
      <c r="O4742" s="75" t="n"/>
      <c r="P4742" s="75" t="n"/>
      <c r="Q4742" s="75">
        <f>IF(ISBLANK(P4742),"",IF(D4742="Stock",P4742*G4742,IF(P4742=0,"0",G4742*P4742*100-(G4742*$AF$14))))</f>
        <v/>
      </c>
      <c r="R4742" s="79">
        <f>IF(P4742&lt;&gt;"", TODAY(), "")</f>
        <v/>
      </c>
      <c r="S4742" s="78">
        <f>IF(AND(K4742&lt;&gt;"", R4742&lt;&gt;""), R4742-K4742, "")</f>
        <v/>
      </c>
      <c r="T4742" s="78" t="n"/>
      <c r="U4742" s="92">
        <f>IF(ISBLANK(P4742),"",IF(C4742="Buy",Q4742-M4742+T4742, IF(C4742="Sell",M4742-Q4742-T4742, X)))</f>
        <v/>
      </c>
      <c r="V4742" s="81">
        <f>IF(ISBLANK(P4742),"",U4742/N4742)</f>
        <v/>
      </c>
      <c r="W4742" s="81">
        <f>IF(ISBLANK(P4742),"",IF(S4742=0,(365/0.5)*V4742,(365/S4742)*V4742))</f>
        <v/>
      </c>
      <c r="X4742" s="75" t="n"/>
      <c r="Y4742" s="77" t="n"/>
      <c r="Z4742" s="77" t="n"/>
      <c r="AA4742" s="75" t="n"/>
      <c r="AB4742" s="75" t="n"/>
      <c r="AC4742" s="6" t="n"/>
      <c r="AD4742" s="75" t="n"/>
      <c r="AE4742" s="75" t="n"/>
      <c r="AF4742" s="75" t="n"/>
    </row>
    <row r="4743" ht="15.75" customHeight="1" s="133">
      <c r="A4743" s="75" t="n"/>
      <c r="B4743" s="75" t="n"/>
      <c r="C4743" s="75" t="n"/>
      <c r="D4743" s="75" t="n"/>
      <c r="E4743" s="76" t="n"/>
      <c r="F4743" s="77" t="n"/>
      <c r="G4743" s="75" t="n"/>
      <c r="H4743" s="75">
        <f>IF(ISBLANK(E4743),"",IF(OR(D4743="Butterfly",D4743="Butterfly ",D4743="Iron Fly", D4743="Iron Fly "),LEN(E4743)-LEN(SUBSTITUTE(E4743,"/",""))+2,LEN(E4743)-LEN(SUBSTITUTE(E4743,"/",""))+1))</f>
        <v/>
      </c>
      <c r="I4743" s="78">
        <f>IF(ISBLANK(G4743),"",IF(D4743="Stock","0",Key!$A$3*H4743*G4743))</f>
        <v/>
      </c>
      <c r="J4743" s="78">
        <f>IF(ISBLANK(E4743),"",IF(ISNUMBER(SEARCH("/",E4743)), IF(LEN(E4743)-LEN(SUBSTITUTE(E4743,"/",""))=1,(RIGHT(E4743,LEN(E4743)-FIND("/",E4743)))-(LEFT(E4743,FIND("/",E4743)-1)),(MID(E4743, SEARCH("/",E4743) + 1, SEARCH("/",E4743, SEARCH("/",E4743)+1) - SEARCH("/",E4743) - 1))-(LEFT(E4743,FIND("/",E4743)-1))), "NA"))</f>
        <v/>
      </c>
      <c r="K4743" s="79">
        <f>IF(A4743&lt;&gt;"", IF(ISBLANK(L4743), TODAY(), K4743), "")</f>
        <v/>
      </c>
      <c r="L4743" s="78" t="n"/>
      <c r="M4743" s="78">
        <f>IF(ISBLANK(L4743),"",IF(D4743="Stock",IF(C4743="Buy",L4743*G4743,IF(C4743="Sell",(L4743*G4743)-I4743, X)),IF(C4743="Buy",(L4743*G4743*100)+I4743,IF(C4743="Sell",(L4743*G4743*100)-I4743, X))))</f>
        <v/>
      </c>
      <c r="N4743" s="78">
        <f>IF(ISBLANK(L4743),"",IF(AND(C4743="Sell",D4743="Stock"),M4743,IF(ISBLANK(L4743),"",IF(C4743="Buy",M4743, IF(AND(C4743="Sell",J4743="NA"),(E4743*G4743*100*0.1)+I4743, IF(C4743="Sell",(J4743-L4743)*(100*G4743)+I4743))))))</f>
        <v/>
      </c>
      <c r="O4743" s="75" t="n"/>
      <c r="P4743" s="75" t="n"/>
      <c r="Q4743" s="75">
        <f>IF(ISBLANK(P4743),"",IF(D4743="Stock",P4743*G4743,IF(P4743=0,"0",G4743*P4743*100-(G4743*$AF$14))))</f>
        <v/>
      </c>
      <c r="R4743" s="79">
        <f>IF(P4743&lt;&gt;"", TODAY(), "")</f>
        <v/>
      </c>
      <c r="S4743" s="78">
        <f>IF(AND(K4743&lt;&gt;"", R4743&lt;&gt;""), R4743-K4743, "")</f>
        <v/>
      </c>
      <c r="T4743" s="78" t="n"/>
      <c r="U4743" s="92">
        <f>IF(ISBLANK(P4743),"",IF(C4743="Buy",Q4743-M4743+T4743, IF(C4743="Sell",M4743-Q4743-T4743, X)))</f>
        <v/>
      </c>
      <c r="V4743" s="81">
        <f>IF(ISBLANK(P4743),"",U4743/N4743)</f>
        <v/>
      </c>
      <c r="W4743" s="81">
        <f>IF(ISBLANK(P4743),"",IF(S4743=0,(365/0.5)*V4743,(365/S4743)*V4743))</f>
        <v/>
      </c>
      <c r="X4743" s="75" t="n"/>
      <c r="Y4743" s="77" t="n"/>
      <c r="Z4743" s="77" t="n"/>
      <c r="AA4743" s="75" t="n"/>
      <c r="AB4743" s="75" t="n"/>
      <c r="AC4743" s="6" t="n"/>
      <c r="AD4743" s="75" t="n"/>
      <c r="AE4743" s="75" t="n"/>
      <c r="AF4743" s="75" t="n"/>
    </row>
    <row r="4744" ht="15.75" customHeight="1" s="133">
      <c r="A4744" s="75" t="n"/>
      <c r="B4744" s="75" t="n"/>
      <c r="C4744" s="75" t="n"/>
      <c r="D4744" s="75" t="n"/>
      <c r="E4744" s="76" t="n"/>
      <c r="F4744" s="77" t="n"/>
      <c r="G4744" s="75" t="n"/>
      <c r="H4744" s="75">
        <f>IF(ISBLANK(E4744),"",IF(OR(D4744="Butterfly",D4744="Butterfly ",D4744="Iron Fly", D4744="Iron Fly "),LEN(E4744)-LEN(SUBSTITUTE(E4744,"/",""))+2,LEN(E4744)-LEN(SUBSTITUTE(E4744,"/",""))+1))</f>
        <v/>
      </c>
      <c r="I4744" s="78">
        <f>IF(ISBLANK(G4744),"",IF(D4744="Stock","0",Key!$A$3*H4744*G4744))</f>
        <v/>
      </c>
      <c r="J4744" s="78">
        <f>IF(ISBLANK(E4744),"",IF(ISNUMBER(SEARCH("/",E4744)), IF(LEN(E4744)-LEN(SUBSTITUTE(E4744,"/",""))=1,(RIGHT(E4744,LEN(E4744)-FIND("/",E4744)))-(LEFT(E4744,FIND("/",E4744)-1)),(MID(E4744, SEARCH("/",E4744) + 1, SEARCH("/",E4744, SEARCH("/",E4744)+1) - SEARCH("/",E4744) - 1))-(LEFT(E4744,FIND("/",E4744)-1))), "NA"))</f>
        <v/>
      </c>
      <c r="K4744" s="79">
        <f>IF(A4744&lt;&gt;"", IF(ISBLANK(L4744), TODAY(), K4744), "")</f>
        <v/>
      </c>
      <c r="L4744" s="78" t="n"/>
      <c r="M4744" s="78">
        <f>IF(ISBLANK(L4744),"",IF(D4744="Stock",IF(C4744="Buy",L4744*G4744,IF(C4744="Sell",(L4744*G4744)-I4744, X)),IF(C4744="Buy",(L4744*G4744*100)+I4744,IF(C4744="Sell",(L4744*G4744*100)-I4744, X))))</f>
        <v/>
      </c>
      <c r="N4744" s="78">
        <f>IF(ISBLANK(L4744),"",IF(AND(C4744="Sell",D4744="Stock"),M4744,IF(ISBLANK(L4744),"",IF(C4744="Buy",M4744, IF(AND(C4744="Sell",J4744="NA"),(E4744*G4744*100*0.1)+I4744, IF(C4744="Sell",(J4744-L4744)*(100*G4744)+I4744))))))</f>
        <v/>
      </c>
      <c r="O4744" s="75" t="n"/>
      <c r="P4744" s="75" t="n"/>
      <c r="Q4744" s="75">
        <f>IF(ISBLANK(P4744),"",IF(D4744="Stock",P4744*G4744,IF(P4744=0,"0",G4744*P4744*100-(G4744*$AF$14))))</f>
        <v/>
      </c>
      <c r="R4744" s="79">
        <f>IF(P4744&lt;&gt;"", TODAY(), "")</f>
        <v/>
      </c>
      <c r="S4744" s="78">
        <f>IF(AND(K4744&lt;&gt;"", R4744&lt;&gt;""), R4744-K4744, "")</f>
        <v/>
      </c>
      <c r="T4744" s="78" t="n"/>
      <c r="U4744" s="92">
        <f>IF(ISBLANK(P4744),"",IF(C4744="Buy",Q4744-M4744+T4744, IF(C4744="Sell",M4744-Q4744-T4744, X)))</f>
        <v/>
      </c>
      <c r="V4744" s="81">
        <f>IF(ISBLANK(P4744),"",U4744/N4744)</f>
        <v/>
      </c>
      <c r="W4744" s="81">
        <f>IF(ISBLANK(P4744),"",IF(S4744=0,(365/0.5)*V4744,(365/S4744)*V4744))</f>
        <v/>
      </c>
      <c r="X4744" s="75" t="n"/>
      <c r="Y4744" s="77" t="n"/>
      <c r="Z4744" s="77" t="n"/>
      <c r="AA4744" s="75" t="n"/>
      <c r="AB4744" s="75" t="n"/>
      <c r="AC4744" s="6" t="n"/>
      <c r="AD4744" s="75" t="n"/>
      <c r="AE4744" s="75" t="n"/>
      <c r="AF4744" s="75" t="n"/>
    </row>
    <row r="4745" ht="15.75" customHeight="1" s="133">
      <c r="A4745" s="75" t="n"/>
      <c r="B4745" s="75" t="n"/>
      <c r="C4745" s="75" t="n"/>
      <c r="D4745" s="75" t="n"/>
      <c r="E4745" s="76" t="n"/>
      <c r="F4745" s="77" t="n"/>
      <c r="G4745" s="75" t="n"/>
      <c r="H4745" s="75">
        <f>IF(ISBLANK(E4745),"",IF(OR(D4745="Butterfly",D4745="Butterfly ",D4745="Iron Fly", D4745="Iron Fly "),LEN(E4745)-LEN(SUBSTITUTE(E4745,"/",""))+2,LEN(E4745)-LEN(SUBSTITUTE(E4745,"/",""))+1))</f>
        <v/>
      </c>
      <c r="I4745" s="78">
        <f>IF(ISBLANK(G4745),"",IF(D4745="Stock","0",Key!$A$3*H4745*G4745))</f>
        <v/>
      </c>
      <c r="J4745" s="78">
        <f>IF(ISBLANK(E4745),"",IF(ISNUMBER(SEARCH("/",E4745)), IF(LEN(E4745)-LEN(SUBSTITUTE(E4745,"/",""))=1,(RIGHT(E4745,LEN(E4745)-FIND("/",E4745)))-(LEFT(E4745,FIND("/",E4745)-1)),(MID(E4745, SEARCH("/",E4745) + 1, SEARCH("/",E4745, SEARCH("/",E4745)+1) - SEARCH("/",E4745) - 1))-(LEFT(E4745,FIND("/",E4745)-1))), "NA"))</f>
        <v/>
      </c>
      <c r="K4745" s="79">
        <f>IF(A4745&lt;&gt;"", IF(ISBLANK(L4745), TODAY(), K4745), "")</f>
        <v/>
      </c>
      <c r="L4745" s="78" t="n"/>
      <c r="M4745" s="78">
        <f>IF(ISBLANK(L4745),"",IF(D4745="Stock",IF(C4745="Buy",L4745*G4745,IF(C4745="Sell",(L4745*G4745)-I4745, X)),IF(C4745="Buy",(L4745*G4745*100)+I4745,IF(C4745="Sell",(L4745*G4745*100)-I4745, X))))</f>
        <v/>
      </c>
      <c r="N4745" s="78">
        <f>IF(ISBLANK(L4745),"",IF(AND(C4745="Sell",D4745="Stock"),M4745,IF(ISBLANK(L4745),"",IF(C4745="Buy",M4745, IF(AND(C4745="Sell",J4745="NA"),(E4745*G4745*100*0.1)+I4745, IF(C4745="Sell",(J4745-L4745)*(100*G4745)+I4745))))))</f>
        <v/>
      </c>
      <c r="O4745" s="75" t="n"/>
      <c r="P4745" s="75" t="n"/>
      <c r="Q4745" s="75">
        <f>IF(ISBLANK(P4745),"",IF(D4745="Stock",P4745*G4745,IF(P4745=0,"0",G4745*P4745*100-(G4745*$AF$14))))</f>
        <v/>
      </c>
      <c r="R4745" s="79">
        <f>IF(P4745&lt;&gt;"", TODAY(), "")</f>
        <v/>
      </c>
      <c r="S4745" s="78">
        <f>IF(AND(K4745&lt;&gt;"", R4745&lt;&gt;""), R4745-K4745, "")</f>
        <v/>
      </c>
      <c r="T4745" s="78" t="n"/>
      <c r="U4745" s="92">
        <f>IF(ISBLANK(P4745),"",IF(C4745="Buy",Q4745-M4745+T4745, IF(C4745="Sell",M4745-Q4745-T4745, X)))</f>
        <v/>
      </c>
      <c r="V4745" s="81">
        <f>IF(ISBLANK(P4745),"",U4745/N4745)</f>
        <v/>
      </c>
      <c r="W4745" s="81">
        <f>IF(ISBLANK(P4745),"",IF(S4745=0,(365/0.5)*V4745,(365/S4745)*V4745))</f>
        <v/>
      </c>
      <c r="X4745" s="75" t="n"/>
      <c r="Y4745" s="77" t="n"/>
      <c r="Z4745" s="77" t="n"/>
      <c r="AA4745" s="75" t="n"/>
      <c r="AB4745" s="75" t="n"/>
      <c r="AC4745" s="6" t="n"/>
      <c r="AD4745" s="75" t="n"/>
      <c r="AE4745" s="75" t="n"/>
      <c r="AF4745" s="75" t="n"/>
    </row>
    <row r="4746" ht="15.75" customHeight="1" s="133">
      <c r="A4746" s="75" t="n"/>
      <c r="B4746" s="75" t="n"/>
      <c r="C4746" s="75" t="n"/>
      <c r="D4746" s="75" t="n"/>
      <c r="E4746" s="76" t="n"/>
      <c r="F4746" s="77" t="n"/>
      <c r="G4746" s="75" t="n"/>
      <c r="H4746" s="75">
        <f>IF(ISBLANK(E4746),"",IF(OR(D4746="Butterfly",D4746="Butterfly ",D4746="Iron Fly", D4746="Iron Fly "),LEN(E4746)-LEN(SUBSTITUTE(E4746,"/",""))+2,LEN(E4746)-LEN(SUBSTITUTE(E4746,"/",""))+1))</f>
        <v/>
      </c>
      <c r="I4746" s="78">
        <f>IF(ISBLANK(G4746),"",IF(D4746="Stock","0",Key!$A$3*H4746*G4746))</f>
        <v/>
      </c>
      <c r="J4746" s="78">
        <f>IF(ISBLANK(E4746),"",IF(ISNUMBER(SEARCH("/",E4746)), IF(LEN(E4746)-LEN(SUBSTITUTE(E4746,"/",""))=1,(RIGHT(E4746,LEN(E4746)-FIND("/",E4746)))-(LEFT(E4746,FIND("/",E4746)-1)),(MID(E4746, SEARCH("/",E4746) + 1, SEARCH("/",E4746, SEARCH("/",E4746)+1) - SEARCH("/",E4746) - 1))-(LEFT(E4746,FIND("/",E4746)-1))), "NA"))</f>
        <v/>
      </c>
      <c r="K4746" s="79">
        <f>IF(A4746&lt;&gt;"", IF(ISBLANK(L4746), TODAY(), K4746), "")</f>
        <v/>
      </c>
      <c r="L4746" s="78" t="n"/>
      <c r="M4746" s="78">
        <f>IF(ISBLANK(L4746),"",IF(D4746="Stock",IF(C4746="Buy",L4746*G4746,IF(C4746="Sell",(L4746*G4746)-I4746, X)),IF(C4746="Buy",(L4746*G4746*100)+I4746,IF(C4746="Sell",(L4746*G4746*100)-I4746, X))))</f>
        <v/>
      </c>
      <c r="N4746" s="78">
        <f>IF(ISBLANK(L4746),"",IF(AND(C4746="Sell",D4746="Stock"),M4746,IF(ISBLANK(L4746),"",IF(C4746="Buy",M4746, IF(AND(C4746="Sell",J4746="NA"),(E4746*G4746*100*0.1)+I4746, IF(C4746="Sell",(J4746-L4746)*(100*G4746)+I4746))))))</f>
        <v/>
      </c>
      <c r="O4746" s="75" t="n"/>
      <c r="P4746" s="75" t="n"/>
      <c r="Q4746" s="75">
        <f>IF(ISBLANK(P4746),"",IF(D4746="Stock",P4746*G4746,IF(P4746=0,"0",G4746*P4746*100-(G4746*$AF$14))))</f>
        <v/>
      </c>
      <c r="R4746" s="79">
        <f>IF(P4746&lt;&gt;"", TODAY(), "")</f>
        <v/>
      </c>
      <c r="S4746" s="78">
        <f>IF(AND(K4746&lt;&gt;"", R4746&lt;&gt;""), R4746-K4746, "")</f>
        <v/>
      </c>
      <c r="T4746" s="78" t="n"/>
      <c r="U4746" s="92">
        <f>IF(ISBLANK(P4746),"",IF(C4746="Buy",Q4746-M4746+T4746, IF(C4746="Sell",M4746-Q4746-T4746, X)))</f>
        <v/>
      </c>
      <c r="V4746" s="81">
        <f>IF(ISBLANK(P4746),"",U4746/N4746)</f>
        <v/>
      </c>
      <c r="W4746" s="81">
        <f>IF(ISBLANK(P4746),"",IF(S4746=0,(365/0.5)*V4746,(365/S4746)*V4746))</f>
        <v/>
      </c>
      <c r="X4746" s="75" t="n"/>
      <c r="Y4746" s="77" t="n"/>
      <c r="Z4746" s="77" t="n"/>
      <c r="AA4746" s="75" t="n"/>
      <c r="AB4746" s="75" t="n"/>
      <c r="AC4746" s="6" t="n"/>
      <c r="AD4746" s="75" t="n"/>
      <c r="AE4746" s="75" t="n"/>
      <c r="AF4746" s="75" t="n"/>
    </row>
    <row r="4747" ht="15.75" customHeight="1" s="133">
      <c r="A4747" s="75" t="n"/>
      <c r="B4747" s="75" t="n"/>
      <c r="C4747" s="75" t="n"/>
      <c r="D4747" s="75" t="n"/>
      <c r="E4747" s="76" t="n"/>
      <c r="F4747" s="77" t="n"/>
      <c r="G4747" s="75" t="n"/>
      <c r="H4747" s="75">
        <f>IF(ISBLANK(E4747),"",IF(OR(D4747="Butterfly",D4747="Butterfly ",D4747="Iron Fly", D4747="Iron Fly "),LEN(E4747)-LEN(SUBSTITUTE(E4747,"/",""))+2,LEN(E4747)-LEN(SUBSTITUTE(E4747,"/",""))+1))</f>
        <v/>
      </c>
      <c r="I4747" s="78">
        <f>IF(ISBLANK(G4747),"",IF(D4747="Stock","0",Key!$A$3*H4747*G4747))</f>
        <v/>
      </c>
      <c r="J4747" s="78">
        <f>IF(ISBLANK(E4747),"",IF(ISNUMBER(SEARCH("/",E4747)), IF(LEN(E4747)-LEN(SUBSTITUTE(E4747,"/",""))=1,(RIGHT(E4747,LEN(E4747)-FIND("/",E4747)))-(LEFT(E4747,FIND("/",E4747)-1)),(MID(E4747, SEARCH("/",E4747) + 1, SEARCH("/",E4747, SEARCH("/",E4747)+1) - SEARCH("/",E4747) - 1))-(LEFT(E4747,FIND("/",E4747)-1))), "NA"))</f>
        <v/>
      </c>
      <c r="K4747" s="79">
        <f>IF(A4747&lt;&gt;"", IF(ISBLANK(L4747), TODAY(), K4747), "")</f>
        <v/>
      </c>
      <c r="L4747" s="78" t="n"/>
      <c r="M4747" s="78">
        <f>IF(ISBLANK(L4747),"",IF(D4747="Stock",IF(C4747="Buy",L4747*G4747,IF(C4747="Sell",(L4747*G4747)-I4747, X)),IF(C4747="Buy",(L4747*G4747*100)+I4747,IF(C4747="Sell",(L4747*G4747*100)-I4747, X))))</f>
        <v/>
      </c>
      <c r="N4747" s="78">
        <f>IF(ISBLANK(L4747),"",IF(AND(C4747="Sell",D4747="Stock"),M4747,IF(ISBLANK(L4747),"",IF(C4747="Buy",M4747, IF(AND(C4747="Sell",J4747="NA"),(E4747*G4747*100*0.1)+I4747, IF(C4747="Sell",(J4747-L4747)*(100*G4747)+I4747))))))</f>
        <v/>
      </c>
      <c r="O4747" s="75" t="n"/>
      <c r="P4747" s="75" t="n"/>
      <c r="Q4747" s="75">
        <f>IF(ISBLANK(P4747),"",IF(D4747="Stock",P4747*G4747,IF(P4747=0,"0",G4747*P4747*100-(G4747*$AF$14))))</f>
        <v/>
      </c>
      <c r="R4747" s="79">
        <f>IF(P4747&lt;&gt;"", TODAY(), "")</f>
        <v/>
      </c>
      <c r="S4747" s="78">
        <f>IF(AND(K4747&lt;&gt;"", R4747&lt;&gt;""), R4747-K4747, "")</f>
        <v/>
      </c>
      <c r="T4747" s="78" t="n"/>
      <c r="U4747" s="92">
        <f>IF(ISBLANK(P4747),"",IF(C4747="Buy",Q4747-M4747+T4747, IF(C4747="Sell",M4747-Q4747-T4747, X)))</f>
        <v/>
      </c>
      <c r="V4747" s="81">
        <f>IF(ISBLANK(P4747),"",U4747/N4747)</f>
        <v/>
      </c>
      <c r="W4747" s="81">
        <f>IF(ISBLANK(P4747),"",IF(S4747=0,(365/0.5)*V4747,(365/S4747)*V4747))</f>
        <v/>
      </c>
      <c r="X4747" s="75" t="n"/>
      <c r="Y4747" s="77" t="n"/>
      <c r="Z4747" s="77" t="n"/>
      <c r="AA4747" s="75" t="n"/>
      <c r="AB4747" s="75" t="n"/>
      <c r="AC4747" s="6" t="n"/>
      <c r="AD4747" s="75" t="n"/>
      <c r="AE4747" s="75" t="n"/>
      <c r="AF4747" s="75" t="n"/>
    </row>
    <row r="4748" ht="15.75" customHeight="1" s="133">
      <c r="A4748" s="75" t="n"/>
      <c r="B4748" s="75" t="n"/>
      <c r="C4748" s="75" t="n"/>
      <c r="D4748" s="75" t="n"/>
      <c r="E4748" s="76" t="n"/>
      <c r="F4748" s="77" t="n"/>
      <c r="G4748" s="75" t="n"/>
      <c r="H4748" s="75">
        <f>IF(ISBLANK(E4748),"",IF(OR(D4748="Butterfly",D4748="Butterfly ",D4748="Iron Fly", D4748="Iron Fly "),LEN(E4748)-LEN(SUBSTITUTE(E4748,"/",""))+2,LEN(E4748)-LEN(SUBSTITUTE(E4748,"/",""))+1))</f>
        <v/>
      </c>
      <c r="I4748" s="78">
        <f>IF(ISBLANK(G4748),"",IF(D4748="Stock","0",Key!$A$3*H4748*G4748))</f>
        <v/>
      </c>
      <c r="J4748" s="78">
        <f>IF(ISBLANK(E4748),"",IF(ISNUMBER(SEARCH("/",E4748)), IF(LEN(E4748)-LEN(SUBSTITUTE(E4748,"/",""))=1,(RIGHT(E4748,LEN(E4748)-FIND("/",E4748)))-(LEFT(E4748,FIND("/",E4748)-1)),(MID(E4748, SEARCH("/",E4748) + 1, SEARCH("/",E4748, SEARCH("/",E4748)+1) - SEARCH("/",E4748) - 1))-(LEFT(E4748,FIND("/",E4748)-1))), "NA"))</f>
        <v/>
      </c>
      <c r="K4748" s="79">
        <f>IF(A4748&lt;&gt;"", IF(ISBLANK(L4748), TODAY(), K4748), "")</f>
        <v/>
      </c>
      <c r="L4748" s="78" t="n"/>
      <c r="M4748" s="78">
        <f>IF(ISBLANK(L4748),"",IF(D4748="Stock",IF(C4748="Buy",L4748*G4748,IF(C4748="Sell",(L4748*G4748)-I4748, X)),IF(C4748="Buy",(L4748*G4748*100)+I4748,IF(C4748="Sell",(L4748*G4748*100)-I4748, X))))</f>
        <v/>
      </c>
      <c r="N4748" s="78">
        <f>IF(ISBLANK(L4748),"",IF(AND(C4748="Sell",D4748="Stock"),M4748,IF(ISBLANK(L4748),"",IF(C4748="Buy",M4748, IF(AND(C4748="Sell",J4748="NA"),(E4748*G4748*100*0.1)+I4748, IF(C4748="Sell",(J4748-L4748)*(100*G4748)+I4748))))))</f>
        <v/>
      </c>
      <c r="O4748" s="75" t="n"/>
      <c r="P4748" s="75" t="n"/>
      <c r="Q4748" s="75">
        <f>IF(ISBLANK(P4748),"",IF(D4748="Stock",P4748*G4748,IF(P4748=0,"0",G4748*P4748*100-(G4748*$AF$14))))</f>
        <v/>
      </c>
      <c r="R4748" s="79">
        <f>IF(P4748&lt;&gt;"", TODAY(), "")</f>
        <v/>
      </c>
      <c r="S4748" s="78">
        <f>IF(AND(K4748&lt;&gt;"", R4748&lt;&gt;""), R4748-K4748, "")</f>
        <v/>
      </c>
      <c r="T4748" s="78" t="n"/>
      <c r="U4748" s="92">
        <f>IF(ISBLANK(P4748),"",IF(C4748="Buy",Q4748-M4748+T4748, IF(C4748="Sell",M4748-Q4748-T4748, X)))</f>
        <v/>
      </c>
      <c r="V4748" s="81">
        <f>IF(ISBLANK(P4748),"",U4748/N4748)</f>
        <v/>
      </c>
      <c r="W4748" s="81">
        <f>IF(ISBLANK(P4748),"",IF(S4748=0,(365/0.5)*V4748,(365/S4748)*V4748))</f>
        <v/>
      </c>
      <c r="X4748" s="75" t="n"/>
      <c r="Y4748" s="77" t="n"/>
      <c r="Z4748" s="77" t="n"/>
      <c r="AA4748" s="75" t="n"/>
      <c r="AB4748" s="75" t="n"/>
      <c r="AC4748" s="6" t="n"/>
      <c r="AD4748" s="75" t="n"/>
      <c r="AE4748" s="75" t="n"/>
      <c r="AF4748" s="75" t="n"/>
    </row>
    <row r="4749" ht="15.75" customHeight="1" s="133">
      <c r="A4749" s="75" t="n"/>
      <c r="B4749" s="75" t="n"/>
      <c r="C4749" s="75" t="n"/>
      <c r="D4749" s="75" t="n"/>
      <c r="E4749" s="76" t="n"/>
      <c r="F4749" s="77" t="n"/>
      <c r="G4749" s="75" t="n"/>
      <c r="H4749" s="75">
        <f>IF(ISBLANK(E4749),"",IF(OR(D4749="Butterfly",D4749="Butterfly ",D4749="Iron Fly", D4749="Iron Fly "),LEN(E4749)-LEN(SUBSTITUTE(E4749,"/",""))+2,LEN(E4749)-LEN(SUBSTITUTE(E4749,"/",""))+1))</f>
        <v/>
      </c>
      <c r="I4749" s="78">
        <f>IF(ISBLANK(G4749),"",IF(D4749="Stock","0",Key!$A$3*H4749*G4749))</f>
        <v/>
      </c>
      <c r="J4749" s="78">
        <f>IF(ISBLANK(E4749),"",IF(ISNUMBER(SEARCH("/",E4749)), IF(LEN(E4749)-LEN(SUBSTITUTE(E4749,"/",""))=1,(RIGHT(E4749,LEN(E4749)-FIND("/",E4749)))-(LEFT(E4749,FIND("/",E4749)-1)),(MID(E4749, SEARCH("/",E4749) + 1, SEARCH("/",E4749, SEARCH("/",E4749)+1) - SEARCH("/",E4749) - 1))-(LEFT(E4749,FIND("/",E4749)-1))), "NA"))</f>
        <v/>
      </c>
      <c r="K4749" s="79">
        <f>IF(A4749&lt;&gt;"", IF(ISBLANK(L4749), TODAY(), K4749), "")</f>
        <v/>
      </c>
      <c r="L4749" s="78" t="n"/>
      <c r="M4749" s="78">
        <f>IF(ISBLANK(L4749),"",IF(D4749="Stock",IF(C4749="Buy",L4749*G4749,IF(C4749="Sell",(L4749*G4749)-I4749, X)),IF(C4749="Buy",(L4749*G4749*100)+I4749,IF(C4749="Sell",(L4749*G4749*100)-I4749, X))))</f>
        <v/>
      </c>
      <c r="N4749" s="78">
        <f>IF(ISBLANK(L4749),"",IF(AND(C4749="Sell",D4749="Stock"),M4749,IF(ISBLANK(L4749),"",IF(C4749="Buy",M4749, IF(AND(C4749="Sell",J4749="NA"),(E4749*G4749*100*0.1)+I4749, IF(C4749="Sell",(J4749-L4749)*(100*G4749)+I4749))))))</f>
        <v/>
      </c>
      <c r="O4749" s="75" t="n"/>
      <c r="P4749" s="75" t="n"/>
      <c r="Q4749" s="75">
        <f>IF(ISBLANK(P4749),"",IF(D4749="Stock",P4749*G4749,IF(P4749=0,"0",G4749*P4749*100-(G4749*$AF$14))))</f>
        <v/>
      </c>
      <c r="R4749" s="79">
        <f>IF(P4749&lt;&gt;"", TODAY(), "")</f>
        <v/>
      </c>
      <c r="S4749" s="78">
        <f>IF(AND(K4749&lt;&gt;"", R4749&lt;&gt;""), R4749-K4749, "")</f>
        <v/>
      </c>
      <c r="T4749" s="78" t="n"/>
      <c r="U4749" s="92">
        <f>IF(ISBLANK(P4749),"",IF(C4749="Buy",Q4749-M4749+T4749, IF(C4749="Sell",M4749-Q4749-T4749, X)))</f>
        <v/>
      </c>
      <c r="V4749" s="81">
        <f>IF(ISBLANK(P4749),"",U4749/N4749)</f>
        <v/>
      </c>
      <c r="W4749" s="81">
        <f>IF(ISBLANK(P4749),"",IF(S4749=0,(365/0.5)*V4749,(365/S4749)*V4749))</f>
        <v/>
      </c>
      <c r="X4749" s="75" t="n"/>
      <c r="Y4749" s="77" t="n"/>
      <c r="Z4749" s="77" t="n"/>
      <c r="AA4749" s="75" t="n"/>
      <c r="AB4749" s="75" t="n"/>
      <c r="AC4749" s="6" t="n"/>
      <c r="AD4749" s="75" t="n"/>
      <c r="AE4749" s="75" t="n"/>
      <c r="AF4749" s="75" t="n"/>
    </row>
    <row r="4750" ht="15.75" customHeight="1" s="133">
      <c r="A4750" s="75" t="n"/>
      <c r="B4750" s="75" t="n"/>
      <c r="C4750" s="75" t="n"/>
      <c r="D4750" s="75" t="n"/>
      <c r="E4750" s="76" t="n"/>
      <c r="F4750" s="77" t="n"/>
      <c r="G4750" s="75" t="n"/>
      <c r="H4750" s="75">
        <f>IF(ISBLANK(E4750),"",IF(OR(D4750="Butterfly",D4750="Butterfly ",D4750="Iron Fly", D4750="Iron Fly "),LEN(E4750)-LEN(SUBSTITUTE(E4750,"/",""))+2,LEN(E4750)-LEN(SUBSTITUTE(E4750,"/",""))+1))</f>
        <v/>
      </c>
      <c r="I4750" s="78">
        <f>IF(ISBLANK(G4750),"",IF(D4750="Stock","0",Key!$A$3*H4750*G4750))</f>
        <v/>
      </c>
      <c r="J4750" s="78">
        <f>IF(ISBLANK(E4750),"",IF(ISNUMBER(SEARCH("/",E4750)), IF(LEN(E4750)-LEN(SUBSTITUTE(E4750,"/",""))=1,(RIGHT(E4750,LEN(E4750)-FIND("/",E4750)))-(LEFT(E4750,FIND("/",E4750)-1)),(MID(E4750, SEARCH("/",E4750) + 1, SEARCH("/",E4750, SEARCH("/",E4750)+1) - SEARCH("/",E4750) - 1))-(LEFT(E4750,FIND("/",E4750)-1))), "NA"))</f>
        <v/>
      </c>
      <c r="K4750" s="79">
        <f>IF(A4750&lt;&gt;"", IF(ISBLANK(L4750), TODAY(), K4750), "")</f>
        <v/>
      </c>
      <c r="L4750" s="78" t="n"/>
      <c r="M4750" s="78">
        <f>IF(ISBLANK(L4750),"",IF(D4750="Stock",IF(C4750="Buy",L4750*G4750,IF(C4750="Sell",(L4750*G4750)-I4750, X)),IF(C4750="Buy",(L4750*G4750*100)+I4750,IF(C4750="Sell",(L4750*G4750*100)-I4750, X))))</f>
        <v/>
      </c>
      <c r="N4750" s="78">
        <f>IF(ISBLANK(L4750),"",IF(AND(C4750="Sell",D4750="Stock"),M4750,IF(ISBLANK(L4750),"",IF(C4750="Buy",M4750, IF(AND(C4750="Sell",J4750="NA"),(E4750*G4750*100*0.1)+I4750, IF(C4750="Sell",(J4750-L4750)*(100*G4750)+I4750))))))</f>
        <v/>
      </c>
      <c r="O4750" s="75" t="n"/>
      <c r="P4750" s="75" t="n"/>
      <c r="Q4750" s="75">
        <f>IF(ISBLANK(P4750),"",IF(D4750="Stock",P4750*G4750,IF(P4750=0,"0",G4750*P4750*100-(G4750*$AF$14))))</f>
        <v/>
      </c>
      <c r="R4750" s="79">
        <f>IF(P4750&lt;&gt;"", TODAY(), "")</f>
        <v/>
      </c>
      <c r="S4750" s="78">
        <f>IF(AND(K4750&lt;&gt;"", R4750&lt;&gt;""), R4750-K4750, "")</f>
        <v/>
      </c>
      <c r="T4750" s="78" t="n"/>
      <c r="U4750" s="92">
        <f>IF(ISBLANK(P4750),"",IF(C4750="Buy",Q4750-M4750+T4750, IF(C4750="Sell",M4750-Q4750-T4750, X)))</f>
        <v/>
      </c>
      <c r="V4750" s="81">
        <f>IF(ISBLANK(P4750),"",U4750/N4750)</f>
        <v/>
      </c>
      <c r="W4750" s="81">
        <f>IF(ISBLANK(P4750),"",IF(S4750=0,(365/0.5)*V4750,(365/S4750)*V4750))</f>
        <v/>
      </c>
      <c r="X4750" s="75" t="n"/>
      <c r="Y4750" s="77" t="n"/>
      <c r="Z4750" s="77" t="n"/>
      <c r="AA4750" s="75" t="n"/>
      <c r="AB4750" s="75" t="n"/>
      <c r="AC4750" s="6" t="n"/>
      <c r="AD4750" s="75" t="n"/>
      <c r="AE4750" s="75" t="n"/>
      <c r="AF4750" s="75" t="n"/>
    </row>
    <row r="4751" ht="15.75" customHeight="1" s="133">
      <c r="A4751" s="75" t="n"/>
      <c r="B4751" s="75" t="n"/>
      <c r="C4751" s="75" t="n"/>
      <c r="D4751" s="75" t="n"/>
      <c r="E4751" s="76" t="n"/>
      <c r="F4751" s="77" t="n"/>
      <c r="G4751" s="75" t="n"/>
      <c r="H4751" s="75">
        <f>IF(ISBLANK(E4751),"",IF(OR(D4751="Butterfly",D4751="Butterfly ",D4751="Iron Fly", D4751="Iron Fly "),LEN(E4751)-LEN(SUBSTITUTE(E4751,"/",""))+2,LEN(E4751)-LEN(SUBSTITUTE(E4751,"/",""))+1))</f>
        <v/>
      </c>
      <c r="I4751" s="78">
        <f>IF(ISBLANK(G4751),"",IF(D4751="Stock","0",Key!$A$3*H4751*G4751))</f>
        <v/>
      </c>
      <c r="J4751" s="78">
        <f>IF(ISBLANK(E4751),"",IF(ISNUMBER(SEARCH("/",E4751)), IF(LEN(E4751)-LEN(SUBSTITUTE(E4751,"/",""))=1,(RIGHT(E4751,LEN(E4751)-FIND("/",E4751)))-(LEFT(E4751,FIND("/",E4751)-1)),(MID(E4751, SEARCH("/",E4751) + 1, SEARCH("/",E4751, SEARCH("/",E4751)+1) - SEARCH("/",E4751) - 1))-(LEFT(E4751,FIND("/",E4751)-1))), "NA"))</f>
        <v/>
      </c>
      <c r="K4751" s="79">
        <f>IF(A4751&lt;&gt;"", IF(ISBLANK(L4751), TODAY(), K4751), "")</f>
        <v/>
      </c>
      <c r="L4751" s="78" t="n"/>
      <c r="M4751" s="78">
        <f>IF(ISBLANK(L4751),"",IF(D4751="Stock",IF(C4751="Buy",L4751*G4751,IF(C4751="Sell",(L4751*G4751)-I4751, X)),IF(C4751="Buy",(L4751*G4751*100)+I4751,IF(C4751="Sell",(L4751*G4751*100)-I4751, X))))</f>
        <v/>
      </c>
      <c r="N4751" s="78">
        <f>IF(ISBLANK(L4751),"",IF(AND(C4751="Sell",D4751="Stock"),M4751,IF(ISBLANK(L4751),"",IF(C4751="Buy",M4751, IF(AND(C4751="Sell",J4751="NA"),(E4751*G4751*100*0.1)+I4751, IF(C4751="Sell",(J4751-L4751)*(100*G4751)+I4751))))))</f>
        <v/>
      </c>
      <c r="O4751" s="75" t="n"/>
      <c r="P4751" s="75" t="n"/>
      <c r="Q4751" s="75">
        <f>IF(ISBLANK(P4751),"",IF(D4751="Stock",P4751*G4751,IF(P4751=0,"0",G4751*P4751*100-(G4751*$AF$14))))</f>
        <v/>
      </c>
      <c r="R4751" s="79">
        <f>IF(P4751&lt;&gt;"", TODAY(), "")</f>
        <v/>
      </c>
      <c r="S4751" s="78">
        <f>IF(AND(K4751&lt;&gt;"", R4751&lt;&gt;""), R4751-K4751, "")</f>
        <v/>
      </c>
      <c r="T4751" s="78" t="n"/>
      <c r="U4751" s="92">
        <f>IF(ISBLANK(P4751),"",IF(C4751="Buy",Q4751-M4751+T4751, IF(C4751="Sell",M4751-Q4751-T4751, X)))</f>
        <v/>
      </c>
      <c r="V4751" s="81">
        <f>IF(ISBLANK(P4751),"",U4751/N4751)</f>
        <v/>
      </c>
      <c r="W4751" s="81">
        <f>IF(ISBLANK(P4751),"",IF(S4751=0,(365/0.5)*V4751,(365/S4751)*V4751))</f>
        <v/>
      </c>
      <c r="X4751" s="75" t="n"/>
      <c r="Y4751" s="77" t="n"/>
      <c r="Z4751" s="77" t="n"/>
      <c r="AA4751" s="75" t="n"/>
      <c r="AB4751" s="75" t="n"/>
      <c r="AC4751" s="6" t="n"/>
      <c r="AD4751" s="75" t="n"/>
      <c r="AE4751" s="75" t="n"/>
      <c r="AF4751" s="75" t="n"/>
    </row>
    <row r="4752" ht="15.75" customHeight="1" s="133">
      <c r="A4752" s="75" t="n"/>
      <c r="B4752" s="75" t="n"/>
      <c r="C4752" s="75" t="n"/>
      <c r="D4752" s="75" t="n"/>
      <c r="E4752" s="76" t="n"/>
      <c r="F4752" s="77" t="n"/>
      <c r="G4752" s="75" t="n"/>
      <c r="H4752" s="75">
        <f>IF(ISBLANK(E4752),"",IF(OR(D4752="Butterfly",D4752="Butterfly ",D4752="Iron Fly", D4752="Iron Fly "),LEN(E4752)-LEN(SUBSTITUTE(E4752,"/",""))+2,LEN(E4752)-LEN(SUBSTITUTE(E4752,"/",""))+1))</f>
        <v/>
      </c>
      <c r="I4752" s="78">
        <f>IF(ISBLANK(G4752),"",IF(D4752="Stock","0",Key!$A$3*H4752*G4752))</f>
        <v/>
      </c>
      <c r="J4752" s="78">
        <f>IF(ISBLANK(E4752),"",IF(ISNUMBER(SEARCH("/",E4752)), IF(LEN(E4752)-LEN(SUBSTITUTE(E4752,"/",""))=1,(RIGHT(E4752,LEN(E4752)-FIND("/",E4752)))-(LEFT(E4752,FIND("/",E4752)-1)),(MID(E4752, SEARCH("/",E4752) + 1, SEARCH("/",E4752, SEARCH("/",E4752)+1) - SEARCH("/",E4752) - 1))-(LEFT(E4752,FIND("/",E4752)-1))), "NA"))</f>
        <v/>
      </c>
      <c r="K4752" s="79">
        <f>IF(A4752&lt;&gt;"", IF(ISBLANK(L4752), TODAY(), K4752), "")</f>
        <v/>
      </c>
      <c r="L4752" s="78" t="n"/>
      <c r="M4752" s="78">
        <f>IF(ISBLANK(L4752),"",IF(D4752="Stock",IF(C4752="Buy",L4752*G4752,IF(C4752="Sell",(L4752*G4752)-I4752, X)),IF(C4752="Buy",(L4752*G4752*100)+I4752,IF(C4752="Sell",(L4752*G4752*100)-I4752, X))))</f>
        <v/>
      </c>
      <c r="N4752" s="78">
        <f>IF(ISBLANK(L4752),"",IF(AND(C4752="Sell",D4752="Stock"),M4752,IF(ISBLANK(L4752),"",IF(C4752="Buy",M4752, IF(AND(C4752="Sell",J4752="NA"),(E4752*G4752*100*0.1)+I4752, IF(C4752="Sell",(J4752-L4752)*(100*G4752)+I4752))))))</f>
        <v/>
      </c>
      <c r="O4752" s="75" t="n"/>
      <c r="P4752" s="75" t="n"/>
      <c r="Q4752" s="75">
        <f>IF(ISBLANK(P4752),"",IF(D4752="Stock",P4752*G4752,IF(P4752=0,"0",G4752*P4752*100-(G4752*$AF$14))))</f>
        <v/>
      </c>
      <c r="R4752" s="79">
        <f>IF(P4752&lt;&gt;"", TODAY(), "")</f>
        <v/>
      </c>
      <c r="S4752" s="78">
        <f>IF(AND(K4752&lt;&gt;"", R4752&lt;&gt;""), R4752-K4752, "")</f>
        <v/>
      </c>
      <c r="T4752" s="78" t="n"/>
      <c r="U4752" s="92">
        <f>IF(ISBLANK(P4752),"",IF(C4752="Buy",Q4752-M4752+T4752, IF(C4752="Sell",M4752-Q4752-T4752, X)))</f>
        <v/>
      </c>
      <c r="V4752" s="81">
        <f>IF(ISBLANK(P4752),"",U4752/N4752)</f>
        <v/>
      </c>
      <c r="W4752" s="81">
        <f>IF(ISBLANK(P4752),"",IF(S4752=0,(365/0.5)*V4752,(365/S4752)*V4752))</f>
        <v/>
      </c>
      <c r="X4752" s="75" t="n"/>
      <c r="Y4752" s="77" t="n"/>
      <c r="Z4752" s="77" t="n"/>
      <c r="AA4752" s="75" t="n"/>
      <c r="AB4752" s="75" t="n"/>
      <c r="AC4752" s="6" t="n"/>
      <c r="AD4752" s="75" t="n"/>
      <c r="AE4752" s="75" t="n"/>
      <c r="AF4752" s="75" t="n"/>
    </row>
    <row r="4753" ht="15.75" customHeight="1" s="133">
      <c r="A4753" s="75" t="n"/>
      <c r="B4753" s="75" t="n"/>
      <c r="C4753" s="75" t="n"/>
      <c r="D4753" s="75" t="n"/>
      <c r="E4753" s="76" t="n"/>
      <c r="F4753" s="77" t="n"/>
      <c r="G4753" s="75" t="n"/>
      <c r="H4753" s="75">
        <f>IF(ISBLANK(E4753),"",IF(OR(D4753="Butterfly",D4753="Butterfly ",D4753="Iron Fly", D4753="Iron Fly "),LEN(E4753)-LEN(SUBSTITUTE(E4753,"/",""))+2,LEN(E4753)-LEN(SUBSTITUTE(E4753,"/",""))+1))</f>
        <v/>
      </c>
      <c r="I4753" s="78">
        <f>IF(ISBLANK(G4753),"",IF(D4753="Stock","0",Key!$A$3*H4753*G4753))</f>
        <v/>
      </c>
      <c r="J4753" s="78">
        <f>IF(ISBLANK(E4753),"",IF(ISNUMBER(SEARCH("/",E4753)), IF(LEN(E4753)-LEN(SUBSTITUTE(E4753,"/",""))=1,(RIGHT(E4753,LEN(E4753)-FIND("/",E4753)))-(LEFT(E4753,FIND("/",E4753)-1)),(MID(E4753, SEARCH("/",E4753) + 1, SEARCH("/",E4753, SEARCH("/",E4753)+1) - SEARCH("/",E4753) - 1))-(LEFT(E4753,FIND("/",E4753)-1))), "NA"))</f>
        <v/>
      </c>
      <c r="K4753" s="79">
        <f>IF(A4753&lt;&gt;"", IF(ISBLANK(L4753), TODAY(), K4753), "")</f>
        <v/>
      </c>
      <c r="L4753" s="78" t="n"/>
      <c r="M4753" s="78">
        <f>IF(ISBLANK(L4753),"",IF(D4753="Stock",IF(C4753="Buy",L4753*G4753,IF(C4753="Sell",(L4753*G4753)-I4753, X)),IF(C4753="Buy",(L4753*G4753*100)+I4753,IF(C4753="Sell",(L4753*G4753*100)-I4753, X))))</f>
        <v/>
      </c>
      <c r="N4753" s="78">
        <f>IF(ISBLANK(L4753),"",IF(AND(C4753="Sell",D4753="Stock"),M4753,IF(ISBLANK(L4753),"",IF(C4753="Buy",M4753, IF(AND(C4753="Sell",J4753="NA"),(E4753*G4753*100*0.1)+I4753, IF(C4753="Sell",(J4753-L4753)*(100*G4753)+I4753))))))</f>
        <v/>
      </c>
      <c r="O4753" s="75" t="n"/>
      <c r="P4753" s="75" t="n"/>
      <c r="Q4753" s="75">
        <f>IF(ISBLANK(P4753),"",IF(D4753="Stock",P4753*G4753,IF(P4753=0,"0",G4753*P4753*100-(G4753*$AF$14))))</f>
        <v/>
      </c>
      <c r="R4753" s="79">
        <f>IF(P4753&lt;&gt;"", TODAY(), "")</f>
        <v/>
      </c>
      <c r="S4753" s="78">
        <f>IF(AND(K4753&lt;&gt;"", R4753&lt;&gt;""), R4753-K4753, "")</f>
        <v/>
      </c>
      <c r="T4753" s="78" t="n"/>
      <c r="U4753" s="92">
        <f>IF(ISBLANK(P4753),"",IF(C4753="Buy",Q4753-M4753+T4753, IF(C4753="Sell",M4753-Q4753-T4753, X)))</f>
        <v/>
      </c>
      <c r="V4753" s="81">
        <f>IF(ISBLANK(P4753),"",U4753/N4753)</f>
        <v/>
      </c>
      <c r="W4753" s="81">
        <f>IF(ISBLANK(P4753),"",IF(S4753=0,(365/0.5)*V4753,(365/S4753)*V4753))</f>
        <v/>
      </c>
      <c r="X4753" s="75" t="n"/>
      <c r="Y4753" s="77" t="n"/>
      <c r="Z4753" s="77" t="n"/>
      <c r="AA4753" s="75" t="n"/>
      <c r="AB4753" s="75" t="n"/>
      <c r="AC4753" s="6" t="n"/>
      <c r="AD4753" s="75" t="n"/>
      <c r="AE4753" s="75" t="n"/>
      <c r="AF4753" s="75" t="n"/>
    </row>
    <row r="4754" ht="15.75" customHeight="1" s="133">
      <c r="A4754" s="75" t="n"/>
      <c r="B4754" s="75" t="n"/>
      <c r="C4754" s="75" t="n"/>
      <c r="D4754" s="75" t="n"/>
      <c r="E4754" s="76" t="n"/>
      <c r="F4754" s="77" t="n"/>
      <c r="G4754" s="75" t="n"/>
      <c r="H4754" s="75">
        <f>IF(ISBLANK(E4754),"",IF(OR(D4754="Butterfly",D4754="Butterfly ",D4754="Iron Fly", D4754="Iron Fly "),LEN(E4754)-LEN(SUBSTITUTE(E4754,"/",""))+2,LEN(E4754)-LEN(SUBSTITUTE(E4754,"/",""))+1))</f>
        <v/>
      </c>
      <c r="I4754" s="78">
        <f>IF(ISBLANK(G4754),"",IF(D4754="Stock","0",Key!$A$3*H4754*G4754))</f>
        <v/>
      </c>
      <c r="J4754" s="78">
        <f>IF(ISBLANK(E4754),"",IF(ISNUMBER(SEARCH("/",E4754)), IF(LEN(E4754)-LEN(SUBSTITUTE(E4754,"/",""))=1,(RIGHT(E4754,LEN(E4754)-FIND("/",E4754)))-(LEFT(E4754,FIND("/",E4754)-1)),(MID(E4754, SEARCH("/",E4754) + 1, SEARCH("/",E4754, SEARCH("/",E4754)+1) - SEARCH("/",E4754) - 1))-(LEFT(E4754,FIND("/",E4754)-1))), "NA"))</f>
        <v/>
      </c>
      <c r="K4754" s="79">
        <f>IF(A4754&lt;&gt;"", IF(ISBLANK(L4754), TODAY(), K4754), "")</f>
        <v/>
      </c>
      <c r="L4754" s="78" t="n"/>
      <c r="M4754" s="78">
        <f>IF(ISBLANK(L4754),"",IF(D4754="Stock",IF(C4754="Buy",L4754*G4754,IF(C4754="Sell",(L4754*G4754)-I4754, X)),IF(C4754="Buy",(L4754*G4754*100)+I4754,IF(C4754="Sell",(L4754*G4754*100)-I4754, X))))</f>
        <v/>
      </c>
      <c r="N4754" s="78">
        <f>IF(ISBLANK(L4754),"",IF(AND(C4754="Sell",D4754="Stock"),M4754,IF(ISBLANK(L4754),"",IF(C4754="Buy",M4754, IF(AND(C4754="Sell",J4754="NA"),(E4754*G4754*100*0.1)+I4754, IF(C4754="Sell",(J4754-L4754)*(100*G4754)+I4754))))))</f>
        <v/>
      </c>
      <c r="O4754" s="75" t="n"/>
      <c r="P4754" s="75" t="n"/>
      <c r="Q4754" s="75">
        <f>IF(ISBLANK(P4754),"",IF(D4754="Stock",P4754*G4754,IF(P4754=0,"0",G4754*P4754*100-(G4754*$AF$14))))</f>
        <v/>
      </c>
      <c r="R4754" s="79">
        <f>IF(P4754&lt;&gt;"", TODAY(), "")</f>
        <v/>
      </c>
      <c r="S4754" s="78">
        <f>IF(AND(K4754&lt;&gt;"", R4754&lt;&gt;""), R4754-K4754, "")</f>
        <v/>
      </c>
      <c r="T4754" s="78" t="n"/>
      <c r="U4754" s="92">
        <f>IF(ISBLANK(P4754),"",IF(C4754="Buy",Q4754-M4754+T4754, IF(C4754="Sell",M4754-Q4754-T4754, X)))</f>
        <v/>
      </c>
      <c r="V4754" s="81">
        <f>IF(ISBLANK(P4754),"",U4754/N4754)</f>
        <v/>
      </c>
      <c r="W4754" s="81">
        <f>IF(ISBLANK(P4754),"",IF(S4754=0,(365/0.5)*V4754,(365/S4754)*V4754))</f>
        <v/>
      </c>
      <c r="X4754" s="75" t="n"/>
      <c r="Y4754" s="77" t="n"/>
      <c r="Z4754" s="77" t="n"/>
      <c r="AA4754" s="75" t="n"/>
      <c r="AB4754" s="75" t="n"/>
      <c r="AC4754" s="6" t="n"/>
      <c r="AD4754" s="75" t="n"/>
      <c r="AE4754" s="75" t="n"/>
      <c r="AF4754" s="75" t="n"/>
    </row>
    <row r="4755" ht="15.75" customHeight="1" s="133">
      <c r="A4755" s="75" t="n"/>
      <c r="B4755" s="75" t="n"/>
      <c r="C4755" s="75" t="n"/>
      <c r="D4755" s="75" t="n"/>
      <c r="E4755" s="76" t="n"/>
      <c r="F4755" s="77" t="n"/>
      <c r="G4755" s="75" t="n"/>
      <c r="H4755" s="75">
        <f>IF(ISBLANK(E4755),"",IF(OR(D4755="Butterfly",D4755="Butterfly ",D4755="Iron Fly", D4755="Iron Fly "),LEN(E4755)-LEN(SUBSTITUTE(E4755,"/",""))+2,LEN(E4755)-LEN(SUBSTITUTE(E4755,"/",""))+1))</f>
        <v/>
      </c>
      <c r="I4755" s="78">
        <f>IF(ISBLANK(G4755),"",IF(D4755="Stock","0",Key!$A$3*H4755*G4755))</f>
        <v/>
      </c>
      <c r="J4755" s="78">
        <f>IF(ISBLANK(E4755),"",IF(ISNUMBER(SEARCH("/",E4755)), IF(LEN(E4755)-LEN(SUBSTITUTE(E4755,"/",""))=1,(RIGHT(E4755,LEN(E4755)-FIND("/",E4755)))-(LEFT(E4755,FIND("/",E4755)-1)),(MID(E4755, SEARCH("/",E4755) + 1, SEARCH("/",E4755, SEARCH("/",E4755)+1) - SEARCH("/",E4755) - 1))-(LEFT(E4755,FIND("/",E4755)-1))), "NA"))</f>
        <v/>
      </c>
      <c r="K4755" s="79">
        <f>IF(A4755&lt;&gt;"", IF(ISBLANK(L4755), TODAY(), K4755), "")</f>
        <v/>
      </c>
      <c r="L4755" s="78" t="n"/>
      <c r="M4755" s="78">
        <f>IF(ISBLANK(L4755),"",IF(D4755="Stock",IF(C4755="Buy",L4755*G4755,IF(C4755="Sell",(L4755*G4755)-I4755, X)),IF(C4755="Buy",(L4755*G4755*100)+I4755,IF(C4755="Sell",(L4755*G4755*100)-I4755, X))))</f>
        <v/>
      </c>
      <c r="N4755" s="78">
        <f>IF(ISBLANK(L4755),"",IF(AND(C4755="Sell",D4755="Stock"),M4755,IF(ISBLANK(L4755),"",IF(C4755="Buy",M4755, IF(AND(C4755="Sell",J4755="NA"),(E4755*G4755*100*0.1)+I4755, IF(C4755="Sell",(J4755-L4755)*(100*G4755)+I4755))))))</f>
        <v/>
      </c>
      <c r="O4755" s="75" t="n"/>
      <c r="P4755" s="75" t="n"/>
      <c r="Q4755" s="75">
        <f>IF(ISBLANK(P4755),"",IF(D4755="Stock",P4755*G4755,IF(P4755=0,"0",G4755*P4755*100-(G4755*$AF$14))))</f>
        <v/>
      </c>
      <c r="R4755" s="79">
        <f>IF(P4755&lt;&gt;"", TODAY(), "")</f>
        <v/>
      </c>
      <c r="S4755" s="78">
        <f>IF(AND(K4755&lt;&gt;"", R4755&lt;&gt;""), R4755-K4755, "")</f>
        <v/>
      </c>
      <c r="T4755" s="78" t="n"/>
      <c r="U4755" s="92">
        <f>IF(ISBLANK(P4755),"",IF(C4755="Buy",Q4755-M4755+T4755, IF(C4755="Sell",M4755-Q4755-T4755, X)))</f>
        <v/>
      </c>
      <c r="V4755" s="81">
        <f>IF(ISBLANK(P4755),"",U4755/N4755)</f>
        <v/>
      </c>
      <c r="W4755" s="81">
        <f>IF(ISBLANK(P4755),"",IF(S4755=0,(365/0.5)*V4755,(365/S4755)*V4755))</f>
        <v/>
      </c>
      <c r="X4755" s="75" t="n"/>
      <c r="Y4755" s="77" t="n"/>
      <c r="Z4755" s="77" t="n"/>
      <c r="AA4755" s="75" t="n"/>
      <c r="AB4755" s="75" t="n"/>
      <c r="AC4755" s="6" t="n"/>
      <c r="AD4755" s="75" t="n"/>
      <c r="AE4755" s="75" t="n"/>
      <c r="AF4755" s="75" t="n"/>
    </row>
    <row r="4756" ht="15.75" customHeight="1" s="133">
      <c r="A4756" s="75" t="n"/>
      <c r="B4756" s="75" t="n"/>
      <c r="C4756" s="75" t="n"/>
      <c r="D4756" s="75" t="n"/>
      <c r="E4756" s="76" t="n"/>
      <c r="F4756" s="77" t="n"/>
      <c r="G4756" s="75" t="n"/>
      <c r="H4756" s="75">
        <f>IF(ISBLANK(E4756),"",IF(OR(D4756="Butterfly",D4756="Butterfly ",D4756="Iron Fly", D4756="Iron Fly "),LEN(E4756)-LEN(SUBSTITUTE(E4756,"/",""))+2,LEN(E4756)-LEN(SUBSTITUTE(E4756,"/",""))+1))</f>
        <v/>
      </c>
      <c r="I4756" s="78">
        <f>IF(ISBLANK(G4756),"",IF(D4756="Stock","0",Key!$A$3*H4756*G4756))</f>
        <v/>
      </c>
      <c r="J4756" s="78">
        <f>IF(ISBLANK(E4756),"",IF(ISNUMBER(SEARCH("/",E4756)), IF(LEN(E4756)-LEN(SUBSTITUTE(E4756,"/",""))=1,(RIGHT(E4756,LEN(E4756)-FIND("/",E4756)))-(LEFT(E4756,FIND("/",E4756)-1)),(MID(E4756, SEARCH("/",E4756) + 1, SEARCH("/",E4756, SEARCH("/",E4756)+1) - SEARCH("/",E4756) - 1))-(LEFT(E4756,FIND("/",E4756)-1))), "NA"))</f>
        <v/>
      </c>
      <c r="K4756" s="79">
        <f>IF(A4756&lt;&gt;"", IF(ISBLANK(L4756), TODAY(), K4756), "")</f>
        <v/>
      </c>
      <c r="L4756" s="78" t="n"/>
      <c r="M4756" s="78">
        <f>IF(ISBLANK(L4756),"",IF(D4756="Stock",IF(C4756="Buy",L4756*G4756,IF(C4756="Sell",(L4756*G4756)-I4756, X)),IF(C4756="Buy",(L4756*G4756*100)+I4756,IF(C4756="Sell",(L4756*G4756*100)-I4756, X))))</f>
        <v/>
      </c>
      <c r="N4756" s="78">
        <f>IF(ISBLANK(L4756),"",IF(AND(C4756="Sell",D4756="Stock"),M4756,IF(ISBLANK(L4756),"",IF(C4756="Buy",M4756, IF(AND(C4756="Sell",J4756="NA"),(E4756*G4756*100*0.1)+I4756, IF(C4756="Sell",(J4756-L4756)*(100*G4756)+I4756))))))</f>
        <v/>
      </c>
      <c r="O4756" s="75" t="n"/>
      <c r="P4756" s="75" t="n"/>
      <c r="Q4756" s="75">
        <f>IF(ISBLANK(P4756),"",IF(D4756="Stock",P4756*G4756,IF(P4756=0,"0",G4756*P4756*100-(G4756*$AF$14))))</f>
        <v/>
      </c>
      <c r="R4756" s="79">
        <f>IF(P4756&lt;&gt;"", TODAY(), "")</f>
        <v/>
      </c>
      <c r="S4756" s="78">
        <f>IF(AND(K4756&lt;&gt;"", R4756&lt;&gt;""), R4756-K4756, "")</f>
        <v/>
      </c>
      <c r="T4756" s="78" t="n"/>
      <c r="U4756" s="92">
        <f>IF(ISBLANK(P4756),"",IF(C4756="Buy",Q4756-M4756+T4756, IF(C4756="Sell",M4756-Q4756-T4756, X)))</f>
        <v/>
      </c>
      <c r="V4756" s="81">
        <f>IF(ISBLANK(P4756),"",U4756/N4756)</f>
        <v/>
      </c>
      <c r="W4756" s="81">
        <f>IF(ISBLANK(P4756),"",IF(S4756=0,(365/0.5)*V4756,(365/S4756)*V4756))</f>
        <v/>
      </c>
      <c r="X4756" s="75" t="n"/>
      <c r="Y4756" s="77" t="n"/>
      <c r="Z4756" s="77" t="n"/>
      <c r="AA4756" s="75" t="n"/>
      <c r="AB4756" s="75" t="n"/>
      <c r="AC4756" s="6" t="n"/>
      <c r="AD4756" s="75" t="n"/>
      <c r="AE4756" s="75" t="n"/>
      <c r="AF4756" s="75" t="n"/>
    </row>
    <row r="4757" ht="15.75" customHeight="1" s="133">
      <c r="A4757" s="75" t="n"/>
      <c r="B4757" s="75" t="n"/>
      <c r="C4757" s="75" t="n"/>
      <c r="D4757" s="75" t="n"/>
      <c r="E4757" s="76" t="n"/>
      <c r="F4757" s="77" t="n"/>
      <c r="G4757" s="75" t="n"/>
      <c r="H4757" s="75">
        <f>IF(ISBLANK(E4757),"",IF(OR(D4757="Butterfly",D4757="Butterfly ",D4757="Iron Fly", D4757="Iron Fly "),LEN(E4757)-LEN(SUBSTITUTE(E4757,"/",""))+2,LEN(E4757)-LEN(SUBSTITUTE(E4757,"/",""))+1))</f>
        <v/>
      </c>
      <c r="I4757" s="78">
        <f>IF(ISBLANK(G4757),"",IF(D4757="Stock","0",Key!$A$3*H4757*G4757))</f>
        <v/>
      </c>
      <c r="J4757" s="78">
        <f>IF(ISBLANK(E4757),"",IF(ISNUMBER(SEARCH("/",E4757)), IF(LEN(E4757)-LEN(SUBSTITUTE(E4757,"/",""))=1,(RIGHT(E4757,LEN(E4757)-FIND("/",E4757)))-(LEFT(E4757,FIND("/",E4757)-1)),(MID(E4757, SEARCH("/",E4757) + 1, SEARCH("/",E4757, SEARCH("/",E4757)+1) - SEARCH("/",E4757) - 1))-(LEFT(E4757,FIND("/",E4757)-1))), "NA"))</f>
        <v/>
      </c>
      <c r="K4757" s="79">
        <f>IF(A4757&lt;&gt;"", IF(ISBLANK(L4757), TODAY(), K4757), "")</f>
        <v/>
      </c>
      <c r="L4757" s="78" t="n"/>
      <c r="M4757" s="78">
        <f>IF(ISBLANK(L4757),"",IF(D4757="Stock",IF(C4757="Buy",L4757*G4757,IF(C4757="Sell",(L4757*G4757)-I4757, X)),IF(C4757="Buy",(L4757*G4757*100)+I4757,IF(C4757="Sell",(L4757*G4757*100)-I4757, X))))</f>
        <v/>
      </c>
      <c r="N4757" s="78">
        <f>IF(ISBLANK(L4757),"",IF(AND(C4757="Sell",D4757="Stock"),M4757,IF(ISBLANK(L4757),"",IF(C4757="Buy",M4757, IF(AND(C4757="Sell",J4757="NA"),(E4757*G4757*100*0.1)+I4757, IF(C4757="Sell",(J4757-L4757)*(100*G4757)+I4757))))))</f>
        <v/>
      </c>
      <c r="O4757" s="75" t="n"/>
      <c r="P4757" s="75" t="n"/>
      <c r="Q4757" s="75">
        <f>IF(ISBLANK(P4757),"",IF(D4757="Stock",P4757*G4757,IF(P4757=0,"0",G4757*P4757*100-(G4757*$AF$14))))</f>
        <v/>
      </c>
      <c r="R4757" s="79">
        <f>IF(P4757&lt;&gt;"", TODAY(), "")</f>
        <v/>
      </c>
      <c r="S4757" s="78">
        <f>IF(AND(K4757&lt;&gt;"", R4757&lt;&gt;""), R4757-K4757, "")</f>
        <v/>
      </c>
      <c r="T4757" s="78" t="n"/>
      <c r="U4757" s="92">
        <f>IF(ISBLANK(P4757),"",IF(C4757="Buy",Q4757-M4757+T4757, IF(C4757="Sell",M4757-Q4757-T4757, X)))</f>
        <v/>
      </c>
      <c r="V4757" s="81">
        <f>IF(ISBLANK(P4757),"",U4757/N4757)</f>
        <v/>
      </c>
      <c r="W4757" s="81">
        <f>IF(ISBLANK(P4757),"",IF(S4757=0,(365/0.5)*V4757,(365/S4757)*V4757))</f>
        <v/>
      </c>
      <c r="X4757" s="75" t="n"/>
      <c r="Y4757" s="77" t="n"/>
      <c r="Z4757" s="77" t="n"/>
      <c r="AA4757" s="75" t="n"/>
      <c r="AB4757" s="75" t="n"/>
      <c r="AC4757" s="6" t="n"/>
      <c r="AD4757" s="75" t="n"/>
      <c r="AE4757" s="75" t="n"/>
      <c r="AF4757" s="75" t="n"/>
    </row>
    <row r="4758" ht="15.75" customHeight="1" s="133">
      <c r="A4758" s="75" t="n"/>
      <c r="B4758" s="75" t="n"/>
      <c r="C4758" s="75" t="n"/>
      <c r="D4758" s="75" t="n"/>
      <c r="E4758" s="76" t="n"/>
      <c r="F4758" s="77" t="n"/>
      <c r="G4758" s="75" t="n"/>
      <c r="H4758" s="75">
        <f>IF(ISBLANK(E4758),"",IF(OR(D4758="Butterfly",D4758="Butterfly ",D4758="Iron Fly", D4758="Iron Fly "),LEN(E4758)-LEN(SUBSTITUTE(E4758,"/",""))+2,LEN(E4758)-LEN(SUBSTITUTE(E4758,"/",""))+1))</f>
        <v/>
      </c>
      <c r="I4758" s="78">
        <f>IF(ISBLANK(G4758),"",IF(D4758="Stock","0",Key!$A$3*H4758*G4758))</f>
        <v/>
      </c>
      <c r="J4758" s="78">
        <f>IF(ISBLANK(E4758),"",IF(ISNUMBER(SEARCH("/",E4758)), IF(LEN(E4758)-LEN(SUBSTITUTE(E4758,"/",""))=1,(RIGHT(E4758,LEN(E4758)-FIND("/",E4758)))-(LEFT(E4758,FIND("/",E4758)-1)),(MID(E4758, SEARCH("/",E4758) + 1, SEARCH("/",E4758, SEARCH("/",E4758)+1) - SEARCH("/",E4758) - 1))-(LEFT(E4758,FIND("/",E4758)-1))), "NA"))</f>
        <v/>
      </c>
      <c r="K4758" s="79">
        <f>IF(A4758&lt;&gt;"", IF(ISBLANK(L4758), TODAY(), K4758), "")</f>
        <v/>
      </c>
      <c r="L4758" s="78" t="n"/>
      <c r="M4758" s="78">
        <f>IF(ISBLANK(L4758),"",IF(D4758="Stock",IF(C4758="Buy",L4758*G4758,IF(C4758="Sell",(L4758*G4758)-I4758, X)),IF(C4758="Buy",(L4758*G4758*100)+I4758,IF(C4758="Sell",(L4758*G4758*100)-I4758, X))))</f>
        <v/>
      </c>
      <c r="N4758" s="78">
        <f>IF(ISBLANK(L4758),"",IF(AND(C4758="Sell",D4758="Stock"),M4758,IF(ISBLANK(L4758),"",IF(C4758="Buy",M4758, IF(AND(C4758="Sell",J4758="NA"),(E4758*G4758*100*0.1)+I4758, IF(C4758="Sell",(J4758-L4758)*(100*G4758)+I4758))))))</f>
        <v/>
      </c>
      <c r="O4758" s="75" t="n"/>
      <c r="P4758" s="75" t="n"/>
      <c r="Q4758" s="75">
        <f>IF(ISBLANK(P4758),"",IF(D4758="Stock",P4758*G4758,IF(P4758=0,"0",G4758*P4758*100-(G4758*$AF$14))))</f>
        <v/>
      </c>
      <c r="R4758" s="79">
        <f>IF(P4758&lt;&gt;"", TODAY(), "")</f>
        <v/>
      </c>
      <c r="S4758" s="78">
        <f>IF(AND(K4758&lt;&gt;"", R4758&lt;&gt;""), R4758-K4758, "")</f>
        <v/>
      </c>
      <c r="T4758" s="78" t="n"/>
      <c r="U4758" s="92">
        <f>IF(ISBLANK(P4758),"",IF(C4758="Buy",Q4758-M4758+T4758, IF(C4758="Sell",M4758-Q4758-T4758, X)))</f>
        <v/>
      </c>
      <c r="V4758" s="81">
        <f>IF(ISBLANK(P4758),"",U4758/N4758)</f>
        <v/>
      </c>
      <c r="W4758" s="81">
        <f>IF(ISBLANK(P4758),"",IF(S4758=0,(365/0.5)*V4758,(365/S4758)*V4758))</f>
        <v/>
      </c>
      <c r="X4758" s="75" t="n"/>
      <c r="Y4758" s="77" t="n"/>
      <c r="Z4758" s="77" t="n"/>
      <c r="AA4758" s="75" t="n"/>
      <c r="AB4758" s="75" t="n"/>
      <c r="AC4758" s="6" t="n"/>
      <c r="AD4758" s="75" t="n"/>
      <c r="AE4758" s="75" t="n"/>
      <c r="AF4758" s="75" t="n"/>
    </row>
    <row r="4759" ht="15.75" customHeight="1" s="133">
      <c r="A4759" s="75" t="n"/>
      <c r="B4759" s="75" t="n"/>
      <c r="C4759" s="75" t="n"/>
      <c r="D4759" s="75" t="n"/>
      <c r="E4759" s="76" t="n"/>
      <c r="F4759" s="77" t="n"/>
      <c r="G4759" s="75" t="n"/>
      <c r="H4759" s="75">
        <f>IF(ISBLANK(E4759),"",IF(OR(D4759="Butterfly",D4759="Butterfly ",D4759="Iron Fly", D4759="Iron Fly "),LEN(E4759)-LEN(SUBSTITUTE(E4759,"/",""))+2,LEN(E4759)-LEN(SUBSTITUTE(E4759,"/",""))+1))</f>
        <v/>
      </c>
      <c r="I4759" s="78">
        <f>IF(ISBLANK(G4759),"",IF(D4759="Stock","0",Key!$A$3*H4759*G4759))</f>
        <v/>
      </c>
      <c r="J4759" s="78">
        <f>IF(ISBLANK(E4759),"",IF(ISNUMBER(SEARCH("/",E4759)), IF(LEN(E4759)-LEN(SUBSTITUTE(E4759,"/",""))=1,(RIGHT(E4759,LEN(E4759)-FIND("/",E4759)))-(LEFT(E4759,FIND("/",E4759)-1)),(MID(E4759, SEARCH("/",E4759) + 1, SEARCH("/",E4759, SEARCH("/",E4759)+1) - SEARCH("/",E4759) - 1))-(LEFT(E4759,FIND("/",E4759)-1))), "NA"))</f>
        <v/>
      </c>
      <c r="K4759" s="79">
        <f>IF(A4759&lt;&gt;"", IF(ISBLANK(L4759), TODAY(), K4759), "")</f>
        <v/>
      </c>
      <c r="L4759" s="78" t="n"/>
      <c r="M4759" s="78">
        <f>IF(ISBLANK(L4759),"",IF(D4759="Stock",IF(C4759="Buy",L4759*G4759,IF(C4759="Sell",(L4759*G4759)-I4759, X)),IF(C4759="Buy",(L4759*G4759*100)+I4759,IF(C4759="Sell",(L4759*G4759*100)-I4759, X))))</f>
        <v/>
      </c>
      <c r="N4759" s="78">
        <f>IF(ISBLANK(L4759),"",IF(AND(C4759="Sell",D4759="Stock"),M4759,IF(ISBLANK(L4759),"",IF(C4759="Buy",M4759, IF(AND(C4759="Sell",J4759="NA"),(E4759*G4759*100*0.1)+I4759, IF(C4759="Sell",(J4759-L4759)*(100*G4759)+I4759))))))</f>
        <v/>
      </c>
      <c r="O4759" s="75" t="n"/>
      <c r="P4759" s="75" t="n"/>
      <c r="Q4759" s="75">
        <f>IF(ISBLANK(P4759),"",IF(D4759="Stock",P4759*G4759,IF(P4759=0,"0",G4759*P4759*100-(G4759*$AF$14))))</f>
        <v/>
      </c>
      <c r="R4759" s="79">
        <f>IF(P4759&lt;&gt;"", TODAY(), "")</f>
        <v/>
      </c>
      <c r="S4759" s="78">
        <f>IF(AND(K4759&lt;&gt;"", R4759&lt;&gt;""), R4759-K4759, "")</f>
        <v/>
      </c>
      <c r="T4759" s="78" t="n"/>
      <c r="U4759" s="92">
        <f>IF(ISBLANK(P4759),"",IF(C4759="Buy",Q4759-M4759+T4759, IF(C4759="Sell",M4759-Q4759-T4759, X)))</f>
        <v/>
      </c>
      <c r="V4759" s="81">
        <f>IF(ISBLANK(P4759),"",U4759/N4759)</f>
        <v/>
      </c>
      <c r="W4759" s="81">
        <f>IF(ISBLANK(P4759),"",IF(S4759=0,(365/0.5)*V4759,(365/S4759)*V4759))</f>
        <v/>
      </c>
      <c r="X4759" s="75" t="n"/>
      <c r="Y4759" s="77" t="n"/>
      <c r="Z4759" s="77" t="n"/>
      <c r="AA4759" s="75" t="n"/>
      <c r="AB4759" s="75" t="n"/>
      <c r="AC4759" s="6" t="n"/>
      <c r="AD4759" s="75" t="n"/>
      <c r="AE4759" s="75" t="n"/>
      <c r="AF4759" s="75" t="n"/>
    </row>
    <row r="4760" ht="15.75" customHeight="1" s="133">
      <c r="A4760" s="75" t="n"/>
      <c r="B4760" s="75" t="n"/>
      <c r="C4760" s="75" t="n"/>
      <c r="D4760" s="75" t="n"/>
      <c r="E4760" s="76" t="n"/>
      <c r="F4760" s="77" t="n"/>
      <c r="G4760" s="75" t="n"/>
      <c r="H4760" s="75">
        <f>IF(ISBLANK(E4760),"",IF(OR(D4760="Butterfly",D4760="Butterfly ",D4760="Iron Fly", D4760="Iron Fly "),LEN(E4760)-LEN(SUBSTITUTE(E4760,"/",""))+2,LEN(E4760)-LEN(SUBSTITUTE(E4760,"/",""))+1))</f>
        <v/>
      </c>
      <c r="I4760" s="78">
        <f>IF(ISBLANK(G4760),"",IF(D4760="Stock","0",Key!$A$3*H4760*G4760))</f>
        <v/>
      </c>
      <c r="J4760" s="78">
        <f>IF(ISBLANK(E4760),"",IF(ISNUMBER(SEARCH("/",E4760)), IF(LEN(E4760)-LEN(SUBSTITUTE(E4760,"/",""))=1,(RIGHT(E4760,LEN(E4760)-FIND("/",E4760)))-(LEFT(E4760,FIND("/",E4760)-1)),(MID(E4760, SEARCH("/",E4760) + 1, SEARCH("/",E4760, SEARCH("/",E4760)+1) - SEARCH("/",E4760) - 1))-(LEFT(E4760,FIND("/",E4760)-1))), "NA"))</f>
        <v/>
      </c>
      <c r="K4760" s="79">
        <f>IF(A4760&lt;&gt;"", IF(ISBLANK(L4760), TODAY(), K4760), "")</f>
        <v/>
      </c>
      <c r="L4760" s="78" t="n"/>
      <c r="M4760" s="78">
        <f>IF(ISBLANK(L4760),"",IF(D4760="Stock",IF(C4760="Buy",L4760*G4760,IF(C4760="Sell",(L4760*G4760)-I4760, X)),IF(C4760="Buy",(L4760*G4760*100)+I4760,IF(C4760="Sell",(L4760*G4760*100)-I4760, X))))</f>
        <v/>
      </c>
      <c r="N4760" s="78">
        <f>IF(ISBLANK(L4760),"",IF(AND(C4760="Sell",D4760="Stock"),M4760,IF(ISBLANK(L4760),"",IF(C4760="Buy",M4760, IF(AND(C4760="Sell",J4760="NA"),(E4760*G4760*100*0.1)+I4760, IF(C4760="Sell",(J4760-L4760)*(100*G4760)+I4760))))))</f>
        <v/>
      </c>
      <c r="O4760" s="75" t="n"/>
      <c r="P4760" s="75" t="n"/>
      <c r="Q4760" s="75">
        <f>IF(ISBLANK(P4760),"",IF(D4760="Stock",P4760*G4760,IF(P4760=0,"0",G4760*P4760*100-(G4760*$AF$14))))</f>
        <v/>
      </c>
      <c r="R4760" s="79">
        <f>IF(P4760&lt;&gt;"", TODAY(), "")</f>
        <v/>
      </c>
      <c r="S4760" s="78">
        <f>IF(AND(K4760&lt;&gt;"", R4760&lt;&gt;""), R4760-K4760, "")</f>
        <v/>
      </c>
      <c r="T4760" s="78" t="n"/>
      <c r="U4760" s="92">
        <f>IF(ISBLANK(P4760),"",IF(C4760="Buy",Q4760-M4760+T4760, IF(C4760="Sell",M4760-Q4760-T4760, X)))</f>
        <v/>
      </c>
      <c r="V4760" s="81">
        <f>IF(ISBLANK(P4760),"",U4760/N4760)</f>
        <v/>
      </c>
      <c r="W4760" s="81">
        <f>IF(ISBLANK(P4760),"",IF(S4760=0,(365/0.5)*V4760,(365/S4760)*V4760))</f>
        <v/>
      </c>
      <c r="X4760" s="75" t="n"/>
      <c r="Y4760" s="77" t="n"/>
      <c r="Z4760" s="77" t="n"/>
      <c r="AA4760" s="75" t="n"/>
      <c r="AB4760" s="75" t="n"/>
      <c r="AC4760" s="6" t="n"/>
      <c r="AD4760" s="75" t="n"/>
      <c r="AE4760" s="75" t="n"/>
      <c r="AF4760" s="75" t="n"/>
    </row>
    <row r="4761" ht="15.75" customHeight="1" s="133">
      <c r="A4761" s="75" t="n"/>
      <c r="B4761" s="75" t="n"/>
      <c r="C4761" s="75" t="n"/>
      <c r="D4761" s="75" t="n"/>
      <c r="E4761" s="76" t="n"/>
      <c r="F4761" s="77" t="n"/>
      <c r="G4761" s="75" t="n"/>
      <c r="H4761" s="75">
        <f>IF(ISBLANK(E4761),"",IF(OR(D4761="Butterfly",D4761="Butterfly ",D4761="Iron Fly", D4761="Iron Fly "),LEN(E4761)-LEN(SUBSTITUTE(E4761,"/",""))+2,LEN(E4761)-LEN(SUBSTITUTE(E4761,"/",""))+1))</f>
        <v/>
      </c>
      <c r="I4761" s="78">
        <f>IF(ISBLANK(G4761),"",IF(D4761="Stock","0",Key!$A$3*H4761*G4761))</f>
        <v/>
      </c>
      <c r="J4761" s="78">
        <f>IF(ISBLANK(E4761),"",IF(ISNUMBER(SEARCH("/",E4761)), IF(LEN(E4761)-LEN(SUBSTITUTE(E4761,"/",""))=1,(RIGHT(E4761,LEN(E4761)-FIND("/",E4761)))-(LEFT(E4761,FIND("/",E4761)-1)),(MID(E4761, SEARCH("/",E4761) + 1, SEARCH("/",E4761, SEARCH("/",E4761)+1) - SEARCH("/",E4761) - 1))-(LEFT(E4761,FIND("/",E4761)-1))), "NA"))</f>
        <v/>
      </c>
      <c r="K4761" s="79">
        <f>IF(A4761&lt;&gt;"", IF(ISBLANK(L4761), TODAY(), K4761), "")</f>
        <v/>
      </c>
      <c r="L4761" s="78" t="n"/>
      <c r="M4761" s="78">
        <f>IF(ISBLANK(L4761),"",IF(D4761="Stock",IF(C4761="Buy",L4761*G4761,IF(C4761="Sell",(L4761*G4761)-I4761, X)),IF(C4761="Buy",(L4761*G4761*100)+I4761,IF(C4761="Sell",(L4761*G4761*100)-I4761, X))))</f>
        <v/>
      </c>
      <c r="N4761" s="78">
        <f>IF(ISBLANK(L4761),"",IF(AND(C4761="Sell",D4761="Stock"),M4761,IF(ISBLANK(L4761),"",IF(C4761="Buy",M4761, IF(AND(C4761="Sell",J4761="NA"),(E4761*G4761*100*0.1)+I4761, IF(C4761="Sell",(J4761-L4761)*(100*G4761)+I4761))))))</f>
        <v/>
      </c>
      <c r="O4761" s="75" t="n"/>
      <c r="P4761" s="75" t="n"/>
      <c r="Q4761" s="75">
        <f>IF(ISBLANK(P4761),"",IF(D4761="Stock",P4761*G4761,IF(P4761=0,"0",G4761*P4761*100-(G4761*$AF$14))))</f>
        <v/>
      </c>
      <c r="R4761" s="79">
        <f>IF(P4761&lt;&gt;"", TODAY(), "")</f>
        <v/>
      </c>
      <c r="S4761" s="78">
        <f>IF(AND(K4761&lt;&gt;"", R4761&lt;&gt;""), R4761-K4761, "")</f>
        <v/>
      </c>
      <c r="T4761" s="78" t="n"/>
      <c r="U4761" s="92">
        <f>IF(ISBLANK(P4761),"",IF(C4761="Buy",Q4761-M4761+T4761, IF(C4761="Sell",M4761-Q4761-T4761, X)))</f>
        <v/>
      </c>
      <c r="V4761" s="81">
        <f>IF(ISBLANK(P4761),"",U4761/N4761)</f>
        <v/>
      </c>
      <c r="W4761" s="81">
        <f>IF(ISBLANK(P4761),"",IF(S4761=0,(365/0.5)*V4761,(365/S4761)*V4761))</f>
        <v/>
      </c>
      <c r="X4761" s="75" t="n"/>
      <c r="Y4761" s="77" t="n"/>
      <c r="Z4761" s="77" t="n"/>
      <c r="AA4761" s="75" t="n"/>
      <c r="AB4761" s="75" t="n"/>
      <c r="AC4761" s="6" t="n"/>
      <c r="AD4761" s="75" t="n"/>
      <c r="AE4761" s="75" t="n"/>
      <c r="AF4761" s="75" t="n"/>
    </row>
    <row r="4762" ht="15.75" customHeight="1" s="133">
      <c r="A4762" s="75" t="n"/>
      <c r="B4762" s="75" t="n"/>
      <c r="C4762" s="75" t="n"/>
      <c r="D4762" s="75" t="n"/>
      <c r="E4762" s="76" t="n"/>
      <c r="F4762" s="77" t="n"/>
      <c r="G4762" s="75" t="n"/>
      <c r="H4762" s="75">
        <f>IF(ISBLANK(E4762),"",IF(OR(D4762="Butterfly",D4762="Butterfly ",D4762="Iron Fly", D4762="Iron Fly "),LEN(E4762)-LEN(SUBSTITUTE(E4762,"/",""))+2,LEN(E4762)-LEN(SUBSTITUTE(E4762,"/",""))+1))</f>
        <v/>
      </c>
      <c r="I4762" s="78">
        <f>IF(ISBLANK(G4762),"",IF(D4762="Stock","0",Key!$A$3*H4762*G4762))</f>
        <v/>
      </c>
      <c r="J4762" s="78">
        <f>IF(ISBLANK(E4762),"",IF(ISNUMBER(SEARCH("/",E4762)), IF(LEN(E4762)-LEN(SUBSTITUTE(E4762,"/",""))=1,(RIGHT(E4762,LEN(E4762)-FIND("/",E4762)))-(LEFT(E4762,FIND("/",E4762)-1)),(MID(E4762, SEARCH("/",E4762) + 1, SEARCH("/",E4762, SEARCH("/",E4762)+1) - SEARCH("/",E4762) - 1))-(LEFT(E4762,FIND("/",E4762)-1))), "NA"))</f>
        <v/>
      </c>
      <c r="K4762" s="79">
        <f>IF(A4762&lt;&gt;"", IF(ISBLANK(L4762), TODAY(), K4762), "")</f>
        <v/>
      </c>
      <c r="L4762" s="78" t="n"/>
      <c r="M4762" s="78">
        <f>IF(ISBLANK(L4762),"",IF(D4762="Stock",IF(C4762="Buy",L4762*G4762,IF(C4762="Sell",(L4762*G4762)-I4762, X)),IF(C4762="Buy",(L4762*G4762*100)+I4762,IF(C4762="Sell",(L4762*G4762*100)-I4762, X))))</f>
        <v/>
      </c>
      <c r="N4762" s="78">
        <f>IF(ISBLANK(L4762),"",IF(AND(C4762="Sell",D4762="Stock"),M4762,IF(ISBLANK(L4762),"",IF(C4762="Buy",M4762, IF(AND(C4762="Sell",J4762="NA"),(E4762*G4762*100*0.1)+I4762, IF(C4762="Sell",(J4762-L4762)*(100*G4762)+I4762))))))</f>
        <v/>
      </c>
      <c r="O4762" s="75" t="n"/>
      <c r="P4762" s="75" t="n"/>
      <c r="Q4762" s="75">
        <f>IF(ISBLANK(P4762),"",IF(D4762="Stock",P4762*G4762,IF(P4762=0,"0",G4762*P4762*100-(G4762*$AF$14))))</f>
        <v/>
      </c>
      <c r="R4762" s="79">
        <f>IF(P4762&lt;&gt;"", TODAY(), "")</f>
        <v/>
      </c>
      <c r="S4762" s="78">
        <f>IF(AND(K4762&lt;&gt;"", R4762&lt;&gt;""), R4762-K4762, "")</f>
        <v/>
      </c>
      <c r="T4762" s="78" t="n"/>
      <c r="U4762" s="92">
        <f>IF(ISBLANK(P4762),"",IF(C4762="Buy",Q4762-M4762+T4762, IF(C4762="Sell",M4762-Q4762-T4762, X)))</f>
        <v/>
      </c>
      <c r="V4762" s="81">
        <f>IF(ISBLANK(P4762),"",U4762/N4762)</f>
        <v/>
      </c>
      <c r="W4762" s="81">
        <f>IF(ISBLANK(P4762),"",IF(S4762=0,(365/0.5)*V4762,(365/S4762)*V4762))</f>
        <v/>
      </c>
      <c r="X4762" s="75" t="n"/>
      <c r="Y4762" s="77" t="n"/>
      <c r="Z4762" s="77" t="n"/>
      <c r="AA4762" s="75" t="n"/>
      <c r="AB4762" s="75" t="n"/>
      <c r="AC4762" s="6" t="n"/>
      <c r="AD4762" s="75" t="n"/>
      <c r="AE4762" s="75" t="n"/>
      <c r="AF4762" s="75" t="n"/>
    </row>
    <row r="4763" ht="15.75" customHeight="1" s="133">
      <c r="A4763" s="75" t="n"/>
      <c r="B4763" s="75" t="n"/>
      <c r="C4763" s="75" t="n"/>
      <c r="D4763" s="75" t="n"/>
      <c r="E4763" s="76" t="n"/>
      <c r="F4763" s="77" t="n"/>
      <c r="G4763" s="75" t="n"/>
      <c r="H4763" s="75">
        <f>IF(ISBLANK(E4763),"",IF(OR(D4763="Butterfly",D4763="Butterfly ",D4763="Iron Fly", D4763="Iron Fly "),LEN(E4763)-LEN(SUBSTITUTE(E4763,"/",""))+2,LEN(E4763)-LEN(SUBSTITUTE(E4763,"/",""))+1))</f>
        <v/>
      </c>
      <c r="I4763" s="78">
        <f>IF(ISBLANK(G4763),"",IF(D4763="Stock","0",Key!$A$3*H4763*G4763))</f>
        <v/>
      </c>
      <c r="J4763" s="78">
        <f>IF(ISBLANK(E4763),"",IF(ISNUMBER(SEARCH("/",E4763)), IF(LEN(E4763)-LEN(SUBSTITUTE(E4763,"/",""))=1,(RIGHT(E4763,LEN(E4763)-FIND("/",E4763)))-(LEFT(E4763,FIND("/",E4763)-1)),(MID(E4763, SEARCH("/",E4763) + 1, SEARCH("/",E4763, SEARCH("/",E4763)+1) - SEARCH("/",E4763) - 1))-(LEFT(E4763,FIND("/",E4763)-1))), "NA"))</f>
        <v/>
      </c>
      <c r="K4763" s="79">
        <f>IF(A4763&lt;&gt;"", IF(ISBLANK(L4763), TODAY(), K4763), "")</f>
        <v/>
      </c>
      <c r="L4763" s="78" t="n"/>
      <c r="M4763" s="78">
        <f>IF(ISBLANK(L4763),"",IF(D4763="Stock",IF(C4763="Buy",L4763*G4763,IF(C4763="Sell",(L4763*G4763)-I4763, X)),IF(C4763="Buy",(L4763*G4763*100)+I4763,IF(C4763="Sell",(L4763*G4763*100)-I4763, X))))</f>
        <v/>
      </c>
      <c r="N4763" s="78">
        <f>IF(ISBLANK(L4763),"",IF(AND(C4763="Sell",D4763="Stock"),M4763,IF(ISBLANK(L4763),"",IF(C4763="Buy",M4763, IF(AND(C4763="Sell",J4763="NA"),(E4763*G4763*100*0.1)+I4763, IF(C4763="Sell",(J4763-L4763)*(100*G4763)+I4763))))))</f>
        <v/>
      </c>
      <c r="O4763" s="75" t="n"/>
      <c r="P4763" s="75" t="n"/>
      <c r="Q4763" s="75">
        <f>IF(ISBLANK(P4763),"",IF(D4763="Stock",P4763*G4763,IF(P4763=0,"0",G4763*P4763*100-(G4763*$AF$14))))</f>
        <v/>
      </c>
      <c r="R4763" s="79">
        <f>IF(P4763&lt;&gt;"", TODAY(), "")</f>
        <v/>
      </c>
      <c r="S4763" s="78">
        <f>IF(AND(K4763&lt;&gt;"", R4763&lt;&gt;""), R4763-K4763, "")</f>
        <v/>
      </c>
      <c r="T4763" s="78" t="n"/>
      <c r="U4763" s="92">
        <f>IF(ISBLANK(P4763),"",IF(C4763="Buy",Q4763-M4763+T4763, IF(C4763="Sell",M4763-Q4763-T4763, X)))</f>
        <v/>
      </c>
      <c r="V4763" s="81">
        <f>IF(ISBLANK(P4763),"",U4763/N4763)</f>
        <v/>
      </c>
      <c r="W4763" s="81">
        <f>IF(ISBLANK(P4763),"",IF(S4763=0,(365/0.5)*V4763,(365/S4763)*V4763))</f>
        <v/>
      </c>
      <c r="X4763" s="75" t="n"/>
      <c r="Y4763" s="77" t="n"/>
      <c r="Z4763" s="77" t="n"/>
      <c r="AA4763" s="75" t="n"/>
      <c r="AB4763" s="75" t="n"/>
      <c r="AC4763" s="6" t="n"/>
      <c r="AD4763" s="75" t="n"/>
      <c r="AE4763" s="75" t="n"/>
      <c r="AF4763" s="75" t="n"/>
    </row>
    <row r="4764" ht="15.75" customHeight="1" s="133">
      <c r="A4764" s="75" t="n"/>
      <c r="B4764" s="75" t="n"/>
      <c r="C4764" s="75" t="n"/>
      <c r="D4764" s="75" t="n"/>
      <c r="E4764" s="76" t="n"/>
      <c r="F4764" s="77" t="n"/>
      <c r="G4764" s="75" t="n"/>
      <c r="H4764" s="75">
        <f>IF(ISBLANK(E4764),"",IF(OR(D4764="Butterfly",D4764="Butterfly ",D4764="Iron Fly", D4764="Iron Fly "),LEN(E4764)-LEN(SUBSTITUTE(E4764,"/",""))+2,LEN(E4764)-LEN(SUBSTITUTE(E4764,"/",""))+1))</f>
        <v/>
      </c>
      <c r="I4764" s="78">
        <f>IF(ISBLANK(G4764),"",IF(D4764="Stock","0",Key!$A$3*H4764*G4764))</f>
        <v/>
      </c>
      <c r="J4764" s="78">
        <f>IF(ISBLANK(E4764),"",IF(ISNUMBER(SEARCH("/",E4764)), IF(LEN(E4764)-LEN(SUBSTITUTE(E4764,"/",""))=1,(RIGHT(E4764,LEN(E4764)-FIND("/",E4764)))-(LEFT(E4764,FIND("/",E4764)-1)),(MID(E4764, SEARCH("/",E4764) + 1, SEARCH("/",E4764, SEARCH("/",E4764)+1) - SEARCH("/",E4764) - 1))-(LEFT(E4764,FIND("/",E4764)-1))), "NA"))</f>
        <v/>
      </c>
      <c r="K4764" s="79">
        <f>IF(A4764&lt;&gt;"", IF(ISBLANK(L4764), TODAY(), K4764), "")</f>
        <v/>
      </c>
      <c r="L4764" s="78" t="n"/>
      <c r="M4764" s="78">
        <f>IF(ISBLANK(L4764),"",IF(D4764="Stock",IF(C4764="Buy",L4764*G4764,IF(C4764="Sell",(L4764*G4764)-I4764, X)),IF(C4764="Buy",(L4764*G4764*100)+I4764,IF(C4764="Sell",(L4764*G4764*100)-I4764, X))))</f>
        <v/>
      </c>
      <c r="N4764" s="78">
        <f>IF(ISBLANK(L4764),"",IF(AND(C4764="Sell",D4764="Stock"),M4764,IF(ISBLANK(L4764),"",IF(C4764="Buy",M4764, IF(AND(C4764="Sell",J4764="NA"),(E4764*G4764*100*0.1)+I4764, IF(C4764="Sell",(J4764-L4764)*(100*G4764)+I4764))))))</f>
        <v/>
      </c>
      <c r="O4764" s="75" t="n"/>
      <c r="P4764" s="75" t="n"/>
      <c r="Q4764" s="75">
        <f>IF(ISBLANK(P4764),"",IF(D4764="Stock",P4764*G4764,IF(P4764=0,"0",G4764*P4764*100-(G4764*$AF$14))))</f>
        <v/>
      </c>
      <c r="R4764" s="79">
        <f>IF(P4764&lt;&gt;"", TODAY(), "")</f>
        <v/>
      </c>
      <c r="S4764" s="78">
        <f>IF(AND(K4764&lt;&gt;"", R4764&lt;&gt;""), R4764-K4764, "")</f>
        <v/>
      </c>
      <c r="T4764" s="78" t="n"/>
      <c r="U4764" s="92">
        <f>IF(ISBLANK(P4764),"",IF(C4764="Buy",Q4764-M4764+T4764, IF(C4764="Sell",M4764-Q4764-T4764, X)))</f>
        <v/>
      </c>
      <c r="V4764" s="81">
        <f>IF(ISBLANK(P4764),"",U4764/N4764)</f>
        <v/>
      </c>
      <c r="W4764" s="81">
        <f>IF(ISBLANK(P4764),"",IF(S4764=0,(365/0.5)*V4764,(365/S4764)*V4764))</f>
        <v/>
      </c>
      <c r="X4764" s="75" t="n"/>
      <c r="Y4764" s="77" t="n"/>
      <c r="Z4764" s="77" t="n"/>
      <c r="AA4764" s="75" t="n"/>
      <c r="AB4764" s="75" t="n"/>
      <c r="AC4764" s="6" t="n"/>
      <c r="AD4764" s="75" t="n"/>
      <c r="AE4764" s="75" t="n"/>
      <c r="AF4764" s="75" t="n"/>
    </row>
    <row r="4765" ht="15.75" customHeight="1" s="133">
      <c r="A4765" s="75" t="n"/>
      <c r="B4765" s="75" t="n"/>
      <c r="C4765" s="75" t="n"/>
      <c r="D4765" s="75" t="n"/>
      <c r="E4765" s="76" t="n"/>
      <c r="F4765" s="77" t="n"/>
      <c r="G4765" s="75" t="n"/>
      <c r="H4765" s="75">
        <f>IF(ISBLANK(E4765),"",IF(OR(D4765="Butterfly",D4765="Butterfly ",D4765="Iron Fly", D4765="Iron Fly "),LEN(E4765)-LEN(SUBSTITUTE(E4765,"/",""))+2,LEN(E4765)-LEN(SUBSTITUTE(E4765,"/",""))+1))</f>
        <v/>
      </c>
      <c r="I4765" s="78">
        <f>IF(ISBLANK(G4765),"",IF(D4765="Stock","0",Key!$A$3*H4765*G4765))</f>
        <v/>
      </c>
      <c r="J4765" s="78">
        <f>IF(ISBLANK(E4765),"",IF(ISNUMBER(SEARCH("/",E4765)), IF(LEN(E4765)-LEN(SUBSTITUTE(E4765,"/",""))=1,(RIGHT(E4765,LEN(E4765)-FIND("/",E4765)))-(LEFT(E4765,FIND("/",E4765)-1)),(MID(E4765, SEARCH("/",E4765) + 1, SEARCH("/",E4765, SEARCH("/",E4765)+1) - SEARCH("/",E4765) - 1))-(LEFT(E4765,FIND("/",E4765)-1))), "NA"))</f>
        <v/>
      </c>
      <c r="K4765" s="79">
        <f>IF(A4765&lt;&gt;"", IF(ISBLANK(L4765), TODAY(), K4765), "")</f>
        <v/>
      </c>
      <c r="L4765" s="78" t="n"/>
      <c r="M4765" s="78">
        <f>IF(ISBLANK(L4765),"",IF(D4765="Stock",IF(C4765="Buy",L4765*G4765,IF(C4765="Sell",(L4765*G4765)-I4765, X)),IF(C4765="Buy",(L4765*G4765*100)+I4765,IF(C4765="Sell",(L4765*G4765*100)-I4765, X))))</f>
        <v/>
      </c>
      <c r="N4765" s="78">
        <f>IF(ISBLANK(L4765),"",IF(AND(C4765="Sell",D4765="Stock"),M4765,IF(ISBLANK(L4765),"",IF(C4765="Buy",M4765, IF(AND(C4765="Sell",J4765="NA"),(E4765*G4765*100*0.1)+I4765, IF(C4765="Sell",(J4765-L4765)*(100*G4765)+I4765))))))</f>
        <v/>
      </c>
      <c r="O4765" s="75" t="n"/>
      <c r="P4765" s="75" t="n"/>
      <c r="Q4765" s="75">
        <f>IF(ISBLANK(P4765),"",IF(D4765="Stock",P4765*G4765,IF(P4765=0,"0",G4765*P4765*100-(G4765*$AF$14))))</f>
        <v/>
      </c>
      <c r="R4765" s="79">
        <f>IF(P4765&lt;&gt;"", TODAY(), "")</f>
        <v/>
      </c>
      <c r="S4765" s="78">
        <f>IF(AND(K4765&lt;&gt;"", R4765&lt;&gt;""), R4765-K4765, "")</f>
        <v/>
      </c>
      <c r="T4765" s="78" t="n"/>
      <c r="U4765" s="92">
        <f>IF(ISBLANK(P4765),"",IF(C4765="Buy",Q4765-M4765+T4765, IF(C4765="Sell",M4765-Q4765-T4765, X)))</f>
        <v/>
      </c>
      <c r="V4765" s="81">
        <f>IF(ISBLANK(P4765),"",U4765/N4765)</f>
        <v/>
      </c>
      <c r="W4765" s="81">
        <f>IF(ISBLANK(P4765),"",IF(S4765=0,(365/0.5)*V4765,(365/S4765)*V4765))</f>
        <v/>
      </c>
      <c r="X4765" s="75" t="n"/>
      <c r="Y4765" s="77" t="n"/>
      <c r="Z4765" s="77" t="n"/>
      <c r="AA4765" s="75" t="n"/>
      <c r="AB4765" s="75" t="n"/>
      <c r="AC4765" s="6" t="n"/>
      <c r="AD4765" s="75" t="n"/>
      <c r="AE4765" s="75" t="n"/>
      <c r="AF4765" s="75" t="n"/>
    </row>
    <row r="4766" ht="15.75" customHeight="1" s="133">
      <c r="A4766" s="75" t="n"/>
      <c r="B4766" s="75" t="n"/>
      <c r="C4766" s="75" t="n"/>
      <c r="D4766" s="75" t="n"/>
      <c r="E4766" s="76" t="n"/>
      <c r="F4766" s="77" t="n"/>
      <c r="G4766" s="75" t="n"/>
      <c r="H4766" s="75">
        <f>IF(ISBLANK(E4766),"",IF(OR(D4766="Butterfly",D4766="Butterfly ",D4766="Iron Fly", D4766="Iron Fly "),LEN(E4766)-LEN(SUBSTITUTE(E4766,"/",""))+2,LEN(E4766)-LEN(SUBSTITUTE(E4766,"/",""))+1))</f>
        <v/>
      </c>
      <c r="I4766" s="78">
        <f>IF(ISBLANK(G4766),"",IF(D4766="Stock","0",Key!$A$3*H4766*G4766))</f>
        <v/>
      </c>
      <c r="J4766" s="78">
        <f>IF(ISBLANK(E4766),"",IF(ISNUMBER(SEARCH("/",E4766)), IF(LEN(E4766)-LEN(SUBSTITUTE(E4766,"/",""))=1,(RIGHT(E4766,LEN(E4766)-FIND("/",E4766)))-(LEFT(E4766,FIND("/",E4766)-1)),(MID(E4766, SEARCH("/",E4766) + 1, SEARCH("/",E4766, SEARCH("/",E4766)+1) - SEARCH("/",E4766) - 1))-(LEFT(E4766,FIND("/",E4766)-1))), "NA"))</f>
        <v/>
      </c>
      <c r="K4766" s="79">
        <f>IF(A4766&lt;&gt;"", IF(ISBLANK(L4766), TODAY(), K4766), "")</f>
        <v/>
      </c>
      <c r="L4766" s="78" t="n"/>
      <c r="M4766" s="78">
        <f>IF(ISBLANK(L4766),"",IF(D4766="Stock",IF(C4766="Buy",L4766*G4766,IF(C4766="Sell",(L4766*G4766)-I4766, X)),IF(C4766="Buy",(L4766*G4766*100)+I4766,IF(C4766="Sell",(L4766*G4766*100)-I4766, X))))</f>
        <v/>
      </c>
      <c r="N4766" s="78">
        <f>IF(ISBLANK(L4766),"",IF(AND(C4766="Sell",D4766="Stock"),M4766,IF(ISBLANK(L4766),"",IF(C4766="Buy",M4766, IF(AND(C4766="Sell",J4766="NA"),(E4766*G4766*100*0.1)+I4766, IF(C4766="Sell",(J4766-L4766)*(100*G4766)+I4766))))))</f>
        <v/>
      </c>
      <c r="O4766" s="75" t="n"/>
      <c r="P4766" s="75" t="n"/>
      <c r="Q4766" s="75">
        <f>IF(ISBLANK(P4766),"",IF(D4766="Stock",P4766*G4766,IF(P4766=0,"0",G4766*P4766*100-(G4766*$AF$14))))</f>
        <v/>
      </c>
      <c r="R4766" s="79">
        <f>IF(P4766&lt;&gt;"", TODAY(), "")</f>
        <v/>
      </c>
      <c r="S4766" s="78">
        <f>IF(AND(K4766&lt;&gt;"", R4766&lt;&gt;""), R4766-K4766, "")</f>
        <v/>
      </c>
      <c r="T4766" s="78" t="n"/>
      <c r="U4766" s="92">
        <f>IF(ISBLANK(P4766),"",IF(C4766="Buy",Q4766-M4766+T4766, IF(C4766="Sell",M4766-Q4766-T4766, X)))</f>
        <v/>
      </c>
      <c r="V4766" s="81">
        <f>IF(ISBLANK(P4766),"",U4766/N4766)</f>
        <v/>
      </c>
      <c r="W4766" s="81">
        <f>IF(ISBLANK(P4766),"",IF(S4766=0,(365/0.5)*V4766,(365/S4766)*V4766))</f>
        <v/>
      </c>
      <c r="X4766" s="75" t="n"/>
      <c r="Y4766" s="77" t="n"/>
      <c r="Z4766" s="77" t="n"/>
      <c r="AA4766" s="75" t="n"/>
      <c r="AB4766" s="75" t="n"/>
      <c r="AC4766" s="6" t="n"/>
      <c r="AD4766" s="75" t="n"/>
      <c r="AE4766" s="75" t="n"/>
      <c r="AF4766" s="75" t="n"/>
    </row>
    <row r="4767" ht="15.75" customHeight="1" s="133">
      <c r="A4767" s="75" t="n"/>
      <c r="B4767" s="75" t="n"/>
      <c r="C4767" s="75" t="n"/>
      <c r="D4767" s="75" t="n"/>
      <c r="E4767" s="76" t="n"/>
      <c r="F4767" s="77" t="n"/>
      <c r="G4767" s="75" t="n"/>
      <c r="H4767" s="75">
        <f>IF(ISBLANK(E4767),"",IF(OR(D4767="Butterfly",D4767="Butterfly ",D4767="Iron Fly", D4767="Iron Fly "),LEN(E4767)-LEN(SUBSTITUTE(E4767,"/",""))+2,LEN(E4767)-LEN(SUBSTITUTE(E4767,"/",""))+1))</f>
        <v/>
      </c>
      <c r="I4767" s="78">
        <f>IF(ISBLANK(G4767),"",IF(D4767="Stock","0",Key!$A$3*H4767*G4767))</f>
        <v/>
      </c>
      <c r="J4767" s="78">
        <f>IF(ISBLANK(E4767),"",IF(ISNUMBER(SEARCH("/",E4767)), IF(LEN(E4767)-LEN(SUBSTITUTE(E4767,"/",""))=1,(RIGHT(E4767,LEN(E4767)-FIND("/",E4767)))-(LEFT(E4767,FIND("/",E4767)-1)),(MID(E4767, SEARCH("/",E4767) + 1, SEARCH("/",E4767, SEARCH("/",E4767)+1) - SEARCH("/",E4767) - 1))-(LEFT(E4767,FIND("/",E4767)-1))), "NA"))</f>
        <v/>
      </c>
      <c r="K4767" s="79">
        <f>IF(A4767&lt;&gt;"", IF(ISBLANK(L4767), TODAY(), K4767), "")</f>
        <v/>
      </c>
      <c r="L4767" s="78" t="n"/>
      <c r="M4767" s="78">
        <f>IF(ISBLANK(L4767),"",IF(D4767="Stock",IF(C4767="Buy",L4767*G4767,IF(C4767="Sell",(L4767*G4767)-I4767, X)),IF(C4767="Buy",(L4767*G4767*100)+I4767,IF(C4767="Sell",(L4767*G4767*100)-I4767, X))))</f>
        <v/>
      </c>
      <c r="N4767" s="78">
        <f>IF(ISBLANK(L4767),"",IF(AND(C4767="Sell",D4767="Stock"),M4767,IF(ISBLANK(L4767),"",IF(C4767="Buy",M4767, IF(AND(C4767="Sell",J4767="NA"),(E4767*G4767*100*0.1)+I4767, IF(C4767="Sell",(J4767-L4767)*(100*G4767)+I4767))))))</f>
        <v/>
      </c>
      <c r="O4767" s="75" t="n"/>
      <c r="P4767" s="75" t="n"/>
      <c r="Q4767" s="75">
        <f>IF(ISBLANK(P4767),"",IF(D4767="Stock",P4767*G4767,IF(P4767=0,"0",G4767*P4767*100-(G4767*$AF$14))))</f>
        <v/>
      </c>
      <c r="R4767" s="79">
        <f>IF(P4767&lt;&gt;"", TODAY(), "")</f>
        <v/>
      </c>
      <c r="S4767" s="78">
        <f>IF(AND(K4767&lt;&gt;"", R4767&lt;&gt;""), R4767-K4767, "")</f>
        <v/>
      </c>
      <c r="T4767" s="78" t="n"/>
      <c r="U4767" s="92">
        <f>IF(ISBLANK(P4767),"",IF(C4767="Buy",Q4767-M4767+T4767, IF(C4767="Sell",M4767-Q4767-T4767, X)))</f>
        <v/>
      </c>
      <c r="V4767" s="81">
        <f>IF(ISBLANK(P4767),"",U4767/N4767)</f>
        <v/>
      </c>
      <c r="W4767" s="81">
        <f>IF(ISBLANK(P4767),"",IF(S4767=0,(365/0.5)*V4767,(365/S4767)*V4767))</f>
        <v/>
      </c>
      <c r="X4767" s="75" t="n"/>
      <c r="Y4767" s="77" t="n"/>
      <c r="Z4767" s="77" t="n"/>
      <c r="AA4767" s="75" t="n"/>
      <c r="AB4767" s="75" t="n"/>
      <c r="AC4767" s="6" t="n"/>
      <c r="AD4767" s="75" t="n"/>
      <c r="AE4767" s="75" t="n"/>
      <c r="AF4767" s="75" t="n"/>
    </row>
    <row r="4768" ht="15.75" customHeight="1" s="133">
      <c r="A4768" s="75" t="n"/>
      <c r="B4768" s="75" t="n"/>
      <c r="C4768" s="75" t="n"/>
      <c r="D4768" s="75" t="n"/>
      <c r="E4768" s="76" t="n"/>
      <c r="F4768" s="77" t="n"/>
      <c r="G4768" s="75" t="n"/>
      <c r="H4768" s="75">
        <f>IF(ISBLANK(E4768),"",IF(OR(D4768="Butterfly",D4768="Butterfly ",D4768="Iron Fly", D4768="Iron Fly "),LEN(E4768)-LEN(SUBSTITUTE(E4768,"/",""))+2,LEN(E4768)-LEN(SUBSTITUTE(E4768,"/",""))+1))</f>
        <v/>
      </c>
      <c r="I4768" s="78">
        <f>IF(ISBLANK(G4768),"",IF(D4768="Stock","0",Key!$A$3*H4768*G4768))</f>
        <v/>
      </c>
      <c r="J4768" s="78">
        <f>IF(ISBLANK(E4768),"",IF(ISNUMBER(SEARCH("/",E4768)), IF(LEN(E4768)-LEN(SUBSTITUTE(E4768,"/",""))=1,(RIGHT(E4768,LEN(E4768)-FIND("/",E4768)))-(LEFT(E4768,FIND("/",E4768)-1)),(MID(E4768, SEARCH("/",E4768) + 1, SEARCH("/",E4768, SEARCH("/",E4768)+1) - SEARCH("/",E4768) - 1))-(LEFT(E4768,FIND("/",E4768)-1))), "NA"))</f>
        <v/>
      </c>
      <c r="K4768" s="79">
        <f>IF(A4768&lt;&gt;"", IF(ISBLANK(L4768), TODAY(), K4768), "")</f>
        <v/>
      </c>
      <c r="L4768" s="78" t="n"/>
      <c r="M4768" s="78">
        <f>IF(ISBLANK(L4768),"",IF(D4768="Stock",IF(C4768="Buy",L4768*G4768,IF(C4768="Sell",(L4768*G4768)-I4768, X)),IF(C4768="Buy",(L4768*G4768*100)+I4768,IF(C4768="Sell",(L4768*G4768*100)-I4768, X))))</f>
        <v/>
      </c>
      <c r="N4768" s="78">
        <f>IF(ISBLANK(L4768),"",IF(AND(C4768="Sell",D4768="Stock"),M4768,IF(ISBLANK(L4768),"",IF(C4768="Buy",M4768, IF(AND(C4768="Sell",J4768="NA"),(E4768*G4768*100*0.1)+I4768, IF(C4768="Sell",(J4768-L4768)*(100*G4768)+I4768))))))</f>
        <v/>
      </c>
      <c r="O4768" s="75" t="n"/>
      <c r="P4768" s="75" t="n"/>
      <c r="Q4768" s="75">
        <f>IF(ISBLANK(P4768),"",IF(D4768="Stock",P4768*G4768,IF(P4768=0,"0",G4768*P4768*100-(G4768*$AF$14))))</f>
        <v/>
      </c>
      <c r="R4768" s="79">
        <f>IF(P4768&lt;&gt;"", TODAY(), "")</f>
        <v/>
      </c>
      <c r="S4768" s="78">
        <f>IF(AND(K4768&lt;&gt;"", R4768&lt;&gt;""), R4768-K4768, "")</f>
        <v/>
      </c>
      <c r="T4768" s="78" t="n"/>
      <c r="U4768" s="92">
        <f>IF(ISBLANK(P4768),"",IF(C4768="Buy",Q4768-M4768+T4768, IF(C4768="Sell",M4768-Q4768-T4768, X)))</f>
        <v/>
      </c>
      <c r="V4768" s="81">
        <f>IF(ISBLANK(P4768),"",U4768/N4768)</f>
        <v/>
      </c>
      <c r="W4768" s="81">
        <f>IF(ISBLANK(P4768),"",IF(S4768=0,(365/0.5)*V4768,(365/S4768)*V4768))</f>
        <v/>
      </c>
      <c r="X4768" s="75" t="n"/>
      <c r="Y4768" s="77" t="n"/>
      <c r="Z4768" s="77" t="n"/>
      <c r="AA4768" s="75" t="n"/>
      <c r="AB4768" s="75" t="n"/>
      <c r="AC4768" s="6" t="n"/>
      <c r="AD4768" s="75" t="n"/>
      <c r="AE4768" s="75" t="n"/>
      <c r="AF4768" s="75" t="n"/>
    </row>
    <row r="4769" ht="15.75" customHeight="1" s="133">
      <c r="A4769" s="75" t="n"/>
      <c r="B4769" s="75" t="n"/>
      <c r="C4769" s="75" t="n"/>
      <c r="D4769" s="75" t="n"/>
      <c r="E4769" s="76" t="n"/>
      <c r="F4769" s="77" t="n"/>
      <c r="G4769" s="75" t="n"/>
      <c r="H4769" s="75">
        <f>IF(ISBLANK(E4769),"",IF(OR(D4769="Butterfly",D4769="Butterfly ",D4769="Iron Fly", D4769="Iron Fly "),LEN(E4769)-LEN(SUBSTITUTE(E4769,"/",""))+2,LEN(E4769)-LEN(SUBSTITUTE(E4769,"/",""))+1))</f>
        <v/>
      </c>
      <c r="I4769" s="78">
        <f>IF(ISBLANK(G4769),"",IF(D4769="Stock","0",Key!$A$3*H4769*G4769))</f>
        <v/>
      </c>
      <c r="J4769" s="78">
        <f>IF(ISBLANK(E4769),"",IF(ISNUMBER(SEARCH("/",E4769)), IF(LEN(E4769)-LEN(SUBSTITUTE(E4769,"/",""))=1,(RIGHT(E4769,LEN(E4769)-FIND("/",E4769)))-(LEFT(E4769,FIND("/",E4769)-1)),(MID(E4769, SEARCH("/",E4769) + 1, SEARCH("/",E4769, SEARCH("/",E4769)+1) - SEARCH("/",E4769) - 1))-(LEFT(E4769,FIND("/",E4769)-1))), "NA"))</f>
        <v/>
      </c>
      <c r="K4769" s="79">
        <f>IF(A4769&lt;&gt;"", IF(ISBLANK(L4769), TODAY(), K4769), "")</f>
        <v/>
      </c>
      <c r="L4769" s="78" t="n"/>
      <c r="M4769" s="78">
        <f>IF(ISBLANK(L4769),"",IF(D4769="Stock",IF(C4769="Buy",L4769*G4769,IF(C4769="Sell",(L4769*G4769)-I4769, X)),IF(C4769="Buy",(L4769*G4769*100)+I4769,IF(C4769="Sell",(L4769*G4769*100)-I4769, X))))</f>
        <v/>
      </c>
      <c r="N4769" s="78">
        <f>IF(ISBLANK(L4769),"",IF(AND(C4769="Sell",D4769="Stock"),M4769,IF(ISBLANK(L4769),"",IF(C4769="Buy",M4769, IF(AND(C4769="Sell",J4769="NA"),(E4769*G4769*100*0.1)+I4769, IF(C4769="Sell",(J4769-L4769)*(100*G4769)+I4769))))))</f>
        <v/>
      </c>
      <c r="O4769" s="75" t="n"/>
      <c r="P4769" s="75" t="n"/>
      <c r="Q4769" s="75">
        <f>IF(ISBLANK(P4769),"",IF(D4769="Stock",P4769*G4769,IF(P4769=0,"0",G4769*P4769*100-(G4769*$AF$14))))</f>
        <v/>
      </c>
      <c r="R4769" s="79">
        <f>IF(P4769&lt;&gt;"", TODAY(), "")</f>
        <v/>
      </c>
      <c r="S4769" s="78">
        <f>IF(AND(K4769&lt;&gt;"", R4769&lt;&gt;""), R4769-K4769, "")</f>
        <v/>
      </c>
      <c r="T4769" s="78" t="n"/>
      <c r="U4769" s="92">
        <f>IF(ISBLANK(P4769),"",IF(C4769="Buy",Q4769-M4769+T4769, IF(C4769="Sell",M4769-Q4769-T4769, X)))</f>
        <v/>
      </c>
      <c r="V4769" s="81">
        <f>IF(ISBLANK(P4769),"",U4769/N4769)</f>
        <v/>
      </c>
      <c r="W4769" s="81">
        <f>IF(ISBLANK(P4769),"",IF(S4769=0,(365/0.5)*V4769,(365/S4769)*V4769))</f>
        <v/>
      </c>
      <c r="X4769" s="75" t="n"/>
      <c r="Y4769" s="77" t="n"/>
      <c r="Z4769" s="77" t="n"/>
      <c r="AA4769" s="75" t="n"/>
      <c r="AB4769" s="75" t="n"/>
      <c r="AC4769" s="6" t="n"/>
      <c r="AD4769" s="75" t="n"/>
      <c r="AE4769" s="75" t="n"/>
      <c r="AF4769" s="75" t="n"/>
    </row>
    <row r="4770" ht="15.75" customHeight="1" s="133">
      <c r="A4770" s="75" t="n"/>
      <c r="B4770" s="75" t="n"/>
      <c r="C4770" s="75" t="n"/>
      <c r="D4770" s="75" t="n"/>
      <c r="E4770" s="76" t="n"/>
      <c r="F4770" s="77" t="n"/>
      <c r="G4770" s="75" t="n"/>
      <c r="H4770" s="75">
        <f>IF(ISBLANK(E4770),"",IF(OR(D4770="Butterfly",D4770="Butterfly ",D4770="Iron Fly", D4770="Iron Fly "),LEN(E4770)-LEN(SUBSTITUTE(E4770,"/",""))+2,LEN(E4770)-LEN(SUBSTITUTE(E4770,"/",""))+1))</f>
        <v/>
      </c>
      <c r="I4770" s="78">
        <f>IF(ISBLANK(G4770),"",IF(D4770="Stock","0",Key!$A$3*H4770*G4770))</f>
        <v/>
      </c>
      <c r="J4770" s="78">
        <f>IF(ISBLANK(E4770),"",IF(ISNUMBER(SEARCH("/",E4770)), IF(LEN(E4770)-LEN(SUBSTITUTE(E4770,"/",""))=1,(RIGHT(E4770,LEN(E4770)-FIND("/",E4770)))-(LEFT(E4770,FIND("/",E4770)-1)),(MID(E4770, SEARCH("/",E4770) + 1, SEARCH("/",E4770, SEARCH("/",E4770)+1) - SEARCH("/",E4770) - 1))-(LEFT(E4770,FIND("/",E4770)-1))), "NA"))</f>
        <v/>
      </c>
      <c r="K4770" s="79">
        <f>IF(A4770&lt;&gt;"", IF(ISBLANK(L4770), TODAY(), K4770), "")</f>
        <v/>
      </c>
      <c r="L4770" s="78" t="n"/>
      <c r="M4770" s="78">
        <f>IF(ISBLANK(L4770),"",IF(D4770="Stock",IF(C4770="Buy",L4770*G4770,IF(C4770="Sell",(L4770*G4770)-I4770, X)),IF(C4770="Buy",(L4770*G4770*100)+I4770,IF(C4770="Sell",(L4770*G4770*100)-I4770, X))))</f>
        <v/>
      </c>
      <c r="N4770" s="78">
        <f>IF(ISBLANK(L4770),"",IF(AND(C4770="Sell",D4770="Stock"),M4770,IF(ISBLANK(L4770),"",IF(C4770="Buy",M4770, IF(AND(C4770="Sell",J4770="NA"),(E4770*G4770*100*0.1)+I4770, IF(C4770="Sell",(J4770-L4770)*(100*G4770)+I4770))))))</f>
        <v/>
      </c>
      <c r="O4770" s="75" t="n"/>
      <c r="P4770" s="75" t="n"/>
      <c r="Q4770" s="75">
        <f>IF(ISBLANK(P4770),"",IF(D4770="Stock",P4770*G4770,IF(P4770=0,"0",G4770*P4770*100-(G4770*$AF$14))))</f>
        <v/>
      </c>
      <c r="R4770" s="79">
        <f>IF(P4770&lt;&gt;"", TODAY(), "")</f>
        <v/>
      </c>
      <c r="S4770" s="78">
        <f>IF(AND(K4770&lt;&gt;"", R4770&lt;&gt;""), R4770-K4770, "")</f>
        <v/>
      </c>
      <c r="T4770" s="78" t="n"/>
      <c r="U4770" s="92">
        <f>IF(ISBLANK(P4770),"",IF(C4770="Buy",Q4770-M4770+T4770, IF(C4770="Sell",M4770-Q4770-T4770, X)))</f>
        <v/>
      </c>
      <c r="V4770" s="81">
        <f>IF(ISBLANK(P4770),"",U4770/N4770)</f>
        <v/>
      </c>
      <c r="W4770" s="81">
        <f>IF(ISBLANK(P4770),"",IF(S4770=0,(365/0.5)*V4770,(365/S4770)*V4770))</f>
        <v/>
      </c>
      <c r="X4770" s="75" t="n"/>
      <c r="Y4770" s="77" t="n"/>
      <c r="Z4770" s="77" t="n"/>
      <c r="AA4770" s="75" t="n"/>
      <c r="AB4770" s="75" t="n"/>
      <c r="AC4770" s="6" t="n"/>
      <c r="AD4770" s="75" t="n"/>
      <c r="AE4770" s="75" t="n"/>
      <c r="AF4770" s="75" t="n"/>
    </row>
    <row r="4771" ht="15.75" customHeight="1" s="133">
      <c r="A4771" s="75" t="n"/>
      <c r="B4771" s="75" t="n"/>
      <c r="C4771" s="75" t="n"/>
      <c r="D4771" s="75" t="n"/>
      <c r="E4771" s="76" t="n"/>
      <c r="F4771" s="77" t="n"/>
      <c r="G4771" s="75" t="n"/>
      <c r="H4771" s="75">
        <f>IF(ISBLANK(E4771),"",IF(OR(D4771="Butterfly",D4771="Butterfly ",D4771="Iron Fly", D4771="Iron Fly "),LEN(E4771)-LEN(SUBSTITUTE(E4771,"/",""))+2,LEN(E4771)-LEN(SUBSTITUTE(E4771,"/",""))+1))</f>
        <v/>
      </c>
      <c r="I4771" s="78">
        <f>IF(ISBLANK(G4771),"",IF(D4771="Stock","0",Key!$A$3*H4771*G4771))</f>
        <v/>
      </c>
      <c r="J4771" s="78">
        <f>IF(ISBLANK(E4771),"",IF(ISNUMBER(SEARCH("/",E4771)), IF(LEN(E4771)-LEN(SUBSTITUTE(E4771,"/",""))=1,(RIGHT(E4771,LEN(E4771)-FIND("/",E4771)))-(LEFT(E4771,FIND("/",E4771)-1)),(MID(E4771, SEARCH("/",E4771) + 1, SEARCH("/",E4771, SEARCH("/",E4771)+1) - SEARCH("/",E4771) - 1))-(LEFT(E4771,FIND("/",E4771)-1))), "NA"))</f>
        <v/>
      </c>
      <c r="K4771" s="79">
        <f>IF(A4771&lt;&gt;"", IF(ISBLANK(L4771), TODAY(), K4771), "")</f>
        <v/>
      </c>
      <c r="L4771" s="78" t="n"/>
      <c r="M4771" s="78">
        <f>IF(ISBLANK(L4771),"",IF(D4771="Stock",IF(C4771="Buy",L4771*G4771,IF(C4771="Sell",(L4771*G4771)-I4771, X)),IF(C4771="Buy",(L4771*G4771*100)+I4771,IF(C4771="Sell",(L4771*G4771*100)-I4771, X))))</f>
        <v/>
      </c>
      <c r="N4771" s="78">
        <f>IF(ISBLANK(L4771),"",IF(AND(C4771="Sell",D4771="Stock"),M4771,IF(ISBLANK(L4771),"",IF(C4771="Buy",M4771, IF(AND(C4771="Sell",J4771="NA"),(E4771*G4771*100*0.1)+I4771, IF(C4771="Sell",(J4771-L4771)*(100*G4771)+I4771))))))</f>
        <v/>
      </c>
      <c r="O4771" s="75" t="n"/>
      <c r="P4771" s="75" t="n"/>
      <c r="Q4771" s="75">
        <f>IF(ISBLANK(P4771),"",IF(D4771="Stock",P4771*G4771,IF(P4771=0,"0",G4771*P4771*100-(G4771*$AF$14))))</f>
        <v/>
      </c>
      <c r="R4771" s="79">
        <f>IF(P4771&lt;&gt;"", TODAY(), "")</f>
        <v/>
      </c>
      <c r="S4771" s="78">
        <f>IF(AND(K4771&lt;&gt;"", R4771&lt;&gt;""), R4771-K4771, "")</f>
        <v/>
      </c>
      <c r="T4771" s="78" t="n"/>
      <c r="U4771" s="92">
        <f>IF(ISBLANK(P4771),"",IF(C4771="Buy",Q4771-M4771+T4771, IF(C4771="Sell",M4771-Q4771-T4771, X)))</f>
        <v/>
      </c>
      <c r="V4771" s="81">
        <f>IF(ISBLANK(P4771),"",U4771/N4771)</f>
        <v/>
      </c>
      <c r="W4771" s="81">
        <f>IF(ISBLANK(P4771),"",IF(S4771=0,(365/0.5)*V4771,(365/S4771)*V4771))</f>
        <v/>
      </c>
      <c r="X4771" s="75" t="n"/>
      <c r="Y4771" s="77" t="n"/>
      <c r="Z4771" s="77" t="n"/>
      <c r="AA4771" s="75" t="n"/>
      <c r="AB4771" s="75" t="n"/>
      <c r="AC4771" s="6" t="n"/>
      <c r="AD4771" s="75" t="n"/>
      <c r="AE4771" s="75" t="n"/>
      <c r="AF4771" s="75" t="n"/>
    </row>
    <row r="4772" ht="15.75" customHeight="1" s="133">
      <c r="A4772" s="75" t="n"/>
      <c r="B4772" s="75" t="n"/>
      <c r="C4772" s="75" t="n"/>
      <c r="D4772" s="75" t="n"/>
      <c r="E4772" s="76" t="n"/>
      <c r="F4772" s="77" t="n"/>
      <c r="G4772" s="75" t="n"/>
      <c r="H4772" s="75">
        <f>IF(ISBLANK(E4772),"",IF(OR(D4772="Butterfly",D4772="Butterfly ",D4772="Iron Fly", D4772="Iron Fly "),LEN(E4772)-LEN(SUBSTITUTE(E4772,"/",""))+2,LEN(E4772)-LEN(SUBSTITUTE(E4772,"/",""))+1))</f>
        <v/>
      </c>
      <c r="I4772" s="78">
        <f>IF(ISBLANK(G4772),"",IF(D4772="Stock","0",Key!$A$3*H4772*G4772))</f>
        <v/>
      </c>
      <c r="J4772" s="78">
        <f>IF(ISBLANK(E4772),"",IF(ISNUMBER(SEARCH("/",E4772)), IF(LEN(E4772)-LEN(SUBSTITUTE(E4772,"/",""))=1,(RIGHT(E4772,LEN(E4772)-FIND("/",E4772)))-(LEFT(E4772,FIND("/",E4772)-1)),(MID(E4772, SEARCH("/",E4772) + 1, SEARCH("/",E4772, SEARCH("/",E4772)+1) - SEARCH("/",E4772) - 1))-(LEFT(E4772,FIND("/",E4772)-1))), "NA"))</f>
        <v/>
      </c>
      <c r="K4772" s="79">
        <f>IF(A4772&lt;&gt;"", IF(ISBLANK(L4772), TODAY(), K4772), "")</f>
        <v/>
      </c>
      <c r="L4772" s="78" t="n"/>
      <c r="M4772" s="78">
        <f>IF(ISBLANK(L4772),"",IF(D4772="Stock",IF(C4772="Buy",L4772*G4772,IF(C4772="Sell",(L4772*G4772)-I4772, X)),IF(C4772="Buy",(L4772*G4772*100)+I4772,IF(C4772="Sell",(L4772*G4772*100)-I4772, X))))</f>
        <v/>
      </c>
      <c r="N4772" s="78">
        <f>IF(ISBLANK(L4772),"",IF(AND(C4772="Sell",D4772="Stock"),M4772,IF(ISBLANK(L4772),"",IF(C4772="Buy",M4772, IF(AND(C4772="Sell",J4772="NA"),(E4772*G4772*100*0.1)+I4772, IF(C4772="Sell",(J4772-L4772)*(100*G4772)+I4772))))))</f>
        <v/>
      </c>
      <c r="O4772" s="75" t="n"/>
      <c r="P4772" s="75" t="n"/>
      <c r="Q4772" s="75">
        <f>IF(ISBLANK(P4772),"",IF(D4772="Stock",P4772*G4772,IF(P4772=0,"0",G4772*P4772*100-(G4772*$AF$14))))</f>
        <v/>
      </c>
      <c r="R4772" s="79">
        <f>IF(P4772&lt;&gt;"", TODAY(), "")</f>
        <v/>
      </c>
      <c r="S4772" s="78">
        <f>IF(AND(K4772&lt;&gt;"", R4772&lt;&gt;""), R4772-K4772, "")</f>
        <v/>
      </c>
      <c r="T4772" s="78" t="n"/>
      <c r="U4772" s="92">
        <f>IF(ISBLANK(P4772),"",IF(C4772="Buy",Q4772-M4772+T4772, IF(C4772="Sell",M4772-Q4772-T4772, X)))</f>
        <v/>
      </c>
      <c r="V4772" s="81">
        <f>IF(ISBLANK(P4772),"",U4772/N4772)</f>
        <v/>
      </c>
      <c r="W4772" s="81">
        <f>IF(ISBLANK(P4772),"",IF(S4772=0,(365/0.5)*V4772,(365/S4772)*V4772))</f>
        <v/>
      </c>
      <c r="X4772" s="75" t="n"/>
      <c r="Y4772" s="77" t="n"/>
      <c r="Z4772" s="77" t="n"/>
      <c r="AA4772" s="75" t="n"/>
      <c r="AB4772" s="75" t="n"/>
      <c r="AC4772" s="6" t="n"/>
      <c r="AD4772" s="75" t="n"/>
      <c r="AE4772" s="75" t="n"/>
      <c r="AF4772" s="75" t="n"/>
    </row>
    <row r="4773" ht="15.75" customHeight="1" s="133">
      <c r="A4773" s="75" t="n"/>
      <c r="B4773" s="75" t="n"/>
      <c r="C4773" s="75" t="n"/>
      <c r="D4773" s="75" t="n"/>
      <c r="E4773" s="76" t="n"/>
      <c r="F4773" s="77" t="n"/>
      <c r="G4773" s="75" t="n"/>
      <c r="H4773" s="75">
        <f>IF(ISBLANK(E4773),"",IF(OR(D4773="Butterfly",D4773="Butterfly ",D4773="Iron Fly", D4773="Iron Fly "),LEN(E4773)-LEN(SUBSTITUTE(E4773,"/",""))+2,LEN(E4773)-LEN(SUBSTITUTE(E4773,"/",""))+1))</f>
        <v/>
      </c>
      <c r="I4773" s="78">
        <f>IF(ISBLANK(G4773),"",IF(D4773="Stock","0",Key!$A$3*H4773*G4773))</f>
        <v/>
      </c>
      <c r="J4773" s="78">
        <f>IF(ISBLANK(E4773),"",IF(ISNUMBER(SEARCH("/",E4773)), IF(LEN(E4773)-LEN(SUBSTITUTE(E4773,"/",""))=1,(RIGHT(E4773,LEN(E4773)-FIND("/",E4773)))-(LEFT(E4773,FIND("/",E4773)-1)),(MID(E4773, SEARCH("/",E4773) + 1, SEARCH("/",E4773, SEARCH("/",E4773)+1) - SEARCH("/",E4773) - 1))-(LEFT(E4773,FIND("/",E4773)-1))), "NA"))</f>
        <v/>
      </c>
      <c r="K4773" s="79">
        <f>IF(A4773&lt;&gt;"", IF(ISBLANK(L4773), TODAY(), K4773), "")</f>
        <v/>
      </c>
      <c r="L4773" s="78" t="n"/>
      <c r="M4773" s="78">
        <f>IF(ISBLANK(L4773),"",IF(D4773="Stock",IF(C4773="Buy",L4773*G4773,IF(C4773="Sell",(L4773*G4773)-I4773, X)),IF(C4773="Buy",(L4773*G4773*100)+I4773,IF(C4773="Sell",(L4773*G4773*100)-I4773, X))))</f>
        <v/>
      </c>
      <c r="N4773" s="78">
        <f>IF(ISBLANK(L4773),"",IF(AND(C4773="Sell",D4773="Stock"),M4773,IF(ISBLANK(L4773),"",IF(C4773="Buy",M4773, IF(AND(C4773="Sell",J4773="NA"),(E4773*G4773*100*0.1)+I4773, IF(C4773="Sell",(J4773-L4773)*(100*G4773)+I4773))))))</f>
        <v/>
      </c>
      <c r="O4773" s="75" t="n"/>
      <c r="P4773" s="75" t="n"/>
      <c r="Q4773" s="75">
        <f>IF(ISBLANK(P4773),"",IF(D4773="Stock",P4773*G4773,IF(P4773=0,"0",G4773*P4773*100-(G4773*$AF$14))))</f>
        <v/>
      </c>
      <c r="R4773" s="79">
        <f>IF(P4773&lt;&gt;"", TODAY(), "")</f>
        <v/>
      </c>
      <c r="S4773" s="78">
        <f>IF(AND(K4773&lt;&gt;"", R4773&lt;&gt;""), R4773-K4773, "")</f>
        <v/>
      </c>
      <c r="T4773" s="78" t="n"/>
      <c r="U4773" s="92">
        <f>IF(ISBLANK(P4773),"",IF(C4773="Buy",Q4773-M4773+T4773, IF(C4773="Sell",M4773-Q4773-T4773, X)))</f>
        <v/>
      </c>
      <c r="V4773" s="81">
        <f>IF(ISBLANK(P4773),"",U4773/N4773)</f>
        <v/>
      </c>
      <c r="W4773" s="81">
        <f>IF(ISBLANK(P4773),"",IF(S4773=0,(365/0.5)*V4773,(365/S4773)*V4773))</f>
        <v/>
      </c>
      <c r="X4773" s="75" t="n"/>
      <c r="Y4773" s="77" t="n"/>
      <c r="Z4773" s="77" t="n"/>
      <c r="AA4773" s="75" t="n"/>
      <c r="AB4773" s="75" t="n"/>
      <c r="AC4773" s="6" t="n"/>
      <c r="AD4773" s="75" t="n"/>
      <c r="AE4773" s="75" t="n"/>
      <c r="AF4773" s="75" t="n"/>
    </row>
    <row r="4774" ht="15.75" customHeight="1" s="133">
      <c r="A4774" s="75" t="n"/>
      <c r="B4774" s="75" t="n"/>
      <c r="C4774" s="75" t="n"/>
      <c r="D4774" s="75" t="n"/>
      <c r="E4774" s="76" t="n"/>
      <c r="F4774" s="77" t="n"/>
      <c r="G4774" s="75" t="n"/>
      <c r="H4774" s="75">
        <f>IF(ISBLANK(E4774),"",IF(OR(D4774="Butterfly",D4774="Butterfly ",D4774="Iron Fly", D4774="Iron Fly "),LEN(E4774)-LEN(SUBSTITUTE(E4774,"/",""))+2,LEN(E4774)-LEN(SUBSTITUTE(E4774,"/",""))+1))</f>
        <v/>
      </c>
      <c r="I4774" s="78">
        <f>IF(ISBLANK(G4774),"",IF(D4774="Stock","0",Key!$A$3*H4774*G4774))</f>
        <v/>
      </c>
      <c r="J4774" s="78">
        <f>IF(ISBLANK(E4774),"",IF(ISNUMBER(SEARCH("/",E4774)), IF(LEN(E4774)-LEN(SUBSTITUTE(E4774,"/",""))=1,(RIGHT(E4774,LEN(E4774)-FIND("/",E4774)))-(LEFT(E4774,FIND("/",E4774)-1)),(MID(E4774, SEARCH("/",E4774) + 1, SEARCH("/",E4774, SEARCH("/",E4774)+1) - SEARCH("/",E4774) - 1))-(LEFT(E4774,FIND("/",E4774)-1))), "NA"))</f>
        <v/>
      </c>
      <c r="K4774" s="79">
        <f>IF(A4774&lt;&gt;"", IF(ISBLANK(L4774), TODAY(), K4774), "")</f>
        <v/>
      </c>
      <c r="L4774" s="78" t="n"/>
      <c r="M4774" s="78">
        <f>IF(ISBLANK(L4774),"",IF(D4774="Stock",IF(C4774="Buy",L4774*G4774,IF(C4774="Sell",(L4774*G4774)-I4774, X)),IF(C4774="Buy",(L4774*G4774*100)+I4774,IF(C4774="Sell",(L4774*G4774*100)-I4774, X))))</f>
        <v/>
      </c>
      <c r="N4774" s="78">
        <f>IF(ISBLANK(L4774),"",IF(AND(C4774="Sell",D4774="Stock"),M4774,IF(ISBLANK(L4774),"",IF(C4774="Buy",M4774, IF(AND(C4774="Sell",J4774="NA"),(E4774*G4774*100*0.1)+I4774, IF(C4774="Sell",(J4774-L4774)*(100*G4774)+I4774))))))</f>
        <v/>
      </c>
      <c r="O4774" s="75" t="n"/>
      <c r="P4774" s="75" t="n"/>
      <c r="Q4774" s="75">
        <f>IF(ISBLANK(P4774),"",IF(D4774="Stock",P4774*G4774,IF(P4774=0,"0",G4774*P4774*100-(G4774*$AF$14))))</f>
        <v/>
      </c>
      <c r="R4774" s="79">
        <f>IF(P4774&lt;&gt;"", TODAY(), "")</f>
        <v/>
      </c>
      <c r="S4774" s="78">
        <f>IF(AND(K4774&lt;&gt;"", R4774&lt;&gt;""), R4774-K4774, "")</f>
        <v/>
      </c>
      <c r="T4774" s="78" t="n"/>
      <c r="U4774" s="92">
        <f>IF(ISBLANK(P4774),"",IF(C4774="Buy",Q4774-M4774+T4774, IF(C4774="Sell",M4774-Q4774-T4774, X)))</f>
        <v/>
      </c>
      <c r="V4774" s="81">
        <f>IF(ISBLANK(P4774),"",U4774/N4774)</f>
        <v/>
      </c>
      <c r="W4774" s="81">
        <f>IF(ISBLANK(P4774),"",IF(S4774=0,(365/0.5)*V4774,(365/S4774)*V4774))</f>
        <v/>
      </c>
      <c r="X4774" s="75" t="n"/>
      <c r="Y4774" s="77" t="n"/>
      <c r="Z4774" s="77" t="n"/>
      <c r="AA4774" s="75" t="n"/>
      <c r="AB4774" s="75" t="n"/>
      <c r="AC4774" s="6" t="n"/>
      <c r="AD4774" s="75" t="n"/>
      <c r="AE4774" s="75" t="n"/>
      <c r="AF4774" s="75" t="n"/>
    </row>
    <row r="4775" ht="15.75" customHeight="1" s="133">
      <c r="A4775" s="75" t="n"/>
      <c r="B4775" s="75" t="n"/>
      <c r="C4775" s="75" t="n"/>
      <c r="D4775" s="75" t="n"/>
      <c r="E4775" s="76" t="n"/>
      <c r="F4775" s="77" t="n"/>
      <c r="G4775" s="75" t="n"/>
      <c r="H4775" s="75">
        <f>IF(ISBLANK(E4775),"",IF(OR(D4775="Butterfly",D4775="Butterfly ",D4775="Iron Fly", D4775="Iron Fly "),LEN(E4775)-LEN(SUBSTITUTE(E4775,"/",""))+2,LEN(E4775)-LEN(SUBSTITUTE(E4775,"/",""))+1))</f>
        <v/>
      </c>
      <c r="I4775" s="78">
        <f>IF(ISBLANK(G4775),"",IF(D4775="Stock","0",Key!$A$3*H4775*G4775))</f>
        <v/>
      </c>
      <c r="J4775" s="78">
        <f>IF(ISBLANK(E4775),"",IF(ISNUMBER(SEARCH("/",E4775)), IF(LEN(E4775)-LEN(SUBSTITUTE(E4775,"/",""))=1,(RIGHT(E4775,LEN(E4775)-FIND("/",E4775)))-(LEFT(E4775,FIND("/",E4775)-1)),(MID(E4775, SEARCH("/",E4775) + 1, SEARCH("/",E4775, SEARCH("/",E4775)+1) - SEARCH("/",E4775) - 1))-(LEFT(E4775,FIND("/",E4775)-1))), "NA"))</f>
        <v/>
      </c>
      <c r="K4775" s="79">
        <f>IF(A4775&lt;&gt;"", IF(ISBLANK(L4775), TODAY(), K4775), "")</f>
        <v/>
      </c>
      <c r="L4775" s="78" t="n"/>
      <c r="M4775" s="78">
        <f>IF(ISBLANK(L4775),"",IF(D4775="Stock",IF(C4775="Buy",L4775*G4775,IF(C4775="Sell",(L4775*G4775)-I4775, X)),IF(C4775="Buy",(L4775*G4775*100)+I4775,IF(C4775="Sell",(L4775*G4775*100)-I4775, X))))</f>
        <v/>
      </c>
      <c r="N4775" s="78">
        <f>IF(ISBLANK(L4775),"",IF(AND(C4775="Sell",D4775="Stock"),M4775,IF(ISBLANK(L4775),"",IF(C4775="Buy",M4775, IF(AND(C4775="Sell",J4775="NA"),(E4775*G4775*100*0.1)+I4775, IF(C4775="Sell",(J4775-L4775)*(100*G4775)+I4775))))))</f>
        <v/>
      </c>
      <c r="O4775" s="75" t="n"/>
      <c r="P4775" s="75" t="n"/>
      <c r="Q4775" s="75">
        <f>IF(ISBLANK(P4775),"",IF(D4775="Stock",P4775*G4775,IF(P4775=0,"0",G4775*P4775*100-(G4775*$AF$14))))</f>
        <v/>
      </c>
      <c r="R4775" s="79">
        <f>IF(P4775&lt;&gt;"", TODAY(), "")</f>
        <v/>
      </c>
      <c r="S4775" s="78">
        <f>IF(AND(K4775&lt;&gt;"", R4775&lt;&gt;""), R4775-K4775, "")</f>
        <v/>
      </c>
      <c r="T4775" s="78" t="n"/>
      <c r="U4775" s="92">
        <f>IF(ISBLANK(P4775),"",IF(C4775="Buy",Q4775-M4775+T4775, IF(C4775="Sell",M4775-Q4775-T4775, X)))</f>
        <v/>
      </c>
      <c r="V4775" s="81">
        <f>IF(ISBLANK(P4775),"",U4775/N4775)</f>
        <v/>
      </c>
      <c r="W4775" s="81">
        <f>IF(ISBLANK(P4775),"",IF(S4775=0,(365/0.5)*V4775,(365/S4775)*V4775))</f>
        <v/>
      </c>
      <c r="X4775" s="75" t="n"/>
      <c r="Y4775" s="77" t="n"/>
      <c r="Z4775" s="77" t="n"/>
      <c r="AA4775" s="75" t="n"/>
      <c r="AB4775" s="75" t="n"/>
      <c r="AC4775" s="6" t="n"/>
      <c r="AD4775" s="75" t="n"/>
      <c r="AE4775" s="75" t="n"/>
      <c r="AF4775" s="75" t="n"/>
    </row>
    <row r="4776" ht="15.75" customHeight="1" s="133">
      <c r="A4776" s="75" t="n"/>
      <c r="B4776" s="75" t="n"/>
      <c r="C4776" s="75" t="n"/>
      <c r="D4776" s="75" t="n"/>
      <c r="E4776" s="76" t="n"/>
      <c r="F4776" s="77" t="n"/>
      <c r="G4776" s="75" t="n"/>
      <c r="H4776" s="75">
        <f>IF(ISBLANK(E4776),"",IF(OR(D4776="Butterfly",D4776="Butterfly ",D4776="Iron Fly", D4776="Iron Fly "),LEN(E4776)-LEN(SUBSTITUTE(E4776,"/",""))+2,LEN(E4776)-LEN(SUBSTITUTE(E4776,"/",""))+1))</f>
        <v/>
      </c>
      <c r="I4776" s="78">
        <f>IF(ISBLANK(G4776),"",IF(D4776="Stock","0",Key!$A$3*H4776*G4776))</f>
        <v/>
      </c>
      <c r="J4776" s="78">
        <f>IF(ISBLANK(E4776),"",IF(ISNUMBER(SEARCH("/",E4776)), IF(LEN(E4776)-LEN(SUBSTITUTE(E4776,"/",""))=1,(RIGHT(E4776,LEN(E4776)-FIND("/",E4776)))-(LEFT(E4776,FIND("/",E4776)-1)),(MID(E4776, SEARCH("/",E4776) + 1, SEARCH("/",E4776, SEARCH("/",E4776)+1) - SEARCH("/",E4776) - 1))-(LEFT(E4776,FIND("/",E4776)-1))), "NA"))</f>
        <v/>
      </c>
      <c r="K4776" s="79">
        <f>IF(A4776&lt;&gt;"", IF(ISBLANK(L4776), TODAY(), K4776), "")</f>
        <v/>
      </c>
      <c r="L4776" s="78" t="n"/>
      <c r="M4776" s="78">
        <f>IF(ISBLANK(L4776),"",IF(D4776="Stock",IF(C4776="Buy",L4776*G4776,IF(C4776="Sell",(L4776*G4776)-I4776, X)),IF(C4776="Buy",(L4776*G4776*100)+I4776,IF(C4776="Sell",(L4776*G4776*100)-I4776, X))))</f>
        <v/>
      </c>
      <c r="N4776" s="78">
        <f>IF(ISBLANK(L4776),"",IF(AND(C4776="Sell",D4776="Stock"),M4776,IF(ISBLANK(L4776),"",IF(C4776="Buy",M4776, IF(AND(C4776="Sell",J4776="NA"),(E4776*G4776*100*0.1)+I4776, IF(C4776="Sell",(J4776-L4776)*(100*G4776)+I4776))))))</f>
        <v/>
      </c>
      <c r="O4776" s="75" t="n"/>
      <c r="P4776" s="75" t="n"/>
      <c r="Q4776" s="75">
        <f>IF(ISBLANK(P4776),"",IF(D4776="Stock",P4776*G4776,IF(P4776=0,"0",G4776*P4776*100-(G4776*$AF$14))))</f>
        <v/>
      </c>
      <c r="R4776" s="79">
        <f>IF(P4776&lt;&gt;"", TODAY(), "")</f>
        <v/>
      </c>
      <c r="S4776" s="78">
        <f>IF(AND(K4776&lt;&gt;"", R4776&lt;&gt;""), R4776-K4776, "")</f>
        <v/>
      </c>
      <c r="T4776" s="78" t="n"/>
      <c r="U4776" s="92">
        <f>IF(ISBLANK(P4776),"",IF(C4776="Buy",Q4776-M4776+T4776, IF(C4776="Sell",M4776-Q4776-T4776, X)))</f>
        <v/>
      </c>
      <c r="V4776" s="81">
        <f>IF(ISBLANK(P4776),"",U4776/N4776)</f>
        <v/>
      </c>
      <c r="W4776" s="81">
        <f>IF(ISBLANK(P4776),"",IF(S4776=0,(365/0.5)*V4776,(365/S4776)*V4776))</f>
        <v/>
      </c>
      <c r="X4776" s="75" t="n"/>
      <c r="Y4776" s="77" t="n"/>
      <c r="Z4776" s="77" t="n"/>
      <c r="AA4776" s="75" t="n"/>
      <c r="AB4776" s="75" t="n"/>
      <c r="AC4776" s="6" t="n"/>
      <c r="AD4776" s="75" t="n"/>
      <c r="AE4776" s="75" t="n"/>
      <c r="AF4776" s="75" t="n"/>
    </row>
    <row r="4777" ht="15.75" customHeight="1" s="133">
      <c r="A4777" s="75" t="n"/>
      <c r="B4777" s="75" t="n"/>
      <c r="C4777" s="75" t="n"/>
      <c r="D4777" s="75" t="n"/>
      <c r="E4777" s="76" t="n"/>
      <c r="F4777" s="77" t="n"/>
      <c r="G4777" s="75" t="n"/>
      <c r="H4777" s="75">
        <f>IF(ISBLANK(E4777),"",IF(OR(D4777="Butterfly",D4777="Butterfly ",D4777="Iron Fly", D4777="Iron Fly "),LEN(E4777)-LEN(SUBSTITUTE(E4777,"/",""))+2,LEN(E4777)-LEN(SUBSTITUTE(E4777,"/",""))+1))</f>
        <v/>
      </c>
      <c r="I4777" s="78">
        <f>IF(ISBLANK(G4777),"",IF(D4777="Stock","0",Key!$A$3*H4777*G4777))</f>
        <v/>
      </c>
      <c r="J4777" s="78">
        <f>IF(ISBLANK(E4777),"",IF(ISNUMBER(SEARCH("/",E4777)), IF(LEN(E4777)-LEN(SUBSTITUTE(E4777,"/",""))=1,(RIGHT(E4777,LEN(E4777)-FIND("/",E4777)))-(LEFT(E4777,FIND("/",E4777)-1)),(MID(E4777, SEARCH("/",E4777) + 1, SEARCH("/",E4777, SEARCH("/",E4777)+1) - SEARCH("/",E4777) - 1))-(LEFT(E4777,FIND("/",E4777)-1))), "NA"))</f>
        <v/>
      </c>
      <c r="K4777" s="79">
        <f>IF(A4777&lt;&gt;"", IF(ISBLANK(L4777), TODAY(), K4777), "")</f>
        <v/>
      </c>
      <c r="L4777" s="78" t="n"/>
      <c r="M4777" s="78">
        <f>IF(ISBLANK(L4777),"",IF(D4777="Stock",IF(C4777="Buy",L4777*G4777,IF(C4777="Sell",(L4777*G4777)-I4777, X)),IF(C4777="Buy",(L4777*G4777*100)+I4777,IF(C4777="Sell",(L4777*G4777*100)-I4777, X))))</f>
        <v/>
      </c>
      <c r="N4777" s="78">
        <f>IF(ISBLANK(L4777),"",IF(AND(C4777="Sell",D4777="Stock"),M4777,IF(ISBLANK(L4777),"",IF(C4777="Buy",M4777, IF(AND(C4777="Sell",J4777="NA"),(E4777*G4777*100*0.1)+I4777, IF(C4777="Sell",(J4777-L4777)*(100*G4777)+I4777))))))</f>
        <v/>
      </c>
      <c r="O4777" s="75" t="n"/>
      <c r="P4777" s="75" t="n"/>
      <c r="Q4777" s="75">
        <f>IF(ISBLANK(P4777),"",IF(D4777="Stock",P4777*G4777,IF(P4777=0,"0",G4777*P4777*100-(G4777*$AF$14))))</f>
        <v/>
      </c>
      <c r="R4777" s="79">
        <f>IF(P4777&lt;&gt;"", TODAY(), "")</f>
        <v/>
      </c>
      <c r="S4777" s="78">
        <f>IF(AND(K4777&lt;&gt;"", R4777&lt;&gt;""), R4777-K4777, "")</f>
        <v/>
      </c>
      <c r="T4777" s="78" t="n"/>
      <c r="U4777" s="92">
        <f>IF(ISBLANK(P4777),"",IF(C4777="Buy",Q4777-M4777+T4777, IF(C4777="Sell",M4777-Q4777-T4777, X)))</f>
        <v/>
      </c>
      <c r="V4777" s="81">
        <f>IF(ISBLANK(P4777),"",U4777/N4777)</f>
        <v/>
      </c>
      <c r="W4777" s="81">
        <f>IF(ISBLANK(P4777),"",IF(S4777=0,(365/0.5)*V4777,(365/S4777)*V4777))</f>
        <v/>
      </c>
      <c r="X4777" s="75" t="n"/>
      <c r="Y4777" s="77" t="n"/>
      <c r="Z4777" s="77" t="n"/>
      <c r="AA4777" s="75" t="n"/>
      <c r="AB4777" s="75" t="n"/>
      <c r="AC4777" s="6" t="n"/>
      <c r="AD4777" s="75" t="n"/>
      <c r="AE4777" s="75" t="n"/>
      <c r="AF4777" s="75" t="n"/>
    </row>
    <row r="4778" ht="15.75" customHeight="1" s="133">
      <c r="A4778" s="75" t="n"/>
      <c r="B4778" s="75" t="n"/>
      <c r="C4778" s="75" t="n"/>
      <c r="D4778" s="75" t="n"/>
      <c r="E4778" s="76" t="n"/>
      <c r="F4778" s="77" t="n"/>
      <c r="G4778" s="75" t="n"/>
      <c r="H4778" s="75">
        <f>IF(ISBLANK(E4778),"",IF(OR(D4778="Butterfly",D4778="Butterfly ",D4778="Iron Fly", D4778="Iron Fly "),LEN(E4778)-LEN(SUBSTITUTE(E4778,"/",""))+2,LEN(E4778)-LEN(SUBSTITUTE(E4778,"/",""))+1))</f>
        <v/>
      </c>
      <c r="I4778" s="78">
        <f>IF(ISBLANK(G4778),"",IF(D4778="Stock","0",Key!$A$3*H4778*G4778))</f>
        <v/>
      </c>
      <c r="J4778" s="78">
        <f>IF(ISBLANK(E4778),"",IF(ISNUMBER(SEARCH("/",E4778)), IF(LEN(E4778)-LEN(SUBSTITUTE(E4778,"/",""))=1,(RIGHT(E4778,LEN(E4778)-FIND("/",E4778)))-(LEFT(E4778,FIND("/",E4778)-1)),(MID(E4778, SEARCH("/",E4778) + 1, SEARCH("/",E4778, SEARCH("/",E4778)+1) - SEARCH("/",E4778) - 1))-(LEFT(E4778,FIND("/",E4778)-1))), "NA"))</f>
        <v/>
      </c>
      <c r="K4778" s="79">
        <f>IF(A4778&lt;&gt;"", IF(ISBLANK(L4778), TODAY(), K4778), "")</f>
        <v/>
      </c>
      <c r="L4778" s="78" t="n"/>
      <c r="M4778" s="78">
        <f>IF(ISBLANK(L4778),"",IF(D4778="Stock",IF(C4778="Buy",L4778*G4778,IF(C4778="Sell",(L4778*G4778)-I4778, X)),IF(C4778="Buy",(L4778*G4778*100)+I4778,IF(C4778="Sell",(L4778*G4778*100)-I4778, X))))</f>
        <v/>
      </c>
      <c r="N4778" s="78">
        <f>IF(ISBLANK(L4778),"",IF(AND(C4778="Sell",D4778="Stock"),M4778,IF(ISBLANK(L4778),"",IF(C4778="Buy",M4778, IF(AND(C4778="Sell",J4778="NA"),(E4778*G4778*100*0.1)+I4778, IF(C4778="Sell",(J4778-L4778)*(100*G4778)+I4778))))))</f>
        <v/>
      </c>
      <c r="O4778" s="75" t="n"/>
      <c r="P4778" s="75" t="n"/>
      <c r="Q4778" s="75">
        <f>IF(ISBLANK(P4778),"",IF(D4778="Stock",P4778*G4778,IF(P4778=0,"0",G4778*P4778*100-(G4778*$AF$14))))</f>
        <v/>
      </c>
      <c r="R4778" s="79">
        <f>IF(P4778&lt;&gt;"", TODAY(), "")</f>
        <v/>
      </c>
      <c r="S4778" s="78">
        <f>IF(AND(K4778&lt;&gt;"", R4778&lt;&gt;""), R4778-K4778, "")</f>
        <v/>
      </c>
      <c r="T4778" s="78" t="n"/>
      <c r="U4778" s="92">
        <f>IF(ISBLANK(P4778),"",IF(C4778="Buy",Q4778-M4778+T4778, IF(C4778="Sell",M4778-Q4778-T4778, X)))</f>
        <v/>
      </c>
      <c r="V4778" s="81">
        <f>IF(ISBLANK(P4778),"",U4778/N4778)</f>
        <v/>
      </c>
      <c r="W4778" s="81">
        <f>IF(ISBLANK(P4778),"",IF(S4778=0,(365/0.5)*V4778,(365/S4778)*V4778))</f>
        <v/>
      </c>
      <c r="X4778" s="75" t="n"/>
      <c r="Y4778" s="77" t="n"/>
      <c r="Z4778" s="77" t="n"/>
      <c r="AA4778" s="75" t="n"/>
      <c r="AB4778" s="75" t="n"/>
      <c r="AC4778" s="6" t="n"/>
      <c r="AD4778" s="75" t="n"/>
      <c r="AE4778" s="75" t="n"/>
      <c r="AF4778" s="75" t="n"/>
    </row>
    <row r="4779" ht="15.75" customHeight="1" s="133">
      <c r="A4779" s="75" t="n"/>
      <c r="B4779" s="75" t="n"/>
      <c r="C4779" s="75" t="n"/>
      <c r="D4779" s="75" t="n"/>
      <c r="E4779" s="76" t="n"/>
      <c r="F4779" s="77" t="n"/>
      <c r="G4779" s="75" t="n"/>
      <c r="H4779" s="75">
        <f>IF(ISBLANK(E4779),"",IF(OR(D4779="Butterfly",D4779="Butterfly ",D4779="Iron Fly", D4779="Iron Fly "),LEN(E4779)-LEN(SUBSTITUTE(E4779,"/",""))+2,LEN(E4779)-LEN(SUBSTITUTE(E4779,"/",""))+1))</f>
        <v/>
      </c>
      <c r="I4779" s="78">
        <f>IF(ISBLANK(G4779),"",IF(D4779="Stock","0",Key!$A$3*H4779*G4779))</f>
        <v/>
      </c>
      <c r="J4779" s="78">
        <f>IF(ISBLANK(E4779),"",IF(ISNUMBER(SEARCH("/",E4779)), IF(LEN(E4779)-LEN(SUBSTITUTE(E4779,"/",""))=1,(RIGHT(E4779,LEN(E4779)-FIND("/",E4779)))-(LEFT(E4779,FIND("/",E4779)-1)),(MID(E4779, SEARCH("/",E4779) + 1, SEARCH("/",E4779, SEARCH("/",E4779)+1) - SEARCH("/",E4779) - 1))-(LEFT(E4779,FIND("/",E4779)-1))), "NA"))</f>
        <v/>
      </c>
      <c r="K4779" s="79">
        <f>IF(A4779&lt;&gt;"", IF(ISBLANK(L4779), TODAY(), K4779), "")</f>
        <v/>
      </c>
      <c r="L4779" s="78" t="n"/>
      <c r="M4779" s="78">
        <f>IF(ISBLANK(L4779),"",IF(D4779="Stock",IF(C4779="Buy",L4779*G4779,IF(C4779="Sell",(L4779*G4779)-I4779, X)),IF(C4779="Buy",(L4779*G4779*100)+I4779,IF(C4779="Sell",(L4779*G4779*100)-I4779, X))))</f>
        <v/>
      </c>
      <c r="N4779" s="78">
        <f>IF(ISBLANK(L4779),"",IF(AND(C4779="Sell",D4779="Stock"),M4779,IF(ISBLANK(L4779),"",IF(C4779="Buy",M4779, IF(AND(C4779="Sell",J4779="NA"),(E4779*G4779*100*0.1)+I4779, IF(C4779="Sell",(J4779-L4779)*(100*G4779)+I4779))))))</f>
        <v/>
      </c>
      <c r="O4779" s="75" t="n"/>
      <c r="P4779" s="75" t="n"/>
      <c r="Q4779" s="75">
        <f>IF(ISBLANK(P4779),"",IF(D4779="Stock",P4779*G4779,IF(P4779=0,"0",G4779*P4779*100-(G4779*$AF$14))))</f>
        <v/>
      </c>
      <c r="R4779" s="79">
        <f>IF(P4779&lt;&gt;"", TODAY(), "")</f>
        <v/>
      </c>
      <c r="S4779" s="78">
        <f>IF(AND(K4779&lt;&gt;"", R4779&lt;&gt;""), R4779-K4779, "")</f>
        <v/>
      </c>
      <c r="T4779" s="78" t="n"/>
      <c r="U4779" s="92">
        <f>IF(ISBLANK(P4779),"",IF(C4779="Buy",Q4779-M4779+T4779, IF(C4779="Sell",M4779-Q4779-T4779, X)))</f>
        <v/>
      </c>
      <c r="V4779" s="81">
        <f>IF(ISBLANK(P4779),"",U4779/N4779)</f>
        <v/>
      </c>
      <c r="W4779" s="81">
        <f>IF(ISBLANK(P4779),"",IF(S4779=0,(365/0.5)*V4779,(365/S4779)*V4779))</f>
        <v/>
      </c>
      <c r="X4779" s="75" t="n"/>
      <c r="Y4779" s="77" t="n"/>
      <c r="Z4779" s="77" t="n"/>
      <c r="AA4779" s="75" t="n"/>
      <c r="AB4779" s="75" t="n"/>
      <c r="AC4779" s="6" t="n"/>
      <c r="AD4779" s="75" t="n"/>
      <c r="AE4779" s="75" t="n"/>
      <c r="AF4779" s="75" t="n"/>
    </row>
    <row r="4780" ht="15.75" customHeight="1" s="133">
      <c r="A4780" s="75" t="n"/>
      <c r="B4780" s="75" t="n"/>
      <c r="C4780" s="75" t="n"/>
      <c r="D4780" s="75" t="n"/>
      <c r="E4780" s="76" t="n"/>
      <c r="F4780" s="77" t="n"/>
      <c r="G4780" s="75" t="n"/>
      <c r="H4780" s="75">
        <f>IF(ISBLANK(E4780),"",IF(OR(D4780="Butterfly",D4780="Butterfly ",D4780="Iron Fly", D4780="Iron Fly "),LEN(E4780)-LEN(SUBSTITUTE(E4780,"/",""))+2,LEN(E4780)-LEN(SUBSTITUTE(E4780,"/",""))+1))</f>
        <v/>
      </c>
      <c r="I4780" s="78">
        <f>IF(ISBLANK(G4780),"",IF(D4780="Stock","0",Key!$A$3*H4780*G4780))</f>
        <v/>
      </c>
      <c r="J4780" s="78">
        <f>IF(ISBLANK(E4780),"",IF(ISNUMBER(SEARCH("/",E4780)), IF(LEN(E4780)-LEN(SUBSTITUTE(E4780,"/",""))=1,(RIGHT(E4780,LEN(E4780)-FIND("/",E4780)))-(LEFT(E4780,FIND("/",E4780)-1)),(MID(E4780, SEARCH("/",E4780) + 1, SEARCH("/",E4780, SEARCH("/",E4780)+1) - SEARCH("/",E4780) - 1))-(LEFT(E4780,FIND("/",E4780)-1))), "NA"))</f>
        <v/>
      </c>
      <c r="K4780" s="79">
        <f>IF(A4780&lt;&gt;"", IF(ISBLANK(L4780), TODAY(), K4780), "")</f>
        <v/>
      </c>
      <c r="L4780" s="78" t="n"/>
      <c r="M4780" s="78">
        <f>IF(ISBLANK(L4780),"",IF(D4780="Stock",IF(C4780="Buy",L4780*G4780,IF(C4780="Sell",(L4780*G4780)-I4780, X)),IF(C4780="Buy",(L4780*G4780*100)+I4780,IF(C4780="Sell",(L4780*G4780*100)-I4780, X))))</f>
        <v/>
      </c>
      <c r="N4780" s="78">
        <f>IF(ISBLANK(L4780),"",IF(AND(C4780="Sell",D4780="Stock"),M4780,IF(ISBLANK(L4780),"",IF(C4780="Buy",M4780, IF(AND(C4780="Sell",J4780="NA"),(E4780*G4780*100*0.1)+I4780, IF(C4780="Sell",(J4780-L4780)*(100*G4780)+I4780))))))</f>
        <v/>
      </c>
      <c r="O4780" s="75" t="n"/>
      <c r="P4780" s="75" t="n"/>
      <c r="Q4780" s="75">
        <f>IF(ISBLANK(P4780),"",IF(D4780="Stock",P4780*G4780,IF(P4780=0,"0",G4780*P4780*100-(G4780*$AF$14))))</f>
        <v/>
      </c>
      <c r="R4780" s="79">
        <f>IF(P4780&lt;&gt;"", TODAY(), "")</f>
        <v/>
      </c>
      <c r="S4780" s="78">
        <f>IF(AND(K4780&lt;&gt;"", R4780&lt;&gt;""), R4780-K4780, "")</f>
        <v/>
      </c>
      <c r="T4780" s="78" t="n"/>
      <c r="U4780" s="92">
        <f>IF(ISBLANK(P4780),"",IF(C4780="Buy",Q4780-M4780+T4780, IF(C4780="Sell",M4780-Q4780-T4780, X)))</f>
        <v/>
      </c>
      <c r="V4780" s="81">
        <f>IF(ISBLANK(P4780),"",U4780/N4780)</f>
        <v/>
      </c>
      <c r="W4780" s="81">
        <f>IF(ISBLANK(P4780),"",IF(S4780=0,(365/0.5)*V4780,(365/S4780)*V4780))</f>
        <v/>
      </c>
      <c r="X4780" s="75" t="n"/>
      <c r="Y4780" s="77" t="n"/>
      <c r="Z4780" s="77" t="n"/>
      <c r="AA4780" s="75" t="n"/>
      <c r="AB4780" s="75" t="n"/>
      <c r="AC4780" s="6" t="n"/>
      <c r="AD4780" s="75" t="n"/>
      <c r="AE4780" s="75" t="n"/>
      <c r="AF4780" s="75" t="n"/>
    </row>
    <row r="4781" ht="15.75" customHeight="1" s="133">
      <c r="A4781" s="75" t="n"/>
      <c r="B4781" s="75" t="n"/>
      <c r="C4781" s="75" t="n"/>
      <c r="D4781" s="75" t="n"/>
      <c r="E4781" s="76" t="n"/>
      <c r="F4781" s="77" t="n"/>
      <c r="G4781" s="75" t="n"/>
      <c r="H4781" s="75">
        <f>IF(ISBLANK(E4781),"",IF(OR(D4781="Butterfly",D4781="Butterfly ",D4781="Iron Fly", D4781="Iron Fly "),LEN(E4781)-LEN(SUBSTITUTE(E4781,"/",""))+2,LEN(E4781)-LEN(SUBSTITUTE(E4781,"/",""))+1))</f>
        <v/>
      </c>
      <c r="I4781" s="78">
        <f>IF(ISBLANK(G4781),"",IF(D4781="Stock","0",Key!$A$3*H4781*G4781))</f>
        <v/>
      </c>
      <c r="J4781" s="78">
        <f>IF(ISBLANK(E4781),"",IF(ISNUMBER(SEARCH("/",E4781)), IF(LEN(E4781)-LEN(SUBSTITUTE(E4781,"/",""))=1,(RIGHT(E4781,LEN(E4781)-FIND("/",E4781)))-(LEFT(E4781,FIND("/",E4781)-1)),(MID(E4781, SEARCH("/",E4781) + 1, SEARCH("/",E4781, SEARCH("/",E4781)+1) - SEARCH("/",E4781) - 1))-(LEFT(E4781,FIND("/",E4781)-1))), "NA"))</f>
        <v/>
      </c>
      <c r="K4781" s="79">
        <f>IF(A4781&lt;&gt;"", IF(ISBLANK(L4781), TODAY(), K4781), "")</f>
        <v/>
      </c>
      <c r="L4781" s="78" t="n"/>
      <c r="M4781" s="78">
        <f>IF(ISBLANK(L4781),"",IF(D4781="Stock",IF(C4781="Buy",L4781*G4781,IF(C4781="Sell",(L4781*G4781)-I4781, X)),IF(C4781="Buy",(L4781*G4781*100)+I4781,IF(C4781="Sell",(L4781*G4781*100)-I4781, X))))</f>
        <v/>
      </c>
      <c r="N4781" s="78">
        <f>IF(ISBLANK(L4781),"",IF(AND(C4781="Sell",D4781="Stock"),M4781,IF(ISBLANK(L4781),"",IF(C4781="Buy",M4781, IF(AND(C4781="Sell",J4781="NA"),(E4781*G4781*100*0.1)+I4781, IF(C4781="Sell",(J4781-L4781)*(100*G4781)+I4781))))))</f>
        <v/>
      </c>
      <c r="O4781" s="75" t="n"/>
      <c r="P4781" s="75" t="n"/>
      <c r="Q4781" s="75">
        <f>IF(ISBLANK(P4781),"",IF(D4781="Stock",P4781*G4781,IF(P4781=0,"0",G4781*P4781*100-(G4781*$AF$14))))</f>
        <v/>
      </c>
      <c r="R4781" s="79">
        <f>IF(P4781&lt;&gt;"", TODAY(), "")</f>
        <v/>
      </c>
      <c r="S4781" s="78">
        <f>IF(AND(K4781&lt;&gt;"", R4781&lt;&gt;""), R4781-K4781, "")</f>
        <v/>
      </c>
      <c r="T4781" s="78" t="n"/>
      <c r="U4781" s="92">
        <f>IF(ISBLANK(P4781),"",IF(C4781="Buy",Q4781-M4781+T4781, IF(C4781="Sell",M4781-Q4781-T4781, X)))</f>
        <v/>
      </c>
      <c r="V4781" s="81">
        <f>IF(ISBLANK(P4781),"",U4781/N4781)</f>
        <v/>
      </c>
      <c r="W4781" s="81">
        <f>IF(ISBLANK(P4781),"",IF(S4781=0,(365/0.5)*V4781,(365/S4781)*V4781))</f>
        <v/>
      </c>
      <c r="X4781" s="75" t="n"/>
      <c r="Y4781" s="77" t="n"/>
      <c r="Z4781" s="77" t="n"/>
      <c r="AA4781" s="75" t="n"/>
      <c r="AB4781" s="75" t="n"/>
      <c r="AC4781" s="6" t="n"/>
      <c r="AD4781" s="75" t="n"/>
      <c r="AE4781" s="75" t="n"/>
      <c r="AF4781" s="75" t="n"/>
    </row>
    <row r="4782" ht="15.75" customHeight="1" s="133">
      <c r="A4782" s="75" t="n"/>
      <c r="B4782" s="75" t="n"/>
      <c r="C4782" s="75" t="n"/>
      <c r="D4782" s="75" t="n"/>
      <c r="E4782" s="76" t="n"/>
      <c r="F4782" s="77" t="n"/>
      <c r="G4782" s="75" t="n"/>
      <c r="H4782" s="75">
        <f>IF(ISBLANK(E4782),"",IF(OR(D4782="Butterfly",D4782="Butterfly ",D4782="Iron Fly", D4782="Iron Fly "),LEN(E4782)-LEN(SUBSTITUTE(E4782,"/",""))+2,LEN(E4782)-LEN(SUBSTITUTE(E4782,"/",""))+1))</f>
        <v/>
      </c>
      <c r="I4782" s="78">
        <f>IF(ISBLANK(G4782),"",IF(D4782="Stock","0",Key!$A$3*H4782*G4782))</f>
        <v/>
      </c>
      <c r="J4782" s="78">
        <f>IF(ISBLANK(E4782),"",IF(ISNUMBER(SEARCH("/",E4782)), IF(LEN(E4782)-LEN(SUBSTITUTE(E4782,"/",""))=1,(RIGHT(E4782,LEN(E4782)-FIND("/",E4782)))-(LEFT(E4782,FIND("/",E4782)-1)),(MID(E4782, SEARCH("/",E4782) + 1, SEARCH("/",E4782, SEARCH("/",E4782)+1) - SEARCH("/",E4782) - 1))-(LEFT(E4782,FIND("/",E4782)-1))), "NA"))</f>
        <v/>
      </c>
      <c r="K4782" s="79">
        <f>IF(A4782&lt;&gt;"", IF(ISBLANK(L4782), TODAY(), K4782), "")</f>
        <v/>
      </c>
      <c r="L4782" s="78" t="n"/>
      <c r="M4782" s="78">
        <f>IF(ISBLANK(L4782),"",IF(D4782="Stock",IF(C4782="Buy",L4782*G4782,IF(C4782="Sell",(L4782*G4782)-I4782, X)),IF(C4782="Buy",(L4782*G4782*100)+I4782,IF(C4782="Sell",(L4782*G4782*100)-I4782, X))))</f>
        <v/>
      </c>
      <c r="N4782" s="78">
        <f>IF(ISBLANK(L4782),"",IF(AND(C4782="Sell",D4782="Stock"),M4782,IF(ISBLANK(L4782),"",IF(C4782="Buy",M4782, IF(AND(C4782="Sell",J4782="NA"),(E4782*G4782*100*0.1)+I4782, IF(C4782="Sell",(J4782-L4782)*(100*G4782)+I4782))))))</f>
        <v/>
      </c>
      <c r="O4782" s="75" t="n"/>
      <c r="P4782" s="75" t="n"/>
      <c r="Q4782" s="75">
        <f>IF(ISBLANK(P4782),"",IF(D4782="Stock",P4782*G4782,IF(P4782=0,"0",G4782*P4782*100-(G4782*$AF$14))))</f>
        <v/>
      </c>
      <c r="R4782" s="79">
        <f>IF(P4782&lt;&gt;"", TODAY(), "")</f>
        <v/>
      </c>
      <c r="S4782" s="78">
        <f>IF(AND(K4782&lt;&gt;"", R4782&lt;&gt;""), R4782-K4782, "")</f>
        <v/>
      </c>
      <c r="T4782" s="78" t="n"/>
      <c r="U4782" s="92">
        <f>IF(ISBLANK(P4782),"",IF(C4782="Buy",Q4782-M4782+T4782, IF(C4782="Sell",M4782-Q4782-T4782, X)))</f>
        <v/>
      </c>
      <c r="V4782" s="81">
        <f>IF(ISBLANK(P4782),"",U4782/N4782)</f>
        <v/>
      </c>
      <c r="W4782" s="81">
        <f>IF(ISBLANK(P4782),"",IF(S4782=0,(365/0.5)*V4782,(365/S4782)*V4782))</f>
        <v/>
      </c>
      <c r="X4782" s="75" t="n"/>
      <c r="Y4782" s="77" t="n"/>
      <c r="Z4782" s="77" t="n"/>
      <c r="AA4782" s="75" t="n"/>
      <c r="AB4782" s="75" t="n"/>
      <c r="AC4782" s="6" t="n"/>
      <c r="AD4782" s="75" t="n"/>
      <c r="AE4782" s="75" t="n"/>
      <c r="AF4782" s="75" t="n"/>
    </row>
    <row r="4783" ht="15.75" customHeight="1" s="133">
      <c r="A4783" s="75" t="n"/>
      <c r="B4783" s="75" t="n"/>
      <c r="C4783" s="75" t="n"/>
      <c r="D4783" s="75" t="n"/>
      <c r="E4783" s="76" t="n"/>
      <c r="F4783" s="77" t="n"/>
      <c r="G4783" s="75" t="n"/>
      <c r="H4783" s="75">
        <f>IF(ISBLANK(E4783),"",IF(OR(D4783="Butterfly",D4783="Butterfly ",D4783="Iron Fly", D4783="Iron Fly "),LEN(E4783)-LEN(SUBSTITUTE(E4783,"/",""))+2,LEN(E4783)-LEN(SUBSTITUTE(E4783,"/",""))+1))</f>
        <v/>
      </c>
      <c r="I4783" s="78">
        <f>IF(ISBLANK(G4783),"",IF(D4783="Stock","0",Key!$A$3*H4783*G4783))</f>
        <v/>
      </c>
      <c r="J4783" s="78">
        <f>IF(ISBLANK(E4783),"",IF(ISNUMBER(SEARCH("/",E4783)), IF(LEN(E4783)-LEN(SUBSTITUTE(E4783,"/",""))=1,(RIGHT(E4783,LEN(E4783)-FIND("/",E4783)))-(LEFT(E4783,FIND("/",E4783)-1)),(MID(E4783, SEARCH("/",E4783) + 1, SEARCH("/",E4783, SEARCH("/",E4783)+1) - SEARCH("/",E4783) - 1))-(LEFT(E4783,FIND("/",E4783)-1))), "NA"))</f>
        <v/>
      </c>
      <c r="K4783" s="79">
        <f>IF(A4783&lt;&gt;"", IF(ISBLANK(L4783), TODAY(), K4783), "")</f>
        <v/>
      </c>
      <c r="L4783" s="78" t="n"/>
      <c r="M4783" s="78">
        <f>IF(ISBLANK(L4783),"",IF(D4783="Stock",IF(C4783="Buy",L4783*G4783,IF(C4783="Sell",(L4783*G4783)-I4783, X)),IF(C4783="Buy",(L4783*G4783*100)+I4783,IF(C4783="Sell",(L4783*G4783*100)-I4783, X))))</f>
        <v/>
      </c>
      <c r="N4783" s="78">
        <f>IF(ISBLANK(L4783),"",IF(AND(C4783="Sell",D4783="Stock"),M4783,IF(ISBLANK(L4783),"",IF(C4783="Buy",M4783, IF(AND(C4783="Sell",J4783="NA"),(E4783*G4783*100*0.1)+I4783, IF(C4783="Sell",(J4783-L4783)*(100*G4783)+I4783))))))</f>
        <v/>
      </c>
      <c r="O4783" s="75" t="n"/>
      <c r="P4783" s="75" t="n"/>
      <c r="Q4783" s="75">
        <f>IF(ISBLANK(P4783),"",IF(D4783="Stock",P4783*G4783,IF(P4783=0,"0",G4783*P4783*100-(G4783*$AF$14))))</f>
        <v/>
      </c>
      <c r="R4783" s="79">
        <f>IF(P4783&lt;&gt;"", TODAY(), "")</f>
        <v/>
      </c>
      <c r="S4783" s="78">
        <f>IF(AND(K4783&lt;&gt;"", R4783&lt;&gt;""), R4783-K4783, "")</f>
        <v/>
      </c>
      <c r="T4783" s="78" t="n"/>
      <c r="U4783" s="92">
        <f>IF(ISBLANK(P4783),"",IF(C4783="Buy",Q4783-M4783+T4783, IF(C4783="Sell",M4783-Q4783-T4783, X)))</f>
        <v/>
      </c>
      <c r="V4783" s="81">
        <f>IF(ISBLANK(P4783),"",U4783/N4783)</f>
        <v/>
      </c>
      <c r="W4783" s="81">
        <f>IF(ISBLANK(P4783),"",IF(S4783=0,(365/0.5)*V4783,(365/S4783)*V4783))</f>
        <v/>
      </c>
      <c r="X4783" s="75" t="n"/>
      <c r="Y4783" s="77" t="n"/>
      <c r="Z4783" s="77" t="n"/>
      <c r="AA4783" s="75" t="n"/>
      <c r="AB4783" s="75" t="n"/>
      <c r="AC4783" s="6" t="n"/>
      <c r="AD4783" s="75" t="n"/>
      <c r="AE4783" s="75" t="n"/>
      <c r="AF4783" s="75" t="n"/>
    </row>
    <row r="4784" ht="15.75" customHeight="1" s="133">
      <c r="A4784" s="75" t="n"/>
      <c r="B4784" s="75" t="n"/>
      <c r="C4784" s="75" t="n"/>
      <c r="D4784" s="75" t="n"/>
      <c r="E4784" s="76" t="n"/>
      <c r="F4784" s="77" t="n"/>
      <c r="G4784" s="75" t="n"/>
      <c r="H4784" s="75">
        <f>IF(ISBLANK(E4784),"",IF(OR(D4784="Butterfly",D4784="Butterfly ",D4784="Iron Fly", D4784="Iron Fly "),LEN(E4784)-LEN(SUBSTITUTE(E4784,"/",""))+2,LEN(E4784)-LEN(SUBSTITUTE(E4784,"/",""))+1))</f>
        <v/>
      </c>
      <c r="I4784" s="78">
        <f>IF(ISBLANK(G4784),"",IF(D4784="Stock","0",Key!$A$3*H4784*G4784))</f>
        <v/>
      </c>
      <c r="J4784" s="78">
        <f>IF(ISBLANK(E4784),"",IF(ISNUMBER(SEARCH("/",E4784)), IF(LEN(E4784)-LEN(SUBSTITUTE(E4784,"/",""))=1,(RIGHT(E4784,LEN(E4784)-FIND("/",E4784)))-(LEFT(E4784,FIND("/",E4784)-1)),(MID(E4784, SEARCH("/",E4784) + 1, SEARCH("/",E4784, SEARCH("/",E4784)+1) - SEARCH("/",E4784) - 1))-(LEFT(E4784,FIND("/",E4784)-1))), "NA"))</f>
        <v/>
      </c>
      <c r="K4784" s="79">
        <f>IF(A4784&lt;&gt;"", IF(ISBLANK(L4784), TODAY(), K4784), "")</f>
        <v/>
      </c>
      <c r="L4784" s="78" t="n"/>
      <c r="M4784" s="78">
        <f>IF(ISBLANK(L4784),"",IF(D4784="Stock",IF(C4784="Buy",L4784*G4784,IF(C4784="Sell",(L4784*G4784)-I4784, X)),IF(C4784="Buy",(L4784*G4784*100)+I4784,IF(C4784="Sell",(L4784*G4784*100)-I4784, X))))</f>
        <v/>
      </c>
      <c r="N4784" s="78">
        <f>IF(ISBLANK(L4784),"",IF(AND(C4784="Sell",D4784="Stock"),M4784,IF(ISBLANK(L4784),"",IF(C4784="Buy",M4784, IF(AND(C4784="Sell",J4784="NA"),(E4784*G4784*100*0.1)+I4784, IF(C4784="Sell",(J4784-L4784)*(100*G4784)+I4784))))))</f>
        <v/>
      </c>
      <c r="O4784" s="75" t="n"/>
      <c r="P4784" s="75" t="n"/>
      <c r="Q4784" s="75">
        <f>IF(ISBLANK(P4784),"",IF(D4784="Stock",P4784*G4784,IF(P4784=0,"0",G4784*P4784*100-(G4784*$AF$14))))</f>
        <v/>
      </c>
      <c r="R4784" s="79">
        <f>IF(P4784&lt;&gt;"", TODAY(), "")</f>
        <v/>
      </c>
      <c r="S4784" s="78">
        <f>IF(AND(K4784&lt;&gt;"", R4784&lt;&gt;""), R4784-K4784, "")</f>
        <v/>
      </c>
      <c r="T4784" s="78" t="n"/>
      <c r="U4784" s="92">
        <f>IF(ISBLANK(P4784),"",IF(C4784="Buy",Q4784-M4784+T4784, IF(C4784="Sell",M4784-Q4784-T4784, X)))</f>
        <v/>
      </c>
      <c r="V4784" s="81">
        <f>IF(ISBLANK(P4784),"",U4784/N4784)</f>
        <v/>
      </c>
      <c r="W4784" s="81">
        <f>IF(ISBLANK(P4784),"",IF(S4784=0,(365/0.5)*V4784,(365/S4784)*V4784))</f>
        <v/>
      </c>
      <c r="X4784" s="75" t="n"/>
      <c r="Y4784" s="77" t="n"/>
      <c r="Z4784" s="77" t="n"/>
      <c r="AA4784" s="75" t="n"/>
      <c r="AB4784" s="75" t="n"/>
      <c r="AC4784" s="6" t="n"/>
      <c r="AD4784" s="75" t="n"/>
      <c r="AE4784" s="75" t="n"/>
      <c r="AF4784" s="75" t="n"/>
    </row>
    <row r="4785" ht="15.75" customHeight="1" s="133">
      <c r="A4785" s="75" t="n"/>
      <c r="B4785" s="75" t="n"/>
      <c r="C4785" s="75" t="n"/>
      <c r="D4785" s="75" t="n"/>
      <c r="E4785" s="76" t="n"/>
      <c r="F4785" s="77" t="n"/>
      <c r="G4785" s="75" t="n"/>
      <c r="H4785" s="75">
        <f>IF(ISBLANK(E4785),"",IF(OR(D4785="Butterfly",D4785="Butterfly ",D4785="Iron Fly", D4785="Iron Fly "),LEN(E4785)-LEN(SUBSTITUTE(E4785,"/",""))+2,LEN(E4785)-LEN(SUBSTITUTE(E4785,"/",""))+1))</f>
        <v/>
      </c>
      <c r="I4785" s="78">
        <f>IF(ISBLANK(G4785),"",IF(D4785="Stock","0",Key!$A$3*H4785*G4785))</f>
        <v/>
      </c>
      <c r="J4785" s="78">
        <f>IF(ISBLANK(E4785),"",IF(ISNUMBER(SEARCH("/",E4785)), IF(LEN(E4785)-LEN(SUBSTITUTE(E4785,"/",""))=1,(RIGHT(E4785,LEN(E4785)-FIND("/",E4785)))-(LEFT(E4785,FIND("/",E4785)-1)),(MID(E4785, SEARCH("/",E4785) + 1, SEARCH("/",E4785, SEARCH("/",E4785)+1) - SEARCH("/",E4785) - 1))-(LEFT(E4785,FIND("/",E4785)-1))), "NA"))</f>
        <v/>
      </c>
      <c r="K4785" s="79">
        <f>IF(A4785&lt;&gt;"", IF(ISBLANK(L4785), TODAY(), K4785), "")</f>
        <v/>
      </c>
      <c r="L4785" s="78" t="n"/>
      <c r="M4785" s="78">
        <f>IF(ISBLANK(L4785),"",IF(D4785="Stock",IF(C4785="Buy",L4785*G4785,IF(C4785="Sell",(L4785*G4785)-I4785, X)),IF(C4785="Buy",(L4785*G4785*100)+I4785,IF(C4785="Sell",(L4785*G4785*100)-I4785, X))))</f>
        <v/>
      </c>
      <c r="N4785" s="78">
        <f>IF(ISBLANK(L4785),"",IF(AND(C4785="Sell",D4785="Stock"),M4785,IF(ISBLANK(L4785),"",IF(C4785="Buy",M4785, IF(AND(C4785="Sell",J4785="NA"),(E4785*G4785*100*0.1)+I4785, IF(C4785="Sell",(J4785-L4785)*(100*G4785)+I4785))))))</f>
        <v/>
      </c>
      <c r="O4785" s="75" t="n"/>
      <c r="P4785" s="75" t="n"/>
      <c r="Q4785" s="75">
        <f>IF(ISBLANK(P4785),"",IF(D4785="Stock",P4785*G4785,IF(P4785=0,"0",G4785*P4785*100-(G4785*$AF$14))))</f>
        <v/>
      </c>
      <c r="R4785" s="79">
        <f>IF(P4785&lt;&gt;"", TODAY(), "")</f>
        <v/>
      </c>
      <c r="S4785" s="78">
        <f>IF(AND(K4785&lt;&gt;"", R4785&lt;&gt;""), R4785-K4785, "")</f>
        <v/>
      </c>
      <c r="T4785" s="78" t="n"/>
      <c r="U4785" s="92">
        <f>IF(ISBLANK(P4785),"",IF(C4785="Buy",Q4785-M4785+T4785, IF(C4785="Sell",M4785-Q4785-T4785, X)))</f>
        <v/>
      </c>
      <c r="V4785" s="81">
        <f>IF(ISBLANK(P4785),"",U4785/N4785)</f>
        <v/>
      </c>
      <c r="W4785" s="81">
        <f>IF(ISBLANK(P4785),"",IF(S4785=0,(365/0.5)*V4785,(365/S4785)*V4785))</f>
        <v/>
      </c>
      <c r="X4785" s="75" t="n"/>
      <c r="Y4785" s="77" t="n"/>
      <c r="Z4785" s="77" t="n"/>
      <c r="AA4785" s="75" t="n"/>
      <c r="AB4785" s="75" t="n"/>
      <c r="AC4785" s="6" t="n"/>
      <c r="AD4785" s="75" t="n"/>
      <c r="AE4785" s="75" t="n"/>
      <c r="AF4785" s="75" t="n"/>
    </row>
    <row r="4786" ht="15.75" customHeight="1" s="133">
      <c r="A4786" s="75" t="n"/>
      <c r="B4786" s="75" t="n"/>
      <c r="C4786" s="75" t="n"/>
      <c r="D4786" s="75" t="n"/>
      <c r="E4786" s="76" t="n"/>
      <c r="F4786" s="77" t="n"/>
      <c r="G4786" s="75" t="n"/>
      <c r="H4786" s="75">
        <f>IF(ISBLANK(E4786),"",IF(OR(D4786="Butterfly",D4786="Butterfly ",D4786="Iron Fly", D4786="Iron Fly "),LEN(E4786)-LEN(SUBSTITUTE(E4786,"/",""))+2,LEN(E4786)-LEN(SUBSTITUTE(E4786,"/",""))+1))</f>
        <v/>
      </c>
      <c r="I4786" s="78">
        <f>IF(ISBLANK(G4786),"",IF(D4786="Stock","0",Key!$A$3*H4786*G4786))</f>
        <v/>
      </c>
      <c r="J4786" s="78">
        <f>IF(ISBLANK(E4786),"",IF(ISNUMBER(SEARCH("/",E4786)), IF(LEN(E4786)-LEN(SUBSTITUTE(E4786,"/",""))=1,(RIGHT(E4786,LEN(E4786)-FIND("/",E4786)))-(LEFT(E4786,FIND("/",E4786)-1)),(MID(E4786, SEARCH("/",E4786) + 1, SEARCH("/",E4786, SEARCH("/",E4786)+1) - SEARCH("/",E4786) - 1))-(LEFT(E4786,FIND("/",E4786)-1))), "NA"))</f>
        <v/>
      </c>
      <c r="K4786" s="79">
        <f>IF(A4786&lt;&gt;"", IF(ISBLANK(L4786), TODAY(), K4786), "")</f>
        <v/>
      </c>
      <c r="L4786" s="78" t="n"/>
      <c r="M4786" s="78">
        <f>IF(ISBLANK(L4786),"",IF(D4786="Stock",IF(C4786="Buy",L4786*G4786,IF(C4786="Sell",(L4786*G4786)-I4786, X)),IF(C4786="Buy",(L4786*G4786*100)+I4786,IF(C4786="Sell",(L4786*G4786*100)-I4786, X))))</f>
        <v/>
      </c>
      <c r="N4786" s="78">
        <f>IF(ISBLANK(L4786),"",IF(AND(C4786="Sell",D4786="Stock"),M4786,IF(ISBLANK(L4786),"",IF(C4786="Buy",M4786, IF(AND(C4786="Sell",J4786="NA"),(E4786*G4786*100*0.1)+I4786, IF(C4786="Sell",(J4786-L4786)*(100*G4786)+I4786))))))</f>
        <v/>
      </c>
      <c r="O4786" s="75" t="n"/>
      <c r="P4786" s="75" t="n"/>
      <c r="Q4786" s="75">
        <f>IF(ISBLANK(P4786),"",IF(D4786="Stock",P4786*G4786,IF(P4786=0,"0",G4786*P4786*100-(G4786*$AF$14))))</f>
        <v/>
      </c>
      <c r="R4786" s="79">
        <f>IF(P4786&lt;&gt;"", TODAY(), "")</f>
        <v/>
      </c>
      <c r="S4786" s="78">
        <f>IF(AND(K4786&lt;&gt;"", R4786&lt;&gt;""), R4786-K4786, "")</f>
        <v/>
      </c>
      <c r="T4786" s="78" t="n"/>
      <c r="U4786" s="92">
        <f>IF(ISBLANK(P4786),"",IF(C4786="Buy",Q4786-M4786+T4786, IF(C4786="Sell",M4786-Q4786-T4786, X)))</f>
        <v/>
      </c>
      <c r="V4786" s="81">
        <f>IF(ISBLANK(P4786),"",U4786/N4786)</f>
        <v/>
      </c>
      <c r="W4786" s="81">
        <f>IF(ISBLANK(P4786),"",IF(S4786=0,(365/0.5)*V4786,(365/S4786)*V4786))</f>
        <v/>
      </c>
      <c r="X4786" s="75" t="n"/>
      <c r="Y4786" s="77" t="n"/>
      <c r="Z4786" s="77" t="n"/>
      <c r="AA4786" s="75" t="n"/>
      <c r="AB4786" s="75" t="n"/>
      <c r="AC4786" s="6" t="n"/>
      <c r="AD4786" s="75" t="n"/>
      <c r="AE4786" s="75" t="n"/>
      <c r="AF4786" s="75" t="n"/>
    </row>
    <row r="4787" ht="15.75" customHeight="1" s="133">
      <c r="A4787" s="75" t="n"/>
      <c r="B4787" s="75" t="n"/>
      <c r="C4787" s="75" t="n"/>
      <c r="D4787" s="75" t="n"/>
      <c r="E4787" s="76" t="n"/>
      <c r="F4787" s="77" t="n"/>
      <c r="G4787" s="75" t="n"/>
      <c r="H4787" s="75">
        <f>IF(ISBLANK(E4787),"",IF(OR(D4787="Butterfly",D4787="Butterfly ",D4787="Iron Fly", D4787="Iron Fly "),LEN(E4787)-LEN(SUBSTITUTE(E4787,"/",""))+2,LEN(E4787)-LEN(SUBSTITUTE(E4787,"/",""))+1))</f>
        <v/>
      </c>
      <c r="I4787" s="78">
        <f>IF(ISBLANK(G4787),"",IF(D4787="Stock","0",Key!$A$3*H4787*G4787))</f>
        <v/>
      </c>
      <c r="J4787" s="78">
        <f>IF(ISBLANK(E4787),"",IF(ISNUMBER(SEARCH("/",E4787)), IF(LEN(E4787)-LEN(SUBSTITUTE(E4787,"/",""))=1,(RIGHT(E4787,LEN(E4787)-FIND("/",E4787)))-(LEFT(E4787,FIND("/",E4787)-1)),(MID(E4787, SEARCH("/",E4787) + 1, SEARCH("/",E4787, SEARCH("/",E4787)+1) - SEARCH("/",E4787) - 1))-(LEFT(E4787,FIND("/",E4787)-1))), "NA"))</f>
        <v/>
      </c>
      <c r="K4787" s="79">
        <f>IF(A4787&lt;&gt;"", IF(ISBLANK(L4787), TODAY(), K4787), "")</f>
        <v/>
      </c>
      <c r="L4787" s="78" t="n"/>
      <c r="M4787" s="78">
        <f>IF(ISBLANK(L4787),"",IF(D4787="Stock",IF(C4787="Buy",L4787*G4787,IF(C4787="Sell",(L4787*G4787)-I4787, X)),IF(C4787="Buy",(L4787*G4787*100)+I4787,IF(C4787="Sell",(L4787*G4787*100)-I4787, X))))</f>
        <v/>
      </c>
      <c r="N4787" s="78">
        <f>IF(ISBLANK(L4787),"",IF(AND(C4787="Sell",D4787="Stock"),M4787,IF(ISBLANK(L4787),"",IF(C4787="Buy",M4787, IF(AND(C4787="Sell",J4787="NA"),(E4787*G4787*100*0.1)+I4787, IF(C4787="Sell",(J4787-L4787)*(100*G4787)+I4787))))))</f>
        <v/>
      </c>
      <c r="O4787" s="75" t="n"/>
      <c r="P4787" s="75" t="n"/>
      <c r="Q4787" s="75">
        <f>IF(ISBLANK(P4787),"",IF(D4787="Stock",P4787*G4787,IF(P4787=0,"0",G4787*P4787*100-(G4787*$AF$14))))</f>
        <v/>
      </c>
      <c r="R4787" s="79">
        <f>IF(P4787&lt;&gt;"", TODAY(), "")</f>
        <v/>
      </c>
      <c r="S4787" s="78">
        <f>IF(AND(K4787&lt;&gt;"", R4787&lt;&gt;""), R4787-K4787, "")</f>
        <v/>
      </c>
      <c r="T4787" s="78" t="n"/>
      <c r="U4787" s="92">
        <f>IF(ISBLANK(P4787),"",IF(C4787="Buy",Q4787-M4787+T4787, IF(C4787="Sell",M4787-Q4787-T4787, X)))</f>
        <v/>
      </c>
      <c r="V4787" s="81">
        <f>IF(ISBLANK(P4787),"",U4787/N4787)</f>
        <v/>
      </c>
      <c r="W4787" s="81">
        <f>IF(ISBLANK(P4787),"",IF(S4787=0,(365/0.5)*V4787,(365/S4787)*V4787))</f>
        <v/>
      </c>
      <c r="X4787" s="75" t="n"/>
      <c r="Y4787" s="77" t="n"/>
      <c r="Z4787" s="77" t="n"/>
      <c r="AA4787" s="75" t="n"/>
      <c r="AB4787" s="75" t="n"/>
      <c r="AC4787" s="6" t="n"/>
      <c r="AD4787" s="75" t="n"/>
      <c r="AE4787" s="75" t="n"/>
      <c r="AF4787" s="75" t="n"/>
    </row>
    <row r="4788" ht="15.75" customHeight="1" s="133">
      <c r="A4788" s="75" t="n"/>
      <c r="B4788" s="75" t="n"/>
      <c r="C4788" s="75" t="n"/>
      <c r="D4788" s="75" t="n"/>
      <c r="E4788" s="76" t="n"/>
      <c r="F4788" s="77" t="n"/>
      <c r="G4788" s="75" t="n"/>
      <c r="H4788" s="75">
        <f>IF(ISBLANK(E4788),"",IF(OR(D4788="Butterfly",D4788="Butterfly ",D4788="Iron Fly", D4788="Iron Fly "),LEN(E4788)-LEN(SUBSTITUTE(E4788,"/",""))+2,LEN(E4788)-LEN(SUBSTITUTE(E4788,"/",""))+1))</f>
        <v/>
      </c>
      <c r="I4788" s="78">
        <f>IF(ISBLANK(G4788),"",IF(D4788="Stock","0",Key!$A$3*H4788*G4788))</f>
        <v/>
      </c>
      <c r="J4788" s="78">
        <f>IF(ISBLANK(E4788),"",IF(ISNUMBER(SEARCH("/",E4788)), IF(LEN(E4788)-LEN(SUBSTITUTE(E4788,"/",""))=1,(RIGHT(E4788,LEN(E4788)-FIND("/",E4788)))-(LEFT(E4788,FIND("/",E4788)-1)),(MID(E4788, SEARCH("/",E4788) + 1, SEARCH("/",E4788, SEARCH("/",E4788)+1) - SEARCH("/",E4788) - 1))-(LEFT(E4788,FIND("/",E4788)-1))), "NA"))</f>
        <v/>
      </c>
      <c r="K4788" s="79">
        <f>IF(A4788&lt;&gt;"", IF(ISBLANK(L4788), TODAY(), K4788), "")</f>
        <v/>
      </c>
      <c r="L4788" s="78" t="n"/>
      <c r="M4788" s="78">
        <f>IF(ISBLANK(L4788),"",IF(D4788="Stock",IF(C4788="Buy",L4788*G4788,IF(C4788="Sell",(L4788*G4788)-I4788, X)),IF(C4788="Buy",(L4788*G4788*100)+I4788,IF(C4788="Sell",(L4788*G4788*100)-I4788, X))))</f>
        <v/>
      </c>
      <c r="N4788" s="78">
        <f>IF(ISBLANK(L4788),"",IF(AND(C4788="Sell",D4788="Stock"),M4788,IF(ISBLANK(L4788),"",IF(C4788="Buy",M4788, IF(AND(C4788="Sell",J4788="NA"),(E4788*G4788*100*0.1)+I4788, IF(C4788="Sell",(J4788-L4788)*(100*G4788)+I4788))))))</f>
        <v/>
      </c>
      <c r="O4788" s="75" t="n"/>
      <c r="P4788" s="75" t="n"/>
      <c r="Q4788" s="75">
        <f>IF(ISBLANK(P4788),"",IF(D4788="Stock",P4788*G4788,IF(P4788=0,"0",G4788*P4788*100-(G4788*$AF$14))))</f>
        <v/>
      </c>
      <c r="R4788" s="79">
        <f>IF(P4788&lt;&gt;"", TODAY(), "")</f>
        <v/>
      </c>
      <c r="S4788" s="78">
        <f>IF(AND(K4788&lt;&gt;"", R4788&lt;&gt;""), R4788-K4788, "")</f>
        <v/>
      </c>
      <c r="T4788" s="78" t="n"/>
      <c r="U4788" s="92">
        <f>IF(ISBLANK(P4788),"",IF(C4788="Buy",Q4788-M4788+T4788, IF(C4788="Sell",M4788-Q4788-T4788, X)))</f>
        <v/>
      </c>
      <c r="V4788" s="81">
        <f>IF(ISBLANK(P4788),"",U4788/N4788)</f>
        <v/>
      </c>
      <c r="W4788" s="81">
        <f>IF(ISBLANK(P4788),"",IF(S4788=0,(365/0.5)*V4788,(365/S4788)*V4788))</f>
        <v/>
      </c>
      <c r="X4788" s="75" t="n"/>
      <c r="Y4788" s="77" t="n"/>
      <c r="Z4788" s="77" t="n"/>
      <c r="AA4788" s="75" t="n"/>
      <c r="AB4788" s="75" t="n"/>
      <c r="AC4788" s="6" t="n"/>
      <c r="AD4788" s="75" t="n"/>
      <c r="AE4788" s="75" t="n"/>
      <c r="AF4788" s="75" t="n"/>
    </row>
    <row r="4789" ht="15.75" customHeight="1" s="133">
      <c r="A4789" s="75" t="n"/>
      <c r="B4789" s="75" t="n"/>
      <c r="C4789" s="75" t="n"/>
      <c r="D4789" s="75" t="n"/>
      <c r="E4789" s="76" t="n"/>
      <c r="F4789" s="77" t="n"/>
      <c r="G4789" s="75" t="n"/>
      <c r="H4789" s="75">
        <f>IF(ISBLANK(E4789),"",IF(OR(D4789="Butterfly",D4789="Butterfly ",D4789="Iron Fly", D4789="Iron Fly "),LEN(E4789)-LEN(SUBSTITUTE(E4789,"/",""))+2,LEN(E4789)-LEN(SUBSTITUTE(E4789,"/",""))+1))</f>
        <v/>
      </c>
      <c r="I4789" s="78">
        <f>IF(ISBLANK(G4789),"",IF(D4789="Stock","0",Key!$A$3*H4789*G4789))</f>
        <v/>
      </c>
      <c r="J4789" s="78">
        <f>IF(ISBLANK(E4789),"",IF(ISNUMBER(SEARCH("/",E4789)), IF(LEN(E4789)-LEN(SUBSTITUTE(E4789,"/",""))=1,(RIGHT(E4789,LEN(E4789)-FIND("/",E4789)))-(LEFT(E4789,FIND("/",E4789)-1)),(MID(E4789, SEARCH("/",E4789) + 1, SEARCH("/",E4789, SEARCH("/",E4789)+1) - SEARCH("/",E4789) - 1))-(LEFT(E4789,FIND("/",E4789)-1))), "NA"))</f>
        <v/>
      </c>
      <c r="K4789" s="79">
        <f>IF(A4789&lt;&gt;"", IF(ISBLANK(L4789), TODAY(), K4789), "")</f>
        <v/>
      </c>
      <c r="L4789" s="78" t="n"/>
      <c r="M4789" s="78">
        <f>IF(ISBLANK(L4789),"",IF(D4789="Stock",IF(C4789="Buy",L4789*G4789,IF(C4789="Sell",(L4789*G4789)-I4789, X)),IF(C4789="Buy",(L4789*G4789*100)+I4789,IF(C4789="Sell",(L4789*G4789*100)-I4789, X))))</f>
        <v/>
      </c>
      <c r="N4789" s="78">
        <f>IF(ISBLANK(L4789),"",IF(AND(C4789="Sell",D4789="Stock"),M4789,IF(ISBLANK(L4789),"",IF(C4789="Buy",M4789, IF(AND(C4789="Sell",J4789="NA"),(E4789*G4789*100*0.1)+I4789, IF(C4789="Sell",(J4789-L4789)*(100*G4789)+I4789))))))</f>
        <v/>
      </c>
      <c r="O4789" s="75" t="n"/>
      <c r="P4789" s="75" t="n"/>
      <c r="Q4789" s="75">
        <f>IF(ISBLANK(P4789),"",IF(D4789="Stock",P4789*G4789,IF(P4789=0,"0",G4789*P4789*100-(G4789*$AF$14))))</f>
        <v/>
      </c>
      <c r="R4789" s="79">
        <f>IF(P4789&lt;&gt;"", TODAY(), "")</f>
        <v/>
      </c>
      <c r="S4789" s="78">
        <f>IF(AND(K4789&lt;&gt;"", R4789&lt;&gt;""), R4789-K4789, "")</f>
        <v/>
      </c>
      <c r="T4789" s="78" t="n"/>
      <c r="U4789" s="92">
        <f>IF(ISBLANK(P4789),"",IF(C4789="Buy",Q4789-M4789+T4789, IF(C4789="Sell",M4789-Q4789-T4789, X)))</f>
        <v/>
      </c>
      <c r="V4789" s="81">
        <f>IF(ISBLANK(P4789),"",U4789/N4789)</f>
        <v/>
      </c>
      <c r="W4789" s="81">
        <f>IF(ISBLANK(P4789),"",IF(S4789=0,(365/0.5)*V4789,(365/S4789)*V4789))</f>
        <v/>
      </c>
      <c r="X4789" s="75" t="n"/>
      <c r="Y4789" s="77" t="n"/>
      <c r="Z4789" s="77" t="n"/>
      <c r="AA4789" s="75" t="n"/>
      <c r="AB4789" s="75" t="n"/>
      <c r="AC4789" s="6" t="n"/>
      <c r="AD4789" s="75" t="n"/>
      <c r="AE4789" s="75" t="n"/>
      <c r="AF4789" s="75" t="n"/>
    </row>
    <row r="4790" ht="15.75" customHeight="1" s="133">
      <c r="A4790" s="75" t="n"/>
      <c r="B4790" s="75" t="n"/>
      <c r="C4790" s="75" t="n"/>
      <c r="D4790" s="75" t="n"/>
      <c r="E4790" s="76" t="n"/>
      <c r="F4790" s="77" t="n"/>
      <c r="G4790" s="75" t="n"/>
      <c r="H4790" s="75">
        <f>IF(ISBLANK(E4790),"",IF(OR(D4790="Butterfly",D4790="Butterfly ",D4790="Iron Fly", D4790="Iron Fly "),LEN(E4790)-LEN(SUBSTITUTE(E4790,"/",""))+2,LEN(E4790)-LEN(SUBSTITUTE(E4790,"/",""))+1))</f>
        <v/>
      </c>
      <c r="I4790" s="78">
        <f>IF(ISBLANK(G4790),"",IF(D4790="Stock","0",Key!$A$3*H4790*G4790))</f>
        <v/>
      </c>
      <c r="J4790" s="78">
        <f>IF(ISBLANK(E4790),"",IF(ISNUMBER(SEARCH("/",E4790)), IF(LEN(E4790)-LEN(SUBSTITUTE(E4790,"/",""))=1,(RIGHT(E4790,LEN(E4790)-FIND("/",E4790)))-(LEFT(E4790,FIND("/",E4790)-1)),(MID(E4790, SEARCH("/",E4790) + 1, SEARCH("/",E4790, SEARCH("/",E4790)+1) - SEARCH("/",E4790) - 1))-(LEFT(E4790,FIND("/",E4790)-1))), "NA"))</f>
        <v/>
      </c>
      <c r="K4790" s="79">
        <f>IF(A4790&lt;&gt;"", IF(ISBLANK(L4790), TODAY(), K4790), "")</f>
        <v/>
      </c>
      <c r="L4790" s="78" t="n"/>
      <c r="M4790" s="78">
        <f>IF(ISBLANK(L4790),"",IF(D4790="Stock",IF(C4790="Buy",L4790*G4790,IF(C4790="Sell",(L4790*G4790)-I4790, X)),IF(C4790="Buy",(L4790*G4790*100)+I4790,IF(C4790="Sell",(L4790*G4790*100)-I4790, X))))</f>
        <v/>
      </c>
      <c r="N4790" s="78">
        <f>IF(ISBLANK(L4790),"",IF(AND(C4790="Sell",D4790="Stock"),M4790,IF(ISBLANK(L4790),"",IF(C4790="Buy",M4790, IF(AND(C4790="Sell",J4790="NA"),(E4790*G4790*100*0.1)+I4790, IF(C4790="Sell",(J4790-L4790)*(100*G4790)+I4790))))))</f>
        <v/>
      </c>
      <c r="O4790" s="75" t="n"/>
      <c r="P4790" s="75" t="n"/>
      <c r="Q4790" s="75">
        <f>IF(ISBLANK(P4790),"",IF(D4790="Stock",P4790*G4790,IF(P4790=0,"0",G4790*P4790*100-(G4790*$AF$14))))</f>
        <v/>
      </c>
      <c r="R4790" s="79">
        <f>IF(P4790&lt;&gt;"", TODAY(), "")</f>
        <v/>
      </c>
      <c r="S4790" s="78">
        <f>IF(AND(K4790&lt;&gt;"", R4790&lt;&gt;""), R4790-K4790, "")</f>
        <v/>
      </c>
      <c r="T4790" s="78" t="n"/>
      <c r="U4790" s="92">
        <f>IF(ISBLANK(P4790),"",IF(C4790="Buy",Q4790-M4790+T4790, IF(C4790="Sell",M4790-Q4790-T4790, X)))</f>
        <v/>
      </c>
      <c r="V4790" s="81">
        <f>IF(ISBLANK(P4790),"",U4790/N4790)</f>
        <v/>
      </c>
      <c r="W4790" s="81">
        <f>IF(ISBLANK(P4790),"",IF(S4790=0,(365/0.5)*V4790,(365/S4790)*V4790))</f>
        <v/>
      </c>
      <c r="X4790" s="75" t="n"/>
      <c r="Y4790" s="77" t="n"/>
      <c r="Z4790" s="77" t="n"/>
      <c r="AA4790" s="75" t="n"/>
      <c r="AB4790" s="75" t="n"/>
      <c r="AC4790" s="6" t="n"/>
      <c r="AD4790" s="75" t="n"/>
      <c r="AE4790" s="75" t="n"/>
      <c r="AF4790" s="75" t="n"/>
    </row>
    <row r="4791" ht="15.75" customHeight="1" s="133">
      <c r="A4791" s="75" t="n"/>
      <c r="B4791" s="75" t="n"/>
      <c r="C4791" s="75" t="n"/>
      <c r="D4791" s="75" t="n"/>
      <c r="E4791" s="76" t="n"/>
      <c r="F4791" s="77" t="n"/>
      <c r="G4791" s="75" t="n"/>
      <c r="H4791" s="75">
        <f>IF(ISBLANK(E4791),"",IF(OR(D4791="Butterfly",D4791="Butterfly ",D4791="Iron Fly", D4791="Iron Fly "),LEN(E4791)-LEN(SUBSTITUTE(E4791,"/",""))+2,LEN(E4791)-LEN(SUBSTITUTE(E4791,"/",""))+1))</f>
        <v/>
      </c>
      <c r="I4791" s="78">
        <f>IF(ISBLANK(G4791),"",IF(D4791="Stock","0",Key!$A$3*H4791*G4791))</f>
        <v/>
      </c>
      <c r="J4791" s="78">
        <f>IF(ISBLANK(E4791),"",IF(ISNUMBER(SEARCH("/",E4791)), IF(LEN(E4791)-LEN(SUBSTITUTE(E4791,"/",""))=1,(RIGHT(E4791,LEN(E4791)-FIND("/",E4791)))-(LEFT(E4791,FIND("/",E4791)-1)),(MID(E4791, SEARCH("/",E4791) + 1, SEARCH("/",E4791, SEARCH("/",E4791)+1) - SEARCH("/",E4791) - 1))-(LEFT(E4791,FIND("/",E4791)-1))), "NA"))</f>
        <v/>
      </c>
      <c r="K4791" s="79">
        <f>IF(A4791&lt;&gt;"", IF(ISBLANK(L4791), TODAY(), K4791), "")</f>
        <v/>
      </c>
      <c r="L4791" s="78" t="n"/>
      <c r="M4791" s="78">
        <f>IF(ISBLANK(L4791),"",IF(D4791="Stock",IF(C4791="Buy",L4791*G4791,IF(C4791="Sell",(L4791*G4791)-I4791, X)),IF(C4791="Buy",(L4791*G4791*100)+I4791,IF(C4791="Sell",(L4791*G4791*100)-I4791, X))))</f>
        <v/>
      </c>
      <c r="N4791" s="78">
        <f>IF(ISBLANK(L4791),"",IF(AND(C4791="Sell",D4791="Stock"),M4791,IF(ISBLANK(L4791),"",IF(C4791="Buy",M4791, IF(AND(C4791="Sell",J4791="NA"),(E4791*G4791*100*0.1)+I4791, IF(C4791="Sell",(J4791-L4791)*(100*G4791)+I4791))))))</f>
        <v/>
      </c>
      <c r="O4791" s="75" t="n"/>
      <c r="P4791" s="75" t="n"/>
      <c r="Q4791" s="75">
        <f>IF(ISBLANK(P4791),"",IF(D4791="Stock",P4791*G4791,IF(P4791=0,"0",G4791*P4791*100-(G4791*$AF$14))))</f>
        <v/>
      </c>
      <c r="R4791" s="79">
        <f>IF(P4791&lt;&gt;"", TODAY(), "")</f>
        <v/>
      </c>
      <c r="S4791" s="78">
        <f>IF(AND(K4791&lt;&gt;"", R4791&lt;&gt;""), R4791-K4791, "")</f>
        <v/>
      </c>
      <c r="T4791" s="78" t="n"/>
      <c r="U4791" s="92">
        <f>IF(ISBLANK(P4791),"",IF(C4791="Buy",Q4791-M4791+T4791, IF(C4791="Sell",M4791-Q4791-T4791, X)))</f>
        <v/>
      </c>
      <c r="V4791" s="81">
        <f>IF(ISBLANK(P4791),"",U4791/N4791)</f>
        <v/>
      </c>
      <c r="W4791" s="81">
        <f>IF(ISBLANK(P4791),"",IF(S4791=0,(365/0.5)*V4791,(365/S4791)*V4791))</f>
        <v/>
      </c>
      <c r="X4791" s="75" t="n"/>
      <c r="Y4791" s="77" t="n"/>
      <c r="Z4791" s="77" t="n"/>
      <c r="AA4791" s="75" t="n"/>
      <c r="AB4791" s="75" t="n"/>
      <c r="AC4791" s="6" t="n"/>
      <c r="AD4791" s="75" t="n"/>
      <c r="AE4791" s="75" t="n"/>
      <c r="AF4791" s="75" t="n"/>
    </row>
    <row r="4792" ht="15.75" customHeight="1" s="133">
      <c r="A4792" s="75" t="n"/>
      <c r="B4792" s="75" t="n"/>
      <c r="C4792" s="75" t="n"/>
      <c r="D4792" s="75" t="n"/>
      <c r="E4792" s="76" t="n"/>
      <c r="F4792" s="77" t="n"/>
      <c r="G4792" s="75" t="n"/>
      <c r="H4792" s="75">
        <f>IF(ISBLANK(E4792),"",IF(OR(D4792="Butterfly",D4792="Butterfly ",D4792="Iron Fly", D4792="Iron Fly "),LEN(E4792)-LEN(SUBSTITUTE(E4792,"/",""))+2,LEN(E4792)-LEN(SUBSTITUTE(E4792,"/",""))+1))</f>
        <v/>
      </c>
      <c r="I4792" s="78">
        <f>IF(ISBLANK(G4792),"",IF(D4792="Stock","0",Key!$A$3*H4792*G4792))</f>
        <v/>
      </c>
      <c r="J4792" s="78">
        <f>IF(ISBLANK(E4792),"",IF(ISNUMBER(SEARCH("/",E4792)), IF(LEN(E4792)-LEN(SUBSTITUTE(E4792,"/",""))=1,(RIGHT(E4792,LEN(E4792)-FIND("/",E4792)))-(LEFT(E4792,FIND("/",E4792)-1)),(MID(E4792, SEARCH("/",E4792) + 1, SEARCH("/",E4792, SEARCH("/",E4792)+1) - SEARCH("/",E4792) - 1))-(LEFT(E4792,FIND("/",E4792)-1))), "NA"))</f>
        <v/>
      </c>
      <c r="K4792" s="79">
        <f>IF(A4792&lt;&gt;"", IF(ISBLANK(L4792), TODAY(), K4792), "")</f>
        <v/>
      </c>
      <c r="L4792" s="78" t="n"/>
      <c r="M4792" s="78">
        <f>IF(ISBLANK(L4792),"",IF(D4792="Stock",IF(C4792="Buy",L4792*G4792,IF(C4792="Sell",(L4792*G4792)-I4792, X)),IF(C4792="Buy",(L4792*G4792*100)+I4792,IF(C4792="Sell",(L4792*G4792*100)-I4792, X))))</f>
        <v/>
      </c>
      <c r="N4792" s="78">
        <f>IF(ISBLANK(L4792),"",IF(AND(C4792="Sell",D4792="Stock"),M4792,IF(ISBLANK(L4792),"",IF(C4792="Buy",M4792, IF(AND(C4792="Sell",J4792="NA"),(E4792*G4792*100*0.1)+I4792, IF(C4792="Sell",(J4792-L4792)*(100*G4792)+I4792))))))</f>
        <v/>
      </c>
      <c r="O4792" s="75" t="n"/>
      <c r="P4792" s="75" t="n"/>
      <c r="Q4792" s="75">
        <f>IF(ISBLANK(P4792),"",IF(D4792="Stock",P4792*G4792,IF(P4792=0,"0",G4792*P4792*100-(G4792*$AF$14))))</f>
        <v/>
      </c>
      <c r="R4792" s="79">
        <f>IF(P4792&lt;&gt;"", TODAY(), "")</f>
        <v/>
      </c>
      <c r="S4792" s="78">
        <f>IF(AND(K4792&lt;&gt;"", R4792&lt;&gt;""), R4792-K4792, "")</f>
        <v/>
      </c>
      <c r="T4792" s="78" t="n"/>
      <c r="U4792" s="92">
        <f>IF(ISBLANK(P4792),"",IF(C4792="Buy",Q4792-M4792+T4792, IF(C4792="Sell",M4792-Q4792-T4792, X)))</f>
        <v/>
      </c>
      <c r="V4792" s="81">
        <f>IF(ISBLANK(P4792),"",U4792/N4792)</f>
        <v/>
      </c>
      <c r="W4792" s="81">
        <f>IF(ISBLANK(P4792),"",IF(S4792=0,(365/0.5)*V4792,(365/S4792)*V4792))</f>
        <v/>
      </c>
      <c r="X4792" s="75" t="n"/>
      <c r="Y4792" s="77" t="n"/>
      <c r="Z4792" s="77" t="n"/>
      <c r="AA4792" s="75" t="n"/>
      <c r="AB4792" s="75" t="n"/>
      <c r="AC4792" s="6" t="n"/>
      <c r="AD4792" s="75" t="n"/>
      <c r="AE4792" s="75" t="n"/>
      <c r="AF4792" s="75" t="n"/>
    </row>
    <row r="4793" ht="15.75" customHeight="1" s="133">
      <c r="A4793" s="75" t="n"/>
      <c r="B4793" s="75" t="n"/>
      <c r="C4793" s="75" t="n"/>
      <c r="D4793" s="75" t="n"/>
      <c r="E4793" s="76" t="n"/>
      <c r="F4793" s="77" t="n"/>
      <c r="G4793" s="75" t="n"/>
      <c r="H4793" s="75">
        <f>IF(ISBLANK(E4793),"",IF(OR(D4793="Butterfly",D4793="Butterfly ",D4793="Iron Fly", D4793="Iron Fly "),LEN(E4793)-LEN(SUBSTITUTE(E4793,"/",""))+2,LEN(E4793)-LEN(SUBSTITUTE(E4793,"/",""))+1))</f>
        <v/>
      </c>
      <c r="I4793" s="78">
        <f>IF(ISBLANK(G4793),"",IF(D4793="Stock","0",Key!$A$3*H4793*G4793))</f>
        <v/>
      </c>
      <c r="J4793" s="78">
        <f>IF(ISBLANK(E4793),"",IF(ISNUMBER(SEARCH("/",E4793)), IF(LEN(E4793)-LEN(SUBSTITUTE(E4793,"/",""))=1,(RIGHT(E4793,LEN(E4793)-FIND("/",E4793)))-(LEFT(E4793,FIND("/",E4793)-1)),(MID(E4793, SEARCH("/",E4793) + 1, SEARCH("/",E4793, SEARCH("/",E4793)+1) - SEARCH("/",E4793) - 1))-(LEFT(E4793,FIND("/",E4793)-1))), "NA"))</f>
        <v/>
      </c>
      <c r="K4793" s="79">
        <f>IF(A4793&lt;&gt;"", IF(ISBLANK(L4793), TODAY(), K4793), "")</f>
        <v/>
      </c>
      <c r="L4793" s="78" t="n"/>
      <c r="M4793" s="78">
        <f>IF(ISBLANK(L4793),"",IF(D4793="Stock",IF(C4793="Buy",L4793*G4793,IF(C4793="Sell",(L4793*G4793)-I4793, X)),IF(C4793="Buy",(L4793*G4793*100)+I4793,IF(C4793="Sell",(L4793*G4793*100)-I4793, X))))</f>
        <v/>
      </c>
      <c r="N4793" s="78">
        <f>IF(ISBLANK(L4793),"",IF(AND(C4793="Sell",D4793="Stock"),M4793,IF(ISBLANK(L4793),"",IF(C4793="Buy",M4793, IF(AND(C4793="Sell",J4793="NA"),(E4793*G4793*100*0.1)+I4793, IF(C4793="Sell",(J4793-L4793)*(100*G4793)+I4793))))))</f>
        <v/>
      </c>
      <c r="O4793" s="75" t="n"/>
      <c r="P4793" s="75" t="n"/>
      <c r="Q4793" s="75">
        <f>IF(ISBLANK(P4793),"",IF(D4793="Stock",P4793*G4793,IF(P4793=0,"0",G4793*P4793*100-(G4793*$AF$14))))</f>
        <v/>
      </c>
      <c r="R4793" s="79">
        <f>IF(P4793&lt;&gt;"", TODAY(), "")</f>
        <v/>
      </c>
      <c r="S4793" s="78">
        <f>IF(AND(K4793&lt;&gt;"", R4793&lt;&gt;""), R4793-K4793, "")</f>
        <v/>
      </c>
      <c r="T4793" s="78" t="n"/>
      <c r="U4793" s="92">
        <f>IF(ISBLANK(P4793),"",IF(C4793="Buy",Q4793-M4793+T4793, IF(C4793="Sell",M4793-Q4793-T4793, X)))</f>
        <v/>
      </c>
      <c r="V4793" s="81">
        <f>IF(ISBLANK(P4793),"",U4793/N4793)</f>
        <v/>
      </c>
      <c r="W4793" s="81">
        <f>IF(ISBLANK(P4793),"",IF(S4793=0,(365/0.5)*V4793,(365/S4793)*V4793))</f>
        <v/>
      </c>
      <c r="X4793" s="75" t="n"/>
      <c r="Y4793" s="77" t="n"/>
      <c r="Z4793" s="77" t="n"/>
      <c r="AA4793" s="75" t="n"/>
      <c r="AB4793" s="75" t="n"/>
      <c r="AC4793" s="6" t="n"/>
      <c r="AD4793" s="75" t="n"/>
      <c r="AE4793" s="75" t="n"/>
      <c r="AF4793" s="75" t="n"/>
    </row>
    <row r="4794" ht="15.75" customHeight="1" s="133">
      <c r="A4794" s="75" t="n"/>
      <c r="B4794" s="75" t="n"/>
      <c r="C4794" s="75" t="n"/>
      <c r="D4794" s="75" t="n"/>
      <c r="E4794" s="76" t="n"/>
      <c r="F4794" s="77" t="n"/>
      <c r="G4794" s="75" t="n"/>
      <c r="H4794" s="75">
        <f>IF(ISBLANK(E4794),"",IF(OR(D4794="Butterfly",D4794="Butterfly ",D4794="Iron Fly", D4794="Iron Fly "),LEN(E4794)-LEN(SUBSTITUTE(E4794,"/",""))+2,LEN(E4794)-LEN(SUBSTITUTE(E4794,"/",""))+1))</f>
        <v/>
      </c>
      <c r="I4794" s="78">
        <f>IF(ISBLANK(G4794),"",IF(D4794="Stock","0",Key!$A$3*H4794*G4794))</f>
        <v/>
      </c>
      <c r="J4794" s="78">
        <f>IF(ISBLANK(E4794),"",IF(ISNUMBER(SEARCH("/",E4794)), IF(LEN(E4794)-LEN(SUBSTITUTE(E4794,"/",""))=1,(RIGHT(E4794,LEN(E4794)-FIND("/",E4794)))-(LEFT(E4794,FIND("/",E4794)-1)),(MID(E4794, SEARCH("/",E4794) + 1, SEARCH("/",E4794, SEARCH("/",E4794)+1) - SEARCH("/",E4794) - 1))-(LEFT(E4794,FIND("/",E4794)-1))), "NA"))</f>
        <v/>
      </c>
      <c r="K4794" s="79">
        <f>IF(A4794&lt;&gt;"", IF(ISBLANK(L4794), TODAY(), K4794), "")</f>
        <v/>
      </c>
      <c r="L4794" s="78" t="n"/>
      <c r="M4794" s="78">
        <f>IF(ISBLANK(L4794),"",IF(D4794="Stock",IF(C4794="Buy",L4794*G4794,IF(C4794="Sell",(L4794*G4794)-I4794, X)),IF(C4794="Buy",(L4794*G4794*100)+I4794,IF(C4794="Sell",(L4794*G4794*100)-I4794, X))))</f>
        <v/>
      </c>
      <c r="N4794" s="78">
        <f>IF(ISBLANK(L4794),"",IF(AND(C4794="Sell",D4794="Stock"),M4794,IF(ISBLANK(L4794),"",IF(C4794="Buy",M4794, IF(AND(C4794="Sell",J4794="NA"),(E4794*G4794*100*0.1)+I4794, IF(C4794="Sell",(J4794-L4794)*(100*G4794)+I4794))))))</f>
        <v/>
      </c>
      <c r="O4794" s="75" t="n"/>
      <c r="P4794" s="75" t="n"/>
      <c r="Q4794" s="75">
        <f>IF(ISBLANK(P4794),"",IF(D4794="Stock",P4794*G4794,IF(P4794=0,"0",G4794*P4794*100-(G4794*$AF$14))))</f>
        <v/>
      </c>
      <c r="R4794" s="79">
        <f>IF(P4794&lt;&gt;"", TODAY(), "")</f>
        <v/>
      </c>
      <c r="S4794" s="78">
        <f>IF(AND(K4794&lt;&gt;"", R4794&lt;&gt;""), R4794-K4794, "")</f>
        <v/>
      </c>
      <c r="T4794" s="78" t="n"/>
      <c r="U4794" s="92">
        <f>IF(ISBLANK(P4794),"",IF(C4794="Buy",Q4794-M4794+T4794, IF(C4794="Sell",M4794-Q4794-T4794, X)))</f>
        <v/>
      </c>
      <c r="V4794" s="81">
        <f>IF(ISBLANK(P4794),"",U4794/N4794)</f>
        <v/>
      </c>
      <c r="W4794" s="81">
        <f>IF(ISBLANK(P4794),"",IF(S4794=0,(365/0.5)*V4794,(365/S4794)*V4794))</f>
        <v/>
      </c>
      <c r="X4794" s="75" t="n"/>
      <c r="Y4794" s="77" t="n"/>
      <c r="Z4794" s="77" t="n"/>
      <c r="AA4794" s="75" t="n"/>
      <c r="AB4794" s="75" t="n"/>
      <c r="AC4794" s="6" t="n"/>
      <c r="AD4794" s="75" t="n"/>
      <c r="AE4794" s="75" t="n"/>
      <c r="AF4794" s="75" t="n"/>
    </row>
    <row r="4795" ht="15.75" customHeight="1" s="133">
      <c r="A4795" s="75" t="n"/>
      <c r="B4795" s="75" t="n"/>
      <c r="C4795" s="75" t="n"/>
      <c r="D4795" s="75" t="n"/>
      <c r="E4795" s="76" t="n"/>
      <c r="F4795" s="77" t="n"/>
      <c r="G4795" s="75" t="n"/>
      <c r="H4795" s="75">
        <f>IF(ISBLANK(E4795),"",IF(OR(D4795="Butterfly",D4795="Butterfly ",D4795="Iron Fly", D4795="Iron Fly "),LEN(E4795)-LEN(SUBSTITUTE(E4795,"/",""))+2,LEN(E4795)-LEN(SUBSTITUTE(E4795,"/",""))+1))</f>
        <v/>
      </c>
      <c r="I4795" s="78">
        <f>IF(ISBLANK(G4795),"",IF(D4795="Stock","0",Key!$A$3*H4795*G4795))</f>
        <v/>
      </c>
      <c r="J4795" s="78">
        <f>IF(ISBLANK(E4795),"",IF(ISNUMBER(SEARCH("/",E4795)), IF(LEN(E4795)-LEN(SUBSTITUTE(E4795,"/",""))=1,(RIGHT(E4795,LEN(E4795)-FIND("/",E4795)))-(LEFT(E4795,FIND("/",E4795)-1)),(MID(E4795, SEARCH("/",E4795) + 1, SEARCH("/",E4795, SEARCH("/",E4795)+1) - SEARCH("/",E4795) - 1))-(LEFT(E4795,FIND("/",E4795)-1))), "NA"))</f>
        <v/>
      </c>
      <c r="K4795" s="79">
        <f>IF(A4795&lt;&gt;"", IF(ISBLANK(L4795), TODAY(), K4795), "")</f>
        <v/>
      </c>
      <c r="L4795" s="78" t="n"/>
      <c r="M4795" s="78">
        <f>IF(ISBLANK(L4795),"",IF(D4795="Stock",IF(C4795="Buy",L4795*G4795,IF(C4795="Sell",(L4795*G4795)-I4795, X)),IF(C4795="Buy",(L4795*G4795*100)+I4795,IF(C4795="Sell",(L4795*G4795*100)-I4795, X))))</f>
        <v/>
      </c>
      <c r="N4795" s="78">
        <f>IF(ISBLANK(L4795),"",IF(AND(C4795="Sell",D4795="Stock"),M4795,IF(ISBLANK(L4795),"",IF(C4795="Buy",M4795, IF(AND(C4795="Sell",J4795="NA"),(E4795*G4795*100*0.1)+I4795, IF(C4795="Sell",(J4795-L4795)*(100*G4795)+I4795))))))</f>
        <v/>
      </c>
      <c r="O4795" s="75" t="n"/>
      <c r="P4795" s="75" t="n"/>
      <c r="Q4795" s="75">
        <f>IF(ISBLANK(P4795),"",IF(D4795="Stock",P4795*G4795,IF(P4795=0,"0",G4795*P4795*100-(G4795*$AF$14))))</f>
        <v/>
      </c>
      <c r="R4795" s="79">
        <f>IF(P4795&lt;&gt;"", TODAY(), "")</f>
        <v/>
      </c>
      <c r="S4795" s="78">
        <f>IF(AND(K4795&lt;&gt;"", R4795&lt;&gt;""), R4795-K4795, "")</f>
        <v/>
      </c>
      <c r="T4795" s="78" t="n"/>
      <c r="U4795" s="92">
        <f>IF(ISBLANK(P4795),"",IF(C4795="Buy",Q4795-M4795+T4795, IF(C4795="Sell",M4795-Q4795-T4795, X)))</f>
        <v/>
      </c>
      <c r="V4795" s="81">
        <f>IF(ISBLANK(P4795),"",U4795/N4795)</f>
        <v/>
      </c>
      <c r="W4795" s="81">
        <f>IF(ISBLANK(P4795),"",IF(S4795=0,(365/0.5)*V4795,(365/S4795)*V4795))</f>
        <v/>
      </c>
      <c r="X4795" s="75" t="n"/>
      <c r="Y4795" s="77" t="n"/>
      <c r="Z4795" s="77" t="n"/>
      <c r="AA4795" s="75" t="n"/>
      <c r="AB4795" s="75" t="n"/>
      <c r="AC4795" s="6" t="n"/>
      <c r="AD4795" s="75" t="n"/>
      <c r="AE4795" s="75" t="n"/>
      <c r="AF4795" s="75" t="n"/>
    </row>
    <row r="4796" ht="15.75" customHeight="1" s="133">
      <c r="A4796" s="75" t="n"/>
      <c r="B4796" s="75" t="n"/>
      <c r="C4796" s="75" t="n"/>
      <c r="D4796" s="75" t="n"/>
      <c r="E4796" s="76" t="n"/>
      <c r="F4796" s="77" t="n"/>
      <c r="G4796" s="75" t="n"/>
      <c r="H4796" s="75">
        <f>IF(ISBLANK(E4796),"",IF(OR(D4796="Butterfly",D4796="Butterfly ",D4796="Iron Fly", D4796="Iron Fly "),LEN(E4796)-LEN(SUBSTITUTE(E4796,"/",""))+2,LEN(E4796)-LEN(SUBSTITUTE(E4796,"/",""))+1))</f>
        <v/>
      </c>
      <c r="I4796" s="78">
        <f>IF(ISBLANK(G4796),"",IF(D4796="Stock","0",Key!$A$3*H4796*G4796))</f>
        <v/>
      </c>
      <c r="J4796" s="78">
        <f>IF(ISBLANK(E4796),"",IF(ISNUMBER(SEARCH("/",E4796)), IF(LEN(E4796)-LEN(SUBSTITUTE(E4796,"/",""))=1,(RIGHT(E4796,LEN(E4796)-FIND("/",E4796)))-(LEFT(E4796,FIND("/",E4796)-1)),(MID(E4796, SEARCH("/",E4796) + 1, SEARCH("/",E4796, SEARCH("/",E4796)+1) - SEARCH("/",E4796) - 1))-(LEFT(E4796,FIND("/",E4796)-1))), "NA"))</f>
        <v/>
      </c>
      <c r="K4796" s="79">
        <f>IF(A4796&lt;&gt;"", IF(ISBLANK(L4796), TODAY(), K4796), "")</f>
        <v/>
      </c>
      <c r="L4796" s="78" t="n"/>
      <c r="M4796" s="78">
        <f>IF(ISBLANK(L4796),"",IF(D4796="Stock",IF(C4796="Buy",L4796*G4796,IF(C4796="Sell",(L4796*G4796)-I4796, X)),IF(C4796="Buy",(L4796*G4796*100)+I4796,IF(C4796="Sell",(L4796*G4796*100)-I4796, X))))</f>
        <v/>
      </c>
      <c r="N4796" s="78">
        <f>IF(ISBLANK(L4796),"",IF(AND(C4796="Sell",D4796="Stock"),M4796,IF(ISBLANK(L4796),"",IF(C4796="Buy",M4796, IF(AND(C4796="Sell",J4796="NA"),(E4796*G4796*100*0.1)+I4796, IF(C4796="Sell",(J4796-L4796)*(100*G4796)+I4796))))))</f>
        <v/>
      </c>
      <c r="O4796" s="75" t="n"/>
      <c r="P4796" s="75" t="n"/>
      <c r="Q4796" s="75">
        <f>IF(ISBLANK(P4796),"",IF(D4796="Stock",P4796*G4796,IF(P4796=0,"0",G4796*P4796*100-(G4796*$AF$14))))</f>
        <v/>
      </c>
      <c r="R4796" s="79">
        <f>IF(P4796&lt;&gt;"", TODAY(), "")</f>
        <v/>
      </c>
      <c r="S4796" s="78">
        <f>IF(AND(K4796&lt;&gt;"", R4796&lt;&gt;""), R4796-K4796, "")</f>
        <v/>
      </c>
      <c r="T4796" s="78" t="n"/>
      <c r="U4796" s="92">
        <f>IF(ISBLANK(P4796),"",IF(C4796="Buy",Q4796-M4796+T4796, IF(C4796="Sell",M4796-Q4796-T4796, X)))</f>
        <v/>
      </c>
      <c r="V4796" s="81">
        <f>IF(ISBLANK(P4796),"",U4796/N4796)</f>
        <v/>
      </c>
      <c r="W4796" s="81">
        <f>IF(ISBLANK(P4796),"",IF(S4796=0,(365/0.5)*V4796,(365/S4796)*V4796))</f>
        <v/>
      </c>
      <c r="X4796" s="75" t="n"/>
      <c r="Y4796" s="77" t="n"/>
      <c r="Z4796" s="77" t="n"/>
      <c r="AA4796" s="75" t="n"/>
      <c r="AB4796" s="75" t="n"/>
      <c r="AC4796" s="6" t="n"/>
      <c r="AD4796" s="75" t="n"/>
      <c r="AE4796" s="75" t="n"/>
      <c r="AF4796" s="75" t="n"/>
    </row>
    <row r="4797" ht="15.75" customHeight="1" s="133">
      <c r="A4797" s="75" t="n"/>
      <c r="B4797" s="75" t="n"/>
      <c r="C4797" s="75" t="n"/>
      <c r="D4797" s="75" t="n"/>
      <c r="E4797" s="76" t="n"/>
      <c r="F4797" s="77" t="n"/>
      <c r="G4797" s="75" t="n"/>
      <c r="H4797" s="75">
        <f>IF(ISBLANK(E4797),"",IF(OR(D4797="Butterfly",D4797="Butterfly ",D4797="Iron Fly", D4797="Iron Fly "),LEN(E4797)-LEN(SUBSTITUTE(E4797,"/",""))+2,LEN(E4797)-LEN(SUBSTITUTE(E4797,"/",""))+1))</f>
        <v/>
      </c>
      <c r="I4797" s="78">
        <f>IF(ISBLANK(G4797),"",IF(D4797="Stock","0",Key!$A$3*H4797*G4797))</f>
        <v/>
      </c>
      <c r="J4797" s="78">
        <f>IF(ISBLANK(E4797),"",IF(ISNUMBER(SEARCH("/",E4797)), IF(LEN(E4797)-LEN(SUBSTITUTE(E4797,"/",""))=1,(RIGHT(E4797,LEN(E4797)-FIND("/",E4797)))-(LEFT(E4797,FIND("/",E4797)-1)),(MID(E4797, SEARCH("/",E4797) + 1, SEARCH("/",E4797, SEARCH("/",E4797)+1) - SEARCH("/",E4797) - 1))-(LEFT(E4797,FIND("/",E4797)-1))), "NA"))</f>
        <v/>
      </c>
      <c r="K4797" s="79">
        <f>IF(A4797&lt;&gt;"", IF(ISBLANK(L4797), TODAY(), K4797), "")</f>
        <v/>
      </c>
      <c r="L4797" s="78" t="n"/>
      <c r="M4797" s="78">
        <f>IF(ISBLANK(L4797),"",IF(D4797="Stock",IF(C4797="Buy",L4797*G4797,IF(C4797="Sell",(L4797*G4797)-I4797, X)),IF(C4797="Buy",(L4797*G4797*100)+I4797,IF(C4797="Sell",(L4797*G4797*100)-I4797, X))))</f>
        <v/>
      </c>
      <c r="N4797" s="78">
        <f>IF(ISBLANK(L4797),"",IF(AND(C4797="Sell",D4797="Stock"),M4797,IF(ISBLANK(L4797),"",IF(C4797="Buy",M4797, IF(AND(C4797="Sell",J4797="NA"),(E4797*G4797*100*0.1)+I4797, IF(C4797="Sell",(J4797-L4797)*(100*G4797)+I4797))))))</f>
        <v/>
      </c>
      <c r="O4797" s="75" t="n"/>
      <c r="P4797" s="75" t="n"/>
      <c r="Q4797" s="75">
        <f>IF(ISBLANK(P4797),"",IF(D4797="Stock",P4797*G4797,IF(P4797=0,"0",G4797*P4797*100-(G4797*$AF$14))))</f>
        <v/>
      </c>
      <c r="R4797" s="79">
        <f>IF(P4797&lt;&gt;"", TODAY(), "")</f>
        <v/>
      </c>
      <c r="S4797" s="78">
        <f>IF(AND(K4797&lt;&gt;"", R4797&lt;&gt;""), R4797-K4797, "")</f>
        <v/>
      </c>
      <c r="T4797" s="78" t="n"/>
      <c r="U4797" s="92">
        <f>IF(ISBLANK(P4797),"",IF(C4797="Buy",Q4797-M4797+T4797, IF(C4797="Sell",M4797-Q4797-T4797, X)))</f>
        <v/>
      </c>
      <c r="V4797" s="81">
        <f>IF(ISBLANK(P4797),"",U4797/N4797)</f>
        <v/>
      </c>
      <c r="W4797" s="81">
        <f>IF(ISBLANK(P4797),"",IF(S4797=0,(365/0.5)*V4797,(365/S4797)*V4797))</f>
        <v/>
      </c>
      <c r="X4797" s="75" t="n"/>
      <c r="Y4797" s="77" t="n"/>
      <c r="Z4797" s="77" t="n"/>
      <c r="AA4797" s="75" t="n"/>
      <c r="AB4797" s="75" t="n"/>
      <c r="AC4797" s="6" t="n"/>
      <c r="AD4797" s="75" t="n"/>
      <c r="AE4797" s="75" t="n"/>
      <c r="AF4797" s="75" t="n"/>
    </row>
    <row r="4798" ht="15.75" customHeight="1" s="133">
      <c r="A4798" s="75" t="n"/>
      <c r="B4798" s="75" t="n"/>
      <c r="C4798" s="75" t="n"/>
      <c r="D4798" s="75" t="n"/>
      <c r="E4798" s="76" t="n"/>
      <c r="F4798" s="77" t="n"/>
      <c r="G4798" s="75" t="n"/>
      <c r="H4798" s="75">
        <f>IF(ISBLANK(E4798),"",IF(OR(D4798="Butterfly",D4798="Butterfly ",D4798="Iron Fly", D4798="Iron Fly "),LEN(E4798)-LEN(SUBSTITUTE(E4798,"/",""))+2,LEN(E4798)-LEN(SUBSTITUTE(E4798,"/",""))+1))</f>
        <v/>
      </c>
      <c r="I4798" s="78">
        <f>IF(ISBLANK(G4798),"",IF(D4798="Stock","0",Key!$A$3*H4798*G4798))</f>
        <v/>
      </c>
      <c r="J4798" s="78">
        <f>IF(ISBLANK(E4798),"",IF(ISNUMBER(SEARCH("/",E4798)), IF(LEN(E4798)-LEN(SUBSTITUTE(E4798,"/",""))=1,(RIGHT(E4798,LEN(E4798)-FIND("/",E4798)))-(LEFT(E4798,FIND("/",E4798)-1)),(MID(E4798, SEARCH("/",E4798) + 1, SEARCH("/",E4798, SEARCH("/",E4798)+1) - SEARCH("/",E4798) - 1))-(LEFT(E4798,FIND("/",E4798)-1))), "NA"))</f>
        <v/>
      </c>
      <c r="K4798" s="79">
        <f>IF(A4798&lt;&gt;"", IF(ISBLANK(L4798), TODAY(), K4798), "")</f>
        <v/>
      </c>
      <c r="L4798" s="78" t="n"/>
      <c r="M4798" s="78">
        <f>IF(ISBLANK(L4798),"",IF(D4798="Stock",IF(C4798="Buy",L4798*G4798,IF(C4798="Sell",(L4798*G4798)-I4798, X)),IF(C4798="Buy",(L4798*G4798*100)+I4798,IF(C4798="Sell",(L4798*G4798*100)-I4798, X))))</f>
        <v/>
      </c>
      <c r="N4798" s="78">
        <f>IF(ISBLANK(L4798),"",IF(AND(C4798="Sell",D4798="Stock"),M4798,IF(ISBLANK(L4798),"",IF(C4798="Buy",M4798, IF(AND(C4798="Sell",J4798="NA"),(E4798*G4798*100*0.1)+I4798, IF(C4798="Sell",(J4798-L4798)*(100*G4798)+I4798))))))</f>
        <v/>
      </c>
      <c r="O4798" s="75" t="n"/>
      <c r="P4798" s="75" t="n"/>
      <c r="Q4798" s="75">
        <f>IF(ISBLANK(P4798),"",IF(D4798="Stock",P4798*G4798,IF(P4798=0,"0",G4798*P4798*100-(G4798*$AF$14))))</f>
        <v/>
      </c>
      <c r="R4798" s="79">
        <f>IF(P4798&lt;&gt;"", TODAY(), "")</f>
        <v/>
      </c>
      <c r="S4798" s="78">
        <f>IF(AND(K4798&lt;&gt;"", R4798&lt;&gt;""), R4798-K4798, "")</f>
        <v/>
      </c>
      <c r="T4798" s="78" t="n"/>
      <c r="U4798" s="92">
        <f>IF(ISBLANK(P4798),"",IF(C4798="Buy",Q4798-M4798+T4798, IF(C4798="Sell",M4798-Q4798-T4798, X)))</f>
        <v/>
      </c>
      <c r="V4798" s="81">
        <f>IF(ISBLANK(P4798),"",U4798/N4798)</f>
        <v/>
      </c>
      <c r="W4798" s="81">
        <f>IF(ISBLANK(P4798),"",IF(S4798=0,(365/0.5)*V4798,(365/S4798)*V4798))</f>
        <v/>
      </c>
      <c r="X4798" s="75" t="n"/>
      <c r="Y4798" s="77" t="n"/>
      <c r="Z4798" s="77" t="n"/>
      <c r="AA4798" s="75" t="n"/>
      <c r="AB4798" s="75" t="n"/>
      <c r="AC4798" s="6" t="n"/>
      <c r="AD4798" s="75" t="n"/>
      <c r="AE4798" s="75" t="n"/>
      <c r="AF4798" s="75" t="n"/>
    </row>
    <row r="4799" ht="15.75" customHeight="1" s="133">
      <c r="A4799" s="75" t="n"/>
      <c r="B4799" s="75" t="n"/>
      <c r="C4799" s="75" t="n"/>
      <c r="D4799" s="75" t="n"/>
      <c r="E4799" s="76" t="n"/>
      <c r="F4799" s="77" t="n"/>
      <c r="G4799" s="75" t="n"/>
      <c r="H4799" s="75">
        <f>IF(ISBLANK(E4799),"",IF(OR(D4799="Butterfly",D4799="Butterfly ",D4799="Iron Fly", D4799="Iron Fly "),LEN(E4799)-LEN(SUBSTITUTE(E4799,"/",""))+2,LEN(E4799)-LEN(SUBSTITUTE(E4799,"/",""))+1))</f>
        <v/>
      </c>
      <c r="I4799" s="78">
        <f>IF(ISBLANK(G4799),"",IF(D4799="Stock","0",Key!$A$3*H4799*G4799))</f>
        <v/>
      </c>
      <c r="J4799" s="78">
        <f>IF(ISBLANK(E4799),"",IF(ISNUMBER(SEARCH("/",E4799)), IF(LEN(E4799)-LEN(SUBSTITUTE(E4799,"/",""))=1,(RIGHT(E4799,LEN(E4799)-FIND("/",E4799)))-(LEFT(E4799,FIND("/",E4799)-1)),(MID(E4799, SEARCH("/",E4799) + 1, SEARCH("/",E4799, SEARCH("/",E4799)+1) - SEARCH("/",E4799) - 1))-(LEFT(E4799,FIND("/",E4799)-1))), "NA"))</f>
        <v/>
      </c>
      <c r="K4799" s="79">
        <f>IF(A4799&lt;&gt;"", IF(ISBLANK(L4799), TODAY(), K4799), "")</f>
        <v/>
      </c>
      <c r="L4799" s="78" t="n"/>
      <c r="M4799" s="78">
        <f>IF(ISBLANK(L4799),"",IF(D4799="Stock",IF(C4799="Buy",L4799*G4799,IF(C4799="Sell",(L4799*G4799)-I4799, X)),IF(C4799="Buy",(L4799*G4799*100)+I4799,IF(C4799="Sell",(L4799*G4799*100)-I4799, X))))</f>
        <v/>
      </c>
      <c r="N4799" s="78">
        <f>IF(ISBLANK(L4799),"",IF(AND(C4799="Sell",D4799="Stock"),M4799,IF(ISBLANK(L4799),"",IF(C4799="Buy",M4799, IF(AND(C4799="Sell",J4799="NA"),(E4799*G4799*100*0.1)+I4799, IF(C4799="Sell",(J4799-L4799)*(100*G4799)+I4799))))))</f>
        <v/>
      </c>
      <c r="O4799" s="75" t="n"/>
      <c r="P4799" s="75" t="n"/>
      <c r="Q4799" s="75">
        <f>IF(ISBLANK(P4799),"",IF(D4799="Stock",P4799*G4799,IF(P4799=0,"0",G4799*P4799*100-(G4799*$AF$14))))</f>
        <v/>
      </c>
      <c r="R4799" s="79">
        <f>IF(P4799&lt;&gt;"", TODAY(), "")</f>
        <v/>
      </c>
      <c r="S4799" s="78">
        <f>IF(AND(K4799&lt;&gt;"", R4799&lt;&gt;""), R4799-K4799, "")</f>
        <v/>
      </c>
      <c r="T4799" s="78" t="n"/>
      <c r="U4799" s="92">
        <f>IF(ISBLANK(P4799),"",IF(C4799="Buy",Q4799-M4799+T4799, IF(C4799="Sell",M4799-Q4799-T4799, X)))</f>
        <v/>
      </c>
      <c r="V4799" s="81">
        <f>IF(ISBLANK(P4799),"",U4799/N4799)</f>
        <v/>
      </c>
      <c r="W4799" s="81">
        <f>IF(ISBLANK(P4799),"",IF(S4799=0,(365/0.5)*V4799,(365/S4799)*V4799))</f>
        <v/>
      </c>
      <c r="X4799" s="75" t="n"/>
      <c r="Y4799" s="77" t="n"/>
      <c r="Z4799" s="77" t="n"/>
      <c r="AA4799" s="75" t="n"/>
      <c r="AB4799" s="75" t="n"/>
      <c r="AC4799" s="6" t="n"/>
      <c r="AD4799" s="75" t="n"/>
      <c r="AE4799" s="75" t="n"/>
      <c r="AF4799" s="75" t="n"/>
    </row>
    <row r="4800" ht="15.75" customHeight="1" s="133">
      <c r="A4800" s="75" t="n"/>
      <c r="B4800" s="75" t="n"/>
      <c r="C4800" s="75" t="n"/>
      <c r="D4800" s="75" t="n"/>
      <c r="E4800" s="76" t="n"/>
      <c r="F4800" s="77" t="n"/>
      <c r="G4800" s="75" t="n"/>
      <c r="H4800" s="75">
        <f>IF(ISBLANK(E4800),"",IF(OR(D4800="Butterfly",D4800="Butterfly ",D4800="Iron Fly", D4800="Iron Fly "),LEN(E4800)-LEN(SUBSTITUTE(E4800,"/",""))+2,LEN(E4800)-LEN(SUBSTITUTE(E4800,"/",""))+1))</f>
        <v/>
      </c>
      <c r="I4800" s="78">
        <f>IF(ISBLANK(G4800),"",IF(D4800="Stock","0",Key!$A$3*H4800*G4800))</f>
        <v/>
      </c>
      <c r="J4800" s="78">
        <f>IF(ISBLANK(E4800),"",IF(ISNUMBER(SEARCH("/",E4800)), IF(LEN(E4800)-LEN(SUBSTITUTE(E4800,"/",""))=1,(RIGHT(E4800,LEN(E4800)-FIND("/",E4800)))-(LEFT(E4800,FIND("/",E4800)-1)),(MID(E4800, SEARCH("/",E4800) + 1, SEARCH("/",E4800, SEARCH("/",E4800)+1) - SEARCH("/",E4800) - 1))-(LEFT(E4800,FIND("/",E4800)-1))), "NA"))</f>
        <v/>
      </c>
      <c r="K4800" s="79">
        <f>IF(A4800&lt;&gt;"", IF(ISBLANK(L4800), TODAY(), K4800), "")</f>
        <v/>
      </c>
      <c r="L4800" s="78" t="n"/>
      <c r="M4800" s="78">
        <f>IF(ISBLANK(L4800),"",IF(D4800="Stock",IF(C4800="Buy",L4800*G4800,IF(C4800="Sell",(L4800*G4800)-I4800, X)),IF(C4800="Buy",(L4800*G4800*100)+I4800,IF(C4800="Sell",(L4800*G4800*100)-I4800, X))))</f>
        <v/>
      </c>
      <c r="N4800" s="78">
        <f>IF(ISBLANK(L4800),"",IF(AND(C4800="Sell",D4800="Stock"),M4800,IF(ISBLANK(L4800),"",IF(C4800="Buy",M4800, IF(AND(C4800="Sell",J4800="NA"),(E4800*G4800*100*0.1)+I4800, IF(C4800="Sell",(J4800-L4800)*(100*G4800)+I4800))))))</f>
        <v/>
      </c>
      <c r="O4800" s="75" t="n"/>
      <c r="P4800" s="75" t="n"/>
      <c r="Q4800" s="75">
        <f>IF(ISBLANK(P4800),"",IF(D4800="Stock",P4800*G4800,IF(P4800=0,"0",G4800*P4800*100-(G4800*$AF$14))))</f>
        <v/>
      </c>
      <c r="R4800" s="79">
        <f>IF(P4800&lt;&gt;"", TODAY(), "")</f>
        <v/>
      </c>
      <c r="S4800" s="78">
        <f>IF(AND(K4800&lt;&gt;"", R4800&lt;&gt;""), R4800-K4800, "")</f>
        <v/>
      </c>
      <c r="T4800" s="78" t="n"/>
      <c r="U4800" s="92">
        <f>IF(ISBLANK(P4800),"",IF(C4800="Buy",Q4800-M4800+T4800, IF(C4800="Sell",M4800-Q4800-T4800, X)))</f>
        <v/>
      </c>
      <c r="V4800" s="81">
        <f>IF(ISBLANK(P4800),"",U4800/N4800)</f>
        <v/>
      </c>
      <c r="W4800" s="81">
        <f>IF(ISBLANK(P4800),"",IF(S4800=0,(365/0.5)*V4800,(365/S4800)*V4800))</f>
        <v/>
      </c>
      <c r="X4800" s="75" t="n"/>
      <c r="Y4800" s="77" t="n"/>
      <c r="Z4800" s="77" t="n"/>
      <c r="AA4800" s="75" t="n"/>
      <c r="AB4800" s="75" t="n"/>
      <c r="AC4800" s="6" t="n"/>
      <c r="AD4800" s="75" t="n"/>
      <c r="AE4800" s="75" t="n"/>
      <c r="AF4800" s="75" t="n"/>
    </row>
    <row r="4801" ht="15.75" customHeight="1" s="133">
      <c r="A4801" s="75" t="n"/>
      <c r="B4801" s="75" t="n"/>
      <c r="C4801" s="75" t="n"/>
      <c r="D4801" s="75" t="n"/>
      <c r="E4801" s="76" t="n"/>
      <c r="F4801" s="77" t="n"/>
      <c r="G4801" s="75" t="n"/>
      <c r="H4801" s="75">
        <f>IF(ISBLANK(E4801),"",IF(OR(D4801="Butterfly",D4801="Butterfly ",D4801="Iron Fly", D4801="Iron Fly "),LEN(E4801)-LEN(SUBSTITUTE(E4801,"/",""))+2,LEN(E4801)-LEN(SUBSTITUTE(E4801,"/",""))+1))</f>
        <v/>
      </c>
      <c r="I4801" s="78">
        <f>IF(ISBLANK(G4801),"",IF(D4801="Stock","0",Key!$A$3*H4801*G4801))</f>
        <v/>
      </c>
      <c r="J4801" s="78">
        <f>IF(ISBLANK(E4801),"",IF(ISNUMBER(SEARCH("/",E4801)), IF(LEN(E4801)-LEN(SUBSTITUTE(E4801,"/",""))=1,(RIGHT(E4801,LEN(E4801)-FIND("/",E4801)))-(LEFT(E4801,FIND("/",E4801)-1)),(MID(E4801, SEARCH("/",E4801) + 1, SEARCH("/",E4801, SEARCH("/",E4801)+1) - SEARCH("/",E4801) - 1))-(LEFT(E4801,FIND("/",E4801)-1))), "NA"))</f>
        <v/>
      </c>
      <c r="K4801" s="79">
        <f>IF(A4801&lt;&gt;"", IF(ISBLANK(L4801), TODAY(), K4801), "")</f>
        <v/>
      </c>
      <c r="L4801" s="78" t="n"/>
      <c r="M4801" s="78">
        <f>IF(ISBLANK(L4801),"",IF(D4801="Stock",IF(C4801="Buy",L4801*G4801,IF(C4801="Sell",(L4801*G4801)-I4801, X)),IF(C4801="Buy",(L4801*G4801*100)+I4801,IF(C4801="Sell",(L4801*G4801*100)-I4801, X))))</f>
        <v/>
      </c>
      <c r="N4801" s="78">
        <f>IF(ISBLANK(L4801),"",IF(AND(C4801="Sell",D4801="Stock"),M4801,IF(ISBLANK(L4801),"",IF(C4801="Buy",M4801, IF(AND(C4801="Sell",J4801="NA"),(E4801*G4801*100*0.1)+I4801, IF(C4801="Sell",(J4801-L4801)*(100*G4801)+I4801))))))</f>
        <v/>
      </c>
      <c r="O4801" s="75" t="n"/>
      <c r="P4801" s="75" t="n"/>
      <c r="Q4801" s="75">
        <f>IF(ISBLANK(P4801),"",IF(D4801="Stock",P4801*G4801,IF(P4801=0,"0",G4801*P4801*100-(G4801*$AF$14))))</f>
        <v/>
      </c>
      <c r="R4801" s="79">
        <f>IF(P4801&lt;&gt;"", TODAY(), "")</f>
        <v/>
      </c>
      <c r="S4801" s="78">
        <f>IF(AND(K4801&lt;&gt;"", R4801&lt;&gt;""), R4801-K4801, "")</f>
        <v/>
      </c>
      <c r="T4801" s="78" t="n"/>
      <c r="U4801" s="92">
        <f>IF(ISBLANK(P4801),"",IF(C4801="Buy",Q4801-M4801+T4801, IF(C4801="Sell",M4801-Q4801-T4801, X)))</f>
        <v/>
      </c>
      <c r="V4801" s="81">
        <f>IF(ISBLANK(P4801),"",U4801/N4801)</f>
        <v/>
      </c>
      <c r="W4801" s="81">
        <f>IF(ISBLANK(P4801),"",IF(S4801=0,(365/0.5)*V4801,(365/S4801)*V4801))</f>
        <v/>
      </c>
      <c r="X4801" s="75" t="n"/>
      <c r="Y4801" s="77" t="n"/>
      <c r="Z4801" s="77" t="n"/>
      <c r="AA4801" s="75" t="n"/>
      <c r="AB4801" s="75" t="n"/>
      <c r="AC4801" s="6" t="n"/>
      <c r="AD4801" s="75" t="n"/>
      <c r="AE4801" s="75" t="n"/>
      <c r="AF4801" s="75" t="n"/>
    </row>
    <row r="4802" ht="15.75" customHeight="1" s="133">
      <c r="A4802" s="75" t="n"/>
      <c r="B4802" s="75" t="n"/>
      <c r="C4802" s="75" t="n"/>
      <c r="D4802" s="75" t="n"/>
      <c r="E4802" s="76" t="n"/>
      <c r="F4802" s="77" t="n"/>
      <c r="G4802" s="75" t="n"/>
      <c r="H4802" s="75">
        <f>IF(ISBLANK(E4802),"",IF(OR(D4802="Butterfly",D4802="Butterfly ",D4802="Iron Fly", D4802="Iron Fly "),LEN(E4802)-LEN(SUBSTITUTE(E4802,"/",""))+2,LEN(E4802)-LEN(SUBSTITUTE(E4802,"/",""))+1))</f>
        <v/>
      </c>
      <c r="I4802" s="78">
        <f>IF(ISBLANK(G4802),"",IF(D4802="Stock","0",Key!$A$3*H4802*G4802))</f>
        <v/>
      </c>
      <c r="J4802" s="78">
        <f>IF(ISBLANK(E4802),"",IF(ISNUMBER(SEARCH("/",E4802)), IF(LEN(E4802)-LEN(SUBSTITUTE(E4802,"/",""))=1,(RIGHT(E4802,LEN(E4802)-FIND("/",E4802)))-(LEFT(E4802,FIND("/",E4802)-1)),(MID(E4802, SEARCH("/",E4802) + 1, SEARCH("/",E4802, SEARCH("/",E4802)+1) - SEARCH("/",E4802) - 1))-(LEFT(E4802,FIND("/",E4802)-1))), "NA"))</f>
        <v/>
      </c>
      <c r="K4802" s="79">
        <f>IF(A4802&lt;&gt;"", IF(ISBLANK(L4802), TODAY(), K4802), "")</f>
        <v/>
      </c>
      <c r="L4802" s="78" t="n"/>
      <c r="M4802" s="78">
        <f>IF(ISBLANK(L4802),"",IF(D4802="Stock",IF(C4802="Buy",L4802*G4802,IF(C4802="Sell",(L4802*G4802)-I4802, X)),IF(C4802="Buy",(L4802*G4802*100)+I4802,IF(C4802="Sell",(L4802*G4802*100)-I4802, X))))</f>
        <v/>
      </c>
      <c r="N4802" s="78">
        <f>IF(ISBLANK(L4802),"",IF(AND(C4802="Sell",D4802="Stock"),M4802,IF(ISBLANK(L4802),"",IF(C4802="Buy",M4802, IF(AND(C4802="Sell",J4802="NA"),(E4802*G4802*100*0.1)+I4802, IF(C4802="Sell",(J4802-L4802)*(100*G4802)+I4802))))))</f>
        <v/>
      </c>
      <c r="O4802" s="75" t="n"/>
      <c r="P4802" s="75" t="n"/>
      <c r="Q4802" s="75">
        <f>IF(ISBLANK(P4802),"",IF(D4802="Stock",P4802*G4802,IF(P4802=0,"0",G4802*P4802*100-(G4802*$AF$14))))</f>
        <v/>
      </c>
      <c r="R4802" s="79">
        <f>IF(P4802&lt;&gt;"", TODAY(), "")</f>
        <v/>
      </c>
      <c r="S4802" s="78">
        <f>IF(AND(K4802&lt;&gt;"", R4802&lt;&gt;""), R4802-K4802, "")</f>
        <v/>
      </c>
      <c r="T4802" s="78" t="n"/>
      <c r="U4802" s="92">
        <f>IF(ISBLANK(P4802),"",IF(C4802="Buy",Q4802-M4802+T4802, IF(C4802="Sell",M4802-Q4802-T4802, X)))</f>
        <v/>
      </c>
      <c r="V4802" s="81">
        <f>IF(ISBLANK(P4802),"",U4802/N4802)</f>
        <v/>
      </c>
      <c r="W4802" s="81">
        <f>IF(ISBLANK(P4802),"",IF(S4802=0,(365/0.5)*V4802,(365/S4802)*V4802))</f>
        <v/>
      </c>
      <c r="X4802" s="75" t="n"/>
      <c r="Y4802" s="77" t="n"/>
      <c r="Z4802" s="77" t="n"/>
      <c r="AA4802" s="75" t="n"/>
      <c r="AB4802" s="75" t="n"/>
      <c r="AC4802" s="6" t="n"/>
      <c r="AD4802" s="75" t="n"/>
      <c r="AE4802" s="75" t="n"/>
      <c r="AF4802" s="75" t="n"/>
    </row>
    <row r="4803" ht="15.75" customHeight="1" s="133">
      <c r="A4803" s="75" t="n"/>
      <c r="B4803" s="75" t="n"/>
      <c r="C4803" s="75" t="n"/>
      <c r="D4803" s="75" t="n"/>
      <c r="E4803" s="76" t="n"/>
      <c r="F4803" s="77" t="n"/>
      <c r="G4803" s="75" t="n"/>
      <c r="H4803" s="75">
        <f>IF(ISBLANK(E4803),"",IF(OR(D4803="Butterfly",D4803="Butterfly ",D4803="Iron Fly", D4803="Iron Fly "),LEN(E4803)-LEN(SUBSTITUTE(E4803,"/",""))+2,LEN(E4803)-LEN(SUBSTITUTE(E4803,"/",""))+1))</f>
        <v/>
      </c>
      <c r="I4803" s="78">
        <f>IF(ISBLANK(G4803),"",IF(D4803="Stock","0",Key!$A$3*H4803*G4803))</f>
        <v/>
      </c>
      <c r="J4803" s="78">
        <f>IF(ISBLANK(E4803),"",IF(ISNUMBER(SEARCH("/",E4803)), IF(LEN(E4803)-LEN(SUBSTITUTE(E4803,"/",""))=1,(RIGHT(E4803,LEN(E4803)-FIND("/",E4803)))-(LEFT(E4803,FIND("/",E4803)-1)),(MID(E4803, SEARCH("/",E4803) + 1, SEARCH("/",E4803, SEARCH("/",E4803)+1) - SEARCH("/",E4803) - 1))-(LEFT(E4803,FIND("/",E4803)-1))), "NA"))</f>
        <v/>
      </c>
      <c r="K4803" s="79">
        <f>IF(A4803&lt;&gt;"", IF(ISBLANK(L4803), TODAY(), K4803), "")</f>
        <v/>
      </c>
      <c r="L4803" s="78" t="n"/>
      <c r="M4803" s="78">
        <f>IF(ISBLANK(L4803),"",IF(D4803="Stock",IF(C4803="Buy",L4803*G4803,IF(C4803="Sell",(L4803*G4803)-I4803, X)),IF(C4803="Buy",(L4803*G4803*100)+I4803,IF(C4803="Sell",(L4803*G4803*100)-I4803, X))))</f>
        <v/>
      </c>
      <c r="N4803" s="78">
        <f>IF(ISBLANK(L4803),"",IF(AND(C4803="Sell",D4803="Stock"),M4803,IF(ISBLANK(L4803),"",IF(C4803="Buy",M4803, IF(AND(C4803="Sell",J4803="NA"),(E4803*G4803*100*0.1)+I4803, IF(C4803="Sell",(J4803-L4803)*(100*G4803)+I4803))))))</f>
        <v/>
      </c>
      <c r="O4803" s="75" t="n"/>
      <c r="P4803" s="75" t="n"/>
      <c r="Q4803" s="75">
        <f>IF(ISBLANK(P4803),"",IF(D4803="Stock",P4803*G4803,IF(P4803=0,"0",G4803*P4803*100-(G4803*$AF$14))))</f>
        <v/>
      </c>
      <c r="R4803" s="79">
        <f>IF(P4803&lt;&gt;"", TODAY(), "")</f>
        <v/>
      </c>
      <c r="S4803" s="78">
        <f>IF(AND(K4803&lt;&gt;"", R4803&lt;&gt;""), R4803-K4803, "")</f>
        <v/>
      </c>
      <c r="T4803" s="78" t="n"/>
      <c r="U4803" s="92">
        <f>IF(ISBLANK(P4803),"",IF(C4803="Buy",Q4803-M4803+T4803, IF(C4803="Sell",M4803-Q4803-T4803, X)))</f>
        <v/>
      </c>
      <c r="V4803" s="81">
        <f>IF(ISBLANK(P4803),"",U4803/N4803)</f>
        <v/>
      </c>
      <c r="W4803" s="81">
        <f>IF(ISBLANK(P4803),"",IF(S4803=0,(365/0.5)*V4803,(365/S4803)*V4803))</f>
        <v/>
      </c>
      <c r="X4803" s="75" t="n"/>
      <c r="Y4803" s="77" t="n"/>
      <c r="Z4803" s="77" t="n"/>
      <c r="AA4803" s="75" t="n"/>
      <c r="AB4803" s="75" t="n"/>
      <c r="AC4803" s="6" t="n"/>
      <c r="AD4803" s="75" t="n"/>
      <c r="AE4803" s="75" t="n"/>
      <c r="AF4803" s="75" t="n"/>
    </row>
    <row r="4804" ht="15.75" customHeight="1" s="133">
      <c r="A4804" s="75" t="n"/>
      <c r="B4804" s="75" t="n"/>
      <c r="C4804" s="75" t="n"/>
      <c r="D4804" s="75" t="n"/>
      <c r="E4804" s="76" t="n"/>
      <c r="F4804" s="77" t="n"/>
      <c r="G4804" s="75" t="n"/>
      <c r="H4804" s="75">
        <f>IF(ISBLANK(E4804),"",IF(OR(D4804="Butterfly",D4804="Butterfly ",D4804="Iron Fly", D4804="Iron Fly "),LEN(E4804)-LEN(SUBSTITUTE(E4804,"/",""))+2,LEN(E4804)-LEN(SUBSTITUTE(E4804,"/",""))+1))</f>
        <v/>
      </c>
      <c r="I4804" s="78">
        <f>IF(ISBLANK(G4804),"",IF(D4804="Stock","0",Key!$A$3*H4804*G4804))</f>
        <v/>
      </c>
      <c r="J4804" s="78">
        <f>IF(ISBLANK(E4804),"",IF(ISNUMBER(SEARCH("/",E4804)), IF(LEN(E4804)-LEN(SUBSTITUTE(E4804,"/",""))=1,(RIGHT(E4804,LEN(E4804)-FIND("/",E4804)))-(LEFT(E4804,FIND("/",E4804)-1)),(MID(E4804, SEARCH("/",E4804) + 1, SEARCH("/",E4804, SEARCH("/",E4804)+1) - SEARCH("/",E4804) - 1))-(LEFT(E4804,FIND("/",E4804)-1))), "NA"))</f>
        <v/>
      </c>
      <c r="K4804" s="79">
        <f>IF(A4804&lt;&gt;"", IF(ISBLANK(L4804), TODAY(), K4804), "")</f>
        <v/>
      </c>
      <c r="L4804" s="78" t="n"/>
      <c r="M4804" s="78">
        <f>IF(ISBLANK(L4804),"",IF(D4804="Stock",IF(C4804="Buy",L4804*G4804,IF(C4804="Sell",(L4804*G4804)-I4804, X)),IF(C4804="Buy",(L4804*G4804*100)+I4804,IF(C4804="Sell",(L4804*G4804*100)-I4804, X))))</f>
        <v/>
      </c>
      <c r="N4804" s="78">
        <f>IF(ISBLANK(L4804),"",IF(AND(C4804="Sell",D4804="Stock"),M4804,IF(ISBLANK(L4804),"",IF(C4804="Buy",M4804, IF(AND(C4804="Sell",J4804="NA"),(E4804*G4804*100*0.1)+I4804, IF(C4804="Sell",(J4804-L4804)*(100*G4804)+I4804))))))</f>
        <v/>
      </c>
      <c r="O4804" s="75" t="n"/>
      <c r="P4804" s="75" t="n"/>
      <c r="Q4804" s="75">
        <f>IF(ISBLANK(P4804),"",IF(D4804="Stock",P4804*G4804,IF(P4804=0,"0",G4804*P4804*100-(G4804*$AF$14))))</f>
        <v/>
      </c>
      <c r="R4804" s="79">
        <f>IF(P4804&lt;&gt;"", TODAY(), "")</f>
        <v/>
      </c>
      <c r="S4804" s="78">
        <f>IF(AND(K4804&lt;&gt;"", R4804&lt;&gt;""), R4804-K4804, "")</f>
        <v/>
      </c>
      <c r="T4804" s="78" t="n"/>
      <c r="U4804" s="92">
        <f>IF(ISBLANK(P4804),"",IF(C4804="Buy",Q4804-M4804+T4804, IF(C4804="Sell",M4804-Q4804-T4804, X)))</f>
        <v/>
      </c>
      <c r="V4804" s="81">
        <f>IF(ISBLANK(P4804),"",U4804/N4804)</f>
        <v/>
      </c>
      <c r="W4804" s="81">
        <f>IF(ISBLANK(P4804),"",IF(S4804=0,(365/0.5)*V4804,(365/S4804)*V4804))</f>
        <v/>
      </c>
      <c r="X4804" s="75" t="n"/>
      <c r="Y4804" s="77" t="n"/>
      <c r="Z4804" s="77" t="n"/>
      <c r="AA4804" s="75" t="n"/>
      <c r="AB4804" s="75" t="n"/>
      <c r="AC4804" s="6" t="n"/>
      <c r="AD4804" s="75" t="n"/>
      <c r="AE4804" s="75" t="n"/>
      <c r="AF4804" s="75" t="n"/>
    </row>
    <row r="4805" ht="15.75" customHeight="1" s="133">
      <c r="A4805" s="75" t="n"/>
      <c r="B4805" s="75" t="n"/>
      <c r="C4805" s="75" t="n"/>
      <c r="D4805" s="75" t="n"/>
      <c r="E4805" s="76" t="n"/>
      <c r="F4805" s="77" t="n"/>
      <c r="G4805" s="75" t="n"/>
      <c r="H4805" s="75">
        <f>IF(ISBLANK(E4805),"",IF(OR(D4805="Butterfly",D4805="Butterfly ",D4805="Iron Fly", D4805="Iron Fly "),LEN(E4805)-LEN(SUBSTITUTE(E4805,"/",""))+2,LEN(E4805)-LEN(SUBSTITUTE(E4805,"/",""))+1))</f>
        <v/>
      </c>
      <c r="I4805" s="78">
        <f>IF(ISBLANK(G4805),"",IF(D4805="Stock","0",Key!$A$3*H4805*G4805))</f>
        <v/>
      </c>
      <c r="J4805" s="78">
        <f>IF(ISBLANK(E4805),"",IF(ISNUMBER(SEARCH("/",E4805)), IF(LEN(E4805)-LEN(SUBSTITUTE(E4805,"/",""))=1,(RIGHT(E4805,LEN(E4805)-FIND("/",E4805)))-(LEFT(E4805,FIND("/",E4805)-1)),(MID(E4805, SEARCH("/",E4805) + 1, SEARCH("/",E4805, SEARCH("/",E4805)+1) - SEARCH("/",E4805) - 1))-(LEFT(E4805,FIND("/",E4805)-1))), "NA"))</f>
        <v/>
      </c>
      <c r="K4805" s="79">
        <f>IF(A4805&lt;&gt;"", IF(ISBLANK(L4805), TODAY(), K4805), "")</f>
        <v/>
      </c>
      <c r="L4805" s="78" t="n"/>
      <c r="M4805" s="78">
        <f>IF(ISBLANK(L4805),"",IF(D4805="Stock",IF(C4805="Buy",L4805*G4805,IF(C4805="Sell",(L4805*G4805)-I4805, X)),IF(C4805="Buy",(L4805*G4805*100)+I4805,IF(C4805="Sell",(L4805*G4805*100)-I4805, X))))</f>
        <v/>
      </c>
      <c r="N4805" s="78">
        <f>IF(ISBLANK(L4805),"",IF(AND(C4805="Sell",D4805="Stock"),M4805,IF(ISBLANK(L4805),"",IF(C4805="Buy",M4805, IF(AND(C4805="Sell",J4805="NA"),(E4805*G4805*100*0.1)+I4805, IF(C4805="Sell",(J4805-L4805)*(100*G4805)+I4805))))))</f>
        <v/>
      </c>
      <c r="O4805" s="75" t="n"/>
      <c r="P4805" s="75" t="n"/>
      <c r="Q4805" s="75">
        <f>IF(ISBLANK(P4805),"",IF(D4805="Stock",P4805*G4805,IF(P4805=0,"0",G4805*P4805*100-(G4805*$AF$14))))</f>
        <v/>
      </c>
      <c r="R4805" s="79">
        <f>IF(P4805&lt;&gt;"", TODAY(), "")</f>
        <v/>
      </c>
      <c r="S4805" s="78">
        <f>IF(AND(K4805&lt;&gt;"", R4805&lt;&gt;""), R4805-K4805, "")</f>
        <v/>
      </c>
      <c r="T4805" s="78" t="n"/>
      <c r="U4805" s="92">
        <f>IF(ISBLANK(P4805),"",IF(C4805="Buy",Q4805-M4805+T4805, IF(C4805="Sell",M4805-Q4805-T4805, X)))</f>
        <v/>
      </c>
      <c r="V4805" s="81">
        <f>IF(ISBLANK(P4805),"",U4805/N4805)</f>
        <v/>
      </c>
      <c r="W4805" s="81">
        <f>IF(ISBLANK(P4805),"",IF(S4805=0,(365/0.5)*V4805,(365/S4805)*V4805))</f>
        <v/>
      </c>
      <c r="X4805" s="75" t="n"/>
      <c r="Y4805" s="77" t="n"/>
      <c r="Z4805" s="77" t="n"/>
      <c r="AA4805" s="75" t="n"/>
      <c r="AB4805" s="75" t="n"/>
      <c r="AC4805" s="6" t="n"/>
      <c r="AD4805" s="75" t="n"/>
      <c r="AE4805" s="75" t="n"/>
      <c r="AF4805" s="75" t="n"/>
    </row>
    <row r="4806" ht="15.75" customHeight="1" s="133">
      <c r="A4806" s="75" t="n"/>
      <c r="B4806" s="75" t="n"/>
      <c r="C4806" s="75" t="n"/>
      <c r="D4806" s="75" t="n"/>
      <c r="E4806" s="76" t="n"/>
      <c r="F4806" s="77" t="n"/>
      <c r="G4806" s="75" t="n"/>
      <c r="H4806" s="75">
        <f>IF(ISBLANK(E4806),"",IF(OR(D4806="Butterfly",D4806="Butterfly ",D4806="Iron Fly", D4806="Iron Fly "),LEN(E4806)-LEN(SUBSTITUTE(E4806,"/",""))+2,LEN(E4806)-LEN(SUBSTITUTE(E4806,"/",""))+1))</f>
        <v/>
      </c>
      <c r="I4806" s="78">
        <f>IF(ISBLANK(G4806),"",IF(D4806="Stock","0",Key!$A$3*H4806*G4806))</f>
        <v/>
      </c>
      <c r="J4806" s="78">
        <f>IF(ISBLANK(E4806),"",IF(ISNUMBER(SEARCH("/",E4806)), IF(LEN(E4806)-LEN(SUBSTITUTE(E4806,"/",""))=1,(RIGHT(E4806,LEN(E4806)-FIND("/",E4806)))-(LEFT(E4806,FIND("/",E4806)-1)),(MID(E4806, SEARCH("/",E4806) + 1, SEARCH("/",E4806, SEARCH("/",E4806)+1) - SEARCH("/",E4806) - 1))-(LEFT(E4806,FIND("/",E4806)-1))), "NA"))</f>
        <v/>
      </c>
      <c r="K4806" s="79">
        <f>IF(A4806&lt;&gt;"", IF(ISBLANK(L4806), TODAY(), K4806), "")</f>
        <v/>
      </c>
      <c r="L4806" s="78" t="n"/>
      <c r="M4806" s="78">
        <f>IF(ISBLANK(L4806),"",IF(D4806="Stock",IF(C4806="Buy",L4806*G4806,IF(C4806="Sell",(L4806*G4806)-I4806, X)),IF(C4806="Buy",(L4806*G4806*100)+I4806,IF(C4806="Sell",(L4806*G4806*100)-I4806, X))))</f>
        <v/>
      </c>
      <c r="N4806" s="78">
        <f>IF(ISBLANK(L4806),"",IF(AND(C4806="Sell",D4806="Stock"),M4806,IF(ISBLANK(L4806),"",IF(C4806="Buy",M4806, IF(AND(C4806="Sell",J4806="NA"),(E4806*G4806*100*0.1)+I4806, IF(C4806="Sell",(J4806-L4806)*(100*G4806)+I4806))))))</f>
        <v/>
      </c>
      <c r="O4806" s="75" t="n"/>
      <c r="P4806" s="75" t="n"/>
      <c r="Q4806" s="75">
        <f>IF(ISBLANK(P4806),"",IF(D4806="Stock",P4806*G4806,IF(P4806=0,"0",G4806*P4806*100-(G4806*$AF$14))))</f>
        <v/>
      </c>
      <c r="R4806" s="79">
        <f>IF(P4806&lt;&gt;"", TODAY(), "")</f>
        <v/>
      </c>
      <c r="S4806" s="78">
        <f>IF(AND(K4806&lt;&gt;"", R4806&lt;&gt;""), R4806-K4806, "")</f>
        <v/>
      </c>
      <c r="T4806" s="78" t="n"/>
      <c r="U4806" s="92">
        <f>IF(ISBLANK(P4806),"",IF(C4806="Buy",Q4806-M4806+T4806, IF(C4806="Sell",M4806-Q4806-T4806, X)))</f>
        <v/>
      </c>
      <c r="V4806" s="81">
        <f>IF(ISBLANK(P4806),"",U4806/N4806)</f>
        <v/>
      </c>
      <c r="W4806" s="81">
        <f>IF(ISBLANK(P4806),"",IF(S4806=0,(365/0.5)*V4806,(365/S4806)*V4806))</f>
        <v/>
      </c>
      <c r="X4806" s="75" t="n"/>
      <c r="Y4806" s="77" t="n"/>
      <c r="Z4806" s="77" t="n"/>
      <c r="AA4806" s="75" t="n"/>
      <c r="AB4806" s="75" t="n"/>
      <c r="AC4806" s="6" t="n"/>
      <c r="AD4806" s="75" t="n"/>
      <c r="AE4806" s="75" t="n"/>
      <c r="AF4806" s="75" t="n"/>
    </row>
    <row r="4807" ht="15.75" customHeight="1" s="133">
      <c r="A4807" s="75" t="n"/>
      <c r="B4807" s="75" t="n"/>
      <c r="C4807" s="75" t="n"/>
      <c r="D4807" s="75" t="n"/>
      <c r="E4807" s="76" t="n"/>
      <c r="F4807" s="77" t="n"/>
      <c r="G4807" s="75" t="n"/>
      <c r="H4807" s="75">
        <f>IF(ISBLANK(E4807),"",IF(OR(D4807="Butterfly",D4807="Butterfly ",D4807="Iron Fly", D4807="Iron Fly "),LEN(E4807)-LEN(SUBSTITUTE(E4807,"/",""))+2,LEN(E4807)-LEN(SUBSTITUTE(E4807,"/",""))+1))</f>
        <v/>
      </c>
      <c r="I4807" s="78">
        <f>IF(ISBLANK(G4807),"",IF(D4807="Stock","0",Key!$A$3*H4807*G4807))</f>
        <v/>
      </c>
      <c r="J4807" s="78">
        <f>IF(ISBLANK(E4807),"",IF(ISNUMBER(SEARCH("/",E4807)), IF(LEN(E4807)-LEN(SUBSTITUTE(E4807,"/",""))=1,(RIGHT(E4807,LEN(E4807)-FIND("/",E4807)))-(LEFT(E4807,FIND("/",E4807)-1)),(MID(E4807, SEARCH("/",E4807) + 1, SEARCH("/",E4807, SEARCH("/",E4807)+1) - SEARCH("/",E4807) - 1))-(LEFT(E4807,FIND("/",E4807)-1))), "NA"))</f>
        <v/>
      </c>
      <c r="K4807" s="79">
        <f>IF(A4807&lt;&gt;"", IF(ISBLANK(L4807), TODAY(), K4807), "")</f>
        <v/>
      </c>
      <c r="L4807" s="78" t="n"/>
      <c r="M4807" s="78">
        <f>IF(ISBLANK(L4807),"",IF(D4807="Stock",IF(C4807="Buy",L4807*G4807,IF(C4807="Sell",(L4807*G4807)-I4807, X)),IF(C4807="Buy",(L4807*G4807*100)+I4807,IF(C4807="Sell",(L4807*G4807*100)-I4807, X))))</f>
        <v/>
      </c>
      <c r="N4807" s="78">
        <f>IF(ISBLANK(L4807),"",IF(AND(C4807="Sell",D4807="Stock"),M4807,IF(ISBLANK(L4807),"",IF(C4807="Buy",M4807, IF(AND(C4807="Sell",J4807="NA"),(E4807*G4807*100*0.1)+I4807, IF(C4807="Sell",(J4807-L4807)*(100*G4807)+I4807))))))</f>
        <v/>
      </c>
      <c r="O4807" s="75" t="n"/>
      <c r="P4807" s="75" t="n"/>
      <c r="Q4807" s="75">
        <f>IF(ISBLANK(P4807),"",IF(D4807="Stock",P4807*G4807,IF(P4807=0,"0",G4807*P4807*100-(G4807*$AF$14))))</f>
        <v/>
      </c>
      <c r="R4807" s="79">
        <f>IF(P4807&lt;&gt;"", TODAY(), "")</f>
        <v/>
      </c>
      <c r="S4807" s="78">
        <f>IF(AND(K4807&lt;&gt;"", R4807&lt;&gt;""), R4807-K4807, "")</f>
        <v/>
      </c>
      <c r="T4807" s="78" t="n"/>
      <c r="U4807" s="92">
        <f>IF(ISBLANK(P4807),"",IF(C4807="Buy",Q4807-M4807+T4807, IF(C4807="Sell",M4807-Q4807-T4807, X)))</f>
        <v/>
      </c>
      <c r="V4807" s="81">
        <f>IF(ISBLANK(P4807),"",U4807/N4807)</f>
        <v/>
      </c>
      <c r="W4807" s="81">
        <f>IF(ISBLANK(P4807),"",IF(S4807=0,(365/0.5)*V4807,(365/S4807)*V4807))</f>
        <v/>
      </c>
      <c r="X4807" s="75" t="n"/>
      <c r="Y4807" s="77" t="n"/>
      <c r="Z4807" s="77" t="n"/>
      <c r="AA4807" s="75" t="n"/>
      <c r="AB4807" s="75" t="n"/>
      <c r="AC4807" s="6" t="n"/>
      <c r="AD4807" s="75" t="n"/>
      <c r="AE4807" s="75" t="n"/>
      <c r="AF4807" s="75" t="n"/>
    </row>
    <row r="4808" ht="15.75" customHeight="1" s="133">
      <c r="A4808" s="75" t="n"/>
      <c r="B4808" s="75" t="n"/>
      <c r="C4808" s="75" t="n"/>
      <c r="D4808" s="75" t="n"/>
      <c r="E4808" s="76" t="n"/>
      <c r="F4808" s="77" t="n"/>
      <c r="G4808" s="75" t="n"/>
      <c r="H4808" s="75">
        <f>IF(ISBLANK(E4808),"",IF(OR(D4808="Butterfly",D4808="Butterfly ",D4808="Iron Fly", D4808="Iron Fly "),LEN(E4808)-LEN(SUBSTITUTE(E4808,"/",""))+2,LEN(E4808)-LEN(SUBSTITUTE(E4808,"/",""))+1))</f>
        <v/>
      </c>
      <c r="I4808" s="78">
        <f>IF(ISBLANK(G4808),"",IF(D4808="Stock","0",Key!$A$3*H4808*G4808))</f>
        <v/>
      </c>
      <c r="J4808" s="78">
        <f>IF(ISBLANK(E4808),"",IF(ISNUMBER(SEARCH("/",E4808)), IF(LEN(E4808)-LEN(SUBSTITUTE(E4808,"/",""))=1,(RIGHT(E4808,LEN(E4808)-FIND("/",E4808)))-(LEFT(E4808,FIND("/",E4808)-1)),(MID(E4808, SEARCH("/",E4808) + 1, SEARCH("/",E4808, SEARCH("/",E4808)+1) - SEARCH("/",E4808) - 1))-(LEFT(E4808,FIND("/",E4808)-1))), "NA"))</f>
        <v/>
      </c>
      <c r="K4808" s="79">
        <f>IF(A4808&lt;&gt;"", IF(ISBLANK(L4808), TODAY(), K4808), "")</f>
        <v/>
      </c>
      <c r="L4808" s="78" t="n"/>
      <c r="M4808" s="78">
        <f>IF(ISBLANK(L4808),"",IF(D4808="Stock",IF(C4808="Buy",L4808*G4808,IF(C4808="Sell",(L4808*G4808)-I4808, X)),IF(C4808="Buy",(L4808*G4808*100)+I4808,IF(C4808="Sell",(L4808*G4808*100)-I4808, X))))</f>
        <v/>
      </c>
      <c r="N4808" s="78">
        <f>IF(ISBLANK(L4808),"",IF(AND(C4808="Sell",D4808="Stock"),M4808,IF(ISBLANK(L4808),"",IF(C4808="Buy",M4808, IF(AND(C4808="Sell",J4808="NA"),(E4808*G4808*100*0.1)+I4808, IF(C4808="Sell",(J4808-L4808)*(100*G4808)+I4808))))))</f>
        <v/>
      </c>
      <c r="O4808" s="75" t="n"/>
      <c r="P4808" s="75" t="n"/>
      <c r="Q4808" s="75">
        <f>IF(ISBLANK(P4808),"",IF(D4808="Stock",P4808*G4808,IF(P4808=0,"0",G4808*P4808*100-(G4808*$AF$14))))</f>
        <v/>
      </c>
      <c r="R4808" s="79">
        <f>IF(P4808&lt;&gt;"", TODAY(), "")</f>
        <v/>
      </c>
      <c r="S4808" s="78">
        <f>IF(AND(K4808&lt;&gt;"", R4808&lt;&gt;""), R4808-K4808, "")</f>
        <v/>
      </c>
      <c r="T4808" s="78" t="n"/>
      <c r="U4808" s="92">
        <f>IF(ISBLANK(P4808),"",IF(C4808="Buy",Q4808-M4808+T4808, IF(C4808="Sell",M4808-Q4808-T4808, X)))</f>
        <v/>
      </c>
      <c r="V4808" s="81">
        <f>IF(ISBLANK(P4808),"",U4808/N4808)</f>
        <v/>
      </c>
      <c r="W4808" s="81">
        <f>IF(ISBLANK(P4808),"",IF(S4808=0,(365/0.5)*V4808,(365/S4808)*V4808))</f>
        <v/>
      </c>
      <c r="X4808" s="75" t="n"/>
      <c r="Y4808" s="77" t="n"/>
      <c r="Z4808" s="77" t="n"/>
      <c r="AA4808" s="75" t="n"/>
      <c r="AB4808" s="75" t="n"/>
      <c r="AC4808" s="6" t="n"/>
      <c r="AD4808" s="75" t="n"/>
      <c r="AE4808" s="75" t="n"/>
      <c r="AF4808" s="75" t="n"/>
    </row>
    <row r="4809" ht="15.75" customHeight="1" s="133">
      <c r="A4809" s="75" t="n"/>
      <c r="B4809" s="75" t="n"/>
      <c r="C4809" s="75" t="n"/>
      <c r="D4809" s="75" t="n"/>
      <c r="E4809" s="76" t="n"/>
      <c r="F4809" s="77" t="n"/>
      <c r="G4809" s="75" t="n"/>
      <c r="H4809" s="75">
        <f>IF(ISBLANK(E4809),"",IF(OR(D4809="Butterfly",D4809="Butterfly ",D4809="Iron Fly", D4809="Iron Fly "),LEN(E4809)-LEN(SUBSTITUTE(E4809,"/",""))+2,LEN(E4809)-LEN(SUBSTITUTE(E4809,"/",""))+1))</f>
        <v/>
      </c>
      <c r="I4809" s="78">
        <f>IF(ISBLANK(G4809),"",IF(D4809="Stock","0",Key!$A$3*H4809*G4809))</f>
        <v/>
      </c>
      <c r="J4809" s="78">
        <f>IF(ISBLANK(E4809),"",IF(ISNUMBER(SEARCH("/",E4809)), IF(LEN(E4809)-LEN(SUBSTITUTE(E4809,"/",""))=1,(RIGHT(E4809,LEN(E4809)-FIND("/",E4809)))-(LEFT(E4809,FIND("/",E4809)-1)),(MID(E4809, SEARCH("/",E4809) + 1, SEARCH("/",E4809, SEARCH("/",E4809)+1) - SEARCH("/",E4809) - 1))-(LEFT(E4809,FIND("/",E4809)-1))), "NA"))</f>
        <v/>
      </c>
      <c r="K4809" s="79">
        <f>IF(A4809&lt;&gt;"", IF(ISBLANK(L4809), TODAY(), K4809), "")</f>
        <v/>
      </c>
      <c r="L4809" s="78" t="n"/>
      <c r="M4809" s="78">
        <f>IF(ISBLANK(L4809),"",IF(D4809="Stock",IF(C4809="Buy",L4809*G4809,IF(C4809="Sell",(L4809*G4809)-I4809, X)),IF(C4809="Buy",(L4809*G4809*100)+I4809,IF(C4809="Sell",(L4809*G4809*100)-I4809, X))))</f>
        <v/>
      </c>
      <c r="N4809" s="78">
        <f>IF(ISBLANK(L4809),"",IF(AND(C4809="Sell",D4809="Stock"),M4809,IF(ISBLANK(L4809),"",IF(C4809="Buy",M4809, IF(AND(C4809="Sell",J4809="NA"),(E4809*G4809*100*0.1)+I4809, IF(C4809="Sell",(J4809-L4809)*(100*G4809)+I4809))))))</f>
        <v/>
      </c>
      <c r="O4809" s="75" t="n"/>
      <c r="P4809" s="75" t="n"/>
      <c r="Q4809" s="75">
        <f>IF(ISBLANK(P4809),"",IF(D4809="Stock",P4809*G4809,IF(P4809=0,"0",G4809*P4809*100-(G4809*$AF$14))))</f>
        <v/>
      </c>
      <c r="R4809" s="79">
        <f>IF(P4809&lt;&gt;"", TODAY(), "")</f>
        <v/>
      </c>
      <c r="S4809" s="78">
        <f>IF(AND(K4809&lt;&gt;"", R4809&lt;&gt;""), R4809-K4809, "")</f>
        <v/>
      </c>
      <c r="T4809" s="78" t="n"/>
      <c r="U4809" s="92">
        <f>IF(ISBLANK(P4809),"",IF(C4809="Buy",Q4809-M4809+T4809, IF(C4809="Sell",M4809-Q4809-T4809, X)))</f>
        <v/>
      </c>
      <c r="V4809" s="81">
        <f>IF(ISBLANK(P4809),"",U4809/N4809)</f>
        <v/>
      </c>
      <c r="W4809" s="81">
        <f>IF(ISBLANK(P4809),"",IF(S4809=0,(365/0.5)*V4809,(365/S4809)*V4809))</f>
        <v/>
      </c>
      <c r="X4809" s="75" t="n"/>
      <c r="Y4809" s="77" t="n"/>
      <c r="Z4809" s="77" t="n"/>
      <c r="AA4809" s="75" t="n"/>
      <c r="AB4809" s="75" t="n"/>
      <c r="AC4809" s="6" t="n"/>
      <c r="AD4809" s="75" t="n"/>
      <c r="AE4809" s="75" t="n"/>
      <c r="AF4809" s="75" t="n"/>
    </row>
    <row r="4810" ht="15.75" customHeight="1" s="133">
      <c r="A4810" s="75" t="n"/>
      <c r="B4810" s="75" t="n"/>
      <c r="C4810" s="75" t="n"/>
      <c r="D4810" s="75" t="n"/>
      <c r="E4810" s="76" t="n"/>
      <c r="F4810" s="77" t="n"/>
      <c r="G4810" s="75" t="n"/>
      <c r="H4810" s="75">
        <f>IF(ISBLANK(E4810),"",IF(OR(D4810="Butterfly",D4810="Butterfly ",D4810="Iron Fly", D4810="Iron Fly "),LEN(E4810)-LEN(SUBSTITUTE(E4810,"/",""))+2,LEN(E4810)-LEN(SUBSTITUTE(E4810,"/",""))+1))</f>
        <v/>
      </c>
      <c r="I4810" s="78">
        <f>IF(ISBLANK(G4810),"",IF(D4810="Stock","0",Key!$A$3*H4810*G4810))</f>
        <v/>
      </c>
      <c r="J4810" s="78">
        <f>IF(ISBLANK(E4810),"",IF(ISNUMBER(SEARCH("/",E4810)), IF(LEN(E4810)-LEN(SUBSTITUTE(E4810,"/",""))=1,(RIGHT(E4810,LEN(E4810)-FIND("/",E4810)))-(LEFT(E4810,FIND("/",E4810)-1)),(MID(E4810, SEARCH("/",E4810) + 1, SEARCH("/",E4810, SEARCH("/",E4810)+1) - SEARCH("/",E4810) - 1))-(LEFT(E4810,FIND("/",E4810)-1))), "NA"))</f>
        <v/>
      </c>
      <c r="K4810" s="79">
        <f>IF(A4810&lt;&gt;"", IF(ISBLANK(L4810), TODAY(), K4810), "")</f>
        <v/>
      </c>
      <c r="L4810" s="78" t="n"/>
      <c r="M4810" s="78">
        <f>IF(ISBLANK(L4810),"",IF(D4810="Stock",IF(C4810="Buy",L4810*G4810,IF(C4810="Sell",(L4810*G4810)-I4810, X)),IF(C4810="Buy",(L4810*G4810*100)+I4810,IF(C4810="Sell",(L4810*G4810*100)-I4810, X))))</f>
        <v/>
      </c>
      <c r="N4810" s="78">
        <f>IF(ISBLANK(L4810),"",IF(AND(C4810="Sell",D4810="Stock"),M4810,IF(ISBLANK(L4810),"",IF(C4810="Buy",M4810, IF(AND(C4810="Sell",J4810="NA"),(E4810*G4810*100*0.1)+I4810, IF(C4810="Sell",(J4810-L4810)*(100*G4810)+I4810))))))</f>
        <v/>
      </c>
      <c r="O4810" s="75" t="n"/>
      <c r="P4810" s="75" t="n"/>
      <c r="Q4810" s="75">
        <f>IF(ISBLANK(P4810),"",IF(D4810="Stock",P4810*G4810,IF(P4810=0,"0",G4810*P4810*100-(G4810*$AF$14))))</f>
        <v/>
      </c>
      <c r="R4810" s="79">
        <f>IF(P4810&lt;&gt;"", TODAY(), "")</f>
        <v/>
      </c>
      <c r="S4810" s="78">
        <f>IF(AND(K4810&lt;&gt;"", R4810&lt;&gt;""), R4810-K4810, "")</f>
        <v/>
      </c>
      <c r="T4810" s="78" t="n"/>
      <c r="U4810" s="92">
        <f>IF(ISBLANK(P4810),"",IF(C4810="Buy",Q4810-M4810+T4810, IF(C4810="Sell",M4810-Q4810-T4810, X)))</f>
        <v/>
      </c>
      <c r="V4810" s="81">
        <f>IF(ISBLANK(P4810),"",U4810/N4810)</f>
        <v/>
      </c>
      <c r="W4810" s="81">
        <f>IF(ISBLANK(P4810),"",IF(S4810=0,(365/0.5)*V4810,(365/S4810)*V4810))</f>
        <v/>
      </c>
      <c r="X4810" s="75" t="n"/>
      <c r="Y4810" s="77" t="n"/>
      <c r="Z4810" s="77" t="n"/>
      <c r="AA4810" s="75" t="n"/>
      <c r="AB4810" s="75" t="n"/>
      <c r="AC4810" s="6" t="n"/>
      <c r="AD4810" s="75" t="n"/>
      <c r="AE4810" s="75" t="n"/>
      <c r="AF4810" s="75" t="n"/>
    </row>
    <row r="4811" ht="15.75" customHeight="1" s="133">
      <c r="A4811" s="75" t="n"/>
      <c r="B4811" s="75" t="n"/>
      <c r="C4811" s="75" t="n"/>
      <c r="D4811" s="75" t="n"/>
      <c r="E4811" s="76" t="n"/>
      <c r="F4811" s="77" t="n"/>
      <c r="G4811" s="75" t="n"/>
      <c r="H4811" s="75">
        <f>IF(ISBLANK(E4811),"",IF(OR(D4811="Butterfly",D4811="Butterfly ",D4811="Iron Fly", D4811="Iron Fly "),LEN(E4811)-LEN(SUBSTITUTE(E4811,"/",""))+2,LEN(E4811)-LEN(SUBSTITUTE(E4811,"/",""))+1))</f>
        <v/>
      </c>
      <c r="I4811" s="78">
        <f>IF(ISBLANK(G4811),"",IF(D4811="Stock","0",Key!$A$3*H4811*G4811))</f>
        <v/>
      </c>
      <c r="J4811" s="78">
        <f>IF(ISBLANK(E4811),"",IF(ISNUMBER(SEARCH("/",E4811)), IF(LEN(E4811)-LEN(SUBSTITUTE(E4811,"/",""))=1,(RIGHT(E4811,LEN(E4811)-FIND("/",E4811)))-(LEFT(E4811,FIND("/",E4811)-1)),(MID(E4811, SEARCH("/",E4811) + 1, SEARCH("/",E4811, SEARCH("/",E4811)+1) - SEARCH("/",E4811) - 1))-(LEFT(E4811,FIND("/",E4811)-1))), "NA"))</f>
        <v/>
      </c>
      <c r="K4811" s="79">
        <f>IF(A4811&lt;&gt;"", IF(ISBLANK(L4811), TODAY(), K4811), "")</f>
        <v/>
      </c>
      <c r="L4811" s="78" t="n"/>
      <c r="M4811" s="78">
        <f>IF(ISBLANK(L4811),"",IF(D4811="Stock",IF(C4811="Buy",L4811*G4811,IF(C4811="Sell",(L4811*G4811)-I4811, X)),IF(C4811="Buy",(L4811*G4811*100)+I4811,IF(C4811="Sell",(L4811*G4811*100)-I4811, X))))</f>
        <v/>
      </c>
      <c r="N4811" s="78">
        <f>IF(ISBLANK(L4811),"",IF(AND(C4811="Sell",D4811="Stock"),M4811,IF(ISBLANK(L4811),"",IF(C4811="Buy",M4811, IF(AND(C4811="Sell",J4811="NA"),(E4811*G4811*100*0.1)+I4811, IF(C4811="Sell",(J4811-L4811)*(100*G4811)+I4811))))))</f>
        <v/>
      </c>
      <c r="O4811" s="75" t="n"/>
      <c r="P4811" s="75" t="n"/>
      <c r="Q4811" s="75">
        <f>IF(ISBLANK(P4811),"",IF(D4811="Stock",P4811*G4811,IF(P4811=0,"0",G4811*P4811*100-(G4811*$AF$14))))</f>
        <v/>
      </c>
      <c r="R4811" s="79">
        <f>IF(P4811&lt;&gt;"", TODAY(), "")</f>
        <v/>
      </c>
      <c r="S4811" s="78">
        <f>IF(AND(K4811&lt;&gt;"", R4811&lt;&gt;""), R4811-K4811, "")</f>
        <v/>
      </c>
      <c r="T4811" s="78" t="n"/>
      <c r="U4811" s="92">
        <f>IF(ISBLANK(P4811),"",IF(C4811="Buy",Q4811-M4811+T4811, IF(C4811="Sell",M4811-Q4811-T4811, X)))</f>
        <v/>
      </c>
      <c r="V4811" s="81">
        <f>IF(ISBLANK(P4811),"",U4811/N4811)</f>
        <v/>
      </c>
      <c r="W4811" s="81">
        <f>IF(ISBLANK(P4811),"",IF(S4811=0,(365/0.5)*V4811,(365/S4811)*V4811))</f>
        <v/>
      </c>
      <c r="X4811" s="75" t="n"/>
      <c r="Y4811" s="77" t="n"/>
      <c r="Z4811" s="77" t="n"/>
      <c r="AA4811" s="75" t="n"/>
      <c r="AB4811" s="75" t="n"/>
      <c r="AC4811" s="6" t="n"/>
      <c r="AD4811" s="75" t="n"/>
      <c r="AE4811" s="75" t="n"/>
      <c r="AF4811" s="75" t="n"/>
    </row>
    <row r="4812" ht="15.75" customHeight="1" s="133">
      <c r="A4812" s="75" t="n"/>
      <c r="B4812" s="75" t="n"/>
      <c r="C4812" s="75" t="n"/>
      <c r="D4812" s="75" t="n"/>
      <c r="E4812" s="76" t="n"/>
      <c r="F4812" s="77" t="n"/>
      <c r="G4812" s="75" t="n"/>
      <c r="H4812" s="75">
        <f>IF(ISBLANK(E4812),"",IF(OR(D4812="Butterfly",D4812="Butterfly ",D4812="Iron Fly", D4812="Iron Fly "),LEN(E4812)-LEN(SUBSTITUTE(E4812,"/",""))+2,LEN(E4812)-LEN(SUBSTITUTE(E4812,"/",""))+1))</f>
        <v/>
      </c>
      <c r="I4812" s="78">
        <f>IF(ISBLANK(G4812),"",IF(D4812="Stock","0",Key!$A$3*H4812*G4812))</f>
        <v/>
      </c>
      <c r="J4812" s="78">
        <f>IF(ISBLANK(E4812),"",IF(ISNUMBER(SEARCH("/",E4812)), IF(LEN(E4812)-LEN(SUBSTITUTE(E4812,"/",""))=1,(RIGHT(E4812,LEN(E4812)-FIND("/",E4812)))-(LEFT(E4812,FIND("/",E4812)-1)),(MID(E4812, SEARCH("/",E4812) + 1, SEARCH("/",E4812, SEARCH("/",E4812)+1) - SEARCH("/",E4812) - 1))-(LEFT(E4812,FIND("/",E4812)-1))), "NA"))</f>
        <v/>
      </c>
      <c r="K4812" s="79">
        <f>IF(A4812&lt;&gt;"", IF(ISBLANK(L4812), TODAY(), K4812), "")</f>
        <v/>
      </c>
      <c r="L4812" s="78" t="n"/>
      <c r="M4812" s="78">
        <f>IF(ISBLANK(L4812),"",IF(D4812="Stock",IF(C4812="Buy",L4812*G4812,IF(C4812="Sell",(L4812*G4812)-I4812, X)),IF(C4812="Buy",(L4812*G4812*100)+I4812,IF(C4812="Sell",(L4812*G4812*100)-I4812, X))))</f>
        <v/>
      </c>
      <c r="N4812" s="78">
        <f>IF(ISBLANK(L4812),"",IF(AND(C4812="Sell",D4812="Stock"),M4812,IF(ISBLANK(L4812),"",IF(C4812="Buy",M4812, IF(AND(C4812="Sell",J4812="NA"),(E4812*G4812*100*0.1)+I4812, IF(C4812="Sell",(J4812-L4812)*(100*G4812)+I4812))))))</f>
        <v/>
      </c>
      <c r="O4812" s="75" t="n"/>
      <c r="P4812" s="75" t="n"/>
      <c r="Q4812" s="75">
        <f>IF(ISBLANK(P4812),"",IF(D4812="Stock",P4812*G4812,IF(P4812=0,"0",G4812*P4812*100-(G4812*$AF$14))))</f>
        <v/>
      </c>
      <c r="R4812" s="79">
        <f>IF(P4812&lt;&gt;"", TODAY(), "")</f>
        <v/>
      </c>
      <c r="S4812" s="78">
        <f>IF(AND(K4812&lt;&gt;"", R4812&lt;&gt;""), R4812-K4812, "")</f>
        <v/>
      </c>
      <c r="T4812" s="78" t="n"/>
      <c r="U4812" s="92">
        <f>IF(ISBLANK(P4812),"",IF(C4812="Buy",Q4812-M4812+T4812, IF(C4812="Sell",M4812-Q4812-T4812, X)))</f>
        <v/>
      </c>
      <c r="V4812" s="81">
        <f>IF(ISBLANK(P4812),"",U4812/N4812)</f>
        <v/>
      </c>
      <c r="W4812" s="81">
        <f>IF(ISBLANK(P4812),"",IF(S4812=0,(365/0.5)*V4812,(365/S4812)*V4812))</f>
        <v/>
      </c>
      <c r="X4812" s="75" t="n"/>
      <c r="Y4812" s="77" t="n"/>
      <c r="Z4812" s="77" t="n"/>
      <c r="AA4812" s="75" t="n"/>
      <c r="AB4812" s="75" t="n"/>
      <c r="AC4812" s="6" t="n"/>
      <c r="AD4812" s="75" t="n"/>
      <c r="AE4812" s="75" t="n"/>
      <c r="AF4812" s="75" t="n"/>
    </row>
    <row r="4813" ht="15.75" customHeight="1" s="133">
      <c r="A4813" s="75" t="n"/>
      <c r="B4813" s="75" t="n"/>
      <c r="C4813" s="75" t="n"/>
      <c r="D4813" s="75" t="n"/>
      <c r="E4813" s="76" t="n"/>
      <c r="F4813" s="77" t="n"/>
      <c r="G4813" s="75" t="n"/>
      <c r="H4813" s="75">
        <f>IF(ISBLANK(E4813),"",IF(OR(D4813="Butterfly",D4813="Butterfly ",D4813="Iron Fly", D4813="Iron Fly "),LEN(E4813)-LEN(SUBSTITUTE(E4813,"/",""))+2,LEN(E4813)-LEN(SUBSTITUTE(E4813,"/",""))+1))</f>
        <v/>
      </c>
      <c r="I4813" s="78">
        <f>IF(ISBLANK(G4813),"",IF(D4813="Stock","0",Key!$A$3*H4813*G4813))</f>
        <v/>
      </c>
      <c r="J4813" s="78">
        <f>IF(ISBLANK(E4813),"",IF(ISNUMBER(SEARCH("/",E4813)), IF(LEN(E4813)-LEN(SUBSTITUTE(E4813,"/",""))=1,(RIGHT(E4813,LEN(E4813)-FIND("/",E4813)))-(LEFT(E4813,FIND("/",E4813)-1)),(MID(E4813, SEARCH("/",E4813) + 1, SEARCH("/",E4813, SEARCH("/",E4813)+1) - SEARCH("/",E4813) - 1))-(LEFT(E4813,FIND("/",E4813)-1))), "NA"))</f>
        <v/>
      </c>
      <c r="K4813" s="79">
        <f>IF(A4813&lt;&gt;"", IF(ISBLANK(L4813), TODAY(), K4813), "")</f>
        <v/>
      </c>
      <c r="L4813" s="78" t="n"/>
      <c r="M4813" s="78">
        <f>IF(ISBLANK(L4813),"",IF(D4813="Stock",IF(C4813="Buy",L4813*G4813,IF(C4813="Sell",(L4813*G4813)-I4813, X)),IF(C4813="Buy",(L4813*G4813*100)+I4813,IF(C4813="Sell",(L4813*G4813*100)-I4813, X))))</f>
        <v/>
      </c>
      <c r="N4813" s="78">
        <f>IF(ISBLANK(L4813),"",IF(AND(C4813="Sell",D4813="Stock"),M4813,IF(ISBLANK(L4813),"",IF(C4813="Buy",M4813, IF(AND(C4813="Sell",J4813="NA"),(E4813*G4813*100*0.1)+I4813, IF(C4813="Sell",(J4813-L4813)*(100*G4813)+I4813))))))</f>
        <v/>
      </c>
      <c r="O4813" s="75" t="n"/>
      <c r="P4813" s="75" t="n"/>
      <c r="Q4813" s="75">
        <f>IF(ISBLANK(P4813),"",IF(D4813="Stock",P4813*G4813,IF(P4813=0,"0",G4813*P4813*100-(G4813*$AF$14))))</f>
        <v/>
      </c>
      <c r="R4813" s="79">
        <f>IF(P4813&lt;&gt;"", TODAY(), "")</f>
        <v/>
      </c>
      <c r="S4813" s="78">
        <f>IF(AND(K4813&lt;&gt;"", R4813&lt;&gt;""), R4813-K4813, "")</f>
        <v/>
      </c>
      <c r="T4813" s="78" t="n"/>
      <c r="U4813" s="92">
        <f>IF(ISBLANK(P4813),"",IF(C4813="Buy",Q4813-M4813+T4813, IF(C4813="Sell",M4813-Q4813-T4813, X)))</f>
        <v/>
      </c>
      <c r="V4813" s="81">
        <f>IF(ISBLANK(P4813),"",U4813/N4813)</f>
        <v/>
      </c>
      <c r="W4813" s="81">
        <f>IF(ISBLANK(P4813),"",IF(S4813=0,(365/0.5)*V4813,(365/S4813)*V4813))</f>
        <v/>
      </c>
      <c r="X4813" s="75" t="n"/>
      <c r="Y4813" s="77" t="n"/>
      <c r="Z4813" s="77" t="n"/>
      <c r="AA4813" s="75" t="n"/>
      <c r="AB4813" s="75" t="n"/>
      <c r="AC4813" s="6" t="n"/>
      <c r="AD4813" s="75" t="n"/>
      <c r="AE4813" s="75" t="n"/>
      <c r="AF4813" s="75" t="n"/>
    </row>
    <row r="4814" ht="15.75" customHeight="1" s="133">
      <c r="A4814" s="75" t="n"/>
      <c r="B4814" s="75" t="n"/>
      <c r="C4814" s="75" t="n"/>
      <c r="D4814" s="75" t="n"/>
      <c r="E4814" s="76" t="n"/>
      <c r="F4814" s="77" t="n"/>
      <c r="G4814" s="75" t="n"/>
      <c r="H4814" s="75">
        <f>IF(ISBLANK(E4814),"",IF(OR(D4814="Butterfly",D4814="Butterfly ",D4814="Iron Fly", D4814="Iron Fly "),LEN(E4814)-LEN(SUBSTITUTE(E4814,"/",""))+2,LEN(E4814)-LEN(SUBSTITUTE(E4814,"/",""))+1))</f>
        <v/>
      </c>
      <c r="I4814" s="78">
        <f>IF(ISBLANK(G4814),"",IF(D4814="Stock","0",Key!$A$3*H4814*G4814))</f>
        <v/>
      </c>
      <c r="J4814" s="78">
        <f>IF(ISBLANK(E4814),"",IF(ISNUMBER(SEARCH("/",E4814)), IF(LEN(E4814)-LEN(SUBSTITUTE(E4814,"/",""))=1,(RIGHT(E4814,LEN(E4814)-FIND("/",E4814)))-(LEFT(E4814,FIND("/",E4814)-1)),(MID(E4814, SEARCH("/",E4814) + 1, SEARCH("/",E4814, SEARCH("/",E4814)+1) - SEARCH("/",E4814) - 1))-(LEFT(E4814,FIND("/",E4814)-1))), "NA"))</f>
        <v/>
      </c>
      <c r="K4814" s="79">
        <f>IF(A4814&lt;&gt;"", IF(ISBLANK(L4814), TODAY(), K4814), "")</f>
        <v/>
      </c>
      <c r="L4814" s="78" t="n"/>
      <c r="M4814" s="78">
        <f>IF(ISBLANK(L4814),"",IF(D4814="Stock",IF(C4814="Buy",L4814*G4814,IF(C4814="Sell",(L4814*G4814)-I4814, X)),IF(C4814="Buy",(L4814*G4814*100)+I4814,IF(C4814="Sell",(L4814*G4814*100)-I4814, X))))</f>
        <v/>
      </c>
      <c r="N4814" s="78">
        <f>IF(ISBLANK(L4814),"",IF(AND(C4814="Sell",D4814="Stock"),M4814,IF(ISBLANK(L4814),"",IF(C4814="Buy",M4814, IF(AND(C4814="Sell",J4814="NA"),(E4814*G4814*100*0.1)+I4814, IF(C4814="Sell",(J4814-L4814)*(100*G4814)+I4814))))))</f>
        <v/>
      </c>
      <c r="O4814" s="75" t="n"/>
      <c r="P4814" s="75" t="n"/>
      <c r="Q4814" s="75">
        <f>IF(ISBLANK(P4814),"",IF(D4814="Stock",P4814*G4814,IF(P4814=0,"0",G4814*P4814*100-(G4814*$AF$14))))</f>
        <v/>
      </c>
      <c r="R4814" s="79">
        <f>IF(P4814&lt;&gt;"", TODAY(), "")</f>
        <v/>
      </c>
      <c r="S4814" s="78">
        <f>IF(AND(K4814&lt;&gt;"", R4814&lt;&gt;""), R4814-K4814, "")</f>
        <v/>
      </c>
      <c r="T4814" s="78" t="n"/>
      <c r="U4814" s="92">
        <f>IF(ISBLANK(P4814),"",IF(C4814="Buy",Q4814-M4814+T4814, IF(C4814="Sell",M4814-Q4814-T4814, X)))</f>
        <v/>
      </c>
      <c r="V4814" s="81">
        <f>IF(ISBLANK(P4814),"",U4814/N4814)</f>
        <v/>
      </c>
      <c r="W4814" s="81">
        <f>IF(ISBLANK(P4814),"",IF(S4814=0,(365/0.5)*V4814,(365/S4814)*V4814))</f>
        <v/>
      </c>
      <c r="X4814" s="75" t="n"/>
      <c r="Y4814" s="77" t="n"/>
      <c r="Z4814" s="77" t="n"/>
      <c r="AA4814" s="75" t="n"/>
      <c r="AB4814" s="75" t="n"/>
      <c r="AC4814" s="6" t="n"/>
      <c r="AD4814" s="75" t="n"/>
      <c r="AE4814" s="75" t="n"/>
      <c r="AF4814" s="75" t="n"/>
    </row>
    <row r="4815" ht="15.75" customHeight="1" s="133">
      <c r="A4815" s="75" t="n"/>
      <c r="B4815" s="75" t="n"/>
      <c r="C4815" s="75" t="n"/>
      <c r="D4815" s="75" t="n"/>
      <c r="E4815" s="76" t="n"/>
      <c r="F4815" s="77" t="n"/>
      <c r="G4815" s="75" t="n"/>
      <c r="H4815" s="75">
        <f>IF(ISBLANK(E4815),"",IF(OR(D4815="Butterfly",D4815="Butterfly ",D4815="Iron Fly", D4815="Iron Fly "),LEN(E4815)-LEN(SUBSTITUTE(E4815,"/",""))+2,LEN(E4815)-LEN(SUBSTITUTE(E4815,"/",""))+1))</f>
        <v/>
      </c>
      <c r="I4815" s="78">
        <f>IF(ISBLANK(G4815),"",IF(D4815="Stock","0",Key!$A$3*H4815*G4815))</f>
        <v/>
      </c>
      <c r="J4815" s="78">
        <f>IF(ISBLANK(E4815),"",IF(ISNUMBER(SEARCH("/",E4815)), IF(LEN(E4815)-LEN(SUBSTITUTE(E4815,"/",""))=1,(RIGHT(E4815,LEN(E4815)-FIND("/",E4815)))-(LEFT(E4815,FIND("/",E4815)-1)),(MID(E4815, SEARCH("/",E4815) + 1, SEARCH("/",E4815, SEARCH("/",E4815)+1) - SEARCH("/",E4815) - 1))-(LEFT(E4815,FIND("/",E4815)-1))), "NA"))</f>
        <v/>
      </c>
      <c r="K4815" s="79">
        <f>IF(A4815&lt;&gt;"", IF(ISBLANK(L4815), TODAY(), K4815), "")</f>
        <v/>
      </c>
      <c r="L4815" s="78" t="n"/>
      <c r="M4815" s="78">
        <f>IF(ISBLANK(L4815),"",IF(D4815="Stock",IF(C4815="Buy",L4815*G4815,IF(C4815="Sell",(L4815*G4815)-I4815, X)),IF(C4815="Buy",(L4815*G4815*100)+I4815,IF(C4815="Sell",(L4815*G4815*100)-I4815, X))))</f>
        <v/>
      </c>
      <c r="N4815" s="78">
        <f>IF(ISBLANK(L4815),"",IF(AND(C4815="Sell",D4815="Stock"),M4815,IF(ISBLANK(L4815),"",IF(C4815="Buy",M4815, IF(AND(C4815="Sell",J4815="NA"),(E4815*G4815*100*0.1)+I4815, IF(C4815="Sell",(J4815-L4815)*(100*G4815)+I4815))))))</f>
        <v/>
      </c>
      <c r="O4815" s="75" t="n"/>
      <c r="P4815" s="75" t="n"/>
      <c r="Q4815" s="75">
        <f>IF(ISBLANK(P4815),"",IF(D4815="Stock",P4815*G4815,IF(P4815=0,"0",G4815*P4815*100-(G4815*$AF$14))))</f>
        <v/>
      </c>
      <c r="R4815" s="79">
        <f>IF(P4815&lt;&gt;"", TODAY(), "")</f>
        <v/>
      </c>
      <c r="S4815" s="78">
        <f>IF(AND(K4815&lt;&gt;"", R4815&lt;&gt;""), R4815-K4815, "")</f>
        <v/>
      </c>
      <c r="T4815" s="78" t="n"/>
      <c r="U4815" s="92">
        <f>IF(ISBLANK(P4815),"",IF(C4815="Buy",Q4815-M4815+T4815, IF(C4815="Sell",M4815-Q4815-T4815, X)))</f>
        <v/>
      </c>
      <c r="V4815" s="81">
        <f>IF(ISBLANK(P4815),"",U4815/N4815)</f>
        <v/>
      </c>
      <c r="W4815" s="81">
        <f>IF(ISBLANK(P4815),"",IF(S4815=0,(365/0.5)*V4815,(365/S4815)*V4815))</f>
        <v/>
      </c>
      <c r="X4815" s="75" t="n"/>
      <c r="Y4815" s="77" t="n"/>
      <c r="Z4815" s="77" t="n"/>
      <c r="AA4815" s="75" t="n"/>
      <c r="AB4815" s="75" t="n"/>
      <c r="AC4815" s="6" t="n"/>
      <c r="AD4815" s="75" t="n"/>
      <c r="AE4815" s="75" t="n"/>
      <c r="AF4815" s="75" t="n"/>
    </row>
    <row r="4816" ht="15.75" customHeight="1" s="133">
      <c r="A4816" s="75" t="n"/>
      <c r="B4816" s="75" t="n"/>
      <c r="C4816" s="75" t="n"/>
      <c r="D4816" s="75" t="n"/>
      <c r="E4816" s="76" t="n"/>
      <c r="F4816" s="77" t="n"/>
      <c r="G4816" s="75" t="n"/>
      <c r="H4816" s="75">
        <f>IF(ISBLANK(E4816),"",IF(OR(D4816="Butterfly",D4816="Butterfly ",D4816="Iron Fly", D4816="Iron Fly "),LEN(E4816)-LEN(SUBSTITUTE(E4816,"/",""))+2,LEN(E4816)-LEN(SUBSTITUTE(E4816,"/",""))+1))</f>
        <v/>
      </c>
      <c r="I4816" s="78">
        <f>IF(ISBLANK(G4816),"",IF(D4816="Stock","0",Key!$A$3*H4816*G4816))</f>
        <v/>
      </c>
      <c r="J4816" s="78">
        <f>IF(ISBLANK(E4816),"",IF(ISNUMBER(SEARCH("/",E4816)), IF(LEN(E4816)-LEN(SUBSTITUTE(E4816,"/",""))=1,(RIGHT(E4816,LEN(E4816)-FIND("/",E4816)))-(LEFT(E4816,FIND("/",E4816)-1)),(MID(E4816, SEARCH("/",E4816) + 1, SEARCH("/",E4816, SEARCH("/",E4816)+1) - SEARCH("/",E4816) - 1))-(LEFT(E4816,FIND("/",E4816)-1))), "NA"))</f>
        <v/>
      </c>
      <c r="K4816" s="79">
        <f>IF(A4816&lt;&gt;"", IF(ISBLANK(L4816), TODAY(), K4816), "")</f>
        <v/>
      </c>
      <c r="L4816" s="78" t="n"/>
      <c r="M4816" s="78">
        <f>IF(ISBLANK(L4816),"",IF(D4816="Stock",IF(C4816="Buy",L4816*G4816,IF(C4816="Sell",(L4816*G4816)-I4816, X)),IF(C4816="Buy",(L4816*G4816*100)+I4816,IF(C4816="Sell",(L4816*G4816*100)-I4816, X))))</f>
        <v/>
      </c>
      <c r="N4816" s="78">
        <f>IF(ISBLANK(L4816),"",IF(AND(C4816="Sell",D4816="Stock"),M4816,IF(ISBLANK(L4816),"",IF(C4816="Buy",M4816, IF(AND(C4816="Sell",J4816="NA"),(E4816*G4816*100*0.1)+I4816, IF(C4816="Sell",(J4816-L4816)*(100*G4816)+I4816))))))</f>
        <v/>
      </c>
      <c r="O4816" s="75" t="n"/>
      <c r="P4816" s="75" t="n"/>
      <c r="Q4816" s="75">
        <f>IF(ISBLANK(P4816),"",IF(D4816="Stock",P4816*G4816,IF(P4816=0,"0",G4816*P4816*100-(G4816*$AF$14))))</f>
        <v/>
      </c>
      <c r="R4816" s="79">
        <f>IF(P4816&lt;&gt;"", TODAY(), "")</f>
        <v/>
      </c>
      <c r="S4816" s="78">
        <f>IF(AND(K4816&lt;&gt;"", R4816&lt;&gt;""), R4816-K4816, "")</f>
        <v/>
      </c>
      <c r="T4816" s="78" t="n"/>
      <c r="U4816" s="92">
        <f>IF(ISBLANK(P4816),"",IF(C4816="Buy",Q4816-M4816+T4816, IF(C4816="Sell",M4816-Q4816-T4816, X)))</f>
        <v/>
      </c>
      <c r="V4816" s="81">
        <f>IF(ISBLANK(P4816),"",U4816/N4816)</f>
        <v/>
      </c>
      <c r="W4816" s="81">
        <f>IF(ISBLANK(P4816),"",IF(S4816=0,(365/0.5)*V4816,(365/S4816)*V4816))</f>
        <v/>
      </c>
      <c r="X4816" s="75" t="n"/>
      <c r="Y4816" s="77" t="n"/>
      <c r="Z4816" s="77" t="n"/>
      <c r="AA4816" s="75" t="n"/>
      <c r="AB4816" s="75" t="n"/>
      <c r="AC4816" s="6" t="n"/>
      <c r="AD4816" s="75" t="n"/>
      <c r="AE4816" s="75" t="n"/>
      <c r="AF4816" s="75" t="n"/>
    </row>
    <row r="4817" ht="15.75" customHeight="1" s="133">
      <c r="A4817" s="75" t="n"/>
      <c r="B4817" s="75" t="n"/>
      <c r="C4817" s="75" t="n"/>
      <c r="D4817" s="75" t="n"/>
      <c r="E4817" s="76" t="n"/>
      <c r="F4817" s="77" t="n"/>
      <c r="G4817" s="75" t="n"/>
      <c r="H4817" s="75">
        <f>IF(ISBLANK(E4817),"",IF(OR(D4817="Butterfly",D4817="Butterfly ",D4817="Iron Fly", D4817="Iron Fly "),LEN(E4817)-LEN(SUBSTITUTE(E4817,"/",""))+2,LEN(E4817)-LEN(SUBSTITUTE(E4817,"/",""))+1))</f>
        <v/>
      </c>
      <c r="I4817" s="78">
        <f>IF(ISBLANK(G4817),"",IF(D4817="Stock","0",Key!$A$3*H4817*G4817))</f>
        <v/>
      </c>
      <c r="J4817" s="78">
        <f>IF(ISBLANK(E4817),"",IF(ISNUMBER(SEARCH("/",E4817)), IF(LEN(E4817)-LEN(SUBSTITUTE(E4817,"/",""))=1,(RIGHT(E4817,LEN(E4817)-FIND("/",E4817)))-(LEFT(E4817,FIND("/",E4817)-1)),(MID(E4817, SEARCH("/",E4817) + 1, SEARCH("/",E4817, SEARCH("/",E4817)+1) - SEARCH("/",E4817) - 1))-(LEFT(E4817,FIND("/",E4817)-1))), "NA"))</f>
        <v/>
      </c>
      <c r="K4817" s="79">
        <f>IF(A4817&lt;&gt;"", IF(ISBLANK(L4817), TODAY(), K4817), "")</f>
        <v/>
      </c>
      <c r="L4817" s="78" t="n"/>
      <c r="M4817" s="78">
        <f>IF(ISBLANK(L4817),"",IF(D4817="Stock",IF(C4817="Buy",L4817*G4817,IF(C4817="Sell",(L4817*G4817)-I4817, X)),IF(C4817="Buy",(L4817*G4817*100)+I4817,IF(C4817="Sell",(L4817*G4817*100)-I4817, X))))</f>
        <v/>
      </c>
      <c r="N4817" s="78">
        <f>IF(ISBLANK(L4817),"",IF(AND(C4817="Sell",D4817="Stock"),M4817,IF(ISBLANK(L4817),"",IF(C4817="Buy",M4817, IF(AND(C4817="Sell",J4817="NA"),(E4817*G4817*100*0.1)+I4817, IF(C4817="Sell",(J4817-L4817)*(100*G4817)+I4817))))))</f>
        <v/>
      </c>
      <c r="O4817" s="75" t="n"/>
      <c r="P4817" s="75" t="n"/>
      <c r="Q4817" s="75">
        <f>IF(ISBLANK(P4817),"",IF(D4817="Stock",P4817*G4817,IF(P4817=0,"0",G4817*P4817*100-(G4817*$AF$14))))</f>
        <v/>
      </c>
      <c r="R4817" s="79">
        <f>IF(P4817&lt;&gt;"", TODAY(), "")</f>
        <v/>
      </c>
      <c r="S4817" s="78">
        <f>IF(AND(K4817&lt;&gt;"", R4817&lt;&gt;""), R4817-K4817, "")</f>
        <v/>
      </c>
      <c r="T4817" s="78" t="n"/>
      <c r="U4817" s="92">
        <f>IF(ISBLANK(P4817),"",IF(C4817="Buy",Q4817-M4817+T4817, IF(C4817="Sell",M4817-Q4817-T4817, X)))</f>
        <v/>
      </c>
      <c r="V4817" s="81">
        <f>IF(ISBLANK(P4817),"",U4817/N4817)</f>
        <v/>
      </c>
      <c r="W4817" s="81">
        <f>IF(ISBLANK(P4817),"",IF(S4817=0,(365/0.5)*V4817,(365/S4817)*V4817))</f>
        <v/>
      </c>
      <c r="X4817" s="75" t="n"/>
      <c r="Y4817" s="77" t="n"/>
      <c r="Z4817" s="77" t="n"/>
      <c r="AA4817" s="75" t="n"/>
      <c r="AB4817" s="75" t="n"/>
      <c r="AC4817" s="6" t="n"/>
      <c r="AD4817" s="75" t="n"/>
      <c r="AE4817" s="75" t="n"/>
      <c r="AF4817" s="75" t="n"/>
    </row>
    <row r="4818" ht="15.75" customHeight="1" s="133">
      <c r="A4818" s="75" t="n"/>
      <c r="B4818" s="75" t="n"/>
      <c r="C4818" s="75" t="n"/>
      <c r="D4818" s="75" t="n"/>
      <c r="E4818" s="76" t="n"/>
      <c r="F4818" s="77" t="n"/>
      <c r="G4818" s="75" t="n"/>
      <c r="H4818" s="75">
        <f>IF(ISBLANK(E4818),"",IF(OR(D4818="Butterfly",D4818="Butterfly ",D4818="Iron Fly", D4818="Iron Fly "),LEN(E4818)-LEN(SUBSTITUTE(E4818,"/",""))+2,LEN(E4818)-LEN(SUBSTITUTE(E4818,"/",""))+1))</f>
        <v/>
      </c>
      <c r="I4818" s="78">
        <f>IF(ISBLANK(G4818),"",IF(D4818="Stock","0",Key!$A$3*H4818*G4818))</f>
        <v/>
      </c>
      <c r="J4818" s="78">
        <f>IF(ISBLANK(E4818),"",IF(ISNUMBER(SEARCH("/",E4818)), IF(LEN(E4818)-LEN(SUBSTITUTE(E4818,"/",""))=1,(RIGHT(E4818,LEN(E4818)-FIND("/",E4818)))-(LEFT(E4818,FIND("/",E4818)-1)),(MID(E4818, SEARCH("/",E4818) + 1, SEARCH("/",E4818, SEARCH("/",E4818)+1) - SEARCH("/",E4818) - 1))-(LEFT(E4818,FIND("/",E4818)-1))), "NA"))</f>
        <v/>
      </c>
      <c r="K4818" s="79">
        <f>IF(A4818&lt;&gt;"", IF(ISBLANK(L4818), TODAY(), K4818), "")</f>
        <v/>
      </c>
      <c r="L4818" s="78" t="n"/>
      <c r="M4818" s="78">
        <f>IF(ISBLANK(L4818),"",IF(D4818="Stock",IF(C4818="Buy",L4818*G4818,IF(C4818="Sell",(L4818*G4818)-I4818, X)),IF(C4818="Buy",(L4818*G4818*100)+I4818,IF(C4818="Sell",(L4818*G4818*100)-I4818, X))))</f>
        <v/>
      </c>
      <c r="N4818" s="78">
        <f>IF(ISBLANK(L4818),"",IF(AND(C4818="Sell",D4818="Stock"),M4818,IF(ISBLANK(L4818),"",IF(C4818="Buy",M4818, IF(AND(C4818="Sell",J4818="NA"),(E4818*G4818*100*0.1)+I4818, IF(C4818="Sell",(J4818-L4818)*(100*G4818)+I4818))))))</f>
        <v/>
      </c>
      <c r="O4818" s="75" t="n"/>
      <c r="P4818" s="75" t="n"/>
      <c r="Q4818" s="75">
        <f>IF(ISBLANK(P4818),"",IF(D4818="Stock",P4818*G4818,IF(P4818=0,"0",G4818*P4818*100-(G4818*$AF$14))))</f>
        <v/>
      </c>
      <c r="R4818" s="79">
        <f>IF(P4818&lt;&gt;"", TODAY(), "")</f>
        <v/>
      </c>
      <c r="S4818" s="78">
        <f>IF(AND(K4818&lt;&gt;"", R4818&lt;&gt;""), R4818-K4818, "")</f>
        <v/>
      </c>
      <c r="T4818" s="78" t="n"/>
      <c r="U4818" s="92">
        <f>IF(ISBLANK(P4818),"",IF(C4818="Buy",Q4818-M4818+T4818, IF(C4818="Sell",M4818-Q4818-T4818, X)))</f>
        <v/>
      </c>
      <c r="V4818" s="81">
        <f>IF(ISBLANK(P4818),"",U4818/N4818)</f>
        <v/>
      </c>
      <c r="W4818" s="81">
        <f>IF(ISBLANK(P4818),"",IF(S4818=0,(365/0.5)*V4818,(365/S4818)*V4818))</f>
        <v/>
      </c>
      <c r="X4818" s="75" t="n"/>
      <c r="Y4818" s="77" t="n"/>
      <c r="Z4818" s="77" t="n"/>
      <c r="AA4818" s="75" t="n"/>
      <c r="AB4818" s="75" t="n"/>
      <c r="AC4818" s="6" t="n"/>
      <c r="AD4818" s="75" t="n"/>
      <c r="AE4818" s="75" t="n"/>
      <c r="AF4818" s="75" t="n"/>
    </row>
    <row r="4819" ht="15.75" customHeight="1" s="133">
      <c r="A4819" s="75" t="n"/>
      <c r="B4819" s="75" t="n"/>
      <c r="C4819" s="75" t="n"/>
      <c r="D4819" s="75" t="n"/>
      <c r="E4819" s="76" t="n"/>
      <c r="F4819" s="77" t="n"/>
      <c r="G4819" s="75" t="n"/>
      <c r="H4819" s="75">
        <f>IF(ISBLANK(E4819),"",IF(OR(D4819="Butterfly",D4819="Butterfly ",D4819="Iron Fly", D4819="Iron Fly "),LEN(E4819)-LEN(SUBSTITUTE(E4819,"/",""))+2,LEN(E4819)-LEN(SUBSTITUTE(E4819,"/",""))+1))</f>
        <v/>
      </c>
      <c r="I4819" s="78">
        <f>IF(ISBLANK(G4819),"",IF(D4819="Stock","0",Key!$A$3*H4819*G4819))</f>
        <v/>
      </c>
      <c r="J4819" s="78">
        <f>IF(ISBLANK(E4819),"",IF(ISNUMBER(SEARCH("/",E4819)), IF(LEN(E4819)-LEN(SUBSTITUTE(E4819,"/",""))=1,(RIGHT(E4819,LEN(E4819)-FIND("/",E4819)))-(LEFT(E4819,FIND("/",E4819)-1)),(MID(E4819, SEARCH("/",E4819) + 1, SEARCH("/",E4819, SEARCH("/",E4819)+1) - SEARCH("/",E4819) - 1))-(LEFT(E4819,FIND("/",E4819)-1))), "NA"))</f>
        <v/>
      </c>
      <c r="K4819" s="79">
        <f>IF(A4819&lt;&gt;"", IF(ISBLANK(L4819), TODAY(), K4819), "")</f>
        <v/>
      </c>
      <c r="L4819" s="78" t="n"/>
      <c r="M4819" s="78">
        <f>IF(ISBLANK(L4819),"",IF(D4819="Stock",IF(C4819="Buy",L4819*G4819,IF(C4819="Sell",(L4819*G4819)-I4819, X)),IF(C4819="Buy",(L4819*G4819*100)+I4819,IF(C4819="Sell",(L4819*G4819*100)-I4819, X))))</f>
        <v/>
      </c>
      <c r="N4819" s="78">
        <f>IF(ISBLANK(L4819),"",IF(AND(C4819="Sell",D4819="Stock"),M4819,IF(ISBLANK(L4819),"",IF(C4819="Buy",M4819, IF(AND(C4819="Sell",J4819="NA"),(E4819*G4819*100*0.1)+I4819, IF(C4819="Sell",(J4819-L4819)*(100*G4819)+I4819))))))</f>
        <v/>
      </c>
      <c r="O4819" s="75" t="n"/>
      <c r="P4819" s="75" t="n"/>
      <c r="Q4819" s="75">
        <f>IF(ISBLANK(P4819),"",IF(D4819="Stock",P4819*G4819,IF(P4819=0,"0",G4819*P4819*100-(G4819*$AF$14))))</f>
        <v/>
      </c>
      <c r="R4819" s="79">
        <f>IF(P4819&lt;&gt;"", TODAY(), "")</f>
        <v/>
      </c>
      <c r="S4819" s="78">
        <f>IF(AND(K4819&lt;&gt;"", R4819&lt;&gt;""), R4819-K4819, "")</f>
        <v/>
      </c>
      <c r="T4819" s="78" t="n"/>
      <c r="U4819" s="92">
        <f>IF(ISBLANK(P4819),"",IF(C4819="Buy",Q4819-M4819+T4819, IF(C4819="Sell",M4819-Q4819-T4819, X)))</f>
        <v/>
      </c>
      <c r="V4819" s="81">
        <f>IF(ISBLANK(P4819),"",U4819/N4819)</f>
        <v/>
      </c>
      <c r="W4819" s="81">
        <f>IF(ISBLANK(P4819),"",IF(S4819=0,(365/0.5)*V4819,(365/S4819)*V4819))</f>
        <v/>
      </c>
      <c r="X4819" s="75" t="n"/>
      <c r="Y4819" s="77" t="n"/>
      <c r="Z4819" s="77" t="n"/>
      <c r="AA4819" s="75" t="n"/>
      <c r="AB4819" s="75" t="n"/>
      <c r="AC4819" s="6" t="n"/>
      <c r="AD4819" s="75" t="n"/>
      <c r="AE4819" s="75" t="n"/>
      <c r="AF4819" s="75" t="n"/>
    </row>
    <row r="4820" ht="15.75" customHeight="1" s="133">
      <c r="A4820" s="75" t="n"/>
      <c r="B4820" s="75" t="n"/>
      <c r="C4820" s="75" t="n"/>
      <c r="D4820" s="75" t="n"/>
      <c r="E4820" s="76" t="n"/>
      <c r="F4820" s="77" t="n"/>
      <c r="G4820" s="75" t="n"/>
      <c r="H4820" s="75">
        <f>IF(ISBLANK(E4820),"",IF(OR(D4820="Butterfly",D4820="Butterfly ",D4820="Iron Fly", D4820="Iron Fly "),LEN(E4820)-LEN(SUBSTITUTE(E4820,"/",""))+2,LEN(E4820)-LEN(SUBSTITUTE(E4820,"/",""))+1))</f>
        <v/>
      </c>
      <c r="I4820" s="78">
        <f>IF(ISBLANK(G4820),"",IF(D4820="Stock","0",Key!$A$3*H4820*G4820))</f>
        <v/>
      </c>
      <c r="J4820" s="78">
        <f>IF(ISBLANK(E4820),"",IF(ISNUMBER(SEARCH("/",E4820)), IF(LEN(E4820)-LEN(SUBSTITUTE(E4820,"/",""))=1,(RIGHT(E4820,LEN(E4820)-FIND("/",E4820)))-(LEFT(E4820,FIND("/",E4820)-1)),(MID(E4820, SEARCH("/",E4820) + 1, SEARCH("/",E4820, SEARCH("/",E4820)+1) - SEARCH("/",E4820) - 1))-(LEFT(E4820,FIND("/",E4820)-1))), "NA"))</f>
        <v/>
      </c>
      <c r="K4820" s="79">
        <f>IF(A4820&lt;&gt;"", IF(ISBLANK(L4820), TODAY(), K4820), "")</f>
        <v/>
      </c>
      <c r="L4820" s="78" t="n"/>
      <c r="M4820" s="78">
        <f>IF(ISBLANK(L4820),"",IF(D4820="Stock",IF(C4820="Buy",L4820*G4820,IF(C4820="Sell",(L4820*G4820)-I4820, X)),IF(C4820="Buy",(L4820*G4820*100)+I4820,IF(C4820="Sell",(L4820*G4820*100)-I4820, X))))</f>
        <v/>
      </c>
      <c r="N4820" s="78">
        <f>IF(ISBLANK(L4820),"",IF(AND(C4820="Sell",D4820="Stock"),M4820,IF(ISBLANK(L4820),"",IF(C4820="Buy",M4820, IF(AND(C4820="Sell",J4820="NA"),(E4820*G4820*100*0.1)+I4820, IF(C4820="Sell",(J4820-L4820)*(100*G4820)+I4820))))))</f>
        <v/>
      </c>
      <c r="O4820" s="75" t="n"/>
      <c r="P4820" s="75" t="n"/>
      <c r="Q4820" s="75">
        <f>IF(ISBLANK(P4820),"",IF(D4820="Stock",P4820*G4820,IF(P4820=0,"0",G4820*P4820*100-(G4820*$AF$14))))</f>
        <v/>
      </c>
      <c r="R4820" s="79">
        <f>IF(P4820&lt;&gt;"", TODAY(), "")</f>
        <v/>
      </c>
      <c r="S4820" s="78">
        <f>IF(AND(K4820&lt;&gt;"", R4820&lt;&gt;""), R4820-K4820, "")</f>
        <v/>
      </c>
      <c r="T4820" s="78" t="n"/>
      <c r="U4820" s="92">
        <f>IF(ISBLANK(P4820),"",IF(C4820="Buy",Q4820-M4820+T4820, IF(C4820="Sell",M4820-Q4820-T4820, X)))</f>
        <v/>
      </c>
      <c r="V4820" s="81">
        <f>IF(ISBLANK(P4820),"",U4820/N4820)</f>
        <v/>
      </c>
      <c r="W4820" s="81">
        <f>IF(ISBLANK(P4820),"",IF(S4820=0,(365/0.5)*V4820,(365/S4820)*V4820))</f>
        <v/>
      </c>
      <c r="X4820" s="75" t="n"/>
      <c r="Y4820" s="77" t="n"/>
      <c r="Z4820" s="77" t="n"/>
      <c r="AA4820" s="75" t="n"/>
      <c r="AB4820" s="75" t="n"/>
      <c r="AC4820" s="6" t="n"/>
      <c r="AD4820" s="75" t="n"/>
      <c r="AE4820" s="75" t="n"/>
      <c r="AF4820" s="75" t="n"/>
    </row>
    <row r="4821" ht="15.75" customHeight="1" s="133">
      <c r="A4821" s="75" t="n"/>
      <c r="B4821" s="75" t="n"/>
      <c r="C4821" s="75" t="n"/>
      <c r="D4821" s="75" t="n"/>
      <c r="E4821" s="76" t="n"/>
      <c r="F4821" s="77" t="n"/>
      <c r="G4821" s="75" t="n"/>
      <c r="H4821" s="75">
        <f>IF(ISBLANK(E4821),"",IF(OR(D4821="Butterfly",D4821="Butterfly ",D4821="Iron Fly", D4821="Iron Fly "),LEN(E4821)-LEN(SUBSTITUTE(E4821,"/",""))+2,LEN(E4821)-LEN(SUBSTITUTE(E4821,"/",""))+1))</f>
        <v/>
      </c>
      <c r="I4821" s="78">
        <f>IF(ISBLANK(G4821),"",IF(D4821="Stock","0",Key!$A$3*H4821*G4821))</f>
        <v/>
      </c>
      <c r="J4821" s="78">
        <f>IF(ISBLANK(E4821),"",IF(ISNUMBER(SEARCH("/",E4821)), IF(LEN(E4821)-LEN(SUBSTITUTE(E4821,"/",""))=1,(RIGHT(E4821,LEN(E4821)-FIND("/",E4821)))-(LEFT(E4821,FIND("/",E4821)-1)),(MID(E4821, SEARCH("/",E4821) + 1, SEARCH("/",E4821, SEARCH("/",E4821)+1) - SEARCH("/",E4821) - 1))-(LEFT(E4821,FIND("/",E4821)-1))), "NA"))</f>
        <v/>
      </c>
      <c r="K4821" s="79">
        <f>IF(A4821&lt;&gt;"", IF(ISBLANK(L4821), TODAY(), K4821), "")</f>
        <v/>
      </c>
      <c r="L4821" s="78" t="n"/>
      <c r="M4821" s="78">
        <f>IF(ISBLANK(L4821),"",IF(D4821="Stock",IF(C4821="Buy",L4821*G4821,IF(C4821="Sell",(L4821*G4821)-I4821, X)),IF(C4821="Buy",(L4821*G4821*100)+I4821,IF(C4821="Sell",(L4821*G4821*100)-I4821, X))))</f>
        <v/>
      </c>
      <c r="N4821" s="78">
        <f>IF(ISBLANK(L4821),"",IF(AND(C4821="Sell",D4821="Stock"),M4821,IF(ISBLANK(L4821),"",IF(C4821="Buy",M4821, IF(AND(C4821="Sell",J4821="NA"),(E4821*G4821*100*0.1)+I4821, IF(C4821="Sell",(J4821-L4821)*(100*G4821)+I4821))))))</f>
        <v/>
      </c>
      <c r="O4821" s="75" t="n"/>
      <c r="P4821" s="75" t="n"/>
      <c r="Q4821" s="75">
        <f>IF(ISBLANK(P4821),"",IF(D4821="Stock",P4821*G4821,IF(P4821=0,"0",G4821*P4821*100-(G4821*$AF$14))))</f>
        <v/>
      </c>
      <c r="R4821" s="79">
        <f>IF(P4821&lt;&gt;"", TODAY(), "")</f>
        <v/>
      </c>
      <c r="S4821" s="78">
        <f>IF(AND(K4821&lt;&gt;"", R4821&lt;&gt;""), R4821-K4821, "")</f>
        <v/>
      </c>
      <c r="T4821" s="78" t="n"/>
      <c r="U4821" s="92">
        <f>IF(ISBLANK(P4821),"",IF(C4821="Buy",Q4821-M4821+T4821, IF(C4821="Sell",M4821-Q4821-T4821, X)))</f>
        <v/>
      </c>
      <c r="V4821" s="81">
        <f>IF(ISBLANK(P4821),"",U4821/N4821)</f>
        <v/>
      </c>
      <c r="W4821" s="81">
        <f>IF(ISBLANK(P4821),"",IF(S4821=0,(365/0.5)*V4821,(365/S4821)*V4821))</f>
        <v/>
      </c>
      <c r="X4821" s="75" t="n"/>
      <c r="Y4821" s="77" t="n"/>
      <c r="Z4821" s="77" t="n"/>
      <c r="AA4821" s="75" t="n"/>
      <c r="AB4821" s="75" t="n"/>
      <c r="AC4821" s="6" t="n"/>
      <c r="AD4821" s="75" t="n"/>
      <c r="AE4821" s="75" t="n"/>
      <c r="AF4821" s="75" t="n"/>
    </row>
    <row r="4822" ht="15.75" customHeight="1" s="133">
      <c r="A4822" s="75" t="n"/>
      <c r="B4822" s="75" t="n"/>
      <c r="C4822" s="75" t="n"/>
      <c r="D4822" s="75" t="n"/>
      <c r="E4822" s="76" t="n"/>
      <c r="F4822" s="77" t="n"/>
      <c r="G4822" s="75" t="n"/>
      <c r="H4822" s="75">
        <f>IF(ISBLANK(E4822),"",IF(OR(D4822="Butterfly",D4822="Butterfly ",D4822="Iron Fly", D4822="Iron Fly "),LEN(E4822)-LEN(SUBSTITUTE(E4822,"/",""))+2,LEN(E4822)-LEN(SUBSTITUTE(E4822,"/",""))+1))</f>
        <v/>
      </c>
      <c r="I4822" s="78">
        <f>IF(ISBLANK(G4822),"",IF(D4822="Stock","0",Key!$A$3*H4822*G4822))</f>
        <v/>
      </c>
      <c r="J4822" s="78">
        <f>IF(ISBLANK(E4822),"",IF(ISNUMBER(SEARCH("/",E4822)), IF(LEN(E4822)-LEN(SUBSTITUTE(E4822,"/",""))=1,(RIGHT(E4822,LEN(E4822)-FIND("/",E4822)))-(LEFT(E4822,FIND("/",E4822)-1)),(MID(E4822, SEARCH("/",E4822) + 1, SEARCH("/",E4822, SEARCH("/",E4822)+1) - SEARCH("/",E4822) - 1))-(LEFT(E4822,FIND("/",E4822)-1))), "NA"))</f>
        <v/>
      </c>
      <c r="K4822" s="79">
        <f>IF(A4822&lt;&gt;"", IF(ISBLANK(L4822), TODAY(), K4822), "")</f>
        <v/>
      </c>
      <c r="L4822" s="78" t="n"/>
      <c r="M4822" s="78">
        <f>IF(ISBLANK(L4822),"",IF(D4822="Stock",IF(C4822="Buy",L4822*G4822,IF(C4822="Sell",(L4822*G4822)-I4822, X)),IF(C4822="Buy",(L4822*G4822*100)+I4822,IF(C4822="Sell",(L4822*G4822*100)-I4822, X))))</f>
        <v/>
      </c>
      <c r="N4822" s="78">
        <f>IF(ISBLANK(L4822),"",IF(AND(C4822="Sell",D4822="Stock"),M4822,IF(ISBLANK(L4822),"",IF(C4822="Buy",M4822, IF(AND(C4822="Sell",J4822="NA"),(E4822*G4822*100*0.1)+I4822, IF(C4822="Sell",(J4822-L4822)*(100*G4822)+I4822))))))</f>
        <v/>
      </c>
      <c r="O4822" s="75" t="n"/>
      <c r="P4822" s="75" t="n"/>
      <c r="Q4822" s="75">
        <f>IF(ISBLANK(P4822),"",IF(D4822="Stock",P4822*G4822,IF(P4822=0,"0",G4822*P4822*100-(G4822*$AF$14))))</f>
        <v/>
      </c>
      <c r="R4822" s="79">
        <f>IF(P4822&lt;&gt;"", TODAY(), "")</f>
        <v/>
      </c>
      <c r="S4822" s="78">
        <f>IF(AND(K4822&lt;&gt;"", R4822&lt;&gt;""), R4822-K4822, "")</f>
        <v/>
      </c>
      <c r="T4822" s="78" t="n"/>
      <c r="U4822" s="92">
        <f>IF(ISBLANK(P4822),"",IF(C4822="Buy",Q4822-M4822+T4822, IF(C4822="Sell",M4822-Q4822-T4822, X)))</f>
        <v/>
      </c>
      <c r="V4822" s="81">
        <f>IF(ISBLANK(P4822),"",U4822/N4822)</f>
        <v/>
      </c>
      <c r="W4822" s="81">
        <f>IF(ISBLANK(P4822),"",IF(S4822=0,(365/0.5)*V4822,(365/S4822)*V4822))</f>
        <v/>
      </c>
      <c r="X4822" s="75" t="n"/>
      <c r="Y4822" s="77" t="n"/>
      <c r="Z4822" s="77" t="n"/>
      <c r="AA4822" s="75" t="n"/>
      <c r="AB4822" s="75" t="n"/>
      <c r="AC4822" s="6" t="n"/>
      <c r="AD4822" s="75" t="n"/>
      <c r="AE4822" s="75" t="n"/>
      <c r="AF4822" s="75" t="n"/>
    </row>
    <row r="4823" ht="15.75" customHeight="1" s="133">
      <c r="A4823" s="75" t="n"/>
      <c r="B4823" s="75" t="n"/>
      <c r="C4823" s="75" t="n"/>
      <c r="D4823" s="75" t="n"/>
      <c r="E4823" s="76" t="n"/>
      <c r="F4823" s="77" t="n"/>
      <c r="G4823" s="75" t="n"/>
      <c r="H4823" s="75">
        <f>IF(ISBLANK(E4823),"",IF(OR(D4823="Butterfly",D4823="Butterfly ",D4823="Iron Fly", D4823="Iron Fly "),LEN(E4823)-LEN(SUBSTITUTE(E4823,"/",""))+2,LEN(E4823)-LEN(SUBSTITUTE(E4823,"/",""))+1))</f>
        <v/>
      </c>
      <c r="I4823" s="78">
        <f>IF(ISBLANK(G4823),"",IF(D4823="Stock","0",Key!$A$3*H4823*G4823))</f>
        <v/>
      </c>
      <c r="J4823" s="78">
        <f>IF(ISBLANK(E4823),"",IF(ISNUMBER(SEARCH("/",E4823)), IF(LEN(E4823)-LEN(SUBSTITUTE(E4823,"/",""))=1,(RIGHT(E4823,LEN(E4823)-FIND("/",E4823)))-(LEFT(E4823,FIND("/",E4823)-1)),(MID(E4823, SEARCH("/",E4823) + 1, SEARCH("/",E4823, SEARCH("/",E4823)+1) - SEARCH("/",E4823) - 1))-(LEFT(E4823,FIND("/",E4823)-1))), "NA"))</f>
        <v/>
      </c>
      <c r="K4823" s="79">
        <f>IF(A4823&lt;&gt;"", IF(ISBLANK(L4823), TODAY(), K4823), "")</f>
        <v/>
      </c>
      <c r="L4823" s="78" t="n"/>
      <c r="M4823" s="78">
        <f>IF(ISBLANK(L4823),"",IF(D4823="Stock",IF(C4823="Buy",L4823*G4823,IF(C4823="Sell",(L4823*G4823)-I4823, X)),IF(C4823="Buy",(L4823*G4823*100)+I4823,IF(C4823="Sell",(L4823*G4823*100)-I4823, X))))</f>
        <v/>
      </c>
      <c r="N4823" s="78">
        <f>IF(ISBLANK(L4823),"",IF(AND(C4823="Sell",D4823="Stock"),M4823,IF(ISBLANK(L4823),"",IF(C4823="Buy",M4823, IF(AND(C4823="Sell",J4823="NA"),(E4823*G4823*100*0.1)+I4823, IF(C4823="Sell",(J4823-L4823)*(100*G4823)+I4823))))))</f>
        <v/>
      </c>
      <c r="O4823" s="75" t="n"/>
      <c r="P4823" s="75" t="n"/>
      <c r="Q4823" s="75">
        <f>IF(ISBLANK(P4823),"",IF(D4823="Stock",P4823*G4823,IF(P4823=0,"0",G4823*P4823*100-(G4823*$AF$14))))</f>
        <v/>
      </c>
      <c r="R4823" s="79">
        <f>IF(P4823&lt;&gt;"", TODAY(), "")</f>
        <v/>
      </c>
      <c r="S4823" s="78">
        <f>IF(AND(K4823&lt;&gt;"", R4823&lt;&gt;""), R4823-K4823, "")</f>
        <v/>
      </c>
      <c r="T4823" s="78" t="n"/>
      <c r="U4823" s="92">
        <f>IF(ISBLANK(P4823),"",IF(C4823="Buy",Q4823-M4823+T4823, IF(C4823="Sell",M4823-Q4823-T4823, X)))</f>
        <v/>
      </c>
      <c r="V4823" s="81">
        <f>IF(ISBLANK(P4823),"",U4823/N4823)</f>
        <v/>
      </c>
      <c r="W4823" s="81">
        <f>IF(ISBLANK(P4823),"",IF(S4823=0,(365/0.5)*V4823,(365/S4823)*V4823))</f>
        <v/>
      </c>
      <c r="X4823" s="75" t="n"/>
      <c r="Y4823" s="77" t="n"/>
      <c r="Z4823" s="77" t="n"/>
      <c r="AA4823" s="75" t="n"/>
      <c r="AB4823" s="75" t="n"/>
      <c r="AC4823" s="6" t="n"/>
      <c r="AD4823" s="75" t="n"/>
      <c r="AE4823" s="75" t="n"/>
      <c r="AF4823" s="75" t="n"/>
    </row>
    <row r="4824" ht="15.75" customHeight="1" s="133">
      <c r="A4824" s="75" t="n"/>
      <c r="B4824" s="75" t="n"/>
      <c r="C4824" s="75" t="n"/>
      <c r="D4824" s="75" t="n"/>
      <c r="E4824" s="76" t="n"/>
      <c r="F4824" s="77" t="n"/>
      <c r="G4824" s="75" t="n"/>
      <c r="H4824" s="75">
        <f>IF(ISBLANK(E4824),"",IF(OR(D4824="Butterfly",D4824="Butterfly ",D4824="Iron Fly", D4824="Iron Fly "),LEN(E4824)-LEN(SUBSTITUTE(E4824,"/",""))+2,LEN(E4824)-LEN(SUBSTITUTE(E4824,"/",""))+1))</f>
        <v/>
      </c>
      <c r="I4824" s="78">
        <f>IF(ISBLANK(G4824),"",IF(D4824="Stock","0",Key!$A$3*H4824*G4824))</f>
        <v/>
      </c>
      <c r="J4824" s="78">
        <f>IF(ISBLANK(E4824),"",IF(ISNUMBER(SEARCH("/",E4824)), IF(LEN(E4824)-LEN(SUBSTITUTE(E4824,"/",""))=1,(RIGHT(E4824,LEN(E4824)-FIND("/",E4824)))-(LEFT(E4824,FIND("/",E4824)-1)),(MID(E4824, SEARCH("/",E4824) + 1, SEARCH("/",E4824, SEARCH("/",E4824)+1) - SEARCH("/",E4824) - 1))-(LEFT(E4824,FIND("/",E4824)-1))), "NA"))</f>
        <v/>
      </c>
      <c r="K4824" s="79">
        <f>IF(A4824&lt;&gt;"", IF(ISBLANK(L4824), TODAY(), K4824), "")</f>
        <v/>
      </c>
      <c r="L4824" s="78" t="n"/>
      <c r="M4824" s="78">
        <f>IF(ISBLANK(L4824),"",IF(D4824="Stock",IF(C4824="Buy",L4824*G4824,IF(C4824="Sell",(L4824*G4824)-I4824, X)),IF(C4824="Buy",(L4824*G4824*100)+I4824,IF(C4824="Sell",(L4824*G4824*100)-I4824, X))))</f>
        <v/>
      </c>
      <c r="N4824" s="78">
        <f>IF(ISBLANK(L4824),"",IF(AND(C4824="Sell",D4824="Stock"),M4824,IF(ISBLANK(L4824),"",IF(C4824="Buy",M4824, IF(AND(C4824="Sell",J4824="NA"),(E4824*G4824*100*0.1)+I4824, IF(C4824="Sell",(J4824-L4824)*(100*G4824)+I4824))))))</f>
        <v/>
      </c>
      <c r="O4824" s="75" t="n"/>
      <c r="P4824" s="75" t="n"/>
      <c r="Q4824" s="75">
        <f>IF(ISBLANK(P4824),"",IF(D4824="Stock",P4824*G4824,IF(P4824=0,"0",G4824*P4824*100-(G4824*$AF$14))))</f>
        <v/>
      </c>
      <c r="R4824" s="79">
        <f>IF(P4824&lt;&gt;"", TODAY(), "")</f>
        <v/>
      </c>
      <c r="S4824" s="78">
        <f>IF(AND(K4824&lt;&gt;"", R4824&lt;&gt;""), R4824-K4824, "")</f>
        <v/>
      </c>
      <c r="T4824" s="78" t="n"/>
      <c r="U4824" s="92">
        <f>IF(ISBLANK(P4824),"",IF(C4824="Buy",Q4824-M4824+T4824, IF(C4824="Sell",M4824-Q4824-T4824, X)))</f>
        <v/>
      </c>
      <c r="V4824" s="81">
        <f>IF(ISBLANK(P4824),"",U4824/N4824)</f>
        <v/>
      </c>
      <c r="W4824" s="81">
        <f>IF(ISBLANK(P4824),"",IF(S4824=0,(365/0.5)*V4824,(365/S4824)*V4824))</f>
        <v/>
      </c>
      <c r="X4824" s="75" t="n"/>
      <c r="Y4824" s="77" t="n"/>
      <c r="Z4824" s="77" t="n"/>
      <c r="AA4824" s="75" t="n"/>
      <c r="AB4824" s="75" t="n"/>
      <c r="AC4824" s="6" t="n"/>
      <c r="AD4824" s="75" t="n"/>
      <c r="AE4824" s="75" t="n"/>
      <c r="AF4824" s="75" t="n"/>
    </row>
    <row r="4825" ht="15.75" customHeight="1" s="133">
      <c r="A4825" s="75" t="n"/>
      <c r="B4825" s="75" t="n"/>
      <c r="C4825" s="75" t="n"/>
      <c r="D4825" s="75" t="n"/>
      <c r="E4825" s="76" t="n"/>
      <c r="F4825" s="77" t="n"/>
      <c r="G4825" s="75" t="n"/>
      <c r="H4825" s="75">
        <f>IF(ISBLANK(E4825),"",IF(OR(D4825="Butterfly",D4825="Butterfly ",D4825="Iron Fly", D4825="Iron Fly "),LEN(E4825)-LEN(SUBSTITUTE(E4825,"/",""))+2,LEN(E4825)-LEN(SUBSTITUTE(E4825,"/",""))+1))</f>
        <v/>
      </c>
      <c r="I4825" s="78">
        <f>IF(ISBLANK(G4825),"",IF(D4825="Stock","0",Key!$A$3*H4825*G4825))</f>
        <v/>
      </c>
      <c r="J4825" s="78">
        <f>IF(ISBLANK(E4825),"",IF(ISNUMBER(SEARCH("/",E4825)), IF(LEN(E4825)-LEN(SUBSTITUTE(E4825,"/",""))=1,(RIGHT(E4825,LEN(E4825)-FIND("/",E4825)))-(LEFT(E4825,FIND("/",E4825)-1)),(MID(E4825, SEARCH("/",E4825) + 1, SEARCH("/",E4825, SEARCH("/",E4825)+1) - SEARCH("/",E4825) - 1))-(LEFT(E4825,FIND("/",E4825)-1))), "NA"))</f>
        <v/>
      </c>
      <c r="K4825" s="79">
        <f>IF(A4825&lt;&gt;"", IF(ISBLANK(L4825), TODAY(), K4825), "")</f>
        <v/>
      </c>
      <c r="L4825" s="78" t="n"/>
      <c r="M4825" s="78">
        <f>IF(ISBLANK(L4825),"",IF(D4825="Stock",IF(C4825="Buy",L4825*G4825,IF(C4825="Sell",(L4825*G4825)-I4825, X)),IF(C4825="Buy",(L4825*G4825*100)+I4825,IF(C4825="Sell",(L4825*G4825*100)-I4825, X))))</f>
        <v/>
      </c>
      <c r="N4825" s="78">
        <f>IF(ISBLANK(L4825),"",IF(AND(C4825="Sell",D4825="Stock"),M4825,IF(ISBLANK(L4825),"",IF(C4825="Buy",M4825, IF(AND(C4825="Sell",J4825="NA"),(E4825*G4825*100*0.1)+I4825, IF(C4825="Sell",(J4825-L4825)*(100*G4825)+I4825))))))</f>
        <v/>
      </c>
      <c r="O4825" s="75" t="n"/>
      <c r="P4825" s="75" t="n"/>
      <c r="Q4825" s="75">
        <f>IF(ISBLANK(P4825),"",IF(D4825="Stock",P4825*G4825,IF(P4825=0,"0",G4825*P4825*100-(G4825*$AF$14))))</f>
        <v/>
      </c>
      <c r="R4825" s="79">
        <f>IF(P4825&lt;&gt;"", TODAY(), "")</f>
        <v/>
      </c>
      <c r="S4825" s="78">
        <f>IF(AND(K4825&lt;&gt;"", R4825&lt;&gt;""), R4825-K4825, "")</f>
        <v/>
      </c>
      <c r="T4825" s="78" t="n"/>
      <c r="U4825" s="92">
        <f>IF(ISBLANK(P4825),"",IF(C4825="Buy",Q4825-M4825+T4825, IF(C4825="Sell",M4825-Q4825-T4825, X)))</f>
        <v/>
      </c>
      <c r="V4825" s="81">
        <f>IF(ISBLANK(P4825),"",U4825/N4825)</f>
        <v/>
      </c>
      <c r="W4825" s="81">
        <f>IF(ISBLANK(P4825),"",IF(S4825=0,(365/0.5)*V4825,(365/S4825)*V4825))</f>
        <v/>
      </c>
      <c r="X4825" s="75" t="n"/>
      <c r="Y4825" s="77" t="n"/>
      <c r="Z4825" s="77" t="n"/>
      <c r="AA4825" s="75" t="n"/>
      <c r="AB4825" s="75" t="n"/>
      <c r="AC4825" s="6" t="n"/>
      <c r="AD4825" s="75" t="n"/>
      <c r="AE4825" s="75" t="n"/>
      <c r="AF4825" s="75" t="n"/>
    </row>
    <row r="4826" ht="15.75" customHeight="1" s="133">
      <c r="A4826" s="75" t="n"/>
      <c r="B4826" s="75" t="n"/>
      <c r="C4826" s="75" t="n"/>
      <c r="D4826" s="75" t="n"/>
      <c r="E4826" s="76" t="n"/>
      <c r="F4826" s="77" t="n"/>
      <c r="G4826" s="75" t="n"/>
      <c r="H4826" s="75">
        <f>IF(ISBLANK(E4826),"",IF(OR(D4826="Butterfly",D4826="Butterfly ",D4826="Iron Fly", D4826="Iron Fly "),LEN(E4826)-LEN(SUBSTITUTE(E4826,"/",""))+2,LEN(E4826)-LEN(SUBSTITUTE(E4826,"/",""))+1))</f>
        <v/>
      </c>
      <c r="I4826" s="78">
        <f>IF(ISBLANK(G4826),"",IF(D4826="Stock","0",Key!$A$3*H4826*G4826))</f>
        <v/>
      </c>
      <c r="J4826" s="78">
        <f>IF(ISBLANK(E4826),"",IF(ISNUMBER(SEARCH("/",E4826)), IF(LEN(E4826)-LEN(SUBSTITUTE(E4826,"/",""))=1,(RIGHT(E4826,LEN(E4826)-FIND("/",E4826)))-(LEFT(E4826,FIND("/",E4826)-1)),(MID(E4826, SEARCH("/",E4826) + 1, SEARCH("/",E4826, SEARCH("/",E4826)+1) - SEARCH("/",E4826) - 1))-(LEFT(E4826,FIND("/",E4826)-1))), "NA"))</f>
        <v/>
      </c>
      <c r="K4826" s="79">
        <f>IF(A4826&lt;&gt;"", IF(ISBLANK(L4826), TODAY(), K4826), "")</f>
        <v/>
      </c>
      <c r="L4826" s="78" t="n"/>
      <c r="M4826" s="78">
        <f>IF(ISBLANK(L4826),"",IF(D4826="Stock",IF(C4826="Buy",L4826*G4826,IF(C4826="Sell",(L4826*G4826)-I4826, X)),IF(C4826="Buy",(L4826*G4826*100)+I4826,IF(C4826="Sell",(L4826*G4826*100)-I4826, X))))</f>
        <v/>
      </c>
      <c r="N4826" s="78">
        <f>IF(ISBLANK(L4826),"",IF(AND(C4826="Sell",D4826="Stock"),M4826,IF(ISBLANK(L4826),"",IF(C4826="Buy",M4826, IF(AND(C4826="Sell",J4826="NA"),(E4826*G4826*100*0.1)+I4826, IF(C4826="Sell",(J4826-L4826)*(100*G4826)+I4826))))))</f>
        <v/>
      </c>
      <c r="O4826" s="75" t="n"/>
      <c r="P4826" s="75" t="n"/>
      <c r="Q4826" s="75">
        <f>IF(ISBLANK(P4826),"",IF(D4826="Stock",P4826*G4826,IF(P4826=0,"0",G4826*P4826*100-(G4826*$AF$14))))</f>
        <v/>
      </c>
      <c r="R4826" s="79">
        <f>IF(P4826&lt;&gt;"", TODAY(), "")</f>
        <v/>
      </c>
      <c r="S4826" s="78">
        <f>IF(AND(K4826&lt;&gt;"", R4826&lt;&gt;""), R4826-K4826, "")</f>
        <v/>
      </c>
      <c r="T4826" s="78" t="n"/>
      <c r="U4826" s="92">
        <f>IF(ISBLANK(P4826),"",IF(C4826="Buy",Q4826-M4826+T4826, IF(C4826="Sell",M4826-Q4826-T4826, X)))</f>
        <v/>
      </c>
      <c r="V4826" s="81">
        <f>IF(ISBLANK(P4826),"",U4826/N4826)</f>
        <v/>
      </c>
      <c r="W4826" s="81">
        <f>IF(ISBLANK(P4826),"",IF(S4826=0,(365/0.5)*V4826,(365/S4826)*V4826))</f>
        <v/>
      </c>
      <c r="X4826" s="75" t="n"/>
      <c r="Y4826" s="77" t="n"/>
      <c r="Z4826" s="77" t="n"/>
      <c r="AA4826" s="75" t="n"/>
      <c r="AB4826" s="75" t="n"/>
      <c r="AC4826" s="6" t="n"/>
      <c r="AD4826" s="75" t="n"/>
      <c r="AE4826" s="75" t="n"/>
      <c r="AF4826" s="75" t="n"/>
    </row>
    <row r="4827" ht="15.75" customHeight="1" s="133">
      <c r="A4827" s="75" t="n"/>
      <c r="B4827" s="75" t="n"/>
      <c r="C4827" s="75" t="n"/>
      <c r="D4827" s="75" t="n"/>
      <c r="E4827" s="76" t="n"/>
      <c r="F4827" s="77" t="n"/>
      <c r="G4827" s="75" t="n"/>
      <c r="H4827" s="75">
        <f>IF(ISBLANK(E4827),"",IF(OR(D4827="Butterfly",D4827="Butterfly ",D4827="Iron Fly", D4827="Iron Fly "),LEN(E4827)-LEN(SUBSTITUTE(E4827,"/",""))+2,LEN(E4827)-LEN(SUBSTITUTE(E4827,"/",""))+1))</f>
        <v/>
      </c>
      <c r="I4827" s="78">
        <f>IF(ISBLANK(G4827),"",IF(D4827="Stock","0",Key!$A$3*H4827*G4827))</f>
        <v/>
      </c>
      <c r="J4827" s="78">
        <f>IF(ISBLANK(E4827),"",IF(ISNUMBER(SEARCH("/",E4827)), IF(LEN(E4827)-LEN(SUBSTITUTE(E4827,"/",""))=1,(RIGHT(E4827,LEN(E4827)-FIND("/",E4827)))-(LEFT(E4827,FIND("/",E4827)-1)),(MID(E4827, SEARCH("/",E4827) + 1, SEARCH("/",E4827, SEARCH("/",E4827)+1) - SEARCH("/",E4827) - 1))-(LEFT(E4827,FIND("/",E4827)-1))), "NA"))</f>
        <v/>
      </c>
      <c r="K4827" s="79">
        <f>IF(A4827&lt;&gt;"", IF(ISBLANK(L4827), TODAY(), K4827), "")</f>
        <v/>
      </c>
      <c r="L4827" s="78" t="n"/>
      <c r="M4827" s="78">
        <f>IF(ISBLANK(L4827),"",IF(D4827="Stock",IF(C4827="Buy",L4827*G4827,IF(C4827="Sell",(L4827*G4827)-I4827, X)),IF(C4827="Buy",(L4827*G4827*100)+I4827,IF(C4827="Sell",(L4827*G4827*100)-I4827, X))))</f>
        <v/>
      </c>
      <c r="N4827" s="78">
        <f>IF(ISBLANK(L4827),"",IF(AND(C4827="Sell",D4827="Stock"),M4827,IF(ISBLANK(L4827),"",IF(C4827="Buy",M4827, IF(AND(C4827="Sell",J4827="NA"),(E4827*G4827*100*0.1)+I4827, IF(C4827="Sell",(J4827-L4827)*(100*G4827)+I4827))))))</f>
        <v/>
      </c>
      <c r="O4827" s="75" t="n"/>
      <c r="P4827" s="75" t="n"/>
      <c r="Q4827" s="75">
        <f>IF(ISBLANK(P4827),"",IF(D4827="Stock",P4827*G4827,IF(P4827=0,"0",G4827*P4827*100-(G4827*$AF$14))))</f>
        <v/>
      </c>
      <c r="R4827" s="79">
        <f>IF(P4827&lt;&gt;"", TODAY(), "")</f>
        <v/>
      </c>
      <c r="S4827" s="78">
        <f>IF(AND(K4827&lt;&gt;"", R4827&lt;&gt;""), R4827-K4827, "")</f>
        <v/>
      </c>
      <c r="T4827" s="78" t="n"/>
      <c r="U4827" s="92">
        <f>IF(ISBLANK(P4827),"",IF(C4827="Buy",Q4827-M4827+T4827, IF(C4827="Sell",M4827-Q4827-T4827, X)))</f>
        <v/>
      </c>
      <c r="V4827" s="81">
        <f>IF(ISBLANK(P4827),"",U4827/N4827)</f>
        <v/>
      </c>
      <c r="W4827" s="81">
        <f>IF(ISBLANK(P4827),"",IF(S4827=0,(365/0.5)*V4827,(365/S4827)*V4827))</f>
        <v/>
      </c>
      <c r="X4827" s="75" t="n"/>
      <c r="Y4827" s="77" t="n"/>
      <c r="Z4827" s="77" t="n"/>
      <c r="AA4827" s="75" t="n"/>
      <c r="AB4827" s="75" t="n"/>
      <c r="AC4827" s="6" t="n"/>
      <c r="AD4827" s="75" t="n"/>
      <c r="AE4827" s="75" t="n"/>
      <c r="AF4827" s="75" t="n"/>
    </row>
    <row r="4828" ht="15.75" customHeight="1" s="133">
      <c r="A4828" s="75" t="n"/>
      <c r="B4828" s="75" t="n"/>
      <c r="C4828" s="75" t="n"/>
      <c r="D4828" s="75" t="n"/>
      <c r="E4828" s="76" t="n"/>
      <c r="F4828" s="77" t="n"/>
      <c r="G4828" s="75" t="n"/>
      <c r="H4828" s="75">
        <f>IF(ISBLANK(E4828),"",IF(OR(D4828="Butterfly",D4828="Butterfly ",D4828="Iron Fly", D4828="Iron Fly "),LEN(E4828)-LEN(SUBSTITUTE(E4828,"/",""))+2,LEN(E4828)-LEN(SUBSTITUTE(E4828,"/",""))+1))</f>
        <v/>
      </c>
      <c r="I4828" s="78">
        <f>IF(ISBLANK(G4828),"",IF(D4828="Stock","0",Key!$A$3*H4828*G4828))</f>
        <v/>
      </c>
      <c r="J4828" s="78">
        <f>IF(ISBLANK(E4828),"",IF(ISNUMBER(SEARCH("/",E4828)), IF(LEN(E4828)-LEN(SUBSTITUTE(E4828,"/",""))=1,(RIGHT(E4828,LEN(E4828)-FIND("/",E4828)))-(LEFT(E4828,FIND("/",E4828)-1)),(MID(E4828, SEARCH("/",E4828) + 1, SEARCH("/",E4828, SEARCH("/",E4828)+1) - SEARCH("/",E4828) - 1))-(LEFT(E4828,FIND("/",E4828)-1))), "NA"))</f>
        <v/>
      </c>
      <c r="K4828" s="79">
        <f>IF(A4828&lt;&gt;"", IF(ISBLANK(L4828), TODAY(), K4828), "")</f>
        <v/>
      </c>
      <c r="L4828" s="78" t="n"/>
      <c r="M4828" s="78">
        <f>IF(ISBLANK(L4828),"",IF(D4828="Stock",IF(C4828="Buy",L4828*G4828,IF(C4828="Sell",(L4828*G4828)-I4828, X)),IF(C4828="Buy",(L4828*G4828*100)+I4828,IF(C4828="Sell",(L4828*G4828*100)-I4828, X))))</f>
        <v/>
      </c>
      <c r="N4828" s="78">
        <f>IF(ISBLANK(L4828),"",IF(AND(C4828="Sell",D4828="Stock"),M4828,IF(ISBLANK(L4828),"",IF(C4828="Buy",M4828, IF(AND(C4828="Sell",J4828="NA"),(E4828*G4828*100*0.1)+I4828, IF(C4828="Sell",(J4828-L4828)*(100*G4828)+I4828))))))</f>
        <v/>
      </c>
      <c r="O4828" s="75" t="n"/>
      <c r="P4828" s="75" t="n"/>
      <c r="Q4828" s="75">
        <f>IF(ISBLANK(P4828),"",IF(D4828="Stock",P4828*G4828,IF(P4828=0,"0",G4828*P4828*100-(G4828*$AF$14))))</f>
        <v/>
      </c>
      <c r="R4828" s="79">
        <f>IF(P4828&lt;&gt;"", TODAY(), "")</f>
        <v/>
      </c>
      <c r="S4828" s="78">
        <f>IF(AND(K4828&lt;&gt;"", R4828&lt;&gt;""), R4828-K4828, "")</f>
        <v/>
      </c>
      <c r="T4828" s="78" t="n"/>
      <c r="U4828" s="92">
        <f>IF(ISBLANK(P4828),"",IF(C4828="Buy",Q4828-M4828+T4828, IF(C4828="Sell",M4828-Q4828-T4828, X)))</f>
        <v/>
      </c>
      <c r="V4828" s="81">
        <f>IF(ISBLANK(P4828),"",U4828/N4828)</f>
        <v/>
      </c>
      <c r="W4828" s="81">
        <f>IF(ISBLANK(P4828),"",IF(S4828=0,(365/0.5)*V4828,(365/S4828)*V4828))</f>
        <v/>
      </c>
      <c r="X4828" s="75" t="n"/>
      <c r="Y4828" s="77" t="n"/>
      <c r="Z4828" s="77" t="n"/>
      <c r="AA4828" s="75" t="n"/>
      <c r="AB4828" s="75" t="n"/>
      <c r="AC4828" s="6" t="n"/>
      <c r="AD4828" s="75" t="n"/>
      <c r="AE4828" s="75" t="n"/>
      <c r="AF4828" s="75" t="n"/>
    </row>
    <row r="4829" ht="15.75" customHeight="1" s="133">
      <c r="A4829" s="75" t="n"/>
      <c r="B4829" s="75" t="n"/>
      <c r="C4829" s="75" t="n"/>
      <c r="D4829" s="75" t="n"/>
      <c r="E4829" s="76" t="n"/>
      <c r="F4829" s="77" t="n"/>
      <c r="G4829" s="75" t="n"/>
      <c r="H4829" s="75">
        <f>IF(ISBLANK(E4829),"",IF(OR(D4829="Butterfly",D4829="Butterfly ",D4829="Iron Fly", D4829="Iron Fly "),LEN(E4829)-LEN(SUBSTITUTE(E4829,"/",""))+2,LEN(E4829)-LEN(SUBSTITUTE(E4829,"/",""))+1))</f>
        <v/>
      </c>
      <c r="I4829" s="78">
        <f>IF(ISBLANK(G4829),"",IF(D4829="Stock","0",Key!$A$3*H4829*G4829))</f>
        <v/>
      </c>
      <c r="J4829" s="78">
        <f>IF(ISBLANK(E4829),"",IF(ISNUMBER(SEARCH("/",E4829)), IF(LEN(E4829)-LEN(SUBSTITUTE(E4829,"/",""))=1,(RIGHT(E4829,LEN(E4829)-FIND("/",E4829)))-(LEFT(E4829,FIND("/",E4829)-1)),(MID(E4829, SEARCH("/",E4829) + 1, SEARCH("/",E4829, SEARCH("/",E4829)+1) - SEARCH("/",E4829) - 1))-(LEFT(E4829,FIND("/",E4829)-1))), "NA"))</f>
        <v/>
      </c>
      <c r="K4829" s="79">
        <f>IF(A4829&lt;&gt;"", IF(ISBLANK(L4829), TODAY(), K4829), "")</f>
        <v/>
      </c>
      <c r="L4829" s="78" t="n"/>
      <c r="M4829" s="78">
        <f>IF(ISBLANK(L4829),"",IF(D4829="Stock",IF(C4829="Buy",L4829*G4829,IF(C4829="Sell",(L4829*G4829)-I4829, X)),IF(C4829="Buy",(L4829*G4829*100)+I4829,IF(C4829="Sell",(L4829*G4829*100)-I4829, X))))</f>
        <v/>
      </c>
      <c r="N4829" s="78">
        <f>IF(ISBLANK(L4829),"",IF(AND(C4829="Sell",D4829="Stock"),M4829,IF(ISBLANK(L4829),"",IF(C4829="Buy",M4829, IF(AND(C4829="Sell",J4829="NA"),(E4829*G4829*100*0.1)+I4829, IF(C4829="Sell",(J4829-L4829)*(100*G4829)+I4829))))))</f>
        <v/>
      </c>
      <c r="O4829" s="75" t="n"/>
      <c r="P4829" s="75" t="n"/>
      <c r="Q4829" s="75">
        <f>IF(ISBLANK(P4829),"",IF(D4829="Stock",P4829*G4829,IF(P4829=0,"0",G4829*P4829*100-(G4829*$AF$14))))</f>
        <v/>
      </c>
      <c r="R4829" s="79">
        <f>IF(P4829&lt;&gt;"", TODAY(), "")</f>
        <v/>
      </c>
      <c r="S4829" s="78">
        <f>IF(AND(K4829&lt;&gt;"", R4829&lt;&gt;""), R4829-K4829, "")</f>
        <v/>
      </c>
      <c r="T4829" s="78" t="n"/>
      <c r="U4829" s="92">
        <f>IF(ISBLANK(P4829),"",IF(C4829="Buy",Q4829-M4829+T4829, IF(C4829="Sell",M4829-Q4829-T4829, X)))</f>
        <v/>
      </c>
      <c r="V4829" s="81">
        <f>IF(ISBLANK(P4829),"",U4829/N4829)</f>
        <v/>
      </c>
      <c r="W4829" s="81">
        <f>IF(ISBLANK(P4829),"",IF(S4829=0,(365/0.5)*V4829,(365/S4829)*V4829))</f>
        <v/>
      </c>
      <c r="X4829" s="75" t="n"/>
      <c r="Y4829" s="77" t="n"/>
      <c r="Z4829" s="77" t="n"/>
      <c r="AA4829" s="75" t="n"/>
      <c r="AB4829" s="75" t="n"/>
      <c r="AC4829" s="6" t="n"/>
      <c r="AD4829" s="75" t="n"/>
      <c r="AE4829" s="75" t="n"/>
      <c r="AF4829" s="75" t="n"/>
    </row>
    <row r="4830" ht="15.75" customHeight="1" s="133">
      <c r="A4830" s="75" t="n"/>
      <c r="B4830" s="75" t="n"/>
      <c r="C4830" s="75" t="n"/>
      <c r="D4830" s="75" t="n"/>
      <c r="E4830" s="76" t="n"/>
      <c r="F4830" s="77" t="n"/>
      <c r="G4830" s="75" t="n"/>
      <c r="H4830" s="75">
        <f>IF(ISBLANK(E4830),"",IF(OR(D4830="Butterfly",D4830="Butterfly ",D4830="Iron Fly", D4830="Iron Fly "),LEN(E4830)-LEN(SUBSTITUTE(E4830,"/",""))+2,LEN(E4830)-LEN(SUBSTITUTE(E4830,"/",""))+1))</f>
        <v/>
      </c>
      <c r="I4830" s="78">
        <f>IF(ISBLANK(G4830),"",IF(D4830="Stock","0",Key!$A$3*H4830*G4830))</f>
        <v/>
      </c>
      <c r="J4830" s="78">
        <f>IF(ISBLANK(E4830),"",IF(ISNUMBER(SEARCH("/",E4830)), IF(LEN(E4830)-LEN(SUBSTITUTE(E4830,"/",""))=1,(RIGHT(E4830,LEN(E4830)-FIND("/",E4830)))-(LEFT(E4830,FIND("/",E4830)-1)),(MID(E4830, SEARCH("/",E4830) + 1, SEARCH("/",E4830, SEARCH("/",E4830)+1) - SEARCH("/",E4830) - 1))-(LEFT(E4830,FIND("/",E4830)-1))), "NA"))</f>
        <v/>
      </c>
      <c r="K4830" s="79">
        <f>IF(A4830&lt;&gt;"", IF(ISBLANK(L4830), TODAY(), K4830), "")</f>
        <v/>
      </c>
      <c r="L4830" s="78" t="n"/>
      <c r="M4830" s="78">
        <f>IF(ISBLANK(L4830),"",IF(D4830="Stock",IF(C4830="Buy",L4830*G4830,IF(C4830="Sell",(L4830*G4830)-I4830, X)),IF(C4830="Buy",(L4830*G4830*100)+I4830,IF(C4830="Sell",(L4830*G4830*100)-I4830, X))))</f>
        <v/>
      </c>
      <c r="N4830" s="78">
        <f>IF(ISBLANK(L4830),"",IF(AND(C4830="Sell",D4830="Stock"),M4830,IF(ISBLANK(L4830),"",IF(C4830="Buy",M4830, IF(AND(C4830="Sell",J4830="NA"),(E4830*G4830*100*0.1)+I4830, IF(C4830="Sell",(J4830-L4830)*(100*G4830)+I4830))))))</f>
        <v/>
      </c>
      <c r="O4830" s="75" t="n"/>
      <c r="P4830" s="75" t="n"/>
      <c r="Q4830" s="75">
        <f>IF(ISBLANK(P4830),"",IF(D4830="Stock",P4830*G4830,IF(P4830=0,"0",G4830*P4830*100-(G4830*$AF$14))))</f>
        <v/>
      </c>
      <c r="R4830" s="79">
        <f>IF(P4830&lt;&gt;"", TODAY(), "")</f>
        <v/>
      </c>
      <c r="S4830" s="78">
        <f>IF(AND(K4830&lt;&gt;"", R4830&lt;&gt;""), R4830-K4830, "")</f>
        <v/>
      </c>
      <c r="T4830" s="78" t="n"/>
      <c r="U4830" s="92">
        <f>IF(ISBLANK(P4830),"",IF(C4830="Buy",Q4830-M4830+T4830, IF(C4830="Sell",M4830-Q4830-T4830, X)))</f>
        <v/>
      </c>
      <c r="V4830" s="81">
        <f>IF(ISBLANK(P4830),"",U4830/N4830)</f>
        <v/>
      </c>
      <c r="W4830" s="81">
        <f>IF(ISBLANK(P4830),"",IF(S4830=0,(365/0.5)*V4830,(365/S4830)*V4830))</f>
        <v/>
      </c>
      <c r="X4830" s="75" t="n"/>
      <c r="Y4830" s="77" t="n"/>
      <c r="Z4830" s="77" t="n"/>
      <c r="AA4830" s="75" t="n"/>
      <c r="AB4830" s="75" t="n"/>
      <c r="AC4830" s="6" t="n"/>
      <c r="AD4830" s="75" t="n"/>
      <c r="AE4830" s="75" t="n"/>
      <c r="AF4830" s="75" t="n"/>
    </row>
    <row r="4831" ht="15.75" customHeight="1" s="133">
      <c r="A4831" s="75" t="n"/>
      <c r="B4831" s="75" t="n"/>
      <c r="C4831" s="75" t="n"/>
      <c r="D4831" s="75" t="n"/>
      <c r="E4831" s="76" t="n"/>
      <c r="F4831" s="77" t="n"/>
      <c r="G4831" s="75" t="n"/>
      <c r="H4831" s="75">
        <f>IF(ISBLANK(E4831),"",IF(OR(D4831="Butterfly",D4831="Butterfly ",D4831="Iron Fly", D4831="Iron Fly "),LEN(E4831)-LEN(SUBSTITUTE(E4831,"/",""))+2,LEN(E4831)-LEN(SUBSTITUTE(E4831,"/",""))+1))</f>
        <v/>
      </c>
      <c r="I4831" s="78">
        <f>IF(ISBLANK(G4831),"",IF(D4831="Stock","0",Key!$A$3*H4831*G4831))</f>
        <v/>
      </c>
      <c r="J4831" s="78">
        <f>IF(ISBLANK(E4831),"",IF(ISNUMBER(SEARCH("/",E4831)), IF(LEN(E4831)-LEN(SUBSTITUTE(E4831,"/",""))=1,(RIGHT(E4831,LEN(E4831)-FIND("/",E4831)))-(LEFT(E4831,FIND("/",E4831)-1)),(MID(E4831, SEARCH("/",E4831) + 1, SEARCH("/",E4831, SEARCH("/",E4831)+1) - SEARCH("/",E4831) - 1))-(LEFT(E4831,FIND("/",E4831)-1))), "NA"))</f>
        <v/>
      </c>
      <c r="K4831" s="79">
        <f>IF(A4831&lt;&gt;"", IF(ISBLANK(L4831), TODAY(), K4831), "")</f>
        <v/>
      </c>
      <c r="L4831" s="78" t="n"/>
      <c r="M4831" s="78">
        <f>IF(ISBLANK(L4831),"",IF(D4831="Stock",IF(C4831="Buy",L4831*G4831,IF(C4831="Sell",(L4831*G4831)-I4831, X)),IF(C4831="Buy",(L4831*G4831*100)+I4831,IF(C4831="Sell",(L4831*G4831*100)-I4831, X))))</f>
        <v/>
      </c>
      <c r="N4831" s="78">
        <f>IF(ISBLANK(L4831),"",IF(AND(C4831="Sell",D4831="Stock"),M4831,IF(ISBLANK(L4831),"",IF(C4831="Buy",M4831, IF(AND(C4831="Sell",J4831="NA"),(E4831*G4831*100*0.1)+I4831, IF(C4831="Sell",(J4831-L4831)*(100*G4831)+I4831))))))</f>
        <v/>
      </c>
      <c r="O4831" s="75" t="n"/>
      <c r="P4831" s="75" t="n"/>
      <c r="Q4831" s="75">
        <f>IF(ISBLANK(P4831),"",IF(D4831="Stock",P4831*G4831,IF(P4831=0,"0",G4831*P4831*100-(G4831*$AF$14))))</f>
        <v/>
      </c>
      <c r="R4831" s="79">
        <f>IF(P4831&lt;&gt;"", TODAY(), "")</f>
        <v/>
      </c>
      <c r="S4831" s="78">
        <f>IF(AND(K4831&lt;&gt;"", R4831&lt;&gt;""), R4831-K4831, "")</f>
        <v/>
      </c>
      <c r="T4831" s="78" t="n"/>
      <c r="U4831" s="92">
        <f>IF(ISBLANK(P4831),"",IF(C4831="Buy",Q4831-M4831+T4831, IF(C4831="Sell",M4831-Q4831-T4831, X)))</f>
        <v/>
      </c>
      <c r="V4831" s="81">
        <f>IF(ISBLANK(P4831),"",U4831/N4831)</f>
        <v/>
      </c>
      <c r="W4831" s="81">
        <f>IF(ISBLANK(P4831),"",IF(S4831=0,(365/0.5)*V4831,(365/S4831)*V4831))</f>
        <v/>
      </c>
      <c r="X4831" s="75" t="n"/>
      <c r="Y4831" s="77" t="n"/>
      <c r="Z4831" s="77" t="n"/>
      <c r="AA4831" s="75" t="n"/>
      <c r="AB4831" s="75" t="n"/>
      <c r="AC4831" s="6" t="n"/>
      <c r="AD4831" s="75" t="n"/>
      <c r="AE4831" s="75" t="n"/>
      <c r="AF4831" s="75" t="n"/>
    </row>
    <row r="4832" ht="15.75" customHeight="1" s="133">
      <c r="A4832" s="75" t="n"/>
      <c r="B4832" s="75" t="n"/>
      <c r="C4832" s="75" t="n"/>
      <c r="D4832" s="75" t="n"/>
      <c r="E4832" s="76" t="n"/>
      <c r="F4832" s="77" t="n"/>
      <c r="G4832" s="75" t="n"/>
      <c r="H4832" s="75">
        <f>IF(ISBLANK(E4832),"",IF(OR(D4832="Butterfly",D4832="Butterfly ",D4832="Iron Fly", D4832="Iron Fly "),LEN(E4832)-LEN(SUBSTITUTE(E4832,"/",""))+2,LEN(E4832)-LEN(SUBSTITUTE(E4832,"/",""))+1))</f>
        <v/>
      </c>
      <c r="I4832" s="78">
        <f>IF(ISBLANK(G4832),"",IF(D4832="Stock","0",Key!$A$3*H4832*G4832))</f>
        <v/>
      </c>
      <c r="J4832" s="78">
        <f>IF(ISBLANK(E4832),"",IF(ISNUMBER(SEARCH("/",E4832)), IF(LEN(E4832)-LEN(SUBSTITUTE(E4832,"/",""))=1,(RIGHT(E4832,LEN(E4832)-FIND("/",E4832)))-(LEFT(E4832,FIND("/",E4832)-1)),(MID(E4832, SEARCH("/",E4832) + 1, SEARCH("/",E4832, SEARCH("/",E4832)+1) - SEARCH("/",E4832) - 1))-(LEFT(E4832,FIND("/",E4832)-1))), "NA"))</f>
        <v/>
      </c>
      <c r="K4832" s="79">
        <f>IF(A4832&lt;&gt;"", IF(ISBLANK(L4832), TODAY(), K4832), "")</f>
        <v/>
      </c>
      <c r="L4832" s="78" t="n"/>
      <c r="M4832" s="78">
        <f>IF(ISBLANK(L4832),"",IF(D4832="Stock",IF(C4832="Buy",L4832*G4832,IF(C4832="Sell",(L4832*G4832)-I4832, X)),IF(C4832="Buy",(L4832*G4832*100)+I4832,IF(C4832="Sell",(L4832*G4832*100)-I4832, X))))</f>
        <v/>
      </c>
      <c r="N4832" s="78">
        <f>IF(ISBLANK(L4832),"",IF(AND(C4832="Sell",D4832="Stock"),M4832,IF(ISBLANK(L4832),"",IF(C4832="Buy",M4832, IF(AND(C4832="Sell",J4832="NA"),(E4832*G4832*100*0.1)+I4832, IF(C4832="Sell",(J4832-L4832)*(100*G4832)+I4832))))))</f>
        <v/>
      </c>
      <c r="O4832" s="75" t="n"/>
      <c r="P4832" s="75" t="n"/>
      <c r="Q4832" s="75">
        <f>IF(ISBLANK(P4832),"",IF(D4832="Stock",P4832*G4832,IF(P4832=0,"0",G4832*P4832*100-(G4832*$AF$14))))</f>
        <v/>
      </c>
      <c r="R4832" s="79">
        <f>IF(P4832&lt;&gt;"", TODAY(), "")</f>
        <v/>
      </c>
      <c r="S4832" s="78">
        <f>IF(AND(K4832&lt;&gt;"", R4832&lt;&gt;""), R4832-K4832, "")</f>
        <v/>
      </c>
      <c r="T4832" s="78" t="n"/>
      <c r="U4832" s="92">
        <f>IF(ISBLANK(P4832),"",IF(C4832="Buy",Q4832-M4832+T4832, IF(C4832="Sell",M4832-Q4832-T4832, X)))</f>
        <v/>
      </c>
      <c r="V4832" s="81">
        <f>IF(ISBLANK(P4832),"",U4832/N4832)</f>
        <v/>
      </c>
      <c r="W4832" s="81">
        <f>IF(ISBLANK(P4832),"",IF(S4832=0,(365/0.5)*V4832,(365/S4832)*V4832))</f>
        <v/>
      </c>
      <c r="X4832" s="75" t="n"/>
      <c r="Y4832" s="77" t="n"/>
      <c r="Z4832" s="77" t="n"/>
      <c r="AA4832" s="75" t="n"/>
      <c r="AB4832" s="75" t="n"/>
      <c r="AC4832" s="6" t="n"/>
      <c r="AD4832" s="75" t="n"/>
      <c r="AE4832" s="75" t="n"/>
      <c r="AF4832" s="75" t="n"/>
    </row>
    <row r="4833" ht="15.75" customHeight="1" s="133">
      <c r="A4833" s="75" t="n"/>
      <c r="B4833" s="75" t="n"/>
      <c r="C4833" s="75" t="n"/>
      <c r="D4833" s="75" t="n"/>
      <c r="E4833" s="76" t="n"/>
      <c r="F4833" s="77" t="n"/>
      <c r="G4833" s="75" t="n"/>
      <c r="H4833" s="75">
        <f>IF(ISBLANK(E4833),"",IF(OR(D4833="Butterfly",D4833="Butterfly ",D4833="Iron Fly", D4833="Iron Fly "),LEN(E4833)-LEN(SUBSTITUTE(E4833,"/",""))+2,LEN(E4833)-LEN(SUBSTITUTE(E4833,"/",""))+1))</f>
        <v/>
      </c>
      <c r="I4833" s="78">
        <f>IF(ISBLANK(G4833),"",IF(D4833="Stock","0",Key!$A$3*H4833*G4833))</f>
        <v/>
      </c>
      <c r="J4833" s="78">
        <f>IF(ISBLANK(E4833),"",IF(ISNUMBER(SEARCH("/",E4833)), IF(LEN(E4833)-LEN(SUBSTITUTE(E4833,"/",""))=1,(RIGHT(E4833,LEN(E4833)-FIND("/",E4833)))-(LEFT(E4833,FIND("/",E4833)-1)),(MID(E4833, SEARCH("/",E4833) + 1, SEARCH("/",E4833, SEARCH("/",E4833)+1) - SEARCH("/",E4833) - 1))-(LEFT(E4833,FIND("/",E4833)-1))), "NA"))</f>
        <v/>
      </c>
      <c r="K4833" s="79">
        <f>IF(A4833&lt;&gt;"", IF(ISBLANK(L4833), TODAY(), K4833), "")</f>
        <v/>
      </c>
      <c r="L4833" s="78" t="n"/>
      <c r="M4833" s="78">
        <f>IF(ISBLANK(L4833),"",IF(D4833="Stock",IF(C4833="Buy",L4833*G4833,IF(C4833="Sell",(L4833*G4833)-I4833, X)),IF(C4833="Buy",(L4833*G4833*100)+I4833,IF(C4833="Sell",(L4833*G4833*100)-I4833, X))))</f>
        <v/>
      </c>
      <c r="N4833" s="78">
        <f>IF(ISBLANK(L4833),"",IF(AND(C4833="Sell",D4833="Stock"),M4833,IF(ISBLANK(L4833),"",IF(C4833="Buy",M4833, IF(AND(C4833="Sell",J4833="NA"),(E4833*G4833*100*0.1)+I4833, IF(C4833="Sell",(J4833-L4833)*(100*G4833)+I4833))))))</f>
        <v/>
      </c>
      <c r="O4833" s="75" t="n"/>
      <c r="P4833" s="75" t="n"/>
      <c r="Q4833" s="75">
        <f>IF(ISBLANK(P4833),"",IF(D4833="Stock",P4833*G4833,IF(P4833=0,"0",G4833*P4833*100-(G4833*$AF$14))))</f>
        <v/>
      </c>
      <c r="R4833" s="79">
        <f>IF(P4833&lt;&gt;"", TODAY(), "")</f>
        <v/>
      </c>
      <c r="S4833" s="78">
        <f>IF(AND(K4833&lt;&gt;"", R4833&lt;&gt;""), R4833-K4833, "")</f>
        <v/>
      </c>
      <c r="T4833" s="78" t="n"/>
      <c r="U4833" s="92">
        <f>IF(ISBLANK(P4833),"",IF(C4833="Buy",Q4833-M4833+T4833, IF(C4833="Sell",M4833-Q4833-T4833, X)))</f>
        <v/>
      </c>
      <c r="V4833" s="81">
        <f>IF(ISBLANK(P4833),"",U4833/N4833)</f>
        <v/>
      </c>
      <c r="W4833" s="81">
        <f>IF(ISBLANK(P4833),"",IF(S4833=0,(365/0.5)*V4833,(365/S4833)*V4833))</f>
        <v/>
      </c>
      <c r="X4833" s="75" t="n"/>
      <c r="Y4833" s="77" t="n"/>
      <c r="Z4833" s="77" t="n"/>
      <c r="AA4833" s="75" t="n"/>
      <c r="AB4833" s="75" t="n"/>
      <c r="AC4833" s="6" t="n"/>
      <c r="AD4833" s="75" t="n"/>
      <c r="AE4833" s="75" t="n"/>
      <c r="AF4833" s="75" t="n"/>
    </row>
    <row r="4834" ht="15.75" customHeight="1" s="133">
      <c r="A4834" s="75" t="n"/>
      <c r="B4834" s="75" t="n"/>
      <c r="C4834" s="75" t="n"/>
      <c r="D4834" s="75" t="n"/>
      <c r="E4834" s="76" t="n"/>
      <c r="F4834" s="77" t="n"/>
      <c r="G4834" s="75" t="n"/>
      <c r="H4834" s="75">
        <f>IF(ISBLANK(E4834),"",IF(OR(D4834="Butterfly",D4834="Butterfly ",D4834="Iron Fly", D4834="Iron Fly "),LEN(E4834)-LEN(SUBSTITUTE(E4834,"/",""))+2,LEN(E4834)-LEN(SUBSTITUTE(E4834,"/",""))+1))</f>
        <v/>
      </c>
      <c r="I4834" s="78">
        <f>IF(ISBLANK(G4834),"",IF(D4834="Stock","0",Key!$A$3*H4834*G4834))</f>
        <v/>
      </c>
      <c r="J4834" s="78">
        <f>IF(ISBLANK(E4834),"",IF(ISNUMBER(SEARCH("/",E4834)), IF(LEN(E4834)-LEN(SUBSTITUTE(E4834,"/",""))=1,(RIGHT(E4834,LEN(E4834)-FIND("/",E4834)))-(LEFT(E4834,FIND("/",E4834)-1)),(MID(E4834, SEARCH("/",E4834) + 1, SEARCH("/",E4834, SEARCH("/",E4834)+1) - SEARCH("/",E4834) - 1))-(LEFT(E4834,FIND("/",E4834)-1))), "NA"))</f>
        <v/>
      </c>
      <c r="K4834" s="79">
        <f>IF(A4834&lt;&gt;"", IF(ISBLANK(L4834), TODAY(), K4834), "")</f>
        <v/>
      </c>
      <c r="L4834" s="78" t="n"/>
      <c r="M4834" s="78">
        <f>IF(ISBLANK(L4834),"",IF(D4834="Stock",IF(C4834="Buy",L4834*G4834,IF(C4834="Sell",(L4834*G4834)-I4834, X)),IF(C4834="Buy",(L4834*G4834*100)+I4834,IF(C4834="Sell",(L4834*G4834*100)-I4834, X))))</f>
        <v/>
      </c>
      <c r="N4834" s="78">
        <f>IF(ISBLANK(L4834),"",IF(AND(C4834="Sell",D4834="Stock"),M4834,IF(ISBLANK(L4834),"",IF(C4834="Buy",M4834, IF(AND(C4834="Sell",J4834="NA"),(E4834*G4834*100*0.1)+I4834, IF(C4834="Sell",(J4834-L4834)*(100*G4834)+I4834))))))</f>
        <v/>
      </c>
      <c r="O4834" s="75" t="n"/>
      <c r="P4834" s="75" t="n"/>
      <c r="Q4834" s="75">
        <f>IF(ISBLANK(P4834),"",IF(D4834="Stock",P4834*G4834,IF(P4834=0,"0",G4834*P4834*100-(G4834*$AF$14))))</f>
        <v/>
      </c>
      <c r="R4834" s="79">
        <f>IF(P4834&lt;&gt;"", TODAY(), "")</f>
        <v/>
      </c>
      <c r="S4834" s="78">
        <f>IF(AND(K4834&lt;&gt;"", R4834&lt;&gt;""), R4834-K4834, "")</f>
        <v/>
      </c>
      <c r="T4834" s="78" t="n"/>
      <c r="U4834" s="92">
        <f>IF(ISBLANK(P4834),"",IF(C4834="Buy",Q4834-M4834+T4834, IF(C4834="Sell",M4834-Q4834-T4834, X)))</f>
        <v/>
      </c>
      <c r="V4834" s="81">
        <f>IF(ISBLANK(P4834),"",U4834/N4834)</f>
        <v/>
      </c>
      <c r="W4834" s="81">
        <f>IF(ISBLANK(P4834),"",IF(S4834=0,(365/0.5)*V4834,(365/S4834)*V4834))</f>
        <v/>
      </c>
      <c r="X4834" s="75" t="n"/>
      <c r="Y4834" s="77" t="n"/>
      <c r="Z4834" s="77" t="n"/>
      <c r="AA4834" s="75" t="n"/>
      <c r="AB4834" s="75" t="n"/>
      <c r="AC4834" s="6" t="n"/>
      <c r="AD4834" s="75" t="n"/>
      <c r="AE4834" s="75" t="n"/>
      <c r="AF4834" s="75" t="n"/>
    </row>
    <row r="4835" ht="15.75" customHeight="1" s="133">
      <c r="A4835" s="75" t="n"/>
      <c r="B4835" s="75" t="n"/>
      <c r="C4835" s="75" t="n"/>
      <c r="D4835" s="75" t="n"/>
      <c r="E4835" s="76" t="n"/>
      <c r="F4835" s="77" t="n"/>
      <c r="G4835" s="75" t="n"/>
      <c r="H4835" s="75">
        <f>IF(ISBLANK(E4835),"",IF(OR(D4835="Butterfly",D4835="Butterfly ",D4835="Iron Fly", D4835="Iron Fly "),LEN(E4835)-LEN(SUBSTITUTE(E4835,"/",""))+2,LEN(E4835)-LEN(SUBSTITUTE(E4835,"/",""))+1))</f>
        <v/>
      </c>
      <c r="I4835" s="78">
        <f>IF(ISBLANK(G4835),"",IF(D4835="Stock","0",Key!$A$3*H4835*G4835))</f>
        <v/>
      </c>
      <c r="J4835" s="78">
        <f>IF(ISBLANK(E4835),"",IF(ISNUMBER(SEARCH("/",E4835)), IF(LEN(E4835)-LEN(SUBSTITUTE(E4835,"/",""))=1,(RIGHT(E4835,LEN(E4835)-FIND("/",E4835)))-(LEFT(E4835,FIND("/",E4835)-1)),(MID(E4835, SEARCH("/",E4835) + 1, SEARCH("/",E4835, SEARCH("/",E4835)+1) - SEARCH("/",E4835) - 1))-(LEFT(E4835,FIND("/",E4835)-1))), "NA"))</f>
        <v/>
      </c>
      <c r="K4835" s="79">
        <f>IF(A4835&lt;&gt;"", IF(ISBLANK(L4835), TODAY(), K4835), "")</f>
        <v/>
      </c>
      <c r="L4835" s="78" t="n"/>
      <c r="M4835" s="78">
        <f>IF(ISBLANK(L4835),"",IF(D4835="Stock",IF(C4835="Buy",L4835*G4835,IF(C4835="Sell",(L4835*G4835)-I4835, X)),IF(C4835="Buy",(L4835*G4835*100)+I4835,IF(C4835="Sell",(L4835*G4835*100)-I4835, X))))</f>
        <v/>
      </c>
      <c r="N4835" s="78">
        <f>IF(ISBLANK(L4835),"",IF(AND(C4835="Sell",D4835="Stock"),M4835,IF(ISBLANK(L4835),"",IF(C4835="Buy",M4835, IF(AND(C4835="Sell",J4835="NA"),(E4835*G4835*100*0.1)+I4835, IF(C4835="Sell",(J4835-L4835)*(100*G4835)+I4835))))))</f>
        <v/>
      </c>
      <c r="O4835" s="75" t="n"/>
      <c r="P4835" s="75" t="n"/>
      <c r="Q4835" s="75">
        <f>IF(ISBLANK(P4835),"",IF(D4835="Stock",P4835*G4835,IF(P4835=0,"0",G4835*P4835*100-(G4835*$AF$14))))</f>
        <v/>
      </c>
      <c r="R4835" s="79">
        <f>IF(P4835&lt;&gt;"", TODAY(), "")</f>
        <v/>
      </c>
      <c r="S4835" s="78">
        <f>IF(AND(K4835&lt;&gt;"", R4835&lt;&gt;""), R4835-K4835, "")</f>
        <v/>
      </c>
      <c r="T4835" s="78" t="n"/>
      <c r="U4835" s="92">
        <f>IF(ISBLANK(P4835),"",IF(C4835="Buy",Q4835-M4835+T4835, IF(C4835="Sell",M4835-Q4835-T4835, X)))</f>
        <v/>
      </c>
      <c r="V4835" s="81">
        <f>IF(ISBLANK(P4835),"",U4835/N4835)</f>
        <v/>
      </c>
      <c r="W4835" s="81">
        <f>IF(ISBLANK(P4835),"",IF(S4835=0,(365/0.5)*V4835,(365/S4835)*V4835))</f>
        <v/>
      </c>
      <c r="X4835" s="75" t="n"/>
      <c r="Y4835" s="77" t="n"/>
      <c r="Z4835" s="77" t="n"/>
      <c r="AA4835" s="75" t="n"/>
      <c r="AB4835" s="75" t="n"/>
      <c r="AC4835" s="6" t="n"/>
      <c r="AD4835" s="75" t="n"/>
      <c r="AE4835" s="75" t="n"/>
      <c r="AF4835" s="75" t="n"/>
    </row>
    <row r="4836" ht="15.75" customHeight="1" s="133">
      <c r="A4836" s="75" t="n"/>
      <c r="B4836" s="75" t="n"/>
      <c r="C4836" s="75" t="n"/>
      <c r="D4836" s="75" t="n"/>
      <c r="E4836" s="76" t="n"/>
      <c r="F4836" s="77" t="n"/>
      <c r="G4836" s="75" t="n"/>
      <c r="H4836" s="75">
        <f>IF(ISBLANK(E4836),"",IF(OR(D4836="Butterfly",D4836="Butterfly ",D4836="Iron Fly", D4836="Iron Fly "),LEN(E4836)-LEN(SUBSTITUTE(E4836,"/",""))+2,LEN(E4836)-LEN(SUBSTITUTE(E4836,"/",""))+1))</f>
        <v/>
      </c>
      <c r="I4836" s="78">
        <f>IF(ISBLANK(G4836),"",IF(D4836="Stock","0",Key!$A$3*H4836*G4836))</f>
        <v/>
      </c>
      <c r="J4836" s="78">
        <f>IF(ISBLANK(E4836),"",IF(ISNUMBER(SEARCH("/",E4836)), IF(LEN(E4836)-LEN(SUBSTITUTE(E4836,"/",""))=1,(RIGHT(E4836,LEN(E4836)-FIND("/",E4836)))-(LEFT(E4836,FIND("/",E4836)-1)),(MID(E4836, SEARCH("/",E4836) + 1, SEARCH("/",E4836, SEARCH("/",E4836)+1) - SEARCH("/",E4836) - 1))-(LEFT(E4836,FIND("/",E4836)-1))), "NA"))</f>
        <v/>
      </c>
      <c r="K4836" s="79">
        <f>IF(A4836&lt;&gt;"", IF(ISBLANK(L4836), TODAY(), K4836), "")</f>
        <v/>
      </c>
      <c r="L4836" s="78" t="n"/>
      <c r="M4836" s="78">
        <f>IF(ISBLANK(L4836),"",IF(D4836="Stock",IF(C4836="Buy",L4836*G4836,IF(C4836="Sell",(L4836*G4836)-I4836, X)),IF(C4836="Buy",(L4836*G4836*100)+I4836,IF(C4836="Sell",(L4836*G4836*100)-I4836, X))))</f>
        <v/>
      </c>
      <c r="N4836" s="78">
        <f>IF(ISBLANK(L4836),"",IF(AND(C4836="Sell",D4836="Stock"),M4836,IF(ISBLANK(L4836),"",IF(C4836="Buy",M4836, IF(AND(C4836="Sell",J4836="NA"),(E4836*G4836*100*0.1)+I4836, IF(C4836="Sell",(J4836-L4836)*(100*G4836)+I4836))))))</f>
        <v/>
      </c>
      <c r="O4836" s="75" t="n"/>
      <c r="P4836" s="75" t="n"/>
      <c r="Q4836" s="75">
        <f>IF(ISBLANK(P4836),"",IF(D4836="Stock",P4836*G4836,IF(P4836=0,"0",G4836*P4836*100-(G4836*$AF$14))))</f>
        <v/>
      </c>
      <c r="R4836" s="79">
        <f>IF(P4836&lt;&gt;"", TODAY(), "")</f>
        <v/>
      </c>
      <c r="S4836" s="78">
        <f>IF(AND(K4836&lt;&gt;"", R4836&lt;&gt;""), R4836-K4836, "")</f>
        <v/>
      </c>
      <c r="T4836" s="78" t="n"/>
      <c r="U4836" s="92">
        <f>IF(ISBLANK(P4836),"",IF(C4836="Buy",Q4836-M4836+T4836, IF(C4836="Sell",M4836-Q4836-T4836, X)))</f>
        <v/>
      </c>
      <c r="V4836" s="81">
        <f>IF(ISBLANK(P4836),"",U4836/N4836)</f>
        <v/>
      </c>
      <c r="W4836" s="81">
        <f>IF(ISBLANK(P4836),"",IF(S4836=0,(365/0.5)*V4836,(365/S4836)*V4836))</f>
        <v/>
      </c>
      <c r="X4836" s="75" t="n"/>
      <c r="Y4836" s="77" t="n"/>
      <c r="Z4836" s="77" t="n"/>
      <c r="AA4836" s="75" t="n"/>
      <c r="AB4836" s="75" t="n"/>
      <c r="AC4836" s="6" t="n"/>
      <c r="AD4836" s="75" t="n"/>
      <c r="AE4836" s="75" t="n"/>
      <c r="AF4836" s="75" t="n"/>
    </row>
    <row r="4837" ht="15.75" customHeight="1" s="133">
      <c r="A4837" s="75" t="n"/>
      <c r="B4837" s="75" t="n"/>
      <c r="C4837" s="75" t="n"/>
      <c r="D4837" s="75" t="n"/>
      <c r="E4837" s="76" t="n"/>
      <c r="F4837" s="77" t="n"/>
      <c r="G4837" s="75" t="n"/>
      <c r="H4837" s="75">
        <f>IF(ISBLANK(E4837),"",IF(OR(D4837="Butterfly",D4837="Butterfly ",D4837="Iron Fly", D4837="Iron Fly "),LEN(E4837)-LEN(SUBSTITUTE(E4837,"/",""))+2,LEN(E4837)-LEN(SUBSTITUTE(E4837,"/",""))+1))</f>
        <v/>
      </c>
      <c r="I4837" s="78">
        <f>IF(ISBLANK(G4837),"",IF(D4837="Stock","0",Key!$A$3*H4837*G4837))</f>
        <v/>
      </c>
      <c r="J4837" s="78">
        <f>IF(ISBLANK(E4837),"",IF(ISNUMBER(SEARCH("/",E4837)), IF(LEN(E4837)-LEN(SUBSTITUTE(E4837,"/",""))=1,(RIGHT(E4837,LEN(E4837)-FIND("/",E4837)))-(LEFT(E4837,FIND("/",E4837)-1)),(MID(E4837, SEARCH("/",E4837) + 1, SEARCH("/",E4837, SEARCH("/",E4837)+1) - SEARCH("/",E4837) - 1))-(LEFT(E4837,FIND("/",E4837)-1))), "NA"))</f>
        <v/>
      </c>
      <c r="K4837" s="79">
        <f>IF(A4837&lt;&gt;"", IF(ISBLANK(L4837), TODAY(), K4837), "")</f>
        <v/>
      </c>
      <c r="L4837" s="78" t="n"/>
      <c r="M4837" s="78">
        <f>IF(ISBLANK(L4837),"",IF(D4837="Stock",IF(C4837="Buy",L4837*G4837,IF(C4837="Sell",(L4837*G4837)-I4837, X)),IF(C4837="Buy",(L4837*G4837*100)+I4837,IF(C4837="Sell",(L4837*G4837*100)-I4837, X))))</f>
        <v/>
      </c>
      <c r="N4837" s="78">
        <f>IF(ISBLANK(L4837),"",IF(AND(C4837="Sell",D4837="Stock"),M4837,IF(ISBLANK(L4837),"",IF(C4837="Buy",M4837, IF(AND(C4837="Sell",J4837="NA"),(E4837*G4837*100*0.1)+I4837, IF(C4837="Sell",(J4837-L4837)*(100*G4837)+I4837))))))</f>
        <v/>
      </c>
      <c r="O4837" s="75" t="n"/>
      <c r="P4837" s="75" t="n"/>
      <c r="Q4837" s="75">
        <f>IF(ISBLANK(P4837),"",IF(D4837="Stock",P4837*G4837,IF(P4837=0,"0",G4837*P4837*100-(G4837*$AF$14))))</f>
        <v/>
      </c>
      <c r="R4837" s="79">
        <f>IF(P4837&lt;&gt;"", TODAY(), "")</f>
        <v/>
      </c>
      <c r="S4837" s="78">
        <f>IF(AND(K4837&lt;&gt;"", R4837&lt;&gt;""), R4837-K4837, "")</f>
        <v/>
      </c>
      <c r="T4837" s="78" t="n"/>
      <c r="U4837" s="92">
        <f>IF(ISBLANK(P4837),"",IF(C4837="Buy",Q4837-M4837+T4837, IF(C4837="Sell",M4837-Q4837-T4837, X)))</f>
        <v/>
      </c>
      <c r="V4837" s="81">
        <f>IF(ISBLANK(P4837),"",U4837/N4837)</f>
        <v/>
      </c>
      <c r="W4837" s="81">
        <f>IF(ISBLANK(P4837),"",IF(S4837=0,(365/0.5)*V4837,(365/S4837)*V4837))</f>
        <v/>
      </c>
      <c r="X4837" s="75" t="n"/>
      <c r="Y4837" s="77" t="n"/>
      <c r="Z4837" s="77" t="n"/>
      <c r="AA4837" s="75" t="n"/>
      <c r="AB4837" s="75" t="n"/>
      <c r="AC4837" s="6" t="n"/>
      <c r="AD4837" s="75" t="n"/>
      <c r="AE4837" s="75" t="n"/>
      <c r="AF4837" s="75" t="n"/>
    </row>
    <row r="4838" ht="15.75" customHeight="1" s="133">
      <c r="A4838" s="75" t="n"/>
      <c r="B4838" s="75" t="n"/>
      <c r="C4838" s="75" t="n"/>
      <c r="D4838" s="75" t="n"/>
      <c r="E4838" s="76" t="n"/>
      <c r="F4838" s="77" t="n"/>
      <c r="G4838" s="75" t="n"/>
      <c r="H4838" s="75">
        <f>IF(ISBLANK(E4838),"",IF(OR(D4838="Butterfly",D4838="Butterfly ",D4838="Iron Fly", D4838="Iron Fly "),LEN(E4838)-LEN(SUBSTITUTE(E4838,"/",""))+2,LEN(E4838)-LEN(SUBSTITUTE(E4838,"/",""))+1))</f>
        <v/>
      </c>
      <c r="I4838" s="78">
        <f>IF(ISBLANK(G4838),"",IF(D4838="Stock","0",Key!$A$3*H4838*G4838))</f>
        <v/>
      </c>
      <c r="J4838" s="78">
        <f>IF(ISBLANK(E4838),"",IF(ISNUMBER(SEARCH("/",E4838)), IF(LEN(E4838)-LEN(SUBSTITUTE(E4838,"/",""))=1,(RIGHT(E4838,LEN(E4838)-FIND("/",E4838)))-(LEFT(E4838,FIND("/",E4838)-1)),(MID(E4838, SEARCH("/",E4838) + 1, SEARCH("/",E4838, SEARCH("/",E4838)+1) - SEARCH("/",E4838) - 1))-(LEFT(E4838,FIND("/",E4838)-1))), "NA"))</f>
        <v/>
      </c>
      <c r="K4838" s="79">
        <f>IF(A4838&lt;&gt;"", IF(ISBLANK(L4838), TODAY(), K4838), "")</f>
        <v/>
      </c>
      <c r="L4838" s="78" t="n"/>
      <c r="M4838" s="78">
        <f>IF(ISBLANK(L4838),"",IF(D4838="Stock",IF(C4838="Buy",L4838*G4838,IF(C4838="Sell",(L4838*G4838)-I4838, X)),IF(C4838="Buy",(L4838*G4838*100)+I4838,IF(C4838="Sell",(L4838*G4838*100)-I4838, X))))</f>
        <v/>
      </c>
      <c r="N4838" s="78">
        <f>IF(ISBLANK(L4838),"",IF(AND(C4838="Sell",D4838="Stock"),M4838,IF(ISBLANK(L4838),"",IF(C4838="Buy",M4838, IF(AND(C4838="Sell",J4838="NA"),(E4838*G4838*100*0.1)+I4838, IF(C4838="Sell",(J4838-L4838)*(100*G4838)+I4838))))))</f>
        <v/>
      </c>
      <c r="O4838" s="75" t="n"/>
      <c r="P4838" s="75" t="n"/>
      <c r="Q4838" s="75">
        <f>IF(ISBLANK(P4838),"",IF(D4838="Stock",P4838*G4838,IF(P4838=0,"0",G4838*P4838*100-(G4838*$AF$14))))</f>
        <v/>
      </c>
      <c r="R4838" s="79">
        <f>IF(P4838&lt;&gt;"", TODAY(), "")</f>
        <v/>
      </c>
      <c r="S4838" s="78">
        <f>IF(AND(K4838&lt;&gt;"", R4838&lt;&gt;""), R4838-K4838, "")</f>
        <v/>
      </c>
      <c r="T4838" s="78" t="n"/>
      <c r="U4838" s="92">
        <f>IF(ISBLANK(P4838),"",IF(C4838="Buy",Q4838-M4838+T4838, IF(C4838="Sell",M4838-Q4838-T4838, X)))</f>
        <v/>
      </c>
      <c r="V4838" s="81">
        <f>IF(ISBLANK(P4838),"",U4838/N4838)</f>
        <v/>
      </c>
      <c r="W4838" s="81">
        <f>IF(ISBLANK(P4838),"",IF(S4838=0,(365/0.5)*V4838,(365/S4838)*V4838))</f>
        <v/>
      </c>
      <c r="X4838" s="75" t="n"/>
      <c r="Y4838" s="77" t="n"/>
      <c r="Z4838" s="77" t="n"/>
      <c r="AA4838" s="75" t="n"/>
      <c r="AB4838" s="75" t="n"/>
      <c r="AC4838" s="6" t="n"/>
      <c r="AD4838" s="75" t="n"/>
      <c r="AE4838" s="75" t="n"/>
      <c r="AF4838" s="75" t="n"/>
    </row>
    <row r="4839" ht="15.75" customHeight="1" s="133">
      <c r="A4839" s="75" t="n"/>
      <c r="B4839" s="75" t="n"/>
      <c r="C4839" s="75" t="n"/>
      <c r="D4839" s="75" t="n"/>
      <c r="E4839" s="76" t="n"/>
      <c r="F4839" s="77" t="n"/>
      <c r="G4839" s="75" t="n"/>
      <c r="H4839" s="75">
        <f>IF(ISBLANK(E4839),"",IF(OR(D4839="Butterfly",D4839="Butterfly ",D4839="Iron Fly", D4839="Iron Fly "),LEN(E4839)-LEN(SUBSTITUTE(E4839,"/",""))+2,LEN(E4839)-LEN(SUBSTITUTE(E4839,"/",""))+1))</f>
        <v/>
      </c>
      <c r="I4839" s="78">
        <f>IF(ISBLANK(G4839),"",IF(D4839="Stock","0",Key!$A$3*H4839*G4839))</f>
        <v/>
      </c>
      <c r="J4839" s="78">
        <f>IF(ISBLANK(E4839),"",IF(ISNUMBER(SEARCH("/",E4839)), IF(LEN(E4839)-LEN(SUBSTITUTE(E4839,"/",""))=1,(RIGHT(E4839,LEN(E4839)-FIND("/",E4839)))-(LEFT(E4839,FIND("/",E4839)-1)),(MID(E4839, SEARCH("/",E4839) + 1, SEARCH("/",E4839, SEARCH("/",E4839)+1) - SEARCH("/",E4839) - 1))-(LEFT(E4839,FIND("/",E4839)-1))), "NA"))</f>
        <v/>
      </c>
      <c r="K4839" s="79">
        <f>IF(A4839&lt;&gt;"", IF(ISBLANK(L4839), TODAY(), K4839), "")</f>
        <v/>
      </c>
      <c r="L4839" s="78" t="n"/>
      <c r="M4839" s="78">
        <f>IF(ISBLANK(L4839),"",IF(D4839="Stock",IF(C4839="Buy",L4839*G4839,IF(C4839="Sell",(L4839*G4839)-I4839, X)),IF(C4839="Buy",(L4839*G4839*100)+I4839,IF(C4839="Sell",(L4839*G4839*100)-I4839, X))))</f>
        <v/>
      </c>
      <c r="N4839" s="78">
        <f>IF(ISBLANK(L4839),"",IF(AND(C4839="Sell",D4839="Stock"),M4839,IF(ISBLANK(L4839),"",IF(C4839="Buy",M4839, IF(AND(C4839="Sell",J4839="NA"),(E4839*G4839*100*0.1)+I4839, IF(C4839="Sell",(J4839-L4839)*(100*G4839)+I4839))))))</f>
        <v/>
      </c>
      <c r="O4839" s="75" t="n"/>
      <c r="P4839" s="75" t="n"/>
      <c r="Q4839" s="75">
        <f>IF(ISBLANK(P4839),"",IF(D4839="Stock",P4839*G4839,IF(P4839=0,"0",G4839*P4839*100-(G4839*$AF$14))))</f>
        <v/>
      </c>
      <c r="R4839" s="79">
        <f>IF(P4839&lt;&gt;"", TODAY(), "")</f>
        <v/>
      </c>
      <c r="S4839" s="78">
        <f>IF(AND(K4839&lt;&gt;"", R4839&lt;&gt;""), R4839-K4839, "")</f>
        <v/>
      </c>
      <c r="T4839" s="78" t="n"/>
      <c r="U4839" s="92">
        <f>IF(ISBLANK(P4839),"",IF(C4839="Buy",Q4839-M4839+T4839, IF(C4839="Sell",M4839-Q4839-T4839, X)))</f>
        <v/>
      </c>
      <c r="V4839" s="81">
        <f>IF(ISBLANK(P4839),"",U4839/N4839)</f>
        <v/>
      </c>
      <c r="W4839" s="81">
        <f>IF(ISBLANK(P4839),"",IF(S4839=0,(365/0.5)*V4839,(365/S4839)*V4839))</f>
        <v/>
      </c>
      <c r="X4839" s="75" t="n"/>
      <c r="Y4839" s="77" t="n"/>
      <c r="Z4839" s="77" t="n"/>
      <c r="AA4839" s="75" t="n"/>
      <c r="AB4839" s="75" t="n"/>
      <c r="AC4839" s="6" t="n"/>
      <c r="AD4839" s="75" t="n"/>
      <c r="AE4839" s="75" t="n"/>
      <c r="AF4839" s="75" t="n"/>
    </row>
    <row r="4840" ht="15.75" customHeight="1" s="133">
      <c r="A4840" s="75" t="n"/>
      <c r="B4840" s="75" t="n"/>
      <c r="C4840" s="75" t="n"/>
      <c r="D4840" s="75" t="n"/>
      <c r="E4840" s="76" t="n"/>
      <c r="F4840" s="77" t="n"/>
      <c r="G4840" s="75" t="n"/>
      <c r="H4840" s="75">
        <f>IF(ISBLANK(E4840),"",IF(OR(D4840="Butterfly",D4840="Butterfly ",D4840="Iron Fly", D4840="Iron Fly "),LEN(E4840)-LEN(SUBSTITUTE(E4840,"/",""))+2,LEN(E4840)-LEN(SUBSTITUTE(E4840,"/",""))+1))</f>
        <v/>
      </c>
      <c r="I4840" s="78">
        <f>IF(ISBLANK(G4840),"",IF(D4840="Stock","0",Key!$A$3*H4840*G4840))</f>
        <v/>
      </c>
      <c r="J4840" s="78">
        <f>IF(ISBLANK(E4840),"",IF(ISNUMBER(SEARCH("/",E4840)), IF(LEN(E4840)-LEN(SUBSTITUTE(E4840,"/",""))=1,(RIGHT(E4840,LEN(E4840)-FIND("/",E4840)))-(LEFT(E4840,FIND("/",E4840)-1)),(MID(E4840, SEARCH("/",E4840) + 1, SEARCH("/",E4840, SEARCH("/",E4840)+1) - SEARCH("/",E4840) - 1))-(LEFT(E4840,FIND("/",E4840)-1))), "NA"))</f>
        <v/>
      </c>
      <c r="K4840" s="79">
        <f>IF(A4840&lt;&gt;"", IF(ISBLANK(L4840), TODAY(), K4840), "")</f>
        <v/>
      </c>
      <c r="L4840" s="78" t="n"/>
      <c r="M4840" s="78">
        <f>IF(ISBLANK(L4840),"",IF(D4840="Stock",IF(C4840="Buy",L4840*G4840,IF(C4840="Sell",(L4840*G4840)-I4840, X)),IF(C4840="Buy",(L4840*G4840*100)+I4840,IF(C4840="Sell",(L4840*G4840*100)-I4840, X))))</f>
        <v/>
      </c>
      <c r="N4840" s="78">
        <f>IF(ISBLANK(L4840),"",IF(AND(C4840="Sell",D4840="Stock"),M4840,IF(ISBLANK(L4840),"",IF(C4840="Buy",M4840, IF(AND(C4840="Sell",J4840="NA"),(E4840*G4840*100*0.1)+I4840, IF(C4840="Sell",(J4840-L4840)*(100*G4840)+I4840))))))</f>
        <v/>
      </c>
      <c r="O4840" s="75" t="n"/>
      <c r="P4840" s="75" t="n"/>
      <c r="Q4840" s="75">
        <f>IF(ISBLANK(P4840),"",IF(D4840="Stock",P4840*G4840,IF(P4840=0,"0",G4840*P4840*100-(G4840*$AF$14))))</f>
        <v/>
      </c>
      <c r="R4840" s="79">
        <f>IF(P4840&lt;&gt;"", TODAY(), "")</f>
        <v/>
      </c>
      <c r="S4840" s="78">
        <f>IF(AND(K4840&lt;&gt;"", R4840&lt;&gt;""), R4840-K4840, "")</f>
        <v/>
      </c>
      <c r="T4840" s="78" t="n"/>
      <c r="U4840" s="92">
        <f>IF(ISBLANK(P4840),"",IF(C4840="Buy",Q4840-M4840+T4840, IF(C4840="Sell",M4840-Q4840-T4840, X)))</f>
        <v/>
      </c>
      <c r="V4840" s="81">
        <f>IF(ISBLANK(P4840),"",U4840/N4840)</f>
        <v/>
      </c>
      <c r="W4840" s="81">
        <f>IF(ISBLANK(P4840),"",IF(S4840=0,(365/0.5)*V4840,(365/S4840)*V4840))</f>
        <v/>
      </c>
      <c r="X4840" s="75" t="n"/>
      <c r="Y4840" s="77" t="n"/>
      <c r="Z4840" s="77" t="n"/>
      <c r="AA4840" s="75" t="n"/>
      <c r="AB4840" s="75" t="n"/>
      <c r="AC4840" s="6" t="n"/>
      <c r="AD4840" s="75" t="n"/>
      <c r="AE4840" s="75" t="n"/>
      <c r="AF4840" s="75" t="n"/>
    </row>
    <row r="4841" ht="15.75" customHeight="1" s="133">
      <c r="A4841" s="75" t="n"/>
      <c r="B4841" s="75" t="n"/>
      <c r="C4841" s="75" t="n"/>
      <c r="D4841" s="75" t="n"/>
      <c r="E4841" s="76" t="n"/>
      <c r="F4841" s="77" t="n"/>
      <c r="G4841" s="75" t="n"/>
      <c r="H4841" s="75">
        <f>IF(ISBLANK(E4841),"",IF(OR(D4841="Butterfly",D4841="Butterfly ",D4841="Iron Fly", D4841="Iron Fly "),LEN(E4841)-LEN(SUBSTITUTE(E4841,"/",""))+2,LEN(E4841)-LEN(SUBSTITUTE(E4841,"/",""))+1))</f>
        <v/>
      </c>
      <c r="I4841" s="78">
        <f>IF(ISBLANK(G4841),"",IF(D4841="Stock","0",Key!$A$3*H4841*G4841))</f>
        <v/>
      </c>
      <c r="J4841" s="78">
        <f>IF(ISBLANK(E4841),"",IF(ISNUMBER(SEARCH("/",E4841)), IF(LEN(E4841)-LEN(SUBSTITUTE(E4841,"/",""))=1,(RIGHT(E4841,LEN(E4841)-FIND("/",E4841)))-(LEFT(E4841,FIND("/",E4841)-1)),(MID(E4841, SEARCH("/",E4841) + 1, SEARCH("/",E4841, SEARCH("/",E4841)+1) - SEARCH("/",E4841) - 1))-(LEFT(E4841,FIND("/",E4841)-1))), "NA"))</f>
        <v/>
      </c>
      <c r="K4841" s="79">
        <f>IF(A4841&lt;&gt;"", IF(ISBLANK(L4841), TODAY(), K4841), "")</f>
        <v/>
      </c>
      <c r="L4841" s="78" t="n"/>
      <c r="M4841" s="78">
        <f>IF(ISBLANK(L4841),"",IF(D4841="Stock",IF(C4841="Buy",L4841*G4841,IF(C4841="Sell",(L4841*G4841)-I4841, X)),IF(C4841="Buy",(L4841*G4841*100)+I4841,IF(C4841="Sell",(L4841*G4841*100)-I4841, X))))</f>
        <v/>
      </c>
      <c r="N4841" s="78">
        <f>IF(ISBLANK(L4841),"",IF(AND(C4841="Sell",D4841="Stock"),M4841,IF(ISBLANK(L4841),"",IF(C4841="Buy",M4841, IF(AND(C4841="Sell",J4841="NA"),(E4841*G4841*100*0.1)+I4841, IF(C4841="Sell",(J4841-L4841)*(100*G4841)+I4841))))))</f>
        <v/>
      </c>
      <c r="O4841" s="75" t="n"/>
      <c r="P4841" s="75" t="n"/>
      <c r="Q4841" s="75">
        <f>IF(ISBLANK(P4841),"",IF(D4841="Stock",P4841*G4841,IF(P4841=0,"0",G4841*P4841*100-(G4841*$AF$14))))</f>
        <v/>
      </c>
      <c r="R4841" s="79">
        <f>IF(P4841&lt;&gt;"", TODAY(), "")</f>
        <v/>
      </c>
      <c r="S4841" s="78">
        <f>IF(AND(K4841&lt;&gt;"", R4841&lt;&gt;""), R4841-K4841, "")</f>
        <v/>
      </c>
      <c r="T4841" s="78" t="n"/>
      <c r="U4841" s="92">
        <f>IF(ISBLANK(P4841),"",IF(C4841="Buy",Q4841-M4841+T4841, IF(C4841="Sell",M4841-Q4841-T4841, X)))</f>
        <v/>
      </c>
      <c r="V4841" s="81">
        <f>IF(ISBLANK(P4841),"",U4841/N4841)</f>
        <v/>
      </c>
      <c r="W4841" s="81">
        <f>IF(ISBLANK(P4841),"",IF(S4841=0,(365/0.5)*V4841,(365/S4841)*V4841))</f>
        <v/>
      </c>
      <c r="X4841" s="75" t="n"/>
      <c r="Y4841" s="77" t="n"/>
      <c r="Z4841" s="77" t="n"/>
      <c r="AA4841" s="75" t="n"/>
      <c r="AB4841" s="75" t="n"/>
      <c r="AC4841" s="6" t="n"/>
      <c r="AD4841" s="75" t="n"/>
      <c r="AE4841" s="75" t="n"/>
      <c r="AF4841" s="75" t="n"/>
    </row>
    <row r="4842" ht="15.75" customHeight="1" s="133">
      <c r="A4842" s="75" t="n"/>
      <c r="B4842" s="75" t="n"/>
      <c r="C4842" s="75" t="n"/>
      <c r="D4842" s="75" t="n"/>
      <c r="E4842" s="76" t="n"/>
      <c r="F4842" s="77" t="n"/>
      <c r="G4842" s="75" t="n"/>
      <c r="H4842" s="75">
        <f>IF(ISBLANK(E4842),"",IF(OR(D4842="Butterfly",D4842="Butterfly ",D4842="Iron Fly", D4842="Iron Fly "),LEN(E4842)-LEN(SUBSTITUTE(E4842,"/",""))+2,LEN(E4842)-LEN(SUBSTITUTE(E4842,"/",""))+1))</f>
        <v/>
      </c>
      <c r="I4842" s="78">
        <f>IF(ISBLANK(G4842),"",IF(D4842="Stock","0",Key!$A$3*H4842*G4842))</f>
        <v/>
      </c>
      <c r="J4842" s="78">
        <f>IF(ISBLANK(E4842),"",IF(ISNUMBER(SEARCH("/",E4842)), IF(LEN(E4842)-LEN(SUBSTITUTE(E4842,"/",""))=1,(RIGHT(E4842,LEN(E4842)-FIND("/",E4842)))-(LEFT(E4842,FIND("/",E4842)-1)),(MID(E4842, SEARCH("/",E4842) + 1, SEARCH("/",E4842, SEARCH("/",E4842)+1) - SEARCH("/",E4842) - 1))-(LEFT(E4842,FIND("/",E4842)-1))), "NA"))</f>
        <v/>
      </c>
      <c r="K4842" s="79">
        <f>IF(A4842&lt;&gt;"", IF(ISBLANK(L4842), TODAY(), K4842), "")</f>
        <v/>
      </c>
      <c r="L4842" s="78" t="n"/>
      <c r="M4842" s="78">
        <f>IF(ISBLANK(L4842),"",IF(D4842="Stock",IF(C4842="Buy",L4842*G4842,IF(C4842="Sell",(L4842*G4842)-I4842, X)),IF(C4842="Buy",(L4842*G4842*100)+I4842,IF(C4842="Sell",(L4842*G4842*100)-I4842, X))))</f>
        <v/>
      </c>
      <c r="N4842" s="78">
        <f>IF(ISBLANK(L4842),"",IF(AND(C4842="Sell",D4842="Stock"),M4842,IF(ISBLANK(L4842),"",IF(C4842="Buy",M4842, IF(AND(C4842="Sell",J4842="NA"),(E4842*G4842*100*0.1)+I4842, IF(C4842="Sell",(J4842-L4842)*(100*G4842)+I4842))))))</f>
        <v/>
      </c>
      <c r="O4842" s="75" t="n"/>
      <c r="P4842" s="75" t="n"/>
      <c r="Q4842" s="75">
        <f>IF(ISBLANK(P4842),"",IF(D4842="Stock",P4842*G4842,IF(P4842=0,"0",G4842*P4842*100-(G4842*$AF$14))))</f>
        <v/>
      </c>
      <c r="R4842" s="79">
        <f>IF(P4842&lt;&gt;"", TODAY(), "")</f>
        <v/>
      </c>
      <c r="S4842" s="78">
        <f>IF(AND(K4842&lt;&gt;"", R4842&lt;&gt;""), R4842-K4842, "")</f>
        <v/>
      </c>
      <c r="T4842" s="78" t="n"/>
      <c r="U4842" s="92">
        <f>IF(ISBLANK(P4842),"",IF(C4842="Buy",Q4842-M4842+T4842, IF(C4842="Sell",M4842-Q4842-T4842, X)))</f>
        <v/>
      </c>
      <c r="V4842" s="81">
        <f>IF(ISBLANK(P4842),"",U4842/N4842)</f>
        <v/>
      </c>
      <c r="W4842" s="81">
        <f>IF(ISBLANK(P4842),"",IF(S4842=0,(365/0.5)*V4842,(365/S4842)*V4842))</f>
        <v/>
      </c>
      <c r="X4842" s="75" t="n"/>
      <c r="Y4842" s="77" t="n"/>
      <c r="Z4842" s="77" t="n"/>
      <c r="AA4842" s="75" t="n"/>
      <c r="AB4842" s="75" t="n"/>
      <c r="AC4842" s="6" t="n"/>
      <c r="AD4842" s="75" t="n"/>
      <c r="AE4842" s="75" t="n"/>
      <c r="AF4842" s="75" t="n"/>
    </row>
    <row r="4843" ht="15.75" customHeight="1" s="133">
      <c r="A4843" s="75" t="n"/>
      <c r="B4843" s="75" t="n"/>
      <c r="C4843" s="75" t="n"/>
      <c r="D4843" s="75" t="n"/>
      <c r="E4843" s="76" t="n"/>
      <c r="F4843" s="77" t="n"/>
      <c r="G4843" s="75" t="n"/>
      <c r="H4843" s="75">
        <f>IF(ISBLANK(E4843),"",IF(OR(D4843="Butterfly",D4843="Butterfly ",D4843="Iron Fly", D4843="Iron Fly "),LEN(E4843)-LEN(SUBSTITUTE(E4843,"/",""))+2,LEN(E4843)-LEN(SUBSTITUTE(E4843,"/",""))+1))</f>
        <v/>
      </c>
      <c r="I4843" s="78">
        <f>IF(ISBLANK(G4843),"",IF(D4843="Stock","0",Key!$A$3*H4843*G4843))</f>
        <v/>
      </c>
      <c r="J4843" s="78">
        <f>IF(ISBLANK(E4843),"",IF(ISNUMBER(SEARCH("/",E4843)), IF(LEN(E4843)-LEN(SUBSTITUTE(E4843,"/",""))=1,(RIGHT(E4843,LEN(E4843)-FIND("/",E4843)))-(LEFT(E4843,FIND("/",E4843)-1)),(MID(E4843, SEARCH("/",E4843) + 1, SEARCH("/",E4843, SEARCH("/",E4843)+1) - SEARCH("/",E4843) - 1))-(LEFT(E4843,FIND("/",E4843)-1))), "NA"))</f>
        <v/>
      </c>
      <c r="K4843" s="79">
        <f>IF(A4843&lt;&gt;"", IF(ISBLANK(L4843), TODAY(), K4843), "")</f>
        <v/>
      </c>
      <c r="L4843" s="78" t="n"/>
      <c r="M4843" s="78">
        <f>IF(ISBLANK(L4843),"",IF(D4843="Stock",IF(C4843="Buy",L4843*G4843,IF(C4843="Sell",(L4843*G4843)-I4843, X)),IF(C4843="Buy",(L4843*G4843*100)+I4843,IF(C4843="Sell",(L4843*G4843*100)-I4843, X))))</f>
        <v/>
      </c>
      <c r="N4843" s="78">
        <f>IF(ISBLANK(L4843),"",IF(AND(C4843="Sell",D4843="Stock"),M4843,IF(ISBLANK(L4843),"",IF(C4843="Buy",M4843, IF(AND(C4843="Sell",J4843="NA"),(E4843*G4843*100*0.1)+I4843, IF(C4843="Sell",(J4843-L4843)*(100*G4843)+I4843))))))</f>
        <v/>
      </c>
      <c r="O4843" s="75" t="n"/>
      <c r="P4843" s="75" t="n"/>
      <c r="Q4843" s="75">
        <f>IF(ISBLANK(P4843),"",IF(D4843="Stock",P4843*G4843,IF(P4843=0,"0",G4843*P4843*100-(G4843*$AF$14))))</f>
        <v/>
      </c>
      <c r="R4843" s="79">
        <f>IF(P4843&lt;&gt;"", TODAY(), "")</f>
        <v/>
      </c>
      <c r="S4843" s="78">
        <f>IF(AND(K4843&lt;&gt;"", R4843&lt;&gt;""), R4843-K4843, "")</f>
        <v/>
      </c>
      <c r="T4843" s="78" t="n"/>
      <c r="U4843" s="92">
        <f>IF(ISBLANK(P4843),"",IF(C4843="Buy",Q4843-M4843+T4843, IF(C4843="Sell",M4843-Q4843-T4843, X)))</f>
        <v/>
      </c>
      <c r="V4843" s="81">
        <f>IF(ISBLANK(P4843),"",U4843/N4843)</f>
        <v/>
      </c>
      <c r="W4843" s="81">
        <f>IF(ISBLANK(P4843),"",IF(S4843=0,(365/0.5)*V4843,(365/S4843)*V4843))</f>
        <v/>
      </c>
      <c r="X4843" s="75" t="n"/>
      <c r="Y4843" s="77" t="n"/>
      <c r="Z4843" s="77" t="n"/>
      <c r="AA4843" s="75" t="n"/>
      <c r="AB4843" s="75" t="n"/>
      <c r="AC4843" s="6" t="n"/>
      <c r="AD4843" s="75" t="n"/>
      <c r="AE4843" s="75" t="n"/>
      <c r="AF4843" s="75" t="n"/>
    </row>
    <row r="4844" ht="15.75" customHeight="1" s="133">
      <c r="A4844" s="75" t="n"/>
      <c r="B4844" s="75" t="n"/>
      <c r="C4844" s="75" t="n"/>
      <c r="D4844" s="75" t="n"/>
      <c r="E4844" s="76" t="n"/>
      <c r="F4844" s="77" t="n"/>
      <c r="G4844" s="75" t="n"/>
      <c r="H4844" s="75">
        <f>IF(ISBLANK(E4844),"",IF(OR(D4844="Butterfly",D4844="Butterfly ",D4844="Iron Fly", D4844="Iron Fly "),LEN(E4844)-LEN(SUBSTITUTE(E4844,"/",""))+2,LEN(E4844)-LEN(SUBSTITUTE(E4844,"/",""))+1))</f>
        <v/>
      </c>
      <c r="I4844" s="78">
        <f>IF(ISBLANK(G4844),"",IF(D4844="Stock","0",Key!$A$3*H4844*G4844))</f>
        <v/>
      </c>
      <c r="J4844" s="78">
        <f>IF(ISBLANK(E4844),"",IF(ISNUMBER(SEARCH("/",E4844)), IF(LEN(E4844)-LEN(SUBSTITUTE(E4844,"/",""))=1,(RIGHT(E4844,LEN(E4844)-FIND("/",E4844)))-(LEFT(E4844,FIND("/",E4844)-1)),(MID(E4844, SEARCH("/",E4844) + 1, SEARCH("/",E4844, SEARCH("/",E4844)+1) - SEARCH("/",E4844) - 1))-(LEFT(E4844,FIND("/",E4844)-1))), "NA"))</f>
        <v/>
      </c>
      <c r="K4844" s="79">
        <f>IF(A4844&lt;&gt;"", IF(ISBLANK(L4844), TODAY(), K4844), "")</f>
        <v/>
      </c>
      <c r="L4844" s="78" t="n"/>
      <c r="M4844" s="78">
        <f>IF(ISBLANK(L4844),"",IF(D4844="Stock",IF(C4844="Buy",L4844*G4844,IF(C4844="Sell",(L4844*G4844)-I4844, X)),IF(C4844="Buy",(L4844*G4844*100)+I4844,IF(C4844="Sell",(L4844*G4844*100)-I4844, X))))</f>
        <v/>
      </c>
      <c r="N4844" s="78">
        <f>IF(ISBLANK(L4844),"",IF(AND(C4844="Sell",D4844="Stock"),M4844,IF(ISBLANK(L4844),"",IF(C4844="Buy",M4844, IF(AND(C4844="Sell",J4844="NA"),(E4844*G4844*100*0.1)+I4844, IF(C4844="Sell",(J4844-L4844)*(100*G4844)+I4844))))))</f>
        <v/>
      </c>
      <c r="O4844" s="75" t="n"/>
      <c r="P4844" s="75" t="n"/>
      <c r="Q4844" s="75">
        <f>IF(ISBLANK(P4844),"",IF(D4844="Stock",P4844*G4844,IF(P4844=0,"0",G4844*P4844*100-(G4844*$AF$14))))</f>
        <v/>
      </c>
      <c r="R4844" s="79">
        <f>IF(P4844&lt;&gt;"", TODAY(), "")</f>
        <v/>
      </c>
      <c r="S4844" s="78">
        <f>IF(AND(K4844&lt;&gt;"", R4844&lt;&gt;""), R4844-K4844, "")</f>
        <v/>
      </c>
      <c r="T4844" s="78" t="n"/>
      <c r="U4844" s="92">
        <f>IF(ISBLANK(P4844),"",IF(C4844="Buy",Q4844-M4844+T4844, IF(C4844="Sell",M4844-Q4844-T4844, X)))</f>
        <v/>
      </c>
      <c r="V4844" s="81">
        <f>IF(ISBLANK(P4844),"",U4844/N4844)</f>
        <v/>
      </c>
      <c r="W4844" s="81">
        <f>IF(ISBLANK(P4844),"",IF(S4844=0,(365/0.5)*V4844,(365/S4844)*V4844))</f>
        <v/>
      </c>
      <c r="X4844" s="75" t="n"/>
      <c r="Y4844" s="77" t="n"/>
      <c r="Z4844" s="77" t="n"/>
      <c r="AA4844" s="75" t="n"/>
      <c r="AB4844" s="75" t="n"/>
      <c r="AC4844" s="6" t="n"/>
      <c r="AD4844" s="75" t="n"/>
      <c r="AE4844" s="75" t="n"/>
      <c r="AF4844" s="75" t="n"/>
    </row>
    <row r="4845" ht="15.75" customHeight="1" s="133">
      <c r="A4845" s="75" t="n"/>
      <c r="B4845" s="75" t="n"/>
      <c r="C4845" s="75" t="n"/>
      <c r="D4845" s="75" t="n"/>
      <c r="E4845" s="76" t="n"/>
      <c r="F4845" s="77" t="n"/>
      <c r="G4845" s="75" t="n"/>
      <c r="H4845" s="75">
        <f>IF(ISBLANK(E4845),"",IF(OR(D4845="Butterfly",D4845="Butterfly ",D4845="Iron Fly", D4845="Iron Fly "),LEN(E4845)-LEN(SUBSTITUTE(E4845,"/",""))+2,LEN(E4845)-LEN(SUBSTITUTE(E4845,"/",""))+1))</f>
        <v/>
      </c>
      <c r="I4845" s="78">
        <f>IF(ISBLANK(G4845),"",IF(D4845="Stock","0",Key!$A$3*H4845*G4845))</f>
        <v/>
      </c>
      <c r="J4845" s="78">
        <f>IF(ISBLANK(E4845),"",IF(ISNUMBER(SEARCH("/",E4845)), IF(LEN(E4845)-LEN(SUBSTITUTE(E4845,"/",""))=1,(RIGHT(E4845,LEN(E4845)-FIND("/",E4845)))-(LEFT(E4845,FIND("/",E4845)-1)),(MID(E4845, SEARCH("/",E4845) + 1, SEARCH("/",E4845, SEARCH("/",E4845)+1) - SEARCH("/",E4845) - 1))-(LEFT(E4845,FIND("/",E4845)-1))), "NA"))</f>
        <v/>
      </c>
      <c r="K4845" s="79">
        <f>IF(A4845&lt;&gt;"", IF(ISBLANK(L4845), TODAY(), K4845), "")</f>
        <v/>
      </c>
      <c r="L4845" s="78" t="n"/>
      <c r="M4845" s="78">
        <f>IF(ISBLANK(L4845),"",IF(D4845="Stock",IF(C4845="Buy",L4845*G4845,IF(C4845="Sell",(L4845*G4845)-I4845, X)),IF(C4845="Buy",(L4845*G4845*100)+I4845,IF(C4845="Sell",(L4845*G4845*100)-I4845, X))))</f>
        <v/>
      </c>
      <c r="N4845" s="78">
        <f>IF(ISBLANK(L4845),"",IF(AND(C4845="Sell",D4845="Stock"),M4845,IF(ISBLANK(L4845),"",IF(C4845="Buy",M4845, IF(AND(C4845="Sell",J4845="NA"),(E4845*G4845*100*0.1)+I4845, IF(C4845="Sell",(J4845-L4845)*(100*G4845)+I4845))))))</f>
        <v/>
      </c>
      <c r="O4845" s="75" t="n"/>
      <c r="P4845" s="75" t="n"/>
      <c r="Q4845" s="75">
        <f>IF(ISBLANK(P4845),"",IF(D4845="Stock",P4845*G4845,IF(P4845=0,"0",G4845*P4845*100-(G4845*$AF$14))))</f>
        <v/>
      </c>
      <c r="R4845" s="79">
        <f>IF(P4845&lt;&gt;"", TODAY(), "")</f>
        <v/>
      </c>
      <c r="S4845" s="78">
        <f>IF(AND(K4845&lt;&gt;"", R4845&lt;&gt;""), R4845-K4845, "")</f>
        <v/>
      </c>
      <c r="T4845" s="78" t="n"/>
      <c r="U4845" s="92">
        <f>IF(ISBLANK(P4845),"",IF(C4845="Buy",Q4845-M4845+T4845, IF(C4845="Sell",M4845-Q4845-T4845, X)))</f>
        <v/>
      </c>
      <c r="V4845" s="81">
        <f>IF(ISBLANK(P4845),"",U4845/N4845)</f>
        <v/>
      </c>
      <c r="W4845" s="81">
        <f>IF(ISBLANK(P4845),"",IF(S4845=0,(365/0.5)*V4845,(365/S4845)*V4845))</f>
        <v/>
      </c>
      <c r="X4845" s="75" t="n"/>
      <c r="Y4845" s="77" t="n"/>
      <c r="Z4845" s="77" t="n"/>
      <c r="AA4845" s="75" t="n"/>
      <c r="AB4845" s="75" t="n"/>
      <c r="AC4845" s="6" t="n"/>
      <c r="AD4845" s="75" t="n"/>
      <c r="AE4845" s="75" t="n"/>
      <c r="AF4845" s="75" t="n"/>
    </row>
    <row r="4846" ht="15.75" customHeight="1" s="133">
      <c r="A4846" s="75" t="n"/>
      <c r="B4846" s="75" t="n"/>
      <c r="C4846" s="75" t="n"/>
      <c r="D4846" s="75" t="n"/>
      <c r="E4846" s="76" t="n"/>
      <c r="F4846" s="77" t="n"/>
      <c r="G4846" s="75" t="n"/>
      <c r="H4846" s="75">
        <f>IF(ISBLANK(E4846),"",IF(OR(D4846="Butterfly",D4846="Butterfly ",D4846="Iron Fly", D4846="Iron Fly "),LEN(E4846)-LEN(SUBSTITUTE(E4846,"/",""))+2,LEN(E4846)-LEN(SUBSTITUTE(E4846,"/",""))+1))</f>
        <v/>
      </c>
      <c r="I4846" s="78">
        <f>IF(ISBLANK(G4846),"",IF(D4846="Stock","0",Key!$A$3*H4846*G4846))</f>
        <v/>
      </c>
      <c r="J4846" s="78">
        <f>IF(ISBLANK(E4846),"",IF(ISNUMBER(SEARCH("/",E4846)), IF(LEN(E4846)-LEN(SUBSTITUTE(E4846,"/",""))=1,(RIGHT(E4846,LEN(E4846)-FIND("/",E4846)))-(LEFT(E4846,FIND("/",E4846)-1)),(MID(E4846, SEARCH("/",E4846) + 1, SEARCH("/",E4846, SEARCH("/",E4846)+1) - SEARCH("/",E4846) - 1))-(LEFT(E4846,FIND("/",E4846)-1))), "NA"))</f>
        <v/>
      </c>
      <c r="K4846" s="79">
        <f>IF(A4846&lt;&gt;"", IF(ISBLANK(L4846), TODAY(), K4846), "")</f>
        <v/>
      </c>
      <c r="L4846" s="78" t="n"/>
      <c r="M4846" s="78">
        <f>IF(ISBLANK(L4846),"",IF(D4846="Stock",IF(C4846="Buy",L4846*G4846,IF(C4846="Sell",(L4846*G4846)-I4846, X)),IF(C4846="Buy",(L4846*G4846*100)+I4846,IF(C4846="Sell",(L4846*G4846*100)-I4846, X))))</f>
        <v/>
      </c>
      <c r="N4846" s="78">
        <f>IF(ISBLANK(L4846),"",IF(AND(C4846="Sell",D4846="Stock"),M4846,IF(ISBLANK(L4846),"",IF(C4846="Buy",M4846, IF(AND(C4846="Sell",J4846="NA"),(E4846*G4846*100*0.1)+I4846, IF(C4846="Sell",(J4846-L4846)*(100*G4846)+I4846))))))</f>
        <v/>
      </c>
      <c r="O4846" s="75" t="n"/>
      <c r="P4846" s="75" t="n"/>
      <c r="Q4846" s="75">
        <f>IF(ISBLANK(P4846),"",IF(D4846="Stock",P4846*G4846,IF(P4846=0,"0",G4846*P4846*100-(G4846*$AF$14))))</f>
        <v/>
      </c>
      <c r="R4846" s="79">
        <f>IF(P4846&lt;&gt;"", TODAY(), "")</f>
        <v/>
      </c>
      <c r="S4846" s="78">
        <f>IF(AND(K4846&lt;&gt;"", R4846&lt;&gt;""), R4846-K4846, "")</f>
        <v/>
      </c>
      <c r="T4846" s="78" t="n"/>
      <c r="U4846" s="92">
        <f>IF(ISBLANK(P4846),"",IF(C4846="Buy",Q4846-M4846+T4846, IF(C4846="Sell",M4846-Q4846-T4846, X)))</f>
        <v/>
      </c>
      <c r="V4846" s="81">
        <f>IF(ISBLANK(P4846),"",U4846/N4846)</f>
        <v/>
      </c>
      <c r="W4846" s="81">
        <f>IF(ISBLANK(P4846),"",IF(S4846=0,(365/0.5)*V4846,(365/S4846)*V4846))</f>
        <v/>
      </c>
      <c r="X4846" s="75" t="n"/>
      <c r="Y4846" s="77" t="n"/>
      <c r="Z4846" s="77" t="n"/>
      <c r="AA4846" s="75" t="n"/>
      <c r="AB4846" s="75" t="n"/>
      <c r="AC4846" s="6" t="n"/>
      <c r="AD4846" s="75" t="n"/>
      <c r="AE4846" s="75" t="n"/>
      <c r="AF4846" s="75" t="n"/>
    </row>
    <row r="4847" ht="15.75" customHeight="1" s="133">
      <c r="A4847" s="75" t="n"/>
      <c r="B4847" s="75" t="n"/>
      <c r="C4847" s="75" t="n"/>
      <c r="D4847" s="75" t="n"/>
      <c r="E4847" s="76" t="n"/>
      <c r="F4847" s="77" t="n"/>
      <c r="G4847" s="75" t="n"/>
      <c r="H4847" s="75">
        <f>IF(ISBLANK(E4847),"",IF(OR(D4847="Butterfly",D4847="Butterfly ",D4847="Iron Fly", D4847="Iron Fly "),LEN(E4847)-LEN(SUBSTITUTE(E4847,"/",""))+2,LEN(E4847)-LEN(SUBSTITUTE(E4847,"/",""))+1))</f>
        <v/>
      </c>
      <c r="I4847" s="78">
        <f>IF(ISBLANK(G4847),"",IF(D4847="Stock","0",Key!$A$3*H4847*G4847))</f>
        <v/>
      </c>
      <c r="J4847" s="78">
        <f>IF(ISBLANK(E4847),"",IF(ISNUMBER(SEARCH("/",E4847)), IF(LEN(E4847)-LEN(SUBSTITUTE(E4847,"/",""))=1,(RIGHT(E4847,LEN(E4847)-FIND("/",E4847)))-(LEFT(E4847,FIND("/",E4847)-1)),(MID(E4847, SEARCH("/",E4847) + 1, SEARCH("/",E4847, SEARCH("/",E4847)+1) - SEARCH("/",E4847) - 1))-(LEFT(E4847,FIND("/",E4847)-1))), "NA"))</f>
        <v/>
      </c>
      <c r="K4847" s="79">
        <f>IF(A4847&lt;&gt;"", IF(ISBLANK(L4847), TODAY(), K4847), "")</f>
        <v/>
      </c>
      <c r="L4847" s="78" t="n"/>
      <c r="M4847" s="78">
        <f>IF(ISBLANK(L4847),"",IF(D4847="Stock",IF(C4847="Buy",L4847*G4847,IF(C4847="Sell",(L4847*G4847)-I4847, X)),IF(C4847="Buy",(L4847*G4847*100)+I4847,IF(C4847="Sell",(L4847*G4847*100)-I4847, X))))</f>
        <v/>
      </c>
      <c r="N4847" s="78">
        <f>IF(ISBLANK(L4847),"",IF(AND(C4847="Sell",D4847="Stock"),M4847,IF(ISBLANK(L4847),"",IF(C4847="Buy",M4847, IF(AND(C4847="Sell",J4847="NA"),(E4847*G4847*100*0.1)+I4847, IF(C4847="Sell",(J4847-L4847)*(100*G4847)+I4847))))))</f>
        <v/>
      </c>
      <c r="O4847" s="75" t="n"/>
      <c r="P4847" s="75" t="n"/>
      <c r="Q4847" s="75">
        <f>IF(ISBLANK(P4847),"",IF(D4847="Stock",P4847*G4847,IF(P4847=0,"0",G4847*P4847*100-(G4847*$AF$14))))</f>
        <v/>
      </c>
      <c r="R4847" s="79">
        <f>IF(P4847&lt;&gt;"", TODAY(), "")</f>
        <v/>
      </c>
      <c r="S4847" s="78">
        <f>IF(AND(K4847&lt;&gt;"", R4847&lt;&gt;""), R4847-K4847, "")</f>
        <v/>
      </c>
      <c r="T4847" s="78" t="n"/>
      <c r="U4847" s="92">
        <f>IF(ISBLANK(P4847),"",IF(C4847="Buy",Q4847-M4847+T4847, IF(C4847="Sell",M4847-Q4847-T4847, X)))</f>
        <v/>
      </c>
      <c r="V4847" s="81">
        <f>IF(ISBLANK(P4847),"",U4847/N4847)</f>
        <v/>
      </c>
      <c r="W4847" s="81">
        <f>IF(ISBLANK(P4847),"",IF(S4847=0,(365/0.5)*V4847,(365/S4847)*V4847))</f>
        <v/>
      </c>
      <c r="X4847" s="75" t="n"/>
      <c r="Y4847" s="77" t="n"/>
      <c r="Z4847" s="77" t="n"/>
      <c r="AA4847" s="75" t="n"/>
      <c r="AB4847" s="75" t="n"/>
      <c r="AC4847" s="6" t="n"/>
      <c r="AD4847" s="75" t="n"/>
      <c r="AE4847" s="75" t="n"/>
      <c r="AF4847" s="75" t="n"/>
    </row>
    <row r="4848" ht="15.75" customHeight="1" s="133">
      <c r="A4848" s="75" t="n"/>
      <c r="B4848" s="75" t="n"/>
      <c r="C4848" s="75" t="n"/>
      <c r="D4848" s="75" t="n"/>
      <c r="E4848" s="76" t="n"/>
      <c r="F4848" s="77" t="n"/>
      <c r="G4848" s="75" t="n"/>
      <c r="H4848" s="75">
        <f>IF(ISBLANK(E4848),"",IF(OR(D4848="Butterfly",D4848="Butterfly ",D4848="Iron Fly", D4848="Iron Fly "),LEN(E4848)-LEN(SUBSTITUTE(E4848,"/",""))+2,LEN(E4848)-LEN(SUBSTITUTE(E4848,"/",""))+1))</f>
        <v/>
      </c>
      <c r="I4848" s="78">
        <f>IF(ISBLANK(G4848),"",IF(D4848="Stock","0",Key!$A$3*H4848*G4848))</f>
        <v/>
      </c>
      <c r="J4848" s="78">
        <f>IF(ISBLANK(E4848),"",IF(ISNUMBER(SEARCH("/",E4848)), IF(LEN(E4848)-LEN(SUBSTITUTE(E4848,"/",""))=1,(RIGHT(E4848,LEN(E4848)-FIND("/",E4848)))-(LEFT(E4848,FIND("/",E4848)-1)),(MID(E4848, SEARCH("/",E4848) + 1, SEARCH("/",E4848, SEARCH("/",E4848)+1) - SEARCH("/",E4848) - 1))-(LEFT(E4848,FIND("/",E4848)-1))), "NA"))</f>
        <v/>
      </c>
      <c r="K4848" s="79">
        <f>IF(A4848&lt;&gt;"", IF(ISBLANK(L4848), TODAY(), K4848), "")</f>
        <v/>
      </c>
      <c r="L4848" s="78" t="n"/>
      <c r="M4848" s="78">
        <f>IF(ISBLANK(L4848),"",IF(D4848="Stock",IF(C4848="Buy",L4848*G4848,IF(C4848="Sell",(L4848*G4848)-I4848, X)),IF(C4848="Buy",(L4848*G4848*100)+I4848,IF(C4848="Sell",(L4848*G4848*100)-I4848, X))))</f>
        <v/>
      </c>
      <c r="N4848" s="78">
        <f>IF(ISBLANK(L4848),"",IF(AND(C4848="Sell",D4848="Stock"),M4848,IF(ISBLANK(L4848),"",IF(C4848="Buy",M4848, IF(AND(C4848="Sell",J4848="NA"),(E4848*G4848*100*0.1)+I4848, IF(C4848="Sell",(J4848-L4848)*(100*G4848)+I4848))))))</f>
        <v/>
      </c>
      <c r="O4848" s="75" t="n"/>
      <c r="P4848" s="75" t="n"/>
      <c r="Q4848" s="75">
        <f>IF(ISBLANK(P4848),"",IF(D4848="Stock",P4848*G4848,IF(P4848=0,"0",G4848*P4848*100-(G4848*$AF$14))))</f>
        <v/>
      </c>
      <c r="R4848" s="79">
        <f>IF(P4848&lt;&gt;"", TODAY(), "")</f>
        <v/>
      </c>
      <c r="S4848" s="78">
        <f>IF(AND(K4848&lt;&gt;"", R4848&lt;&gt;""), R4848-K4848, "")</f>
        <v/>
      </c>
      <c r="T4848" s="78" t="n"/>
      <c r="U4848" s="92">
        <f>IF(ISBLANK(P4848),"",IF(C4848="Buy",Q4848-M4848+T4848, IF(C4848="Sell",M4848-Q4848-T4848, X)))</f>
        <v/>
      </c>
      <c r="V4848" s="81">
        <f>IF(ISBLANK(P4848),"",U4848/N4848)</f>
        <v/>
      </c>
      <c r="W4848" s="81">
        <f>IF(ISBLANK(P4848),"",IF(S4848=0,(365/0.5)*V4848,(365/S4848)*V4848))</f>
        <v/>
      </c>
      <c r="X4848" s="75" t="n"/>
      <c r="Y4848" s="77" t="n"/>
      <c r="Z4848" s="77" t="n"/>
      <c r="AA4848" s="75" t="n"/>
      <c r="AB4848" s="75" t="n"/>
      <c r="AC4848" s="6" t="n"/>
      <c r="AD4848" s="75" t="n"/>
      <c r="AE4848" s="75" t="n"/>
      <c r="AF4848" s="75" t="n"/>
    </row>
    <row r="4849" ht="15.75" customHeight="1" s="133">
      <c r="A4849" s="75" t="n"/>
      <c r="B4849" s="75" t="n"/>
      <c r="C4849" s="75" t="n"/>
      <c r="D4849" s="75" t="n"/>
      <c r="E4849" s="76" t="n"/>
      <c r="F4849" s="77" t="n"/>
      <c r="G4849" s="75" t="n"/>
      <c r="H4849" s="75">
        <f>IF(ISBLANK(E4849),"",IF(OR(D4849="Butterfly",D4849="Butterfly ",D4849="Iron Fly", D4849="Iron Fly "),LEN(E4849)-LEN(SUBSTITUTE(E4849,"/",""))+2,LEN(E4849)-LEN(SUBSTITUTE(E4849,"/",""))+1))</f>
        <v/>
      </c>
      <c r="I4849" s="78">
        <f>IF(ISBLANK(G4849),"",IF(D4849="Stock","0",Key!$A$3*H4849*G4849))</f>
        <v/>
      </c>
      <c r="J4849" s="78">
        <f>IF(ISBLANK(E4849),"",IF(ISNUMBER(SEARCH("/",E4849)), IF(LEN(E4849)-LEN(SUBSTITUTE(E4849,"/",""))=1,(RIGHT(E4849,LEN(E4849)-FIND("/",E4849)))-(LEFT(E4849,FIND("/",E4849)-1)),(MID(E4849, SEARCH("/",E4849) + 1, SEARCH("/",E4849, SEARCH("/",E4849)+1) - SEARCH("/",E4849) - 1))-(LEFT(E4849,FIND("/",E4849)-1))), "NA"))</f>
        <v/>
      </c>
      <c r="K4849" s="79">
        <f>IF(A4849&lt;&gt;"", IF(ISBLANK(L4849), TODAY(), K4849), "")</f>
        <v/>
      </c>
      <c r="L4849" s="78" t="n"/>
      <c r="M4849" s="78">
        <f>IF(ISBLANK(L4849),"",IF(D4849="Stock",IF(C4849="Buy",L4849*G4849,IF(C4849="Sell",(L4849*G4849)-I4849, X)),IF(C4849="Buy",(L4849*G4849*100)+I4849,IF(C4849="Sell",(L4849*G4849*100)-I4849, X))))</f>
        <v/>
      </c>
      <c r="N4849" s="78">
        <f>IF(ISBLANK(L4849),"",IF(AND(C4849="Sell",D4849="Stock"),M4849,IF(ISBLANK(L4849),"",IF(C4849="Buy",M4849, IF(AND(C4849="Sell",J4849="NA"),(E4849*G4849*100*0.1)+I4849, IF(C4849="Sell",(J4849-L4849)*(100*G4849)+I4849))))))</f>
        <v/>
      </c>
      <c r="O4849" s="75" t="n"/>
      <c r="P4849" s="75" t="n"/>
      <c r="Q4849" s="75">
        <f>IF(ISBLANK(P4849),"",IF(D4849="Stock",P4849*G4849,IF(P4849=0,"0",G4849*P4849*100-(G4849*$AF$14))))</f>
        <v/>
      </c>
      <c r="R4849" s="79">
        <f>IF(P4849&lt;&gt;"", TODAY(), "")</f>
        <v/>
      </c>
      <c r="S4849" s="78">
        <f>IF(AND(K4849&lt;&gt;"", R4849&lt;&gt;""), R4849-K4849, "")</f>
        <v/>
      </c>
      <c r="T4849" s="78" t="n"/>
      <c r="U4849" s="92">
        <f>IF(ISBLANK(P4849),"",IF(C4849="Buy",Q4849-M4849+T4849, IF(C4849="Sell",M4849-Q4849-T4849, X)))</f>
        <v/>
      </c>
      <c r="V4849" s="81">
        <f>IF(ISBLANK(P4849),"",U4849/N4849)</f>
        <v/>
      </c>
      <c r="W4849" s="81">
        <f>IF(ISBLANK(P4849),"",IF(S4849=0,(365/0.5)*V4849,(365/S4849)*V4849))</f>
        <v/>
      </c>
      <c r="X4849" s="75" t="n"/>
      <c r="Y4849" s="77" t="n"/>
      <c r="Z4849" s="77" t="n"/>
      <c r="AA4849" s="75" t="n"/>
      <c r="AB4849" s="75" t="n"/>
      <c r="AC4849" s="6" t="n"/>
      <c r="AD4849" s="75" t="n"/>
      <c r="AE4849" s="75" t="n"/>
      <c r="AF4849" s="75" t="n"/>
    </row>
    <row r="4850" ht="15.75" customHeight="1" s="133">
      <c r="A4850" s="75" t="n"/>
      <c r="B4850" s="75" t="n"/>
      <c r="C4850" s="75" t="n"/>
      <c r="D4850" s="75" t="n"/>
      <c r="E4850" s="76" t="n"/>
      <c r="F4850" s="77" t="n"/>
      <c r="G4850" s="75" t="n"/>
      <c r="H4850" s="75">
        <f>IF(ISBLANK(E4850),"",IF(OR(D4850="Butterfly",D4850="Butterfly ",D4850="Iron Fly", D4850="Iron Fly "),LEN(E4850)-LEN(SUBSTITUTE(E4850,"/",""))+2,LEN(E4850)-LEN(SUBSTITUTE(E4850,"/",""))+1))</f>
        <v/>
      </c>
      <c r="I4850" s="78">
        <f>IF(ISBLANK(G4850),"",IF(D4850="Stock","0",Key!$A$3*H4850*G4850))</f>
        <v/>
      </c>
      <c r="J4850" s="78">
        <f>IF(ISBLANK(E4850),"",IF(ISNUMBER(SEARCH("/",E4850)), IF(LEN(E4850)-LEN(SUBSTITUTE(E4850,"/",""))=1,(RIGHT(E4850,LEN(E4850)-FIND("/",E4850)))-(LEFT(E4850,FIND("/",E4850)-1)),(MID(E4850, SEARCH("/",E4850) + 1, SEARCH("/",E4850, SEARCH("/",E4850)+1) - SEARCH("/",E4850) - 1))-(LEFT(E4850,FIND("/",E4850)-1))), "NA"))</f>
        <v/>
      </c>
      <c r="K4850" s="79">
        <f>IF(A4850&lt;&gt;"", IF(ISBLANK(L4850), TODAY(), K4850), "")</f>
        <v/>
      </c>
      <c r="L4850" s="78" t="n"/>
      <c r="M4850" s="78">
        <f>IF(ISBLANK(L4850),"",IF(D4850="Stock",IF(C4850="Buy",L4850*G4850,IF(C4850="Sell",(L4850*G4850)-I4850, X)),IF(C4850="Buy",(L4850*G4850*100)+I4850,IF(C4850="Sell",(L4850*G4850*100)-I4850, X))))</f>
        <v/>
      </c>
      <c r="N4850" s="78">
        <f>IF(ISBLANK(L4850),"",IF(AND(C4850="Sell",D4850="Stock"),M4850,IF(ISBLANK(L4850),"",IF(C4850="Buy",M4850, IF(AND(C4850="Sell",J4850="NA"),(E4850*G4850*100*0.1)+I4850, IF(C4850="Sell",(J4850-L4850)*(100*G4850)+I4850))))))</f>
        <v/>
      </c>
      <c r="O4850" s="75" t="n"/>
      <c r="P4850" s="75" t="n"/>
      <c r="Q4850" s="75">
        <f>IF(ISBLANK(P4850),"",IF(D4850="Stock",P4850*G4850,IF(P4850=0,"0",G4850*P4850*100-(G4850*$AF$14))))</f>
        <v/>
      </c>
      <c r="R4850" s="79">
        <f>IF(P4850&lt;&gt;"", TODAY(), "")</f>
        <v/>
      </c>
      <c r="S4850" s="78">
        <f>IF(AND(K4850&lt;&gt;"", R4850&lt;&gt;""), R4850-K4850, "")</f>
        <v/>
      </c>
      <c r="T4850" s="78" t="n"/>
      <c r="U4850" s="92">
        <f>IF(ISBLANK(P4850),"",IF(C4850="Buy",Q4850-M4850+T4850, IF(C4850="Sell",M4850-Q4850-T4850, X)))</f>
        <v/>
      </c>
      <c r="V4850" s="81">
        <f>IF(ISBLANK(P4850),"",U4850/N4850)</f>
        <v/>
      </c>
      <c r="W4850" s="81">
        <f>IF(ISBLANK(P4850),"",IF(S4850=0,(365/0.5)*V4850,(365/S4850)*V4850))</f>
        <v/>
      </c>
      <c r="X4850" s="75" t="n"/>
      <c r="Y4850" s="77" t="n"/>
      <c r="Z4850" s="77" t="n"/>
      <c r="AA4850" s="75" t="n"/>
      <c r="AB4850" s="75" t="n"/>
      <c r="AC4850" s="6" t="n"/>
      <c r="AD4850" s="75" t="n"/>
      <c r="AE4850" s="75" t="n"/>
      <c r="AF4850" s="75" t="n"/>
    </row>
    <row r="4851" ht="15.75" customHeight="1" s="133">
      <c r="A4851" s="75" t="n"/>
      <c r="B4851" s="75" t="n"/>
      <c r="C4851" s="75" t="n"/>
      <c r="D4851" s="75" t="n"/>
      <c r="E4851" s="76" t="n"/>
      <c r="F4851" s="77" t="n"/>
      <c r="G4851" s="75" t="n"/>
      <c r="H4851" s="75">
        <f>IF(ISBLANK(E4851),"",IF(OR(D4851="Butterfly",D4851="Butterfly ",D4851="Iron Fly", D4851="Iron Fly "),LEN(E4851)-LEN(SUBSTITUTE(E4851,"/",""))+2,LEN(E4851)-LEN(SUBSTITUTE(E4851,"/",""))+1))</f>
        <v/>
      </c>
      <c r="I4851" s="78">
        <f>IF(ISBLANK(G4851),"",IF(D4851="Stock","0",Key!$A$3*H4851*G4851))</f>
        <v/>
      </c>
      <c r="J4851" s="78">
        <f>IF(ISBLANK(E4851),"",IF(ISNUMBER(SEARCH("/",E4851)), IF(LEN(E4851)-LEN(SUBSTITUTE(E4851,"/",""))=1,(RIGHT(E4851,LEN(E4851)-FIND("/",E4851)))-(LEFT(E4851,FIND("/",E4851)-1)),(MID(E4851, SEARCH("/",E4851) + 1, SEARCH("/",E4851, SEARCH("/",E4851)+1) - SEARCH("/",E4851) - 1))-(LEFT(E4851,FIND("/",E4851)-1))), "NA"))</f>
        <v/>
      </c>
      <c r="K4851" s="79">
        <f>IF(A4851&lt;&gt;"", IF(ISBLANK(L4851), TODAY(), K4851), "")</f>
        <v/>
      </c>
      <c r="L4851" s="78" t="n"/>
      <c r="M4851" s="78">
        <f>IF(ISBLANK(L4851),"",IF(D4851="Stock",IF(C4851="Buy",L4851*G4851,IF(C4851="Sell",(L4851*G4851)-I4851, X)),IF(C4851="Buy",(L4851*G4851*100)+I4851,IF(C4851="Sell",(L4851*G4851*100)-I4851, X))))</f>
        <v/>
      </c>
      <c r="N4851" s="78">
        <f>IF(ISBLANK(L4851),"",IF(AND(C4851="Sell",D4851="Stock"),M4851,IF(ISBLANK(L4851),"",IF(C4851="Buy",M4851, IF(AND(C4851="Sell",J4851="NA"),(E4851*G4851*100*0.1)+I4851, IF(C4851="Sell",(J4851-L4851)*(100*G4851)+I4851))))))</f>
        <v/>
      </c>
      <c r="O4851" s="75" t="n"/>
      <c r="P4851" s="75" t="n"/>
      <c r="Q4851" s="75">
        <f>IF(ISBLANK(P4851),"",IF(D4851="Stock",P4851*G4851,IF(P4851=0,"0",G4851*P4851*100-(G4851*$AF$14))))</f>
        <v/>
      </c>
      <c r="R4851" s="79">
        <f>IF(P4851&lt;&gt;"", TODAY(), "")</f>
        <v/>
      </c>
      <c r="S4851" s="78">
        <f>IF(AND(K4851&lt;&gt;"", R4851&lt;&gt;""), R4851-K4851, "")</f>
        <v/>
      </c>
      <c r="T4851" s="78" t="n"/>
      <c r="U4851" s="92">
        <f>IF(ISBLANK(P4851),"",IF(C4851="Buy",Q4851-M4851+T4851, IF(C4851="Sell",M4851-Q4851-T4851, X)))</f>
        <v/>
      </c>
      <c r="V4851" s="81">
        <f>IF(ISBLANK(P4851),"",U4851/N4851)</f>
        <v/>
      </c>
      <c r="W4851" s="81">
        <f>IF(ISBLANK(P4851),"",IF(S4851=0,(365/0.5)*V4851,(365/S4851)*V4851))</f>
        <v/>
      </c>
      <c r="X4851" s="75" t="n"/>
      <c r="Y4851" s="77" t="n"/>
      <c r="Z4851" s="77" t="n"/>
      <c r="AA4851" s="75" t="n"/>
      <c r="AB4851" s="75" t="n"/>
      <c r="AC4851" s="6" t="n"/>
      <c r="AD4851" s="75" t="n"/>
      <c r="AE4851" s="75" t="n"/>
      <c r="AF4851" s="75" t="n"/>
    </row>
    <row r="4852" ht="15.75" customHeight="1" s="133">
      <c r="A4852" s="75" t="n"/>
      <c r="B4852" s="75" t="n"/>
      <c r="C4852" s="75" t="n"/>
      <c r="D4852" s="75" t="n"/>
      <c r="E4852" s="76" t="n"/>
      <c r="F4852" s="77" t="n"/>
      <c r="G4852" s="75" t="n"/>
      <c r="H4852" s="75">
        <f>IF(ISBLANK(E4852),"",IF(OR(D4852="Butterfly",D4852="Butterfly ",D4852="Iron Fly", D4852="Iron Fly "),LEN(E4852)-LEN(SUBSTITUTE(E4852,"/",""))+2,LEN(E4852)-LEN(SUBSTITUTE(E4852,"/",""))+1))</f>
        <v/>
      </c>
      <c r="I4852" s="78">
        <f>IF(ISBLANK(G4852),"",IF(D4852="Stock","0",Key!$A$3*H4852*G4852))</f>
        <v/>
      </c>
      <c r="J4852" s="78">
        <f>IF(ISBLANK(E4852),"",IF(ISNUMBER(SEARCH("/",E4852)), IF(LEN(E4852)-LEN(SUBSTITUTE(E4852,"/",""))=1,(RIGHT(E4852,LEN(E4852)-FIND("/",E4852)))-(LEFT(E4852,FIND("/",E4852)-1)),(MID(E4852, SEARCH("/",E4852) + 1, SEARCH("/",E4852, SEARCH("/",E4852)+1) - SEARCH("/",E4852) - 1))-(LEFT(E4852,FIND("/",E4852)-1))), "NA"))</f>
        <v/>
      </c>
      <c r="K4852" s="79">
        <f>IF(A4852&lt;&gt;"", IF(ISBLANK(L4852), TODAY(), K4852), "")</f>
        <v/>
      </c>
      <c r="L4852" s="78" t="n"/>
      <c r="M4852" s="78">
        <f>IF(ISBLANK(L4852),"",IF(D4852="Stock",IF(C4852="Buy",L4852*G4852,IF(C4852="Sell",(L4852*G4852)-I4852, X)),IF(C4852="Buy",(L4852*G4852*100)+I4852,IF(C4852="Sell",(L4852*G4852*100)-I4852, X))))</f>
        <v/>
      </c>
      <c r="N4852" s="78">
        <f>IF(ISBLANK(L4852),"",IF(AND(C4852="Sell",D4852="Stock"),M4852,IF(ISBLANK(L4852),"",IF(C4852="Buy",M4852, IF(AND(C4852="Sell",J4852="NA"),(E4852*G4852*100*0.1)+I4852, IF(C4852="Sell",(J4852-L4852)*(100*G4852)+I4852))))))</f>
        <v/>
      </c>
      <c r="O4852" s="75" t="n"/>
      <c r="P4852" s="75" t="n"/>
      <c r="Q4852" s="75">
        <f>IF(ISBLANK(P4852),"",IF(D4852="Stock",P4852*G4852,IF(P4852=0,"0",G4852*P4852*100-(G4852*$AF$14))))</f>
        <v/>
      </c>
      <c r="R4852" s="79">
        <f>IF(P4852&lt;&gt;"", TODAY(), "")</f>
        <v/>
      </c>
      <c r="S4852" s="78">
        <f>IF(AND(K4852&lt;&gt;"", R4852&lt;&gt;""), R4852-K4852, "")</f>
        <v/>
      </c>
      <c r="T4852" s="78" t="n"/>
      <c r="U4852" s="92">
        <f>IF(ISBLANK(P4852),"",IF(C4852="Buy",Q4852-M4852+T4852, IF(C4852="Sell",M4852-Q4852-T4852, X)))</f>
        <v/>
      </c>
      <c r="V4852" s="81">
        <f>IF(ISBLANK(P4852),"",U4852/N4852)</f>
        <v/>
      </c>
      <c r="W4852" s="81">
        <f>IF(ISBLANK(P4852),"",IF(S4852=0,(365/0.5)*V4852,(365/S4852)*V4852))</f>
        <v/>
      </c>
      <c r="X4852" s="75" t="n"/>
      <c r="Y4852" s="77" t="n"/>
      <c r="Z4852" s="77" t="n"/>
      <c r="AA4852" s="75" t="n"/>
      <c r="AB4852" s="75" t="n"/>
      <c r="AC4852" s="6" t="n"/>
      <c r="AD4852" s="75" t="n"/>
      <c r="AE4852" s="75" t="n"/>
      <c r="AF4852" s="75" t="n"/>
    </row>
    <row r="4853" ht="15.75" customHeight="1" s="133">
      <c r="A4853" s="75" t="n"/>
      <c r="B4853" s="75" t="n"/>
      <c r="C4853" s="75" t="n"/>
      <c r="D4853" s="75" t="n"/>
      <c r="E4853" s="76" t="n"/>
      <c r="F4853" s="77" t="n"/>
      <c r="G4853" s="75" t="n"/>
      <c r="H4853" s="75">
        <f>IF(ISBLANK(E4853),"",IF(OR(D4853="Butterfly",D4853="Butterfly ",D4853="Iron Fly", D4853="Iron Fly "),LEN(E4853)-LEN(SUBSTITUTE(E4853,"/",""))+2,LEN(E4853)-LEN(SUBSTITUTE(E4853,"/",""))+1))</f>
        <v/>
      </c>
      <c r="I4853" s="78">
        <f>IF(ISBLANK(G4853),"",IF(D4853="Stock","0",Key!$A$3*H4853*G4853))</f>
        <v/>
      </c>
      <c r="J4853" s="78">
        <f>IF(ISBLANK(E4853),"",IF(ISNUMBER(SEARCH("/",E4853)), IF(LEN(E4853)-LEN(SUBSTITUTE(E4853,"/",""))=1,(RIGHT(E4853,LEN(E4853)-FIND("/",E4853)))-(LEFT(E4853,FIND("/",E4853)-1)),(MID(E4853, SEARCH("/",E4853) + 1, SEARCH("/",E4853, SEARCH("/",E4853)+1) - SEARCH("/",E4853) - 1))-(LEFT(E4853,FIND("/",E4853)-1))), "NA"))</f>
        <v/>
      </c>
      <c r="K4853" s="79">
        <f>IF(A4853&lt;&gt;"", IF(ISBLANK(L4853), TODAY(), K4853), "")</f>
        <v/>
      </c>
      <c r="L4853" s="78" t="n"/>
      <c r="M4853" s="78">
        <f>IF(ISBLANK(L4853),"",IF(D4853="Stock",IF(C4853="Buy",L4853*G4853,IF(C4853="Sell",(L4853*G4853)-I4853, X)),IF(C4853="Buy",(L4853*G4853*100)+I4853,IF(C4853="Sell",(L4853*G4853*100)-I4853, X))))</f>
        <v/>
      </c>
      <c r="N4853" s="78">
        <f>IF(ISBLANK(L4853),"",IF(AND(C4853="Sell",D4853="Stock"),M4853,IF(ISBLANK(L4853),"",IF(C4853="Buy",M4853, IF(AND(C4853="Sell",J4853="NA"),(E4853*G4853*100*0.1)+I4853, IF(C4853="Sell",(J4853-L4853)*(100*G4853)+I4853))))))</f>
        <v/>
      </c>
      <c r="O4853" s="75" t="n"/>
      <c r="P4853" s="75" t="n"/>
      <c r="Q4853" s="75">
        <f>IF(ISBLANK(P4853),"",IF(D4853="Stock",P4853*G4853,IF(P4853=0,"0",G4853*P4853*100-(G4853*$AF$14))))</f>
        <v/>
      </c>
      <c r="R4853" s="79">
        <f>IF(P4853&lt;&gt;"", TODAY(), "")</f>
        <v/>
      </c>
      <c r="S4853" s="78">
        <f>IF(AND(K4853&lt;&gt;"", R4853&lt;&gt;""), R4853-K4853, "")</f>
        <v/>
      </c>
      <c r="T4853" s="78" t="n"/>
      <c r="U4853" s="92">
        <f>IF(ISBLANK(P4853),"",IF(C4853="Buy",Q4853-M4853+T4853, IF(C4853="Sell",M4853-Q4853-T4853, X)))</f>
        <v/>
      </c>
      <c r="V4853" s="81">
        <f>IF(ISBLANK(P4853),"",U4853/N4853)</f>
        <v/>
      </c>
      <c r="W4853" s="81">
        <f>IF(ISBLANK(P4853),"",IF(S4853=0,(365/0.5)*V4853,(365/S4853)*V4853))</f>
        <v/>
      </c>
      <c r="X4853" s="75" t="n"/>
      <c r="Y4853" s="77" t="n"/>
      <c r="Z4853" s="77" t="n"/>
      <c r="AA4853" s="75" t="n"/>
      <c r="AB4853" s="75" t="n"/>
      <c r="AC4853" s="6" t="n"/>
      <c r="AD4853" s="75" t="n"/>
      <c r="AE4853" s="75" t="n"/>
      <c r="AF4853" s="75" t="n"/>
    </row>
    <row r="4854" ht="15.75" customHeight="1" s="133">
      <c r="A4854" s="75" t="n"/>
      <c r="B4854" s="75" t="n"/>
      <c r="C4854" s="75" t="n"/>
      <c r="D4854" s="75" t="n"/>
      <c r="E4854" s="76" t="n"/>
      <c r="F4854" s="77" t="n"/>
      <c r="G4854" s="75" t="n"/>
      <c r="H4854" s="75">
        <f>IF(ISBLANK(E4854),"",IF(OR(D4854="Butterfly",D4854="Butterfly ",D4854="Iron Fly", D4854="Iron Fly "),LEN(E4854)-LEN(SUBSTITUTE(E4854,"/",""))+2,LEN(E4854)-LEN(SUBSTITUTE(E4854,"/",""))+1))</f>
        <v/>
      </c>
      <c r="I4854" s="78">
        <f>IF(ISBLANK(G4854),"",IF(D4854="Stock","0",Key!$A$3*H4854*G4854))</f>
        <v/>
      </c>
      <c r="J4854" s="78">
        <f>IF(ISBLANK(E4854),"",IF(ISNUMBER(SEARCH("/",E4854)), IF(LEN(E4854)-LEN(SUBSTITUTE(E4854,"/",""))=1,(RIGHT(E4854,LEN(E4854)-FIND("/",E4854)))-(LEFT(E4854,FIND("/",E4854)-1)),(MID(E4854, SEARCH("/",E4854) + 1, SEARCH("/",E4854, SEARCH("/",E4854)+1) - SEARCH("/",E4854) - 1))-(LEFT(E4854,FIND("/",E4854)-1))), "NA"))</f>
        <v/>
      </c>
      <c r="K4854" s="79">
        <f>IF(A4854&lt;&gt;"", IF(ISBLANK(L4854), TODAY(), K4854), "")</f>
        <v/>
      </c>
      <c r="L4854" s="78" t="n"/>
      <c r="M4854" s="78">
        <f>IF(ISBLANK(L4854),"",IF(D4854="Stock",IF(C4854="Buy",L4854*G4854,IF(C4854="Sell",(L4854*G4854)-I4854, X)),IF(C4854="Buy",(L4854*G4854*100)+I4854,IF(C4854="Sell",(L4854*G4854*100)-I4854, X))))</f>
        <v/>
      </c>
      <c r="N4854" s="78">
        <f>IF(ISBLANK(L4854),"",IF(AND(C4854="Sell",D4854="Stock"),M4854,IF(ISBLANK(L4854),"",IF(C4854="Buy",M4854, IF(AND(C4854="Sell",J4854="NA"),(E4854*G4854*100*0.1)+I4854, IF(C4854="Sell",(J4854-L4854)*(100*G4854)+I4854))))))</f>
        <v/>
      </c>
      <c r="O4854" s="75" t="n"/>
      <c r="P4854" s="75" t="n"/>
      <c r="Q4854" s="75">
        <f>IF(ISBLANK(P4854),"",IF(D4854="Stock",P4854*G4854,IF(P4854=0,"0",G4854*P4854*100-(G4854*$AF$14))))</f>
        <v/>
      </c>
      <c r="R4854" s="79">
        <f>IF(P4854&lt;&gt;"", TODAY(), "")</f>
        <v/>
      </c>
      <c r="S4854" s="78">
        <f>IF(AND(K4854&lt;&gt;"", R4854&lt;&gt;""), R4854-K4854, "")</f>
        <v/>
      </c>
      <c r="T4854" s="78" t="n"/>
      <c r="U4854" s="92">
        <f>IF(ISBLANK(P4854),"",IF(C4854="Buy",Q4854-M4854+T4854, IF(C4854="Sell",M4854-Q4854-T4854, X)))</f>
        <v/>
      </c>
      <c r="V4854" s="81">
        <f>IF(ISBLANK(P4854),"",U4854/N4854)</f>
        <v/>
      </c>
      <c r="W4854" s="81">
        <f>IF(ISBLANK(P4854),"",IF(S4854=0,(365/0.5)*V4854,(365/S4854)*V4854))</f>
        <v/>
      </c>
      <c r="X4854" s="75" t="n"/>
      <c r="Y4854" s="77" t="n"/>
      <c r="Z4854" s="77" t="n"/>
      <c r="AA4854" s="75" t="n"/>
      <c r="AB4854" s="75" t="n"/>
      <c r="AC4854" s="6" t="n"/>
      <c r="AD4854" s="75" t="n"/>
      <c r="AE4854" s="75" t="n"/>
      <c r="AF4854" s="75" t="n"/>
    </row>
    <row r="4855" ht="15.75" customHeight="1" s="133">
      <c r="A4855" s="75" t="n"/>
      <c r="B4855" s="75" t="n"/>
      <c r="C4855" s="75" t="n"/>
      <c r="D4855" s="75" t="n"/>
      <c r="E4855" s="76" t="n"/>
      <c r="F4855" s="77" t="n"/>
      <c r="G4855" s="75" t="n"/>
      <c r="H4855" s="75">
        <f>IF(ISBLANK(E4855),"",IF(OR(D4855="Butterfly",D4855="Butterfly ",D4855="Iron Fly", D4855="Iron Fly "),LEN(E4855)-LEN(SUBSTITUTE(E4855,"/",""))+2,LEN(E4855)-LEN(SUBSTITUTE(E4855,"/",""))+1))</f>
        <v/>
      </c>
      <c r="I4855" s="78">
        <f>IF(ISBLANK(G4855),"",IF(D4855="Stock","0",Key!$A$3*H4855*G4855))</f>
        <v/>
      </c>
      <c r="J4855" s="78">
        <f>IF(ISBLANK(E4855),"",IF(ISNUMBER(SEARCH("/",E4855)), IF(LEN(E4855)-LEN(SUBSTITUTE(E4855,"/",""))=1,(RIGHT(E4855,LEN(E4855)-FIND("/",E4855)))-(LEFT(E4855,FIND("/",E4855)-1)),(MID(E4855, SEARCH("/",E4855) + 1, SEARCH("/",E4855, SEARCH("/",E4855)+1) - SEARCH("/",E4855) - 1))-(LEFT(E4855,FIND("/",E4855)-1))), "NA"))</f>
        <v/>
      </c>
      <c r="K4855" s="79">
        <f>IF(A4855&lt;&gt;"", IF(ISBLANK(L4855), TODAY(), K4855), "")</f>
        <v/>
      </c>
      <c r="L4855" s="78" t="n"/>
      <c r="M4855" s="78">
        <f>IF(ISBLANK(L4855),"",IF(D4855="Stock",IF(C4855="Buy",L4855*G4855,IF(C4855="Sell",(L4855*G4855)-I4855, X)),IF(C4855="Buy",(L4855*G4855*100)+I4855,IF(C4855="Sell",(L4855*G4855*100)-I4855, X))))</f>
        <v/>
      </c>
      <c r="N4855" s="78">
        <f>IF(ISBLANK(L4855),"",IF(AND(C4855="Sell",D4855="Stock"),M4855,IF(ISBLANK(L4855),"",IF(C4855="Buy",M4855, IF(AND(C4855="Sell",J4855="NA"),(E4855*G4855*100*0.1)+I4855, IF(C4855="Sell",(J4855-L4855)*(100*G4855)+I4855))))))</f>
        <v/>
      </c>
      <c r="O4855" s="75" t="n"/>
      <c r="P4855" s="75" t="n"/>
      <c r="Q4855" s="75">
        <f>IF(ISBLANK(P4855),"",IF(D4855="Stock",P4855*G4855,IF(P4855=0,"0",G4855*P4855*100-(G4855*$AF$14))))</f>
        <v/>
      </c>
      <c r="R4855" s="79">
        <f>IF(P4855&lt;&gt;"", TODAY(), "")</f>
        <v/>
      </c>
      <c r="S4855" s="78">
        <f>IF(AND(K4855&lt;&gt;"", R4855&lt;&gt;""), R4855-K4855, "")</f>
        <v/>
      </c>
      <c r="T4855" s="78" t="n"/>
      <c r="U4855" s="92">
        <f>IF(ISBLANK(P4855),"",IF(C4855="Buy",Q4855-M4855+T4855, IF(C4855="Sell",M4855-Q4855-T4855, X)))</f>
        <v/>
      </c>
      <c r="V4855" s="81">
        <f>IF(ISBLANK(P4855),"",U4855/N4855)</f>
        <v/>
      </c>
      <c r="W4855" s="81">
        <f>IF(ISBLANK(P4855),"",IF(S4855=0,(365/0.5)*V4855,(365/S4855)*V4855))</f>
        <v/>
      </c>
      <c r="X4855" s="75" t="n"/>
      <c r="Y4855" s="77" t="n"/>
      <c r="Z4855" s="77" t="n"/>
      <c r="AA4855" s="75" t="n"/>
      <c r="AB4855" s="75" t="n"/>
      <c r="AC4855" s="6" t="n"/>
      <c r="AD4855" s="75" t="n"/>
      <c r="AE4855" s="75" t="n"/>
      <c r="AF4855" s="75" t="n"/>
    </row>
    <row r="4856" ht="15.75" customHeight="1" s="133">
      <c r="A4856" s="75" t="n"/>
      <c r="B4856" s="75" t="n"/>
      <c r="C4856" s="75" t="n"/>
      <c r="D4856" s="75" t="n"/>
      <c r="E4856" s="76" t="n"/>
      <c r="F4856" s="77" t="n"/>
      <c r="G4856" s="75" t="n"/>
      <c r="H4856" s="75">
        <f>IF(ISBLANK(E4856),"",IF(OR(D4856="Butterfly",D4856="Butterfly ",D4856="Iron Fly", D4856="Iron Fly "),LEN(E4856)-LEN(SUBSTITUTE(E4856,"/",""))+2,LEN(E4856)-LEN(SUBSTITUTE(E4856,"/",""))+1))</f>
        <v/>
      </c>
      <c r="I4856" s="78">
        <f>IF(ISBLANK(G4856),"",IF(D4856="Stock","0",Key!$A$3*H4856*G4856))</f>
        <v/>
      </c>
      <c r="J4856" s="78">
        <f>IF(ISBLANK(E4856),"",IF(ISNUMBER(SEARCH("/",E4856)), IF(LEN(E4856)-LEN(SUBSTITUTE(E4856,"/",""))=1,(RIGHT(E4856,LEN(E4856)-FIND("/",E4856)))-(LEFT(E4856,FIND("/",E4856)-1)),(MID(E4856, SEARCH("/",E4856) + 1, SEARCH("/",E4856, SEARCH("/",E4856)+1) - SEARCH("/",E4856) - 1))-(LEFT(E4856,FIND("/",E4856)-1))), "NA"))</f>
        <v/>
      </c>
      <c r="K4856" s="79">
        <f>IF(A4856&lt;&gt;"", IF(ISBLANK(L4856), TODAY(), K4856), "")</f>
        <v/>
      </c>
      <c r="L4856" s="78" t="n"/>
      <c r="M4856" s="78">
        <f>IF(ISBLANK(L4856),"",IF(D4856="Stock",IF(C4856="Buy",L4856*G4856,IF(C4856="Sell",(L4856*G4856)-I4856, X)),IF(C4856="Buy",(L4856*G4856*100)+I4856,IF(C4856="Sell",(L4856*G4856*100)-I4856, X))))</f>
        <v/>
      </c>
      <c r="N4856" s="78">
        <f>IF(ISBLANK(L4856),"",IF(AND(C4856="Sell",D4856="Stock"),M4856,IF(ISBLANK(L4856),"",IF(C4856="Buy",M4856, IF(AND(C4856="Sell",J4856="NA"),(E4856*G4856*100*0.1)+I4856, IF(C4856="Sell",(J4856-L4856)*(100*G4856)+I4856))))))</f>
        <v/>
      </c>
      <c r="O4856" s="75" t="n"/>
      <c r="P4856" s="75" t="n"/>
      <c r="Q4856" s="75">
        <f>IF(ISBLANK(P4856),"",IF(D4856="Stock",P4856*G4856,IF(P4856=0,"0",G4856*P4856*100-(G4856*$AF$14))))</f>
        <v/>
      </c>
      <c r="R4856" s="79">
        <f>IF(P4856&lt;&gt;"", TODAY(), "")</f>
        <v/>
      </c>
      <c r="S4856" s="78">
        <f>IF(AND(K4856&lt;&gt;"", R4856&lt;&gt;""), R4856-K4856, "")</f>
        <v/>
      </c>
      <c r="T4856" s="78" t="n"/>
      <c r="U4856" s="92">
        <f>IF(ISBLANK(P4856),"",IF(C4856="Buy",Q4856-M4856+T4856, IF(C4856="Sell",M4856-Q4856-T4856, X)))</f>
        <v/>
      </c>
      <c r="V4856" s="81">
        <f>IF(ISBLANK(P4856),"",U4856/N4856)</f>
        <v/>
      </c>
      <c r="W4856" s="81">
        <f>IF(ISBLANK(P4856),"",IF(S4856=0,(365/0.5)*V4856,(365/S4856)*V4856))</f>
        <v/>
      </c>
      <c r="X4856" s="75" t="n"/>
      <c r="Y4856" s="77" t="n"/>
      <c r="Z4856" s="77" t="n"/>
      <c r="AA4856" s="75" t="n"/>
      <c r="AB4856" s="75" t="n"/>
      <c r="AC4856" s="6" t="n"/>
      <c r="AD4856" s="75" t="n"/>
      <c r="AE4856" s="75" t="n"/>
      <c r="AF4856" s="75" t="n"/>
    </row>
    <row r="4857" ht="15.75" customHeight="1" s="133">
      <c r="A4857" s="75" t="n"/>
      <c r="B4857" s="75" t="n"/>
      <c r="C4857" s="75" t="n"/>
      <c r="D4857" s="75" t="n"/>
      <c r="E4857" s="76" t="n"/>
      <c r="F4857" s="77" t="n"/>
      <c r="G4857" s="75" t="n"/>
      <c r="H4857" s="75">
        <f>IF(ISBLANK(E4857),"",IF(OR(D4857="Butterfly",D4857="Butterfly ",D4857="Iron Fly", D4857="Iron Fly "),LEN(E4857)-LEN(SUBSTITUTE(E4857,"/",""))+2,LEN(E4857)-LEN(SUBSTITUTE(E4857,"/",""))+1))</f>
        <v/>
      </c>
      <c r="I4857" s="78">
        <f>IF(ISBLANK(G4857),"",IF(D4857="Stock","0",Key!$A$3*H4857*G4857))</f>
        <v/>
      </c>
      <c r="J4857" s="78">
        <f>IF(ISBLANK(E4857),"",IF(ISNUMBER(SEARCH("/",E4857)), IF(LEN(E4857)-LEN(SUBSTITUTE(E4857,"/",""))=1,(RIGHT(E4857,LEN(E4857)-FIND("/",E4857)))-(LEFT(E4857,FIND("/",E4857)-1)),(MID(E4857, SEARCH("/",E4857) + 1, SEARCH("/",E4857, SEARCH("/",E4857)+1) - SEARCH("/",E4857) - 1))-(LEFT(E4857,FIND("/",E4857)-1))), "NA"))</f>
        <v/>
      </c>
      <c r="K4857" s="79">
        <f>IF(A4857&lt;&gt;"", IF(ISBLANK(L4857), TODAY(), K4857), "")</f>
        <v/>
      </c>
      <c r="L4857" s="78" t="n"/>
      <c r="M4857" s="78">
        <f>IF(ISBLANK(L4857),"",IF(D4857="Stock",IF(C4857="Buy",L4857*G4857,IF(C4857="Sell",(L4857*G4857)-I4857, X)),IF(C4857="Buy",(L4857*G4857*100)+I4857,IF(C4857="Sell",(L4857*G4857*100)-I4857, X))))</f>
        <v/>
      </c>
      <c r="N4857" s="78">
        <f>IF(ISBLANK(L4857),"",IF(AND(C4857="Sell",D4857="Stock"),M4857,IF(ISBLANK(L4857),"",IF(C4857="Buy",M4857, IF(AND(C4857="Sell",J4857="NA"),(E4857*G4857*100*0.1)+I4857, IF(C4857="Sell",(J4857-L4857)*(100*G4857)+I4857))))))</f>
        <v/>
      </c>
      <c r="O4857" s="75" t="n"/>
      <c r="P4857" s="75" t="n"/>
      <c r="Q4857" s="75">
        <f>IF(ISBLANK(P4857),"",IF(D4857="Stock",P4857*G4857,IF(P4857=0,"0",G4857*P4857*100-(G4857*$AF$14))))</f>
        <v/>
      </c>
      <c r="R4857" s="79">
        <f>IF(P4857&lt;&gt;"", TODAY(), "")</f>
        <v/>
      </c>
      <c r="S4857" s="78">
        <f>IF(AND(K4857&lt;&gt;"", R4857&lt;&gt;""), R4857-K4857, "")</f>
        <v/>
      </c>
      <c r="T4857" s="78" t="n"/>
      <c r="U4857" s="92">
        <f>IF(ISBLANK(P4857),"",IF(C4857="Buy",Q4857-M4857+T4857, IF(C4857="Sell",M4857-Q4857-T4857, X)))</f>
        <v/>
      </c>
      <c r="V4857" s="81">
        <f>IF(ISBLANK(P4857),"",U4857/N4857)</f>
        <v/>
      </c>
      <c r="W4857" s="81">
        <f>IF(ISBLANK(P4857),"",IF(S4857=0,(365/0.5)*V4857,(365/S4857)*V4857))</f>
        <v/>
      </c>
      <c r="X4857" s="75" t="n"/>
      <c r="Y4857" s="77" t="n"/>
      <c r="Z4857" s="77" t="n"/>
      <c r="AA4857" s="75" t="n"/>
      <c r="AB4857" s="75" t="n"/>
      <c r="AC4857" s="6" t="n"/>
      <c r="AD4857" s="75" t="n"/>
      <c r="AE4857" s="75" t="n"/>
      <c r="AF4857" s="75" t="n"/>
    </row>
    <row r="4858" ht="15.75" customHeight="1" s="133">
      <c r="A4858" s="75" t="n"/>
      <c r="B4858" s="75" t="n"/>
      <c r="C4858" s="75" t="n"/>
      <c r="D4858" s="75" t="n"/>
      <c r="E4858" s="76" t="n"/>
      <c r="F4858" s="77" t="n"/>
      <c r="G4858" s="75" t="n"/>
      <c r="H4858" s="75">
        <f>IF(ISBLANK(E4858),"",IF(OR(D4858="Butterfly",D4858="Butterfly ",D4858="Iron Fly", D4858="Iron Fly "),LEN(E4858)-LEN(SUBSTITUTE(E4858,"/",""))+2,LEN(E4858)-LEN(SUBSTITUTE(E4858,"/",""))+1))</f>
        <v/>
      </c>
      <c r="I4858" s="78">
        <f>IF(ISBLANK(G4858),"",IF(D4858="Stock","0",Key!$A$3*H4858*G4858))</f>
        <v/>
      </c>
      <c r="J4858" s="78">
        <f>IF(ISBLANK(E4858),"",IF(ISNUMBER(SEARCH("/",E4858)), IF(LEN(E4858)-LEN(SUBSTITUTE(E4858,"/",""))=1,(RIGHT(E4858,LEN(E4858)-FIND("/",E4858)))-(LEFT(E4858,FIND("/",E4858)-1)),(MID(E4858, SEARCH("/",E4858) + 1, SEARCH("/",E4858, SEARCH("/",E4858)+1) - SEARCH("/",E4858) - 1))-(LEFT(E4858,FIND("/",E4858)-1))), "NA"))</f>
        <v/>
      </c>
      <c r="K4858" s="79">
        <f>IF(A4858&lt;&gt;"", IF(ISBLANK(L4858), TODAY(), K4858), "")</f>
        <v/>
      </c>
      <c r="L4858" s="78" t="n"/>
      <c r="M4858" s="78">
        <f>IF(ISBLANK(L4858),"",IF(D4858="Stock",IF(C4858="Buy",L4858*G4858,IF(C4858="Sell",(L4858*G4858)-I4858, X)),IF(C4858="Buy",(L4858*G4858*100)+I4858,IF(C4858="Sell",(L4858*G4858*100)-I4858, X))))</f>
        <v/>
      </c>
      <c r="N4858" s="78">
        <f>IF(ISBLANK(L4858),"",IF(AND(C4858="Sell",D4858="Stock"),M4858,IF(ISBLANK(L4858),"",IF(C4858="Buy",M4858, IF(AND(C4858="Sell",J4858="NA"),(E4858*G4858*100*0.1)+I4858, IF(C4858="Sell",(J4858-L4858)*(100*G4858)+I4858))))))</f>
        <v/>
      </c>
      <c r="O4858" s="75" t="n"/>
      <c r="P4858" s="75" t="n"/>
      <c r="Q4858" s="75">
        <f>IF(ISBLANK(P4858),"",IF(D4858="Stock",P4858*G4858,IF(P4858=0,"0",G4858*P4858*100-(G4858*$AF$14))))</f>
        <v/>
      </c>
      <c r="R4858" s="79">
        <f>IF(P4858&lt;&gt;"", TODAY(), "")</f>
        <v/>
      </c>
      <c r="S4858" s="78">
        <f>IF(AND(K4858&lt;&gt;"", R4858&lt;&gt;""), R4858-K4858, "")</f>
        <v/>
      </c>
      <c r="T4858" s="78" t="n"/>
      <c r="U4858" s="92">
        <f>IF(ISBLANK(P4858),"",IF(C4858="Buy",Q4858-M4858+T4858, IF(C4858="Sell",M4858-Q4858-T4858, X)))</f>
        <v/>
      </c>
      <c r="V4858" s="81">
        <f>IF(ISBLANK(P4858),"",U4858/N4858)</f>
        <v/>
      </c>
      <c r="W4858" s="81">
        <f>IF(ISBLANK(P4858),"",IF(S4858=0,(365/0.5)*V4858,(365/S4858)*V4858))</f>
        <v/>
      </c>
      <c r="X4858" s="75" t="n"/>
      <c r="Y4858" s="77" t="n"/>
      <c r="Z4858" s="77" t="n"/>
      <c r="AA4858" s="75" t="n"/>
      <c r="AB4858" s="75" t="n"/>
      <c r="AC4858" s="6" t="n"/>
      <c r="AD4858" s="75" t="n"/>
      <c r="AE4858" s="75" t="n"/>
      <c r="AF4858" s="75" t="n"/>
    </row>
    <row r="4859" ht="15.75" customHeight="1" s="133">
      <c r="A4859" s="75" t="n"/>
      <c r="B4859" s="75" t="n"/>
      <c r="C4859" s="75" t="n"/>
      <c r="D4859" s="75" t="n"/>
      <c r="E4859" s="76" t="n"/>
      <c r="F4859" s="77" t="n"/>
      <c r="G4859" s="75" t="n"/>
      <c r="H4859" s="75">
        <f>IF(ISBLANK(E4859),"",IF(OR(D4859="Butterfly",D4859="Butterfly ",D4859="Iron Fly", D4859="Iron Fly "),LEN(E4859)-LEN(SUBSTITUTE(E4859,"/",""))+2,LEN(E4859)-LEN(SUBSTITUTE(E4859,"/",""))+1))</f>
        <v/>
      </c>
      <c r="I4859" s="78">
        <f>IF(ISBLANK(G4859),"",IF(D4859="Stock","0",Key!$A$3*H4859*G4859))</f>
        <v/>
      </c>
      <c r="J4859" s="78">
        <f>IF(ISBLANK(E4859),"",IF(ISNUMBER(SEARCH("/",E4859)), IF(LEN(E4859)-LEN(SUBSTITUTE(E4859,"/",""))=1,(RIGHT(E4859,LEN(E4859)-FIND("/",E4859)))-(LEFT(E4859,FIND("/",E4859)-1)),(MID(E4859, SEARCH("/",E4859) + 1, SEARCH("/",E4859, SEARCH("/",E4859)+1) - SEARCH("/",E4859) - 1))-(LEFT(E4859,FIND("/",E4859)-1))), "NA"))</f>
        <v/>
      </c>
      <c r="K4859" s="79">
        <f>IF(A4859&lt;&gt;"", IF(ISBLANK(L4859), TODAY(), K4859), "")</f>
        <v/>
      </c>
      <c r="L4859" s="78" t="n"/>
      <c r="M4859" s="78">
        <f>IF(ISBLANK(L4859),"",IF(D4859="Stock",IF(C4859="Buy",L4859*G4859,IF(C4859="Sell",(L4859*G4859)-I4859, X)),IF(C4859="Buy",(L4859*G4859*100)+I4859,IF(C4859="Sell",(L4859*G4859*100)-I4859, X))))</f>
        <v/>
      </c>
      <c r="N4859" s="78">
        <f>IF(ISBLANK(L4859),"",IF(AND(C4859="Sell",D4859="Stock"),M4859,IF(ISBLANK(L4859),"",IF(C4859="Buy",M4859, IF(AND(C4859="Sell",J4859="NA"),(E4859*G4859*100*0.1)+I4859, IF(C4859="Sell",(J4859-L4859)*(100*G4859)+I4859))))))</f>
        <v/>
      </c>
      <c r="O4859" s="75" t="n"/>
      <c r="P4859" s="75" t="n"/>
      <c r="Q4859" s="75">
        <f>IF(ISBLANK(P4859),"",IF(D4859="Stock",P4859*G4859,IF(P4859=0,"0",G4859*P4859*100-(G4859*$AF$14))))</f>
        <v/>
      </c>
      <c r="R4859" s="79">
        <f>IF(P4859&lt;&gt;"", TODAY(), "")</f>
        <v/>
      </c>
      <c r="S4859" s="78">
        <f>IF(AND(K4859&lt;&gt;"", R4859&lt;&gt;""), R4859-K4859, "")</f>
        <v/>
      </c>
      <c r="T4859" s="78" t="n"/>
      <c r="U4859" s="92">
        <f>IF(ISBLANK(P4859),"",IF(C4859="Buy",Q4859-M4859+T4859, IF(C4859="Sell",M4859-Q4859-T4859, X)))</f>
        <v/>
      </c>
      <c r="V4859" s="81">
        <f>IF(ISBLANK(P4859),"",U4859/N4859)</f>
        <v/>
      </c>
      <c r="W4859" s="81">
        <f>IF(ISBLANK(P4859),"",IF(S4859=0,(365/0.5)*V4859,(365/S4859)*V4859))</f>
        <v/>
      </c>
      <c r="X4859" s="75" t="n"/>
      <c r="Y4859" s="77" t="n"/>
      <c r="Z4859" s="77" t="n"/>
      <c r="AA4859" s="75" t="n"/>
      <c r="AB4859" s="75" t="n"/>
      <c r="AC4859" s="6" t="n"/>
      <c r="AD4859" s="75" t="n"/>
      <c r="AE4859" s="75" t="n"/>
      <c r="AF4859" s="75" t="n"/>
    </row>
    <row r="4860" ht="15.75" customHeight="1" s="133">
      <c r="A4860" s="75" t="n"/>
      <c r="B4860" s="75" t="n"/>
      <c r="C4860" s="75" t="n"/>
      <c r="D4860" s="75" t="n"/>
      <c r="E4860" s="76" t="n"/>
      <c r="F4860" s="77" t="n"/>
      <c r="G4860" s="75" t="n"/>
      <c r="H4860" s="75">
        <f>IF(ISBLANK(E4860),"",IF(OR(D4860="Butterfly",D4860="Butterfly ",D4860="Iron Fly", D4860="Iron Fly "),LEN(E4860)-LEN(SUBSTITUTE(E4860,"/",""))+2,LEN(E4860)-LEN(SUBSTITUTE(E4860,"/",""))+1))</f>
        <v/>
      </c>
      <c r="I4860" s="78">
        <f>IF(ISBLANK(G4860),"",IF(D4860="Stock","0",Key!$A$3*H4860*G4860))</f>
        <v/>
      </c>
      <c r="J4860" s="78">
        <f>IF(ISBLANK(E4860),"",IF(ISNUMBER(SEARCH("/",E4860)), IF(LEN(E4860)-LEN(SUBSTITUTE(E4860,"/",""))=1,(RIGHT(E4860,LEN(E4860)-FIND("/",E4860)))-(LEFT(E4860,FIND("/",E4860)-1)),(MID(E4860, SEARCH("/",E4860) + 1, SEARCH("/",E4860, SEARCH("/",E4860)+1) - SEARCH("/",E4860) - 1))-(LEFT(E4860,FIND("/",E4860)-1))), "NA"))</f>
        <v/>
      </c>
      <c r="K4860" s="79">
        <f>IF(A4860&lt;&gt;"", IF(ISBLANK(L4860), TODAY(), K4860), "")</f>
        <v/>
      </c>
      <c r="L4860" s="78" t="n"/>
      <c r="M4860" s="78">
        <f>IF(ISBLANK(L4860),"",IF(D4860="Stock",IF(C4860="Buy",L4860*G4860,IF(C4860="Sell",(L4860*G4860)-I4860, X)),IF(C4860="Buy",(L4860*G4860*100)+I4860,IF(C4860="Sell",(L4860*G4860*100)-I4860, X))))</f>
        <v/>
      </c>
      <c r="N4860" s="78">
        <f>IF(ISBLANK(L4860),"",IF(AND(C4860="Sell",D4860="Stock"),M4860,IF(ISBLANK(L4860),"",IF(C4860="Buy",M4860, IF(AND(C4860="Sell",J4860="NA"),(E4860*G4860*100*0.1)+I4860, IF(C4860="Sell",(J4860-L4860)*(100*G4860)+I4860))))))</f>
        <v/>
      </c>
      <c r="O4860" s="75" t="n"/>
      <c r="P4860" s="75" t="n"/>
      <c r="Q4860" s="75">
        <f>IF(ISBLANK(P4860),"",IF(D4860="Stock",P4860*G4860,IF(P4860=0,"0",G4860*P4860*100-(G4860*$AF$14))))</f>
        <v/>
      </c>
      <c r="R4860" s="79">
        <f>IF(P4860&lt;&gt;"", TODAY(), "")</f>
        <v/>
      </c>
      <c r="S4860" s="78">
        <f>IF(AND(K4860&lt;&gt;"", R4860&lt;&gt;""), R4860-K4860, "")</f>
        <v/>
      </c>
      <c r="T4860" s="78" t="n"/>
      <c r="U4860" s="92">
        <f>IF(ISBLANK(P4860),"",IF(C4860="Buy",Q4860-M4860+T4860, IF(C4860="Sell",M4860-Q4860-T4860, X)))</f>
        <v/>
      </c>
      <c r="V4860" s="81">
        <f>IF(ISBLANK(P4860),"",U4860/N4860)</f>
        <v/>
      </c>
      <c r="W4860" s="81">
        <f>IF(ISBLANK(P4860),"",IF(S4860=0,(365/0.5)*V4860,(365/S4860)*V4860))</f>
        <v/>
      </c>
      <c r="X4860" s="75" t="n"/>
      <c r="Y4860" s="77" t="n"/>
      <c r="Z4860" s="77" t="n"/>
      <c r="AA4860" s="75" t="n"/>
      <c r="AB4860" s="75" t="n"/>
      <c r="AC4860" s="6" t="n"/>
      <c r="AD4860" s="75" t="n"/>
      <c r="AE4860" s="75" t="n"/>
      <c r="AF4860" s="75" t="n"/>
    </row>
    <row r="4861" ht="15.75" customHeight="1" s="133">
      <c r="A4861" s="75" t="n"/>
      <c r="B4861" s="75" t="n"/>
      <c r="C4861" s="75" t="n"/>
      <c r="D4861" s="75" t="n"/>
      <c r="E4861" s="76" t="n"/>
      <c r="F4861" s="77" t="n"/>
      <c r="G4861" s="75" t="n"/>
      <c r="H4861" s="75">
        <f>IF(ISBLANK(E4861),"",IF(OR(D4861="Butterfly",D4861="Butterfly ",D4861="Iron Fly", D4861="Iron Fly "),LEN(E4861)-LEN(SUBSTITUTE(E4861,"/",""))+2,LEN(E4861)-LEN(SUBSTITUTE(E4861,"/",""))+1))</f>
        <v/>
      </c>
      <c r="I4861" s="78">
        <f>IF(ISBLANK(G4861),"",IF(D4861="Stock","0",Key!$A$3*H4861*G4861))</f>
        <v/>
      </c>
      <c r="J4861" s="78">
        <f>IF(ISBLANK(E4861),"",IF(ISNUMBER(SEARCH("/",E4861)), IF(LEN(E4861)-LEN(SUBSTITUTE(E4861,"/",""))=1,(RIGHT(E4861,LEN(E4861)-FIND("/",E4861)))-(LEFT(E4861,FIND("/",E4861)-1)),(MID(E4861, SEARCH("/",E4861) + 1, SEARCH("/",E4861, SEARCH("/",E4861)+1) - SEARCH("/",E4861) - 1))-(LEFT(E4861,FIND("/",E4861)-1))), "NA"))</f>
        <v/>
      </c>
      <c r="K4861" s="79">
        <f>IF(A4861&lt;&gt;"", IF(ISBLANK(L4861), TODAY(), K4861), "")</f>
        <v/>
      </c>
      <c r="L4861" s="78" t="n"/>
      <c r="M4861" s="78">
        <f>IF(ISBLANK(L4861),"",IF(D4861="Stock",IF(C4861="Buy",L4861*G4861,IF(C4861="Sell",(L4861*G4861)-I4861, X)),IF(C4861="Buy",(L4861*G4861*100)+I4861,IF(C4861="Sell",(L4861*G4861*100)-I4861, X))))</f>
        <v/>
      </c>
      <c r="N4861" s="78">
        <f>IF(ISBLANK(L4861),"",IF(AND(C4861="Sell",D4861="Stock"),M4861,IF(ISBLANK(L4861),"",IF(C4861="Buy",M4861, IF(AND(C4861="Sell",J4861="NA"),(E4861*G4861*100*0.1)+I4861, IF(C4861="Sell",(J4861-L4861)*(100*G4861)+I4861))))))</f>
        <v/>
      </c>
      <c r="O4861" s="75" t="n"/>
      <c r="P4861" s="75" t="n"/>
      <c r="Q4861" s="75">
        <f>IF(ISBLANK(P4861),"",IF(D4861="Stock",P4861*G4861,IF(P4861=0,"0",G4861*P4861*100-(G4861*$AF$14))))</f>
        <v/>
      </c>
      <c r="R4861" s="79">
        <f>IF(P4861&lt;&gt;"", TODAY(), "")</f>
        <v/>
      </c>
      <c r="S4861" s="78">
        <f>IF(AND(K4861&lt;&gt;"", R4861&lt;&gt;""), R4861-K4861, "")</f>
        <v/>
      </c>
      <c r="T4861" s="78" t="n"/>
      <c r="U4861" s="92">
        <f>IF(ISBLANK(P4861),"",IF(C4861="Buy",Q4861-M4861+T4861, IF(C4861="Sell",M4861-Q4861-T4861, X)))</f>
        <v/>
      </c>
      <c r="V4861" s="81">
        <f>IF(ISBLANK(P4861),"",U4861/N4861)</f>
        <v/>
      </c>
      <c r="W4861" s="81">
        <f>IF(ISBLANK(P4861),"",IF(S4861=0,(365/0.5)*V4861,(365/S4861)*V4861))</f>
        <v/>
      </c>
      <c r="X4861" s="75" t="n"/>
      <c r="Y4861" s="77" t="n"/>
      <c r="Z4861" s="77" t="n"/>
      <c r="AA4861" s="75" t="n"/>
      <c r="AB4861" s="75" t="n"/>
      <c r="AC4861" s="6" t="n"/>
      <c r="AD4861" s="75" t="n"/>
      <c r="AE4861" s="75" t="n"/>
      <c r="AF4861" s="75" t="n"/>
    </row>
    <row r="4862" ht="15.75" customHeight="1" s="133">
      <c r="A4862" s="75" t="n"/>
      <c r="B4862" s="75" t="n"/>
      <c r="C4862" s="75" t="n"/>
      <c r="D4862" s="75" t="n"/>
      <c r="E4862" s="76" t="n"/>
      <c r="F4862" s="77" t="n"/>
      <c r="G4862" s="75" t="n"/>
      <c r="H4862" s="75">
        <f>IF(ISBLANK(E4862),"",IF(OR(D4862="Butterfly",D4862="Butterfly ",D4862="Iron Fly", D4862="Iron Fly "),LEN(E4862)-LEN(SUBSTITUTE(E4862,"/",""))+2,LEN(E4862)-LEN(SUBSTITUTE(E4862,"/",""))+1))</f>
        <v/>
      </c>
      <c r="I4862" s="78">
        <f>IF(ISBLANK(G4862),"",IF(D4862="Stock","0",Key!$A$3*H4862*G4862))</f>
        <v/>
      </c>
      <c r="J4862" s="78">
        <f>IF(ISBLANK(E4862),"",IF(ISNUMBER(SEARCH("/",E4862)), IF(LEN(E4862)-LEN(SUBSTITUTE(E4862,"/",""))=1,(RIGHT(E4862,LEN(E4862)-FIND("/",E4862)))-(LEFT(E4862,FIND("/",E4862)-1)),(MID(E4862, SEARCH("/",E4862) + 1, SEARCH("/",E4862, SEARCH("/",E4862)+1) - SEARCH("/",E4862) - 1))-(LEFT(E4862,FIND("/",E4862)-1))), "NA"))</f>
        <v/>
      </c>
      <c r="K4862" s="79">
        <f>IF(A4862&lt;&gt;"", IF(ISBLANK(L4862), TODAY(), K4862), "")</f>
        <v/>
      </c>
      <c r="L4862" s="78" t="n"/>
      <c r="M4862" s="78">
        <f>IF(ISBLANK(L4862),"",IF(D4862="Stock",IF(C4862="Buy",L4862*G4862,IF(C4862="Sell",(L4862*G4862)-I4862, X)),IF(C4862="Buy",(L4862*G4862*100)+I4862,IF(C4862="Sell",(L4862*G4862*100)-I4862, X))))</f>
        <v/>
      </c>
      <c r="N4862" s="78">
        <f>IF(ISBLANK(L4862),"",IF(AND(C4862="Sell",D4862="Stock"),M4862,IF(ISBLANK(L4862),"",IF(C4862="Buy",M4862, IF(AND(C4862="Sell",J4862="NA"),(E4862*G4862*100*0.1)+I4862, IF(C4862="Sell",(J4862-L4862)*(100*G4862)+I4862))))))</f>
        <v/>
      </c>
      <c r="O4862" s="75" t="n"/>
      <c r="P4862" s="75" t="n"/>
      <c r="Q4862" s="75">
        <f>IF(ISBLANK(P4862),"",IF(D4862="Stock",P4862*G4862,IF(P4862=0,"0",G4862*P4862*100-(G4862*$AF$14))))</f>
        <v/>
      </c>
      <c r="R4862" s="79">
        <f>IF(P4862&lt;&gt;"", TODAY(), "")</f>
        <v/>
      </c>
      <c r="S4862" s="78">
        <f>IF(AND(K4862&lt;&gt;"", R4862&lt;&gt;""), R4862-K4862, "")</f>
        <v/>
      </c>
      <c r="T4862" s="78" t="n"/>
      <c r="U4862" s="92">
        <f>IF(ISBLANK(P4862),"",IF(C4862="Buy",Q4862-M4862+T4862, IF(C4862="Sell",M4862-Q4862-T4862, X)))</f>
        <v/>
      </c>
      <c r="V4862" s="81">
        <f>IF(ISBLANK(P4862),"",U4862/N4862)</f>
        <v/>
      </c>
      <c r="W4862" s="81">
        <f>IF(ISBLANK(P4862),"",IF(S4862=0,(365/0.5)*V4862,(365/S4862)*V4862))</f>
        <v/>
      </c>
      <c r="X4862" s="75" t="n"/>
      <c r="Y4862" s="77" t="n"/>
      <c r="Z4862" s="77" t="n"/>
      <c r="AA4862" s="75" t="n"/>
      <c r="AB4862" s="75" t="n"/>
      <c r="AC4862" s="6" t="n"/>
      <c r="AD4862" s="75" t="n"/>
      <c r="AE4862" s="75" t="n"/>
      <c r="AF4862" s="75" t="n"/>
    </row>
    <row r="4863" ht="15.75" customHeight="1" s="133">
      <c r="A4863" s="75" t="n"/>
      <c r="B4863" s="75" t="n"/>
      <c r="C4863" s="75" t="n"/>
      <c r="D4863" s="75" t="n"/>
      <c r="E4863" s="76" t="n"/>
      <c r="F4863" s="77" t="n"/>
      <c r="G4863" s="75" t="n"/>
      <c r="H4863" s="75">
        <f>IF(ISBLANK(E4863),"",IF(OR(D4863="Butterfly",D4863="Butterfly ",D4863="Iron Fly", D4863="Iron Fly "),LEN(E4863)-LEN(SUBSTITUTE(E4863,"/",""))+2,LEN(E4863)-LEN(SUBSTITUTE(E4863,"/",""))+1))</f>
        <v/>
      </c>
      <c r="I4863" s="78">
        <f>IF(ISBLANK(G4863),"",IF(D4863="Stock","0",Key!$A$3*H4863*G4863))</f>
        <v/>
      </c>
      <c r="J4863" s="78">
        <f>IF(ISBLANK(E4863),"",IF(ISNUMBER(SEARCH("/",E4863)), IF(LEN(E4863)-LEN(SUBSTITUTE(E4863,"/",""))=1,(RIGHT(E4863,LEN(E4863)-FIND("/",E4863)))-(LEFT(E4863,FIND("/",E4863)-1)),(MID(E4863, SEARCH("/",E4863) + 1, SEARCH("/",E4863, SEARCH("/",E4863)+1) - SEARCH("/",E4863) - 1))-(LEFT(E4863,FIND("/",E4863)-1))), "NA"))</f>
        <v/>
      </c>
      <c r="K4863" s="79">
        <f>IF(A4863&lt;&gt;"", IF(ISBLANK(L4863), TODAY(), K4863), "")</f>
        <v/>
      </c>
      <c r="L4863" s="78" t="n"/>
      <c r="M4863" s="78">
        <f>IF(ISBLANK(L4863),"",IF(D4863="Stock",IF(C4863="Buy",L4863*G4863,IF(C4863="Sell",(L4863*G4863)-I4863, X)),IF(C4863="Buy",(L4863*G4863*100)+I4863,IF(C4863="Sell",(L4863*G4863*100)-I4863, X))))</f>
        <v/>
      </c>
      <c r="N4863" s="78">
        <f>IF(ISBLANK(L4863),"",IF(AND(C4863="Sell",D4863="Stock"),M4863,IF(ISBLANK(L4863),"",IF(C4863="Buy",M4863, IF(AND(C4863="Sell",J4863="NA"),(E4863*G4863*100*0.1)+I4863, IF(C4863="Sell",(J4863-L4863)*(100*G4863)+I4863))))))</f>
        <v/>
      </c>
      <c r="O4863" s="75" t="n"/>
      <c r="P4863" s="75" t="n"/>
      <c r="Q4863" s="75">
        <f>IF(ISBLANK(P4863),"",IF(D4863="Stock",P4863*G4863,IF(P4863=0,"0",G4863*P4863*100-(G4863*$AF$14))))</f>
        <v/>
      </c>
      <c r="R4863" s="79">
        <f>IF(P4863&lt;&gt;"", TODAY(), "")</f>
        <v/>
      </c>
      <c r="S4863" s="78">
        <f>IF(AND(K4863&lt;&gt;"", R4863&lt;&gt;""), R4863-K4863, "")</f>
        <v/>
      </c>
      <c r="T4863" s="78" t="n"/>
      <c r="U4863" s="92">
        <f>IF(ISBLANK(P4863),"",IF(C4863="Buy",Q4863-M4863+T4863, IF(C4863="Sell",M4863-Q4863-T4863, X)))</f>
        <v/>
      </c>
      <c r="V4863" s="81">
        <f>IF(ISBLANK(P4863),"",U4863/N4863)</f>
        <v/>
      </c>
      <c r="W4863" s="81">
        <f>IF(ISBLANK(P4863),"",IF(S4863=0,(365/0.5)*V4863,(365/S4863)*V4863))</f>
        <v/>
      </c>
      <c r="X4863" s="75" t="n"/>
      <c r="Y4863" s="77" t="n"/>
      <c r="Z4863" s="77" t="n"/>
      <c r="AA4863" s="75" t="n"/>
      <c r="AB4863" s="75" t="n"/>
      <c r="AC4863" s="6" t="n"/>
      <c r="AD4863" s="75" t="n"/>
      <c r="AE4863" s="75" t="n"/>
      <c r="AF4863" s="75" t="n"/>
    </row>
    <row r="4864" ht="15.75" customHeight="1" s="133">
      <c r="A4864" s="75" t="n"/>
      <c r="B4864" s="75" t="n"/>
      <c r="C4864" s="75" t="n"/>
      <c r="D4864" s="75" t="n"/>
      <c r="E4864" s="76" t="n"/>
      <c r="F4864" s="77" t="n"/>
      <c r="G4864" s="75" t="n"/>
      <c r="H4864" s="75">
        <f>IF(ISBLANK(E4864),"",IF(OR(D4864="Butterfly",D4864="Butterfly ",D4864="Iron Fly", D4864="Iron Fly "),LEN(E4864)-LEN(SUBSTITUTE(E4864,"/",""))+2,LEN(E4864)-LEN(SUBSTITUTE(E4864,"/",""))+1))</f>
        <v/>
      </c>
      <c r="I4864" s="78">
        <f>IF(ISBLANK(G4864),"",IF(D4864="Stock","0",Key!$A$3*H4864*G4864))</f>
        <v/>
      </c>
      <c r="J4864" s="78">
        <f>IF(ISBLANK(E4864),"",IF(ISNUMBER(SEARCH("/",E4864)), IF(LEN(E4864)-LEN(SUBSTITUTE(E4864,"/",""))=1,(RIGHT(E4864,LEN(E4864)-FIND("/",E4864)))-(LEFT(E4864,FIND("/",E4864)-1)),(MID(E4864, SEARCH("/",E4864) + 1, SEARCH("/",E4864, SEARCH("/",E4864)+1) - SEARCH("/",E4864) - 1))-(LEFT(E4864,FIND("/",E4864)-1))), "NA"))</f>
        <v/>
      </c>
      <c r="K4864" s="79">
        <f>IF(A4864&lt;&gt;"", IF(ISBLANK(L4864), TODAY(), K4864), "")</f>
        <v/>
      </c>
      <c r="L4864" s="78" t="n"/>
      <c r="M4864" s="78">
        <f>IF(ISBLANK(L4864),"",IF(D4864="Stock",IF(C4864="Buy",L4864*G4864,IF(C4864="Sell",(L4864*G4864)-I4864, X)),IF(C4864="Buy",(L4864*G4864*100)+I4864,IF(C4864="Sell",(L4864*G4864*100)-I4864, X))))</f>
        <v/>
      </c>
      <c r="N4864" s="78">
        <f>IF(ISBLANK(L4864),"",IF(AND(C4864="Sell",D4864="Stock"),M4864,IF(ISBLANK(L4864),"",IF(C4864="Buy",M4864, IF(AND(C4864="Sell",J4864="NA"),(E4864*G4864*100*0.1)+I4864, IF(C4864="Sell",(J4864-L4864)*(100*G4864)+I4864))))))</f>
        <v/>
      </c>
      <c r="O4864" s="75" t="n"/>
      <c r="P4864" s="75" t="n"/>
      <c r="Q4864" s="75">
        <f>IF(ISBLANK(P4864),"",IF(D4864="Stock",P4864*G4864,IF(P4864=0,"0",G4864*P4864*100-(G4864*$AF$14))))</f>
        <v/>
      </c>
      <c r="R4864" s="79">
        <f>IF(P4864&lt;&gt;"", TODAY(), "")</f>
        <v/>
      </c>
      <c r="S4864" s="78">
        <f>IF(AND(K4864&lt;&gt;"", R4864&lt;&gt;""), R4864-K4864, "")</f>
        <v/>
      </c>
      <c r="T4864" s="78" t="n"/>
      <c r="U4864" s="92">
        <f>IF(ISBLANK(P4864),"",IF(C4864="Buy",Q4864-M4864+T4864, IF(C4864="Sell",M4864-Q4864-T4864, X)))</f>
        <v/>
      </c>
      <c r="V4864" s="81">
        <f>IF(ISBLANK(P4864),"",U4864/N4864)</f>
        <v/>
      </c>
      <c r="W4864" s="81">
        <f>IF(ISBLANK(P4864),"",IF(S4864=0,(365/0.5)*V4864,(365/S4864)*V4864))</f>
        <v/>
      </c>
      <c r="X4864" s="75" t="n"/>
      <c r="Y4864" s="77" t="n"/>
      <c r="Z4864" s="77" t="n"/>
      <c r="AA4864" s="75" t="n"/>
      <c r="AB4864" s="75" t="n"/>
      <c r="AC4864" s="6" t="n"/>
      <c r="AD4864" s="75" t="n"/>
      <c r="AE4864" s="75" t="n"/>
      <c r="AF4864" s="75" t="n"/>
    </row>
    <row r="4865" ht="15.75" customHeight="1" s="133">
      <c r="A4865" s="75" t="n"/>
      <c r="B4865" s="75" t="n"/>
      <c r="C4865" s="75" t="n"/>
      <c r="D4865" s="75" t="n"/>
      <c r="E4865" s="76" t="n"/>
      <c r="F4865" s="77" t="n"/>
      <c r="G4865" s="75" t="n"/>
      <c r="H4865" s="75">
        <f>IF(ISBLANK(E4865),"",IF(OR(D4865="Butterfly",D4865="Butterfly ",D4865="Iron Fly", D4865="Iron Fly "),LEN(E4865)-LEN(SUBSTITUTE(E4865,"/",""))+2,LEN(E4865)-LEN(SUBSTITUTE(E4865,"/",""))+1))</f>
        <v/>
      </c>
      <c r="I4865" s="78">
        <f>IF(ISBLANK(G4865),"",IF(D4865="Stock","0",Key!$A$3*H4865*G4865))</f>
        <v/>
      </c>
      <c r="J4865" s="78">
        <f>IF(ISBLANK(E4865),"",IF(ISNUMBER(SEARCH("/",E4865)), IF(LEN(E4865)-LEN(SUBSTITUTE(E4865,"/",""))=1,(RIGHT(E4865,LEN(E4865)-FIND("/",E4865)))-(LEFT(E4865,FIND("/",E4865)-1)),(MID(E4865, SEARCH("/",E4865) + 1, SEARCH("/",E4865, SEARCH("/",E4865)+1) - SEARCH("/",E4865) - 1))-(LEFT(E4865,FIND("/",E4865)-1))), "NA"))</f>
        <v/>
      </c>
      <c r="K4865" s="79">
        <f>IF(A4865&lt;&gt;"", IF(ISBLANK(L4865), TODAY(), K4865), "")</f>
        <v/>
      </c>
      <c r="L4865" s="78" t="n"/>
      <c r="M4865" s="78">
        <f>IF(ISBLANK(L4865),"",IF(D4865="Stock",IF(C4865="Buy",L4865*G4865,IF(C4865="Sell",(L4865*G4865)-I4865, X)),IF(C4865="Buy",(L4865*G4865*100)+I4865,IF(C4865="Sell",(L4865*G4865*100)-I4865, X))))</f>
        <v/>
      </c>
      <c r="N4865" s="78">
        <f>IF(ISBLANK(L4865),"",IF(AND(C4865="Sell",D4865="Stock"),M4865,IF(ISBLANK(L4865),"",IF(C4865="Buy",M4865, IF(AND(C4865="Sell",J4865="NA"),(E4865*G4865*100*0.1)+I4865, IF(C4865="Sell",(J4865-L4865)*(100*G4865)+I4865))))))</f>
        <v/>
      </c>
      <c r="O4865" s="75" t="n"/>
      <c r="P4865" s="75" t="n"/>
      <c r="Q4865" s="75">
        <f>IF(ISBLANK(P4865),"",IF(D4865="Stock",P4865*G4865,IF(P4865=0,"0",G4865*P4865*100-(G4865*$AF$14))))</f>
        <v/>
      </c>
      <c r="R4865" s="79">
        <f>IF(P4865&lt;&gt;"", TODAY(), "")</f>
        <v/>
      </c>
      <c r="S4865" s="78">
        <f>IF(AND(K4865&lt;&gt;"", R4865&lt;&gt;""), R4865-K4865, "")</f>
        <v/>
      </c>
      <c r="T4865" s="78" t="n"/>
      <c r="U4865" s="92">
        <f>IF(ISBLANK(P4865),"",IF(C4865="Buy",Q4865-M4865+T4865, IF(C4865="Sell",M4865-Q4865-T4865, X)))</f>
        <v/>
      </c>
      <c r="V4865" s="81">
        <f>IF(ISBLANK(P4865),"",U4865/N4865)</f>
        <v/>
      </c>
      <c r="W4865" s="81">
        <f>IF(ISBLANK(P4865),"",IF(S4865=0,(365/0.5)*V4865,(365/S4865)*V4865))</f>
        <v/>
      </c>
      <c r="X4865" s="75" t="n"/>
      <c r="Y4865" s="77" t="n"/>
      <c r="Z4865" s="77" t="n"/>
      <c r="AA4865" s="75" t="n"/>
      <c r="AB4865" s="75" t="n"/>
      <c r="AC4865" s="6" t="n"/>
      <c r="AD4865" s="75" t="n"/>
      <c r="AE4865" s="75" t="n"/>
      <c r="AF4865" s="75" t="n"/>
    </row>
    <row r="4866" ht="15.75" customHeight="1" s="133">
      <c r="A4866" s="75" t="n"/>
      <c r="B4866" s="75" t="n"/>
      <c r="C4866" s="75" t="n"/>
      <c r="D4866" s="75" t="n"/>
      <c r="E4866" s="76" t="n"/>
      <c r="F4866" s="77" t="n"/>
      <c r="G4866" s="75" t="n"/>
      <c r="H4866" s="75">
        <f>IF(ISBLANK(E4866),"",IF(OR(D4866="Butterfly",D4866="Butterfly ",D4866="Iron Fly", D4866="Iron Fly "),LEN(E4866)-LEN(SUBSTITUTE(E4866,"/",""))+2,LEN(E4866)-LEN(SUBSTITUTE(E4866,"/",""))+1))</f>
        <v/>
      </c>
      <c r="I4866" s="78">
        <f>IF(ISBLANK(G4866),"",IF(D4866="Stock","0",Key!$A$3*H4866*G4866))</f>
        <v/>
      </c>
      <c r="J4866" s="78">
        <f>IF(ISBLANK(E4866),"",IF(ISNUMBER(SEARCH("/",E4866)), IF(LEN(E4866)-LEN(SUBSTITUTE(E4866,"/",""))=1,(RIGHT(E4866,LEN(E4866)-FIND("/",E4866)))-(LEFT(E4866,FIND("/",E4866)-1)),(MID(E4866, SEARCH("/",E4866) + 1, SEARCH("/",E4866, SEARCH("/",E4866)+1) - SEARCH("/",E4866) - 1))-(LEFT(E4866,FIND("/",E4866)-1))), "NA"))</f>
        <v/>
      </c>
      <c r="K4866" s="79">
        <f>IF(A4866&lt;&gt;"", IF(ISBLANK(L4866), TODAY(), K4866), "")</f>
        <v/>
      </c>
      <c r="L4866" s="78" t="n"/>
      <c r="M4866" s="78">
        <f>IF(ISBLANK(L4866),"",IF(D4866="Stock",IF(C4866="Buy",L4866*G4866,IF(C4866="Sell",(L4866*G4866)-I4866, X)),IF(C4866="Buy",(L4866*G4866*100)+I4866,IF(C4866="Sell",(L4866*G4866*100)-I4866, X))))</f>
        <v/>
      </c>
      <c r="N4866" s="78">
        <f>IF(ISBLANK(L4866),"",IF(AND(C4866="Sell",D4866="Stock"),M4866,IF(ISBLANK(L4866),"",IF(C4866="Buy",M4866, IF(AND(C4866="Sell",J4866="NA"),(E4866*G4866*100*0.1)+I4866, IF(C4866="Sell",(J4866-L4866)*(100*G4866)+I4866))))))</f>
        <v/>
      </c>
      <c r="O4866" s="75" t="n"/>
      <c r="P4866" s="75" t="n"/>
      <c r="Q4866" s="75">
        <f>IF(ISBLANK(P4866),"",IF(D4866="Stock",P4866*G4866,IF(P4866=0,"0",G4866*P4866*100-(G4866*$AF$14))))</f>
        <v/>
      </c>
      <c r="R4866" s="79">
        <f>IF(P4866&lt;&gt;"", TODAY(), "")</f>
        <v/>
      </c>
      <c r="S4866" s="78">
        <f>IF(AND(K4866&lt;&gt;"", R4866&lt;&gt;""), R4866-K4866, "")</f>
        <v/>
      </c>
      <c r="T4866" s="78" t="n"/>
      <c r="U4866" s="92">
        <f>IF(ISBLANK(P4866),"",IF(C4866="Buy",Q4866-M4866+T4866, IF(C4866="Sell",M4866-Q4866-T4866, X)))</f>
        <v/>
      </c>
      <c r="V4866" s="81">
        <f>IF(ISBLANK(P4866),"",U4866/N4866)</f>
        <v/>
      </c>
      <c r="W4866" s="81">
        <f>IF(ISBLANK(P4866),"",IF(S4866=0,(365/0.5)*V4866,(365/S4866)*V4866))</f>
        <v/>
      </c>
      <c r="X4866" s="75" t="n"/>
      <c r="Y4866" s="77" t="n"/>
      <c r="Z4866" s="77" t="n"/>
      <c r="AA4866" s="75" t="n"/>
      <c r="AB4866" s="75" t="n"/>
      <c r="AC4866" s="6" t="n"/>
      <c r="AD4866" s="75" t="n"/>
      <c r="AE4866" s="75" t="n"/>
      <c r="AF4866" s="75" t="n"/>
    </row>
    <row r="4867" ht="15.75" customHeight="1" s="133">
      <c r="A4867" s="75" t="n"/>
      <c r="B4867" s="75" t="n"/>
      <c r="C4867" s="75" t="n"/>
      <c r="D4867" s="75" t="n"/>
      <c r="E4867" s="76" t="n"/>
      <c r="F4867" s="77" t="n"/>
      <c r="G4867" s="75" t="n"/>
      <c r="H4867" s="75">
        <f>IF(ISBLANK(E4867),"",IF(OR(D4867="Butterfly",D4867="Butterfly ",D4867="Iron Fly", D4867="Iron Fly "),LEN(E4867)-LEN(SUBSTITUTE(E4867,"/",""))+2,LEN(E4867)-LEN(SUBSTITUTE(E4867,"/",""))+1))</f>
        <v/>
      </c>
      <c r="I4867" s="78">
        <f>IF(ISBLANK(G4867),"",IF(D4867="Stock","0",Key!$A$3*H4867*G4867))</f>
        <v/>
      </c>
      <c r="J4867" s="78">
        <f>IF(ISBLANK(E4867),"",IF(ISNUMBER(SEARCH("/",E4867)), IF(LEN(E4867)-LEN(SUBSTITUTE(E4867,"/",""))=1,(RIGHT(E4867,LEN(E4867)-FIND("/",E4867)))-(LEFT(E4867,FIND("/",E4867)-1)),(MID(E4867, SEARCH("/",E4867) + 1, SEARCH("/",E4867, SEARCH("/",E4867)+1) - SEARCH("/",E4867) - 1))-(LEFT(E4867,FIND("/",E4867)-1))), "NA"))</f>
        <v/>
      </c>
      <c r="K4867" s="79">
        <f>IF(A4867&lt;&gt;"", IF(ISBLANK(L4867), TODAY(), K4867), "")</f>
        <v/>
      </c>
      <c r="L4867" s="78" t="n"/>
      <c r="M4867" s="78">
        <f>IF(ISBLANK(L4867),"",IF(D4867="Stock",IF(C4867="Buy",L4867*G4867,IF(C4867="Sell",(L4867*G4867)-I4867, X)),IF(C4867="Buy",(L4867*G4867*100)+I4867,IF(C4867="Sell",(L4867*G4867*100)-I4867, X))))</f>
        <v/>
      </c>
      <c r="N4867" s="78">
        <f>IF(ISBLANK(L4867),"",IF(AND(C4867="Sell",D4867="Stock"),M4867,IF(ISBLANK(L4867),"",IF(C4867="Buy",M4867, IF(AND(C4867="Sell",J4867="NA"),(E4867*G4867*100*0.1)+I4867, IF(C4867="Sell",(J4867-L4867)*(100*G4867)+I4867))))))</f>
        <v/>
      </c>
      <c r="O4867" s="75" t="n"/>
      <c r="P4867" s="75" t="n"/>
      <c r="Q4867" s="75">
        <f>IF(ISBLANK(P4867),"",IF(D4867="Stock",P4867*G4867,IF(P4867=0,"0",G4867*P4867*100-(G4867*$AF$14))))</f>
        <v/>
      </c>
      <c r="R4867" s="79">
        <f>IF(P4867&lt;&gt;"", TODAY(), "")</f>
        <v/>
      </c>
      <c r="S4867" s="78">
        <f>IF(AND(K4867&lt;&gt;"", R4867&lt;&gt;""), R4867-K4867, "")</f>
        <v/>
      </c>
      <c r="T4867" s="78" t="n"/>
      <c r="U4867" s="92">
        <f>IF(ISBLANK(P4867),"",IF(C4867="Buy",Q4867-M4867+T4867, IF(C4867="Sell",M4867-Q4867-T4867, X)))</f>
        <v/>
      </c>
      <c r="V4867" s="81">
        <f>IF(ISBLANK(P4867),"",U4867/N4867)</f>
        <v/>
      </c>
      <c r="W4867" s="81">
        <f>IF(ISBLANK(P4867),"",IF(S4867=0,(365/0.5)*V4867,(365/S4867)*V4867))</f>
        <v/>
      </c>
      <c r="X4867" s="75" t="n"/>
      <c r="Y4867" s="77" t="n"/>
      <c r="Z4867" s="77" t="n"/>
      <c r="AA4867" s="75" t="n"/>
      <c r="AB4867" s="75" t="n"/>
      <c r="AC4867" s="6" t="n"/>
      <c r="AD4867" s="75" t="n"/>
      <c r="AE4867" s="75" t="n"/>
      <c r="AF4867" s="75" t="n"/>
    </row>
    <row r="4868" ht="15.75" customHeight="1" s="133">
      <c r="A4868" s="75" t="n"/>
      <c r="B4868" s="75" t="n"/>
      <c r="C4868" s="75" t="n"/>
      <c r="D4868" s="75" t="n"/>
      <c r="E4868" s="76" t="n"/>
      <c r="F4868" s="77" t="n"/>
      <c r="G4868" s="75" t="n"/>
      <c r="H4868" s="75">
        <f>IF(ISBLANK(E4868),"",IF(OR(D4868="Butterfly",D4868="Butterfly ",D4868="Iron Fly", D4868="Iron Fly "),LEN(E4868)-LEN(SUBSTITUTE(E4868,"/",""))+2,LEN(E4868)-LEN(SUBSTITUTE(E4868,"/",""))+1))</f>
        <v/>
      </c>
      <c r="I4868" s="78">
        <f>IF(ISBLANK(G4868),"",IF(D4868="Stock","0",Key!$A$3*H4868*G4868))</f>
        <v/>
      </c>
      <c r="J4868" s="78">
        <f>IF(ISBLANK(E4868),"",IF(ISNUMBER(SEARCH("/",E4868)), IF(LEN(E4868)-LEN(SUBSTITUTE(E4868,"/",""))=1,(RIGHT(E4868,LEN(E4868)-FIND("/",E4868)))-(LEFT(E4868,FIND("/",E4868)-1)),(MID(E4868, SEARCH("/",E4868) + 1, SEARCH("/",E4868, SEARCH("/",E4868)+1) - SEARCH("/",E4868) - 1))-(LEFT(E4868,FIND("/",E4868)-1))), "NA"))</f>
        <v/>
      </c>
      <c r="K4868" s="79">
        <f>IF(A4868&lt;&gt;"", IF(ISBLANK(L4868), TODAY(), K4868), "")</f>
        <v/>
      </c>
      <c r="L4868" s="78" t="n"/>
      <c r="M4868" s="78">
        <f>IF(ISBLANK(L4868),"",IF(D4868="Stock",IF(C4868="Buy",L4868*G4868,IF(C4868="Sell",(L4868*G4868)-I4868, X)),IF(C4868="Buy",(L4868*G4868*100)+I4868,IF(C4868="Sell",(L4868*G4868*100)-I4868, X))))</f>
        <v/>
      </c>
      <c r="N4868" s="78">
        <f>IF(ISBLANK(L4868),"",IF(AND(C4868="Sell",D4868="Stock"),M4868,IF(ISBLANK(L4868),"",IF(C4868="Buy",M4868, IF(AND(C4868="Sell",J4868="NA"),(E4868*G4868*100*0.1)+I4868, IF(C4868="Sell",(J4868-L4868)*(100*G4868)+I4868))))))</f>
        <v/>
      </c>
      <c r="O4868" s="75" t="n"/>
      <c r="P4868" s="75" t="n"/>
      <c r="Q4868" s="75">
        <f>IF(ISBLANK(P4868),"",IF(D4868="Stock",P4868*G4868,IF(P4868=0,"0",G4868*P4868*100-(G4868*$AF$14))))</f>
        <v/>
      </c>
      <c r="R4868" s="79">
        <f>IF(P4868&lt;&gt;"", TODAY(), "")</f>
        <v/>
      </c>
      <c r="S4868" s="78">
        <f>IF(AND(K4868&lt;&gt;"", R4868&lt;&gt;""), R4868-K4868, "")</f>
        <v/>
      </c>
      <c r="T4868" s="78" t="n"/>
      <c r="U4868" s="92">
        <f>IF(ISBLANK(P4868),"",IF(C4868="Buy",Q4868-M4868+T4868, IF(C4868="Sell",M4868-Q4868-T4868, X)))</f>
        <v/>
      </c>
      <c r="V4868" s="81">
        <f>IF(ISBLANK(P4868),"",U4868/N4868)</f>
        <v/>
      </c>
      <c r="W4868" s="81">
        <f>IF(ISBLANK(P4868),"",IF(S4868=0,(365/0.5)*V4868,(365/S4868)*V4868))</f>
        <v/>
      </c>
      <c r="X4868" s="75" t="n"/>
      <c r="Y4868" s="77" t="n"/>
      <c r="Z4868" s="77" t="n"/>
      <c r="AA4868" s="75" t="n"/>
      <c r="AB4868" s="75" t="n"/>
      <c r="AC4868" s="6" t="n"/>
      <c r="AD4868" s="75" t="n"/>
      <c r="AE4868" s="75" t="n"/>
      <c r="AF4868" s="75" t="n"/>
    </row>
    <row r="4869" ht="15.75" customHeight="1" s="133">
      <c r="A4869" s="75" t="n"/>
      <c r="B4869" s="75" t="n"/>
      <c r="C4869" s="75" t="n"/>
      <c r="D4869" s="75" t="n"/>
      <c r="E4869" s="76" t="n"/>
      <c r="F4869" s="77" t="n"/>
      <c r="G4869" s="75" t="n"/>
      <c r="H4869" s="75">
        <f>IF(ISBLANK(E4869),"",IF(OR(D4869="Butterfly",D4869="Butterfly ",D4869="Iron Fly", D4869="Iron Fly "),LEN(E4869)-LEN(SUBSTITUTE(E4869,"/",""))+2,LEN(E4869)-LEN(SUBSTITUTE(E4869,"/",""))+1))</f>
        <v/>
      </c>
      <c r="I4869" s="78">
        <f>IF(ISBLANK(G4869),"",IF(D4869="Stock","0",Key!$A$3*H4869*G4869))</f>
        <v/>
      </c>
      <c r="J4869" s="78">
        <f>IF(ISBLANK(E4869),"",IF(ISNUMBER(SEARCH("/",E4869)), IF(LEN(E4869)-LEN(SUBSTITUTE(E4869,"/",""))=1,(RIGHT(E4869,LEN(E4869)-FIND("/",E4869)))-(LEFT(E4869,FIND("/",E4869)-1)),(MID(E4869, SEARCH("/",E4869) + 1, SEARCH("/",E4869, SEARCH("/",E4869)+1) - SEARCH("/",E4869) - 1))-(LEFT(E4869,FIND("/",E4869)-1))), "NA"))</f>
        <v/>
      </c>
      <c r="K4869" s="79">
        <f>IF(A4869&lt;&gt;"", IF(ISBLANK(L4869), TODAY(), K4869), "")</f>
        <v/>
      </c>
      <c r="L4869" s="78" t="n"/>
      <c r="M4869" s="78">
        <f>IF(ISBLANK(L4869),"",IF(D4869="Stock",IF(C4869="Buy",L4869*G4869,IF(C4869="Sell",(L4869*G4869)-I4869, X)),IF(C4869="Buy",(L4869*G4869*100)+I4869,IF(C4869="Sell",(L4869*G4869*100)-I4869, X))))</f>
        <v/>
      </c>
      <c r="N4869" s="78">
        <f>IF(ISBLANK(L4869),"",IF(AND(C4869="Sell",D4869="Stock"),M4869,IF(ISBLANK(L4869),"",IF(C4869="Buy",M4869, IF(AND(C4869="Sell",J4869="NA"),(E4869*G4869*100*0.1)+I4869, IF(C4869="Sell",(J4869-L4869)*(100*G4869)+I4869))))))</f>
        <v/>
      </c>
      <c r="O4869" s="75" t="n"/>
      <c r="P4869" s="75" t="n"/>
      <c r="Q4869" s="75">
        <f>IF(ISBLANK(P4869),"",IF(D4869="Stock",P4869*G4869,IF(P4869=0,"0",G4869*P4869*100-(G4869*$AF$14))))</f>
        <v/>
      </c>
      <c r="R4869" s="79">
        <f>IF(P4869&lt;&gt;"", TODAY(), "")</f>
        <v/>
      </c>
      <c r="S4869" s="78">
        <f>IF(AND(K4869&lt;&gt;"", R4869&lt;&gt;""), R4869-K4869, "")</f>
        <v/>
      </c>
      <c r="T4869" s="78" t="n"/>
      <c r="U4869" s="92">
        <f>IF(ISBLANK(P4869),"",IF(C4869="Buy",Q4869-M4869+T4869, IF(C4869="Sell",M4869-Q4869-T4869, X)))</f>
        <v/>
      </c>
      <c r="V4869" s="81">
        <f>IF(ISBLANK(P4869),"",U4869/N4869)</f>
        <v/>
      </c>
      <c r="W4869" s="81">
        <f>IF(ISBLANK(P4869),"",IF(S4869=0,(365/0.5)*V4869,(365/S4869)*V4869))</f>
        <v/>
      </c>
      <c r="X4869" s="75" t="n"/>
      <c r="Y4869" s="77" t="n"/>
      <c r="Z4869" s="77" t="n"/>
      <c r="AA4869" s="75" t="n"/>
      <c r="AB4869" s="75" t="n"/>
      <c r="AC4869" s="6" t="n"/>
      <c r="AD4869" s="75" t="n"/>
      <c r="AE4869" s="75" t="n"/>
      <c r="AF4869" s="75" t="n"/>
    </row>
    <row r="4870" ht="15.75" customHeight="1" s="133">
      <c r="A4870" s="75" t="n"/>
      <c r="B4870" s="75" t="n"/>
      <c r="C4870" s="75" t="n"/>
      <c r="D4870" s="75" t="n"/>
      <c r="E4870" s="76" t="n"/>
      <c r="F4870" s="77" t="n"/>
      <c r="G4870" s="75" t="n"/>
      <c r="H4870" s="75">
        <f>IF(ISBLANK(E4870),"",IF(OR(D4870="Butterfly",D4870="Butterfly ",D4870="Iron Fly", D4870="Iron Fly "),LEN(E4870)-LEN(SUBSTITUTE(E4870,"/",""))+2,LEN(E4870)-LEN(SUBSTITUTE(E4870,"/",""))+1))</f>
        <v/>
      </c>
      <c r="I4870" s="78">
        <f>IF(ISBLANK(G4870),"",IF(D4870="Stock","0",Key!$A$3*H4870*G4870))</f>
        <v/>
      </c>
      <c r="J4870" s="78">
        <f>IF(ISBLANK(E4870),"",IF(ISNUMBER(SEARCH("/",E4870)), IF(LEN(E4870)-LEN(SUBSTITUTE(E4870,"/",""))=1,(RIGHT(E4870,LEN(E4870)-FIND("/",E4870)))-(LEFT(E4870,FIND("/",E4870)-1)),(MID(E4870, SEARCH("/",E4870) + 1, SEARCH("/",E4870, SEARCH("/",E4870)+1) - SEARCH("/",E4870) - 1))-(LEFT(E4870,FIND("/",E4870)-1))), "NA"))</f>
        <v/>
      </c>
      <c r="K4870" s="79">
        <f>IF(A4870&lt;&gt;"", IF(ISBLANK(L4870), TODAY(), K4870), "")</f>
        <v/>
      </c>
      <c r="L4870" s="78" t="n"/>
      <c r="M4870" s="78">
        <f>IF(ISBLANK(L4870),"",IF(D4870="Stock",IF(C4870="Buy",L4870*G4870,IF(C4870="Sell",(L4870*G4870)-I4870, X)),IF(C4870="Buy",(L4870*G4870*100)+I4870,IF(C4870="Sell",(L4870*G4870*100)-I4870, X))))</f>
        <v/>
      </c>
      <c r="N4870" s="78">
        <f>IF(ISBLANK(L4870),"",IF(AND(C4870="Sell",D4870="Stock"),M4870,IF(ISBLANK(L4870),"",IF(C4870="Buy",M4870, IF(AND(C4870="Sell",J4870="NA"),(E4870*G4870*100*0.1)+I4870, IF(C4870="Sell",(J4870-L4870)*(100*G4870)+I4870))))))</f>
        <v/>
      </c>
      <c r="O4870" s="75" t="n"/>
      <c r="P4870" s="75" t="n"/>
      <c r="Q4870" s="75">
        <f>IF(ISBLANK(P4870),"",IF(D4870="Stock",P4870*G4870,IF(P4870=0,"0",G4870*P4870*100-(G4870*$AF$14))))</f>
        <v/>
      </c>
      <c r="R4870" s="79">
        <f>IF(P4870&lt;&gt;"", TODAY(), "")</f>
        <v/>
      </c>
      <c r="S4870" s="78">
        <f>IF(AND(K4870&lt;&gt;"", R4870&lt;&gt;""), R4870-K4870, "")</f>
        <v/>
      </c>
      <c r="T4870" s="78" t="n"/>
      <c r="U4870" s="92">
        <f>IF(ISBLANK(P4870),"",IF(C4870="Buy",Q4870-M4870+T4870, IF(C4870="Sell",M4870-Q4870-T4870, X)))</f>
        <v/>
      </c>
      <c r="V4870" s="81">
        <f>IF(ISBLANK(P4870),"",U4870/N4870)</f>
        <v/>
      </c>
      <c r="W4870" s="81">
        <f>IF(ISBLANK(P4870),"",IF(S4870=0,(365/0.5)*V4870,(365/S4870)*V4870))</f>
        <v/>
      </c>
      <c r="X4870" s="75" t="n"/>
      <c r="Y4870" s="77" t="n"/>
      <c r="Z4870" s="77" t="n"/>
      <c r="AA4870" s="75" t="n"/>
      <c r="AB4870" s="75" t="n"/>
      <c r="AC4870" s="6" t="n"/>
      <c r="AD4870" s="75" t="n"/>
      <c r="AE4870" s="75" t="n"/>
      <c r="AF4870" s="75" t="n"/>
    </row>
    <row r="4871" ht="15.75" customHeight="1" s="133">
      <c r="A4871" s="75" t="n"/>
      <c r="B4871" s="75" t="n"/>
      <c r="C4871" s="75" t="n"/>
      <c r="D4871" s="75" t="n"/>
      <c r="E4871" s="76" t="n"/>
      <c r="F4871" s="77" t="n"/>
      <c r="G4871" s="75" t="n"/>
      <c r="H4871" s="75">
        <f>IF(ISBLANK(E4871),"",IF(OR(D4871="Butterfly",D4871="Butterfly ",D4871="Iron Fly", D4871="Iron Fly "),LEN(E4871)-LEN(SUBSTITUTE(E4871,"/",""))+2,LEN(E4871)-LEN(SUBSTITUTE(E4871,"/",""))+1))</f>
        <v/>
      </c>
      <c r="I4871" s="78">
        <f>IF(ISBLANK(G4871),"",IF(D4871="Stock","0",Key!$A$3*H4871*G4871))</f>
        <v/>
      </c>
      <c r="J4871" s="78">
        <f>IF(ISBLANK(E4871),"",IF(ISNUMBER(SEARCH("/",E4871)), IF(LEN(E4871)-LEN(SUBSTITUTE(E4871,"/",""))=1,(RIGHT(E4871,LEN(E4871)-FIND("/",E4871)))-(LEFT(E4871,FIND("/",E4871)-1)),(MID(E4871, SEARCH("/",E4871) + 1, SEARCH("/",E4871, SEARCH("/",E4871)+1) - SEARCH("/",E4871) - 1))-(LEFT(E4871,FIND("/",E4871)-1))), "NA"))</f>
        <v/>
      </c>
      <c r="K4871" s="79">
        <f>IF(A4871&lt;&gt;"", IF(ISBLANK(L4871), TODAY(), K4871), "")</f>
        <v/>
      </c>
      <c r="L4871" s="78" t="n"/>
      <c r="M4871" s="78">
        <f>IF(ISBLANK(L4871),"",IF(D4871="Stock",IF(C4871="Buy",L4871*G4871,IF(C4871="Sell",(L4871*G4871)-I4871, X)),IF(C4871="Buy",(L4871*G4871*100)+I4871,IF(C4871="Sell",(L4871*G4871*100)-I4871, X))))</f>
        <v/>
      </c>
      <c r="N4871" s="78">
        <f>IF(ISBLANK(L4871),"",IF(AND(C4871="Sell",D4871="Stock"),M4871,IF(ISBLANK(L4871),"",IF(C4871="Buy",M4871, IF(AND(C4871="Sell",J4871="NA"),(E4871*G4871*100*0.1)+I4871, IF(C4871="Sell",(J4871-L4871)*(100*G4871)+I4871))))))</f>
        <v/>
      </c>
      <c r="O4871" s="75" t="n"/>
      <c r="P4871" s="75" t="n"/>
      <c r="Q4871" s="75">
        <f>IF(ISBLANK(P4871),"",IF(D4871="Stock",P4871*G4871,IF(P4871=0,"0",G4871*P4871*100-(G4871*$AF$14))))</f>
        <v/>
      </c>
      <c r="R4871" s="79">
        <f>IF(P4871&lt;&gt;"", TODAY(), "")</f>
        <v/>
      </c>
      <c r="S4871" s="78">
        <f>IF(AND(K4871&lt;&gt;"", R4871&lt;&gt;""), R4871-K4871, "")</f>
        <v/>
      </c>
      <c r="T4871" s="78" t="n"/>
      <c r="U4871" s="92">
        <f>IF(ISBLANK(P4871),"",IF(C4871="Buy",Q4871-M4871+T4871, IF(C4871="Sell",M4871-Q4871-T4871, X)))</f>
        <v/>
      </c>
      <c r="V4871" s="81">
        <f>IF(ISBLANK(P4871),"",U4871/N4871)</f>
        <v/>
      </c>
      <c r="W4871" s="81">
        <f>IF(ISBLANK(P4871),"",IF(S4871=0,(365/0.5)*V4871,(365/S4871)*V4871))</f>
        <v/>
      </c>
      <c r="X4871" s="75" t="n"/>
      <c r="Y4871" s="77" t="n"/>
      <c r="Z4871" s="77" t="n"/>
      <c r="AA4871" s="75" t="n"/>
      <c r="AB4871" s="75" t="n"/>
      <c r="AC4871" s="6" t="n"/>
      <c r="AD4871" s="75" t="n"/>
      <c r="AE4871" s="75" t="n"/>
      <c r="AF4871" s="75" t="n"/>
    </row>
    <row r="4872" ht="15.75" customHeight="1" s="133">
      <c r="A4872" s="75" t="n"/>
      <c r="B4872" s="75" t="n"/>
      <c r="C4872" s="75" t="n"/>
      <c r="D4872" s="75" t="n"/>
      <c r="E4872" s="76" t="n"/>
      <c r="F4872" s="77" t="n"/>
      <c r="G4872" s="75" t="n"/>
      <c r="H4872" s="75">
        <f>IF(ISBLANK(E4872),"",IF(OR(D4872="Butterfly",D4872="Butterfly ",D4872="Iron Fly", D4872="Iron Fly "),LEN(E4872)-LEN(SUBSTITUTE(E4872,"/",""))+2,LEN(E4872)-LEN(SUBSTITUTE(E4872,"/",""))+1))</f>
        <v/>
      </c>
      <c r="I4872" s="78">
        <f>IF(ISBLANK(G4872),"",IF(D4872="Stock","0",Key!$A$3*H4872*G4872))</f>
        <v/>
      </c>
      <c r="J4872" s="78">
        <f>IF(ISBLANK(E4872),"",IF(ISNUMBER(SEARCH("/",E4872)), IF(LEN(E4872)-LEN(SUBSTITUTE(E4872,"/",""))=1,(RIGHT(E4872,LEN(E4872)-FIND("/",E4872)))-(LEFT(E4872,FIND("/",E4872)-1)),(MID(E4872, SEARCH("/",E4872) + 1, SEARCH("/",E4872, SEARCH("/",E4872)+1) - SEARCH("/",E4872) - 1))-(LEFT(E4872,FIND("/",E4872)-1))), "NA"))</f>
        <v/>
      </c>
      <c r="K4872" s="79">
        <f>IF(A4872&lt;&gt;"", IF(ISBLANK(L4872), TODAY(), K4872), "")</f>
        <v/>
      </c>
      <c r="L4872" s="78" t="n"/>
      <c r="M4872" s="78">
        <f>IF(ISBLANK(L4872),"",IF(D4872="Stock",IF(C4872="Buy",L4872*G4872,IF(C4872="Sell",(L4872*G4872)-I4872, X)),IF(C4872="Buy",(L4872*G4872*100)+I4872,IF(C4872="Sell",(L4872*G4872*100)-I4872, X))))</f>
        <v/>
      </c>
      <c r="N4872" s="78">
        <f>IF(ISBLANK(L4872),"",IF(AND(C4872="Sell",D4872="Stock"),M4872,IF(ISBLANK(L4872),"",IF(C4872="Buy",M4872, IF(AND(C4872="Sell",J4872="NA"),(E4872*G4872*100*0.1)+I4872, IF(C4872="Sell",(J4872-L4872)*(100*G4872)+I4872))))))</f>
        <v/>
      </c>
      <c r="O4872" s="75" t="n"/>
      <c r="P4872" s="75" t="n"/>
      <c r="Q4872" s="75">
        <f>IF(ISBLANK(P4872),"",IF(D4872="Stock",P4872*G4872,IF(P4872=0,"0",G4872*P4872*100-(G4872*$AF$14))))</f>
        <v/>
      </c>
      <c r="R4872" s="79">
        <f>IF(P4872&lt;&gt;"", TODAY(), "")</f>
        <v/>
      </c>
      <c r="S4872" s="78">
        <f>IF(AND(K4872&lt;&gt;"", R4872&lt;&gt;""), R4872-K4872, "")</f>
        <v/>
      </c>
      <c r="T4872" s="78" t="n"/>
      <c r="U4872" s="92">
        <f>IF(ISBLANK(P4872),"",IF(C4872="Buy",Q4872-M4872+T4872, IF(C4872="Sell",M4872-Q4872-T4872, X)))</f>
        <v/>
      </c>
      <c r="V4872" s="81">
        <f>IF(ISBLANK(P4872),"",U4872/N4872)</f>
        <v/>
      </c>
      <c r="W4872" s="81">
        <f>IF(ISBLANK(P4872),"",IF(S4872=0,(365/0.5)*V4872,(365/S4872)*V4872))</f>
        <v/>
      </c>
      <c r="X4872" s="75" t="n"/>
      <c r="Y4872" s="77" t="n"/>
      <c r="Z4872" s="77" t="n"/>
      <c r="AA4872" s="75" t="n"/>
      <c r="AB4872" s="75" t="n"/>
      <c r="AC4872" s="6" t="n"/>
      <c r="AD4872" s="75" t="n"/>
      <c r="AE4872" s="75" t="n"/>
      <c r="AF4872" s="75" t="n"/>
    </row>
    <row r="4873" ht="15.75" customHeight="1" s="133">
      <c r="A4873" s="75" t="n"/>
      <c r="B4873" s="75" t="n"/>
      <c r="C4873" s="75" t="n"/>
      <c r="D4873" s="75" t="n"/>
      <c r="E4873" s="76" t="n"/>
      <c r="F4873" s="77" t="n"/>
      <c r="G4873" s="75" t="n"/>
      <c r="H4873" s="75">
        <f>IF(ISBLANK(E4873),"",IF(OR(D4873="Butterfly",D4873="Butterfly ",D4873="Iron Fly", D4873="Iron Fly "),LEN(E4873)-LEN(SUBSTITUTE(E4873,"/",""))+2,LEN(E4873)-LEN(SUBSTITUTE(E4873,"/",""))+1))</f>
        <v/>
      </c>
      <c r="I4873" s="78">
        <f>IF(ISBLANK(G4873),"",IF(D4873="Stock","0",Key!$A$3*H4873*G4873))</f>
        <v/>
      </c>
      <c r="J4873" s="78">
        <f>IF(ISBLANK(E4873),"",IF(ISNUMBER(SEARCH("/",E4873)), IF(LEN(E4873)-LEN(SUBSTITUTE(E4873,"/",""))=1,(RIGHT(E4873,LEN(E4873)-FIND("/",E4873)))-(LEFT(E4873,FIND("/",E4873)-1)),(MID(E4873, SEARCH("/",E4873) + 1, SEARCH("/",E4873, SEARCH("/",E4873)+1) - SEARCH("/",E4873) - 1))-(LEFT(E4873,FIND("/",E4873)-1))), "NA"))</f>
        <v/>
      </c>
      <c r="K4873" s="79">
        <f>IF(A4873&lt;&gt;"", IF(ISBLANK(L4873), TODAY(), K4873), "")</f>
        <v/>
      </c>
      <c r="L4873" s="78" t="n"/>
      <c r="M4873" s="78">
        <f>IF(ISBLANK(L4873),"",IF(D4873="Stock",IF(C4873="Buy",L4873*G4873,IF(C4873="Sell",(L4873*G4873)-I4873, X)),IF(C4873="Buy",(L4873*G4873*100)+I4873,IF(C4873="Sell",(L4873*G4873*100)-I4873, X))))</f>
        <v/>
      </c>
      <c r="N4873" s="78">
        <f>IF(ISBLANK(L4873),"",IF(AND(C4873="Sell",D4873="Stock"),M4873,IF(ISBLANK(L4873),"",IF(C4873="Buy",M4873, IF(AND(C4873="Sell",J4873="NA"),(E4873*G4873*100*0.1)+I4873, IF(C4873="Sell",(J4873-L4873)*(100*G4873)+I4873))))))</f>
        <v/>
      </c>
      <c r="O4873" s="75" t="n"/>
      <c r="P4873" s="75" t="n"/>
      <c r="Q4873" s="75">
        <f>IF(ISBLANK(P4873),"",IF(D4873="Stock",P4873*G4873,IF(P4873=0,"0",G4873*P4873*100-(G4873*$AF$14))))</f>
        <v/>
      </c>
      <c r="R4873" s="79">
        <f>IF(P4873&lt;&gt;"", TODAY(), "")</f>
        <v/>
      </c>
      <c r="S4873" s="78">
        <f>IF(AND(K4873&lt;&gt;"", R4873&lt;&gt;""), R4873-K4873, "")</f>
        <v/>
      </c>
      <c r="T4873" s="78" t="n"/>
      <c r="U4873" s="92">
        <f>IF(ISBLANK(P4873),"",IF(C4873="Buy",Q4873-M4873+T4873, IF(C4873="Sell",M4873-Q4873-T4873, X)))</f>
        <v/>
      </c>
      <c r="V4873" s="81">
        <f>IF(ISBLANK(P4873),"",U4873/N4873)</f>
        <v/>
      </c>
      <c r="W4873" s="81">
        <f>IF(ISBLANK(P4873),"",IF(S4873=0,(365/0.5)*V4873,(365/S4873)*V4873))</f>
        <v/>
      </c>
      <c r="X4873" s="75" t="n"/>
      <c r="Y4873" s="77" t="n"/>
      <c r="Z4873" s="77" t="n"/>
      <c r="AA4873" s="75" t="n"/>
      <c r="AB4873" s="75" t="n"/>
      <c r="AC4873" s="6" t="n"/>
      <c r="AD4873" s="75" t="n"/>
      <c r="AE4873" s="75" t="n"/>
      <c r="AF4873" s="75" t="n"/>
    </row>
    <row r="4874" ht="15.75" customHeight="1" s="133">
      <c r="A4874" s="75" t="n"/>
      <c r="B4874" s="75" t="n"/>
      <c r="C4874" s="75" t="n"/>
      <c r="D4874" s="75" t="n"/>
      <c r="E4874" s="76" t="n"/>
      <c r="F4874" s="77" t="n"/>
      <c r="G4874" s="75" t="n"/>
      <c r="H4874" s="75">
        <f>IF(ISBLANK(E4874),"",IF(OR(D4874="Butterfly",D4874="Butterfly ",D4874="Iron Fly", D4874="Iron Fly "),LEN(E4874)-LEN(SUBSTITUTE(E4874,"/",""))+2,LEN(E4874)-LEN(SUBSTITUTE(E4874,"/",""))+1))</f>
        <v/>
      </c>
      <c r="I4874" s="78">
        <f>IF(ISBLANK(G4874),"",IF(D4874="Stock","0",Key!$A$3*H4874*G4874))</f>
        <v/>
      </c>
      <c r="J4874" s="78">
        <f>IF(ISBLANK(E4874),"",IF(ISNUMBER(SEARCH("/",E4874)), IF(LEN(E4874)-LEN(SUBSTITUTE(E4874,"/",""))=1,(RIGHT(E4874,LEN(E4874)-FIND("/",E4874)))-(LEFT(E4874,FIND("/",E4874)-1)),(MID(E4874, SEARCH("/",E4874) + 1, SEARCH("/",E4874, SEARCH("/",E4874)+1) - SEARCH("/",E4874) - 1))-(LEFT(E4874,FIND("/",E4874)-1))), "NA"))</f>
        <v/>
      </c>
      <c r="K4874" s="79">
        <f>IF(A4874&lt;&gt;"", IF(ISBLANK(L4874), TODAY(), K4874), "")</f>
        <v/>
      </c>
      <c r="L4874" s="78" t="n"/>
      <c r="M4874" s="78">
        <f>IF(ISBLANK(L4874),"",IF(D4874="Stock",IF(C4874="Buy",L4874*G4874,IF(C4874="Sell",(L4874*G4874)-I4874, X)),IF(C4874="Buy",(L4874*G4874*100)+I4874,IF(C4874="Sell",(L4874*G4874*100)-I4874, X))))</f>
        <v/>
      </c>
      <c r="N4874" s="78">
        <f>IF(ISBLANK(L4874),"",IF(AND(C4874="Sell",D4874="Stock"),M4874,IF(ISBLANK(L4874),"",IF(C4874="Buy",M4874, IF(AND(C4874="Sell",J4874="NA"),(E4874*G4874*100*0.1)+I4874, IF(C4874="Sell",(J4874-L4874)*(100*G4874)+I4874))))))</f>
        <v/>
      </c>
      <c r="O4874" s="75" t="n"/>
      <c r="P4874" s="75" t="n"/>
      <c r="Q4874" s="75">
        <f>IF(ISBLANK(P4874),"",IF(D4874="Stock",P4874*G4874,IF(P4874=0,"0",G4874*P4874*100-(G4874*$AF$14))))</f>
        <v/>
      </c>
      <c r="R4874" s="79">
        <f>IF(P4874&lt;&gt;"", TODAY(), "")</f>
        <v/>
      </c>
      <c r="S4874" s="78">
        <f>IF(AND(K4874&lt;&gt;"", R4874&lt;&gt;""), R4874-K4874, "")</f>
        <v/>
      </c>
      <c r="T4874" s="78" t="n"/>
      <c r="U4874" s="92">
        <f>IF(ISBLANK(P4874),"",IF(C4874="Buy",Q4874-M4874+T4874, IF(C4874="Sell",M4874-Q4874-T4874, X)))</f>
        <v/>
      </c>
      <c r="V4874" s="81">
        <f>IF(ISBLANK(P4874),"",U4874/N4874)</f>
        <v/>
      </c>
      <c r="W4874" s="81">
        <f>IF(ISBLANK(P4874),"",IF(S4874=0,(365/0.5)*V4874,(365/S4874)*V4874))</f>
        <v/>
      </c>
      <c r="X4874" s="75" t="n"/>
      <c r="Y4874" s="77" t="n"/>
      <c r="Z4874" s="77" t="n"/>
      <c r="AA4874" s="75" t="n"/>
      <c r="AB4874" s="75" t="n"/>
      <c r="AC4874" s="6" t="n"/>
      <c r="AD4874" s="75" t="n"/>
      <c r="AE4874" s="75" t="n"/>
      <c r="AF4874" s="75" t="n"/>
    </row>
    <row r="4875" ht="15.75" customHeight="1" s="133">
      <c r="A4875" s="75" t="n"/>
      <c r="B4875" s="75" t="n"/>
      <c r="C4875" s="75" t="n"/>
      <c r="D4875" s="75" t="n"/>
      <c r="E4875" s="76" t="n"/>
      <c r="F4875" s="77" t="n"/>
      <c r="G4875" s="75" t="n"/>
      <c r="H4875" s="75">
        <f>IF(ISBLANK(E4875),"",IF(OR(D4875="Butterfly",D4875="Butterfly ",D4875="Iron Fly", D4875="Iron Fly "),LEN(E4875)-LEN(SUBSTITUTE(E4875,"/",""))+2,LEN(E4875)-LEN(SUBSTITUTE(E4875,"/",""))+1))</f>
        <v/>
      </c>
      <c r="I4875" s="78">
        <f>IF(ISBLANK(G4875),"",IF(D4875="Stock","0",Key!$A$3*H4875*G4875))</f>
        <v/>
      </c>
      <c r="J4875" s="78">
        <f>IF(ISBLANK(E4875),"",IF(ISNUMBER(SEARCH("/",E4875)), IF(LEN(E4875)-LEN(SUBSTITUTE(E4875,"/",""))=1,(RIGHT(E4875,LEN(E4875)-FIND("/",E4875)))-(LEFT(E4875,FIND("/",E4875)-1)),(MID(E4875, SEARCH("/",E4875) + 1, SEARCH("/",E4875, SEARCH("/",E4875)+1) - SEARCH("/",E4875) - 1))-(LEFT(E4875,FIND("/",E4875)-1))), "NA"))</f>
        <v/>
      </c>
      <c r="K4875" s="79">
        <f>IF(A4875&lt;&gt;"", IF(ISBLANK(L4875), TODAY(), K4875), "")</f>
        <v/>
      </c>
      <c r="L4875" s="78" t="n"/>
      <c r="M4875" s="78">
        <f>IF(ISBLANK(L4875),"",IF(D4875="Stock",IF(C4875="Buy",L4875*G4875,IF(C4875="Sell",(L4875*G4875)-I4875, X)),IF(C4875="Buy",(L4875*G4875*100)+I4875,IF(C4875="Sell",(L4875*G4875*100)-I4875, X))))</f>
        <v/>
      </c>
      <c r="N4875" s="78">
        <f>IF(ISBLANK(L4875),"",IF(AND(C4875="Sell",D4875="Stock"),M4875,IF(ISBLANK(L4875),"",IF(C4875="Buy",M4875, IF(AND(C4875="Sell",J4875="NA"),(E4875*G4875*100*0.1)+I4875, IF(C4875="Sell",(J4875-L4875)*(100*G4875)+I4875))))))</f>
        <v/>
      </c>
      <c r="O4875" s="75" t="n"/>
      <c r="P4875" s="75" t="n"/>
      <c r="Q4875" s="75">
        <f>IF(ISBLANK(P4875),"",IF(D4875="Stock",P4875*G4875,IF(P4875=0,"0",G4875*P4875*100-(G4875*$AF$14))))</f>
        <v/>
      </c>
      <c r="R4875" s="79">
        <f>IF(P4875&lt;&gt;"", TODAY(), "")</f>
        <v/>
      </c>
      <c r="S4875" s="78">
        <f>IF(AND(K4875&lt;&gt;"", R4875&lt;&gt;""), R4875-K4875, "")</f>
        <v/>
      </c>
      <c r="T4875" s="78" t="n"/>
      <c r="U4875" s="92">
        <f>IF(ISBLANK(P4875),"",IF(C4875="Buy",Q4875-M4875+T4875, IF(C4875="Sell",M4875-Q4875-T4875, X)))</f>
        <v/>
      </c>
      <c r="V4875" s="81">
        <f>IF(ISBLANK(P4875),"",U4875/N4875)</f>
        <v/>
      </c>
      <c r="W4875" s="81">
        <f>IF(ISBLANK(P4875),"",IF(S4875=0,(365/0.5)*V4875,(365/S4875)*V4875))</f>
        <v/>
      </c>
      <c r="X4875" s="75" t="n"/>
      <c r="Y4875" s="77" t="n"/>
      <c r="Z4875" s="77" t="n"/>
      <c r="AA4875" s="75" t="n"/>
      <c r="AB4875" s="75" t="n"/>
      <c r="AC4875" s="6" t="n"/>
      <c r="AD4875" s="75" t="n"/>
      <c r="AE4875" s="75" t="n"/>
      <c r="AF4875" s="75" t="n"/>
    </row>
    <row r="4876" ht="15.75" customHeight="1" s="133">
      <c r="A4876" s="75" t="n"/>
      <c r="B4876" s="75" t="n"/>
      <c r="C4876" s="75" t="n"/>
      <c r="D4876" s="75" t="n"/>
      <c r="E4876" s="76" t="n"/>
      <c r="F4876" s="77" t="n"/>
      <c r="G4876" s="75" t="n"/>
      <c r="H4876" s="75">
        <f>IF(ISBLANK(E4876),"",IF(OR(D4876="Butterfly",D4876="Butterfly ",D4876="Iron Fly", D4876="Iron Fly "),LEN(E4876)-LEN(SUBSTITUTE(E4876,"/",""))+2,LEN(E4876)-LEN(SUBSTITUTE(E4876,"/",""))+1))</f>
        <v/>
      </c>
      <c r="I4876" s="78">
        <f>IF(ISBLANK(G4876),"",IF(D4876="Stock","0",Key!$A$3*H4876*G4876))</f>
        <v/>
      </c>
      <c r="J4876" s="78">
        <f>IF(ISBLANK(E4876),"",IF(ISNUMBER(SEARCH("/",E4876)), IF(LEN(E4876)-LEN(SUBSTITUTE(E4876,"/",""))=1,(RIGHT(E4876,LEN(E4876)-FIND("/",E4876)))-(LEFT(E4876,FIND("/",E4876)-1)),(MID(E4876, SEARCH("/",E4876) + 1, SEARCH("/",E4876, SEARCH("/",E4876)+1) - SEARCH("/",E4876) - 1))-(LEFT(E4876,FIND("/",E4876)-1))), "NA"))</f>
        <v/>
      </c>
      <c r="K4876" s="79">
        <f>IF(A4876&lt;&gt;"", IF(ISBLANK(L4876), TODAY(), K4876), "")</f>
        <v/>
      </c>
      <c r="L4876" s="78" t="n"/>
      <c r="M4876" s="78">
        <f>IF(ISBLANK(L4876),"",IF(D4876="Stock",IF(C4876="Buy",L4876*G4876,IF(C4876="Sell",(L4876*G4876)-I4876, X)),IF(C4876="Buy",(L4876*G4876*100)+I4876,IF(C4876="Sell",(L4876*G4876*100)-I4876, X))))</f>
        <v/>
      </c>
      <c r="N4876" s="78">
        <f>IF(ISBLANK(L4876),"",IF(AND(C4876="Sell",D4876="Stock"),M4876,IF(ISBLANK(L4876),"",IF(C4876="Buy",M4876, IF(AND(C4876="Sell",J4876="NA"),(E4876*G4876*100*0.1)+I4876, IF(C4876="Sell",(J4876-L4876)*(100*G4876)+I4876))))))</f>
        <v/>
      </c>
      <c r="O4876" s="75" t="n"/>
      <c r="P4876" s="75" t="n"/>
      <c r="Q4876" s="75">
        <f>IF(ISBLANK(P4876),"",IF(D4876="Stock",P4876*G4876,IF(P4876=0,"0",G4876*P4876*100-(G4876*$AF$14))))</f>
        <v/>
      </c>
      <c r="R4876" s="79">
        <f>IF(P4876&lt;&gt;"", TODAY(), "")</f>
        <v/>
      </c>
      <c r="S4876" s="78">
        <f>IF(AND(K4876&lt;&gt;"", R4876&lt;&gt;""), R4876-K4876, "")</f>
        <v/>
      </c>
      <c r="T4876" s="78" t="n"/>
      <c r="U4876" s="92">
        <f>IF(ISBLANK(P4876),"",IF(C4876="Buy",Q4876-M4876+T4876, IF(C4876="Sell",M4876-Q4876-T4876, X)))</f>
        <v/>
      </c>
      <c r="V4876" s="81">
        <f>IF(ISBLANK(P4876),"",U4876/N4876)</f>
        <v/>
      </c>
      <c r="W4876" s="81">
        <f>IF(ISBLANK(P4876),"",IF(S4876=0,(365/0.5)*V4876,(365/S4876)*V4876))</f>
        <v/>
      </c>
      <c r="X4876" s="75" t="n"/>
      <c r="Y4876" s="77" t="n"/>
      <c r="Z4876" s="77" t="n"/>
      <c r="AA4876" s="75" t="n"/>
      <c r="AB4876" s="75" t="n"/>
      <c r="AC4876" s="6" t="n"/>
      <c r="AD4876" s="75" t="n"/>
      <c r="AE4876" s="75" t="n"/>
      <c r="AF4876" s="75" t="n"/>
    </row>
    <row r="4877" ht="15.75" customHeight="1" s="133">
      <c r="A4877" s="75" t="n"/>
      <c r="B4877" s="75" t="n"/>
      <c r="C4877" s="75" t="n"/>
      <c r="D4877" s="75" t="n"/>
      <c r="E4877" s="76" t="n"/>
      <c r="F4877" s="77" t="n"/>
      <c r="G4877" s="75" t="n"/>
      <c r="H4877" s="75">
        <f>IF(ISBLANK(E4877),"",IF(OR(D4877="Butterfly",D4877="Butterfly ",D4877="Iron Fly", D4877="Iron Fly "),LEN(E4877)-LEN(SUBSTITUTE(E4877,"/",""))+2,LEN(E4877)-LEN(SUBSTITUTE(E4877,"/",""))+1))</f>
        <v/>
      </c>
      <c r="I4877" s="78">
        <f>IF(ISBLANK(G4877),"",IF(D4877="Stock","0",Key!$A$3*H4877*G4877))</f>
        <v/>
      </c>
      <c r="J4877" s="78">
        <f>IF(ISBLANK(E4877),"",IF(ISNUMBER(SEARCH("/",E4877)), IF(LEN(E4877)-LEN(SUBSTITUTE(E4877,"/",""))=1,(RIGHT(E4877,LEN(E4877)-FIND("/",E4877)))-(LEFT(E4877,FIND("/",E4877)-1)),(MID(E4877, SEARCH("/",E4877) + 1, SEARCH("/",E4877, SEARCH("/",E4877)+1) - SEARCH("/",E4877) - 1))-(LEFT(E4877,FIND("/",E4877)-1))), "NA"))</f>
        <v/>
      </c>
      <c r="K4877" s="79">
        <f>IF(A4877&lt;&gt;"", IF(ISBLANK(L4877), TODAY(), K4877), "")</f>
        <v/>
      </c>
      <c r="L4877" s="78" t="n"/>
      <c r="M4877" s="78">
        <f>IF(ISBLANK(L4877),"",IF(D4877="Stock",IF(C4877="Buy",L4877*G4877,IF(C4877="Sell",(L4877*G4877)-I4877, X)),IF(C4877="Buy",(L4877*G4877*100)+I4877,IF(C4877="Sell",(L4877*G4877*100)-I4877, X))))</f>
        <v/>
      </c>
      <c r="N4877" s="78">
        <f>IF(ISBLANK(L4877),"",IF(AND(C4877="Sell",D4877="Stock"),M4877,IF(ISBLANK(L4877),"",IF(C4877="Buy",M4877, IF(AND(C4877="Sell",J4877="NA"),(E4877*G4877*100*0.1)+I4877, IF(C4877="Sell",(J4877-L4877)*(100*G4877)+I4877))))))</f>
        <v/>
      </c>
      <c r="O4877" s="75" t="n"/>
      <c r="P4877" s="75" t="n"/>
      <c r="Q4877" s="75">
        <f>IF(ISBLANK(P4877),"",IF(D4877="Stock",P4877*G4877,IF(P4877=0,"0",G4877*P4877*100-(G4877*$AF$14))))</f>
        <v/>
      </c>
      <c r="R4877" s="79">
        <f>IF(P4877&lt;&gt;"", TODAY(), "")</f>
        <v/>
      </c>
      <c r="S4877" s="78">
        <f>IF(AND(K4877&lt;&gt;"", R4877&lt;&gt;""), R4877-K4877, "")</f>
        <v/>
      </c>
      <c r="T4877" s="78" t="n"/>
      <c r="U4877" s="92">
        <f>IF(ISBLANK(P4877),"",IF(C4877="Buy",Q4877-M4877+T4877, IF(C4877="Sell",M4877-Q4877-T4877, X)))</f>
        <v/>
      </c>
      <c r="V4877" s="81">
        <f>IF(ISBLANK(P4877),"",U4877/N4877)</f>
        <v/>
      </c>
      <c r="W4877" s="81">
        <f>IF(ISBLANK(P4877),"",IF(S4877=0,(365/0.5)*V4877,(365/S4877)*V4877))</f>
        <v/>
      </c>
      <c r="X4877" s="75" t="n"/>
      <c r="Y4877" s="77" t="n"/>
      <c r="Z4877" s="77" t="n"/>
      <c r="AA4877" s="75" t="n"/>
      <c r="AB4877" s="75" t="n"/>
      <c r="AC4877" s="6" t="n"/>
      <c r="AD4877" s="75" t="n"/>
      <c r="AE4877" s="75" t="n"/>
      <c r="AF4877" s="75" t="n"/>
    </row>
    <row r="4878" ht="15.75" customHeight="1" s="133">
      <c r="A4878" s="75" t="n"/>
      <c r="B4878" s="75" t="n"/>
      <c r="C4878" s="75" t="n"/>
      <c r="D4878" s="75" t="n"/>
      <c r="E4878" s="76" t="n"/>
      <c r="F4878" s="77" t="n"/>
      <c r="G4878" s="75" t="n"/>
      <c r="H4878" s="75">
        <f>IF(ISBLANK(E4878),"",IF(OR(D4878="Butterfly",D4878="Butterfly ",D4878="Iron Fly", D4878="Iron Fly "),LEN(E4878)-LEN(SUBSTITUTE(E4878,"/",""))+2,LEN(E4878)-LEN(SUBSTITUTE(E4878,"/",""))+1))</f>
        <v/>
      </c>
      <c r="I4878" s="78">
        <f>IF(ISBLANK(G4878),"",IF(D4878="Stock","0",Key!$A$3*H4878*G4878))</f>
        <v/>
      </c>
      <c r="J4878" s="78">
        <f>IF(ISBLANK(E4878),"",IF(ISNUMBER(SEARCH("/",E4878)), IF(LEN(E4878)-LEN(SUBSTITUTE(E4878,"/",""))=1,(RIGHT(E4878,LEN(E4878)-FIND("/",E4878)))-(LEFT(E4878,FIND("/",E4878)-1)),(MID(E4878, SEARCH("/",E4878) + 1, SEARCH("/",E4878, SEARCH("/",E4878)+1) - SEARCH("/",E4878) - 1))-(LEFT(E4878,FIND("/",E4878)-1))), "NA"))</f>
        <v/>
      </c>
      <c r="K4878" s="79">
        <f>IF(A4878&lt;&gt;"", IF(ISBLANK(L4878), TODAY(), K4878), "")</f>
        <v/>
      </c>
      <c r="L4878" s="78" t="n"/>
      <c r="M4878" s="78">
        <f>IF(ISBLANK(L4878),"",IF(D4878="Stock",IF(C4878="Buy",L4878*G4878,IF(C4878="Sell",(L4878*G4878)-I4878, X)),IF(C4878="Buy",(L4878*G4878*100)+I4878,IF(C4878="Sell",(L4878*G4878*100)-I4878, X))))</f>
        <v/>
      </c>
      <c r="N4878" s="78">
        <f>IF(ISBLANK(L4878),"",IF(AND(C4878="Sell",D4878="Stock"),M4878,IF(ISBLANK(L4878),"",IF(C4878="Buy",M4878, IF(AND(C4878="Sell",J4878="NA"),(E4878*G4878*100*0.1)+I4878, IF(C4878="Sell",(J4878-L4878)*(100*G4878)+I4878))))))</f>
        <v/>
      </c>
      <c r="O4878" s="75" t="n"/>
      <c r="P4878" s="75" t="n"/>
      <c r="Q4878" s="75">
        <f>IF(ISBLANK(P4878),"",IF(D4878="Stock",P4878*G4878,IF(P4878=0,"0",G4878*P4878*100-(G4878*$AF$14))))</f>
        <v/>
      </c>
      <c r="R4878" s="79">
        <f>IF(P4878&lt;&gt;"", TODAY(), "")</f>
        <v/>
      </c>
      <c r="S4878" s="78">
        <f>IF(AND(K4878&lt;&gt;"", R4878&lt;&gt;""), R4878-K4878, "")</f>
        <v/>
      </c>
      <c r="T4878" s="78" t="n"/>
      <c r="U4878" s="92">
        <f>IF(ISBLANK(P4878),"",IF(C4878="Buy",Q4878-M4878+T4878, IF(C4878="Sell",M4878-Q4878-T4878, X)))</f>
        <v/>
      </c>
      <c r="V4878" s="81">
        <f>IF(ISBLANK(P4878),"",U4878/N4878)</f>
        <v/>
      </c>
      <c r="W4878" s="81">
        <f>IF(ISBLANK(P4878),"",IF(S4878=0,(365/0.5)*V4878,(365/S4878)*V4878))</f>
        <v/>
      </c>
      <c r="X4878" s="75" t="n"/>
      <c r="Y4878" s="77" t="n"/>
      <c r="Z4878" s="77" t="n"/>
      <c r="AA4878" s="75" t="n"/>
      <c r="AB4878" s="75" t="n"/>
      <c r="AC4878" s="6" t="n"/>
      <c r="AD4878" s="75" t="n"/>
      <c r="AE4878" s="75" t="n"/>
      <c r="AF4878" s="75" t="n"/>
    </row>
    <row r="4879" ht="15.75" customHeight="1" s="133">
      <c r="A4879" s="75" t="n"/>
      <c r="B4879" s="75" t="n"/>
      <c r="C4879" s="75" t="n"/>
      <c r="D4879" s="75" t="n"/>
      <c r="E4879" s="76" t="n"/>
      <c r="F4879" s="77" t="n"/>
      <c r="G4879" s="75" t="n"/>
      <c r="H4879" s="75">
        <f>IF(ISBLANK(E4879),"",IF(OR(D4879="Butterfly",D4879="Butterfly ",D4879="Iron Fly", D4879="Iron Fly "),LEN(E4879)-LEN(SUBSTITUTE(E4879,"/",""))+2,LEN(E4879)-LEN(SUBSTITUTE(E4879,"/",""))+1))</f>
        <v/>
      </c>
      <c r="I4879" s="78">
        <f>IF(ISBLANK(G4879),"",IF(D4879="Stock","0",Key!$A$3*H4879*G4879))</f>
        <v/>
      </c>
      <c r="J4879" s="78">
        <f>IF(ISBLANK(E4879),"",IF(ISNUMBER(SEARCH("/",E4879)), IF(LEN(E4879)-LEN(SUBSTITUTE(E4879,"/",""))=1,(RIGHT(E4879,LEN(E4879)-FIND("/",E4879)))-(LEFT(E4879,FIND("/",E4879)-1)),(MID(E4879, SEARCH("/",E4879) + 1, SEARCH("/",E4879, SEARCH("/",E4879)+1) - SEARCH("/",E4879) - 1))-(LEFT(E4879,FIND("/",E4879)-1))), "NA"))</f>
        <v/>
      </c>
      <c r="K4879" s="79">
        <f>IF(A4879&lt;&gt;"", IF(ISBLANK(L4879), TODAY(), K4879), "")</f>
        <v/>
      </c>
      <c r="L4879" s="78" t="n"/>
      <c r="M4879" s="78">
        <f>IF(ISBLANK(L4879),"",IF(D4879="Stock",IF(C4879="Buy",L4879*G4879,IF(C4879="Sell",(L4879*G4879)-I4879, X)),IF(C4879="Buy",(L4879*G4879*100)+I4879,IF(C4879="Sell",(L4879*G4879*100)-I4879, X))))</f>
        <v/>
      </c>
      <c r="N4879" s="78">
        <f>IF(ISBLANK(L4879),"",IF(AND(C4879="Sell",D4879="Stock"),M4879,IF(ISBLANK(L4879),"",IF(C4879="Buy",M4879, IF(AND(C4879="Sell",J4879="NA"),(E4879*G4879*100*0.1)+I4879, IF(C4879="Sell",(J4879-L4879)*(100*G4879)+I4879))))))</f>
        <v/>
      </c>
      <c r="O4879" s="75" t="n"/>
      <c r="P4879" s="75" t="n"/>
      <c r="Q4879" s="75">
        <f>IF(ISBLANK(P4879),"",IF(D4879="Stock",P4879*G4879,IF(P4879=0,"0",G4879*P4879*100-(G4879*$AF$14))))</f>
        <v/>
      </c>
      <c r="R4879" s="79">
        <f>IF(P4879&lt;&gt;"", TODAY(), "")</f>
        <v/>
      </c>
      <c r="S4879" s="78">
        <f>IF(AND(K4879&lt;&gt;"", R4879&lt;&gt;""), R4879-K4879, "")</f>
        <v/>
      </c>
      <c r="T4879" s="78" t="n"/>
      <c r="U4879" s="92">
        <f>IF(ISBLANK(P4879),"",IF(C4879="Buy",Q4879-M4879+T4879, IF(C4879="Sell",M4879-Q4879-T4879, X)))</f>
        <v/>
      </c>
      <c r="V4879" s="81">
        <f>IF(ISBLANK(P4879),"",U4879/N4879)</f>
        <v/>
      </c>
      <c r="W4879" s="81">
        <f>IF(ISBLANK(P4879),"",IF(S4879=0,(365/0.5)*V4879,(365/S4879)*V4879))</f>
        <v/>
      </c>
      <c r="X4879" s="75" t="n"/>
      <c r="Y4879" s="77" t="n"/>
      <c r="Z4879" s="77" t="n"/>
      <c r="AA4879" s="75" t="n"/>
      <c r="AB4879" s="75" t="n"/>
      <c r="AC4879" s="6" t="n"/>
      <c r="AD4879" s="75" t="n"/>
      <c r="AE4879" s="75" t="n"/>
      <c r="AF4879" s="75" t="n"/>
    </row>
    <row r="4880" ht="15.75" customHeight="1" s="133">
      <c r="A4880" s="75" t="n"/>
      <c r="B4880" s="75" t="n"/>
      <c r="C4880" s="75" t="n"/>
      <c r="D4880" s="75" t="n"/>
      <c r="E4880" s="76" t="n"/>
      <c r="F4880" s="77" t="n"/>
      <c r="G4880" s="75" t="n"/>
      <c r="H4880" s="75">
        <f>IF(ISBLANK(E4880),"",IF(OR(D4880="Butterfly",D4880="Butterfly ",D4880="Iron Fly", D4880="Iron Fly "),LEN(E4880)-LEN(SUBSTITUTE(E4880,"/",""))+2,LEN(E4880)-LEN(SUBSTITUTE(E4880,"/",""))+1))</f>
        <v/>
      </c>
      <c r="I4880" s="78">
        <f>IF(ISBLANK(G4880),"",IF(D4880="Stock","0",Key!$A$3*H4880*G4880))</f>
        <v/>
      </c>
      <c r="J4880" s="78">
        <f>IF(ISBLANK(E4880),"",IF(ISNUMBER(SEARCH("/",E4880)), IF(LEN(E4880)-LEN(SUBSTITUTE(E4880,"/",""))=1,(RIGHT(E4880,LEN(E4880)-FIND("/",E4880)))-(LEFT(E4880,FIND("/",E4880)-1)),(MID(E4880, SEARCH("/",E4880) + 1, SEARCH("/",E4880, SEARCH("/",E4880)+1) - SEARCH("/",E4880) - 1))-(LEFT(E4880,FIND("/",E4880)-1))), "NA"))</f>
        <v/>
      </c>
      <c r="K4880" s="79">
        <f>IF(A4880&lt;&gt;"", IF(ISBLANK(L4880), TODAY(), K4880), "")</f>
        <v/>
      </c>
      <c r="L4880" s="78" t="n"/>
      <c r="M4880" s="78">
        <f>IF(ISBLANK(L4880),"",IF(D4880="Stock",IF(C4880="Buy",L4880*G4880,IF(C4880="Sell",(L4880*G4880)-I4880, X)),IF(C4880="Buy",(L4880*G4880*100)+I4880,IF(C4880="Sell",(L4880*G4880*100)-I4880, X))))</f>
        <v/>
      </c>
      <c r="N4880" s="78">
        <f>IF(ISBLANK(L4880),"",IF(AND(C4880="Sell",D4880="Stock"),M4880,IF(ISBLANK(L4880),"",IF(C4880="Buy",M4880, IF(AND(C4880="Sell",J4880="NA"),(E4880*G4880*100*0.1)+I4880, IF(C4880="Sell",(J4880-L4880)*(100*G4880)+I4880))))))</f>
        <v/>
      </c>
      <c r="O4880" s="75" t="n"/>
      <c r="P4880" s="75" t="n"/>
      <c r="Q4880" s="75">
        <f>IF(ISBLANK(P4880),"",IF(D4880="Stock",P4880*G4880,IF(P4880=0,"0",G4880*P4880*100-(G4880*$AF$14))))</f>
        <v/>
      </c>
      <c r="R4880" s="79">
        <f>IF(P4880&lt;&gt;"", TODAY(), "")</f>
        <v/>
      </c>
      <c r="S4880" s="78">
        <f>IF(AND(K4880&lt;&gt;"", R4880&lt;&gt;""), R4880-K4880, "")</f>
        <v/>
      </c>
      <c r="T4880" s="78" t="n"/>
      <c r="U4880" s="92">
        <f>IF(ISBLANK(P4880),"",IF(C4880="Buy",Q4880-M4880+T4880, IF(C4880="Sell",M4880-Q4880-T4880, X)))</f>
        <v/>
      </c>
      <c r="V4880" s="81">
        <f>IF(ISBLANK(P4880),"",U4880/N4880)</f>
        <v/>
      </c>
      <c r="W4880" s="81">
        <f>IF(ISBLANK(P4880),"",IF(S4880=0,(365/0.5)*V4880,(365/S4880)*V4880))</f>
        <v/>
      </c>
      <c r="X4880" s="75" t="n"/>
      <c r="Y4880" s="77" t="n"/>
      <c r="Z4880" s="77" t="n"/>
      <c r="AA4880" s="75" t="n"/>
      <c r="AB4880" s="75" t="n"/>
      <c r="AC4880" s="6" t="n"/>
      <c r="AD4880" s="75" t="n"/>
      <c r="AE4880" s="75" t="n"/>
      <c r="AF4880" s="75" t="n"/>
    </row>
    <row r="4881" ht="15.75" customHeight="1" s="133">
      <c r="A4881" s="75" t="n"/>
      <c r="B4881" s="75" t="n"/>
      <c r="C4881" s="75" t="n"/>
      <c r="D4881" s="75" t="n"/>
      <c r="E4881" s="76" t="n"/>
      <c r="F4881" s="77" t="n"/>
      <c r="G4881" s="75" t="n"/>
      <c r="H4881" s="75">
        <f>IF(ISBLANK(E4881),"",IF(OR(D4881="Butterfly",D4881="Butterfly ",D4881="Iron Fly", D4881="Iron Fly "),LEN(E4881)-LEN(SUBSTITUTE(E4881,"/",""))+2,LEN(E4881)-LEN(SUBSTITUTE(E4881,"/",""))+1))</f>
        <v/>
      </c>
      <c r="I4881" s="78">
        <f>IF(ISBLANK(G4881),"",IF(D4881="Stock","0",Key!$A$3*H4881*G4881))</f>
        <v/>
      </c>
      <c r="J4881" s="78">
        <f>IF(ISBLANK(E4881),"",IF(ISNUMBER(SEARCH("/",E4881)), IF(LEN(E4881)-LEN(SUBSTITUTE(E4881,"/",""))=1,(RIGHT(E4881,LEN(E4881)-FIND("/",E4881)))-(LEFT(E4881,FIND("/",E4881)-1)),(MID(E4881, SEARCH("/",E4881) + 1, SEARCH("/",E4881, SEARCH("/",E4881)+1) - SEARCH("/",E4881) - 1))-(LEFT(E4881,FIND("/",E4881)-1))), "NA"))</f>
        <v/>
      </c>
      <c r="K4881" s="79">
        <f>IF(A4881&lt;&gt;"", IF(ISBLANK(L4881), TODAY(), K4881), "")</f>
        <v/>
      </c>
      <c r="L4881" s="78" t="n"/>
      <c r="M4881" s="78">
        <f>IF(ISBLANK(L4881),"",IF(D4881="Stock",IF(C4881="Buy",L4881*G4881,IF(C4881="Sell",(L4881*G4881)-I4881, X)),IF(C4881="Buy",(L4881*G4881*100)+I4881,IF(C4881="Sell",(L4881*G4881*100)-I4881, X))))</f>
        <v/>
      </c>
      <c r="N4881" s="78">
        <f>IF(ISBLANK(L4881),"",IF(AND(C4881="Sell",D4881="Stock"),M4881,IF(ISBLANK(L4881),"",IF(C4881="Buy",M4881, IF(AND(C4881="Sell",J4881="NA"),(E4881*G4881*100*0.1)+I4881, IF(C4881="Sell",(J4881-L4881)*(100*G4881)+I4881))))))</f>
        <v/>
      </c>
      <c r="O4881" s="75" t="n"/>
      <c r="P4881" s="75" t="n"/>
      <c r="Q4881" s="75">
        <f>IF(ISBLANK(P4881),"",IF(D4881="Stock",P4881*G4881,IF(P4881=0,"0",G4881*P4881*100-(G4881*$AF$14))))</f>
        <v/>
      </c>
      <c r="R4881" s="79">
        <f>IF(P4881&lt;&gt;"", TODAY(), "")</f>
        <v/>
      </c>
      <c r="S4881" s="78">
        <f>IF(AND(K4881&lt;&gt;"", R4881&lt;&gt;""), R4881-K4881, "")</f>
        <v/>
      </c>
      <c r="T4881" s="78" t="n"/>
      <c r="U4881" s="92">
        <f>IF(ISBLANK(P4881),"",IF(C4881="Buy",Q4881-M4881+T4881, IF(C4881="Sell",M4881-Q4881-T4881, X)))</f>
        <v/>
      </c>
      <c r="V4881" s="81">
        <f>IF(ISBLANK(P4881),"",U4881/N4881)</f>
        <v/>
      </c>
      <c r="W4881" s="81">
        <f>IF(ISBLANK(P4881),"",IF(S4881=0,(365/0.5)*V4881,(365/S4881)*V4881))</f>
        <v/>
      </c>
      <c r="X4881" s="75" t="n"/>
      <c r="Y4881" s="77" t="n"/>
      <c r="Z4881" s="77" t="n"/>
      <c r="AA4881" s="75" t="n"/>
      <c r="AB4881" s="75" t="n"/>
      <c r="AC4881" s="6" t="n"/>
      <c r="AD4881" s="75" t="n"/>
      <c r="AE4881" s="75" t="n"/>
      <c r="AF4881" s="75" t="n"/>
    </row>
    <row r="4882" ht="15.75" customHeight="1" s="133">
      <c r="A4882" s="75" t="n"/>
      <c r="B4882" s="75" t="n"/>
      <c r="C4882" s="75" t="n"/>
      <c r="D4882" s="75" t="n"/>
      <c r="E4882" s="76" t="n"/>
      <c r="F4882" s="77" t="n"/>
      <c r="G4882" s="75" t="n"/>
      <c r="H4882" s="75">
        <f>IF(ISBLANK(E4882),"",IF(OR(D4882="Butterfly",D4882="Butterfly ",D4882="Iron Fly", D4882="Iron Fly "),LEN(E4882)-LEN(SUBSTITUTE(E4882,"/",""))+2,LEN(E4882)-LEN(SUBSTITUTE(E4882,"/",""))+1))</f>
        <v/>
      </c>
      <c r="I4882" s="78">
        <f>IF(ISBLANK(G4882),"",IF(D4882="Stock","0",Key!$A$3*H4882*G4882))</f>
        <v/>
      </c>
      <c r="J4882" s="78">
        <f>IF(ISBLANK(E4882),"",IF(ISNUMBER(SEARCH("/",E4882)), IF(LEN(E4882)-LEN(SUBSTITUTE(E4882,"/",""))=1,(RIGHT(E4882,LEN(E4882)-FIND("/",E4882)))-(LEFT(E4882,FIND("/",E4882)-1)),(MID(E4882, SEARCH("/",E4882) + 1, SEARCH("/",E4882, SEARCH("/",E4882)+1) - SEARCH("/",E4882) - 1))-(LEFT(E4882,FIND("/",E4882)-1))), "NA"))</f>
        <v/>
      </c>
      <c r="K4882" s="79">
        <f>IF(A4882&lt;&gt;"", IF(ISBLANK(L4882), TODAY(), K4882), "")</f>
        <v/>
      </c>
      <c r="L4882" s="78" t="n"/>
      <c r="M4882" s="78">
        <f>IF(ISBLANK(L4882),"",IF(D4882="Stock",IF(C4882="Buy",L4882*G4882,IF(C4882="Sell",(L4882*G4882)-I4882, X)),IF(C4882="Buy",(L4882*G4882*100)+I4882,IF(C4882="Sell",(L4882*G4882*100)-I4882, X))))</f>
        <v/>
      </c>
      <c r="N4882" s="78">
        <f>IF(ISBLANK(L4882),"",IF(AND(C4882="Sell",D4882="Stock"),M4882,IF(ISBLANK(L4882),"",IF(C4882="Buy",M4882, IF(AND(C4882="Sell",J4882="NA"),(E4882*G4882*100*0.1)+I4882, IF(C4882="Sell",(J4882-L4882)*(100*G4882)+I4882))))))</f>
        <v/>
      </c>
      <c r="O4882" s="75" t="n"/>
      <c r="P4882" s="75" t="n"/>
      <c r="Q4882" s="75">
        <f>IF(ISBLANK(P4882),"",IF(D4882="Stock",P4882*G4882,IF(P4882=0,"0",G4882*P4882*100-(G4882*$AF$14))))</f>
        <v/>
      </c>
      <c r="R4882" s="79">
        <f>IF(P4882&lt;&gt;"", TODAY(), "")</f>
        <v/>
      </c>
      <c r="S4882" s="78">
        <f>IF(AND(K4882&lt;&gt;"", R4882&lt;&gt;""), R4882-K4882, "")</f>
        <v/>
      </c>
      <c r="T4882" s="78" t="n"/>
      <c r="U4882" s="92">
        <f>IF(ISBLANK(P4882),"",IF(C4882="Buy",Q4882-M4882+T4882, IF(C4882="Sell",M4882-Q4882-T4882, X)))</f>
        <v/>
      </c>
      <c r="V4882" s="81">
        <f>IF(ISBLANK(P4882),"",U4882/N4882)</f>
        <v/>
      </c>
      <c r="W4882" s="81">
        <f>IF(ISBLANK(P4882),"",IF(S4882=0,(365/0.5)*V4882,(365/S4882)*V4882))</f>
        <v/>
      </c>
      <c r="X4882" s="75" t="n"/>
      <c r="Y4882" s="77" t="n"/>
      <c r="Z4882" s="77" t="n"/>
      <c r="AA4882" s="75" t="n"/>
      <c r="AB4882" s="75" t="n"/>
      <c r="AC4882" s="6" t="n"/>
      <c r="AD4882" s="75" t="n"/>
      <c r="AE4882" s="75" t="n"/>
      <c r="AF4882" s="75" t="n"/>
    </row>
    <row r="4883" ht="15.75" customHeight="1" s="133">
      <c r="A4883" s="75" t="n"/>
      <c r="B4883" s="75" t="n"/>
      <c r="C4883" s="75" t="n"/>
      <c r="D4883" s="75" t="n"/>
      <c r="E4883" s="76" t="n"/>
      <c r="F4883" s="77" t="n"/>
      <c r="G4883" s="75" t="n"/>
      <c r="H4883" s="75">
        <f>IF(ISBLANK(E4883),"",IF(OR(D4883="Butterfly",D4883="Butterfly ",D4883="Iron Fly", D4883="Iron Fly "),LEN(E4883)-LEN(SUBSTITUTE(E4883,"/",""))+2,LEN(E4883)-LEN(SUBSTITUTE(E4883,"/",""))+1))</f>
        <v/>
      </c>
      <c r="I4883" s="78">
        <f>IF(ISBLANK(G4883),"",IF(D4883="Stock","0",Key!$A$3*H4883*G4883))</f>
        <v/>
      </c>
      <c r="J4883" s="78">
        <f>IF(ISBLANK(E4883),"",IF(ISNUMBER(SEARCH("/",E4883)), IF(LEN(E4883)-LEN(SUBSTITUTE(E4883,"/",""))=1,(RIGHT(E4883,LEN(E4883)-FIND("/",E4883)))-(LEFT(E4883,FIND("/",E4883)-1)),(MID(E4883, SEARCH("/",E4883) + 1, SEARCH("/",E4883, SEARCH("/",E4883)+1) - SEARCH("/",E4883) - 1))-(LEFT(E4883,FIND("/",E4883)-1))), "NA"))</f>
        <v/>
      </c>
      <c r="K4883" s="79">
        <f>IF(A4883&lt;&gt;"", IF(ISBLANK(L4883), TODAY(), K4883), "")</f>
        <v/>
      </c>
      <c r="L4883" s="78" t="n"/>
      <c r="M4883" s="78">
        <f>IF(ISBLANK(L4883),"",IF(D4883="Stock",IF(C4883="Buy",L4883*G4883,IF(C4883="Sell",(L4883*G4883)-I4883, X)),IF(C4883="Buy",(L4883*G4883*100)+I4883,IF(C4883="Sell",(L4883*G4883*100)-I4883, X))))</f>
        <v/>
      </c>
      <c r="N4883" s="78">
        <f>IF(ISBLANK(L4883),"",IF(AND(C4883="Sell",D4883="Stock"),M4883,IF(ISBLANK(L4883),"",IF(C4883="Buy",M4883, IF(AND(C4883="Sell",J4883="NA"),(E4883*G4883*100*0.1)+I4883, IF(C4883="Sell",(J4883-L4883)*(100*G4883)+I4883))))))</f>
        <v/>
      </c>
      <c r="O4883" s="75" t="n"/>
      <c r="P4883" s="75" t="n"/>
      <c r="Q4883" s="75">
        <f>IF(ISBLANK(P4883),"",IF(D4883="Stock",P4883*G4883,IF(P4883=0,"0",G4883*P4883*100-(G4883*$AF$14))))</f>
        <v/>
      </c>
      <c r="R4883" s="79">
        <f>IF(P4883&lt;&gt;"", TODAY(), "")</f>
        <v/>
      </c>
      <c r="S4883" s="78">
        <f>IF(AND(K4883&lt;&gt;"", R4883&lt;&gt;""), R4883-K4883, "")</f>
        <v/>
      </c>
      <c r="T4883" s="78" t="n"/>
      <c r="U4883" s="92">
        <f>IF(ISBLANK(P4883),"",IF(C4883="Buy",Q4883-M4883+T4883, IF(C4883="Sell",M4883-Q4883-T4883, X)))</f>
        <v/>
      </c>
      <c r="V4883" s="81">
        <f>IF(ISBLANK(P4883),"",U4883/N4883)</f>
        <v/>
      </c>
      <c r="W4883" s="81">
        <f>IF(ISBLANK(P4883),"",IF(S4883=0,(365/0.5)*V4883,(365/S4883)*V4883))</f>
        <v/>
      </c>
      <c r="X4883" s="75" t="n"/>
      <c r="Y4883" s="77" t="n"/>
      <c r="Z4883" s="77" t="n"/>
      <c r="AA4883" s="75" t="n"/>
      <c r="AB4883" s="75" t="n"/>
      <c r="AC4883" s="6" t="n"/>
      <c r="AD4883" s="75" t="n"/>
      <c r="AE4883" s="75" t="n"/>
      <c r="AF4883" s="75" t="n"/>
    </row>
    <row r="4884" ht="15.75" customHeight="1" s="133">
      <c r="A4884" s="75" t="n"/>
      <c r="B4884" s="75" t="n"/>
      <c r="C4884" s="75" t="n"/>
      <c r="D4884" s="75" t="n"/>
      <c r="E4884" s="76" t="n"/>
      <c r="F4884" s="77" t="n"/>
      <c r="G4884" s="75" t="n"/>
      <c r="H4884" s="75">
        <f>IF(ISBLANK(E4884),"",IF(OR(D4884="Butterfly",D4884="Butterfly ",D4884="Iron Fly", D4884="Iron Fly "),LEN(E4884)-LEN(SUBSTITUTE(E4884,"/",""))+2,LEN(E4884)-LEN(SUBSTITUTE(E4884,"/",""))+1))</f>
        <v/>
      </c>
      <c r="I4884" s="78">
        <f>IF(ISBLANK(G4884),"",IF(D4884="Stock","0",Key!$A$3*H4884*G4884))</f>
        <v/>
      </c>
      <c r="J4884" s="78">
        <f>IF(ISBLANK(E4884),"",IF(ISNUMBER(SEARCH("/",E4884)), IF(LEN(E4884)-LEN(SUBSTITUTE(E4884,"/",""))=1,(RIGHT(E4884,LEN(E4884)-FIND("/",E4884)))-(LEFT(E4884,FIND("/",E4884)-1)),(MID(E4884, SEARCH("/",E4884) + 1, SEARCH("/",E4884, SEARCH("/",E4884)+1) - SEARCH("/",E4884) - 1))-(LEFT(E4884,FIND("/",E4884)-1))), "NA"))</f>
        <v/>
      </c>
      <c r="K4884" s="79">
        <f>IF(A4884&lt;&gt;"", IF(ISBLANK(L4884), TODAY(), K4884), "")</f>
        <v/>
      </c>
      <c r="L4884" s="78" t="n"/>
      <c r="M4884" s="78">
        <f>IF(ISBLANK(L4884),"",IF(D4884="Stock",IF(C4884="Buy",L4884*G4884,IF(C4884="Sell",(L4884*G4884)-I4884, X)),IF(C4884="Buy",(L4884*G4884*100)+I4884,IF(C4884="Sell",(L4884*G4884*100)-I4884, X))))</f>
        <v/>
      </c>
      <c r="N4884" s="78">
        <f>IF(ISBLANK(L4884),"",IF(AND(C4884="Sell",D4884="Stock"),M4884,IF(ISBLANK(L4884),"",IF(C4884="Buy",M4884, IF(AND(C4884="Sell",J4884="NA"),(E4884*G4884*100*0.1)+I4884, IF(C4884="Sell",(J4884-L4884)*(100*G4884)+I4884))))))</f>
        <v/>
      </c>
      <c r="O4884" s="75" t="n"/>
      <c r="P4884" s="75" t="n"/>
      <c r="Q4884" s="75">
        <f>IF(ISBLANK(P4884),"",IF(D4884="Stock",P4884*G4884,IF(P4884=0,"0",G4884*P4884*100-(G4884*$AF$14))))</f>
        <v/>
      </c>
      <c r="R4884" s="79">
        <f>IF(P4884&lt;&gt;"", TODAY(), "")</f>
        <v/>
      </c>
      <c r="S4884" s="78">
        <f>IF(AND(K4884&lt;&gt;"", R4884&lt;&gt;""), R4884-K4884, "")</f>
        <v/>
      </c>
      <c r="T4884" s="78" t="n"/>
      <c r="U4884" s="92">
        <f>IF(ISBLANK(P4884),"",IF(C4884="Buy",Q4884-M4884+T4884, IF(C4884="Sell",M4884-Q4884-T4884, X)))</f>
        <v/>
      </c>
      <c r="V4884" s="81">
        <f>IF(ISBLANK(P4884),"",U4884/N4884)</f>
        <v/>
      </c>
      <c r="W4884" s="81">
        <f>IF(ISBLANK(P4884),"",IF(S4884=0,(365/0.5)*V4884,(365/S4884)*V4884))</f>
        <v/>
      </c>
      <c r="X4884" s="75" t="n"/>
      <c r="Y4884" s="77" t="n"/>
      <c r="Z4884" s="77" t="n"/>
      <c r="AA4884" s="75" t="n"/>
      <c r="AB4884" s="75" t="n"/>
      <c r="AC4884" s="6" t="n"/>
      <c r="AD4884" s="75" t="n"/>
      <c r="AE4884" s="75" t="n"/>
      <c r="AF4884" s="75" t="n"/>
    </row>
    <row r="4885" ht="15.75" customHeight="1" s="133">
      <c r="A4885" s="75" t="n"/>
      <c r="B4885" s="75" t="n"/>
      <c r="C4885" s="75" t="n"/>
      <c r="D4885" s="75" t="n"/>
      <c r="E4885" s="76" t="n"/>
      <c r="F4885" s="77" t="n"/>
      <c r="G4885" s="75" t="n"/>
      <c r="H4885" s="75">
        <f>IF(ISBLANK(E4885),"",IF(OR(D4885="Butterfly",D4885="Butterfly ",D4885="Iron Fly", D4885="Iron Fly "),LEN(E4885)-LEN(SUBSTITUTE(E4885,"/",""))+2,LEN(E4885)-LEN(SUBSTITUTE(E4885,"/",""))+1))</f>
        <v/>
      </c>
      <c r="I4885" s="78">
        <f>IF(ISBLANK(G4885),"",IF(D4885="Stock","0",Key!$A$3*H4885*G4885))</f>
        <v/>
      </c>
      <c r="J4885" s="78">
        <f>IF(ISBLANK(E4885),"",IF(ISNUMBER(SEARCH("/",E4885)), IF(LEN(E4885)-LEN(SUBSTITUTE(E4885,"/",""))=1,(RIGHT(E4885,LEN(E4885)-FIND("/",E4885)))-(LEFT(E4885,FIND("/",E4885)-1)),(MID(E4885, SEARCH("/",E4885) + 1, SEARCH("/",E4885, SEARCH("/",E4885)+1) - SEARCH("/",E4885) - 1))-(LEFT(E4885,FIND("/",E4885)-1))), "NA"))</f>
        <v/>
      </c>
      <c r="K4885" s="79">
        <f>IF(A4885&lt;&gt;"", IF(ISBLANK(L4885), TODAY(), K4885), "")</f>
        <v/>
      </c>
      <c r="L4885" s="78" t="n"/>
      <c r="M4885" s="78">
        <f>IF(ISBLANK(L4885),"",IF(D4885="Stock",IF(C4885="Buy",L4885*G4885,IF(C4885="Sell",(L4885*G4885)-I4885, X)),IF(C4885="Buy",(L4885*G4885*100)+I4885,IF(C4885="Sell",(L4885*G4885*100)-I4885, X))))</f>
        <v/>
      </c>
      <c r="N4885" s="78">
        <f>IF(ISBLANK(L4885),"",IF(AND(C4885="Sell",D4885="Stock"),M4885,IF(ISBLANK(L4885),"",IF(C4885="Buy",M4885, IF(AND(C4885="Sell",J4885="NA"),(E4885*G4885*100*0.1)+I4885, IF(C4885="Sell",(J4885-L4885)*(100*G4885)+I4885))))))</f>
        <v/>
      </c>
      <c r="O4885" s="75" t="n"/>
      <c r="P4885" s="75" t="n"/>
      <c r="Q4885" s="75">
        <f>IF(ISBLANK(P4885),"",IF(D4885="Stock",P4885*G4885,IF(P4885=0,"0",G4885*P4885*100-(G4885*$AF$14))))</f>
        <v/>
      </c>
      <c r="R4885" s="79">
        <f>IF(P4885&lt;&gt;"", TODAY(), "")</f>
        <v/>
      </c>
      <c r="S4885" s="78">
        <f>IF(AND(K4885&lt;&gt;"", R4885&lt;&gt;""), R4885-K4885, "")</f>
        <v/>
      </c>
      <c r="T4885" s="78" t="n"/>
      <c r="U4885" s="92">
        <f>IF(ISBLANK(P4885),"",IF(C4885="Buy",Q4885-M4885+T4885, IF(C4885="Sell",M4885-Q4885-T4885, X)))</f>
        <v/>
      </c>
      <c r="V4885" s="81">
        <f>IF(ISBLANK(P4885),"",U4885/N4885)</f>
        <v/>
      </c>
      <c r="W4885" s="81">
        <f>IF(ISBLANK(P4885),"",IF(S4885=0,(365/0.5)*V4885,(365/S4885)*V4885))</f>
        <v/>
      </c>
      <c r="X4885" s="75" t="n"/>
      <c r="Y4885" s="77" t="n"/>
      <c r="Z4885" s="77" t="n"/>
      <c r="AA4885" s="75" t="n"/>
      <c r="AB4885" s="75" t="n"/>
      <c r="AC4885" s="6" t="n"/>
      <c r="AD4885" s="75" t="n"/>
      <c r="AE4885" s="75" t="n"/>
      <c r="AF4885" s="75" t="n"/>
    </row>
    <row r="4886" ht="15.75" customHeight="1" s="133">
      <c r="A4886" s="75" t="n"/>
      <c r="B4886" s="75" t="n"/>
      <c r="C4886" s="75" t="n"/>
      <c r="D4886" s="75" t="n"/>
      <c r="E4886" s="76" t="n"/>
      <c r="F4886" s="77" t="n"/>
      <c r="G4886" s="75" t="n"/>
      <c r="H4886" s="75">
        <f>IF(ISBLANK(E4886),"",IF(OR(D4886="Butterfly",D4886="Butterfly ",D4886="Iron Fly", D4886="Iron Fly "),LEN(E4886)-LEN(SUBSTITUTE(E4886,"/",""))+2,LEN(E4886)-LEN(SUBSTITUTE(E4886,"/",""))+1))</f>
        <v/>
      </c>
      <c r="I4886" s="78">
        <f>IF(ISBLANK(G4886),"",IF(D4886="Stock","0",Key!$A$3*H4886*G4886))</f>
        <v/>
      </c>
      <c r="J4886" s="78">
        <f>IF(ISBLANK(E4886),"",IF(ISNUMBER(SEARCH("/",E4886)), IF(LEN(E4886)-LEN(SUBSTITUTE(E4886,"/",""))=1,(RIGHT(E4886,LEN(E4886)-FIND("/",E4886)))-(LEFT(E4886,FIND("/",E4886)-1)),(MID(E4886, SEARCH("/",E4886) + 1, SEARCH("/",E4886, SEARCH("/",E4886)+1) - SEARCH("/",E4886) - 1))-(LEFT(E4886,FIND("/",E4886)-1))), "NA"))</f>
        <v/>
      </c>
      <c r="K4886" s="79">
        <f>IF(A4886&lt;&gt;"", IF(ISBLANK(L4886), TODAY(), K4886), "")</f>
        <v/>
      </c>
      <c r="L4886" s="78" t="n"/>
      <c r="M4886" s="78">
        <f>IF(ISBLANK(L4886),"",IF(D4886="Stock",IF(C4886="Buy",L4886*G4886,IF(C4886="Sell",(L4886*G4886)-I4886, X)),IF(C4886="Buy",(L4886*G4886*100)+I4886,IF(C4886="Sell",(L4886*G4886*100)-I4886, X))))</f>
        <v/>
      </c>
      <c r="N4886" s="78">
        <f>IF(ISBLANK(L4886),"",IF(AND(C4886="Sell",D4886="Stock"),M4886,IF(ISBLANK(L4886),"",IF(C4886="Buy",M4886, IF(AND(C4886="Sell",J4886="NA"),(E4886*G4886*100*0.1)+I4886, IF(C4886="Sell",(J4886-L4886)*(100*G4886)+I4886))))))</f>
        <v/>
      </c>
      <c r="O4886" s="75" t="n"/>
      <c r="P4886" s="75" t="n"/>
      <c r="Q4886" s="75">
        <f>IF(ISBLANK(P4886),"",IF(D4886="Stock",P4886*G4886,IF(P4886=0,"0",G4886*P4886*100-(G4886*$AF$14))))</f>
        <v/>
      </c>
      <c r="R4886" s="79">
        <f>IF(P4886&lt;&gt;"", TODAY(), "")</f>
        <v/>
      </c>
      <c r="S4886" s="78">
        <f>IF(AND(K4886&lt;&gt;"", R4886&lt;&gt;""), R4886-K4886, "")</f>
        <v/>
      </c>
      <c r="T4886" s="78" t="n"/>
      <c r="U4886" s="92">
        <f>IF(ISBLANK(P4886),"",IF(C4886="Buy",Q4886-M4886+T4886, IF(C4886="Sell",M4886-Q4886-T4886, X)))</f>
        <v/>
      </c>
      <c r="V4886" s="81">
        <f>IF(ISBLANK(P4886),"",U4886/N4886)</f>
        <v/>
      </c>
      <c r="W4886" s="81">
        <f>IF(ISBLANK(P4886),"",IF(S4886=0,(365/0.5)*V4886,(365/S4886)*V4886))</f>
        <v/>
      </c>
      <c r="X4886" s="75" t="n"/>
      <c r="Y4886" s="77" t="n"/>
      <c r="Z4886" s="77" t="n"/>
      <c r="AA4886" s="75" t="n"/>
      <c r="AB4886" s="75" t="n"/>
      <c r="AC4886" s="6" t="n"/>
      <c r="AD4886" s="75" t="n"/>
      <c r="AE4886" s="75" t="n"/>
      <c r="AF4886" s="75" t="n"/>
    </row>
    <row r="4887" ht="15.75" customHeight="1" s="133">
      <c r="A4887" s="75" t="n"/>
      <c r="B4887" s="75" t="n"/>
      <c r="C4887" s="75" t="n"/>
      <c r="D4887" s="75" t="n"/>
      <c r="E4887" s="76" t="n"/>
      <c r="F4887" s="77" t="n"/>
      <c r="G4887" s="75" t="n"/>
      <c r="H4887" s="75">
        <f>IF(ISBLANK(E4887),"",IF(OR(D4887="Butterfly",D4887="Butterfly ",D4887="Iron Fly", D4887="Iron Fly "),LEN(E4887)-LEN(SUBSTITUTE(E4887,"/",""))+2,LEN(E4887)-LEN(SUBSTITUTE(E4887,"/",""))+1))</f>
        <v/>
      </c>
      <c r="I4887" s="78">
        <f>IF(ISBLANK(G4887),"",IF(D4887="Stock","0",Key!$A$3*H4887*G4887))</f>
        <v/>
      </c>
      <c r="J4887" s="78">
        <f>IF(ISBLANK(E4887),"",IF(ISNUMBER(SEARCH("/",E4887)), IF(LEN(E4887)-LEN(SUBSTITUTE(E4887,"/",""))=1,(RIGHT(E4887,LEN(E4887)-FIND("/",E4887)))-(LEFT(E4887,FIND("/",E4887)-1)),(MID(E4887, SEARCH("/",E4887) + 1, SEARCH("/",E4887, SEARCH("/",E4887)+1) - SEARCH("/",E4887) - 1))-(LEFT(E4887,FIND("/",E4887)-1))), "NA"))</f>
        <v/>
      </c>
      <c r="K4887" s="79">
        <f>IF(A4887&lt;&gt;"", IF(ISBLANK(L4887), TODAY(), K4887), "")</f>
        <v/>
      </c>
      <c r="L4887" s="78" t="n"/>
      <c r="M4887" s="78">
        <f>IF(ISBLANK(L4887),"",IF(D4887="Stock",IF(C4887="Buy",L4887*G4887,IF(C4887="Sell",(L4887*G4887)-I4887, X)),IF(C4887="Buy",(L4887*G4887*100)+I4887,IF(C4887="Sell",(L4887*G4887*100)-I4887, X))))</f>
        <v/>
      </c>
      <c r="N4887" s="78">
        <f>IF(ISBLANK(L4887),"",IF(AND(C4887="Sell",D4887="Stock"),M4887,IF(ISBLANK(L4887),"",IF(C4887="Buy",M4887, IF(AND(C4887="Sell",J4887="NA"),(E4887*G4887*100*0.1)+I4887, IF(C4887="Sell",(J4887-L4887)*(100*G4887)+I4887))))))</f>
        <v/>
      </c>
      <c r="O4887" s="75" t="n"/>
      <c r="P4887" s="75" t="n"/>
      <c r="Q4887" s="75">
        <f>IF(ISBLANK(P4887),"",IF(D4887="Stock",P4887*G4887,IF(P4887=0,"0",G4887*P4887*100-(G4887*$AF$14))))</f>
        <v/>
      </c>
      <c r="R4887" s="79">
        <f>IF(P4887&lt;&gt;"", TODAY(), "")</f>
        <v/>
      </c>
      <c r="S4887" s="78">
        <f>IF(AND(K4887&lt;&gt;"", R4887&lt;&gt;""), R4887-K4887, "")</f>
        <v/>
      </c>
      <c r="T4887" s="78" t="n"/>
      <c r="U4887" s="92">
        <f>IF(ISBLANK(P4887),"",IF(C4887="Buy",Q4887-M4887+T4887, IF(C4887="Sell",M4887-Q4887-T4887, X)))</f>
        <v/>
      </c>
      <c r="V4887" s="81">
        <f>IF(ISBLANK(P4887),"",U4887/N4887)</f>
        <v/>
      </c>
      <c r="W4887" s="81">
        <f>IF(ISBLANK(P4887),"",IF(S4887=0,(365/0.5)*V4887,(365/S4887)*V4887))</f>
        <v/>
      </c>
      <c r="X4887" s="75" t="n"/>
      <c r="Y4887" s="77" t="n"/>
      <c r="Z4887" s="77" t="n"/>
      <c r="AA4887" s="75" t="n"/>
      <c r="AB4887" s="75" t="n"/>
      <c r="AC4887" s="6" t="n"/>
      <c r="AD4887" s="75" t="n"/>
      <c r="AE4887" s="75" t="n"/>
      <c r="AF4887" s="75" t="n"/>
    </row>
    <row r="4888" ht="15.75" customHeight="1" s="133">
      <c r="A4888" s="75" t="n"/>
      <c r="B4888" s="75" t="n"/>
      <c r="C4888" s="75" t="n"/>
      <c r="D4888" s="75" t="n"/>
      <c r="E4888" s="76" t="n"/>
      <c r="F4888" s="77" t="n"/>
      <c r="G4888" s="75" t="n"/>
      <c r="H4888" s="75">
        <f>IF(ISBLANK(E4888),"",IF(OR(D4888="Butterfly",D4888="Butterfly ",D4888="Iron Fly", D4888="Iron Fly "),LEN(E4888)-LEN(SUBSTITUTE(E4888,"/",""))+2,LEN(E4888)-LEN(SUBSTITUTE(E4888,"/",""))+1))</f>
        <v/>
      </c>
      <c r="I4888" s="78">
        <f>IF(ISBLANK(G4888),"",IF(D4888="Stock","0",Key!$A$3*H4888*G4888))</f>
        <v/>
      </c>
      <c r="J4888" s="78">
        <f>IF(ISBLANK(E4888),"",IF(ISNUMBER(SEARCH("/",E4888)), IF(LEN(E4888)-LEN(SUBSTITUTE(E4888,"/",""))=1,(RIGHT(E4888,LEN(E4888)-FIND("/",E4888)))-(LEFT(E4888,FIND("/",E4888)-1)),(MID(E4888, SEARCH("/",E4888) + 1, SEARCH("/",E4888, SEARCH("/",E4888)+1) - SEARCH("/",E4888) - 1))-(LEFT(E4888,FIND("/",E4888)-1))), "NA"))</f>
        <v/>
      </c>
      <c r="K4888" s="79">
        <f>IF(A4888&lt;&gt;"", IF(ISBLANK(L4888), TODAY(), K4888), "")</f>
        <v/>
      </c>
      <c r="L4888" s="78" t="n"/>
      <c r="M4888" s="78">
        <f>IF(ISBLANK(L4888),"",IF(D4888="Stock",IF(C4888="Buy",L4888*G4888,IF(C4888="Sell",(L4888*G4888)-I4888, X)),IF(C4888="Buy",(L4888*G4888*100)+I4888,IF(C4888="Sell",(L4888*G4888*100)-I4888, X))))</f>
        <v/>
      </c>
      <c r="N4888" s="78">
        <f>IF(ISBLANK(L4888),"",IF(AND(C4888="Sell",D4888="Stock"),M4888,IF(ISBLANK(L4888),"",IF(C4888="Buy",M4888, IF(AND(C4888="Sell",J4888="NA"),(E4888*G4888*100*0.1)+I4888, IF(C4888="Sell",(J4888-L4888)*(100*G4888)+I4888))))))</f>
        <v/>
      </c>
      <c r="O4888" s="75" t="n"/>
      <c r="P4888" s="75" t="n"/>
      <c r="Q4888" s="75">
        <f>IF(ISBLANK(P4888),"",IF(D4888="Stock",P4888*G4888,IF(P4888=0,"0",G4888*P4888*100-(G4888*$AF$14))))</f>
        <v/>
      </c>
      <c r="R4888" s="79">
        <f>IF(P4888&lt;&gt;"", TODAY(), "")</f>
        <v/>
      </c>
      <c r="S4888" s="78">
        <f>IF(AND(K4888&lt;&gt;"", R4888&lt;&gt;""), R4888-K4888, "")</f>
        <v/>
      </c>
      <c r="T4888" s="78" t="n"/>
      <c r="U4888" s="92">
        <f>IF(ISBLANK(P4888),"",IF(C4888="Buy",Q4888-M4888+T4888, IF(C4888="Sell",M4888-Q4888-T4888, X)))</f>
        <v/>
      </c>
      <c r="V4888" s="81">
        <f>IF(ISBLANK(P4888),"",U4888/N4888)</f>
        <v/>
      </c>
      <c r="W4888" s="81">
        <f>IF(ISBLANK(P4888),"",IF(S4888=0,(365/0.5)*V4888,(365/S4888)*V4888))</f>
        <v/>
      </c>
      <c r="X4888" s="75" t="n"/>
      <c r="Y4888" s="77" t="n"/>
      <c r="Z4888" s="77" t="n"/>
      <c r="AA4888" s="75" t="n"/>
      <c r="AB4888" s="75" t="n"/>
      <c r="AC4888" s="6" t="n"/>
      <c r="AD4888" s="75" t="n"/>
      <c r="AE4888" s="75" t="n"/>
      <c r="AF4888" s="75" t="n"/>
    </row>
    <row r="4889" ht="15.75" customHeight="1" s="133">
      <c r="A4889" s="75" t="n"/>
      <c r="B4889" s="75" t="n"/>
      <c r="C4889" s="75" t="n"/>
      <c r="D4889" s="75" t="n"/>
      <c r="E4889" s="76" t="n"/>
      <c r="F4889" s="77" t="n"/>
      <c r="G4889" s="75" t="n"/>
      <c r="H4889" s="75">
        <f>IF(ISBLANK(E4889),"",IF(OR(D4889="Butterfly",D4889="Butterfly ",D4889="Iron Fly", D4889="Iron Fly "),LEN(E4889)-LEN(SUBSTITUTE(E4889,"/",""))+2,LEN(E4889)-LEN(SUBSTITUTE(E4889,"/",""))+1))</f>
        <v/>
      </c>
      <c r="I4889" s="78">
        <f>IF(ISBLANK(G4889),"",IF(D4889="Stock","0",Key!$A$3*H4889*G4889))</f>
        <v/>
      </c>
      <c r="J4889" s="78">
        <f>IF(ISBLANK(E4889),"",IF(ISNUMBER(SEARCH("/",E4889)), IF(LEN(E4889)-LEN(SUBSTITUTE(E4889,"/",""))=1,(RIGHT(E4889,LEN(E4889)-FIND("/",E4889)))-(LEFT(E4889,FIND("/",E4889)-1)),(MID(E4889, SEARCH("/",E4889) + 1, SEARCH("/",E4889, SEARCH("/",E4889)+1) - SEARCH("/",E4889) - 1))-(LEFT(E4889,FIND("/",E4889)-1))), "NA"))</f>
        <v/>
      </c>
      <c r="K4889" s="79">
        <f>IF(A4889&lt;&gt;"", IF(ISBLANK(L4889), TODAY(), K4889), "")</f>
        <v/>
      </c>
      <c r="L4889" s="78" t="n"/>
      <c r="M4889" s="78">
        <f>IF(ISBLANK(L4889),"",IF(D4889="Stock",IF(C4889="Buy",L4889*G4889,IF(C4889="Sell",(L4889*G4889)-I4889, X)),IF(C4889="Buy",(L4889*G4889*100)+I4889,IF(C4889="Sell",(L4889*G4889*100)-I4889, X))))</f>
        <v/>
      </c>
      <c r="N4889" s="78">
        <f>IF(ISBLANK(L4889),"",IF(AND(C4889="Sell",D4889="Stock"),M4889,IF(ISBLANK(L4889),"",IF(C4889="Buy",M4889, IF(AND(C4889="Sell",J4889="NA"),(E4889*G4889*100*0.1)+I4889, IF(C4889="Sell",(J4889-L4889)*(100*G4889)+I4889))))))</f>
        <v/>
      </c>
      <c r="O4889" s="75" t="n"/>
      <c r="P4889" s="75" t="n"/>
      <c r="Q4889" s="75">
        <f>IF(ISBLANK(P4889),"",IF(D4889="Stock",P4889*G4889,IF(P4889=0,"0",G4889*P4889*100-(G4889*$AF$14))))</f>
        <v/>
      </c>
      <c r="R4889" s="79">
        <f>IF(P4889&lt;&gt;"", TODAY(), "")</f>
        <v/>
      </c>
      <c r="S4889" s="78">
        <f>IF(AND(K4889&lt;&gt;"", R4889&lt;&gt;""), R4889-K4889, "")</f>
        <v/>
      </c>
      <c r="T4889" s="78" t="n"/>
      <c r="U4889" s="92">
        <f>IF(ISBLANK(P4889),"",IF(C4889="Buy",Q4889-M4889+T4889, IF(C4889="Sell",M4889-Q4889-T4889, X)))</f>
        <v/>
      </c>
      <c r="V4889" s="81">
        <f>IF(ISBLANK(P4889),"",U4889/N4889)</f>
        <v/>
      </c>
      <c r="W4889" s="81">
        <f>IF(ISBLANK(P4889),"",IF(S4889=0,(365/0.5)*V4889,(365/S4889)*V4889))</f>
        <v/>
      </c>
      <c r="X4889" s="75" t="n"/>
      <c r="Y4889" s="77" t="n"/>
      <c r="Z4889" s="77" t="n"/>
      <c r="AA4889" s="75" t="n"/>
      <c r="AB4889" s="75" t="n"/>
      <c r="AC4889" s="6" t="n"/>
      <c r="AD4889" s="75" t="n"/>
      <c r="AE4889" s="75" t="n"/>
      <c r="AF4889" s="75" t="n"/>
    </row>
    <row r="4890" ht="15.75" customHeight="1" s="133">
      <c r="A4890" s="75" t="n"/>
      <c r="B4890" s="75" t="n"/>
      <c r="C4890" s="75" t="n"/>
      <c r="D4890" s="75" t="n"/>
      <c r="E4890" s="76" t="n"/>
      <c r="F4890" s="77" t="n"/>
      <c r="G4890" s="75" t="n"/>
      <c r="H4890" s="75">
        <f>IF(ISBLANK(E4890),"",IF(OR(D4890="Butterfly",D4890="Butterfly ",D4890="Iron Fly", D4890="Iron Fly "),LEN(E4890)-LEN(SUBSTITUTE(E4890,"/",""))+2,LEN(E4890)-LEN(SUBSTITUTE(E4890,"/",""))+1))</f>
        <v/>
      </c>
      <c r="I4890" s="78">
        <f>IF(ISBLANK(G4890),"",IF(D4890="Stock","0",Key!$A$3*H4890*G4890))</f>
        <v/>
      </c>
      <c r="J4890" s="78">
        <f>IF(ISBLANK(E4890),"",IF(ISNUMBER(SEARCH("/",E4890)), IF(LEN(E4890)-LEN(SUBSTITUTE(E4890,"/",""))=1,(RIGHT(E4890,LEN(E4890)-FIND("/",E4890)))-(LEFT(E4890,FIND("/",E4890)-1)),(MID(E4890, SEARCH("/",E4890) + 1, SEARCH("/",E4890, SEARCH("/",E4890)+1) - SEARCH("/",E4890) - 1))-(LEFT(E4890,FIND("/",E4890)-1))), "NA"))</f>
        <v/>
      </c>
      <c r="K4890" s="79">
        <f>IF(A4890&lt;&gt;"", IF(ISBLANK(L4890), TODAY(), K4890), "")</f>
        <v/>
      </c>
      <c r="L4890" s="78" t="n"/>
      <c r="M4890" s="78">
        <f>IF(ISBLANK(L4890),"",IF(D4890="Stock",IF(C4890="Buy",L4890*G4890,IF(C4890="Sell",(L4890*G4890)-I4890, X)),IF(C4890="Buy",(L4890*G4890*100)+I4890,IF(C4890="Sell",(L4890*G4890*100)-I4890, X))))</f>
        <v/>
      </c>
      <c r="N4890" s="78">
        <f>IF(ISBLANK(L4890),"",IF(AND(C4890="Sell",D4890="Stock"),M4890,IF(ISBLANK(L4890),"",IF(C4890="Buy",M4890, IF(AND(C4890="Sell",J4890="NA"),(E4890*G4890*100*0.1)+I4890, IF(C4890="Sell",(J4890-L4890)*(100*G4890)+I4890))))))</f>
        <v/>
      </c>
      <c r="O4890" s="75" t="n"/>
      <c r="P4890" s="75" t="n"/>
      <c r="Q4890" s="75">
        <f>IF(ISBLANK(P4890),"",IF(D4890="Stock",P4890*G4890,IF(P4890=0,"0",G4890*P4890*100-(G4890*$AF$14))))</f>
        <v/>
      </c>
      <c r="R4890" s="79">
        <f>IF(P4890&lt;&gt;"", TODAY(), "")</f>
        <v/>
      </c>
      <c r="S4890" s="78">
        <f>IF(AND(K4890&lt;&gt;"", R4890&lt;&gt;""), R4890-K4890, "")</f>
        <v/>
      </c>
      <c r="T4890" s="78" t="n"/>
      <c r="U4890" s="92">
        <f>IF(ISBLANK(P4890),"",IF(C4890="Buy",Q4890-M4890+T4890, IF(C4890="Sell",M4890-Q4890-T4890, X)))</f>
        <v/>
      </c>
      <c r="V4890" s="81">
        <f>IF(ISBLANK(P4890),"",U4890/N4890)</f>
        <v/>
      </c>
      <c r="W4890" s="81">
        <f>IF(ISBLANK(P4890),"",IF(S4890=0,(365/0.5)*V4890,(365/S4890)*V4890))</f>
        <v/>
      </c>
      <c r="X4890" s="75" t="n"/>
      <c r="Y4890" s="77" t="n"/>
      <c r="Z4890" s="77" t="n"/>
      <c r="AA4890" s="75" t="n"/>
      <c r="AB4890" s="75" t="n"/>
      <c r="AC4890" s="6" t="n"/>
      <c r="AD4890" s="75" t="n"/>
      <c r="AE4890" s="75" t="n"/>
      <c r="AF4890" s="75" t="n"/>
    </row>
    <row r="4891" ht="15.75" customHeight="1" s="133">
      <c r="A4891" s="75" t="n"/>
      <c r="B4891" s="75" t="n"/>
      <c r="C4891" s="75" t="n"/>
      <c r="D4891" s="75" t="n"/>
      <c r="E4891" s="76" t="n"/>
      <c r="F4891" s="77" t="n"/>
      <c r="G4891" s="75" t="n"/>
      <c r="H4891" s="75">
        <f>IF(ISBLANK(E4891),"",IF(OR(D4891="Butterfly",D4891="Butterfly ",D4891="Iron Fly", D4891="Iron Fly "),LEN(E4891)-LEN(SUBSTITUTE(E4891,"/",""))+2,LEN(E4891)-LEN(SUBSTITUTE(E4891,"/",""))+1))</f>
        <v/>
      </c>
      <c r="I4891" s="78">
        <f>IF(ISBLANK(G4891),"",IF(D4891="Stock","0",Key!$A$3*H4891*G4891))</f>
        <v/>
      </c>
      <c r="J4891" s="78">
        <f>IF(ISBLANK(E4891),"",IF(ISNUMBER(SEARCH("/",E4891)), IF(LEN(E4891)-LEN(SUBSTITUTE(E4891,"/",""))=1,(RIGHT(E4891,LEN(E4891)-FIND("/",E4891)))-(LEFT(E4891,FIND("/",E4891)-1)),(MID(E4891, SEARCH("/",E4891) + 1, SEARCH("/",E4891, SEARCH("/",E4891)+1) - SEARCH("/",E4891) - 1))-(LEFT(E4891,FIND("/",E4891)-1))), "NA"))</f>
        <v/>
      </c>
      <c r="K4891" s="79">
        <f>IF(A4891&lt;&gt;"", IF(ISBLANK(L4891), TODAY(), K4891), "")</f>
        <v/>
      </c>
      <c r="L4891" s="78" t="n"/>
      <c r="M4891" s="78">
        <f>IF(ISBLANK(L4891),"",IF(D4891="Stock",IF(C4891="Buy",L4891*G4891,IF(C4891="Sell",(L4891*G4891)-I4891, X)),IF(C4891="Buy",(L4891*G4891*100)+I4891,IF(C4891="Sell",(L4891*G4891*100)-I4891, X))))</f>
        <v/>
      </c>
      <c r="N4891" s="78">
        <f>IF(ISBLANK(L4891),"",IF(AND(C4891="Sell",D4891="Stock"),M4891,IF(ISBLANK(L4891),"",IF(C4891="Buy",M4891, IF(AND(C4891="Sell",J4891="NA"),(E4891*G4891*100*0.1)+I4891, IF(C4891="Sell",(J4891-L4891)*(100*G4891)+I4891))))))</f>
        <v/>
      </c>
      <c r="O4891" s="75" t="n"/>
      <c r="P4891" s="75" t="n"/>
      <c r="Q4891" s="75">
        <f>IF(ISBLANK(P4891),"",IF(D4891="Stock",P4891*G4891,IF(P4891=0,"0",G4891*P4891*100-(G4891*$AF$14))))</f>
        <v/>
      </c>
      <c r="R4891" s="79">
        <f>IF(P4891&lt;&gt;"", TODAY(), "")</f>
        <v/>
      </c>
      <c r="S4891" s="78">
        <f>IF(AND(K4891&lt;&gt;"", R4891&lt;&gt;""), R4891-K4891, "")</f>
        <v/>
      </c>
      <c r="T4891" s="78" t="n"/>
      <c r="U4891" s="92">
        <f>IF(ISBLANK(P4891),"",IF(C4891="Buy",Q4891-M4891+T4891, IF(C4891="Sell",M4891-Q4891-T4891, X)))</f>
        <v/>
      </c>
      <c r="V4891" s="81">
        <f>IF(ISBLANK(P4891),"",U4891/N4891)</f>
        <v/>
      </c>
      <c r="W4891" s="81">
        <f>IF(ISBLANK(P4891),"",IF(S4891=0,(365/0.5)*V4891,(365/S4891)*V4891))</f>
        <v/>
      </c>
      <c r="X4891" s="75" t="n"/>
      <c r="Y4891" s="77" t="n"/>
      <c r="Z4891" s="77" t="n"/>
      <c r="AA4891" s="75" t="n"/>
      <c r="AB4891" s="75" t="n"/>
      <c r="AC4891" s="6" t="n"/>
      <c r="AD4891" s="75" t="n"/>
      <c r="AE4891" s="75" t="n"/>
      <c r="AF4891" s="75" t="n"/>
    </row>
    <row r="4892" ht="15.75" customHeight="1" s="133">
      <c r="A4892" s="75" t="n"/>
      <c r="B4892" s="75" t="n"/>
      <c r="C4892" s="75" t="n"/>
      <c r="D4892" s="75" t="n"/>
      <c r="E4892" s="76" t="n"/>
      <c r="F4892" s="77" t="n"/>
      <c r="G4892" s="75" t="n"/>
      <c r="H4892" s="75">
        <f>IF(ISBLANK(E4892),"",IF(OR(D4892="Butterfly",D4892="Butterfly ",D4892="Iron Fly", D4892="Iron Fly "),LEN(E4892)-LEN(SUBSTITUTE(E4892,"/",""))+2,LEN(E4892)-LEN(SUBSTITUTE(E4892,"/",""))+1))</f>
        <v/>
      </c>
      <c r="I4892" s="78">
        <f>IF(ISBLANK(G4892),"",IF(D4892="Stock","0",Key!$A$3*H4892*G4892))</f>
        <v/>
      </c>
      <c r="J4892" s="78">
        <f>IF(ISBLANK(E4892),"",IF(ISNUMBER(SEARCH("/",E4892)), IF(LEN(E4892)-LEN(SUBSTITUTE(E4892,"/",""))=1,(RIGHT(E4892,LEN(E4892)-FIND("/",E4892)))-(LEFT(E4892,FIND("/",E4892)-1)),(MID(E4892, SEARCH("/",E4892) + 1, SEARCH("/",E4892, SEARCH("/",E4892)+1) - SEARCH("/",E4892) - 1))-(LEFT(E4892,FIND("/",E4892)-1))), "NA"))</f>
        <v/>
      </c>
      <c r="K4892" s="79">
        <f>IF(A4892&lt;&gt;"", IF(ISBLANK(L4892), TODAY(), K4892), "")</f>
        <v/>
      </c>
      <c r="L4892" s="78" t="n"/>
      <c r="M4892" s="78">
        <f>IF(ISBLANK(L4892),"",IF(D4892="Stock",IF(C4892="Buy",L4892*G4892,IF(C4892="Sell",(L4892*G4892)-I4892, X)),IF(C4892="Buy",(L4892*G4892*100)+I4892,IF(C4892="Sell",(L4892*G4892*100)-I4892, X))))</f>
        <v/>
      </c>
      <c r="N4892" s="78">
        <f>IF(ISBLANK(L4892),"",IF(AND(C4892="Sell",D4892="Stock"),M4892,IF(ISBLANK(L4892),"",IF(C4892="Buy",M4892, IF(AND(C4892="Sell",J4892="NA"),(E4892*G4892*100*0.1)+I4892, IF(C4892="Sell",(J4892-L4892)*(100*G4892)+I4892))))))</f>
        <v/>
      </c>
      <c r="O4892" s="75" t="n"/>
      <c r="P4892" s="75" t="n"/>
      <c r="Q4892" s="75">
        <f>IF(ISBLANK(P4892),"",IF(D4892="Stock",P4892*G4892,IF(P4892=0,"0",G4892*P4892*100-(G4892*$AF$14))))</f>
        <v/>
      </c>
      <c r="R4892" s="79">
        <f>IF(P4892&lt;&gt;"", TODAY(), "")</f>
        <v/>
      </c>
      <c r="S4892" s="78">
        <f>IF(AND(K4892&lt;&gt;"", R4892&lt;&gt;""), R4892-K4892, "")</f>
        <v/>
      </c>
      <c r="T4892" s="78" t="n"/>
      <c r="U4892" s="92">
        <f>IF(ISBLANK(P4892),"",IF(C4892="Buy",Q4892-M4892+T4892, IF(C4892="Sell",M4892-Q4892-T4892, X)))</f>
        <v/>
      </c>
      <c r="V4892" s="81">
        <f>IF(ISBLANK(P4892),"",U4892/N4892)</f>
        <v/>
      </c>
      <c r="W4892" s="81">
        <f>IF(ISBLANK(P4892),"",IF(S4892=0,(365/0.5)*V4892,(365/S4892)*V4892))</f>
        <v/>
      </c>
      <c r="X4892" s="75" t="n"/>
      <c r="Y4892" s="77" t="n"/>
      <c r="Z4892" s="77" t="n"/>
      <c r="AA4892" s="75" t="n"/>
      <c r="AB4892" s="75" t="n"/>
      <c r="AC4892" s="6" t="n"/>
      <c r="AD4892" s="75" t="n"/>
      <c r="AE4892" s="75" t="n"/>
      <c r="AF4892" s="75" t="n"/>
    </row>
    <row r="4893" ht="15.75" customHeight="1" s="133">
      <c r="A4893" s="75" t="n"/>
      <c r="B4893" s="75" t="n"/>
      <c r="C4893" s="75" t="n"/>
      <c r="D4893" s="75" t="n"/>
      <c r="E4893" s="76" t="n"/>
      <c r="F4893" s="77" t="n"/>
      <c r="G4893" s="75" t="n"/>
      <c r="H4893" s="75">
        <f>IF(ISBLANK(E4893),"",IF(OR(D4893="Butterfly",D4893="Butterfly ",D4893="Iron Fly", D4893="Iron Fly "),LEN(E4893)-LEN(SUBSTITUTE(E4893,"/",""))+2,LEN(E4893)-LEN(SUBSTITUTE(E4893,"/",""))+1))</f>
        <v/>
      </c>
      <c r="I4893" s="78">
        <f>IF(ISBLANK(G4893),"",IF(D4893="Stock","0",Key!$A$3*H4893*G4893))</f>
        <v/>
      </c>
      <c r="J4893" s="78">
        <f>IF(ISBLANK(E4893),"",IF(ISNUMBER(SEARCH("/",E4893)), IF(LEN(E4893)-LEN(SUBSTITUTE(E4893,"/",""))=1,(RIGHT(E4893,LEN(E4893)-FIND("/",E4893)))-(LEFT(E4893,FIND("/",E4893)-1)),(MID(E4893, SEARCH("/",E4893) + 1, SEARCH("/",E4893, SEARCH("/",E4893)+1) - SEARCH("/",E4893) - 1))-(LEFT(E4893,FIND("/",E4893)-1))), "NA"))</f>
        <v/>
      </c>
      <c r="K4893" s="79">
        <f>IF(A4893&lt;&gt;"", IF(ISBLANK(L4893), TODAY(), K4893), "")</f>
        <v/>
      </c>
      <c r="L4893" s="78" t="n"/>
      <c r="M4893" s="78">
        <f>IF(ISBLANK(L4893),"",IF(D4893="Stock",IF(C4893="Buy",L4893*G4893,IF(C4893="Sell",(L4893*G4893)-I4893, X)),IF(C4893="Buy",(L4893*G4893*100)+I4893,IF(C4893="Sell",(L4893*G4893*100)-I4893, X))))</f>
        <v/>
      </c>
      <c r="N4893" s="78">
        <f>IF(ISBLANK(L4893),"",IF(AND(C4893="Sell",D4893="Stock"),M4893,IF(ISBLANK(L4893),"",IF(C4893="Buy",M4893, IF(AND(C4893="Sell",J4893="NA"),(E4893*G4893*100*0.1)+I4893, IF(C4893="Sell",(J4893-L4893)*(100*G4893)+I4893))))))</f>
        <v/>
      </c>
      <c r="O4893" s="75" t="n"/>
      <c r="P4893" s="75" t="n"/>
      <c r="Q4893" s="75">
        <f>IF(ISBLANK(P4893),"",IF(D4893="Stock",P4893*G4893,IF(P4893=0,"0",G4893*P4893*100-(G4893*$AF$14))))</f>
        <v/>
      </c>
      <c r="R4893" s="79">
        <f>IF(P4893&lt;&gt;"", TODAY(), "")</f>
        <v/>
      </c>
      <c r="S4893" s="78">
        <f>IF(AND(K4893&lt;&gt;"", R4893&lt;&gt;""), R4893-K4893, "")</f>
        <v/>
      </c>
      <c r="T4893" s="78" t="n"/>
      <c r="U4893" s="92">
        <f>IF(ISBLANK(P4893),"",IF(C4893="Buy",Q4893-M4893+T4893, IF(C4893="Sell",M4893-Q4893-T4893, X)))</f>
        <v/>
      </c>
      <c r="V4893" s="81">
        <f>IF(ISBLANK(P4893),"",U4893/N4893)</f>
        <v/>
      </c>
      <c r="W4893" s="81">
        <f>IF(ISBLANK(P4893),"",IF(S4893=0,(365/0.5)*V4893,(365/S4893)*V4893))</f>
        <v/>
      </c>
      <c r="X4893" s="75" t="n"/>
      <c r="Y4893" s="77" t="n"/>
      <c r="Z4893" s="77" t="n"/>
      <c r="AA4893" s="75" t="n"/>
      <c r="AB4893" s="75" t="n"/>
      <c r="AC4893" s="6" t="n"/>
      <c r="AD4893" s="75" t="n"/>
      <c r="AE4893" s="75" t="n"/>
      <c r="AF4893" s="75" t="n"/>
    </row>
    <row r="4894" ht="15.75" customHeight="1" s="133">
      <c r="A4894" s="75" t="n"/>
      <c r="B4894" s="75" t="n"/>
      <c r="C4894" s="75" t="n"/>
      <c r="D4894" s="75" t="n"/>
      <c r="E4894" s="76" t="n"/>
      <c r="F4894" s="77" t="n"/>
      <c r="G4894" s="75" t="n"/>
      <c r="H4894" s="75">
        <f>IF(ISBLANK(E4894),"",IF(OR(D4894="Butterfly",D4894="Butterfly ",D4894="Iron Fly", D4894="Iron Fly "),LEN(E4894)-LEN(SUBSTITUTE(E4894,"/",""))+2,LEN(E4894)-LEN(SUBSTITUTE(E4894,"/",""))+1))</f>
        <v/>
      </c>
      <c r="I4894" s="78">
        <f>IF(ISBLANK(G4894),"",IF(D4894="Stock","0",Key!$A$3*H4894*G4894))</f>
        <v/>
      </c>
      <c r="J4894" s="78">
        <f>IF(ISBLANK(E4894),"",IF(ISNUMBER(SEARCH("/",E4894)), IF(LEN(E4894)-LEN(SUBSTITUTE(E4894,"/",""))=1,(RIGHT(E4894,LEN(E4894)-FIND("/",E4894)))-(LEFT(E4894,FIND("/",E4894)-1)),(MID(E4894, SEARCH("/",E4894) + 1, SEARCH("/",E4894, SEARCH("/",E4894)+1) - SEARCH("/",E4894) - 1))-(LEFT(E4894,FIND("/",E4894)-1))), "NA"))</f>
        <v/>
      </c>
      <c r="K4894" s="79">
        <f>IF(A4894&lt;&gt;"", IF(ISBLANK(L4894), TODAY(), K4894), "")</f>
        <v/>
      </c>
      <c r="L4894" s="78" t="n"/>
      <c r="M4894" s="78">
        <f>IF(ISBLANK(L4894),"",IF(D4894="Stock",IF(C4894="Buy",L4894*G4894,IF(C4894="Sell",(L4894*G4894)-I4894, X)),IF(C4894="Buy",(L4894*G4894*100)+I4894,IF(C4894="Sell",(L4894*G4894*100)-I4894, X))))</f>
        <v/>
      </c>
      <c r="N4894" s="78">
        <f>IF(ISBLANK(L4894),"",IF(AND(C4894="Sell",D4894="Stock"),M4894,IF(ISBLANK(L4894),"",IF(C4894="Buy",M4894, IF(AND(C4894="Sell",J4894="NA"),(E4894*G4894*100*0.1)+I4894, IF(C4894="Sell",(J4894-L4894)*(100*G4894)+I4894))))))</f>
        <v/>
      </c>
      <c r="O4894" s="75" t="n"/>
      <c r="P4894" s="75" t="n"/>
      <c r="Q4894" s="75">
        <f>IF(ISBLANK(P4894),"",IF(D4894="Stock",P4894*G4894,IF(P4894=0,"0",G4894*P4894*100-(G4894*$AF$14))))</f>
        <v/>
      </c>
      <c r="R4894" s="79">
        <f>IF(P4894&lt;&gt;"", TODAY(), "")</f>
        <v/>
      </c>
      <c r="S4894" s="78">
        <f>IF(AND(K4894&lt;&gt;"", R4894&lt;&gt;""), R4894-K4894, "")</f>
        <v/>
      </c>
      <c r="T4894" s="78" t="n"/>
      <c r="U4894" s="92">
        <f>IF(ISBLANK(P4894),"",IF(C4894="Buy",Q4894-M4894+T4894, IF(C4894="Sell",M4894-Q4894-T4894, X)))</f>
        <v/>
      </c>
      <c r="V4894" s="81">
        <f>IF(ISBLANK(P4894),"",U4894/N4894)</f>
        <v/>
      </c>
      <c r="W4894" s="81">
        <f>IF(ISBLANK(P4894),"",IF(S4894=0,(365/0.5)*V4894,(365/S4894)*V4894))</f>
        <v/>
      </c>
      <c r="X4894" s="75" t="n"/>
      <c r="Y4894" s="77" t="n"/>
      <c r="Z4894" s="77" t="n"/>
      <c r="AA4894" s="75" t="n"/>
      <c r="AB4894" s="75" t="n"/>
      <c r="AC4894" s="6" t="n"/>
      <c r="AD4894" s="75" t="n"/>
      <c r="AE4894" s="75" t="n"/>
      <c r="AF4894" s="75" t="n"/>
    </row>
    <row r="4895" ht="15.75" customHeight="1" s="133">
      <c r="A4895" s="75" t="n"/>
      <c r="B4895" s="75" t="n"/>
      <c r="C4895" s="75" t="n"/>
      <c r="D4895" s="75" t="n"/>
      <c r="E4895" s="76" t="n"/>
      <c r="F4895" s="77" t="n"/>
      <c r="G4895" s="75" t="n"/>
      <c r="H4895" s="75">
        <f>IF(ISBLANK(E4895),"",IF(OR(D4895="Butterfly",D4895="Butterfly ",D4895="Iron Fly", D4895="Iron Fly "),LEN(E4895)-LEN(SUBSTITUTE(E4895,"/",""))+2,LEN(E4895)-LEN(SUBSTITUTE(E4895,"/",""))+1))</f>
        <v/>
      </c>
      <c r="I4895" s="78">
        <f>IF(ISBLANK(G4895),"",IF(D4895="Stock","0",Key!$A$3*H4895*G4895))</f>
        <v/>
      </c>
      <c r="J4895" s="78">
        <f>IF(ISBLANK(E4895),"",IF(ISNUMBER(SEARCH("/",E4895)), IF(LEN(E4895)-LEN(SUBSTITUTE(E4895,"/",""))=1,(RIGHT(E4895,LEN(E4895)-FIND("/",E4895)))-(LEFT(E4895,FIND("/",E4895)-1)),(MID(E4895, SEARCH("/",E4895) + 1, SEARCH("/",E4895, SEARCH("/",E4895)+1) - SEARCH("/",E4895) - 1))-(LEFT(E4895,FIND("/",E4895)-1))), "NA"))</f>
        <v/>
      </c>
      <c r="K4895" s="79">
        <f>IF(A4895&lt;&gt;"", IF(ISBLANK(L4895), TODAY(), K4895), "")</f>
        <v/>
      </c>
      <c r="L4895" s="78" t="n"/>
      <c r="M4895" s="78">
        <f>IF(ISBLANK(L4895),"",IF(D4895="Stock",IF(C4895="Buy",L4895*G4895,IF(C4895="Sell",(L4895*G4895)-I4895, X)),IF(C4895="Buy",(L4895*G4895*100)+I4895,IF(C4895="Sell",(L4895*G4895*100)-I4895, X))))</f>
        <v/>
      </c>
      <c r="N4895" s="78">
        <f>IF(ISBLANK(L4895),"",IF(AND(C4895="Sell",D4895="Stock"),M4895,IF(ISBLANK(L4895),"",IF(C4895="Buy",M4895, IF(AND(C4895="Sell",J4895="NA"),(E4895*G4895*100*0.1)+I4895, IF(C4895="Sell",(J4895-L4895)*(100*G4895)+I4895))))))</f>
        <v/>
      </c>
      <c r="O4895" s="75" t="n"/>
      <c r="P4895" s="75" t="n"/>
      <c r="Q4895" s="75">
        <f>IF(ISBLANK(P4895),"",IF(D4895="Stock",P4895*G4895,IF(P4895=0,"0",G4895*P4895*100-(G4895*$AF$14))))</f>
        <v/>
      </c>
      <c r="R4895" s="79">
        <f>IF(P4895&lt;&gt;"", TODAY(), "")</f>
        <v/>
      </c>
      <c r="S4895" s="78">
        <f>IF(AND(K4895&lt;&gt;"", R4895&lt;&gt;""), R4895-K4895, "")</f>
        <v/>
      </c>
      <c r="T4895" s="78" t="n"/>
      <c r="U4895" s="92">
        <f>IF(ISBLANK(P4895),"",IF(C4895="Buy",Q4895-M4895+T4895, IF(C4895="Sell",M4895-Q4895-T4895, X)))</f>
        <v/>
      </c>
      <c r="V4895" s="81">
        <f>IF(ISBLANK(P4895),"",U4895/N4895)</f>
        <v/>
      </c>
      <c r="W4895" s="81">
        <f>IF(ISBLANK(P4895),"",IF(S4895=0,(365/0.5)*V4895,(365/S4895)*V4895))</f>
        <v/>
      </c>
      <c r="X4895" s="75" t="n"/>
      <c r="Y4895" s="77" t="n"/>
      <c r="Z4895" s="77" t="n"/>
      <c r="AA4895" s="75" t="n"/>
      <c r="AB4895" s="75" t="n"/>
      <c r="AC4895" s="6" t="n"/>
      <c r="AD4895" s="75" t="n"/>
      <c r="AE4895" s="75" t="n"/>
      <c r="AF4895" s="75" t="n"/>
    </row>
    <row r="4896" ht="15.75" customHeight="1" s="133">
      <c r="A4896" s="75" t="n"/>
      <c r="B4896" s="75" t="n"/>
      <c r="C4896" s="75" t="n"/>
      <c r="D4896" s="75" t="n"/>
      <c r="E4896" s="76" t="n"/>
      <c r="F4896" s="77" t="n"/>
      <c r="G4896" s="75" t="n"/>
      <c r="H4896" s="75">
        <f>IF(ISBLANK(E4896),"",IF(OR(D4896="Butterfly",D4896="Butterfly ",D4896="Iron Fly", D4896="Iron Fly "),LEN(E4896)-LEN(SUBSTITUTE(E4896,"/",""))+2,LEN(E4896)-LEN(SUBSTITUTE(E4896,"/",""))+1))</f>
        <v/>
      </c>
      <c r="I4896" s="78">
        <f>IF(ISBLANK(G4896),"",IF(D4896="Stock","0",Key!$A$3*H4896*G4896))</f>
        <v/>
      </c>
      <c r="J4896" s="78">
        <f>IF(ISBLANK(E4896),"",IF(ISNUMBER(SEARCH("/",E4896)), IF(LEN(E4896)-LEN(SUBSTITUTE(E4896,"/",""))=1,(RIGHT(E4896,LEN(E4896)-FIND("/",E4896)))-(LEFT(E4896,FIND("/",E4896)-1)),(MID(E4896, SEARCH("/",E4896) + 1, SEARCH("/",E4896, SEARCH("/",E4896)+1) - SEARCH("/",E4896) - 1))-(LEFT(E4896,FIND("/",E4896)-1))), "NA"))</f>
        <v/>
      </c>
      <c r="K4896" s="79">
        <f>IF(A4896&lt;&gt;"", IF(ISBLANK(L4896), TODAY(), K4896), "")</f>
        <v/>
      </c>
      <c r="L4896" s="78" t="n"/>
      <c r="M4896" s="78">
        <f>IF(ISBLANK(L4896),"",IF(D4896="Stock",IF(C4896="Buy",L4896*G4896,IF(C4896="Sell",(L4896*G4896)-I4896, X)),IF(C4896="Buy",(L4896*G4896*100)+I4896,IF(C4896="Sell",(L4896*G4896*100)-I4896, X))))</f>
        <v/>
      </c>
      <c r="N4896" s="78">
        <f>IF(ISBLANK(L4896),"",IF(AND(C4896="Sell",D4896="Stock"),M4896,IF(ISBLANK(L4896),"",IF(C4896="Buy",M4896, IF(AND(C4896="Sell",J4896="NA"),(E4896*G4896*100*0.1)+I4896, IF(C4896="Sell",(J4896-L4896)*(100*G4896)+I4896))))))</f>
        <v/>
      </c>
      <c r="O4896" s="75" t="n"/>
      <c r="P4896" s="75" t="n"/>
      <c r="Q4896" s="75">
        <f>IF(ISBLANK(P4896),"",IF(D4896="Stock",P4896*G4896,IF(P4896=0,"0",G4896*P4896*100-(G4896*$AF$14))))</f>
        <v/>
      </c>
      <c r="R4896" s="79">
        <f>IF(P4896&lt;&gt;"", TODAY(), "")</f>
        <v/>
      </c>
      <c r="S4896" s="78">
        <f>IF(AND(K4896&lt;&gt;"", R4896&lt;&gt;""), R4896-K4896, "")</f>
        <v/>
      </c>
      <c r="T4896" s="78" t="n"/>
      <c r="U4896" s="92">
        <f>IF(ISBLANK(P4896),"",IF(C4896="Buy",Q4896-M4896+T4896, IF(C4896="Sell",M4896-Q4896-T4896, X)))</f>
        <v/>
      </c>
      <c r="V4896" s="81">
        <f>IF(ISBLANK(P4896),"",U4896/N4896)</f>
        <v/>
      </c>
      <c r="W4896" s="81">
        <f>IF(ISBLANK(P4896),"",IF(S4896=0,(365/0.5)*V4896,(365/S4896)*V4896))</f>
        <v/>
      </c>
      <c r="X4896" s="75" t="n"/>
      <c r="Y4896" s="77" t="n"/>
      <c r="Z4896" s="77" t="n"/>
      <c r="AA4896" s="75" t="n"/>
      <c r="AB4896" s="75" t="n"/>
      <c r="AC4896" s="6" t="n"/>
      <c r="AD4896" s="75" t="n"/>
      <c r="AE4896" s="75" t="n"/>
      <c r="AF4896" s="75" t="n"/>
    </row>
    <row r="4897" ht="15.75" customHeight="1" s="133">
      <c r="A4897" s="75" t="n"/>
      <c r="B4897" s="75" t="n"/>
      <c r="C4897" s="75" t="n"/>
      <c r="D4897" s="75" t="n"/>
      <c r="E4897" s="76" t="n"/>
      <c r="F4897" s="77" t="n"/>
      <c r="G4897" s="75" t="n"/>
      <c r="H4897" s="75">
        <f>IF(ISBLANK(E4897),"",IF(OR(D4897="Butterfly",D4897="Butterfly ",D4897="Iron Fly", D4897="Iron Fly "),LEN(E4897)-LEN(SUBSTITUTE(E4897,"/",""))+2,LEN(E4897)-LEN(SUBSTITUTE(E4897,"/",""))+1))</f>
        <v/>
      </c>
      <c r="I4897" s="78">
        <f>IF(ISBLANK(G4897),"",IF(D4897="Stock","0",Key!$A$3*H4897*G4897))</f>
        <v/>
      </c>
      <c r="J4897" s="78">
        <f>IF(ISBLANK(E4897),"",IF(ISNUMBER(SEARCH("/",E4897)), IF(LEN(E4897)-LEN(SUBSTITUTE(E4897,"/",""))=1,(RIGHT(E4897,LEN(E4897)-FIND("/",E4897)))-(LEFT(E4897,FIND("/",E4897)-1)),(MID(E4897, SEARCH("/",E4897) + 1, SEARCH("/",E4897, SEARCH("/",E4897)+1) - SEARCH("/",E4897) - 1))-(LEFT(E4897,FIND("/",E4897)-1))), "NA"))</f>
        <v/>
      </c>
      <c r="K4897" s="79">
        <f>IF(A4897&lt;&gt;"", IF(ISBLANK(L4897), TODAY(), K4897), "")</f>
        <v/>
      </c>
      <c r="L4897" s="78" t="n"/>
      <c r="M4897" s="78">
        <f>IF(ISBLANK(L4897),"",IF(D4897="Stock",IF(C4897="Buy",L4897*G4897,IF(C4897="Sell",(L4897*G4897)-I4897, X)),IF(C4897="Buy",(L4897*G4897*100)+I4897,IF(C4897="Sell",(L4897*G4897*100)-I4897, X))))</f>
        <v/>
      </c>
      <c r="N4897" s="78">
        <f>IF(ISBLANK(L4897),"",IF(AND(C4897="Sell",D4897="Stock"),M4897,IF(ISBLANK(L4897),"",IF(C4897="Buy",M4897, IF(AND(C4897="Sell",J4897="NA"),(E4897*G4897*100*0.1)+I4897, IF(C4897="Sell",(J4897-L4897)*(100*G4897)+I4897))))))</f>
        <v/>
      </c>
      <c r="O4897" s="75" t="n"/>
      <c r="P4897" s="75" t="n"/>
      <c r="Q4897" s="75">
        <f>IF(ISBLANK(P4897),"",IF(D4897="Stock",P4897*G4897,IF(P4897=0,"0",G4897*P4897*100-(G4897*$AF$14))))</f>
        <v/>
      </c>
      <c r="R4897" s="79">
        <f>IF(P4897&lt;&gt;"", TODAY(), "")</f>
        <v/>
      </c>
      <c r="S4897" s="78">
        <f>IF(AND(K4897&lt;&gt;"", R4897&lt;&gt;""), R4897-K4897, "")</f>
        <v/>
      </c>
      <c r="T4897" s="78" t="n"/>
      <c r="U4897" s="92">
        <f>IF(ISBLANK(P4897),"",IF(C4897="Buy",Q4897-M4897+T4897, IF(C4897="Sell",M4897-Q4897-T4897, X)))</f>
        <v/>
      </c>
      <c r="V4897" s="81">
        <f>IF(ISBLANK(P4897),"",U4897/N4897)</f>
        <v/>
      </c>
      <c r="W4897" s="81">
        <f>IF(ISBLANK(P4897),"",IF(S4897=0,(365/0.5)*V4897,(365/S4897)*V4897))</f>
        <v/>
      </c>
      <c r="X4897" s="75" t="n"/>
      <c r="Y4897" s="77" t="n"/>
      <c r="Z4897" s="77" t="n"/>
      <c r="AA4897" s="75" t="n"/>
      <c r="AB4897" s="75" t="n"/>
      <c r="AC4897" s="6" t="n"/>
      <c r="AD4897" s="75" t="n"/>
      <c r="AE4897" s="75" t="n"/>
      <c r="AF4897" s="75" t="n"/>
    </row>
    <row r="4898" ht="15.75" customHeight="1" s="133">
      <c r="A4898" s="75" t="n"/>
      <c r="B4898" s="75" t="n"/>
      <c r="C4898" s="75" t="n"/>
      <c r="D4898" s="75" t="n"/>
      <c r="E4898" s="76" t="n"/>
      <c r="F4898" s="77" t="n"/>
      <c r="G4898" s="75" t="n"/>
      <c r="H4898" s="75">
        <f>IF(ISBLANK(E4898),"",IF(OR(D4898="Butterfly",D4898="Butterfly ",D4898="Iron Fly", D4898="Iron Fly "),LEN(E4898)-LEN(SUBSTITUTE(E4898,"/",""))+2,LEN(E4898)-LEN(SUBSTITUTE(E4898,"/",""))+1))</f>
        <v/>
      </c>
      <c r="I4898" s="78">
        <f>IF(ISBLANK(G4898),"",IF(D4898="Stock","0",Key!$A$3*H4898*G4898))</f>
        <v/>
      </c>
      <c r="J4898" s="78">
        <f>IF(ISBLANK(E4898),"",IF(ISNUMBER(SEARCH("/",E4898)), IF(LEN(E4898)-LEN(SUBSTITUTE(E4898,"/",""))=1,(RIGHT(E4898,LEN(E4898)-FIND("/",E4898)))-(LEFT(E4898,FIND("/",E4898)-1)),(MID(E4898, SEARCH("/",E4898) + 1, SEARCH("/",E4898, SEARCH("/",E4898)+1) - SEARCH("/",E4898) - 1))-(LEFT(E4898,FIND("/",E4898)-1))), "NA"))</f>
        <v/>
      </c>
      <c r="K4898" s="79">
        <f>IF(A4898&lt;&gt;"", IF(ISBLANK(L4898), TODAY(), K4898), "")</f>
        <v/>
      </c>
      <c r="L4898" s="78" t="n"/>
      <c r="M4898" s="78">
        <f>IF(ISBLANK(L4898),"",IF(D4898="Stock",IF(C4898="Buy",L4898*G4898,IF(C4898="Sell",(L4898*G4898)-I4898, X)),IF(C4898="Buy",(L4898*G4898*100)+I4898,IF(C4898="Sell",(L4898*G4898*100)-I4898, X))))</f>
        <v/>
      </c>
      <c r="N4898" s="78">
        <f>IF(ISBLANK(L4898),"",IF(AND(C4898="Sell",D4898="Stock"),M4898,IF(ISBLANK(L4898),"",IF(C4898="Buy",M4898, IF(AND(C4898="Sell",J4898="NA"),(E4898*G4898*100*0.1)+I4898, IF(C4898="Sell",(J4898-L4898)*(100*G4898)+I4898))))))</f>
        <v/>
      </c>
      <c r="O4898" s="75" t="n"/>
      <c r="P4898" s="75" t="n"/>
      <c r="Q4898" s="75">
        <f>IF(ISBLANK(P4898),"",IF(D4898="Stock",P4898*G4898,IF(P4898=0,"0",G4898*P4898*100-(G4898*$AF$14))))</f>
        <v/>
      </c>
      <c r="R4898" s="79">
        <f>IF(P4898&lt;&gt;"", TODAY(), "")</f>
        <v/>
      </c>
      <c r="S4898" s="78">
        <f>IF(AND(K4898&lt;&gt;"", R4898&lt;&gt;""), R4898-K4898, "")</f>
        <v/>
      </c>
      <c r="T4898" s="78" t="n"/>
      <c r="U4898" s="92">
        <f>IF(ISBLANK(P4898),"",IF(C4898="Buy",Q4898-M4898+T4898, IF(C4898="Sell",M4898-Q4898-T4898, X)))</f>
        <v/>
      </c>
      <c r="V4898" s="81">
        <f>IF(ISBLANK(P4898),"",U4898/N4898)</f>
        <v/>
      </c>
      <c r="W4898" s="81">
        <f>IF(ISBLANK(P4898),"",IF(S4898=0,(365/0.5)*V4898,(365/S4898)*V4898))</f>
        <v/>
      </c>
      <c r="X4898" s="75" t="n"/>
      <c r="Y4898" s="77" t="n"/>
      <c r="Z4898" s="77" t="n"/>
      <c r="AA4898" s="75" t="n"/>
      <c r="AB4898" s="75" t="n"/>
      <c r="AC4898" s="6" t="n"/>
      <c r="AD4898" s="75" t="n"/>
      <c r="AE4898" s="75" t="n"/>
      <c r="AF4898" s="75" t="n"/>
    </row>
    <row r="4899" ht="15.75" customHeight="1" s="133">
      <c r="A4899" s="75" t="n"/>
      <c r="B4899" s="75" t="n"/>
      <c r="C4899" s="75" t="n"/>
      <c r="D4899" s="75" t="n"/>
      <c r="E4899" s="76" t="n"/>
      <c r="F4899" s="77" t="n"/>
      <c r="G4899" s="75" t="n"/>
      <c r="H4899" s="75">
        <f>IF(ISBLANK(E4899),"",IF(OR(D4899="Butterfly",D4899="Butterfly ",D4899="Iron Fly", D4899="Iron Fly "),LEN(E4899)-LEN(SUBSTITUTE(E4899,"/",""))+2,LEN(E4899)-LEN(SUBSTITUTE(E4899,"/",""))+1))</f>
        <v/>
      </c>
      <c r="I4899" s="78">
        <f>IF(ISBLANK(G4899),"",IF(D4899="Stock","0",Key!$A$3*H4899*G4899))</f>
        <v/>
      </c>
      <c r="J4899" s="78">
        <f>IF(ISBLANK(E4899),"",IF(ISNUMBER(SEARCH("/",E4899)), IF(LEN(E4899)-LEN(SUBSTITUTE(E4899,"/",""))=1,(RIGHT(E4899,LEN(E4899)-FIND("/",E4899)))-(LEFT(E4899,FIND("/",E4899)-1)),(MID(E4899, SEARCH("/",E4899) + 1, SEARCH("/",E4899, SEARCH("/",E4899)+1) - SEARCH("/",E4899) - 1))-(LEFT(E4899,FIND("/",E4899)-1))), "NA"))</f>
        <v/>
      </c>
      <c r="K4899" s="79">
        <f>IF(A4899&lt;&gt;"", IF(ISBLANK(L4899), TODAY(), K4899), "")</f>
        <v/>
      </c>
      <c r="L4899" s="78" t="n"/>
      <c r="M4899" s="78">
        <f>IF(ISBLANK(L4899),"",IF(D4899="Stock",IF(C4899="Buy",L4899*G4899,IF(C4899="Sell",(L4899*G4899)-I4899, X)),IF(C4899="Buy",(L4899*G4899*100)+I4899,IF(C4899="Sell",(L4899*G4899*100)-I4899, X))))</f>
        <v/>
      </c>
      <c r="N4899" s="78">
        <f>IF(ISBLANK(L4899),"",IF(AND(C4899="Sell",D4899="Stock"),M4899,IF(ISBLANK(L4899),"",IF(C4899="Buy",M4899, IF(AND(C4899="Sell",J4899="NA"),(E4899*G4899*100*0.1)+I4899, IF(C4899="Sell",(J4899-L4899)*(100*G4899)+I4899))))))</f>
        <v/>
      </c>
      <c r="O4899" s="75" t="n"/>
      <c r="P4899" s="75" t="n"/>
      <c r="Q4899" s="75">
        <f>IF(ISBLANK(P4899),"",IF(D4899="Stock",P4899*G4899,IF(P4899=0,"0",G4899*P4899*100-(G4899*$AF$14))))</f>
        <v/>
      </c>
      <c r="R4899" s="79">
        <f>IF(P4899&lt;&gt;"", TODAY(), "")</f>
        <v/>
      </c>
      <c r="S4899" s="78">
        <f>IF(AND(K4899&lt;&gt;"", R4899&lt;&gt;""), R4899-K4899, "")</f>
        <v/>
      </c>
      <c r="T4899" s="78" t="n"/>
      <c r="U4899" s="92">
        <f>IF(ISBLANK(P4899),"",IF(C4899="Buy",Q4899-M4899+T4899, IF(C4899="Sell",M4899-Q4899-T4899, X)))</f>
        <v/>
      </c>
      <c r="V4899" s="81">
        <f>IF(ISBLANK(P4899),"",U4899/N4899)</f>
        <v/>
      </c>
      <c r="W4899" s="81">
        <f>IF(ISBLANK(P4899),"",IF(S4899=0,(365/0.5)*V4899,(365/S4899)*V4899))</f>
        <v/>
      </c>
      <c r="X4899" s="75" t="n"/>
      <c r="Y4899" s="77" t="n"/>
      <c r="Z4899" s="77" t="n"/>
      <c r="AA4899" s="75" t="n"/>
      <c r="AB4899" s="75" t="n"/>
      <c r="AC4899" s="6" t="n"/>
      <c r="AD4899" s="75" t="n"/>
      <c r="AE4899" s="75" t="n"/>
      <c r="AF4899" s="75" t="n"/>
    </row>
    <row r="4900" ht="15.75" customHeight="1" s="133">
      <c r="A4900" s="75" t="n"/>
      <c r="B4900" s="75" t="n"/>
      <c r="C4900" s="75" t="n"/>
      <c r="D4900" s="75" t="n"/>
      <c r="E4900" s="76" t="n"/>
      <c r="F4900" s="77" t="n"/>
      <c r="G4900" s="75" t="n"/>
      <c r="H4900" s="75">
        <f>IF(ISBLANK(E4900),"",IF(OR(D4900="Butterfly",D4900="Butterfly ",D4900="Iron Fly", D4900="Iron Fly "),LEN(E4900)-LEN(SUBSTITUTE(E4900,"/",""))+2,LEN(E4900)-LEN(SUBSTITUTE(E4900,"/",""))+1))</f>
        <v/>
      </c>
      <c r="I4900" s="78">
        <f>IF(ISBLANK(G4900),"",IF(D4900="Stock","0",Key!$A$3*H4900*G4900))</f>
        <v/>
      </c>
      <c r="J4900" s="78">
        <f>IF(ISBLANK(E4900),"",IF(ISNUMBER(SEARCH("/",E4900)), IF(LEN(E4900)-LEN(SUBSTITUTE(E4900,"/",""))=1,(RIGHT(E4900,LEN(E4900)-FIND("/",E4900)))-(LEFT(E4900,FIND("/",E4900)-1)),(MID(E4900, SEARCH("/",E4900) + 1, SEARCH("/",E4900, SEARCH("/",E4900)+1) - SEARCH("/",E4900) - 1))-(LEFT(E4900,FIND("/",E4900)-1))), "NA"))</f>
        <v/>
      </c>
      <c r="K4900" s="79">
        <f>IF(A4900&lt;&gt;"", IF(ISBLANK(L4900), TODAY(), K4900), "")</f>
        <v/>
      </c>
      <c r="L4900" s="78" t="n"/>
      <c r="M4900" s="78">
        <f>IF(ISBLANK(L4900),"",IF(D4900="Stock",IF(C4900="Buy",L4900*G4900,IF(C4900="Sell",(L4900*G4900)-I4900, X)),IF(C4900="Buy",(L4900*G4900*100)+I4900,IF(C4900="Sell",(L4900*G4900*100)-I4900, X))))</f>
        <v/>
      </c>
      <c r="N4900" s="78">
        <f>IF(ISBLANK(L4900),"",IF(AND(C4900="Sell",D4900="Stock"),M4900,IF(ISBLANK(L4900),"",IF(C4900="Buy",M4900, IF(AND(C4900="Sell",J4900="NA"),(E4900*G4900*100*0.1)+I4900, IF(C4900="Sell",(J4900-L4900)*(100*G4900)+I4900))))))</f>
        <v/>
      </c>
      <c r="O4900" s="75" t="n"/>
      <c r="P4900" s="75" t="n"/>
      <c r="Q4900" s="75">
        <f>IF(ISBLANK(P4900),"",IF(D4900="Stock",P4900*G4900,IF(P4900=0,"0",G4900*P4900*100-(G4900*$AF$14))))</f>
        <v/>
      </c>
      <c r="R4900" s="79">
        <f>IF(P4900&lt;&gt;"", TODAY(), "")</f>
        <v/>
      </c>
      <c r="S4900" s="78">
        <f>IF(AND(K4900&lt;&gt;"", R4900&lt;&gt;""), R4900-K4900, "")</f>
        <v/>
      </c>
      <c r="T4900" s="78" t="n"/>
      <c r="U4900" s="92">
        <f>IF(ISBLANK(P4900),"",IF(C4900="Buy",Q4900-M4900+T4900, IF(C4900="Sell",M4900-Q4900-T4900, X)))</f>
        <v/>
      </c>
      <c r="V4900" s="81">
        <f>IF(ISBLANK(P4900),"",U4900/N4900)</f>
        <v/>
      </c>
      <c r="W4900" s="81">
        <f>IF(ISBLANK(P4900),"",IF(S4900=0,(365/0.5)*V4900,(365/S4900)*V4900))</f>
        <v/>
      </c>
      <c r="X4900" s="75" t="n"/>
      <c r="Y4900" s="77" t="n"/>
      <c r="Z4900" s="77" t="n"/>
      <c r="AA4900" s="75" t="n"/>
      <c r="AB4900" s="75" t="n"/>
      <c r="AC4900" s="6" t="n"/>
      <c r="AD4900" s="75" t="n"/>
      <c r="AE4900" s="75" t="n"/>
      <c r="AF4900" s="75" t="n"/>
    </row>
    <row r="4901" ht="15.75" customHeight="1" s="133">
      <c r="A4901" s="75" t="n"/>
      <c r="B4901" s="75" t="n"/>
      <c r="C4901" s="75" t="n"/>
      <c r="D4901" s="75" t="n"/>
      <c r="E4901" s="76" t="n"/>
      <c r="F4901" s="77" t="n"/>
      <c r="G4901" s="75" t="n"/>
      <c r="H4901" s="75">
        <f>IF(ISBLANK(E4901),"",IF(OR(D4901="Butterfly",D4901="Butterfly ",D4901="Iron Fly", D4901="Iron Fly "),LEN(E4901)-LEN(SUBSTITUTE(E4901,"/",""))+2,LEN(E4901)-LEN(SUBSTITUTE(E4901,"/",""))+1))</f>
        <v/>
      </c>
      <c r="I4901" s="78">
        <f>IF(ISBLANK(G4901),"",IF(D4901="Stock","0",Key!$A$3*H4901*G4901))</f>
        <v/>
      </c>
      <c r="J4901" s="78">
        <f>IF(ISBLANK(E4901),"",IF(ISNUMBER(SEARCH("/",E4901)), IF(LEN(E4901)-LEN(SUBSTITUTE(E4901,"/",""))=1,(RIGHT(E4901,LEN(E4901)-FIND("/",E4901)))-(LEFT(E4901,FIND("/",E4901)-1)),(MID(E4901, SEARCH("/",E4901) + 1, SEARCH("/",E4901, SEARCH("/",E4901)+1) - SEARCH("/",E4901) - 1))-(LEFT(E4901,FIND("/",E4901)-1))), "NA"))</f>
        <v/>
      </c>
      <c r="K4901" s="79">
        <f>IF(A4901&lt;&gt;"", IF(ISBLANK(L4901), TODAY(), K4901), "")</f>
        <v/>
      </c>
      <c r="L4901" s="78" t="n"/>
      <c r="M4901" s="78">
        <f>IF(ISBLANK(L4901),"",IF(D4901="Stock",IF(C4901="Buy",L4901*G4901,IF(C4901="Sell",(L4901*G4901)-I4901, X)),IF(C4901="Buy",(L4901*G4901*100)+I4901,IF(C4901="Sell",(L4901*G4901*100)-I4901, X))))</f>
        <v/>
      </c>
      <c r="N4901" s="78">
        <f>IF(ISBLANK(L4901),"",IF(AND(C4901="Sell",D4901="Stock"),M4901,IF(ISBLANK(L4901),"",IF(C4901="Buy",M4901, IF(AND(C4901="Sell",J4901="NA"),(E4901*G4901*100*0.1)+I4901, IF(C4901="Sell",(J4901-L4901)*(100*G4901)+I4901))))))</f>
        <v/>
      </c>
      <c r="O4901" s="75" t="n"/>
      <c r="P4901" s="75" t="n"/>
      <c r="Q4901" s="75">
        <f>IF(ISBLANK(P4901),"",IF(D4901="Stock",P4901*G4901,IF(P4901=0,"0",G4901*P4901*100-(G4901*$AF$14))))</f>
        <v/>
      </c>
      <c r="R4901" s="79">
        <f>IF(P4901&lt;&gt;"", TODAY(), "")</f>
        <v/>
      </c>
      <c r="S4901" s="78">
        <f>IF(AND(K4901&lt;&gt;"", R4901&lt;&gt;""), R4901-K4901, "")</f>
        <v/>
      </c>
      <c r="T4901" s="78" t="n"/>
      <c r="U4901" s="92">
        <f>IF(ISBLANK(P4901),"",IF(C4901="Buy",Q4901-M4901+T4901, IF(C4901="Sell",M4901-Q4901-T4901, X)))</f>
        <v/>
      </c>
      <c r="V4901" s="81">
        <f>IF(ISBLANK(P4901),"",U4901/N4901)</f>
        <v/>
      </c>
      <c r="W4901" s="81">
        <f>IF(ISBLANK(P4901),"",IF(S4901=0,(365/0.5)*V4901,(365/S4901)*V4901))</f>
        <v/>
      </c>
      <c r="X4901" s="75" t="n"/>
      <c r="Y4901" s="77" t="n"/>
      <c r="Z4901" s="77" t="n"/>
      <c r="AA4901" s="75" t="n"/>
      <c r="AB4901" s="75" t="n"/>
      <c r="AC4901" s="6" t="n"/>
      <c r="AD4901" s="75" t="n"/>
      <c r="AE4901" s="75" t="n"/>
      <c r="AF4901" s="75" t="n"/>
    </row>
    <row r="4902" ht="15.75" customHeight="1" s="133">
      <c r="A4902" s="75" t="n"/>
      <c r="B4902" s="75" t="n"/>
      <c r="C4902" s="75" t="n"/>
      <c r="D4902" s="75" t="n"/>
      <c r="E4902" s="76" t="n"/>
      <c r="F4902" s="77" t="n"/>
      <c r="G4902" s="75" t="n"/>
      <c r="H4902" s="75">
        <f>IF(ISBLANK(E4902),"",IF(OR(D4902="Butterfly",D4902="Butterfly ",D4902="Iron Fly", D4902="Iron Fly "),LEN(E4902)-LEN(SUBSTITUTE(E4902,"/",""))+2,LEN(E4902)-LEN(SUBSTITUTE(E4902,"/",""))+1))</f>
        <v/>
      </c>
      <c r="I4902" s="78">
        <f>IF(ISBLANK(G4902),"",IF(D4902="Stock","0",Key!$A$3*H4902*G4902))</f>
        <v/>
      </c>
      <c r="J4902" s="78">
        <f>IF(ISBLANK(E4902),"",IF(ISNUMBER(SEARCH("/",E4902)), IF(LEN(E4902)-LEN(SUBSTITUTE(E4902,"/",""))=1,(RIGHT(E4902,LEN(E4902)-FIND("/",E4902)))-(LEFT(E4902,FIND("/",E4902)-1)),(MID(E4902, SEARCH("/",E4902) + 1, SEARCH("/",E4902, SEARCH("/",E4902)+1) - SEARCH("/",E4902) - 1))-(LEFT(E4902,FIND("/",E4902)-1))), "NA"))</f>
        <v/>
      </c>
      <c r="K4902" s="79">
        <f>IF(A4902&lt;&gt;"", IF(ISBLANK(L4902), TODAY(), K4902), "")</f>
        <v/>
      </c>
      <c r="L4902" s="78" t="n"/>
      <c r="M4902" s="78">
        <f>IF(ISBLANK(L4902),"",IF(D4902="Stock",IF(C4902="Buy",L4902*G4902,IF(C4902="Sell",(L4902*G4902)-I4902, X)),IF(C4902="Buy",(L4902*G4902*100)+I4902,IF(C4902="Sell",(L4902*G4902*100)-I4902, X))))</f>
        <v/>
      </c>
      <c r="N4902" s="78">
        <f>IF(ISBLANK(L4902),"",IF(AND(C4902="Sell",D4902="Stock"),M4902,IF(ISBLANK(L4902),"",IF(C4902="Buy",M4902, IF(AND(C4902="Sell",J4902="NA"),(E4902*G4902*100*0.1)+I4902, IF(C4902="Sell",(J4902-L4902)*(100*G4902)+I4902))))))</f>
        <v/>
      </c>
      <c r="O4902" s="75" t="n"/>
      <c r="P4902" s="75" t="n"/>
      <c r="Q4902" s="75">
        <f>IF(ISBLANK(P4902),"",IF(D4902="Stock",P4902*G4902,IF(P4902=0,"0",G4902*P4902*100-(G4902*$AF$14))))</f>
        <v/>
      </c>
      <c r="R4902" s="79">
        <f>IF(P4902&lt;&gt;"", TODAY(), "")</f>
        <v/>
      </c>
      <c r="S4902" s="78">
        <f>IF(AND(K4902&lt;&gt;"", R4902&lt;&gt;""), R4902-K4902, "")</f>
        <v/>
      </c>
      <c r="T4902" s="78" t="n"/>
      <c r="U4902" s="92">
        <f>IF(ISBLANK(P4902),"",IF(C4902="Buy",Q4902-M4902+T4902, IF(C4902="Sell",M4902-Q4902-T4902, X)))</f>
        <v/>
      </c>
      <c r="V4902" s="81">
        <f>IF(ISBLANK(P4902),"",U4902/N4902)</f>
        <v/>
      </c>
      <c r="W4902" s="81">
        <f>IF(ISBLANK(P4902),"",IF(S4902=0,(365/0.5)*V4902,(365/S4902)*V4902))</f>
        <v/>
      </c>
      <c r="X4902" s="75" t="n"/>
      <c r="Y4902" s="77" t="n"/>
      <c r="Z4902" s="77" t="n"/>
      <c r="AA4902" s="75" t="n"/>
      <c r="AB4902" s="75" t="n"/>
      <c r="AC4902" s="6" t="n"/>
      <c r="AD4902" s="75" t="n"/>
      <c r="AE4902" s="75" t="n"/>
      <c r="AF4902" s="75" t="n"/>
    </row>
    <row r="4903" ht="15.75" customHeight="1" s="133">
      <c r="A4903" s="75" t="n"/>
      <c r="B4903" s="75" t="n"/>
      <c r="C4903" s="75" t="n"/>
      <c r="D4903" s="75" t="n"/>
      <c r="E4903" s="76" t="n"/>
      <c r="F4903" s="77" t="n"/>
      <c r="G4903" s="75" t="n"/>
      <c r="H4903" s="75">
        <f>IF(ISBLANK(E4903),"",IF(OR(D4903="Butterfly",D4903="Butterfly ",D4903="Iron Fly", D4903="Iron Fly "),LEN(E4903)-LEN(SUBSTITUTE(E4903,"/",""))+2,LEN(E4903)-LEN(SUBSTITUTE(E4903,"/",""))+1))</f>
        <v/>
      </c>
      <c r="I4903" s="78">
        <f>IF(ISBLANK(G4903),"",IF(D4903="Stock","0",Key!$A$3*H4903*G4903))</f>
        <v/>
      </c>
      <c r="J4903" s="78">
        <f>IF(ISBLANK(E4903),"",IF(ISNUMBER(SEARCH("/",E4903)), IF(LEN(E4903)-LEN(SUBSTITUTE(E4903,"/",""))=1,(RIGHT(E4903,LEN(E4903)-FIND("/",E4903)))-(LEFT(E4903,FIND("/",E4903)-1)),(MID(E4903, SEARCH("/",E4903) + 1, SEARCH("/",E4903, SEARCH("/",E4903)+1) - SEARCH("/",E4903) - 1))-(LEFT(E4903,FIND("/",E4903)-1))), "NA"))</f>
        <v/>
      </c>
      <c r="K4903" s="79">
        <f>IF(A4903&lt;&gt;"", IF(ISBLANK(L4903), TODAY(), K4903), "")</f>
        <v/>
      </c>
      <c r="L4903" s="78" t="n"/>
      <c r="M4903" s="78">
        <f>IF(ISBLANK(L4903),"",IF(D4903="Stock",IF(C4903="Buy",L4903*G4903,IF(C4903="Sell",(L4903*G4903)-I4903, X)),IF(C4903="Buy",(L4903*G4903*100)+I4903,IF(C4903="Sell",(L4903*G4903*100)-I4903, X))))</f>
        <v/>
      </c>
      <c r="N4903" s="78">
        <f>IF(ISBLANK(L4903),"",IF(AND(C4903="Sell",D4903="Stock"),M4903,IF(ISBLANK(L4903),"",IF(C4903="Buy",M4903, IF(AND(C4903="Sell",J4903="NA"),(E4903*G4903*100*0.1)+I4903, IF(C4903="Sell",(J4903-L4903)*(100*G4903)+I4903))))))</f>
        <v/>
      </c>
      <c r="O4903" s="75" t="n"/>
      <c r="P4903" s="75" t="n"/>
      <c r="Q4903" s="75">
        <f>IF(ISBLANK(P4903),"",IF(D4903="Stock",P4903*G4903,IF(P4903=0,"0",G4903*P4903*100-(G4903*$AF$14))))</f>
        <v/>
      </c>
      <c r="R4903" s="79">
        <f>IF(P4903&lt;&gt;"", TODAY(), "")</f>
        <v/>
      </c>
      <c r="S4903" s="78">
        <f>IF(AND(K4903&lt;&gt;"", R4903&lt;&gt;""), R4903-K4903, "")</f>
        <v/>
      </c>
      <c r="T4903" s="78" t="n"/>
      <c r="U4903" s="92">
        <f>IF(ISBLANK(P4903),"",IF(C4903="Buy",Q4903-M4903+T4903, IF(C4903="Sell",M4903-Q4903-T4903, X)))</f>
        <v/>
      </c>
      <c r="V4903" s="81">
        <f>IF(ISBLANK(P4903),"",U4903/N4903)</f>
        <v/>
      </c>
      <c r="W4903" s="81">
        <f>IF(ISBLANK(P4903),"",IF(S4903=0,(365/0.5)*V4903,(365/S4903)*V4903))</f>
        <v/>
      </c>
      <c r="X4903" s="75" t="n"/>
      <c r="Y4903" s="77" t="n"/>
      <c r="Z4903" s="77" t="n"/>
      <c r="AA4903" s="75" t="n"/>
      <c r="AB4903" s="75" t="n"/>
      <c r="AC4903" s="6" t="n"/>
      <c r="AD4903" s="75" t="n"/>
      <c r="AE4903" s="75" t="n"/>
      <c r="AF4903" s="75" t="n"/>
    </row>
    <row r="4904" ht="15.75" customHeight="1" s="133">
      <c r="A4904" s="75" t="n"/>
      <c r="B4904" s="75" t="n"/>
      <c r="C4904" s="75" t="n"/>
      <c r="D4904" s="75" t="n"/>
      <c r="E4904" s="76" t="n"/>
      <c r="F4904" s="77" t="n"/>
      <c r="G4904" s="75" t="n"/>
      <c r="H4904" s="75">
        <f>IF(ISBLANK(E4904),"",IF(OR(D4904="Butterfly",D4904="Butterfly ",D4904="Iron Fly", D4904="Iron Fly "),LEN(E4904)-LEN(SUBSTITUTE(E4904,"/",""))+2,LEN(E4904)-LEN(SUBSTITUTE(E4904,"/",""))+1))</f>
        <v/>
      </c>
      <c r="I4904" s="78">
        <f>IF(ISBLANK(G4904),"",IF(D4904="Stock","0",Key!$A$3*H4904*G4904))</f>
        <v/>
      </c>
      <c r="J4904" s="78">
        <f>IF(ISBLANK(E4904),"",IF(ISNUMBER(SEARCH("/",E4904)), IF(LEN(E4904)-LEN(SUBSTITUTE(E4904,"/",""))=1,(RIGHT(E4904,LEN(E4904)-FIND("/",E4904)))-(LEFT(E4904,FIND("/",E4904)-1)),(MID(E4904, SEARCH("/",E4904) + 1, SEARCH("/",E4904, SEARCH("/",E4904)+1) - SEARCH("/",E4904) - 1))-(LEFT(E4904,FIND("/",E4904)-1))), "NA"))</f>
        <v/>
      </c>
      <c r="K4904" s="79">
        <f>IF(A4904&lt;&gt;"", IF(ISBLANK(L4904), TODAY(), K4904), "")</f>
        <v/>
      </c>
      <c r="L4904" s="78" t="n"/>
      <c r="M4904" s="78">
        <f>IF(ISBLANK(L4904),"",IF(D4904="Stock",IF(C4904="Buy",L4904*G4904,IF(C4904="Sell",(L4904*G4904)-I4904, X)),IF(C4904="Buy",(L4904*G4904*100)+I4904,IF(C4904="Sell",(L4904*G4904*100)-I4904, X))))</f>
        <v/>
      </c>
      <c r="N4904" s="78">
        <f>IF(ISBLANK(L4904),"",IF(AND(C4904="Sell",D4904="Stock"),M4904,IF(ISBLANK(L4904),"",IF(C4904="Buy",M4904, IF(AND(C4904="Sell",J4904="NA"),(E4904*G4904*100*0.1)+I4904, IF(C4904="Sell",(J4904-L4904)*(100*G4904)+I4904))))))</f>
        <v/>
      </c>
      <c r="O4904" s="75" t="n"/>
      <c r="P4904" s="75" t="n"/>
      <c r="Q4904" s="75">
        <f>IF(ISBLANK(P4904),"",IF(D4904="Stock",P4904*G4904,IF(P4904=0,"0",G4904*P4904*100-(G4904*$AF$14))))</f>
        <v/>
      </c>
      <c r="R4904" s="79">
        <f>IF(P4904&lt;&gt;"", TODAY(), "")</f>
        <v/>
      </c>
      <c r="S4904" s="78">
        <f>IF(AND(K4904&lt;&gt;"", R4904&lt;&gt;""), R4904-K4904, "")</f>
        <v/>
      </c>
      <c r="T4904" s="78" t="n"/>
      <c r="U4904" s="92">
        <f>IF(ISBLANK(P4904),"",IF(C4904="Buy",Q4904-M4904+T4904, IF(C4904="Sell",M4904-Q4904-T4904, X)))</f>
        <v/>
      </c>
      <c r="V4904" s="81">
        <f>IF(ISBLANK(P4904),"",U4904/N4904)</f>
        <v/>
      </c>
      <c r="W4904" s="81">
        <f>IF(ISBLANK(P4904),"",IF(S4904=0,(365/0.5)*V4904,(365/S4904)*V4904))</f>
        <v/>
      </c>
      <c r="X4904" s="75" t="n"/>
      <c r="Y4904" s="77" t="n"/>
      <c r="Z4904" s="77" t="n"/>
      <c r="AA4904" s="75" t="n"/>
      <c r="AB4904" s="75" t="n"/>
      <c r="AC4904" s="6" t="n"/>
      <c r="AD4904" s="75" t="n"/>
      <c r="AE4904" s="75" t="n"/>
      <c r="AF4904" s="75" t="n"/>
    </row>
    <row r="4905" ht="15.75" customHeight="1" s="133">
      <c r="A4905" s="75" t="n"/>
      <c r="B4905" s="75" t="n"/>
      <c r="C4905" s="75" t="n"/>
      <c r="D4905" s="75" t="n"/>
      <c r="E4905" s="76" t="n"/>
      <c r="F4905" s="77" t="n"/>
      <c r="G4905" s="75" t="n"/>
      <c r="H4905" s="75">
        <f>IF(ISBLANK(E4905),"",IF(OR(D4905="Butterfly",D4905="Butterfly ",D4905="Iron Fly", D4905="Iron Fly "),LEN(E4905)-LEN(SUBSTITUTE(E4905,"/",""))+2,LEN(E4905)-LEN(SUBSTITUTE(E4905,"/",""))+1))</f>
        <v/>
      </c>
      <c r="I4905" s="78">
        <f>IF(ISBLANK(G4905),"",IF(D4905="Stock","0",Key!$A$3*H4905*G4905))</f>
        <v/>
      </c>
      <c r="J4905" s="78">
        <f>IF(ISBLANK(E4905),"",IF(ISNUMBER(SEARCH("/",E4905)), IF(LEN(E4905)-LEN(SUBSTITUTE(E4905,"/",""))=1,(RIGHT(E4905,LEN(E4905)-FIND("/",E4905)))-(LEFT(E4905,FIND("/",E4905)-1)),(MID(E4905, SEARCH("/",E4905) + 1, SEARCH("/",E4905, SEARCH("/",E4905)+1) - SEARCH("/",E4905) - 1))-(LEFT(E4905,FIND("/",E4905)-1))), "NA"))</f>
        <v/>
      </c>
      <c r="K4905" s="79">
        <f>IF(A4905&lt;&gt;"", IF(ISBLANK(L4905), TODAY(), K4905), "")</f>
        <v/>
      </c>
      <c r="L4905" s="78" t="n"/>
      <c r="M4905" s="78">
        <f>IF(ISBLANK(L4905),"",IF(D4905="Stock",IF(C4905="Buy",L4905*G4905,IF(C4905="Sell",(L4905*G4905)-I4905, X)),IF(C4905="Buy",(L4905*G4905*100)+I4905,IF(C4905="Sell",(L4905*G4905*100)-I4905, X))))</f>
        <v/>
      </c>
      <c r="N4905" s="78">
        <f>IF(ISBLANK(L4905),"",IF(AND(C4905="Sell",D4905="Stock"),M4905,IF(ISBLANK(L4905),"",IF(C4905="Buy",M4905, IF(AND(C4905="Sell",J4905="NA"),(E4905*G4905*100*0.1)+I4905, IF(C4905="Sell",(J4905-L4905)*(100*G4905)+I4905))))))</f>
        <v/>
      </c>
      <c r="O4905" s="75" t="n"/>
      <c r="P4905" s="75" t="n"/>
      <c r="Q4905" s="75">
        <f>IF(ISBLANK(P4905),"",IF(D4905="Stock",P4905*G4905,IF(P4905=0,"0",G4905*P4905*100-(G4905*$AF$14))))</f>
        <v/>
      </c>
      <c r="R4905" s="79">
        <f>IF(P4905&lt;&gt;"", TODAY(), "")</f>
        <v/>
      </c>
      <c r="S4905" s="78">
        <f>IF(AND(K4905&lt;&gt;"", R4905&lt;&gt;""), R4905-K4905, "")</f>
        <v/>
      </c>
      <c r="T4905" s="78" t="n"/>
      <c r="U4905" s="92">
        <f>IF(ISBLANK(P4905),"",IF(C4905="Buy",Q4905-M4905+T4905, IF(C4905="Sell",M4905-Q4905-T4905, X)))</f>
        <v/>
      </c>
      <c r="V4905" s="81">
        <f>IF(ISBLANK(P4905),"",U4905/N4905)</f>
        <v/>
      </c>
      <c r="W4905" s="81">
        <f>IF(ISBLANK(P4905),"",IF(S4905=0,(365/0.5)*V4905,(365/S4905)*V4905))</f>
        <v/>
      </c>
      <c r="X4905" s="75" t="n"/>
      <c r="Y4905" s="77" t="n"/>
      <c r="Z4905" s="77" t="n"/>
      <c r="AA4905" s="75" t="n"/>
      <c r="AB4905" s="75" t="n"/>
      <c r="AC4905" s="6" t="n"/>
      <c r="AD4905" s="75" t="n"/>
      <c r="AE4905" s="75" t="n"/>
      <c r="AF4905" s="75" t="n"/>
    </row>
    <row r="4906" ht="15.75" customHeight="1" s="133">
      <c r="A4906" s="75" t="n"/>
      <c r="B4906" s="75" t="n"/>
      <c r="C4906" s="75" t="n"/>
      <c r="D4906" s="75" t="n"/>
      <c r="E4906" s="76" t="n"/>
      <c r="F4906" s="77" t="n"/>
      <c r="G4906" s="75" t="n"/>
      <c r="H4906" s="75">
        <f>IF(ISBLANK(E4906),"",IF(OR(D4906="Butterfly",D4906="Butterfly ",D4906="Iron Fly", D4906="Iron Fly "),LEN(E4906)-LEN(SUBSTITUTE(E4906,"/",""))+2,LEN(E4906)-LEN(SUBSTITUTE(E4906,"/",""))+1))</f>
        <v/>
      </c>
      <c r="I4906" s="78">
        <f>IF(ISBLANK(G4906),"",IF(D4906="Stock","0",Key!$A$3*H4906*G4906))</f>
        <v/>
      </c>
      <c r="J4906" s="78">
        <f>IF(ISBLANK(E4906),"",IF(ISNUMBER(SEARCH("/",E4906)), IF(LEN(E4906)-LEN(SUBSTITUTE(E4906,"/",""))=1,(RIGHT(E4906,LEN(E4906)-FIND("/",E4906)))-(LEFT(E4906,FIND("/",E4906)-1)),(MID(E4906, SEARCH("/",E4906) + 1, SEARCH("/",E4906, SEARCH("/",E4906)+1) - SEARCH("/",E4906) - 1))-(LEFT(E4906,FIND("/",E4906)-1))), "NA"))</f>
        <v/>
      </c>
      <c r="K4906" s="79">
        <f>IF(A4906&lt;&gt;"", IF(ISBLANK(L4906), TODAY(), K4906), "")</f>
        <v/>
      </c>
      <c r="L4906" s="78" t="n"/>
      <c r="M4906" s="78">
        <f>IF(ISBLANK(L4906),"",IF(D4906="Stock",IF(C4906="Buy",L4906*G4906,IF(C4906="Sell",(L4906*G4906)-I4906, X)),IF(C4906="Buy",(L4906*G4906*100)+I4906,IF(C4906="Sell",(L4906*G4906*100)-I4906, X))))</f>
        <v/>
      </c>
      <c r="N4906" s="78">
        <f>IF(ISBLANK(L4906),"",IF(AND(C4906="Sell",D4906="Stock"),M4906,IF(ISBLANK(L4906),"",IF(C4906="Buy",M4906, IF(AND(C4906="Sell",J4906="NA"),(E4906*G4906*100*0.1)+I4906, IF(C4906="Sell",(J4906-L4906)*(100*G4906)+I4906))))))</f>
        <v/>
      </c>
      <c r="O4906" s="75" t="n"/>
      <c r="P4906" s="75" t="n"/>
      <c r="Q4906" s="75">
        <f>IF(ISBLANK(P4906),"",IF(D4906="Stock",P4906*G4906,IF(P4906=0,"0",G4906*P4906*100-(G4906*$AF$14))))</f>
        <v/>
      </c>
      <c r="R4906" s="79">
        <f>IF(P4906&lt;&gt;"", TODAY(), "")</f>
        <v/>
      </c>
      <c r="S4906" s="78">
        <f>IF(AND(K4906&lt;&gt;"", R4906&lt;&gt;""), R4906-K4906, "")</f>
        <v/>
      </c>
      <c r="T4906" s="78" t="n"/>
      <c r="U4906" s="92">
        <f>IF(ISBLANK(P4906),"",IF(C4906="Buy",Q4906-M4906+T4906, IF(C4906="Sell",M4906-Q4906-T4906, X)))</f>
        <v/>
      </c>
      <c r="V4906" s="81">
        <f>IF(ISBLANK(P4906),"",U4906/N4906)</f>
        <v/>
      </c>
      <c r="W4906" s="81">
        <f>IF(ISBLANK(P4906),"",IF(S4906=0,(365/0.5)*V4906,(365/S4906)*V4906))</f>
        <v/>
      </c>
      <c r="X4906" s="75" t="n"/>
      <c r="Y4906" s="77" t="n"/>
      <c r="Z4906" s="77" t="n"/>
      <c r="AA4906" s="75" t="n"/>
      <c r="AB4906" s="75" t="n"/>
      <c r="AC4906" s="6" t="n"/>
      <c r="AD4906" s="75" t="n"/>
      <c r="AE4906" s="75" t="n"/>
      <c r="AF4906" s="75" t="n"/>
    </row>
    <row r="4907" ht="15.75" customHeight="1" s="133">
      <c r="A4907" s="75" t="n"/>
      <c r="B4907" s="75" t="n"/>
      <c r="C4907" s="75" t="n"/>
      <c r="D4907" s="75" t="n"/>
      <c r="E4907" s="76" t="n"/>
      <c r="F4907" s="77" t="n"/>
      <c r="G4907" s="75" t="n"/>
      <c r="H4907" s="75">
        <f>IF(ISBLANK(E4907),"",IF(OR(D4907="Butterfly",D4907="Butterfly ",D4907="Iron Fly", D4907="Iron Fly "),LEN(E4907)-LEN(SUBSTITUTE(E4907,"/",""))+2,LEN(E4907)-LEN(SUBSTITUTE(E4907,"/",""))+1))</f>
        <v/>
      </c>
      <c r="I4907" s="78">
        <f>IF(ISBLANK(G4907),"",IF(D4907="Stock","0",Key!$A$3*H4907*G4907))</f>
        <v/>
      </c>
      <c r="J4907" s="78">
        <f>IF(ISBLANK(E4907),"",IF(ISNUMBER(SEARCH("/",E4907)), IF(LEN(E4907)-LEN(SUBSTITUTE(E4907,"/",""))=1,(RIGHT(E4907,LEN(E4907)-FIND("/",E4907)))-(LEFT(E4907,FIND("/",E4907)-1)),(MID(E4907, SEARCH("/",E4907) + 1, SEARCH("/",E4907, SEARCH("/",E4907)+1) - SEARCH("/",E4907) - 1))-(LEFT(E4907,FIND("/",E4907)-1))), "NA"))</f>
        <v/>
      </c>
      <c r="K4907" s="79">
        <f>IF(A4907&lt;&gt;"", IF(ISBLANK(L4907), TODAY(), K4907), "")</f>
        <v/>
      </c>
      <c r="L4907" s="78" t="n"/>
      <c r="M4907" s="78">
        <f>IF(ISBLANK(L4907),"",IF(D4907="Stock",IF(C4907="Buy",L4907*G4907,IF(C4907="Sell",(L4907*G4907)-I4907, X)),IF(C4907="Buy",(L4907*G4907*100)+I4907,IF(C4907="Sell",(L4907*G4907*100)-I4907, X))))</f>
        <v/>
      </c>
      <c r="N4907" s="78">
        <f>IF(ISBLANK(L4907),"",IF(AND(C4907="Sell",D4907="Stock"),M4907,IF(ISBLANK(L4907),"",IF(C4907="Buy",M4907, IF(AND(C4907="Sell",J4907="NA"),(E4907*G4907*100*0.1)+I4907, IF(C4907="Sell",(J4907-L4907)*(100*G4907)+I4907))))))</f>
        <v/>
      </c>
      <c r="O4907" s="75" t="n"/>
      <c r="P4907" s="75" t="n"/>
      <c r="Q4907" s="75">
        <f>IF(ISBLANK(P4907),"",IF(D4907="Stock",P4907*G4907,IF(P4907=0,"0",G4907*P4907*100-(G4907*$AF$14))))</f>
        <v/>
      </c>
      <c r="R4907" s="79">
        <f>IF(P4907&lt;&gt;"", TODAY(), "")</f>
        <v/>
      </c>
      <c r="S4907" s="78">
        <f>IF(AND(K4907&lt;&gt;"", R4907&lt;&gt;""), R4907-K4907, "")</f>
        <v/>
      </c>
      <c r="T4907" s="78" t="n"/>
      <c r="U4907" s="92">
        <f>IF(ISBLANK(P4907),"",IF(C4907="Buy",Q4907-M4907+T4907, IF(C4907="Sell",M4907-Q4907-T4907, X)))</f>
        <v/>
      </c>
      <c r="V4907" s="81">
        <f>IF(ISBLANK(P4907),"",U4907/N4907)</f>
        <v/>
      </c>
      <c r="W4907" s="81">
        <f>IF(ISBLANK(P4907),"",IF(S4907=0,(365/0.5)*V4907,(365/S4907)*V4907))</f>
        <v/>
      </c>
      <c r="X4907" s="75" t="n"/>
      <c r="Y4907" s="77" t="n"/>
      <c r="Z4907" s="77" t="n"/>
      <c r="AA4907" s="75" t="n"/>
      <c r="AB4907" s="75" t="n"/>
      <c r="AC4907" s="6" t="n"/>
      <c r="AD4907" s="75" t="n"/>
      <c r="AE4907" s="75" t="n"/>
      <c r="AF4907" s="75" t="n"/>
    </row>
    <row r="4908" ht="15.75" customHeight="1" s="133">
      <c r="A4908" s="75" t="n"/>
      <c r="B4908" s="75" t="n"/>
      <c r="C4908" s="75" t="n"/>
      <c r="D4908" s="75" t="n"/>
      <c r="E4908" s="76" t="n"/>
      <c r="F4908" s="77" t="n"/>
      <c r="G4908" s="75" t="n"/>
      <c r="H4908" s="75">
        <f>IF(ISBLANK(E4908),"",IF(OR(D4908="Butterfly",D4908="Butterfly ",D4908="Iron Fly", D4908="Iron Fly "),LEN(E4908)-LEN(SUBSTITUTE(E4908,"/",""))+2,LEN(E4908)-LEN(SUBSTITUTE(E4908,"/",""))+1))</f>
        <v/>
      </c>
      <c r="I4908" s="78">
        <f>IF(ISBLANK(G4908),"",IF(D4908="Stock","0",Key!$A$3*H4908*G4908))</f>
        <v/>
      </c>
      <c r="J4908" s="78">
        <f>IF(ISBLANK(E4908),"",IF(ISNUMBER(SEARCH("/",E4908)), IF(LEN(E4908)-LEN(SUBSTITUTE(E4908,"/",""))=1,(RIGHT(E4908,LEN(E4908)-FIND("/",E4908)))-(LEFT(E4908,FIND("/",E4908)-1)),(MID(E4908, SEARCH("/",E4908) + 1, SEARCH("/",E4908, SEARCH("/",E4908)+1) - SEARCH("/",E4908) - 1))-(LEFT(E4908,FIND("/",E4908)-1))), "NA"))</f>
        <v/>
      </c>
      <c r="K4908" s="79">
        <f>IF(A4908&lt;&gt;"", IF(ISBLANK(L4908), TODAY(), K4908), "")</f>
        <v/>
      </c>
      <c r="L4908" s="78" t="n"/>
      <c r="M4908" s="78">
        <f>IF(ISBLANK(L4908),"",IF(D4908="Stock",IF(C4908="Buy",L4908*G4908,IF(C4908="Sell",(L4908*G4908)-I4908, X)),IF(C4908="Buy",(L4908*G4908*100)+I4908,IF(C4908="Sell",(L4908*G4908*100)-I4908, X))))</f>
        <v/>
      </c>
      <c r="N4908" s="78">
        <f>IF(ISBLANK(L4908),"",IF(AND(C4908="Sell",D4908="Stock"),M4908,IF(ISBLANK(L4908),"",IF(C4908="Buy",M4908, IF(AND(C4908="Sell",J4908="NA"),(E4908*G4908*100*0.1)+I4908, IF(C4908="Sell",(J4908-L4908)*(100*G4908)+I4908))))))</f>
        <v/>
      </c>
      <c r="O4908" s="75" t="n"/>
      <c r="P4908" s="75" t="n"/>
      <c r="Q4908" s="75">
        <f>IF(ISBLANK(P4908),"",IF(D4908="Stock",P4908*G4908,IF(P4908=0,"0",G4908*P4908*100-(G4908*$AF$14))))</f>
        <v/>
      </c>
      <c r="R4908" s="79">
        <f>IF(P4908&lt;&gt;"", TODAY(), "")</f>
        <v/>
      </c>
      <c r="S4908" s="78">
        <f>IF(AND(K4908&lt;&gt;"", R4908&lt;&gt;""), R4908-K4908, "")</f>
        <v/>
      </c>
      <c r="T4908" s="78" t="n"/>
      <c r="U4908" s="92">
        <f>IF(ISBLANK(P4908),"",IF(C4908="Buy",Q4908-M4908+T4908, IF(C4908="Sell",M4908-Q4908-T4908, X)))</f>
        <v/>
      </c>
      <c r="V4908" s="81">
        <f>IF(ISBLANK(P4908),"",U4908/N4908)</f>
        <v/>
      </c>
      <c r="W4908" s="81">
        <f>IF(ISBLANK(P4908),"",IF(S4908=0,(365/0.5)*V4908,(365/S4908)*V4908))</f>
        <v/>
      </c>
      <c r="X4908" s="75" t="n"/>
      <c r="Y4908" s="77" t="n"/>
      <c r="Z4908" s="77" t="n"/>
      <c r="AA4908" s="75" t="n"/>
      <c r="AB4908" s="75" t="n"/>
      <c r="AC4908" s="6" t="n"/>
      <c r="AD4908" s="75" t="n"/>
      <c r="AE4908" s="75" t="n"/>
      <c r="AF4908" s="75" t="n"/>
    </row>
    <row r="4909" ht="15.75" customHeight="1" s="133">
      <c r="A4909" s="75" t="n"/>
      <c r="B4909" s="75" t="n"/>
      <c r="C4909" s="75" t="n"/>
      <c r="D4909" s="75" t="n"/>
      <c r="E4909" s="76" t="n"/>
      <c r="F4909" s="77" t="n"/>
      <c r="G4909" s="75" t="n"/>
      <c r="H4909" s="75">
        <f>IF(ISBLANK(E4909),"",IF(OR(D4909="Butterfly",D4909="Butterfly ",D4909="Iron Fly", D4909="Iron Fly "),LEN(E4909)-LEN(SUBSTITUTE(E4909,"/",""))+2,LEN(E4909)-LEN(SUBSTITUTE(E4909,"/",""))+1))</f>
        <v/>
      </c>
      <c r="I4909" s="78">
        <f>IF(ISBLANK(G4909),"",IF(D4909="Stock","0",Key!$A$3*H4909*G4909))</f>
        <v/>
      </c>
      <c r="J4909" s="78">
        <f>IF(ISBLANK(E4909),"",IF(ISNUMBER(SEARCH("/",E4909)), IF(LEN(E4909)-LEN(SUBSTITUTE(E4909,"/",""))=1,(RIGHT(E4909,LEN(E4909)-FIND("/",E4909)))-(LEFT(E4909,FIND("/",E4909)-1)),(MID(E4909, SEARCH("/",E4909) + 1, SEARCH("/",E4909, SEARCH("/",E4909)+1) - SEARCH("/",E4909) - 1))-(LEFT(E4909,FIND("/",E4909)-1))), "NA"))</f>
        <v/>
      </c>
      <c r="K4909" s="79">
        <f>IF(A4909&lt;&gt;"", IF(ISBLANK(L4909), TODAY(), K4909), "")</f>
        <v/>
      </c>
      <c r="L4909" s="78" t="n"/>
      <c r="M4909" s="78">
        <f>IF(ISBLANK(L4909),"",IF(D4909="Stock",IF(C4909="Buy",L4909*G4909,IF(C4909="Sell",(L4909*G4909)-I4909, X)),IF(C4909="Buy",(L4909*G4909*100)+I4909,IF(C4909="Sell",(L4909*G4909*100)-I4909, X))))</f>
        <v/>
      </c>
      <c r="N4909" s="78">
        <f>IF(ISBLANK(L4909),"",IF(AND(C4909="Sell",D4909="Stock"),M4909,IF(ISBLANK(L4909),"",IF(C4909="Buy",M4909, IF(AND(C4909="Sell",J4909="NA"),(E4909*G4909*100*0.1)+I4909, IF(C4909="Sell",(J4909-L4909)*(100*G4909)+I4909))))))</f>
        <v/>
      </c>
      <c r="O4909" s="75" t="n"/>
      <c r="P4909" s="75" t="n"/>
      <c r="Q4909" s="75">
        <f>IF(ISBLANK(P4909),"",IF(D4909="Stock",P4909*G4909,IF(P4909=0,"0",G4909*P4909*100-(G4909*$AF$14))))</f>
        <v/>
      </c>
      <c r="R4909" s="79">
        <f>IF(P4909&lt;&gt;"", TODAY(), "")</f>
        <v/>
      </c>
      <c r="S4909" s="78">
        <f>IF(AND(K4909&lt;&gt;"", R4909&lt;&gt;""), R4909-K4909, "")</f>
        <v/>
      </c>
      <c r="T4909" s="78" t="n"/>
      <c r="U4909" s="92">
        <f>IF(ISBLANK(P4909),"",IF(C4909="Buy",Q4909-M4909+T4909, IF(C4909="Sell",M4909-Q4909-T4909, X)))</f>
        <v/>
      </c>
      <c r="V4909" s="81">
        <f>IF(ISBLANK(P4909),"",U4909/N4909)</f>
        <v/>
      </c>
      <c r="W4909" s="81">
        <f>IF(ISBLANK(P4909),"",IF(S4909=0,(365/0.5)*V4909,(365/S4909)*V4909))</f>
        <v/>
      </c>
      <c r="X4909" s="75" t="n"/>
      <c r="Y4909" s="77" t="n"/>
      <c r="Z4909" s="77" t="n"/>
      <c r="AA4909" s="75" t="n"/>
      <c r="AB4909" s="75" t="n"/>
      <c r="AC4909" s="6" t="n"/>
      <c r="AD4909" s="75" t="n"/>
      <c r="AE4909" s="75" t="n"/>
      <c r="AF4909" s="75" t="n"/>
    </row>
    <row r="4910" ht="15.75" customHeight="1" s="133">
      <c r="A4910" s="75" t="n"/>
      <c r="B4910" s="75" t="n"/>
      <c r="C4910" s="75" t="n"/>
      <c r="D4910" s="75" t="n"/>
      <c r="E4910" s="76" t="n"/>
      <c r="F4910" s="77" t="n"/>
      <c r="G4910" s="75" t="n"/>
      <c r="H4910" s="75">
        <f>IF(ISBLANK(E4910),"",IF(OR(D4910="Butterfly",D4910="Butterfly ",D4910="Iron Fly", D4910="Iron Fly "),LEN(E4910)-LEN(SUBSTITUTE(E4910,"/",""))+2,LEN(E4910)-LEN(SUBSTITUTE(E4910,"/",""))+1))</f>
        <v/>
      </c>
      <c r="I4910" s="78">
        <f>IF(ISBLANK(G4910),"",IF(D4910="Stock","0",Key!$A$3*H4910*G4910))</f>
        <v/>
      </c>
      <c r="J4910" s="78">
        <f>IF(ISBLANK(E4910),"",IF(ISNUMBER(SEARCH("/",E4910)), IF(LEN(E4910)-LEN(SUBSTITUTE(E4910,"/",""))=1,(RIGHT(E4910,LEN(E4910)-FIND("/",E4910)))-(LEFT(E4910,FIND("/",E4910)-1)),(MID(E4910, SEARCH("/",E4910) + 1, SEARCH("/",E4910, SEARCH("/",E4910)+1) - SEARCH("/",E4910) - 1))-(LEFT(E4910,FIND("/",E4910)-1))), "NA"))</f>
        <v/>
      </c>
      <c r="K4910" s="79">
        <f>IF(A4910&lt;&gt;"", IF(ISBLANK(L4910), TODAY(), K4910), "")</f>
        <v/>
      </c>
      <c r="L4910" s="78" t="n"/>
      <c r="M4910" s="78">
        <f>IF(ISBLANK(L4910),"",IF(D4910="Stock",IF(C4910="Buy",L4910*G4910,IF(C4910="Sell",(L4910*G4910)-I4910, X)),IF(C4910="Buy",(L4910*G4910*100)+I4910,IF(C4910="Sell",(L4910*G4910*100)-I4910, X))))</f>
        <v/>
      </c>
      <c r="N4910" s="78">
        <f>IF(ISBLANK(L4910),"",IF(AND(C4910="Sell",D4910="Stock"),M4910,IF(ISBLANK(L4910),"",IF(C4910="Buy",M4910, IF(AND(C4910="Sell",J4910="NA"),(E4910*G4910*100*0.1)+I4910, IF(C4910="Sell",(J4910-L4910)*(100*G4910)+I4910))))))</f>
        <v/>
      </c>
      <c r="O4910" s="75" t="n"/>
      <c r="P4910" s="75" t="n"/>
      <c r="Q4910" s="75">
        <f>IF(ISBLANK(P4910),"",IF(D4910="Stock",P4910*G4910,IF(P4910=0,"0",G4910*P4910*100-(G4910*$AF$14))))</f>
        <v/>
      </c>
      <c r="R4910" s="79">
        <f>IF(P4910&lt;&gt;"", TODAY(), "")</f>
        <v/>
      </c>
      <c r="S4910" s="78">
        <f>IF(AND(K4910&lt;&gt;"", R4910&lt;&gt;""), R4910-K4910, "")</f>
        <v/>
      </c>
      <c r="T4910" s="78" t="n"/>
      <c r="U4910" s="92">
        <f>IF(ISBLANK(P4910),"",IF(C4910="Buy",Q4910-M4910+T4910, IF(C4910="Sell",M4910-Q4910-T4910, X)))</f>
        <v/>
      </c>
      <c r="V4910" s="81">
        <f>IF(ISBLANK(P4910),"",U4910/N4910)</f>
        <v/>
      </c>
      <c r="W4910" s="81">
        <f>IF(ISBLANK(P4910),"",IF(S4910=0,(365/0.5)*V4910,(365/S4910)*V4910))</f>
        <v/>
      </c>
      <c r="X4910" s="75" t="n"/>
      <c r="Y4910" s="77" t="n"/>
      <c r="Z4910" s="77" t="n"/>
      <c r="AA4910" s="75" t="n"/>
      <c r="AB4910" s="75" t="n"/>
      <c r="AC4910" s="6" t="n"/>
      <c r="AD4910" s="75" t="n"/>
      <c r="AE4910" s="75" t="n"/>
      <c r="AF4910" s="75" t="n"/>
    </row>
    <row r="4911" ht="15.75" customHeight="1" s="133">
      <c r="A4911" s="75" t="n"/>
      <c r="B4911" s="75" t="n"/>
      <c r="C4911" s="75" t="n"/>
      <c r="D4911" s="75" t="n"/>
      <c r="E4911" s="76" t="n"/>
      <c r="F4911" s="77" t="n"/>
      <c r="G4911" s="75" t="n"/>
      <c r="H4911" s="75">
        <f>IF(ISBLANK(E4911),"",IF(OR(D4911="Butterfly",D4911="Butterfly ",D4911="Iron Fly", D4911="Iron Fly "),LEN(E4911)-LEN(SUBSTITUTE(E4911,"/",""))+2,LEN(E4911)-LEN(SUBSTITUTE(E4911,"/",""))+1))</f>
        <v/>
      </c>
      <c r="I4911" s="78">
        <f>IF(ISBLANK(G4911),"",IF(D4911="Stock","0",Key!$A$3*H4911*G4911))</f>
        <v/>
      </c>
      <c r="J4911" s="78">
        <f>IF(ISBLANK(E4911),"",IF(ISNUMBER(SEARCH("/",E4911)), IF(LEN(E4911)-LEN(SUBSTITUTE(E4911,"/",""))=1,(RIGHT(E4911,LEN(E4911)-FIND("/",E4911)))-(LEFT(E4911,FIND("/",E4911)-1)),(MID(E4911, SEARCH("/",E4911) + 1, SEARCH("/",E4911, SEARCH("/",E4911)+1) - SEARCH("/",E4911) - 1))-(LEFT(E4911,FIND("/",E4911)-1))), "NA"))</f>
        <v/>
      </c>
      <c r="K4911" s="79">
        <f>IF(A4911&lt;&gt;"", IF(ISBLANK(L4911), TODAY(), K4911), "")</f>
        <v/>
      </c>
      <c r="L4911" s="78" t="n"/>
      <c r="M4911" s="78">
        <f>IF(ISBLANK(L4911),"",IF(D4911="Stock",IF(C4911="Buy",L4911*G4911,IF(C4911="Sell",(L4911*G4911)-I4911, X)),IF(C4911="Buy",(L4911*G4911*100)+I4911,IF(C4911="Sell",(L4911*G4911*100)-I4911, X))))</f>
        <v/>
      </c>
      <c r="N4911" s="78">
        <f>IF(ISBLANK(L4911),"",IF(AND(C4911="Sell",D4911="Stock"),M4911,IF(ISBLANK(L4911),"",IF(C4911="Buy",M4911, IF(AND(C4911="Sell",J4911="NA"),(E4911*G4911*100*0.1)+I4911, IF(C4911="Sell",(J4911-L4911)*(100*G4911)+I4911))))))</f>
        <v/>
      </c>
      <c r="O4911" s="75" t="n"/>
      <c r="P4911" s="75" t="n"/>
      <c r="Q4911" s="75">
        <f>IF(ISBLANK(P4911),"",IF(D4911="Stock",P4911*G4911,IF(P4911=0,"0",G4911*P4911*100-(G4911*$AF$14))))</f>
        <v/>
      </c>
      <c r="R4911" s="79">
        <f>IF(P4911&lt;&gt;"", TODAY(), "")</f>
        <v/>
      </c>
      <c r="S4911" s="78">
        <f>IF(AND(K4911&lt;&gt;"", R4911&lt;&gt;""), R4911-K4911, "")</f>
        <v/>
      </c>
      <c r="T4911" s="78" t="n"/>
      <c r="U4911" s="92">
        <f>IF(ISBLANK(P4911),"",IF(C4911="Buy",Q4911-M4911+T4911, IF(C4911="Sell",M4911-Q4911-T4911, X)))</f>
        <v/>
      </c>
      <c r="V4911" s="81">
        <f>IF(ISBLANK(P4911),"",U4911/N4911)</f>
        <v/>
      </c>
      <c r="W4911" s="81">
        <f>IF(ISBLANK(P4911),"",IF(S4911=0,(365/0.5)*V4911,(365/S4911)*V4911))</f>
        <v/>
      </c>
      <c r="X4911" s="75" t="n"/>
      <c r="Y4911" s="77" t="n"/>
      <c r="Z4911" s="77" t="n"/>
      <c r="AA4911" s="75" t="n"/>
      <c r="AB4911" s="75" t="n"/>
      <c r="AC4911" s="6" t="n"/>
      <c r="AD4911" s="75" t="n"/>
      <c r="AE4911" s="75" t="n"/>
      <c r="AF4911" s="75" t="n"/>
    </row>
    <row r="4912" ht="15.75" customHeight="1" s="133">
      <c r="A4912" s="75" t="n"/>
      <c r="B4912" s="75" t="n"/>
      <c r="C4912" s="75" t="n"/>
      <c r="D4912" s="75" t="n"/>
      <c r="E4912" s="76" t="n"/>
      <c r="F4912" s="77" t="n"/>
      <c r="G4912" s="75" t="n"/>
      <c r="H4912" s="75">
        <f>IF(ISBLANK(E4912),"",IF(OR(D4912="Butterfly",D4912="Butterfly ",D4912="Iron Fly", D4912="Iron Fly "),LEN(E4912)-LEN(SUBSTITUTE(E4912,"/",""))+2,LEN(E4912)-LEN(SUBSTITUTE(E4912,"/",""))+1))</f>
        <v/>
      </c>
      <c r="I4912" s="78">
        <f>IF(ISBLANK(G4912),"",IF(D4912="Stock","0",Key!$A$3*H4912*G4912))</f>
        <v/>
      </c>
      <c r="J4912" s="78">
        <f>IF(ISBLANK(E4912),"",IF(ISNUMBER(SEARCH("/",E4912)), IF(LEN(E4912)-LEN(SUBSTITUTE(E4912,"/",""))=1,(RIGHT(E4912,LEN(E4912)-FIND("/",E4912)))-(LEFT(E4912,FIND("/",E4912)-1)),(MID(E4912, SEARCH("/",E4912) + 1, SEARCH("/",E4912, SEARCH("/",E4912)+1) - SEARCH("/",E4912) - 1))-(LEFT(E4912,FIND("/",E4912)-1))), "NA"))</f>
        <v/>
      </c>
      <c r="K4912" s="79">
        <f>IF(A4912&lt;&gt;"", IF(ISBLANK(L4912), TODAY(), K4912), "")</f>
        <v/>
      </c>
      <c r="L4912" s="78" t="n"/>
      <c r="M4912" s="78">
        <f>IF(ISBLANK(L4912),"",IF(D4912="Stock",IF(C4912="Buy",L4912*G4912,IF(C4912="Sell",(L4912*G4912)-I4912, X)),IF(C4912="Buy",(L4912*G4912*100)+I4912,IF(C4912="Sell",(L4912*G4912*100)-I4912, X))))</f>
        <v/>
      </c>
      <c r="N4912" s="78">
        <f>IF(ISBLANK(L4912),"",IF(AND(C4912="Sell",D4912="Stock"),M4912,IF(ISBLANK(L4912),"",IF(C4912="Buy",M4912, IF(AND(C4912="Sell",J4912="NA"),(E4912*G4912*100*0.1)+I4912, IF(C4912="Sell",(J4912-L4912)*(100*G4912)+I4912))))))</f>
        <v/>
      </c>
      <c r="O4912" s="75" t="n"/>
      <c r="P4912" s="75" t="n"/>
      <c r="Q4912" s="75">
        <f>IF(ISBLANK(P4912),"",IF(D4912="Stock",P4912*G4912,IF(P4912=0,"0",G4912*P4912*100-(G4912*$AF$14))))</f>
        <v/>
      </c>
      <c r="R4912" s="79">
        <f>IF(P4912&lt;&gt;"", TODAY(), "")</f>
        <v/>
      </c>
      <c r="S4912" s="78">
        <f>IF(AND(K4912&lt;&gt;"", R4912&lt;&gt;""), R4912-K4912, "")</f>
        <v/>
      </c>
      <c r="T4912" s="78" t="n"/>
      <c r="U4912" s="92">
        <f>IF(ISBLANK(P4912),"",IF(C4912="Buy",Q4912-M4912+T4912, IF(C4912="Sell",M4912-Q4912-T4912, X)))</f>
        <v/>
      </c>
      <c r="V4912" s="81">
        <f>IF(ISBLANK(P4912),"",U4912/N4912)</f>
        <v/>
      </c>
      <c r="W4912" s="81">
        <f>IF(ISBLANK(P4912),"",IF(S4912=0,(365/0.5)*V4912,(365/S4912)*V4912))</f>
        <v/>
      </c>
      <c r="X4912" s="75" t="n"/>
      <c r="Y4912" s="77" t="n"/>
      <c r="Z4912" s="77" t="n"/>
      <c r="AA4912" s="75" t="n"/>
      <c r="AB4912" s="75" t="n"/>
      <c r="AC4912" s="6" t="n"/>
      <c r="AD4912" s="75" t="n"/>
      <c r="AE4912" s="75" t="n"/>
      <c r="AF4912" s="75" t="n"/>
    </row>
    <row r="4913" ht="15.75" customHeight="1" s="133">
      <c r="A4913" s="75" t="n"/>
      <c r="B4913" s="75" t="n"/>
      <c r="C4913" s="75" t="n"/>
      <c r="D4913" s="75" t="n"/>
      <c r="E4913" s="76" t="n"/>
      <c r="F4913" s="77" t="n"/>
      <c r="G4913" s="75" t="n"/>
      <c r="H4913" s="75">
        <f>IF(ISBLANK(E4913),"",IF(OR(D4913="Butterfly",D4913="Butterfly ",D4913="Iron Fly", D4913="Iron Fly "),LEN(E4913)-LEN(SUBSTITUTE(E4913,"/",""))+2,LEN(E4913)-LEN(SUBSTITUTE(E4913,"/",""))+1))</f>
        <v/>
      </c>
      <c r="I4913" s="78">
        <f>IF(ISBLANK(G4913),"",IF(D4913="Stock","0",Key!$A$3*H4913*G4913))</f>
        <v/>
      </c>
      <c r="J4913" s="78">
        <f>IF(ISBLANK(E4913),"",IF(ISNUMBER(SEARCH("/",E4913)), IF(LEN(E4913)-LEN(SUBSTITUTE(E4913,"/",""))=1,(RIGHT(E4913,LEN(E4913)-FIND("/",E4913)))-(LEFT(E4913,FIND("/",E4913)-1)),(MID(E4913, SEARCH("/",E4913) + 1, SEARCH("/",E4913, SEARCH("/",E4913)+1) - SEARCH("/",E4913) - 1))-(LEFT(E4913,FIND("/",E4913)-1))), "NA"))</f>
        <v/>
      </c>
      <c r="K4913" s="79">
        <f>IF(A4913&lt;&gt;"", IF(ISBLANK(L4913), TODAY(), K4913), "")</f>
        <v/>
      </c>
      <c r="L4913" s="78" t="n"/>
      <c r="M4913" s="78">
        <f>IF(ISBLANK(L4913),"",IF(D4913="Stock",IF(C4913="Buy",L4913*G4913,IF(C4913="Sell",(L4913*G4913)-I4913, X)),IF(C4913="Buy",(L4913*G4913*100)+I4913,IF(C4913="Sell",(L4913*G4913*100)-I4913, X))))</f>
        <v/>
      </c>
      <c r="N4913" s="78">
        <f>IF(ISBLANK(L4913),"",IF(AND(C4913="Sell",D4913="Stock"),M4913,IF(ISBLANK(L4913),"",IF(C4913="Buy",M4913, IF(AND(C4913="Sell",J4913="NA"),(E4913*G4913*100*0.1)+I4913, IF(C4913="Sell",(J4913-L4913)*(100*G4913)+I4913))))))</f>
        <v/>
      </c>
      <c r="O4913" s="75" t="n"/>
      <c r="P4913" s="75" t="n"/>
      <c r="Q4913" s="75">
        <f>IF(ISBLANK(P4913),"",IF(D4913="Stock",P4913*G4913,IF(P4913=0,"0",G4913*P4913*100-(G4913*$AF$14))))</f>
        <v/>
      </c>
      <c r="R4913" s="79">
        <f>IF(P4913&lt;&gt;"", TODAY(), "")</f>
        <v/>
      </c>
      <c r="S4913" s="78">
        <f>IF(AND(K4913&lt;&gt;"", R4913&lt;&gt;""), R4913-K4913, "")</f>
        <v/>
      </c>
      <c r="T4913" s="78" t="n"/>
      <c r="U4913" s="92">
        <f>IF(ISBLANK(P4913),"",IF(C4913="Buy",Q4913-M4913+T4913, IF(C4913="Sell",M4913-Q4913-T4913, X)))</f>
        <v/>
      </c>
      <c r="V4913" s="81">
        <f>IF(ISBLANK(P4913),"",U4913/N4913)</f>
        <v/>
      </c>
      <c r="W4913" s="81">
        <f>IF(ISBLANK(P4913),"",IF(S4913=0,(365/0.5)*V4913,(365/S4913)*V4913))</f>
        <v/>
      </c>
      <c r="X4913" s="75" t="n"/>
      <c r="Y4913" s="77" t="n"/>
      <c r="Z4913" s="77" t="n"/>
      <c r="AA4913" s="75" t="n"/>
      <c r="AB4913" s="75" t="n"/>
      <c r="AC4913" s="6" t="n"/>
      <c r="AD4913" s="75" t="n"/>
      <c r="AE4913" s="75" t="n"/>
      <c r="AF4913" s="75" t="n"/>
    </row>
    <row r="4914" ht="15.75" customHeight="1" s="133">
      <c r="A4914" s="75" t="n"/>
      <c r="B4914" s="75" t="n"/>
      <c r="C4914" s="75" t="n"/>
      <c r="D4914" s="75" t="n"/>
      <c r="E4914" s="76" t="n"/>
      <c r="F4914" s="77" t="n"/>
      <c r="G4914" s="75" t="n"/>
      <c r="H4914" s="75">
        <f>IF(ISBLANK(E4914),"",IF(OR(D4914="Butterfly",D4914="Butterfly ",D4914="Iron Fly", D4914="Iron Fly "),LEN(E4914)-LEN(SUBSTITUTE(E4914,"/",""))+2,LEN(E4914)-LEN(SUBSTITUTE(E4914,"/",""))+1))</f>
        <v/>
      </c>
      <c r="I4914" s="78">
        <f>IF(ISBLANK(G4914),"",IF(D4914="Stock","0",Key!$A$3*H4914*G4914))</f>
        <v/>
      </c>
      <c r="J4914" s="78">
        <f>IF(ISBLANK(E4914),"",IF(ISNUMBER(SEARCH("/",E4914)), IF(LEN(E4914)-LEN(SUBSTITUTE(E4914,"/",""))=1,(RIGHT(E4914,LEN(E4914)-FIND("/",E4914)))-(LEFT(E4914,FIND("/",E4914)-1)),(MID(E4914, SEARCH("/",E4914) + 1, SEARCH("/",E4914, SEARCH("/",E4914)+1) - SEARCH("/",E4914) - 1))-(LEFT(E4914,FIND("/",E4914)-1))), "NA"))</f>
        <v/>
      </c>
      <c r="K4914" s="79">
        <f>IF(A4914&lt;&gt;"", IF(ISBLANK(L4914), TODAY(), K4914), "")</f>
        <v/>
      </c>
      <c r="L4914" s="78" t="n"/>
      <c r="M4914" s="78">
        <f>IF(ISBLANK(L4914),"",IF(D4914="Stock",IF(C4914="Buy",L4914*G4914,IF(C4914="Sell",(L4914*G4914)-I4914, X)),IF(C4914="Buy",(L4914*G4914*100)+I4914,IF(C4914="Sell",(L4914*G4914*100)-I4914, X))))</f>
        <v/>
      </c>
      <c r="N4914" s="78">
        <f>IF(ISBLANK(L4914),"",IF(AND(C4914="Sell",D4914="Stock"),M4914,IF(ISBLANK(L4914),"",IF(C4914="Buy",M4914, IF(AND(C4914="Sell",J4914="NA"),(E4914*G4914*100*0.1)+I4914, IF(C4914="Sell",(J4914-L4914)*(100*G4914)+I4914))))))</f>
        <v/>
      </c>
      <c r="O4914" s="75" t="n"/>
      <c r="P4914" s="75" t="n"/>
      <c r="Q4914" s="75">
        <f>IF(ISBLANK(P4914),"",IF(D4914="Stock",P4914*G4914,IF(P4914=0,"0",G4914*P4914*100-(G4914*$AF$14))))</f>
        <v/>
      </c>
      <c r="R4914" s="79">
        <f>IF(P4914&lt;&gt;"", TODAY(), "")</f>
        <v/>
      </c>
      <c r="S4914" s="78">
        <f>IF(AND(K4914&lt;&gt;"", R4914&lt;&gt;""), R4914-K4914, "")</f>
        <v/>
      </c>
      <c r="T4914" s="78" t="n"/>
      <c r="U4914" s="92">
        <f>IF(ISBLANK(P4914),"",IF(C4914="Buy",Q4914-M4914+T4914, IF(C4914="Sell",M4914-Q4914-T4914, X)))</f>
        <v/>
      </c>
      <c r="V4914" s="81">
        <f>IF(ISBLANK(P4914),"",U4914/N4914)</f>
        <v/>
      </c>
      <c r="W4914" s="81">
        <f>IF(ISBLANK(P4914),"",IF(S4914=0,(365/0.5)*V4914,(365/S4914)*V4914))</f>
        <v/>
      </c>
      <c r="X4914" s="75" t="n"/>
      <c r="Y4914" s="77" t="n"/>
      <c r="Z4914" s="77" t="n"/>
      <c r="AA4914" s="75" t="n"/>
      <c r="AB4914" s="75" t="n"/>
      <c r="AC4914" s="6" t="n"/>
      <c r="AD4914" s="75" t="n"/>
      <c r="AE4914" s="75" t="n"/>
      <c r="AF4914" s="75" t="n"/>
    </row>
    <row r="4915" ht="15.75" customHeight="1" s="133">
      <c r="A4915" s="75" t="n"/>
      <c r="B4915" s="75" t="n"/>
      <c r="C4915" s="75" t="n"/>
      <c r="D4915" s="75" t="n"/>
      <c r="E4915" s="76" t="n"/>
      <c r="F4915" s="77" t="n"/>
      <c r="G4915" s="75" t="n"/>
      <c r="H4915" s="75">
        <f>IF(ISBLANK(E4915),"",IF(OR(D4915="Butterfly",D4915="Butterfly ",D4915="Iron Fly", D4915="Iron Fly "),LEN(E4915)-LEN(SUBSTITUTE(E4915,"/",""))+2,LEN(E4915)-LEN(SUBSTITUTE(E4915,"/",""))+1))</f>
        <v/>
      </c>
      <c r="I4915" s="78">
        <f>IF(ISBLANK(G4915),"",IF(D4915="Stock","0",Key!$A$3*H4915*G4915))</f>
        <v/>
      </c>
      <c r="J4915" s="78">
        <f>IF(ISBLANK(E4915),"",IF(ISNUMBER(SEARCH("/",E4915)), IF(LEN(E4915)-LEN(SUBSTITUTE(E4915,"/",""))=1,(RIGHT(E4915,LEN(E4915)-FIND("/",E4915)))-(LEFT(E4915,FIND("/",E4915)-1)),(MID(E4915, SEARCH("/",E4915) + 1, SEARCH("/",E4915, SEARCH("/",E4915)+1) - SEARCH("/",E4915) - 1))-(LEFT(E4915,FIND("/",E4915)-1))), "NA"))</f>
        <v/>
      </c>
      <c r="K4915" s="79">
        <f>IF(A4915&lt;&gt;"", IF(ISBLANK(L4915), TODAY(), K4915), "")</f>
        <v/>
      </c>
      <c r="L4915" s="78" t="n"/>
      <c r="M4915" s="78">
        <f>IF(ISBLANK(L4915),"",IF(D4915="Stock",IF(C4915="Buy",L4915*G4915,IF(C4915="Sell",(L4915*G4915)-I4915, X)),IF(C4915="Buy",(L4915*G4915*100)+I4915,IF(C4915="Sell",(L4915*G4915*100)-I4915, X))))</f>
        <v/>
      </c>
      <c r="N4915" s="78">
        <f>IF(ISBLANK(L4915),"",IF(AND(C4915="Sell",D4915="Stock"),M4915,IF(ISBLANK(L4915),"",IF(C4915="Buy",M4915, IF(AND(C4915="Sell",J4915="NA"),(E4915*G4915*100*0.1)+I4915, IF(C4915="Sell",(J4915-L4915)*(100*G4915)+I4915))))))</f>
        <v/>
      </c>
      <c r="O4915" s="75" t="n"/>
      <c r="P4915" s="75" t="n"/>
      <c r="Q4915" s="75">
        <f>IF(ISBLANK(P4915),"",IF(D4915="Stock",P4915*G4915,IF(P4915=0,"0",G4915*P4915*100-(G4915*$AF$14))))</f>
        <v/>
      </c>
      <c r="R4915" s="79">
        <f>IF(P4915&lt;&gt;"", TODAY(), "")</f>
        <v/>
      </c>
      <c r="S4915" s="78">
        <f>IF(AND(K4915&lt;&gt;"", R4915&lt;&gt;""), R4915-K4915, "")</f>
        <v/>
      </c>
      <c r="T4915" s="78" t="n"/>
      <c r="U4915" s="92">
        <f>IF(ISBLANK(P4915),"",IF(C4915="Buy",Q4915-M4915+T4915, IF(C4915="Sell",M4915-Q4915-T4915, X)))</f>
        <v/>
      </c>
      <c r="V4915" s="81">
        <f>IF(ISBLANK(P4915),"",U4915/N4915)</f>
        <v/>
      </c>
      <c r="W4915" s="81">
        <f>IF(ISBLANK(P4915),"",IF(S4915=0,(365/0.5)*V4915,(365/S4915)*V4915))</f>
        <v/>
      </c>
      <c r="X4915" s="75" t="n"/>
      <c r="Y4915" s="77" t="n"/>
      <c r="Z4915" s="77" t="n"/>
      <c r="AA4915" s="75" t="n"/>
      <c r="AB4915" s="75" t="n"/>
      <c r="AC4915" s="6" t="n"/>
      <c r="AD4915" s="75" t="n"/>
      <c r="AE4915" s="75" t="n"/>
      <c r="AF4915" s="75" t="n"/>
    </row>
    <row r="4916" ht="15.75" customHeight="1" s="133">
      <c r="A4916" s="75" t="n"/>
      <c r="B4916" s="75" t="n"/>
      <c r="C4916" s="75" t="n"/>
      <c r="D4916" s="75" t="n"/>
      <c r="E4916" s="76" t="n"/>
      <c r="F4916" s="77" t="n"/>
      <c r="G4916" s="75" t="n"/>
      <c r="H4916" s="75">
        <f>IF(ISBLANK(E4916),"",IF(OR(D4916="Butterfly",D4916="Butterfly ",D4916="Iron Fly", D4916="Iron Fly "),LEN(E4916)-LEN(SUBSTITUTE(E4916,"/",""))+2,LEN(E4916)-LEN(SUBSTITUTE(E4916,"/",""))+1))</f>
        <v/>
      </c>
      <c r="I4916" s="78">
        <f>IF(ISBLANK(G4916),"",IF(D4916="Stock","0",Key!$A$3*H4916*G4916))</f>
        <v/>
      </c>
      <c r="J4916" s="78">
        <f>IF(ISBLANK(E4916),"",IF(ISNUMBER(SEARCH("/",E4916)), IF(LEN(E4916)-LEN(SUBSTITUTE(E4916,"/",""))=1,(RIGHT(E4916,LEN(E4916)-FIND("/",E4916)))-(LEFT(E4916,FIND("/",E4916)-1)),(MID(E4916, SEARCH("/",E4916) + 1, SEARCH("/",E4916, SEARCH("/",E4916)+1) - SEARCH("/",E4916) - 1))-(LEFT(E4916,FIND("/",E4916)-1))), "NA"))</f>
        <v/>
      </c>
      <c r="K4916" s="79">
        <f>IF(A4916&lt;&gt;"", IF(ISBLANK(L4916), TODAY(), K4916), "")</f>
        <v/>
      </c>
      <c r="L4916" s="78" t="n"/>
      <c r="M4916" s="78">
        <f>IF(ISBLANK(L4916),"",IF(D4916="Stock",IF(C4916="Buy",L4916*G4916,IF(C4916="Sell",(L4916*G4916)-I4916, X)),IF(C4916="Buy",(L4916*G4916*100)+I4916,IF(C4916="Sell",(L4916*G4916*100)-I4916, X))))</f>
        <v/>
      </c>
      <c r="N4916" s="78">
        <f>IF(ISBLANK(L4916),"",IF(AND(C4916="Sell",D4916="Stock"),M4916,IF(ISBLANK(L4916),"",IF(C4916="Buy",M4916, IF(AND(C4916="Sell",J4916="NA"),(E4916*G4916*100*0.1)+I4916, IF(C4916="Sell",(J4916-L4916)*(100*G4916)+I4916))))))</f>
        <v/>
      </c>
      <c r="O4916" s="75" t="n"/>
      <c r="P4916" s="75" t="n"/>
      <c r="Q4916" s="75">
        <f>IF(ISBLANK(P4916),"",IF(D4916="Stock",P4916*G4916,IF(P4916=0,"0",G4916*P4916*100-(G4916*$AF$14))))</f>
        <v/>
      </c>
      <c r="R4916" s="79">
        <f>IF(P4916&lt;&gt;"", TODAY(), "")</f>
        <v/>
      </c>
      <c r="S4916" s="78">
        <f>IF(AND(K4916&lt;&gt;"", R4916&lt;&gt;""), R4916-K4916, "")</f>
        <v/>
      </c>
      <c r="T4916" s="78" t="n"/>
      <c r="U4916" s="92">
        <f>IF(ISBLANK(P4916),"",IF(C4916="Buy",Q4916-M4916+T4916, IF(C4916="Sell",M4916-Q4916-T4916, X)))</f>
        <v/>
      </c>
      <c r="V4916" s="81">
        <f>IF(ISBLANK(P4916),"",U4916/N4916)</f>
        <v/>
      </c>
      <c r="W4916" s="81">
        <f>IF(ISBLANK(P4916),"",IF(S4916=0,(365/0.5)*V4916,(365/S4916)*V4916))</f>
        <v/>
      </c>
      <c r="X4916" s="75" t="n"/>
      <c r="Y4916" s="77" t="n"/>
      <c r="Z4916" s="77" t="n"/>
      <c r="AA4916" s="75" t="n"/>
      <c r="AB4916" s="75" t="n"/>
      <c r="AC4916" s="6" t="n"/>
      <c r="AD4916" s="75" t="n"/>
      <c r="AE4916" s="75" t="n"/>
      <c r="AF4916" s="75" t="n"/>
    </row>
    <row r="4917" ht="15.75" customHeight="1" s="133">
      <c r="A4917" s="75" t="n"/>
      <c r="B4917" s="75" t="n"/>
      <c r="C4917" s="75" t="n"/>
      <c r="D4917" s="75" t="n"/>
      <c r="E4917" s="76" t="n"/>
      <c r="F4917" s="77" t="n"/>
      <c r="G4917" s="75" t="n"/>
      <c r="H4917" s="75">
        <f>IF(ISBLANK(E4917),"",IF(OR(D4917="Butterfly",D4917="Butterfly ",D4917="Iron Fly", D4917="Iron Fly "),LEN(E4917)-LEN(SUBSTITUTE(E4917,"/",""))+2,LEN(E4917)-LEN(SUBSTITUTE(E4917,"/",""))+1))</f>
        <v/>
      </c>
      <c r="I4917" s="78">
        <f>IF(ISBLANK(G4917),"",IF(D4917="Stock","0",Key!$A$3*H4917*G4917))</f>
        <v/>
      </c>
      <c r="J4917" s="78">
        <f>IF(ISBLANK(E4917),"",IF(ISNUMBER(SEARCH("/",E4917)), IF(LEN(E4917)-LEN(SUBSTITUTE(E4917,"/",""))=1,(RIGHT(E4917,LEN(E4917)-FIND("/",E4917)))-(LEFT(E4917,FIND("/",E4917)-1)),(MID(E4917, SEARCH("/",E4917) + 1, SEARCH("/",E4917, SEARCH("/",E4917)+1) - SEARCH("/",E4917) - 1))-(LEFT(E4917,FIND("/",E4917)-1))), "NA"))</f>
        <v/>
      </c>
      <c r="K4917" s="79">
        <f>IF(A4917&lt;&gt;"", IF(ISBLANK(L4917), TODAY(), K4917), "")</f>
        <v/>
      </c>
      <c r="L4917" s="78" t="n"/>
      <c r="M4917" s="78">
        <f>IF(ISBLANK(L4917),"",IF(D4917="Stock",IF(C4917="Buy",L4917*G4917,IF(C4917="Sell",(L4917*G4917)-I4917, X)),IF(C4917="Buy",(L4917*G4917*100)+I4917,IF(C4917="Sell",(L4917*G4917*100)-I4917, X))))</f>
        <v/>
      </c>
      <c r="N4917" s="78">
        <f>IF(ISBLANK(L4917),"",IF(AND(C4917="Sell",D4917="Stock"),M4917,IF(ISBLANK(L4917),"",IF(C4917="Buy",M4917, IF(AND(C4917="Sell",J4917="NA"),(E4917*G4917*100*0.1)+I4917, IF(C4917="Sell",(J4917-L4917)*(100*G4917)+I4917))))))</f>
        <v/>
      </c>
      <c r="O4917" s="75" t="n"/>
      <c r="P4917" s="75" t="n"/>
      <c r="Q4917" s="75">
        <f>IF(ISBLANK(P4917),"",IF(D4917="Stock",P4917*G4917,IF(P4917=0,"0",G4917*P4917*100-(G4917*$AF$14))))</f>
        <v/>
      </c>
      <c r="R4917" s="79">
        <f>IF(P4917&lt;&gt;"", TODAY(), "")</f>
        <v/>
      </c>
      <c r="S4917" s="78">
        <f>IF(AND(K4917&lt;&gt;"", R4917&lt;&gt;""), R4917-K4917, "")</f>
        <v/>
      </c>
      <c r="T4917" s="78" t="n"/>
      <c r="U4917" s="92">
        <f>IF(ISBLANK(P4917),"",IF(C4917="Buy",Q4917-M4917+T4917, IF(C4917="Sell",M4917-Q4917-T4917, X)))</f>
        <v/>
      </c>
      <c r="V4917" s="81">
        <f>IF(ISBLANK(P4917),"",U4917/N4917)</f>
        <v/>
      </c>
      <c r="W4917" s="81">
        <f>IF(ISBLANK(P4917),"",IF(S4917=0,(365/0.5)*V4917,(365/S4917)*V4917))</f>
        <v/>
      </c>
      <c r="X4917" s="75" t="n"/>
      <c r="Y4917" s="77" t="n"/>
      <c r="Z4917" s="77" t="n"/>
      <c r="AA4917" s="75" t="n"/>
      <c r="AB4917" s="75" t="n"/>
      <c r="AC4917" s="6" t="n"/>
      <c r="AD4917" s="75" t="n"/>
      <c r="AE4917" s="75" t="n"/>
      <c r="AF4917" s="75" t="n"/>
    </row>
    <row r="4918" ht="15.75" customHeight="1" s="133">
      <c r="A4918" s="75" t="n"/>
      <c r="B4918" s="75" t="n"/>
      <c r="C4918" s="75" t="n"/>
      <c r="D4918" s="75" t="n"/>
      <c r="E4918" s="76" t="n"/>
      <c r="F4918" s="77" t="n"/>
      <c r="G4918" s="75" t="n"/>
      <c r="H4918" s="75">
        <f>IF(ISBLANK(E4918),"",IF(OR(D4918="Butterfly",D4918="Butterfly ",D4918="Iron Fly", D4918="Iron Fly "),LEN(E4918)-LEN(SUBSTITUTE(E4918,"/",""))+2,LEN(E4918)-LEN(SUBSTITUTE(E4918,"/",""))+1))</f>
        <v/>
      </c>
      <c r="I4918" s="78">
        <f>IF(ISBLANK(G4918),"",IF(D4918="Stock","0",Key!$A$3*H4918*G4918))</f>
        <v/>
      </c>
      <c r="J4918" s="78">
        <f>IF(ISBLANK(E4918),"",IF(ISNUMBER(SEARCH("/",E4918)), IF(LEN(E4918)-LEN(SUBSTITUTE(E4918,"/",""))=1,(RIGHT(E4918,LEN(E4918)-FIND("/",E4918)))-(LEFT(E4918,FIND("/",E4918)-1)),(MID(E4918, SEARCH("/",E4918) + 1, SEARCH("/",E4918, SEARCH("/",E4918)+1) - SEARCH("/",E4918) - 1))-(LEFT(E4918,FIND("/",E4918)-1))), "NA"))</f>
        <v/>
      </c>
      <c r="K4918" s="79">
        <f>IF(A4918&lt;&gt;"", IF(ISBLANK(L4918), TODAY(), K4918), "")</f>
        <v/>
      </c>
      <c r="L4918" s="78" t="n"/>
      <c r="M4918" s="78">
        <f>IF(ISBLANK(L4918),"",IF(D4918="Stock",IF(C4918="Buy",L4918*G4918,IF(C4918="Sell",(L4918*G4918)-I4918, X)),IF(C4918="Buy",(L4918*G4918*100)+I4918,IF(C4918="Sell",(L4918*G4918*100)-I4918, X))))</f>
        <v/>
      </c>
      <c r="N4918" s="78">
        <f>IF(ISBLANK(L4918),"",IF(AND(C4918="Sell",D4918="Stock"),M4918,IF(ISBLANK(L4918),"",IF(C4918="Buy",M4918, IF(AND(C4918="Sell",J4918="NA"),(E4918*G4918*100*0.1)+I4918, IF(C4918="Sell",(J4918-L4918)*(100*G4918)+I4918))))))</f>
        <v/>
      </c>
      <c r="O4918" s="75" t="n"/>
      <c r="P4918" s="75" t="n"/>
      <c r="Q4918" s="75">
        <f>IF(ISBLANK(P4918),"",IF(D4918="Stock",P4918*G4918,IF(P4918=0,"0",G4918*P4918*100-(G4918*$AF$14))))</f>
        <v/>
      </c>
      <c r="R4918" s="79">
        <f>IF(P4918&lt;&gt;"", TODAY(), "")</f>
        <v/>
      </c>
      <c r="S4918" s="78">
        <f>IF(AND(K4918&lt;&gt;"", R4918&lt;&gt;""), R4918-K4918, "")</f>
        <v/>
      </c>
      <c r="T4918" s="78" t="n"/>
      <c r="U4918" s="92">
        <f>IF(ISBLANK(P4918),"",IF(C4918="Buy",Q4918-M4918+T4918, IF(C4918="Sell",M4918-Q4918-T4918, X)))</f>
        <v/>
      </c>
      <c r="V4918" s="81">
        <f>IF(ISBLANK(P4918),"",U4918/N4918)</f>
        <v/>
      </c>
      <c r="W4918" s="81">
        <f>IF(ISBLANK(P4918),"",IF(S4918=0,(365/0.5)*V4918,(365/S4918)*V4918))</f>
        <v/>
      </c>
      <c r="X4918" s="75" t="n"/>
      <c r="Y4918" s="77" t="n"/>
      <c r="Z4918" s="77" t="n"/>
      <c r="AA4918" s="75" t="n"/>
      <c r="AB4918" s="75" t="n"/>
      <c r="AC4918" s="6" t="n"/>
      <c r="AD4918" s="75" t="n"/>
      <c r="AE4918" s="75" t="n"/>
      <c r="AF4918" s="75" t="n"/>
    </row>
    <row r="4919" ht="15.75" customHeight="1" s="133">
      <c r="A4919" s="75" t="n"/>
      <c r="B4919" s="75" t="n"/>
      <c r="C4919" s="75" t="n"/>
      <c r="D4919" s="75" t="n"/>
      <c r="E4919" s="76" t="n"/>
      <c r="F4919" s="77" t="n"/>
      <c r="G4919" s="75" t="n"/>
      <c r="H4919" s="75">
        <f>IF(ISBLANK(E4919),"",IF(OR(D4919="Butterfly",D4919="Butterfly ",D4919="Iron Fly", D4919="Iron Fly "),LEN(E4919)-LEN(SUBSTITUTE(E4919,"/",""))+2,LEN(E4919)-LEN(SUBSTITUTE(E4919,"/",""))+1))</f>
        <v/>
      </c>
      <c r="I4919" s="78">
        <f>IF(ISBLANK(G4919),"",IF(D4919="Stock","0",Key!$A$3*H4919*G4919))</f>
        <v/>
      </c>
      <c r="J4919" s="78">
        <f>IF(ISBLANK(E4919),"",IF(ISNUMBER(SEARCH("/",E4919)), IF(LEN(E4919)-LEN(SUBSTITUTE(E4919,"/",""))=1,(RIGHT(E4919,LEN(E4919)-FIND("/",E4919)))-(LEFT(E4919,FIND("/",E4919)-1)),(MID(E4919, SEARCH("/",E4919) + 1, SEARCH("/",E4919, SEARCH("/",E4919)+1) - SEARCH("/",E4919) - 1))-(LEFT(E4919,FIND("/",E4919)-1))), "NA"))</f>
        <v/>
      </c>
      <c r="K4919" s="79">
        <f>IF(A4919&lt;&gt;"", IF(ISBLANK(L4919), TODAY(), K4919), "")</f>
        <v/>
      </c>
      <c r="L4919" s="78" t="n"/>
      <c r="M4919" s="78">
        <f>IF(ISBLANK(L4919),"",IF(D4919="Stock",IF(C4919="Buy",L4919*G4919,IF(C4919="Sell",(L4919*G4919)-I4919, X)),IF(C4919="Buy",(L4919*G4919*100)+I4919,IF(C4919="Sell",(L4919*G4919*100)-I4919, X))))</f>
        <v/>
      </c>
      <c r="N4919" s="78">
        <f>IF(ISBLANK(L4919),"",IF(AND(C4919="Sell",D4919="Stock"),M4919,IF(ISBLANK(L4919),"",IF(C4919="Buy",M4919, IF(AND(C4919="Sell",J4919="NA"),(E4919*G4919*100*0.1)+I4919, IF(C4919="Sell",(J4919-L4919)*(100*G4919)+I4919))))))</f>
        <v/>
      </c>
      <c r="O4919" s="75" t="n"/>
      <c r="P4919" s="75" t="n"/>
      <c r="Q4919" s="75">
        <f>IF(ISBLANK(P4919),"",IF(D4919="Stock",P4919*G4919,IF(P4919=0,"0",G4919*P4919*100-(G4919*$AF$14))))</f>
        <v/>
      </c>
      <c r="R4919" s="79">
        <f>IF(P4919&lt;&gt;"", TODAY(), "")</f>
        <v/>
      </c>
      <c r="S4919" s="78">
        <f>IF(AND(K4919&lt;&gt;"", R4919&lt;&gt;""), R4919-K4919, "")</f>
        <v/>
      </c>
      <c r="T4919" s="78" t="n"/>
      <c r="U4919" s="92">
        <f>IF(ISBLANK(P4919),"",IF(C4919="Buy",Q4919-M4919+T4919, IF(C4919="Sell",M4919-Q4919-T4919, X)))</f>
        <v/>
      </c>
      <c r="V4919" s="81">
        <f>IF(ISBLANK(P4919),"",U4919/N4919)</f>
        <v/>
      </c>
      <c r="W4919" s="81">
        <f>IF(ISBLANK(P4919),"",IF(S4919=0,(365/0.5)*V4919,(365/S4919)*V4919))</f>
        <v/>
      </c>
      <c r="X4919" s="75" t="n"/>
      <c r="Y4919" s="77" t="n"/>
      <c r="Z4919" s="77" t="n"/>
      <c r="AA4919" s="75" t="n"/>
      <c r="AB4919" s="75" t="n"/>
      <c r="AC4919" s="6" t="n"/>
      <c r="AD4919" s="75" t="n"/>
      <c r="AE4919" s="75" t="n"/>
      <c r="AF4919" s="75" t="n"/>
    </row>
    <row r="4920" ht="15.75" customHeight="1" s="133">
      <c r="A4920" s="75" t="n"/>
      <c r="B4920" s="75" t="n"/>
      <c r="C4920" s="75" t="n"/>
      <c r="D4920" s="75" t="n"/>
      <c r="E4920" s="76" t="n"/>
      <c r="F4920" s="77" t="n"/>
      <c r="G4920" s="75" t="n"/>
      <c r="H4920" s="75">
        <f>IF(ISBLANK(E4920),"",IF(OR(D4920="Butterfly",D4920="Butterfly ",D4920="Iron Fly", D4920="Iron Fly "),LEN(E4920)-LEN(SUBSTITUTE(E4920,"/",""))+2,LEN(E4920)-LEN(SUBSTITUTE(E4920,"/",""))+1))</f>
        <v/>
      </c>
      <c r="I4920" s="78">
        <f>IF(ISBLANK(G4920),"",IF(D4920="Stock","0",Key!$A$3*H4920*G4920))</f>
        <v/>
      </c>
      <c r="J4920" s="78">
        <f>IF(ISBLANK(E4920),"",IF(ISNUMBER(SEARCH("/",E4920)), IF(LEN(E4920)-LEN(SUBSTITUTE(E4920,"/",""))=1,(RIGHT(E4920,LEN(E4920)-FIND("/",E4920)))-(LEFT(E4920,FIND("/",E4920)-1)),(MID(E4920, SEARCH("/",E4920) + 1, SEARCH("/",E4920, SEARCH("/",E4920)+1) - SEARCH("/",E4920) - 1))-(LEFT(E4920,FIND("/",E4920)-1))), "NA"))</f>
        <v/>
      </c>
      <c r="K4920" s="79">
        <f>IF(A4920&lt;&gt;"", IF(ISBLANK(L4920), TODAY(), K4920), "")</f>
        <v/>
      </c>
      <c r="L4920" s="78" t="n"/>
      <c r="M4920" s="78">
        <f>IF(ISBLANK(L4920),"",IF(D4920="Stock",IF(C4920="Buy",L4920*G4920,IF(C4920="Sell",(L4920*G4920)-I4920, X)),IF(C4920="Buy",(L4920*G4920*100)+I4920,IF(C4920="Sell",(L4920*G4920*100)-I4920, X))))</f>
        <v/>
      </c>
      <c r="N4920" s="78">
        <f>IF(ISBLANK(L4920),"",IF(AND(C4920="Sell",D4920="Stock"),M4920,IF(ISBLANK(L4920),"",IF(C4920="Buy",M4920, IF(AND(C4920="Sell",J4920="NA"),(E4920*G4920*100*0.1)+I4920, IF(C4920="Sell",(J4920-L4920)*(100*G4920)+I4920))))))</f>
        <v/>
      </c>
      <c r="O4920" s="75" t="n"/>
      <c r="P4920" s="75" t="n"/>
      <c r="Q4920" s="75">
        <f>IF(ISBLANK(P4920),"",IF(D4920="Stock",P4920*G4920,IF(P4920=0,"0",G4920*P4920*100-(G4920*$AF$14))))</f>
        <v/>
      </c>
      <c r="R4920" s="79">
        <f>IF(P4920&lt;&gt;"", TODAY(), "")</f>
        <v/>
      </c>
      <c r="S4920" s="78">
        <f>IF(AND(K4920&lt;&gt;"", R4920&lt;&gt;""), R4920-K4920, "")</f>
        <v/>
      </c>
      <c r="T4920" s="78" t="n"/>
      <c r="U4920" s="92">
        <f>IF(ISBLANK(P4920),"",IF(C4920="Buy",Q4920-M4920+T4920, IF(C4920="Sell",M4920-Q4920-T4920, X)))</f>
        <v/>
      </c>
      <c r="V4920" s="81">
        <f>IF(ISBLANK(P4920),"",U4920/N4920)</f>
        <v/>
      </c>
      <c r="W4920" s="81">
        <f>IF(ISBLANK(P4920),"",IF(S4920=0,(365/0.5)*V4920,(365/S4920)*V4920))</f>
        <v/>
      </c>
      <c r="X4920" s="75" t="n"/>
      <c r="Y4920" s="77" t="n"/>
      <c r="Z4920" s="77" t="n"/>
      <c r="AA4920" s="75" t="n"/>
      <c r="AB4920" s="75" t="n"/>
      <c r="AC4920" s="6" t="n"/>
      <c r="AD4920" s="75" t="n"/>
      <c r="AE4920" s="75" t="n"/>
      <c r="AF4920" s="75" t="n"/>
    </row>
    <row r="4921" ht="15.75" customHeight="1" s="133">
      <c r="A4921" s="75" t="n"/>
      <c r="B4921" s="75" t="n"/>
      <c r="C4921" s="75" t="n"/>
      <c r="D4921" s="75" t="n"/>
      <c r="E4921" s="76" t="n"/>
      <c r="F4921" s="77" t="n"/>
      <c r="G4921" s="75" t="n"/>
      <c r="H4921" s="75">
        <f>IF(ISBLANK(E4921),"",IF(OR(D4921="Butterfly",D4921="Butterfly ",D4921="Iron Fly", D4921="Iron Fly "),LEN(E4921)-LEN(SUBSTITUTE(E4921,"/",""))+2,LEN(E4921)-LEN(SUBSTITUTE(E4921,"/",""))+1))</f>
        <v/>
      </c>
      <c r="I4921" s="78">
        <f>IF(ISBLANK(G4921),"",IF(D4921="Stock","0",Key!$A$3*H4921*G4921))</f>
        <v/>
      </c>
      <c r="J4921" s="78">
        <f>IF(ISBLANK(E4921),"",IF(ISNUMBER(SEARCH("/",E4921)), IF(LEN(E4921)-LEN(SUBSTITUTE(E4921,"/",""))=1,(RIGHT(E4921,LEN(E4921)-FIND("/",E4921)))-(LEFT(E4921,FIND("/",E4921)-1)),(MID(E4921, SEARCH("/",E4921) + 1, SEARCH("/",E4921, SEARCH("/",E4921)+1) - SEARCH("/",E4921) - 1))-(LEFT(E4921,FIND("/",E4921)-1))), "NA"))</f>
        <v/>
      </c>
      <c r="K4921" s="79">
        <f>IF(A4921&lt;&gt;"", IF(ISBLANK(L4921), TODAY(), K4921), "")</f>
        <v/>
      </c>
      <c r="L4921" s="78" t="n"/>
      <c r="M4921" s="78">
        <f>IF(ISBLANK(L4921),"",IF(D4921="Stock",IF(C4921="Buy",L4921*G4921,IF(C4921="Sell",(L4921*G4921)-I4921, X)),IF(C4921="Buy",(L4921*G4921*100)+I4921,IF(C4921="Sell",(L4921*G4921*100)-I4921, X))))</f>
        <v/>
      </c>
      <c r="N4921" s="78">
        <f>IF(ISBLANK(L4921),"",IF(AND(C4921="Sell",D4921="Stock"),M4921,IF(ISBLANK(L4921),"",IF(C4921="Buy",M4921, IF(AND(C4921="Sell",J4921="NA"),(E4921*G4921*100*0.1)+I4921, IF(C4921="Sell",(J4921-L4921)*(100*G4921)+I4921))))))</f>
        <v/>
      </c>
      <c r="O4921" s="75" t="n"/>
      <c r="P4921" s="75" t="n"/>
      <c r="Q4921" s="75">
        <f>IF(ISBLANK(P4921),"",IF(D4921="Stock",P4921*G4921,IF(P4921=0,"0",G4921*P4921*100-(G4921*$AF$14))))</f>
        <v/>
      </c>
      <c r="R4921" s="79">
        <f>IF(P4921&lt;&gt;"", TODAY(), "")</f>
        <v/>
      </c>
      <c r="S4921" s="78">
        <f>IF(AND(K4921&lt;&gt;"", R4921&lt;&gt;""), R4921-K4921, "")</f>
        <v/>
      </c>
      <c r="T4921" s="78" t="n"/>
      <c r="U4921" s="92">
        <f>IF(ISBLANK(P4921),"",IF(C4921="Buy",Q4921-M4921+T4921, IF(C4921="Sell",M4921-Q4921-T4921, X)))</f>
        <v/>
      </c>
      <c r="V4921" s="81">
        <f>IF(ISBLANK(P4921),"",U4921/N4921)</f>
        <v/>
      </c>
      <c r="W4921" s="81">
        <f>IF(ISBLANK(P4921),"",IF(S4921=0,(365/0.5)*V4921,(365/S4921)*V4921))</f>
        <v/>
      </c>
      <c r="X4921" s="75" t="n"/>
      <c r="Y4921" s="77" t="n"/>
      <c r="Z4921" s="77" t="n"/>
      <c r="AA4921" s="75" t="n"/>
      <c r="AB4921" s="75" t="n"/>
      <c r="AC4921" s="6" t="n"/>
      <c r="AD4921" s="75" t="n"/>
      <c r="AE4921" s="75" t="n"/>
      <c r="AF4921" s="75" t="n"/>
    </row>
    <row r="4922" ht="15.75" customHeight="1" s="133">
      <c r="A4922" s="75" t="n"/>
      <c r="B4922" s="75" t="n"/>
      <c r="C4922" s="75" t="n"/>
      <c r="D4922" s="75" t="n"/>
      <c r="E4922" s="76" t="n"/>
      <c r="F4922" s="77" t="n"/>
      <c r="G4922" s="75" t="n"/>
      <c r="H4922" s="75">
        <f>IF(ISBLANK(E4922),"",IF(OR(D4922="Butterfly",D4922="Butterfly ",D4922="Iron Fly", D4922="Iron Fly "),LEN(E4922)-LEN(SUBSTITUTE(E4922,"/",""))+2,LEN(E4922)-LEN(SUBSTITUTE(E4922,"/",""))+1))</f>
        <v/>
      </c>
      <c r="I4922" s="78">
        <f>IF(ISBLANK(G4922),"",IF(D4922="Stock","0",Key!$A$3*H4922*G4922))</f>
        <v/>
      </c>
      <c r="J4922" s="78">
        <f>IF(ISBLANK(E4922),"",IF(ISNUMBER(SEARCH("/",E4922)), IF(LEN(E4922)-LEN(SUBSTITUTE(E4922,"/",""))=1,(RIGHT(E4922,LEN(E4922)-FIND("/",E4922)))-(LEFT(E4922,FIND("/",E4922)-1)),(MID(E4922, SEARCH("/",E4922) + 1, SEARCH("/",E4922, SEARCH("/",E4922)+1) - SEARCH("/",E4922) - 1))-(LEFT(E4922,FIND("/",E4922)-1))), "NA"))</f>
        <v/>
      </c>
      <c r="K4922" s="79">
        <f>IF(A4922&lt;&gt;"", IF(ISBLANK(L4922), TODAY(), K4922), "")</f>
        <v/>
      </c>
      <c r="L4922" s="78" t="n"/>
      <c r="M4922" s="78">
        <f>IF(ISBLANK(L4922),"",IF(D4922="Stock",IF(C4922="Buy",L4922*G4922,IF(C4922="Sell",(L4922*G4922)-I4922, X)),IF(C4922="Buy",(L4922*G4922*100)+I4922,IF(C4922="Sell",(L4922*G4922*100)-I4922, X))))</f>
        <v/>
      </c>
      <c r="N4922" s="78">
        <f>IF(ISBLANK(L4922),"",IF(AND(C4922="Sell",D4922="Stock"),M4922,IF(ISBLANK(L4922),"",IF(C4922="Buy",M4922, IF(AND(C4922="Sell",J4922="NA"),(E4922*G4922*100*0.1)+I4922, IF(C4922="Sell",(J4922-L4922)*(100*G4922)+I4922))))))</f>
        <v/>
      </c>
      <c r="O4922" s="75" t="n"/>
      <c r="P4922" s="75" t="n"/>
      <c r="Q4922" s="75">
        <f>IF(ISBLANK(P4922),"",IF(D4922="Stock",P4922*G4922,IF(P4922=0,"0",G4922*P4922*100-(G4922*$AF$14))))</f>
        <v/>
      </c>
      <c r="R4922" s="79">
        <f>IF(P4922&lt;&gt;"", TODAY(), "")</f>
        <v/>
      </c>
      <c r="S4922" s="78">
        <f>IF(AND(K4922&lt;&gt;"", R4922&lt;&gt;""), R4922-K4922, "")</f>
        <v/>
      </c>
      <c r="T4922" s="78" t="n"/>
      <c r="U4922" s="92">
        <f>IF(ISBLANK(P4922),"",IF(C4922="Buy",Q4922-M4922+T4922, IF(C4922="Sell",M4922-Q4922-T4922, X)))</f>
        <v/>
      </c>
      <c r="V4922" s="81">
        <f>IF(ISBLANK(P4922),"",U4922/N4922)</f>
        <v/>
      </c>
      <c r="W4922" s="81">
        <f>IF(ISBLANK(P4922),"",IF(S4922=0,(365/0.5)*V4922,(365/S4922)*V4922))</f>
        <v/>
      </c>
      <c r="X4922" s="75" t="n"/>
      <c r="Y4922" s="77" t="n"/>
      <c r="Z4922" s="77" t="n"/>
      <c r="AA4922" s="75" t="n"/>
      <c r="AB4922" s="75" t="n"/>
      <c r="AC4922" s="6" t="n"/>
      <c r="AD4922" s="75" t="n"/>
      <c r="AE4922" s="75" t="n"/>
      <c r="AF4922" s="75" t="n"/>
    </row>
    <row r="4923" ht="15.75" customHeight="1" s="133">
      <c r="A4923" s="75" t="n"/>
      <c r="B4923" s="75" t="n"/>
      <c r="C4923" s="75" t="n"/>
      <c r="D4923" s="75" t="n"/>
      <c r="E4923" s="76" t="n"/>
      <c r="F4923" s="77" t="n"/>
      <c r="G4923" s="75" t="n"/>
      <c r="H4923" s="75">
        <f>IF(ISBLANK(E4923),"",IF(OR(D4923="Butterfly",D4923="Butterfly ",D4923="Iron Fly", D4923="Iron Fly "),LEN(E4923)-LEN(SUBSTITUTE(E4923,"/",""))+2,LEN(E4923)-LEN(SUBSTITUTE(E4923,"/",""))+1))</f>
        <v/>
      </c>
      <c r="I4923" s="78">
        <f>IF(ISBLANK(G4923),"",IF(D4923="Stock","0",Key!$A$3*H4923*G4923))</f>
        <v/>
      </c>
      <c r="J4923" s="78">
        <f>IF(ISBLANK(E4923),"",IF(ISNUMBER(SEARCH("/",E4923)), IF(LEN(E4923)-LEN(SUBSTITUTE(E4923,"/",""))=1,(RIGHT(E4923,LEN(E4923)-FIND("/",E4923)))-(LEFT(E4923,FIND("/",E4923)-1)),(MID(E4923, SEARCH("/",E4923) + 1, SEARCH("/",E4923, SEARCH("/",E4923)+1) - SEARCH("/",E4923) - 1))-(LEFT(E4923,FIND("/",E4923)-1))), "NA"))</f>
        <v/>
      </c>
      <c r="K4923" s="79">
        <f>IF(A4923&lt;&gt;"", IF(ISBLANK(L4923), TODAY(), K4923), "")</f>
        <v/>
      </c>
      <c r="L4923" s="78" t="n"/>
      <c r="M4923" s="78">
        <f>IF(ISBLANK(L4923),"",IF(D4923="Stock",IF(C4923="Buy",L4923*G4923,IF(C4923="Sell",(L4923*G4923)-I4923, X)),IF(C4923="Buy",(L4923*G4923*100)+I4923,IF(C4923="Sell",(L4923*G4923*100)-I4923, X))))</f>
        <v/>
      </c>
      <c r="N4923" s="78">
        <f>IF(ISBLANK(L4923),"",IF(AND(C4923="Sell",D4923="Stock"),M4923,IF(ISBLANK(L4923),"",IF(C4923="Buy",M4923, IF(AND(C4923="Sell",J4923="NA"),(E4923*G4923*100*0.1)+I4923, IF(C4923="Sell",(J4923-L4923)*(100*G4923)+I4923))))))</f>
        <v/>
      </c>
      <c r="O4923" s="75" t="n"/>
      <c r="P4923" s="75" t="n"/>
      <c r="Q4923" s="75">
        <f>IF(ISBLANK(P4923),"",IF(D4923="Stock",P4923*G4923,IF(P4923=0,"0",G4923*P4923*100-(G4923*$AF$14))))</f>
        <v/>
      </c>
      <c r="R4923" s="79">
        <f>IF(P4923&lt;&gt;"", TODAY(), "")</f>
        <v/>
      </c>
      <c r="S4923" s="78">
        <f>IF(AND(K4923&lt;&gt;"", R4923&lt;&gt;""), R4923-K4923, "")</f>
        <v/>
      </c>
      <c r="T4923" s="78" t="n"/>
      <c r="U4923" s="92">
        <f>IF(ISBLANK(P4923),"",IF(C4923="Buy",Q4923-M4923+T4923, IF(C4923="Sell",M4923-Q4923-T4923, X)))</f>
        <v/>
      </c>
      <c r="V4923" s="81">
        <f>IF(ISBLANK(P4923),"",U4923/N4923)</f>
        <v/>
      </c>
      <c r="W4923" s="81">
        <f>IF(ISBLANK(P4923),"",IF(S4923=0,(365/0.5)*V4923,(365/S4923)*V4923))</f>
        <v/>
      </c>
      <c r="X4923" s="75" t="n"/>
      <c r="Y4923" s="77" t="n"/>
      <c r="Z4923" s="77" t="n"/>
      <c r="AA4923" s="75" t="n"/>
      <c r="AB4923" s="75" t="n"/>
      <c r="AC4923" s="6" t="n"/>
      <c r="AD4923" s="75" t="n"/>
      <c r="AE4923" s="75" t="n"/>
      <c r="AF4923" s="75" t="n"/>
    </row>
    <row r="4924" ht="15.75" customHeight="1" s="133">
      <c r="A4924" s="75" t="n"/>
      <c r="B4924" s="75" t="n"/>
      <c r="C4924" s="75" t="n"/>
      <c r="D4924" s="75" t="n"/>
      <c r="E4924" s="76" t="n"/>
      <c r="F4924" s="77" t="n"/>
      <c r="G4924" s="75" t="n"/>
      <c r="H4924" s="75">
        <f>IF(ISBLANK(E4924),"",IF(OR(D4924="Butterfly",D4924="Butterfly ",D4924="Iron Fly", D4924="Iron Fly "),LEN(E4924)-LEN(SUBSTITUTE(E4924,"/",""))+2,LEN(E4924)-LEN(SUBSTITUTE(E4924,"/",""))+1))</f>
        <v/>
      </c>
      <c r="I4924" s="78">
        <f>IF(ISBLANK(G4924),"",IF(D4924="Stock","0",Key!$A$3*H4924*G4924))</f>
        <v/>
      </c>
      <c r="J4924" s="78">
        <f>IF(ISBLANK(E4924),"",IF(ISNUMBER(SEARCH("/",E4924)), IF(LEN(E4924)-LEN(SUBSTITUTE(E4924,"/",""))=1,(RIGHT(E4924,LEN(E4924)-FIND("/",E4924)))-(LEFT(E4924,FIND("/",E4924)-1)),(MID(E4924, SEARCH("/",E4924) + 1, SEARCH("/",E4924, SEARCH("/",E4924)+1) - SEARCH("/",E4924) - 1))-(LEFT(E4924,FIND("/",E4924)-1))), "NA"))</f>
        <v/>
      </c>
      <c r="K4924" s="79">
        <f>IF(A4924&lt;&gt;"", IF(ISBLANK(L4924), TODAY(), K4924), "")</f>
        <v/>
      </c>
      <c r="L4924" s="78" t="n"/>
      <c r="M4924" s="78">
        <f>IF(ISBLANK(L4924),"",IF(D4924="Stock",IF(C4924="Buy",L4924*G4924,IF(C4924="Sell",(L4924*G4924)-I4924, X)),IF(C4924="Buy",(L4924*G4924*100)+I4924,IF(C4924="Sell",(L4924*G4924*100)-I4924, X))))</f>
        <v/>
      </c>
      <c r="N4924" s="78">
        <f>IF(ISBLANK(L4924),"",IF(AND(C4924="Sell",D4924="Stock"),M4924,IF(ISBLANK(L4924),"",IF(C4924="Buy",M4924, IF(AND(C4924="Sell",J4924="NA"),(E4924*G4924*100*0.1)+I4924, IF(C4924="Sell",(J4924-L4924)*(100*G4924)+I4924))))))</f>
        <v/>
      </c>
      <c r="O4924" s="75" t="n"/>
      <c r="P4924" s="75" t="n"/>
      <c r="Q4924" s="75">
        <f>IF(ISBLANK(P4924),"",IF(D4924="Stock",P4924*G4924,IF(P4924=0,"0",G4924*P4924*100-(G4924*$AF$14))))</f>
        <v/>
      </c>
      <c r="R4924" s="79">
        <f>IF(P4924&lt;&gt;"", TODAY(), "")</f>
        <v/>
      </c>
      <c r="S4924" s="78">
        <f>IF(AND(K4924&lt;&gt;"", R4924&lt;&gt;""), R4924-K4924, "")</f>
        <v/>
      </c>
      <c r="T4924" s="78" t="n"/>
      <c r="U4924" s="92">
        <f>IF(ISBLANK(P4924),"",IF(C4924="Buy",Q4924-M4924+T4924, IF(C4924="Sell",M4924-Q4924-T4924, X)))</f>
        <v/>
      </c>
      <c r="V4924" s="81">
        <f>IF(ISBLANK(P4924),"",U4924/N4924)</f>
        <v/>
      </c>
      <c r="W4924" s="81">
        <f>IF(ISBLANK(P4924),"",IF(S4924=0,(365/0.5)*V4924,(365/S4924)*V4924))</f>
        <v/>
      </c>
      <c r="X4924" s="75" t="n"/>
      <c r="Y4924" s="77" t="n"/>
      <c r="Z4924" s="77" t="n"/>
      <c r="AA4924" s="75" t="n"/>
      <c r="AB4924" s="75" t="n"/>
      <c r="AC4924" s="6" t="n"/>
      <c r="AD4924" s="75" t="n"/>
      <c r="AE4924" s="75" t="n"/>
      <c r="AF4924" s="75" t="n"/>
    </row>
    <row r="4925" ht="15.75" customHeight="1" s="133">
      <c r="A4925" s="75" t="n"/>
      <c r="B4925" s="75" t="n"/>
      <c r="C4925" s="75" t="n"/>
      <c r="D4925" s="75" t="n"/>
      <c r="E4925" s="76" t="n"/>
      <c r="F4925" s="77" t="n"/>
      <c r="G4925" s="75" t="n"/>
      <c r="H4925" s="75">
        <f>IF(ISBLANK(E4925),"",IF(OR(D4925="Butterfly",D4925="Butterfly ",D4925="Iron Fly", D4925="Iron Fly "),LEN(E4925)-LEN(SUBSTITUTE(E4925,"/",""))+2,LEN(E4925)-LEN(SUBSTITUTE(E4925,"/",""))+1))</f>
        <v/>
      </c>
      <c r="I4925" s="78">
        <f>IF(ISBLANK(G4925),"",IF(D4925="Stock","0",Key!$A$3*H4925*G4925))</f>
        <v/>
      </c>
      <c r="J4925" s="78">
        <f>IF(ISBLANK(E4925),"",IF(ISNUMBER(SEARCH("/",E4925)), IF(LEN(E4925)-LEN(SUBSTITUTE(E4925,"/",""))=1,(RIGHT(E4925,LEN(E4925)-FIND("/",E4925)))-(LEFT(E4925,FIND("/",E4925)-1)),(MID(E4925, SEARCH("/",E4925) + 1, SEARCH("/",E4925, SEARCH("/",E4925)+1) - SEARCH("/",E4925) - 1))-(LEFT(E4925,FIND("/",E4925)-1))), "NA"))</f>
        <v/>
      </c>
      <c r="K4925" s="79">
        <f>IF(A4925&lt;&gt;"", IF(ISBLANK(L4925), TODAY(), K4925), "")</f>
        <v/>
      </c>
      <c r="L4925" s="78" t="n"/>
      <c r="M4925" s="78">
        <f>IF(ISBLANK(L4925),"",IF(D4925="Stock",IF(C4925="Buy",L4925*G4925,IF(C4925="Sell",(L4925*G4925)-I4925, X)),IF(C4925="Buy",(L4925*G4925*100)+I4925,IF(C4925="Sell",(L4925*G4925*100)-I4925, X))))</f>
        <v/>
      </c>
      <c r="N4925" s="78">
        <f>IF(ISBLANK(L4925),"",IF(AND(C4925="Sell",D4925="Stock"),M4925,IF(ISBLANK(L4925),"",IF(C4925="Buy",M4925, IF(AND(C4925="Sell",J4925="NA"),(E4925*G4925*100*0.1)+I4925, IF(C4925="Sell",(J4925-L4925)*(100*G4925)+I4925))))))</f>
        <v/>
      </c>
      <c r="O4925" s="75" t="n"/>
      <c r="P4925" s="75" t="n"/>
      <c r="Q4925" s="75">
        <f>IF(ISBLANK(P4925),"",IF(D4925="Stock",P4925*G4925,IF(P4925=0,"0",G4925*P4925*100-(G4925*$AF$14))))</f>
        <v/>
      </c>
      <c r="R4925" s="79">
        <f>IF(P4925&lt;&gt;"", TODAY(), "")</f>
        <v/>
      </c>
      <c r="S4925" s="78">
        <f>IF(AND(K4925&lt;&gt;"", R4925&lt;&gt;""), R4925-K4925, "")</f>
        <v/>
      </c>
      <c r="T4925" s="78" t="n"/>
      <c r="U4925" s="92">
        <f>IF(ISBLANK(P4925),"",IF(C4925="Buy",Q4925-M4925+T4925, IF(C4925="Sell",M4925-Q4925-T4925, X)))</f>
        <v/>
      </c>
      <c r="V4925" s="81">
        <f>IF(ISBLANK(P4925),"",U4925/N4925)</f>
        <v/>
      </c>
      <c r="W4925" s="81">
        <f>IF(ISBLANK(P4925),"",IF(S4925=0,(365/0.5)*V4925,(365/S4925)*V4925))</f>
        <v/>
      </c>
      <c r="X4925" s="75" t="n"/>
      <c r="Y4925" s="77" t="n"/>
      <c r="Z4925" s="77" t="n"/>
      <c r="AA4925" s="75" t="n"/>
      <c r="AB4925" s="75" t="n"/>
      <c r="AC4925" s="6" t="n"/>
      <c r="AD4925" s="75" t="n"/>
      <c r="AE4925" s="75" t="n"/>
      <c r="AF4925" s="75" t="n"/>
    </row>
    <row r="4926" ht="15.75" customHeight="1" s="133">
      <c r="A4926" s="75" t="n"/>
      <c r="B4926" s="75" t="n"/>
      <c r="C4926" s="75" t="n"/>
      <c r="D4926" s="75" t="n"/>
      <c r="E4926" s="76" t="n"/>
      <c r="F4926" s="77" t="n"/>
      <c r="G4926" s="75" t="n"/>
      <c r="H4926" s="75">
        <f>IF(ISBLANK(E4926),"",IF(OR(D4926="Butterfly",D4926="Butterfly ",D4926="Iron Fly", D4926="Iron Fly "),LEN(E4926)-LEN(SUBSTITUTE(E4926,"/",""))+2,LEN(E4926)-LEN(SUBSTITUTE(E4926,"/",""))+1))</f>
        <v/>
      </c>
      <c r="I4926" s="78">
        <f>IF(ISBLANK(G4926),"",IF(D4926="Stock","0",Key!$A$3*H4926*G4926))</f>
        <v/>
      </c>
      <c r="J4926" s="78">
        <f>IF(ISBLANK(E4926),"",IF(ISNUMBER(SEARCH("/",E4926)), IF(LEN(E4926)-LEN(SUBSTITUTE(E4926,"/",""))=1,(RIGHT(E4926,LEN(E4926)-FIND("/",E4926)))-(LEFT(E4926,FIND("/",E4926)-1)),(MID(E4926, SEARCH("/",E4926) + 1, SEARCH("/",E4926, SEARCH("/",E4926)+1) - SEARCH("/",E4926) - 1))-(LEFT(E4926,FIND("/",E4926)-1))), "NA"))</f>
        <v/>
      </c>
      <c r="K4926" s="79">
        <f>IF(A4926&lt;&gt;"", IF(ISBLANK(L4926), TODAY(), K4926), "")</f>
        <v/>
      </c>
      <c r="L4926" s="78" t="n"/>
      <c r="M4926" s="78">
        <f>IF(ISBLANK(L4926),"",IF(D4926="Stock",IF(C4926="Buy",L4926*G4926,IF(C4926="Sell",(L4926*G4926)-I4926, X)),IF(C4926="Buy",(L4926*G4926*100)+I4926,IF(C4926="Sell",(L4926*G4926*100)-I4926, X))))</f>
        <v/>
      </c>
      <c r="N4926" s="78">
        <f>IF(ISBLANK(L4926),"",IF(AND(C4926="Sell",D4926="Stock"),M4926,IF(ISBLANK(L4926),"",IF(C4926="Buy",M4926, IF(AND(C4926="Sell",J4926="NA"),(E4926*G4926*100*0.1)+I4926, IF(C4926="Sell",(J4926-L4926)*(100*G4926)+I4926))))))</f>
        <v/>
      </c>
      <c r="O4926" s="75" t="n"/>
      <c r="P4926" s="75" t="n"/>
      <c r="Q4926" s="75">
        <f>IF(ISBLANK(P4926),"",IF(D4926="Stock",P4926*G4926,IF(P4926=0,"0",G4926*P4926*100-(G4926*$AF$14))))</f>
        <v/>
      </c>
      <c r="R4926" s="79">
        <f>IF(P4926&lt;&gt;"", TODAY(), "")</f>
        <v/>
      </c>
      <c r="S4926" s="78">
        <f>IF(AND(K4926&lt;&gt;"", R4926&lt;&gt;""), R4926-K4926, "")</f>
        <v/>
      </c>
      <c r="T4926" s="78" t="n"/>
      <c r="U4926" s="92">
        <f>IF(ISBLANK(P4926),"",IF(C4926="Buy",Q4926-M4926+T4926, IF(C4926="Sell",M4926-Q4926-T4926, X)))</f>
        <v/>
      </c>
      <c r="V4926" s="81">
        <f>IF(ISBLANK(P4926),"",U4926/N4926)</f>
        <v/>
      </c>
      <c r="W4926" s="81">
        <f>IF(ISBLANK(P4926),"",IF(S4926=0,(365/0.5)*V4926,(365/S4926)*V4926))</f>
        <v/>
      </c>
      <c r="X4926" s="75" t="n"/>
      <c r="Y4926" s="77" t="n"/>
      <c r="Z4926" s="77" t="n"/>
      <c r="AA4926" s="75" t="n"/>
      <c r="AB4926" s="75" t="n"/>
      <c r="AC4926" s="6" t="n"/>
      <c r="AD4926" s="75" t="n"/>
      <c r="AE4926" s="75" t="n"/>
      <c r="AF4926" s="75" t="n"/>
    </row>
    <row r="4927" ht="15.75" customHeight="1" s="133">
      <c r="A4927" s="75" t="n"/>
      <c r="B4927" s="75" t="n"/>
      <c r="C4927" s="75" t="n"/>
      <c r="D4927" s="75" t="n"/>
      <c r="E4927" s="76" t="n"/>
      <c r="F4927" s="77" t="n"/>
      <c r="G4927" s="75" t="n"/>
      <c r="H4927" s="75">
        <f>IF(ISBLANK(E4927),"",IF(OR(D4927="Butterfly",D4927="Butterfly ",D4927="Iron Fly", D4927="Iron Fly "),LEN(E4927)-LEN(SUBSTITUTE(E4927,"/",""))+2,LEN(E4927)-LEN(SUBSTITUTE(E4927,"/",""))+1))</f>
        <v/>
      </c>
      <c r="I4927" s="78">
        <f>IF(ISBLANK(G4927),"",IF(D4927="Stock","0",Key!$A$3*H4927*G4927))</f>
        <v/>
      </c>
      <c r="J4927" s="78">
        <f>IF(ISBLANK(E4927),"",IF(ISNUMBER(SEARCH("/",E4927)), IF(LEN(E4927)-LEN(SUBSTITUTE(E4927,"/",""))=1,(RIGHT(E4927,LEN(E4927)-FIND("/",E4927)))-(LEFT(E4927,FIND("/",E4927)-1)),(MID(E4927, SEARCH("/",E4927) + 1, SEARCH("/",E4927, SEARCH("/",E4927)+1) - SEARCH("/",E4927) - 1))-(LEFT(E4927,FIND("/",E4927)-1))), "NA"))</f>
        <v/>
      </c>
      <c r="K4927" s="79">
        <f>IF(A4927&lt;&gt;"", IF(ISBLANK(L4927), TODAY(), K4927), "")</f>
        <v/>
      </c>
      <c r="L4927" s="78" t="n"/>
      <c r="M4927" s="78">
        <f>IF(ISBLANK(L4927),"",IF(D4927="Stock",IF(C4927="Buy",L4927*G4927,IF(C4927="Sell",(L4927*G4927)-I4927, X)),IF(C4927="Buy",(L4927*G4927*100)+I4927,IF(C4927="Sell",(L4927*G4927*100)-I4927, X))))</f>
        <v/>
      </c>
      <c r="N4927" s="78">
        <f>IF(ISBLANK(L4927),"",IF(AND(C4927="Sell",D4927="Stock"),M4927,IF(ISBLANK(L4927),"",IF(C4927="Buy",M4927, IF(AND(C4927="Sell",J4927="NA"),(E4927*G4927*100*0.1)+I4927, IF(C4927="Sell",(J4927-L4927)*(100*G4927)+I4927))))))</f>
        <v/>
      </c>
      <c r="O4927" s="75" t="n"/>
      <c r="P4927" s="75" t="n"/>
      <c r="Q4927" s="75">
        <f>IF(ISBLANK(P4927),"",IF(D4927="Stock",P4927*G4927,IF(P4927=0,"0",G4927*P4927*100-(G4927*$AF$14))))</f>
        <v/>
      </c>
      <c r="R4927" s="79">
        <f>IF(P4927&lt;&gt;"", TODAY(), "")</f>
        <v/>
      </c>
      <c r="S4927" s="78">
        <f>IF(AND(K4927&lt;&gt;"", R4927&lt;&gt;""), R4927-K4927, "")</f>
        <v/>
      </c>
      <c r="T4927" s="78" t="n"/>
      <c r="U4927" s="92">
        <f>IF(ISBLANK(P4927),"",IF(C4927="Buy",Q4927-M4927+T4927, IF(C4927="Sell",M4927-Q4927-T4927, X)))</f>
        <v/>
      </c>
      <c r="V4927" s="81">
        <f>IF(ISBLANK(P4927),"",U4927/N4927)</f>
        <v/>
      </c>
      <c r="W4927" s="81">
        <f>IF(ISBLANK(P4927),"",IF(S4927=0,(365/0.5)*V4927,(365/S4927)*V4927))</f>
        <v/>
      </c>
      <c r="X4927" s="75" t="n"/>
      <c r="Y4927" s="77" t="n"/>
      <c r="Z4927" s="77" t="n"/>
      <c r="AA4927" s="75" t="n"/>
      <c r="AB4927" s="75" t="n"/>
      <c r="AC4927" s="6" t="n"/>
      <c r="AD4927" s="75" t="n"/>
      <c r="AE4927" s="75" t="n"/>
      <c r="AF4927" s="75" t="n"/>
    </row>
    <row r="4928" ht="15.75" customHeight="1" s="133">
      <c r="A4928" s="75" t="n"/>
      <c r="B4928" s="75" t="n"/>
      <c r="C4928" s="75" t="n"/>
      <c r="D4928" s="75" t="n"/>
      <c r="E4928" s="76" t="n"/>
      <c r="F4928" s="77" t="n"/>
      <c r="G4928" s="75" t="n"/>
      <c r="H4928" s="75">
        <f>IF(ISBLANK(E4928),"",IF(OR(D4928="Butterfly",D4928="Butterfly ",D4928="Iron Fly", D4928="Iron Fly "),LEN(E4928)-LEN(SUBSTITUTE(E4928,"/",""))+2,LEN(E4928)-LEN(SUBSTITUTE(E4928,"/",""))+1))</f>
        <v/>
      </c>
      <c r="I4928" s="78">
        <f>IF(ISBLANK(G4928),"",IF(D4928="Stock","0",Key!$A$3*H4928*G4928))</f>
        <v/>
      </c>
      <c r="J4928" s="78">
        <f>IF(ISBLANK(E4928),"",IF(ISNUMBER(SEARCH("/",E4928)), IF(LEN(E4928)-LEN(SUBSTITUTE(E4928,"/",""))=1,(RIGHT(E4928,LEN(E4928)-FIND("/",E4928)))-(LEFT(E4928,FIND("/",E4928)-1)),(MID(E4928, SEARCH("/",E4928) + 1, SEARCH("/",E4928, SEARCH("/",E4928)+1) - SEARCH("/",E4928) - 1))-(LEFT(E4928,FIND("/",E4928)-1))), "NA"))</f>
        <v/>
      </c>
      <c r="K4928" s="79">
        <f>IF(A4928&lt;&gt;"", IF(ISBLANK(L4928), TODAY(), K4928), "")</f>
        <v/>
      </c>
      <c r="L4928" s="78" t="n"/>
      <c r="M4928" s="78">
        <f>IF(ISBLANK(L4928),"",IF(D4928="Stock",IF(C4928="Buy",L4928*G4928,IF(C4928="Sell",(L4928*G4928)-I4928, X)),IF(C4928="Buy",(L4928*G4928*100)+I4928,IF(C4928="Sell",(L4928*G4928*100)-I4928, X))))</f>
        <v/>
      </c>
      <c r="N4928" s="78">
        <f>IF(ISBLANK(L4928),"",IF(AND(C4928="Sell",D4928="Stock"),M4928,IF(ISBLANK(L4928),"",IF(C4928="Buy",M4928, IF(AND(C4928="Sell",J4928="NA"),(E4928*G4928*100*0.1)+I4928, IF(C4928="Sell",(J4928-L4928)*(100*G4928)+I4928))))))</f>
        <v/>
      </c>
      <c r="O4928" s="75" t="n"/>
      <c r="P4928" s="75" t="n"/>
      <c r="Q4928" s="75">
        <f>IF(ISBLANK(P4928),"",IF(D4928="Stock",P4928*G4928,IF(P4928=0,"0",G4928*P4928*100-(G4928*$AF$14))))</f>
        <v/>
      </c>
      <c r="R4928" s="79">
        <f>IF(P4928&lt;&gt;"", TODAY(), "")</f>
        <v/>
      </c>
      <c r="S4928" s="78">
        <f>IF(AND(K4928&lt;&gt;"", R4928&lt;&gt;""), R4928-K4928, "")</f>
        <v/>
      </c>
      <c r="T4928" s="78" t="n"/>
      <c r="U4928" s="92">
        <f>IF(ISBLANK(P4928),"",IF(C4928="Buy",Q4928-M4928+T4928, IF(C4928="Sell",M4928-Q4928-T4928, X)))</f>
        <v/>
      </c>
      <c r="V4928" s="81">
        <f>IF(ISBLANK(P4928),"",U4928/N4928)</f>
        <v/>
      </c>
      <c r="W4928" s="81">
        <f>IF(ISBLANK(P4928),"",IF(S4928=0,(365/0.5)*V4928,(365/S4928)*V4928))</f>
        <v/>
      </c>
      <c r="X4928" s="75" t="n"/>
      <c r="Y4928" s="77" t="n"/>
      <c r="Z4928" s="77" t="n"/>
      <c r="AA4928" s="75" t="n"/>
      <c r="AB4928" s="75" t="n"/>
      <c r="AC4928" s="6" t="n"/>
      <c r="AD4928" s="75" t="n"/>
      <c r="AE4928" s="75" t="n"/>
      <c r="AF4928" s="75" t="n"/>
    </row>
    <row r="4929" ht="15.75" customHeight="1" s="133">
      <c r="A4929" s="75" t="n"/>
      <c r="B4929" s="75" t="n"/>
      <c r="C4929" s="75" t="n"/>
      <c r="D4929" s="75" t="n"/>
      <c r="E4929" s="76" t="n"/>
      <c r="F4929" s="77" t="n"/>
      <c r="G4929" s="75" t="n"/>
      <c r="H4929" s="75">
        <f>IF(ISBLANK(E4929),"",IF(OR(D4929="Butterfly",D4929="Butterfly ",D4929="Iron Fly", D4929="Iron Fly "),LEN(E4929)-LEN(SUBSTITUTE(E4929,"/",""))+2,LEN(E4929)-LEN(SUBSTITUTE(E4929,"/",""))+1))</f>
        <v/>
      </c>
      <c r="I4929" s="78">
        <f>IF(ISBLANK(G4929),"",IF(D4929="Stock","0",Key!$A$3*H4929*G4929))</f>
        <v/>
      </c>
      <c r="J4929" s="78">
        <f>IF(ISBLANK(E4929),"",IF(ISNUMBER(SEARCH("/",E4929)), IF(LEN(E4929)-LEN(SUBSTITUTE(E4929,"/",""))=1,(RIGHT(E4929,LEN(E4929)-FIND("/",E4929)))-(LEFT(E4929,FIND("/",E4929)-1)),(MID(E4929, SEARCH("/",E4929) + 1, SEARCH("/",E4929, SEARCH("/",E4929)+1) - SEARCH("/",E4929) - 1))-(LEFT(E4929,FIND("/",E4929)-1))), "NA"))</f>
        <v/>
      </c>
      <c r="K4929" s="79">
        <f>IF(A4929&lt;&gt;"", IF(ISBLANK(L4929), TODAY(), K4929), "")</f>
        <v/>
      </c>
      <c r="L4929" s="78" t="n"/>
      <c r="M4929" s="78">
        <f>IF(ISBLANK(L4929),"",IF(D4929="Stock",IF(C4929="Buy",L4929*G4929,IF(C4929="Sell",(L4929*G4929)-I4929, X)),IF(C4929="Buy",(L4929*G4929*100)+I4929,IF(C4929="Sell",(L4929*G4929*100)-I4929, X))))</f>
        <v/>
      </c>
      <c r="N4929" s="78">
        <f>IF(ISBLANK(L4929),"",IF(AND(C4929="Sell",D4929="Stock"),M4929,IF(ISBLANK(L4929),"",IF(C4929="Buy",M4929, IF(AND(C4929="Sell",J4929="NA"),(E4929*G4929*100*0.1)+I4929, IF(C4929="Sell",(J4929-L4929)*(100*G4929)+I4929))))))</f>
        <v/>
      </c>
      <c r="O4929" s="75" t="n"/>
      <c r="P4929" s="75" t="n"/>
      <c r="Q4929" s="75">
        <f>IF(ISBLANK(P4929),"",IF(D4929="Stock",P4929*G4929,IF(P4929=0,"0",G4929*P4929*100-(G4929*$AF$14))))</f>
        <v/>
      </c>
      <c r="R4929" s="79">
        <f>IF(P4929&lt;&gt;"", TODAY(), "")</f>
        <v/>
      </c>
      <c r="S4929" s="78">
        <f>IF(AND(K4929&lt;&gt;"", R4929&lt;&gt;""), R4929-K4929, "")</f>
        <v/>
      </c>
      <c r="T4929" s="78" t="n"/>
      <c r="U4929" s="92">
        <f>IF(ISBLANK(P4929),"",IF(C4929="Buy",Q4929-M4929+T4929, IF(C4929="Sell",M4929-Q4929-T4929, X)))</f>
        <v/>
      </c>
      <c r="V4929" s="81">
        <f>IF(ISBLANK(P4929),"",U4929/N4929)</f>
        <v/>
      </c>
      <c r="W4929" s="81">
        <f>IF(ISBLANK(P4929),"",IF(S4929=0,(365/0.5)*V4929,(365/S4929)*V4929))</f>
        <v/>
      </c>
      <c r="X4929" s="75" t="n"/>
      <c r="Y4929" s="77" t="n"/>
      <c r="Z4929" s="77" t="n"/>
      <c r="AA4929" s="75" t="n"/>
      <c r="AB4929" s="75" t="n"/>
      <c r="AC4929" s="6" t="n"/>
      <c r="AD4929" s="75" t="n"/>
      <c r="AE4929" s="75" t="n"/>
      <c r="AF4929" s="75" t="n"/>
    </row>
    <row r="4930" ht="15.75" customHeight="1" s="133">
      <c r="A4930" s="75" t="n"/>
      <c r="B4930" s="75" t="n"/>
      <c r="C4930" s="75" t="n"/>
      <c r="D4930" s="75" t="n"/>
      <c r="E4930" s="76" t="n"/>
      <c r="F4930" s="77" t="n"/>
      <c r="G4930" s="75" t="n"/>
      <c r="H4930" s="75">
        <f>IF(ISBLANK(E4930),"",IF(OR(D4930="Butterfly",D4930="Butterfly ",D4930="Iron Fly", D4930="Iron Fly "),LEN(E4930)-LEN(SUBSTITUTE(E4930,"/",""))+2,LEN(E4930)-LEN(SUBSTITUTE(E4930,"/",""))+1))</f>
        <v/>
      </c>
      <c r="I4930" s="78">
        <f>IF(ISBLANK(G4930),"",IF(D4930="Stock","0",Key!$A$3*H4930*G4930))</f>
        <v/>
      </c>
      <c r="J4930" s="78">
        <f>IF(ISBLANK(E4930),"",IF(ISNUMBER(SEARCH("/",E4930)), IF(LEN(E4930)-LEN(SUBSTITUTE(E4930,"/",""))=1,(RIGHT(E4930,LEN(E4930)-FIND("/",E4930)))-(LEFT(E4930,FIND("/",E4930)-1)),(MID(E4930, SEARCH("/",E4930) + 1, SEARCH("/",E4930, SEARCH("/",E4930)+1) - SEARCH("/",E4930) - 1))-(LEFT(E4930,FIND("/",E4930)-1))), "NA"))</f>
        <v/>
      </c>
      <c r="K4930" s="79">
        <f>IF(A4930&lt;&gt;"", IF(ISBLANK(L4930), TODAY(), K4930), "")</f>
        <v/>
      </c>
      <c r="L4930" s="78" t="n"/>
      <c r="M4930" s="78">
        <f>IF(ISBLANK(L4930),"",IF(D4930="Stock",IF(C4930="Buy",L4930*G4930,IF(C4930="Sell",(L4930*G4930)-I4930, X)),IF(C4930="Buy",(L4930*G4930*100)+I4930,IF(C4930="Sell",(L4930*G4930*100)-I4930, X))))</f>
        <v/>
      </c>
      <c r="N4930" s="78">
        <f>IF(ISBLANK(L4930),"",IF(AND(C4930="Sell",D4930="Stock"),M4930,IF(ISBLANK(L4930),"",IF(C4930="Buy",M4930, IF(AND(C4930="Sell",J4930="NA"),(E4930*G4930*100*0.1)+I4930, IF(C4930="Sell",(J4930-L4930)*(100*G4930)+I4930))))))</f>
        <v/>
      </c>
      <c r="O4930" s="75" t="n"/>
      <c r="P4930" s="75" t="n"/>
      <c r="Q4930" s="75">
        <f>IF(ISBLANK(P4930),"",IF(D4930="Stock",P4930*G4930,IF(P4930=0,"0",G4930*P4930*100-(G4930*$AF$14))))</f>
        <v/>
      </c>
      <c r="R4930" s="79">
        <f>IF(P4930&lt;&gt;"", TODAY(), "")</f>
        <v/>
      </c>
      <c r="S4930" s="78">
        <f>IF(AND(K4930&lt;&gt;"", R4930&lt;&gt;""), R4930-K4930, "")</f>
        <v/>
      </c>
      <c r="T4930" s="78" t="n"/>
      <c r="U4930" s="92">
        <f>IF(ISBLANK(P4930),"",IF(C4930="Buy",Q4930-M4930+T4930, IF(C4930="Sell",M4930-Q4930-T4930, X)))</f>
        <v/>
      </c>
      <c r="V4930" s="81">
        <f>IF(ISBLANK(P4930),"",U4930/N4930)</f>
        <v/>
      </c>
      <c r="W4930" s="81">
        <f>IF(ISBLANK(P4930),"",IF(S4930=0,(365/0.5)*V4930,(365/S4930)*V4930))</f>
        <v/>
      </c>
      <c r="X4930" s="75" t="n"/>
      <c r="Y4930" s="77" t="n"/>
      <c r="Z4930" s="77" t="n"/>
      <c r="AA4930" s="75" t="n"/>
      <c r="AB4930" s="75" t="n"/>
      <c r="AC4930" s="6" t="n"/>
      <c r="AD4930" s="75" t="n"/>
      <c r="AE4930" s="75" t="n"/>
      <c r="AF4930" s="75" t="n"/>
    </row>
    <row r="4931" ht="15.75" customHeight="1" s="133">
      <c r="A4931" s="75" t="n"/>
      <c r="B4931" s="75" t="n"/>
      <c r="C4931" s="75" t="n"/>
      <c r="D4931" s="75" t="n"/>
      <c r="E4931" s="76" t="n"/>
      <c r="F4931" s="77" t="n"/>
      <c r="G4931" s="75" t="n"/>
      <c r="H4931" s="75">
        <f>IF(ISBLANK(E4931),"",IF(OR(D4931="Butterfly",D4931="Butterfly ",D4931="Iron Fly", D4931="Iron Fly "),LEN(E4931)-LEN(SUBSTITUTE(E4931,"/",""))+2,LEN(E4931)-LEN(SUBSTITUTE(E4931,"/",""))+1))</f>
        <v/>
      </c>
      <c r="I4931" s="78">
        <f>IF(ISBLANK(G4931),"",IF(D4931="Stock","0",Key!$A$3*H4931*G4931))</f>
        <v/>
      </c>
      <c r="J4931" s="78">
        <f>IF(ISBLANK(E4931),"",IF(ISNUMBER(SEARCH("/",E4931)), IF(LEN(E4931)-LEN(SUBSTITUTE(E4931,"/",""))=1,(RIGHT(E4931,LEN(E4931)-FIND("/",E4931)))-(LEFT(E4931,FIND("/",E4931)-1)),(MID(E4931, SEARCH("/",E4931) + 1, SEARCH("/",E4931, SEARCH("/",E4931)+1) - SEARCH("/",E4931) - 1))-(LEFT(E4931,FIND("/",E4931)-1))), "NA"))</f>
        <v/>
      </c>
      <c r="K4931" s="79">
        <f>IF(A4931&lt;&gt;"", IF(ISBLANK(L4931), TODAY(), K4931), "")</f>
        <v/>
      </c>
      <c r="L4931" s="78" t="n"/>
      <c r="M4931" s="78">
        <f>IF(ISBLANK(L4931),"",IF(D4931="Stock",IF(C4931="Buy",L4931*G4931,IF(C4931="Sell",(L4931*G4931)-I4931, X)),IF(C4931="Buy",(L4931*G4931*100)+I4931,IF(C4931="Sell",(L4931*G4931*100)-I4931, X))))</f>
        <v/>
      </c>
      <c r="N4931" s="78">
        <f>IF(ISBLANK(L4931),"",IF(AND(C4931="Sell",D4931="Stock"),M4931,IF(ISBLANK(L4931),"",IF(C4931="Buy",M4931, IF(AND(C4931="Sell",J4931="NA"),(E4931*G4931*100*0.1)+I4931, IF(C4931="Sell",(J4931-L4931)*(100*G4931)+I4931))))))</f>
        <v/>
      </c>
      <c r="O4931" s="75" t="n"/>
      <c r="P4931" s="75" t="n"/>
      <c r="Q4931" s="75">
        <f>IF(ISBLANK(P4931),"",IF(D4931="Stock",P4931*G4931,IF(P4931=0,"0",G4931*P4931*100-(G4931*$AF$14))))</f>
        <v/>
      </c>
      <c r="R4931" s="79">
        <f>IF(P4931&lt;&gt;"", TODAY(), "")</f>
        <v/>
      </c>
      <c r="S4931" s="78">
        <f>IF(AND(K4931&lt;&gt;"", R4931&lt;&gt;""), R4931-K4931, "")</f>
        <v/>
      </c>
      <c r="T4931" s="78" t="n"/>
      <c r="U4931" s="92">
        <f>IF(ISBLANK(P4931),"",IF(C4931="Buy",Q4931-M4931+T4931, IF(C4931="Sell",M4931-Q4931-T4931, X)))</f>
        <v/>
      </c>
      <c r="V4931" s="81">
        <f>IF(ISBLANK(P4931),"",U4931/N4931)</f>
        <v/>
      </c>
      <c r="W4931" s="81">
        <f>IF(ISBLANK(P4931),"",IF(S4931=0,(365/0.5)*V4931,(365/S4931)*V4931))</f>
        <v/>
      </c>
      <c r="X4931" s="75" t="n"/>
      <c r="Y4931" s="77" t="n"/>
      <c r="Z4931" s="77" t="n"/>
      <c r="AA4931" s="75" t="n"/>
      <c r="AB4931" s="75" t="n"/>
      <c r="AC4931" s="6" t="n"/>
      <c r="AD4931" s="75" t="n"/>
      <c r="AE4931" s="75" t="n"/>
      <c r="AF4931" s="75" t="n"/>
    </row>
    <row r="4932" ht="15.75" customHeight="1" s="133">
      <c r="A4932" s="75" t="n"/>
      <c r="B4932" s="75" t="n"/>
      <c r="C4932" s="75" t="n"/>
      <c r="D4932" s="75" t="n"/>
      <c r="E4932" s="76" t="n"/>
      <c r="F4932" s="77" t="n"/>
      <c r="G4932" s="75" t="n"/>
      <c r="H4932" s="75">
        <f>IF(ISBLANK(E4932),"",IF(OR(D4932="Butterfly",D4932="Butterfly ",D4932="Iron Fly", D4932="Iron Fly "),LEN(E4932)-LEN(SUBSTITUTE(E4932,"/",""))+2,LEN(E4932)-LEN(SUBSTITUTE(E4932,"/",""))+1))</f>
        <v/>
      </c>
      <c r="I4932" s="78">
        <f>IF(ISBLANK(G4932),"",IF(D4932="Stock","0",Key!$A$3*H4932*G4932))</f>
        <v/>
      </c>
      <c r="J4932" s="78">
        <f>IF(ISBLANK(E4932),"",IF(ISNUMBER(SEARCH("/",E4932)), IF(LEN(E4932)-LEN(SUBSTITUTE(E4932,"/",""))=1,(RIGHT(E4932,LEN(E4932)-FIND("/",E4932)))-(LEFT(E4932,FIND("/",E4932)-1)),(MID(E4932, SEARCH("/",E4932) + 1, SEARCH("/",E4932, SEARCH("/",E4932)+1) - SEARCH("/",E4932) - 1))-(LEFT(E4932,FIND("/",E4932)-1))), "NA"))</f>
        <v/>
      </c>
      <c r="K4932" s="79">
        <f>IF(A4932&lt;&gt;"", IF(ISBLANK(L4932), TODAY(), K4932), "")</f>
        <v/>
      </c>
      <c r="L4932" s="78" t="n"/>
      <c r="M4932" s="78">
        <f>IF(ISBLANK(L4932),"",IF(D4932="Stock",IF(C4932="Buy",L4932*G4932,IF(C4932="Sell",(L4932*G4932)-I4932, X)),IF(C4932="Buy",(L4932*G4932*100)+I4932,IF(C4932="Sell",(L4932*G4932*100)-I4932, X))))</f>
        <v/>
      </c>
      <c r="N4932" s="78">
        <f>IF(ISBLANK(L4932),"",IF(AND(C4932="Sell",D4932="Stock"),M4932,IF(ISBLANK(L4932),"",IF(C4932="Buy",M4932, IF(AND(C4932="Sell",J4932="NA"),(E4932*G4932*100*0.1)+I4932, IF(C4932="Sell",(J4932-L4932)*(100*G4932)+I4932))))))</f>
        <v/>
      </c>
      <c r="O4932" s="75" t="n"/>
      <c r="P4932" s="75" t="n"/>
      <c r="Q4932" s="75">
        <f>IF(ISBLANK(P4932),"",IF(D4932="Stock",P4932*G4932,IF(P4932=0,"0",G4932*P4932*100-(G4932*$AF$14))))</f>
        <v/>
      </c>
      <c r="R4932" s="79">
        <f>IF(P4932&lt;&gt;"", TODAY(), "")</f>
        <v/>
      </c>
      <c r="S4932" s="78">
        <f>IF(AND(K4932&lt;&gt;"", R4932&lt;&gt;""), R4932-K4932, "")</f>
        <v/>
      </c>
      <c r="T4932" s="78" t="n"/>
      <c r="U4932" s="92">
        <f>IF(ISBLANK(P4932),"",IF(C4932="Buy",Q4932-M4932+T4932, IF(C4932="Sell",M4932-Q4932-T4932, X)))</f>
        <v/>
      </c>
      <c r="V4932" s="81">
        <f>IF(ISBLANK(P4932),"",U4932/N4932)</f>
        <v/>
      </c>
      <c r="W4932" s="81">
        <f>IF(ISBLANK(P4932),"",IF(S4932=0,(365/0.5)*V4932,(365/S4932)*V4932))</f>
        <v/>
      </c>
      <c r="X4932" s="75" t="n"/>
      <c r="Y4932" s="77" t="n"/>
      <c r="Z4932" s="77" t="n"/>
      <c r="AA4932" s="75" t="n"/>
      <c r="AB4932" s="75" t="n"/>
      <c r="AC4932" s="6" t="n"/>
      <c r="AD4932" s="75" t="n"/>
      <c r="AE4932" s="75" t="n"/>
      <c r="AF4932" s="75" t="n"/>
    </row>
    <row r="4933" ht="15.75" customHeight="1" s="133">
      <c r="A4933" s="75" t="n"/>
      <c r="B4933" s="75" t="n"/>
      <c r="C4933" s="75" t="n"/>
      <c r="D4933" s="75" t="n"/>
      <c r="E4933" s="76" t="n"/>
      <c r="F4933" s="77" t="n"/>
      <c r="G4933" s="75" t="n"/>
      <c r="H4933" s="75">
        <f>IF(ISBLANK(E4933),"",IF(OR(D4933="Butterfly",D4933="Butterfly ",D4933="Iron Fly", D4933="Iron Fly "),LEN(E4933)-LEN(SUBSTITUTE(E4933,"/",""))+2,LEN(E4933)-LEN(SUBSTITUTE(E4933,"/",""))+1))</f>
        <v/>
      </c>
      <c r="I4933" s="78">
        <f>IF(ISBLANK(G4933),"",IF(D4933="Stock","0",Key!$A$3*H4933*G4933))</f>
        <v/>
      </c>
      <c r="J4933" s="78">
        <f>IF(ISBLANK(E4933),"",IF(ISNUMBER(SEARCH("/",E4933)), IF(LEN(E4933)-LEN(SUBSTITUTE(E4933,"/",""))=1,(RIGHT(E4933,LEN(E4933)-FIND("/",E4933)))-(LEFT(E4933,FIND("/",E4933)-1)),(MID(E4933, SEARCH("/",E4933) + 1, SEARCH("/",E4933, SEARCH("/",E4933)+1) - SEARCH("/",E4933) - 1))-(LEFT(E4933,FIND("/",E4933)-1))), "NA"))</f>
        <v/>
      </c>
      <c r="K4933" s="79">
        <f>IF(A4933&lt;&gt;"", IF(ISBLANK(L4933), TODAY(), K4933), "")</f>
        <v/>
      </c>
      <c r="L4933" s="78" t="n"/>
      <c r="M4933" s="78">
        <f>IF(ISBLANK(L4933),"",IF(D4933="Stock",IF(C4933="Buy",L4933*G4933,IF(C4933="Sell",(L4933*G4933)-I4933, X)),IF(C4933="Buy",(L4933*G4933*100)+I4933,IF(C4933="Sell",(L4933*G4933*100)-I4933, X))))</f>
        <v/>
      </c>
      <c r="N4933" s="78">
        <f>IF(ISBLANK(L4933),"",IF(AND(C4933="Sell",D4933="Stock"),M4933,IF(ISBLANK(L4933),"",IF(C4933="Buy",M4933, IF(AND(C4933="Sell",J4933="NA"),(E4933*G4933*100*0.1)+I4933, IF(C4933="Sell",(J4933-L4933)*(100*G4933)+I4933))))))</f>
        <v/>
      </c>
      <c r="O4933" s="75" t="n"/>
      <c r="P4933" s="75" t="n"/>
      <c r="Q4933" s="75">
        <f>IF(ISBLANK(P4933),"",IF(D4933="Stock",P4933*G4933,IF(P4933=0,"0",G4933*P4933*100-(G4933*$AF$14))))</f>
        <v/>
      </c>
      <c r="R4933" s="79">
        <f>IF(P4933&lt;&gt;"", TODAY(), "")</f>
        <v/>
      </c>
      <c r="S4933" s="78">
        <f>IF(AND(K4933&lt;&gt;"", R4933&lt;&gt;""), R4933-K4933, "")</f>
        <v/>
      </c>
      <c r="T4933" s="78" t="n"/>
      <c r="U4933" s="92">
        <f>IF(ISBLANK(P4933),"",IF(C4933="Buy",Q4933-M4933+T4933, IF(C4933="Sell",M4933-Q4933-T4933, X)))</f>
        <v/>
      </c>
      <c r="V4933" s="81">
        <f>IF(ISBLANK(P4933),"",U4933/N4933)</f>
        <v/>
      </c>
      <c r="W4933" s="81">
        <f>IF(ISBLANK(P4933),"",IF(S4933=0,(365/0.5)*V4933,(365/S4933)*V4933))</f>
        <v/>
      </c>
      <c r="X4933" s="75" t="n"/>
      <c r="Y4933" s="77" t="n"/>
      <c r="Z4933" s="77" t="n"/>
      <c r="AA4933" s="75" t="n"/>
      <c r="AB4933" s="75" t="n"/>
      <c r="AC4933" s="6" t="n"/>
      <c r="AD4933" s="75" t="n"/>
      <c r="AE4933" s="75" t="n"/>
      <c r="AF4933" s="75" t="n"/>
    </row>
    <row r="4934" ht="15.75" customHeight="1" s="133">
      <c r="A4934" s="75" t="n"/>
      <c r="B4934" s="75" t="n"/>
      <c r="C4934" s="75" t="n"/>
      <c r="D4934" s="75" t="n"/>
      <c r="E4934" s="76" t="n"/>
      <c r="F4934" s="77" t="n"/>
      <c r="G4934" s="75" t="n"/>
      <c r="H4934" s="75">
        <f>IF(ISBLANK(E4934),"",IF(OR(D4934="Butterfly",D4934="Butterfly ",D4934="Iron Fly", D4934="Iron Fly "),LEN(E4934)-LEN(SUBSTITUTE(E4934,"/",""))+2,LEN(E4934)-LEN(SUBSTITUTE(E4934,"/",""))+1))</f>
        <v/>
      </c>
      <c r="I4934" s="78">
        <f>IF(ISBLANK(G4934),"",IF(D4934="Stock","0",Key!$A$3*H4934*G4934))</f>
        <v/>
      </c>
      <c r="J4934" s="78">
        <f>IF(ISBLANK(E4934),"",IF(ISNUMBER(SEARCH("/",E4934)), IF(LEN(E4934)-LEN(SUBSTITUTE(E4934,"/",""))=1,(RIGHT(E4934,LEN(E4934)-FIND("/",E4934)))-(LEFT(E4934,FIND("/",E4934)-1)),(MID(E4934, SEARCH("/",E4934) + 1, SEARCH("/",E4934, SEARCH("/",E4934)+1) - SEARCH("/",E4934) - 1))-(LEFT(E4934,FIND("/",E4934)-1))), "NA"))</f>
        <v/>
      </c>
      <c r="K4934" s="79">
        <f>IF(A4934&lt;&gt;"", IF(ISBLANK(L4934), TODAY(), K4934), "")</f>
        <v/>
      </c>
      <c r="L4934" s="78" t="n"/>
      <c r="M4934" s="78">
        <f>IF(ISBLANK(L4934),"",IF(D4934="Stock",IF(C4934="Buy",L4934*G4934,IF(C4934="Sell",(L4934*G4934)-I4934, X)),IF(C4934="Buy",(L4934*G4934*100)+I4934,IF(C4934="Sell",(L4934*G4934*100)-I4934, X))))</f>
        <v/>
      </c>
      <c r="N4934" s="78">
        <f>IF(ISBLANK(L4934),"",IF(AND(C4934="Sell",D4934="Stock"),M4934,IF(ISBLANK(L4934),"",IF(C4934="Buy",M4934, IF(AND(C4934="Sell",J4934="NA"),(E4934*G4934*100*0.1)+I4934, IF(C4934="Sell",(J4934-L4934)*(100*G4934)+I4934))))))</f>
        <v/>
      </c>
      <c r="O4934" s="75" t="n"/>
      <c r="P4934" s="75" t="n"/>
      <c r="Q4934" s="75">
        <f>IF(ISBLANK(P4934),"",IF(D4934="Stock",P4934*G4934,IF(P4934=0,"0",G4934*P4934*100-(G4934*$AF$14))))</f>
        <v/>
      </c>
      <c r="R4934" s="79">
        <f>IF(P4934&lt;&gt;"", TODAY(), "")</f>
        <v/>
      </c>
      <c r="S4934" s="78">
        <f>IF(AND(K4934&lt;&gt;"", R4934&lt;&gt;""), R4934-K4934, "")</f>
        <v/>
      </c>
      <c r="T4934" s="78" t="n"/>
      <c r="U4934" s="92">
        <f>IF(ISBLANK(P4934),"",IF(C4934="Buy",Q4934-M4934+T4934, IF(C4934="Sell",M4934-Q4934-T4934, X)))</f>
        <v/>
      </c>
      <c r="V4934" s="81">
        <f>IF(ISBLANK(P4934),"",U4934/N4934)</f>
        <v/>
      </c>
      <c r="W4934" s="81">
        <f>IF(ISBLANK(P4934),"",IF(S4934=0,(365/0.5)*V4934,(365/S4934)*V4934))</f>
        <v/>
      </c>
      <c r="X4934" s="75" t="n"/>
      <c r="Y4934" s="77" t="n"/>
      <c r="Z4934" s="77" t="n"/>
      <c r="AA4934" s="75" t="n"/>
      <c r="AB4934" s="75" t="n"/>
      <c r="AC4934" s="6" t="n"/>
      <c r="AD4934" s="75" t="n"/>
      <c r="AE4934" s="75" t="n"/>
      <c r="AF4934" s="75" t="n"/>
    </row>
    <row r="4935" ht="15.75" customHeight="1" s="133">
      <c r="A4935" s="75" t="n"/>
      <c r="B4935" s="75" t="n"/>
      <c r="C4935" s="75" t="n"/>
      <c r="D4935" s="75" t="n"/>
      <c r="E4935" s="76" t="n"/>
      <c r="F4935" s="77" t="n"/>
      <c r="G4935" s="75" t="n"/>
      <c r="H4935" s="75">
        <f>IF(ISBLANK(E4935),"",IF(OR(D4935="Butterfly",D4935="Butterfly ",D4935="Iron Fly", D4935="Iron Fly "),LEN(E4935)-LEN(SUBSTITUTE(E4935,"/",""))+2,LEN(E4935)-LEN(SUBSTITUTE(E4935,"/",""))+1))</f>
        <v/>
      </c>
      <c r="I4935" s="78">
        <f>IF(ISBLANK(G4935),"",IF(D4935="Stock","0",Key!$A$3*H4935*G4935))</f>
        <v/>
      </c>
      <c r="J4935" s="78">
        <f>IF(ISBLANK(E4935),"",IF(ISNUMBER(SEARCH("/",E4935)), IF(LEN(E4935)-LEN(SUBSTITUTE(E4935,"/",""))=1,(RIGHT(E4935,LEN(E4935)-FIND("/",E4935)))-(LEFT(E4935,FIND("/",E4935)-1)),(MID(E4935, SEARCH("/",E4935) + 1, SEARCH("/",E4935, SEARCH("/",E4935)+1) - SEARCH("/",E4935) - 1))-(LEFT(E4935,FIND("/",E4935)-1))), "NA"))</f>
        <v/>
      </c>
      <c r="K4935" s="79">
        <f>IF(A4935&lt;&gt;"", IF(ISBLANK(L4935), TODAY(), K4935), "")</f>
        <v/>
      </c>
      <c r="L4935" s="78" t="n"/>
      <c r="M4935" s="78">
        <f>IF(ISBLANK(L4935),"",IF(D4935="Stock",IF(C4935="Buy",L4935*G4935,IF(C4935="Sell",(L4935*G4935)-I4935, X)),IF(C4935="Buy",(L4935*G4935*100)+I4935,IF(C4935="Sell",(L4935*G4935*100)-I4935, X))))</f>
        <v/>
      </c>
      <c r="N4935" s="78">
        <f>IF(ISBLANK(L4935),"",IF(AND(C4935="Sell",D4935="Stock"),M4935,IF(ISBLANK(L4935),"",IF(C4935="Buy",M4935, IF(AND(C4935="Sell",J4935="NA"),(E4935*G4935*100*0.1)+I4935, IF(C4935="Sell",(J4935-L4935)*(100*G4935)+I4935))))))</f>
        <v/>
      </c>
      <c r="O4935" s="75" t="n"/>
      <c r="P4935" s="75" t="n"/>
      <c r="Q4935" s="75">
        <f>IF(ISBLANK(P4935),"",IF(D4935="Stock",P4935*G4935,IF(P4935=0,"0",G4935*P4935*100-(G4935*$AF$14))))</f>
        <v/>
      </c>
      <c r="R4935" s="79">
        <f>IF(P4935&lt;&gt;"", TODAY(), "")</f>
        <v/>
      </c>
      <c r="S4935" s="78">
        <f>IF(AND(K4935&lt;&gt;"", R4935&lt;&gt;""), R4935-K4935, "")</f>
        <v/>
      </c>
      <c r="T4935" s="78" t="n"/>
      <c r="U4935" s="92">
        <f>IF(ISBLANK(P4935),"",IF(C4935="Buy",Q4935-M4935+T4935, IF(C4935="Sell",M4935-Q4935-T4935, X)))</f>
        <v/>
      </c>
      <c r="V4935" s="81">
        <f>IF(ISBLANK(P4935),"",U4935/N4935)</f>
        <v/>
      </c>
      <c r="W4935" s="81">
        <f>IF(ISBLANK(P4935),"",IF(S4935=0,(365/0.5)*V4935,(365/S4935)*V4935))</f>
        <v/>
      </c>
      <c r="X4935" s="75" t="n"/>
      <c r="Y4935" s="77" t="n"/>
      <c r="Z4935" s="77" t="n"/>
      <c r="AA4935" s="75" t="n"/>
      <c r="AB4935" s="75" t="n"/>
      <c r="AC4935" s="6" t="n"/>
      <c r="AD4935" s="75" t="n"/>
      <c r="AE4935" s="75" t="n"/>
      <c r="AF4935" s="75" t="n"/>
    </row>
    <row r="4936" ht="15.75" customHeight="1" s="133">
      <c r="A4936" s="75" t="n"/>
      <c r="B4936" s="75" t="n"/>
      <c r="C4936" s="75" t="n"/>
      <c r="D4936" s="75" t="n"/>
      <c r="E4936" s="76" t="n"/>
      <c r="F4936" s="77" t="n"/>
      <c r="G4936" s="75" t="n"/>
      <c r="H4936" s="75">
        <f>IF(ISBLANK(E4936),"",IF(OR(D4936="Butterfly",D4936="Butterfly ",D4936="Iron Fly", D4936="Iron Fly "),LEN(E4936)-LEN(SUBSTITUTE(E4936,"/",""))+2,LEN(E4936)-LEN(SUBSTITUTE(E4936,"/",""))+1))</f>
        <v/>
      </c>
      <c r="I4936" s="78">
        <f>IF(ISBLANK(G4936),"",IF(D4936="Stock","0",Key!$A$3*H4936*G4936))</f>
        <v/>
      </c>
      <c r="J4936" s="78">
        <f>IF(ISBLANK(E4936),"",IF(ISNUMBER(SEARCH("/",E4936)), IF(LEN(E4936)-LEN(SUBSTITUTE(E4936,"/",""))=1,(RIGHT(E4936,LEN(E4936)-FIND("/",E4936)))-(LEFT(E4936,FIND("/",E4936)-1)),(MID(E4936, SEARCH("/",E4936) + 1, SEARCH("/",E4936, SEARCH("/",E4936)+1) - SEARCH("/",E4936) - 1))-(LEFT(E4936,FIND("/",E4936)-1))), "NA"))</f>
        <v/>
      </c>
      <c r="K4936" s="79">
        <f>IF(A4936&lt;&gt;"", IF(ISBLANK(L4936), TODAY(), K4936), "")</f>
        <v/>
      </c>
      <c r="L4936" s="78" t="n"/>
      <c r="M4936" s="78">
        <f>IF(ISBLANK(L4936),"",IF(D4936="Stock",IF(C4936="Buy",L4936*G4936,IF(C4936="Sell",(L4936*G4936)-I4936, X)),IF(C4936="Buy",(L4936*G4936*100)+I4936,IF(C4936="Sell",(L4936*G4936*100)-I4936, X))))</f>
        <v/>
      </c>
      <c r="N4936" s="78">
        <f>IF(ISBLANK(L4936),"",IF(AND(C4936="Sell",D4936="Stock"),M4936,IF(ISBLANK(L4936),"",IF(C4936="Buy",M4936, IF(AND(C4936="Sell",J4936="NA"),(E4936*G4936*100*0.1)+I4936, IF(C4936="Sell",(J4936-L4936)*(100*G4936)+I4936))))))</f>
        <v/>
      </c>
      <c r="O4936" s="75" t="n"/>
      <c r="P4936" s="75" t="n"/>
      <c r="Q4936" s="75">
        <f>IF(ISBLANK(P4936),"",IF(D4936="Stock",P4936*G4936,IF(P4936=0,"0",G4936*P4936*100-(G4936*$AF$14))))</f>
        <v/>
      </c>
      <c r="R4936" s="79">
        <f>IF(P4936&lt;&gt;"", TODAY(), "")</f>
        <v/>
      </c>
      <c r="S4936" s="78">
        <f>IF(AND(K4936&lt;&gt;"", R4936&lt;&gt;""), R4936-K4936, "")</f>
        <v/>
      </c>
      <c r="T4936" s="78" t="n"/>
      <c r="U4936" s="92">
        <f>IF(ISBLANK(P4936),"",IF(C4936="Buy",Q4936-M4936+T4936, IF(C4936="Sell",M4936-Q4936-T4936, X)))</f>
        <v/>
      </c>
      <c r="V4936" s="81">
        <f>IF(ISBLANK(P4936),"",U4936/N4936)</f>
        <v/>
      </c>
      <c r="W4936" s="81">
        <f>IF(ISBLANK(P4936),"",IF(S4936=0,(365/0.5)*V4936,(365/S4936)*V4936))</f>
        <v/>
      </c>
      <c r="X4936" s="75" t="n"/>
      <c r="Y4936" s="77" t="n"/>
      <c r="Z4936" s="77" t="n"/>
      <c r="AA4936" s="75" t="n"/>
      <c r="AB4936" s="75" t="n"/>
      <c r="AC4936" s="6" t="n"/>
      <c r="AD4936" s="75" t="n"/>
      <c r="AE4936" s="75" t="n"/>
      <c r="AF4936" s="75" t="n"/>
    </row>
    <row r="4937" ht="15.75" customHeight="1" s="133">
      <c r="A4937" s="75" t="n"/>
      <c r="B4937" s="75" t="n"/>
      <c r="C4937" s="75" t="n"/>
      <c r="D4937" s="75" t="n"/>
      <c r="E4937" s="76" t="n"/>
      <c r="F4937" s="77" t="n"/>
      <c r="G4937" s="75" t="n"/>
      <c r="H4937" s="75">
        <f>IF(ISBLANK(E4937),"",IF(OR(D4937="Butterfly",D4937="Butterfly ",D4937="Iron Fly", D4937="Iron Fly "),LEN(E4937)-LEN(SUBSTITUTE(E4937,"/",""))+2,LEN(E4937)-LEN(SUBSTITUTE(E4937,"/",""))+1))</f>
        <v/>
      </c>
      <c r="I4937" s="78">
        <f>IF(ISBLANK(G4937),"",IF(D4937="Stock","0",Key!$A$3*H4937*G4937))</f>
        <v/>
      </c>
      <c r="J4937" s="78">
        <f>IF(ISBLANK(E4937),"",IF(ISNUMBER(SEARCH("/",E4937)), IF(LEN(E4937)-LEN(SUBSTITUTE(E4937,"/",""))=1,(RIGHT(E4937,LEN(E4937)-FIND("/",E4937)))-(LEFT(E4937,FIND("/",E4937)-1)),(MID(E4937, SEARCH("/",E4937) + 1, SEARCH("/",E4937, SEARCH("/",E4937)+1) - SEARCH("/",E4937) - 1))-(LEFT(E4937,FIND("/",E4937)-1))), "NA"))</f>
        <v/>
      </c>
      <c r="K4937" s="79">
        <f>IF(A4937&lt;&gt;"", IF(ISBLANK(L4937), TODAY(), K4937), "")</f>
        <v/>
      </c>
      <c r="L4937" s="78" t="n"/>
      <c r="M4937" s="78">
        <f>IF(ISBLANK(L4937),"",IF(D4937="Stock",IF(C4937="Buy",L4937*G4937,IF(C4937="Sell",(L4937*G4937)-I4937, X)),IF(C4937="Buy",(L4937*G4937*100)+I4937,IF(C4937="Sell",(L4937*G4937*100)-I4937, X))))</f>
        <v/>
      </c>
      <c r="N4937" s="78">
        <f>IF(ISBLANK(L4937),"",IF(AND(C4937="Sell",D4937="Stock"),M4937,IF(ISBLANK(L4937),"",IF(C4937="Buy",M4937, IF(AND(C4937="Sell",J4937="NA"),(E4937*G4937*100*0.1)+I4937, IF(C4937="Sell",(J4937-L4937)*(100*G4937)+I4937))))))</f>
        <v/>
      </c>
      <c r="O4937" s="75" t="n"/>
      <c r="P4937" s="75" t="n"/>
      <c r="Q4937" s="75">
        <f>IF(ISBLANK(P4937),"",IF(D4937="Stock",P4937*G4937,IF(P4937=0,"0",G4937*P4937*100-(G4937*$AF$14))))</f>
        <v/>
      </c>
      <c r="R4937" s="79">
        <f>IF(P4937&lt;&gt;"", TODAY(), "")</f>
        <v/>
      </c>
      <c r="S4937" s="78">
        <f>IF(AND(K4937&lt;&gt;"", R4937&lt;&gt;""), R4937-K4937, "")</f>
        <v/>
      </c>
      <c r="T4937" s="78" t="n"/>
      <c r="U4937" s="92">
        <f>IF(ISBLANK(P4937),"",IF(C4937="Buy",Q4937-M4937+T4937, IF(C4937="Sell",M4937-Q4937-T4937, X)))</f>
        <v/>
      </c>
      <c r="V4937" s="81">
        <f>IF(ISBLANK(P4937),"",U4937/N4937)</f>
        <v/>
      </c>
      <c r="W4937" s="81">
        <f>IF(ISBLANK(P4937),"",IF(S4937=0,(365/0.5)*V4937,(365/S4937)*V4937))</f>
        <v/>
      </c>
      <c r="X4937" s="75" t="n"/>
      <c r="Y4937" s="77" t="n"/>
      <c r="Z4937" s="77" t="n"/>
      <c r="AA4937" s="75" t="n"/>
      <c r="AB4937" s="75" t="n"/>
      <c r="AC4937" s="6" t="n"/>
      <c r="AD4937" s="75" t="n"/>
      <c r="AE4937" s="75" t="n"/>
      <c r="AF4937" s="75" t="n"/>
    </row>
    <row r="4938" ht="15.75" customHeight="1" s="133">
      <c r="A4938" s="75" t="n"/>
      <c r="B4938" s="75" t="n"/>
      <c r="C4938" s="75" t="n"/>
      <c r="D4938" s="75" t="n"/>
      <c r="E4938" s="76" t="n"/>
      <c r="F4938" s="77" t="n"/>
      <c r="G4938" s="75" t="n"/>
      <c r="H4938" s="75">
        <f>IF(ISBLANK(E4938),"",IF(OR(D4938="Butterfly",D4938="Butterfly ",D4938="Iron Fly", D4938="Iron Fly "),LEN(E4938)-LEN(SUBSTITUTE(E4938,"/",""))+2,LEN(E4938)-LEN(SUBSTITUTE(E4938,"/",""))+1))</f>
        <v/>
      </c>
      <c r="I4938" s="78">
        <f>IF(ISBLANK(G4938),"",IF(D4938="Stock","0",Key!$A$3*H4938*G4938))</f>
        <v/>
      </c>
      <c r="J4938" s="78">
        <f>IF(ISBLANK(E4938),"",IF(ISNUMBER(SEARCH("/",E4938)), IF(LEN(E4938)-LEN(SUBSTITUTE(E4938,"/",""))=1,(RIGHT(E4938,LEN(E4938)-FIND("/",E4938)))-(LEFT(E4938,FIND("/",E4938)-1)),(MID(E4938, SEARCH("/",E4938) + 1, SEARCH("/",E4938, SEARCH("/",E4938)+1) - SEARCH("/",E4938) - 1))-(LEFT(E4938,FIND("/",E4938)-1))), "NA"))</f>
        <v/>
      </c>
      <c r="K4938" s="79">
        <f>IF(A4938&lt;&gt;"", IF(ISBLANK(L4938), TODAY(), K4938), "")</f>
        <v/>
      </c>
      <c r="L4938" s="78" t="n"/>
      <c r="M4938" s="78">
        <f>IF(ISBLANK(L4938),"",IF(D4938="Stock",IF(C4938="Buy",L4938*G4938,IF(C4938="Sell",(L4938*G4938)-I4938, X)),IF(C4938="Buy",(L4938*G4938*100)+I4938,IF(C4938="Sell",(L4938*G4938*100)-I4938, X))))</f>
        <v/>
      </c>
      <c r="N4938" s="78">
        <f>IF(ISBLANK(L4938),"",IF(AND(C4938="Sell",D4938="Stock"),M4938,IF(ISBLANK(L4938),"",IF(C4938="Buy",M4938, IF(AND(C4938="Sell",J4938="NA"),(E4938*G4938*100*0.1)+I4938, IF(C4938="Sell",(J4938-L4938)*(100*G4938)+I4938))))))</f>
        <v/>
      </c>
      <c r="O4938" s="75" t="n"/>
      <c r="P4938" s="75" t="n"/>
      <c r="Q4938" s="75">
        <f>IF(ISBLANK(P4938),"",IF(D4938="Stock",P4938*G4938,IF(P4938=0,"0",G4938*P4938*100-(G4938*$AF$14))))</f>
        <v/>
      </c>
      <c r="R4938" s="79">
        <f>IF(P4938&lt;&gt;"", TODAY(), "")</f>
        <v/>
      </c>
      <c r="S4938" s="78">
        <f>IF(AND(K4938&lt;&gt;"", R4938&lt;&gt;""), R4938-K4938, "")</f>
        <v/>
      </c>
      <c r="T4938" s="78" t="n"/>
      <c r="U4938" s="92">
        <f>IF(ISBLANK(P4938),"",IF(C4938="Buy",Q4938-M4938+T4938, IF(C4938="Sell",M4938-Q4938-T4938, X)))</f>
        <v/>
      </c>
      <c r="V4938" s="81">
        <f>IF(ISBLANK(P4938),"",U4938/N4938)</f>
        <v/>
      </c>
      <c r="W4938" s="81">
        <f>IF(ISBLANK(P4938),"",IF(S4938=0,(365/0.5)*V4938,(365/S4938)*V4938))</f>
        <v/>
      </c>
      <c r="X4938" s="75" t="n"/>
      <c r="Y4938" s="77" t="n"/>
      <c r="Z4938" s="77" t="n"/>
      <c r="AA4938" s="75" t="n"/>
      <c r="AB4938" s="75" t="n"/>
      <c r="AC4938" s="6" t="n"/>
      <c r="AD4938" s="75" t="n"/>
      <c r="AE4938" s="75" t="n"/>
      <c r="AF4938" s="75" t="n"/>
    </row>
    <row r="4939" ht="15.75" customHeight="1" s="133">
      <c r="A4939" s="75" t="n"/>
      <c r="B4939" s="75" t="n"/>
      <c r="C4939" s="75" t="n"/>
      <c r="D4939" s="75" t="n"/>
      <c r="E4939" s="76" t="n"/>
      <c r="F4939" s="77" t="n"/>
      <c r="G4939" s="75" t="n"/>
      <c r="H4939" s="75">
        <f>IF(ISBLANK(E4939),"",IF(OR(D4939="Butterfly",D4939="Butterfly ",D4939="Iron Fly", D4939="Iron Fly "),LEN(E4939)-LEN(SUBSTITUTE(E4939,"/",""))+2,LEN(E4939)-LEN(SUBSTITUTE(E4939,"/",""))+1))</f>
        <v/>
      </c>
      <c r="I4939" s="78">
        <f>IF(ISBLANK(G4939),"",IF(D4939="Stock","0",Key!$A$3*H4939*G4939))</f>
        <v/>
      </c>
      <c r="J4939" s="78">
        <f>IF(ISBLANK(E4939),"",IF(ISNUMBER(SEARCH("/",E4939)), IF(LEN(E4939)-LEN(SUBSTITUTE(E4939,"/",""))=1,(RIGHT(E4939,LEN(E4939)-FIND("/",E4939)))-(LEFT(E4939,FIND("/",E4939)-1)),(MID(E4939, SEARCH("/",E4939) + 1, SEARCH("/",E4939, SEARCH("/",E4939)+1) - SEARCH("/",E4939) - 1))-(LEFT(E4939,FIND("/",E4939)-1))), "NA"))</f>
        <v/>
      </c>
      <c r="K4939" s="79">
        <f>IF(A4939&lt;&gt;"", IF(ISBLANK(L4939), TODAY(), K4939), "")</f>
        <v/>
      </c>
      <c r="L4939" s="78" t="n"/>
      <c r="M4939" s="78">
        <f>IF(ISBLANK(L4939),"",IF(D4939="Stock",IF(C4939="Buy",L4939*G4939,IF(C4939="Sell",(L4939*G4939)-I4939, X)),IF(C4939="Buy",(L4939*G4939*100)+I4939,IF(C4939="Sell",(L4939*G4939*100)-I4939, X))))</f>
        <v/>
      </c>
      <c r="N4939" s="78">
        <f>IF(ISBLANK(L4939),"",IF(AND(C4939="Sell",D4939="Stock"),M4939,IF(ISBLANK(L4939),"",IF(C4939="Buy",M4939, IF(AND(C4939="Sell",J4939="NA"),(E4939*G4939*100*0.1)+I4939, IF(C4939="Sell",(J4939-L4939)*(100*G4939)+I4939))))))</f>
        <v/>
      </c>
      <c r="O4939" s="75" t="n"/>
      <c r="P4939" s="75" t="n"/>
      <c r="Q4939" s="75">
        <f>IF(ISBLANK(P4939),"",IF(D4939="Stock",P4939*G4939,IF(P4939=0,"0",G4939*P4939*100-(G4939*$AF$14))))</f>
        <v/>
      </c>
      <c r="R4939" s="79">
        <f>IF(P4939&lt;&gt;"", TODAY(), "")</f>
        <v/>
      </c>
      <c r="S4939" s="78">
        <f>IF(AND(K4939&lt;&gt;"", R4939&lt;&gt;""), R4939-K4939, "")</f>
        <v/>
      </c>
      <c r="T4939" s="78" t="n"/>
      <c r="U4939" s="92">
        <f>IF(ISBLANK(P4939),"",IF(C4939="Buy",Q4939-M4939+T4939, IF(C4939="Sell",M4939-Q4939-T4939, X)))</f>
        <v/>
      </c>
      <c r="V4939" s="81">
        <f>IF(ISBLANK(P4939),"",U4939/N4939)</f>
        <v/>
      </c>
      <c r="W4939" s="81">
        <f>IF(ISBLANK(P4939),"",IF(S4939=0,(365/0.5)*V4939,(365/S4939)*V4939))</f>
        <v/>
      </c>
      <c r="X4939" s="75" t="n"/>
      <c r="Y4939" s="77" t="n"/>
      <c r="Z4939" s="77" t="n"/>
      <c r="AA4939" s="75" t="n"/>
      <c r="AB4939" s="75" t="n"/>
      <c r="AC4939" s="6" t="n"/>
      <c r="AD4939" s="75" t="n"/>
      <c r="AE4939" s="75" t="n"/>
      <c r="AF4939" s="75" t="n"/>
    </row>
    <row r="4940" ht="15.75" customHeight="1" s="133">
      <c r="A4940" s="75" t="n"/>
      <c r="B4940" s="75" t="n"/>
      <c r="C4940" s="75" t="n"/>
      <c r="D4940" s="75" t="n"/>
      <c r="E4940" s="76" t="n"/>
      <c r="F4940" s="77" t="n"/>
      <c r="G4940" s="75" t="n"/>
      <c r="H4940" s="75">
        <f>IF(ISBLANK(E4940),"",IF(OR(D4940="Butterfly",D4940="Butterfly ",D4940="Iron Fly", D4940="Iron Fly "),LEN(E4940)-LEN(SUBSTITUTE(E4940,"/",""))+2,LEN(E4940)-LEN(SUBSTITUTE(E4940,"/",""))+1))</f>
        <v/>
      </c>
      <c r="I4940" s="78">
        <f>IF(ISBLANK(G4940),"",IF(D4940="Stock","0",Key!$A$3*H4940*G4940))</f>
        <v/>
      </c>
      <c r="J4940" s="78">
        <f>IF(ISBLANK(E4940),"",IF(ISNUMBER(SEARCH("/",E4940)), IF(LEN(E4940)-LEN(SUBSTITUTE(E4940,"/",""))=1,(RIGHT(E4940,LEN(E4940)-FIND("/",E4940)))-(LEFT(E4940,FIND("/",E4940)-1)),(MID(E4940, SEARCH("/",E4940) + 1, SEARCH("/",E4940, SEARCH("/",E4940)+1) - SEARCH("/",E4940) - 1))-(LEFT(E4940,FIND("/",E4940)-1))), "NA"))</f>
        <v/>
      </c>
      <c r="K4940" s="79">
        <f>IF(A4940&lt;&gt;"", IF(ISBLANK(L4940), TODAY(), K4940), "")</f>
        <v/>
      </c>
      <c r="L4940" s="78" t="n"/>
      <c r="M4940" s="78">
        <f>IF(ISBLANK(L4940),"",IF(D4940="Stock",IF(C4940="Buy",L4940*G4940,IF(C4940="Sell",(L4940*G4940)-I4940, X)),IF(C4940="Buy",(L4940*G4940*100)+I4940,IF(C4940="Sell",(L4940*G4940*100)-I4940, X))))</f>
        <v/>
      </c>
      <c r="N4940" s="78">
        <f>IF(ISBLANK(L4940),"",IF(AND(C4940="Sell",D4940="Stock"),M4940,IF(ISBLANK(L4940),"",IF(C4940="Buy",M4940, IF(AND(C4940="Sell",J4940="NA"),(E4940*G4940*100*0.1)+I4940, IF(C4940="Sell",(J4940-L4940)*(100*G4940)+I4940))))))</f>
        <v/>
      </c>
      <c r="O4940" s="75" t="n"/>
      <c r="P4940" s="75" t="n"/>
      <c r="Q4940" s="75">
        <f>IF(ISBLANK(P4940),"",IF(D4940="Stock",P4940*G4940,IF(P4940=0,"0",G4940*P4940*100-(G4940*$AF$14))))</f>
        <v/>
      </c>
      <c r="R4940" s="79">
        <f>IF(P4940&lt;&gt;"", TODAY(), "")</f>
        <v/>
      </c>
      <c r="S4940" s="78">
        <f>IF(AND(K4940&lt;&gt;"", R4940&lt;&gt;""), R4940-K4940, "")</f>
        <v/>
      </c>
      <c r="T4940" s="78" t="n"/>
      <c r="U4940" s="92">
        <f>IF(ISBLANK(P4940),"",IF(C4940="Buy",Q4940-M4940+T4940, IF(C4940="Sell",M4940-Q4940-T4940, X)))</f>
        <v/>
      </c>
      <c r="V4940" s="81">
        <f>IF(ISBLANK(P4940),"",U4940/N4940)</f>
        <v/>
      </c>
      <c r="W4940" s="81">
        <f>IF(ISBLANK(P4940),"",IF(S4940=0,(365/0.5)*V4940,(365/S4940)*V4940))</f>
        <v/>
      </c>
      <c r="X4940" s="75" t="n"/>
      <c r="Y4940" s="77" t="n"/>
      <c r="Z4940" s="77" t="n"/>
      <c r="AA4940" s="75" t="n"/>
      <c r="AB4940" s="75" t="n"/>
      <c r="AC4940" s="6" t="n"/>
      <c r="AD4940" s="75" t="n"/>
      <c r="AE4940" s="75" t="n"/>
      <c r="AF4940" s="75" t="n"/>
    </row>
    <row r="4941" ht="15.75" customHeight="1" s="133">
      <c r="A4941" s="75" t="n"/>
      <c r="B4941" s="75" t="n"/>
      <c r="C4941" s="75" t="n"/>
      <c r="D4941" s="75" t="n"/>
      <c r="E4941" s="76" t="n"/>
      <c r="F4941" s="77" t="n"/>
      <c r="G4941" s="75" t="n"/>
      <c r="H4941" s="75">
        <f>IF(ISBLANK(E4941),"",IF(OR(D4941="Butterfly",D4941="Butterfly ",D4941="Iron Fly", D4941="Iron Fly "),LEN(E4941)-LEN(SUBSTITUTE(E4941,"/",""))+2,LEN(E4941)-LEN(SUBSTITUTE(E4941,"/",""))+1))</f>
        <v/>
      </c>
      <c r="I4941" s="78">
        <f>IF(ISBLANK(G4941),"",IF(D4941="Stock","0",Key!$A$3*H4941*G4941))</f>
        <v/>
      </c>
      <c r="J4941" s="78">
        <f>IF(ISBLANK(E4941),"",IF(ISNUMBER(SEARCH("/",E4941)), IF(LEN(E4941)-LEN(SUBSTITUTE(E4941,"/",""))=1,(RIGHT(E4941,LEN(E4941)-FIND("/",E4941)))-(LEFT(E4941,FIND("/",E4941)-1)),(MID(E4941, SEARCH("/",E4941) + 1, SEARCH("/",E4941, SEARCH("/",E4941)+1) - SEARCH("/",E4941) - 1))-(LEFT(E4941,FIND("/",E4941)-1))), "NA"))</f>
        <v/>
      </c>
      <c r="K4941" s="79">
        <f>IF(A4941&lt;&gt;"", IF(ISBLANK(L4941), TODAY(), K4941), "")</f>
        <v/>
      </c>
      <c r="L4941" s="78" t="n"/>
      <c r="M4941" s="78">
        <f>IF(ISBLANK(L4941),"",IF(D4941="Stock",IF(C4941="Buy",L4941*G4941,IF(C4941="Sell",(L4941*G4941)-I4941, X)),IF(C4941="Buy",(L4941*G4941*100)+I4941,IF(C4941="Sell",(L4941*G4941*100)-I4941, X))))</f>
        <v/>
      </c>
      <c r="N4941" s="78">
        <f>IF(ISBLANK(L4941),"",IF(AND(C4941="Sell",D4941="Stock"),M4941,IF(ISBLANK(L4941),"",IF(C4941="Buy",M4941, IF(AND(C4941="Sell",J4941="NA"),(E4941*G4941*100*0.1)+I4941, IF(C4941="Sell",(J4941-L4941)*(100*G4941)+I4941))))))</f>
        <v/>
      </c>
      <c r="O4941" s="75" t="n"/>
      <c r="P4941" s="75" t="n"/>
      <c r="Q4941" s="75">
        <f>IF(ISBLANK(P4941),"",IF(D4941="Stock",P4941*G4941,IF(P4941=0,"0",G4941*P4941*100-(G4941*$AF$14))))</f>
        <v/>
      </c>
      <c r="R4941" s="79">
        <f>IF(P4941&lt;&gt;"", TODAY(), "")</f>
        <v/>
      </c>
      <c r="S4941" s="78">
        <f>IF(AND(K4941&lt;&gt;"", R4941&lt;&gt;""), R4941-K4941, "")</f>
        <v/>
      </c>
      <c r="T4941" s="78" t="n"/>
      <c r="U4941" s="92">
        <f>IF(ISBLANK(P4941),"",IF(C4941="Buy",Q4941-M4941+T4941, IF(C4941="Sell",M4941-Q4941-T4941, X)))</f>
        <v/>
      </c>
      <c r="V4941" s="81">
        <f>IF(ISBLANK(P4941),"",U4941/N4941)</f>
        <v/>
      </c>
      <c r="W4941" s="81">
        <f>IF(ISBLANK(P4941),"",IF(S4941=0,(365/0.5)*V4941,(365/S4941)*V4941))</f>
        <v/>
      </c>
      <c r="X4941" s="75" t="n"/>
      <c r="Y4941" s="77" t="n"/>
      <c r="Z4941" s="77" t="n"/>
      <c r="AA4941" s="75" t="n"/>
      <c r="AB4941" s="75" t="n"/>
      <c r="AC4941" s="6" t="n"/>
      <c r="AD4941" s="75" t="n"/>
      <c r="AE4941" s="75" t="n"/>
      <c r="AF4941" s="75" t="n"/>
    </row>
    <row r="4942" ht="15.75" customHeight="1" s="133">
      <c r="A4942" s="75" t="n"/>
      <c r="B4942" s="75" t="n"/>
      <c r="C4942" s="75" t="n"/>
      <c r="D4942" s="75" t="n"/>
      <c r="E4942" s="76" t="n"/>
      <c r="F4942" s="77" t="n"/>
      <c r="G4942" s="75" t="n"/>
      <c r="H4942" s="75">
        <f>IF(ISBLANK(E4942),"",IF(OR(D4942="Butterfly",D4942="Butterfly ",D4942="Iron Fly", D4942="Iron Fly "),LEN(E4942)-LEN(SUBSTITUTE(E4942,"/",""))+2,LEN(E4942)-LEN(SUBSTITUTE(E4942,"/",""))+1))</f>
        <v/>
      </c>
      <c r="I4942" s="78">
        <f>IF(ISBLANK(G4942),"",IF(D4942="Stock","0",Key!$A$3*H4942*G4942))</f>
        <v/>
      </c>
      <c r="J4942" s="78">
        <f>IF(ISBLANK(E4942),"",IF(ISNUMBER(SEARCH("/",E4942)), IF(LEN(E4942)-LEN(SUBSTITUTE(E4942,"/",""))=1,(RIGHT(E4942,LEN(E4942)-FIND("/",E4942)))-(LEFT(E4942,FIND("/",E4942)-1)),(MID(E4942, SEARCH("/",E4942) + 1, SEARCH("/",E4942, SEARCH("/",E4942)+1) - SEARCH("/",E4942) - 1))-(LEFT(E4942,FIND("/",E4942)-1))), "NA"))</f>
        <v/>
      </c>
      <c r="K4942" s="79">
        <f>IF(A4942&lt;&gt;"", IF(ISBLANK(L4942), TODAY(), K4942), "")</f>
        <v/>
      </c>
      <c r="L4942" s="78" t="n"/>
      <c r="M4942" s="78">
        <f>IF(ISBLANK(L4942),"",IF(D4942="Stock",IF(C4942="Buy",L4942*G4942,IF(C4942="Sell",(L4942*G4942)-I4942, X)),IF(C4942="Buy",(L4942*G4942*100)+I4942,IF(C4942="Sell",(L4942*G4942*100)-I4942, X))))</f>
        <v/>
      </c>
      <c r="N4942" s="78">
        <f>IF(ISBLANK(L4942),"",IF(AND(C4942="Sell",D4942="Stock"),M4942,IF(ISBLANK(L4942),"",IF(C4942="Buy",M4942, IF(AND(C4942="Sell",J4942="NA"),(E4942*G4942*100*0.1)+I4942, IF(C4942="Sell",(J4942-L4942)*(100*G4942)+I4942))))))</f>
        <v/>
      </c>
      <c r="O4942" s="75" t="n"/>
      <c r="P4942" s="75" t="n"/>
      <c r="Q4942" s="75">
        <f>IF(ISBLANK(P4942),"",IF(D4942="Stock",P4942*G4942,IF(P4942=0,"0",G4942*P4942*100-(G4942*$AF$14))))</f>
        <v/>
      </c>
      <c r="R4942" s="79">
        <f>IF(P4942&lt;&gt;"", TODAY(), "")</f>
        <v/>
      </c>
      <c r="S4942" s="78">
        <f>IF(AND(K4942&lt;&gt;"", R4942&lt;&gt;""), R4942-K4942, "")</f>
        <v/>
      </c>
      <c r="T4942" s="78" t="n"/>
      <c r="U4942" s="92">
        <f>IF(ISBLANK(P4942),"",IF(C4942="Buy",Q4942-M4942+T4942, IF(C4942="Sell",M4942-Q4942-T4942, X)))</f>
        <v/>
      </c>
      <c r="V4942" s="81">
        <f>IF(ISBLANK(P4942),"",U4942/N4942)</f>
        <v/>
      </c>
      <c r="W4942" s="81">
        <f>IF(ISBLANK(P4942),"",IF(S4942=0,(365/0.5)*V4942,(365/S4942)*V4942))</f>
        <v/>
      </c>
      <c r="X4942" s="75" t="n"/>
      <c r="Y4942" s="77" t="n"/>
      <c r="Z4942" s="77" t="n"/>
      <c r="AA4942" s="75" t="n"/>
      <c r="AB4942" s="75" t="n"/>
      <c r="AC4942" s="6" t="n"/>
      <c r="AD4942" s="75" t="n"/>
      <c r="AE4942" s="75" t="n"/>
      <c r="AF4942" s="75" t="n"/>
    </row>
    <row r="4943" ht="15.75" customHeight="1" s="133">
      <c r="A4943" s="75" t="n"/>
      <c r="B4943" s="75" t="n"/>
      <c r="C4943" s="75" t="n"/>
      <c r="D4943" s="75" t="n"/>
      <c r="E4943" s="76" t="n"/>
      <c r="F4943" s="77" t="n"/>
      <c r="G4943" s="75" t="n"/>
      <c r="H4943" s="75">
        <f>IF(ISBLANK(E4943),"",IF(OR(D4943="Butterfly",D4943="Butterfly ",D4943="Iron Fly", D4943="Iron Fly "),LEN(E4943)-LEN(SUBSTITUTE(E4943,"/",""))+2,LEN(E4943)-LEN(SUBSTITUTE(E4943,"/",""))+1))</f>
        <v/>
      </c>
      <c r="I4943" s="78">
        <f>IF(ISBLANK(G4943),"",IF(D4943="Stock","0",Key!$A$3*H4943*G4943))</f>
        <v/>
      </c>
      <c r="J4943" s="78">
        <f>IF(ISBLANK(E4943),"",IF(ISNUMBER(SEARCH("/",E4943)), IF(LEN(E4943)-LEN(SUBSTITUTE(E4943,"/",""))=1,(RIGHT(E4943,LEN(E4943)-FIND("/",E4943)))-(LEFT(E4943,FIND("/",E4943)-1)),(MID(E4943, SEARCH("/",E4943) + 1, SEARCH("/",E4943, SEARCH("/",E4943)+1) - SEARCH("/",E4943) - 1))-(LEFT(E4943,FIND("/",E4943)-1))), "NA"))</f>
        <v/>
      </c>
      <c r="K4943" s="79">
        <f>IF(A4943&lt;&gt;"", IF(ISBLANK(L4943), TODAY(), K4943), "")</f>
        <v/>
      </c>
      <c r="L4943" s="78" t="n"/>
      <c r="M4943" s="78">
        <f>IF(ISBLANK(L4943),"",IF(D4943="Stock",IF(C4943="Buy",L4943*G4943,IF(C4943="Sell",(L4943*G4943)-I4943, X)),IF(C4943="Buy",(L4943*G4943*100)+I4943,IF(C4943="Sell",(L4943*G4943*100)-I4943, X))))</f>
        <v/>
      </c>
      <c r="N4943" s="78">
        <f>IF(ISBLANK(L4943),"",IF(AND(C4943="Sell",D4943="Stock"),M4943,IF(ISBLANK(L4943),"",IF(C4943="Buy",M4943, IF(AND(C4943="Sell",J4943="NA"),(E4943*G4943*100*0.1)+I4943, IF(C4943="Sell",(J4943-L4943)*(100*G4943)+I4943))))))</f>
        <v/>
      </c>
      <c r="O4943" s="75" t="n"/>
      <c r="P4943" s="75" t="n"/>
      <c r="Q4943" s="75">
        <f>IF(ISBLANK(P4943),"",IF(D4943="Stock",P4943*G4943,IF(P4943=0,"0",G4943*P4943*100-(G4943*$AF$14))))</f>
        <v/>
      </c>
      <c r="R4943" s="79">
        <f>IF(P4943&lt;&gt;"", TODAY(), "")</f>
        <v/>
      </c>
      <c r="S4943" s="78">
        <f>IF(AND(K4943&lt;&gt;"", R4943&lt;&gt;""), R4943-K4943, "")</f>
        <v/>
      </c>
      <c r="T4943" s="78" t="n"/>
      <c r="U4943" s="92">
        <f>IF(ISBLANK(P4943),"",IF(C4943="Buy",Q4943-M4943+T4943, IF(C4943="Sell",M4943-Q4943-T4943, X)))</f>
        <v/>
      </c>
      <c r="V4943" s="81">
        <f>IF(ISBLANK(P4943),"",U4943/N4943)</f>
        <v/>
      </c>
      <c r="W4943" s="81">
        <f>IF(ISBLANK(P4943),"",IF(S4943=0,(365/0.5)*V4943,(365/S4943)*V4943))</f>
        <v/>
      </c>
      <c r="X4943" s="75" t="n"/>
      <c r="Y4943" s="77" t="n"/>
      <c r="Z4943" s="77" t="n"/>
      <c r="AA4943" s="75" t="n"/>
      <c r="AB4943" s="75" t="n"/>
      <c r="AC4943" s="6" t="n"/>
      <c r="AD4943" s="75" t="n"/>
      <c r="AE4943" s="75" t="n"/>
      <c r="AF4943" s="75" t="n"/>
    </row>
    <row r="4944" ht="15.75" customHeight="1" s="133">
      <c r="A4944" s="75" t="n"/>
      <c r="B4944" s="75" t="n"/>
      <c r="C4944" s="75" t="n"/>
      <c r="D4944" s="75" t="n"/>
      <c r="E4944" s="76" t="n"/>
      <c r="F4944" s="77" t="n"/>
      <c r="G4944" s="75" t="n"/>
      <c r="H4944" s="75">
        <f>IF(ISBLANK(E4944),"",IF(OR(D4944="Butterfly",D4944="Butterfly ",D4944="Iron Fly", D4944="Iron Fly "),LEN(E4944)-LEN(SUBSTITUTE(E4944,"/",""))+2,LEN(E4944)-LEN(SUBSTITUTE(E4944,"/",""))+1))</f>
        <v/>
      </c>
      <c r="I4944" s="78">
        <f>IF(ISBLANK(G4944),"",IF(D4944="Stock","0",Key!$A$3*H4944*G4944))</f>
        <v/>
      </c>
      <c r="J4944" s="78">
        <f>IF(ISBLANK(E4944),"",IF(ISNUMBER(SEARCH("/",E4944)), IF(LEN(E4944)-LEN(SUBSTITUTE(E4944,"/",""))=1,(RIGHT(E4944,LEN(E4944)-FIND("/",E4944)))-(LEFT(E4944,FIND("/",E4944)-1)),(MID(E4944, SEARCH("/",E4944) + 1, SEARCH("/",E4944, SEARCH("/",E4944)+1) - SEARCH("/",E4944) - 1))-(LEFT(E4944,FIND("/",E4944)-1))), "NA"))</f>
        <v/>
      </c>
      <c r="K4944" s="79">
        <f>IF(A4944&lt;&gt;"", IF(ISBLANK(L4944), TODAY(), K4944), "")</f>
        <v/>
      </c>
      <c r="L4944" s="78" t="n"/>
      <c r="M4944" s="78">
        <f>IF(ISBLANK(L4944),"",IF(D4944="Stock",IF(C4944="Buy",L4944*G4944,IF(C4944="Sell",(L4944*G4944)-I4944, X)),IF(C4944="Buy",(L4944*G4944*100)+I4944,IF(C4944="Sell",(L4944*G4944*100)-I4944, X))))</f>
        <v/>
      </c>
      <c r="N4944" s="78">
        <f>IF(ISBLANK(L4944),"",IF(AND(C4944="Sell",D4944="Stock"),M4944,IF(ISBLANK(L4944),"",IF(C4944="Buy",M4944, IF(AND(C4944="Sell",J4944="NA"),(E4944*G4944*100*0.1)+I4944, IF(C4944="Sell",(J4944-L4944)*(100*G4944)+I4944))))))</f>
        <v/>
      </c>
      <c r="O4944" s="75" t="n"/>
      <c r="P4944" s="75" t="n"/>
      <c r="Q4944" s="75">
        <f>IF(ISBLANK(P4944),"",IF(D4944="Stock",P4944*G4944,IF(P4944=0,"0",G4944*P4944*100-(G4944*$AF$14))))</f>
        <v/>
      </c>
      <c r="R4944" s="79">
        <f>IF(P4944&lt;&gt;"", TODAY(), "")</f>
        <v/>
      </c>
      <c r="S4944" s="78">
        <f>IF(AND(K4944&lt;&gt;"", R4944&lt;&gt;""), R4944-K4944, "")</f>
        <v/>
      </c>
      <c r="T4944" s="78" t="n"/>
      <c r="U4944" s="92">
        <f>IF(ISBLANK(P4944),"",IF(C4944="Buy",Q4944-M4944+T4944, IF(C4944="Sell",M4944-Q4944-T4944, X)))</f>
        <v/>
      </c>
      <c r="V4944" s="81">
        <f>IF(ISBLANK(P4944),"",U4944/N4944)</f>
        <v/>
      </c>
      <c r="W4944" s="81">
        <f>IF(ISBLANK(P4944),"",IF(S4944=0,(365/0.5)*V4944,(365/S4944)*V4944))</f>
        <v/>
      </c>
      <c r="X4944" s="75" t="n"/>
      <c r="Y4944" s="77" t="n"/>
      <c r="Z4944" s="77" t="n"/>
      <c r="AA4944" s="75" t="n"/>
      <c r="AB4944" s="75" t="n"/>
      <c r="AC4944" s="6" t="n"/>
      <c r="AD4944" s="75" t="n"/>
      <c r="AE4944" s="75" t="n"/>
      <c r="AF4944" s="75" t="n"/>
    </row>
    <row r="4945" ht="15.75" customHeight="1" s="133">
      <c r="A4945" s="75" t="n"/>
      <c r="B4945" s="75" t="n"/>
      <c r="C4945" s="75" t="n"/>
      <c r="D4945" s="75" t="n"/>
      <c r="E4945" s="76" t="n"/>
      <c r="F4945" s="77" t="n"/>
      <c r="G4945" s="75" t="n"/>
      <c r="H4945" s="75">
        <f>IF(ISBLANK(E4945),"",IF(OR(D4945="Butterfly",D4945="Butterfly ",D4945="Iron Fly", D4945="Iron Fly "),LEN(E4945)-LEN(SUBSTITUTE(E4945,"/",""))+2,LEN(E4945)-LEN(SUBSTITUTE(E4945,"/",""))+1))</f>
        <v/>
      </c>
      <c r="I4945" s="78">
        <f>IF(ISBLANK(G4945),"",IF(D4945="Stock","0",Key!$A$3*H4945*G4945))</f>
        <v/>
      </c>
      <c r="J4945" s="78">
        <f>IF(ISBLANK(E4945),"",IF(ISNUMBER(SEARCH("/",E4945)), IF(LEN(E4945)-LEN(SUBSTITUTE(E4945,"/",""))=1,(RIGHT(E4945,LEN(E4945)-FIND("/",E4945)))-(LEFT(E4945,FIND("/",E4945)-1)),(MID(E4945, SEARCH("/",E4945) + 1, SEARCH("/",E4945, SEARCH("/",E4945)+1) - SEARCH("/",E4945) - 1))-(LEFT(E4945,FIND("/",E4945)-1))), "NA"))</f>
        <v/>
      </c>
      <c r="K4945" s="79">
        <f>IF(A4945&lt;&gt;"", IF(ISBLANK(L4945), TODAY(), K4945), "")</f>
        <v/>
      </c>
      <c r="L4945" s="78" t="n"/>
      <c r="M4945" s="78">
        <f>IF(ISBLANK(L4945),"",IF(D4945="Stock",IF(C4945="Buy",L4945*G4945,IF(C4945="Sell",(L4945*G4945)-I4945, X)),IF(C4945="Buy",(L4945*G4945*100)+I4945,IF(C4945="Sell",(L4945*G4945*100)-I4945, X))))</f>
        <v/>
      </c>
      <c r="N4945" s="78">
        <f>IF(ISBLANK(L4945),"",IF(AND(C4945="Sell",D4945="Stock"),M4945,IF(ISBLANK(L4945),"",IF(C4945="Buy",M4945, IF(AND(C4945="Sell",J4945="NA"),(E4945*G4945*100*0.1)+I4945, IF(C4945="Sell",(J4945-L4945)*(100*G4945)+I4945))))))</f>
        <v/>
      </c>
      <c r="O4945" s="75" t="n"/>
      <c r="P4945" s="75" t="n"/>
      <c r="Q4945" s="75">
        <f>IF(ISBLANK(P4945),"",IF(D4945="Stock",P4945*G4945,IF(P4945=0,"0",G4945*P4945*100-(G4945*$AF$14))))</f>
        <v/>
      </c>
      <c r="R4945" s="79">
        <f>IF(P4945&lt;&gt;"", TODAY(), "")</f>
        <v/>
      </c>
      <c r="S4945" s="78">
        <f>IF(AND(K4945&lt;&gt;"", R4945&lt;&gt;""), R4945-K4945, "")</f>
        <v/>
      </c>
      <c r="T4945" s="78" t="n"/>
      <c r="U4945" s="92">
        <f>IF(ISBLANK(P4945),"",IF(C4945="Buy",Q4945-M4945+T4945, IF(C4945="Sell",M4945-Q4945-T4945, X)))</f>
        <v/>
      </c>
      <c r="V4945" s="81">
        <f>IF(ISBLANK(P4945),"",U4945/N4945)</f>
        <v/>
      </c>
      <c r="W4945" s="81">
        <f>IF(ISBLANK(P4945),"",IF(S4945=0,(365/0.5)*V4945,(365/S4945)*V4945))</f>
        <v/>
      </c>
      <c r="X4945" s="75" t="n"/>
      <c r="Y4945" s="77" t="n"/>
      <c r="Z4945" s="77" t="n"/>
      <c r="AA4945" s="75" t="n"/>
      <c r="AB4945" s="75" t="n"/>
      <c r="AC4945" s="6" t="n"/>
      <c r="AD4945" s="75" t="n"/>
      <c r="AE4945" s="75" t="n"/>
      <c r="AF4945" s="75" t="n"/>
    </row>
    <row r="4946" ht="15.75" customHeight="1" s="133">
      <c r="A4946" s="75" t="n"/>
      <c r="B4946" s="75" t="n"/>
      <c r="C4946" s="75" t="n"/>
      <c r="D4946" s="75" t="n"/>
      <c r="E4946" s="76" t="n"/>
      <c r="F4946" s="77" t="n"/>
      <c r="G4946" s="75" t="n"/>
      <c r="H4946" s="75">
        <f>IF(ISBLANK(E4946),"",IF(OR(D4946="Butterfly",D4946="Butterfly ",D4946="Iron Fly", D4946="Iron Fly "),LEN(E4946)-LEN(SUBSTITUTE(E4946,"/",""))+2,LEN(E4946)-LEN(SUBSTITUTE(E4946,"/",""))+1))</f>
        <v/>
      </c>
      <c r="I4946" s="78">
        <f>IF(ISBLANK(G4946),"",IF(D4946="Stock","0",Key!$A$3*H4946*G4946))</f>
        <v/>
      </c>
      <c r="J4946" s="78">
        <f>IF(ISBLANK(E4946),"",IF(ISNUMBER(SEARCH("/",E4946)), IF(LEN(E4946)-LEN(SUBSTITUTE(E4946,"/",""))=1,(RIGHT(E4946,LEN(E4946)-FIND("/",E4946)))-(LEFT(E4946,FIND("/",E4946)-1)),(MID(E4946, SEARCH("/",E4946) + 1, SEARCH("/",E4946, SEARCH("/",E4946)+1) - SEARCH("/",E4946) - 1))-(LEFT(E4946,FIND("/",E4946)-1))), "NA"))</f>
        <v/>
      </c>
      <c r="K4946" s="79">
        <f>IF(A4946&lt;&gt;"", IF(ISBLANK(L4946), TODAY(), K4946), "")</f>
        <v/>
      </c>
      <c r="L4946" s="78" t="n"/>
      <c r="M4946" s="78">
        <f>IF(ISBLANK(L4946),"",IF(D4946="Stock",IF(C4946="Buy",L4946*G4946,IF(C4946="Sell",(L4946*G4946)-I4946, X)),IF(C4946="Buy",(L4946*G4946*100)+I4946,IF(C4946="Sell",(L4946*G4946*100)-I4946, X))))</f>
        <v/>
      </c>
      <c r="N4946" s="78">
        <f>IF(ISBLANK(L4946),"",IF(AND(C4946="Sell",D4946="Stock"),M4946,IF(ISBLANK(L4946),"",IF(C4946="Buy",M4946, IF(AND(C4946="Sell",J4946="NA"),(E4946*G4946*100*0.1)+I4946, IF(C4946="Sell",(J4946-L4946)*(100*G4946)+I4946))))))</f>
        <v/>
      </c>
      <c r="O4946" s="75" t="n"/>
      <c r="P4946" s="75" t="n"/>
      <c r="Q4946" s="75">
        <f>IF(ISBLANK(P4946),"",IF(D4946="Stock",P4946*G4946,IF(P4946=0,"0",G4946*P4946*100-(G4946*$AF$14))))</f>
        <v/>
      </c>
      <c r="R4946" s="79">
        <f>IF(P4946&lt;&gt;"", TODAY(), "")</f>
        <v/>
      </c>
      <c r="S4946" s="78">
        <f>IF(AND(K4946&lt;&gt;"", R4946&lt;&gt;""), R4946-K4946, "")</f>
        <v/>
      </c>
      <c r="T4946" s="78" t="n"/>
      <c r="U4946" s="92">
        <f>IF(ISBLANK(P4946),"",IF(C4946="Buy",Q4946-M4946+T4946, IF(C4946="Sell",M4946-Q4946-T4946, X)))</f>
        <v/>
      </c>
      <c r="V4946" s="81">
        <f>IF(ISBLANK(P4946),"",U4946/N4946)</f>
        <v/>
      </c>
      <c r="W4946" s="81">
        <f>IF(ISBLANK(P4946),"",IF(S4946=0,(365/0.5)*V4946,(365/S4946)*V4946))</f>
        <v/>
      </c>
      <c r="X4946" s="75" t="n"/>
      <c r="Y4946" s="77" t="n"/>
      <c r="Z4946" s="77" t="n"/>
      <c r="AA4946" s="75" t="n"/>
      <c r="AB4946" s="75" t="n"/>
      <c r="AC4946" s="6" t="n"/>
      <c r="AD4946" s="75" t="n"/>
      <c r="AE4946" s="75" t="n"/>
      <c r="AF4946" s="75" t="n"/>
    </row>
    <row r="4947" ht="15.75" customHeight="1" s="133">
      <c r="A4947" s="75" t="n"/>
      <c r="B4947" s="75" t="n"/>
      <c r="C4947" s="75" t="n"/>
      <c r="D4947" s="75" t="n"/>
      <c r="E4947" s="76" t="n"/>
      <c r="F4947" s="77" t="n"/>
      <c r="G4947" s="75" t="n"/>
      <c r="H4947" s="75">
        <f>IF(ISBLANK(E4947),"",IF(OR(D4947="Butterfly",D4947="Butterfly ",D4947="Iron Fly", D4947="Iron Fly "),LEN(E4947)-LEN(SUBSTITUTE(E4947,"/",""))+2,LEN(E4947)-LEN(SUBSTITUTE(E4947,"/",""))+1))</f>
        <v/>
      </c>
      <c r="I4947" s="78">
        <f>IF(ISBLANK(G4947),"",IF(D4947="Stock","0",Key!$A$3*H4947*G4947))</f>
        <v/>
      </c>
      <c r="J4947" s="78">
        <f>IF(ISBLANK(E4947),"",IF(ISNUMBER(SEARCH("/",E4947)), IF(LEN(E4947)-LEN(SUBSTITUTE(E4947,"/",""))=1,(RIGHT(E4947,LEN(E4947)-FIND("/",E4947)))-(LEFT(E4947,FIND("/",E4947)-1)),(MID(E4947, SEARCH("/",E4947) + 1, SEARCH("/",E4947, SEARCH("/",E4947)+1) - SEARCH("/",E4947) - 1))-(LEFT(E4947,FIND("/",E4947)-1))), "NA"))</f>
        <v/>
      </c>
      <c r="K4947" s="79">
        <f>IF(A4947&lt;&gt;"", IF(ISBLANK(L4947), TODAY(), K4947), "")</f>
        <v/>
      </c>
      <c r="L4947" s="78" t="n"/>
      <c r="M4947" s="78">
        <f>IF(ISBLANK(L4947),"",IF(D4947="Stock",IF(C4947="Buy",L4947*G4947,IF(C4947="Sell",(L4947*G4947)-I4947, X)),IF(C4947="Buy",(L4947*G4947*100)+I4947,IF(C4947="Sell",(L4947*G4947*100)-I4947, X))))</f>
        <v/>
      </c>
      <c r="N4947" s="78">
        <f>IF(ISBLANK(L4947),"",IF(AND(C4947="Sell",D4947="Stock"),M4947,IF(ISBLANK(L4947),"",IF(C4947="Buy",M4947, IF(AND(C4947="Sell",J4947="NA"),(E4947*G4947*100*0.1)+I4947, IF(C4947="Sell",(J4947-L4947)*(100*G4947)+I4947))))))</f>
        <v/>
      </c>
      <c r="O4947" s="75" t="n"/>
      <c r="P4947" s="75" t="n"/>
      <c r="Q4947" s="75">
        <f>IF(ISBLANK(P4947),"",IF(D4947="Stock",P4947*G4947,IF(P4947=0,"0",G4947*P4947*100-(G4947*$AF$14))))</f>
        <v/>
      </c>
      <c r="R4947" s="79">
        <f>IF(P4947&lt;&gt;"", TODAY(), "")</f>
        <v/>
      </c>
      <c r="S4947" s="78">
        <f>IF(AND(K4947&lt;&gt;"", R4947&lt;&gt;""), R4947-K4947, "")</f>
        <v/>
      </c>
      <c r="T4947" s="78" t="n"/>
      <c r="U4947" s="92">
        <f>IF(ISBLANK(P4947),"",IF(C4947="Buy",Q4947-M4947+T4947, IF(C4947="Sell",M4947-Q4947-T4947, X)))</f>
        <v/>
      </c>
      <c r="V4947" s="81">
        <f>IF(ISBLANK(P4947),"",U4947/N4947)</f>
        <v/>
      </c>
      <c r="W4947" s="81">
        <f>IF(ISBLANK(P4947),"",IF(S4947=0,(365/0.5)*V4947,(365/S4947)*V4947))</f>
        <v/>
      </c>
      <c r="X4947" s="75" t="n"/>
      <c r="Y4947" s="77" t="n"/>
      <c r="Z4947" s="77" t="n"/>
      <c r="AA4947" s="75" t="n"/>
      <c r="AB4947" s="75" t="n"/>
      <c r="AC4947" s="6" t="n"/>
      <c r="AD4947" s="75" t="n"/>
      <c r="AE4947" s="75" t="n"/>
      <c r="AF4947" s="75" t="n"/>
    </row>
    <row r="4948" ht="15.75" customHeight="1" s="133">
      <c r="A4948" s="75" t="n"/>
      <c r="B4948" s="75" t="n"/>
      <c r="C4948" s="75" t="n"/>
      <c r="D4948" s="75" t="n"/>
      <c r="E4948" s="76" t="n"/>
      <c r="F4948" s="77" t="n"/>
      <c r="G4948" s="75" t="n"/>
      <c r="H4948" s="75">
        <f>IF(ISBLANK(E4948),"",IF(OR(D4948="Butterfly",D4948="Butterfly ",D4948="Iron Fly", D4948="Iron Fly "),LEN(E4948)-LEN(SUBSTITUTE(E4948,"/",""))+2,LEN(E4948)-LEN(SUBSTITUTE(E4948,"/",""))+1))</f>
        <v/>
      </c>
      <c r="I4948" s="78">
        <f>IF(ISBLANK(G4948),"",IF(D4948="Stock","0",Key!$A$3*H4948*G4948))</f>
        <v/>
      </c>
      <c r="J4948" s="78">
        <f>IF(ISBLANK(E4948),"",IF(ISNUMBER(SEARCH("/",E4948)), IF(LEN(E4948)-LEN(SUBSTITUTE(E4948,"/",""))=1,(RIGHT(E4948,LEN(E4948)-FIND("/",E4948)))-(LEFT(E4948,FIND("/",E4948)-1)),(MID(E4948, SEARCH("/",E4948) + 1, SEARCH("/",E4948, SEARCH("/",E4948)+1) - SEARCH("/",E4948) - 1))-(LEFT(E4948,FIND("/",E4948)-1))), "NA"))</f>
        <v/>
      </c>
      <c r="K4948" s="79">
        <f>IF(A4948&lt;&gt;"", IF(ISBLANK(L4948), TODAY(), K4948), "")</f>
        <v/>
      </c>
      <c r="L4948" s="78" t="n"/>
      <c r="M4948" s="78">
        <f>IF(ISBLANK(L4948),"",IF(D4948="Stock",IF(C4948="Buy",L4948*G4948,IF(C4948="Sell",(L4948*G4948)-I4948, X)),IF(C4948="Buy",(L4948*G4948*100)+I4948,IF(C4948="Sell",(L4948*G4948*100)-I4948, X))))</f>
        <v/>
      </c>
      <c r="N4948" s="78">
        <f>IF(ISBLANK(L4948),"",IF(AND(C4948="Sell",D4948="Stock"),M4948,IF(ISBLANK(L4948),"",IF(C4948="Buy",M4948, IF(AND(C4948="Sell",J4948="NA"),(E4948*G4948*100*0.1)+I4948, IF(C4948="Sell",(J4948-L4948)*(100*G4948)+I4948))))))</f>
        <v/>
      </c>
      <c r="O4948" s="75" t="n"/>
      <c r="P4948" s="75" t="n"/>
      <c r="Q4948" s="75">
        <f>IF(ISBLANK(P4948),"",IF(D4948="Stock",P4948*G4948,IF(P4948=0,"0",G4948*P4948*100-(G4948*$AF$14))))</f>
        <v/>
      </c>
      <c r="R4948" s="79">
        <f>IF(P4948&lt;&gt;"", TODAY(), "")</f>
        <v/>
      </c>
      <c r="S4948" s="78">
        <f>IF(AND(K4948&lt;&gt;"", R4948&lt;&gt;""), R4948-K4948, "")</f>
        <v/>
      </c>
      <c r="T4948" s="78" t="n"/>
      <c r="U4948" s="92">
        <f>IF(ISBLANK(P4948),"",IF(C4948="Buy",Q4948-M4948+T4948, IF(C4948="Sell",M4948-Q4948-T4948, X)))</f>
        <v/>
      </c>
      <c r="V4948" s="81">
        <f>IF(ISBLANK(P4948),"",U4948/N4948)</f>
        <v/>
      </c>
      <c r="W4948" s="81">
        <f>IF(ISBLANK(P4948),"",IF(S4948=0,(365/0.5)*V4948,(365/S4948)*V4948))</f>
        <v/>
      </c>
      <c r="X4948" s="75" t="n"/>
      <c r="Y4948" s="77" t="n"/>
      <c r="Z4948" s="77" t="n"/>
      <c r="AA4948" s="75" t="n"/>
      <c r="AB4948" s="75" t="n"/>
      <c r="AC4948" s="6" t="n"/>
      <c r="AD4948" s="75" t="n"/>
      <c r="AE4948" s="75" t="n"/>
      <c r="AF4948" s="75" t="n"/>
    </row>
    <row r="4949" ht="15.75" customHeight="1" s="133">
      <c r="A4949" s="75" t="n"/>
      <c r="B4949" s="75" t="n"/>
      <c r="C4949" s="75" t="n"/>
      <c r="D4949" s="75" t="n"/>
      <c r="E4949" s="76" t="n"/>
      <c r="F4949" s="77" t="n"/>
      <c r="G4949" s="75" t="n"/>
      <c r="H4949" s="75">
        <f>IF(ISBLANK(E4949),"",IF(OR(D4949="Butterfly",D4949="Butterfly ",D4949="Iron Fly", D4949="Iron Fly "),LEN(E4949)-LEN(SUBSTITUTE(E4949,"/",""))+2,LEN(E4949)-LEN(SUBSTITUTE(E4949,"/",""))+1))</f>
        <v/>
      </c>
      <c r="I4949" s="78">
        <f>IF(ISBLANK(G4949),"",IF(D4949="Stock","0",Key!$A$3*H4949*G4949))</f>
        <v/>
      </c>
      <c r="J4949" s="78">
        <f>IF(ISBLANK(E4949),"",IF(ISNUMBER(SEARCH("/",E4949)), IF(LEN(E4949)-LEN(SUBSTITUTE(E4949,"/",""))=1,(RIGHT(E4949,LEN(E4949)-FIND("/",E4949)))-(LEFT(E4949,FIND("/",E4949)-1)),(MID(E4949, SEARCH("/",E4949) + 1, SEARCH("/",E4949, SEARCH("/",E4949)+1) - SEARCH("/",E4949) - 1))-(LEFT(E4949,FIND("/",E4949)-1))), "NA"))</f>
        <v/>
      </c>
      <c r="K4949" s="79">
        <f>IF(A4949&lt;&gt;"", IF(ISBLANK(L4949), TODAY(), K4949), "")</f>
        <v/>
      </c>
      <c r="L4949" s="78" t="n"/>
      <c r="M4949" s="78">
        <f>IF(ISBLANK(L4949),"",IF(D4949="Stock",IF(C4949="Buy",L4949*G4949,IF(C4949="Sell",(L4949*G4949)-I4949, X)),IF(C4949="Buy",(L4949*G4949*100)+I4949,IF(C4949="Sell",(L4949*G4949*100)-I4949, X))))</f>
        <v/>
      </c>
      <c r="N4949" s="78">
        <f>IF(ISBLANK(L4949),"",IF(AND(C4949="Sell",D4949="Stock"),M4949,IF(ISBLANK(L4949),"",IF(C4949="Buy",M4949, IF(AND(C4949="Sell",J4949="NA"),(E4949*G4949*100*0.1)+I4949, IF(C4949="Sell",(J4949-L4949)*(100*G4949)+I4949))))))</f>
        <v/>
      </c>
      <c r="O4949" s="75" t="n"/>
      <c r="P4949" s="75" t="n"/>
      <c r="Q4949" s="75">
        <f>IF(ISBLANK(P4949),"",IF(D4949="Stock",P4949*G4949,IF(P4949=0,"0",G4949*P4949*100-(G4949*$AF$14))))</f>
        <v/>
      </c>
      <c r="R4949" s="79">
        <f>IF(P4949&lt;&gt;"", TODAY(), "")</f>
        <v/>
      </c>
      <c r="S4949" s="78">
        <f>IF(AND(K4949&lt;&gt;"", R4949&lt;&gt;""), R4949-K4949, "")</f>
        <v/>
      </c>
      <c r="T4949" s="78" t="n"/>
      <c r="U4949" s="92">
        <f>IF(ISBLANK(P4949),"",IF(C4949="Buy",Q4949-M4949+T4949, IF(C4949="Sell",M4949-Q4949-T4949, X)))</f>
        <v/>
      </c>
      <c r="V4949" s="81">
        <f>IF(ISBLANK(P4949),"",U4949/N4949)</f>
        <v/>
      </c>
      <c r="W4949" s="81">
        <f>IF(ISBLANK(P4949),"",IF(S4949=0,(365/0.5)*V4949,(365/S4949)*V4949))</f>
        <v/>
      </c>
      <c r="X4949" s="75" t="n"/>
      <c r="Y4949" s="77" t="n"/>
      <c r="Z4949" s="77" t="n"/>
      <c r="AA4949" s="75" t="n"/>
      <c r="AB4949" s="75" t="n"/>
      <c r="AC4949" s="6" t="n"/>
      <c r="AD4949" s="75" t="n"/>
      <c r="AE4949" s="75" t="n"/>
      <c r="AF4949" s="75" t="n"/>
    </row>
    <row r="4950" ht="15.75" customHeight="1" s="133">
      <c r="A4950" s="75" t="n"/>
      <c r="B4950" s="75" t="n"/>
      <c r="C4950" s="75" t="n"/>
      <c r="D4950" s="75" t="n"/>
      <c r="E4950" s="76" t="n"/>
      <c r="F4950" s="77" t="n"/>
      <c r="G4950" s="75" t="n"/>
      <c r="H4950" s="75">
        <f>IF(ISBLANK(E4950),"",IF(OR(D4950="Butterfly",D4950="Butterfly ",D4950="Iron Fly", D4950="Iron Fly "),LEN(E4950)-LEN(SUBSTITUTE(E4950,"/",""))+2,LEN(E4950)-LEN(SUBSTITUTE(E4950,"/",""))+1))</f>
        <v/>
      </c>
      <c r="I4950" s="78">
        <f>IF(ISBLANK(G4950),"",IF(D4950="Stock","0",Key!$A$3*H4950*G4950))</f>
        <v/>
      </c>
      <c r="J4950" s="78">
        <f>IF(ISBLANK(E4950),"",IF(ISNUMBER(SEARCH("/",E4950)), IF(LEN(E4950)-LEN(SUBSTITUTE(E4950,"/",""))=1,(RIGHT(E4950,LEN(E4950)-FIND("/",E4950)))-(LEFT(E4950,FIND("/",E4950)-1)),(MID(E4950, SEARCH("/",E4950) + 1, SEARCH("/",E4950, SEARCH("/",E4950)+1) - SEARCH("/",E4950) - 1))-(LEFT(E4950,FIND("/",E4950)-1))), "NA"))</f>
        <v/>
      </c>
      <c r="K4950" s="79">
        <f>IF(A4950&lt;&gt;"", IF(ISBLANK(L4950), TODAY(), K4950), "")</f>
        <v/>
      </c>
      <c r="L4950" s="78" t="n"/>
      <c r="M4950" s="78">
        <f>IF(ISBLANK(L4950),"",IF(D4950="Stock",IF(C4950="Buy",L4950*G4950,IF(C4950="Sell",(L4950*G4950)-I4950, X)),IF(C4950="Buy",(L4950*G4950*100)+I4950,IF(C4950="Sell",(L4950*G4950*100)-I4950, X))))</f>
        <v/>
      </c>
      <c r="N4950" s="78">
        <f>IF(ISBLANK(L4950),"",IF(AND(C4950="Sell",D4950="Stock"),M4950,IF(ISBLANK(L4950),"",IF(C4950="Buy",M4950, IF(AND(C4950="Sell",J4950="NA"),(E4950*G4950*100*0.1)+I4950, IF(C4950="Sell",(J4950-L4950)*(100*G4950)+I4950))))))</f>
        <v/>
      </c>
      <c r="O4950" s="75" t="n"/>
      <c r="P4950" s="75" t="n"/>
      <c r="Q4950" s="75">
        <f>IF(ISBLANK(P4950),"",IF(D4950="Stock",P4950*G4950,IF(P4950=0,"0",G4950*P4950*100-(G4950*$AF$14))))</f>
        <v/>
      </c>
      <c r="R4950" s="79">
        <f>IF(P4950&lt;&gt;"", TODAY(), "")</f>
        <v/>
      </c>
      <c r="S4950" s="78">
        <f>IF(AND(K4950&lt;&gt;"", R4950&lt;&gt;""), R4950-K4950, "")</f>
        <v/>
      </c>
      <c r="T4950" s="78" t="n"/>
      <c r="U4950" s="92">
        <f>IF(ISBLANK(P4950),"",IF(C4950="Buy",Q4950-M4950+T4950, IF(C4950="Sell",M4950-Q4950-T4950, X)))</f>
        <v/>
      </c>
      <c r="V4950" s="81">
        <f>IF(ISBLANK(P4950),"",U4950/N4950)</f>
        <v/>
      </c>
      <c r="W4950" s="81">
        <f>IF(ISBLANK(P4950),"",IF(S4950=0,(365/0.5)*V4950,(365/S4950)*V4950))</f>
        <v/>
      </c>
      <c r="X4950" s="75" t="n"/>
      <c r="Y4950" s="77" t="n"/>
      <c r="Z4950" s="77" t="n"/>
      <c r="AA4950" s="75" t="n"/>
      <c r="AB4950" s="75" t="n"/>
      <c r="AC4950" s="6" t="n"/>
      <c r="AD4950" s="75" t="n"/>
      <c r="AE4950" s="75" t="n"/>
      <c r="AF4950" s="75" t="n"/>
    </row>
    <row r="4951" ht="15.75" customHeight="1" s="133">
      <c r="A4951" s="75" t="n"/>
      <c r="B4951" s="75" t="n"/>
      <c r="C4951" s="75" t="n"/>
      <c r="D4951" s="75" t="n"/>
      <c r="E4951" s="76" t="n"/>
      <c r="F4951" s="77" t="n"/>
      <c r="G4951" s="75" t="n"/>
      <c r="H4951" s="75">
        <f>IF(ISBLANK(E4951),"",IF(OR(D4951="Butterfly",D4951="Butterfly ",D4951="Iron Fly", D4951="Iron Fly "),LEN(E4951)-LEN(SUBSTITUTE(E4951,"/",""))+2,LEN(E4951)-LEN(SUBSTITUTE(E4951,"/",""))+1))</f>
        <v/>
      </c>
      <c r="I4951" s="78">
        <f>IF(ISBLANK(G4951),"",IF(D4951="Stock","0",Key!$A$3*H4951*G4951))</f>
        <v/>
      </c>
      <c r="J4951" s="78">
        <f>IF(ISBLANK(E4951),"",IF(ISNUMBER(SEARCH("/",E4951)), IF(LEN(E4951)-LEN(SUBSTITUTE(E4951,"/",""))=1,(RIGHT(E4951,LEN(E4951)-FIND("/",E4951)))-(LEFT(E4951,FIND("/",E4951)-1)),(MID(E4951, SEARCH("/",E4951) + 1, SEARCH("/",E4951, SEARCH("/",E4951)+1) - SEARCH("/",E4951) - 1))-(LEFT(E4951,FIND("/",E4951)-1))), "NA"))</f>
        <v/>
      </c>
      <c r="K4951" s="79">
        <f>IF(A4951&lt;&gt;"", IF(ISBLANK(L4951), TODAY(), K4951), "")</f>
        <v/>
      </c>
      <c r="L4951" s="78" t="n"/>
      <c r="M4951" s="78">
        <f>IF(ISBLANK(L4951),"",IF(D4951="Stock",IF(C4951="Buy",L4951*G4951,IF(C4951="Sell",(L4951*G4951)-I4951, X)),IF(C4951="Buy",(L4951*G4951*100)+I4951,IF(C4951="Sell",(L4951*G4951*100)-I4951, X))))</f>
        <v/>
      </c>
      <c r="N4951" s="78">
        <f>IF(ISBLANK(L4951),"",IF(AND(C4951="Sell",D4951="Stock"),M4951,IF(ISBLANK(L4951),"",IF(C4951="Buy",M4951, IF(AND(C4951="Sell",J4951="NA"),(E4951*G4951*100*0.1)+I4951, IF(C4951="Sell",(J4951-L4951)*(100*G4951)+I4951))))))</f>
        <v/>
      </c>
      <c r="O4951" s="75" t="n"/>
      <c r="P4951" s="75" t="n"/>
      <c r="Q4951" s="75">
        <f>IF(ISBLANK(P4951),"",IF(D4951="Stock",P4951*G4951,IF(P4951=0,"0",G4951*P4951*100-(G4951*$AF$14))))</f>
        <v/>
      </c>
      <c r="R4951" s="79">
        <f>IF(P4951&lt;&gt;"", TODAY(), "")</f>
        <v/>
      </c>
      <c r="S4951" s="78">
        <f>IF(AND(K4951&lt;&gt;"", R4951&lt;&gt;""), R4951-K4951, "")</f>
        <v/>
      </c>
      <c r="T4951" s="78" t="n"/>
      <c r="U4951" s="92">
        <f>IF(ISBLANK(P4951),"",IF(C4951="Buy",Q4951-M4951+T4951, IF(C4951="Sell",M4951-Q4951-T4951, X)))</f>
        <v/>
      </c>
      <c r="V4951" s="81">
        <f>IF(ISBLANK(P4951),"",U4951/N4951)</f>
        <v/>
      </c>
      <c r="W4951" s="81">
        <f>IF(ISBLANK(P4951),"",IF(S4951=0,(365/0.5)*V4951,(365/S4951)*V4951))</f>
        <v/>
      </c>
      <c r="X4951" s="75" t="n"/>
      <c r="Y4951" s="77" t="n"/>
      <c r="Z4951" s="77" t="n"/>
      <c r="AA4951" s="75" t="n"/>
      <c r="AB4951" s="75" t="n"/>
      <c r="AC4951" s="6" t="n"/>
      <c r="AD4951" s="75" t="n"/>
      <c r="AE4951" s="75" t="n"/>
      <c r="AF4951" s="75" t="n"/>
    </row>
    <row r="4952" ht="15.75" customHeight="1" s="133">
      <c r="A4952" s="75" t="n"/>
      <c r="B4952" s="75" t="n"/>
      <c r="C4952" s="75" t="n"/>
      <c r="D4952" s="75" t="n"/>
      <c r="E4952" s="76" t="n"/>
      <c r="F4952" s="77" t="n"/>
      <c r="G4952" s="75" t="n"/>
      <c r="H4952" s="75">
        <f>IF(ISBLANK(E4952),"",IF(OR(D4952="Butterfly",D4952="Butterfly ",D4952="Iron Fly", D4952="Iron Fly "),LEN(E4952)-LEN(SUBSTITUTE(E4952,"/",""))+2,LEN(E4952)-LEN(SUBSTITUTE(E4952,"/",""))+1))</f>
        <v/>
      </c>
      <c r="I4952" s="78">
        <f>IF(ISBLANK(G4952),"",IF(D4952="Stock","0",Key!$A$3*H4952*G4952))</f>
        <v/>
      </c>
      <c r="J4952" s="78">
        <f>IF(ISBLANK(E4952),"",IF(ISNUMBER(SEARCH("/",E4952)), IF(LEN(E4952)-LEN(SUBSTITUTE(E4952,"/",""))=1,(RIGHT(E4952,LEN(E4952)-FIND("/",E4952)))-(LEFT(E4952,FIND("/",E4952)-1)),(MID(E4952, SEARCH("/",E4952) + 1, SEARCH("/",E4952, SEARCH("/",E4952)+1) - SEARCH("/",E4952) - 1))-(LEFT(E4952,FIND("/",E4952)-1))), "NA"))</f>
        <v/>
      </c>
      <c r="K4952" s="79">
        <f>IF(A4952&lt;&gt;"", IF(ISBLANK(L4952), TODAY(), K4952), "")</f>
        <v/>
      </c>
      <c r="L4952" s="78" t="n"/>
      <c r="M4952" s="78">
        <f>IF(ISBLANK(L4952),"",IF(D4952="Stock",IF(C4952="Buy",L4952*G4952,IF(C4952="Sell",(L4952*G4952)-I4952, X)),IF(C4952="Buy",(L4952*G4952*100)+I4952,IF(C4952="Sell",(L4952*G4952*100)-I4952, X))))</f>
        <v/>
      </c>
      <c r="N4952" s="78">
        <f>IF(ISBLANK(L4952),"",IF(AND(C4952="Sell",D4952="Stock"),M4952,IF(ISBLANK(L4952),"",IF(C4952="Buy",M4952, IF(AND(C4952="Sell",J4952="NA"),(E4952*G4952*100*0.1)+I4952, IF(C4952="Sell",(J4952-L4952)*(100*G4952)+I4952))))))</f>
        <v/>
      </c>
      <c r="O4952" s="75" t="n"/>
      <c r="P4952" s="75" t="n"/>
      <c r="Q4952" s="75">
        <f>IF(ISBLANK(P4952),"",IF(D4952="Stock",P4952*G4952,IF(P4952=0,"0",G4952*P4952*100-(G4952*$AF$14))))</f>
        <v/>
      </c>
      <c r="R4952" s="79">
        <f>IF(P4952&lt;&gt;"", TODAY(), "")</f>
        <v/>
      </c>
      <c r="S4952" s="78">
        <f>IF(AND(K4952&lt;&gt;"", R4952&lt;&gt;""), R4952-K4952, "")</f>
        <v/>
      </c>
      <c r="T4952" s="78" t="n"/>
      <c r="U4952" s="92">
        <f>IF(ISBLANK(P4952),"",IF(C4952="Buy",Q4952-M4952+T4952, IF(C4952="Sell",M4952-Q4952-T4952, X)))</f>
        <v/>
      </c>
      <c r="V4952" s="81">
        <f>IF(ISBLANK(P4952),"",U4952/N4952)</f>
        <v/>
      </c>
      <c r="W4952" s="81">
        <f>IF(ISBLANK(P4952),"",IF(S4952=0,(365/0.5)*V4952,(365/S4952)*V4952))</f>
        <v/>
      </c>
      <c r="X4952" s="75" t="n"/>
      <c r="Y4952" s="77" t="n"/>
      <c r="Z4952" s="77" t="n"/>
      <c r="AA4952" s="75" t="n"/>
      <c r="AB4952" s="75" t="n"/>
      <c r="AC4952" s="6" t="n"/>
      <c r="AD4952" s="75" t="n"/>
      <c r="AE4952" s="75" t="n"/>
      <c r="AF4952" s="75" t="n"/>
    </row>
    <row r="4953" ht="15.75" customHeight="1" s="133">
      <c r="A4953" s="75" t="n"/>
      <c r="B4953" s="75" t="n"/>
      <c r="C4953" s="75" t="n"/>
      <c r="D4953" s="75" t="n"/>
      <c r="E4953" s="76" t="n"/>
      <c r="F4953" s="77" t="n"/>
      <c r="G4953" s="75" t="n"/>
      <c r="H4953" s="75">
        <f>IF(ISBLANK(E4953),"",IF(OR(D4953="Butterfly",D4953="Butterfly ",D4953="Iron Fly", D4953="Iron Fly "),LEN(E4953)-LEN(SUBSTITUTE(E4953,"/",""))+2,LEN(E4953)-LEN(SUBSTITUTE(E4953,"/",""))+1))</f>
        <v/>
      </c>
      <c r="I4953" s="78">
        <f>IF(ISBLANK(G4953),"",IF(D4953="Stock","0",Key!$A$3*H4953*G4953))</f>
        <v/>
      </c>
      <c r="J4953" s="78">
        <f>IF(ISBLANK(E4953),"",IF(ISNUMBER(SEARCH("/",E4953)), IF(LEN(E4953)-LEN(SUBSTITUTE(E4953,"/",""))=1,(RIGHT(E4953,LEN(E4953)-FIND("/",E4953)))-(LEFT(E4953,FIND("/",E4953)-1)),(MID(E4953, SEARCH("/",E4953) + 1, SEARCH("/",E4953, SEARCH("/",E4953)+1) - SEARCH("/",E4953) - 1))-(LEFT(E4953,FIND("/",E4953)-1))), "NA"))</f>
        <v/>
      </c>
      <c r="K4953" s="79">
        <f>IF(A4953&lt;&gt;"", IF(ISBLANK(L4953), TODAY(), K4953), "")</f>
        <v/>
      </c>
      <c r="L4953" s="78" t="n"/>
      <c r="M4953" s="78">
        <f>IF(ISBLANK(L4953),"",IF(D4953="Stock",IF(C4953="Buy",L4953*G4953,IF(C4953="Sell",(L4953*G4953)-I4953, X)),IF(C4953="Buy",(L4953*G4953*100)+I4953,IF(C4953="Sell",(L4953*G4953*100)-I4953, X))))</f>
        <v/>
      </c>
      <c r="N4953" s="78">
        <f>IF(ISBLANK(L4953),"",IF(AND(C4953="Sell",D4953="Stock"),M4953,IF(ISBLANK(L4953),"",IF(C4953="Buy",M4953, IF(AND(C4953="Sell",J4953="NA"),(E4953*G4953*100*0.1)+I4953, IF(C4953="Sell",(J4953-L4953)*(100*G4953)+I4953))))))</f>
        <v/>
      </c>
      <c r="O4953" s="75" t="n"/>
      <c r="P4953" s="75" t="n"/>
      <c r="Q4953" s="75">
        <f>IF(ISBLANK(P4953),"",IF(D4953="Stock",P4953*G4953,IF(P4953=0,"0",G4953*P4953*100-(G4953*$AF$14))))</f>
        <v/>
      </c>
      <c r="R4953" s="79">
        <f>IF(P4953&lt;&gt;"", TODAY(), "")</f>
        <v/>
      </c>
      <c r="S4953" s="78">
        <f>IF(AND(K4953&lt;&gt;"", R4953&lt;&gt;""), R4953-K4953, "")</f>
        <v/>
      </c>
      <c r="T4953" s="78" t="n"/>
      <c r="U4953" s="92">
        <f>IF(ISBLANK(P4953),"",IF(C4953="Buy",Q4953-M4953+T4953, IF(C4953="Sell",M4953-Q4953-T4953, X)))</f>
        <v/>
      </c>
      <c r="V4953" s="81">
        <f>IF(ISBLANK(P4953),"",U4953/N4953)</f>
        <v/>
      </c>
      <c r="W4953" s="81">
        <f>IF(ISBLANK(P4953),"",IF(S4953=0,(365/0.5)*V4953,(365/S4953)*V4953))</f>
        <v/>
      </c>
      <c r="X4953" s="75" t="n"/>
      <c r="Y4953" s="77" t="n"/>
      <c r="Z4953" s="77" t="n"/>
      <c r="AA4953" s="75" t="n"/>
      <c r="AB4953" s="75" t="n"/>
      <c r="AC4953" s="6" t="n"/>
      <c r="AD4953" s="75" t="n"/>
      <c r="AE4953" s="75" t="n"/>
      <c r="AF4953" s="75" t="n"/>
    </row>
    <row r="4954" ht="15.75" customHeight="1" s="133">
      <c r="A4954" s="75" t="n"/>
      <c r="B4954" s="75" t="n"/>
      <c r="C4954" s="75" t="n"/>
      <c r="D4954" s="75" t="n"/>
      <c r="E4954" s="76" t="n"/>
      <c r="F4954" s="77" t="n"/>
      <c r="G4954" s="75" t="n"/>
      <c r="H4954" s="75">
        <f>IF(ISBLANK(E4954),"",IF(OR(D4954="Butterfly",D4954="Butterfly ",D4954="Iron Fly", D4954="Iron Fly "),LEN(E4954)-LEN(SUBSTITUTE(E4954,"/",""))+2,LEN(E4954)-LEN(SUBSTITUTE(E4954,"/",""))+1))</f>
        <v/>
      </c>
      <c r="I4954" s="78">
        <f>IF(ISBLANK(G4954),"",IF(D4954="Stock","0",Key!$A$3*H4954*G4954))</f>
        <v/>
      </c>
      <c r="J4954" s="78">
        <f>IF(ISBLANK(E4954),"",IF(ISNUMBER(SEARCH("/",E4954)), IF(LEN(E4954)-LEN(SUBSTITUTE(E4954,"/",""))=1,(RIGHT(E4954,LEN(E4954)-FIND("/",E4954)))-(LEFT(E4954,FIND("/",E4954)-1)),(MID(E4954, SEARCH("/",E4954) + 1, SEARCH("/",E4954, SEARCH("/",E4954)+1) - SEARCH("/",E4954) - 1))-(LEFT(E4954,FIND("/",E4954)-1))), "NA"))</f>
        <v/>
      </c>
      <c r="K4954" s="79">
        <f>IF(A4954&lt;&gt;"", IF(ISBLANK(L4954), TODAY(), K4954), "")</f>
        <v/>
      </c>
      <c r="L4954" s="78" t="n"/>
      <c r="M4954" s="78">
        <f>IF(ISBLANK(L4954),"",IF(D4954="Stock",IF(C4954="Buy",L4954*G4954,IF(C4954="Sell",(L4954*G4954)-I4954, X)),IF(C4954="Buy",(L4954*G4954*100)+I4954,IF(C4954="Sell",(L4954*G4954*100)-I4954, X))))</f>
        <v/>
      </c>
      <c r="N4954" s="78">
        <f>IF(ISBLANK(L4954),"",IF(AND(C4954="Sell",D4954="Stock"),M4954,IF(ISBLANK(L4954),"",IF(C4954="Buy",M4954, IF(AND(C4954="Sell",J4954="NA"),(E4954*G4954*100*0.1)+I4954, IF(C4954="Sell",(J4954-L4954)*(100*G4954)+I4954))))))</f>
        <v/>
      </c>
      <c r="O4954" s="75" t="n"/>
      <c r="P4954" s="75" t="n"/>
      <c r="Q4954" s="75">
        <f>IF(ISBLANK(P4954),"",IF(D4954="Stock",P4954*G4954,IF(P4954=0,"0",G4954*P4954*100-(G4954*$AF$14))))</f>
        <v/>
      </c>
      <c r="R4954" s="79">
        <f>IF(P4954&lt;&gt;"", TODAY(), "")</f>
        <v/>
      </c>
      <c r="S4954" s="78">
        <f>IF(AND(K4954&lt;&gt;"", R4954&lt;&gt;""), R4954-K4954, "")</f>
        <v/>
      </c>
      <c r="T4954" s="78" t="n"/>
      <c r="U4954" s="92">
        <f>IF(ISBLANK(P4954),"",IF(C4954="Buy",Q4954-M4954+T4954, IF(C4954="Sell",M4954-Q4954-T4954, X)))</f>
        <v/>
      </c>
      <c r="V4954" s="81">
        <f>IF(ISBLANK(P4954),"",U4954/N4954)</f>
        <v/>
      </c>
      <c r="W4954" s="81">
        <f>IF(ISBLANK(P4954),"",IF(S4954=0,(365/0.5)*V4954,(365/S4954)*V4954))</f>
        <v/>
      </c>
      <c r="X4954" s="75" t="n"/>
      <c r="Y4954" s="77" t="n"/>
      <c r="Z4954" s="77" t="n"/>
      <c r="AA4954" s="75" t="n"/>
      <c r="AB4954" s="75" t="n"/>
      <c r="AC4954" s="6" t="n"/>
      <c r="AD4954" s="75" t="n"/>
      <c r="AE4954" s="75" t="n"/>
      <c r="AF4954" s="75" t="n"/>
    </row>
    <row r="4955" ht="15.75" customHeight="1" s="133">
      <c r="A4955" s="75" t="n"/>
      <c r="B4955" s="75" t="n"/>
      <c r="C4955" s="75" t="n"/>
      <c r="D4955" s="75" t="n"/>
      <c r="E4955" s="76" t="n"/>
      <c r="F4955" s="77" t="n"/>
      <c r="G4955" s="75" t="n"/>
      <c r="H4955" s="75">
        <f>IF(ISBLANK(E4955),"",IF(OR(D4955="Butterfly",D4955="Butterfly ",D4955="Iron Fly", D4955="Iron Fly "),LEN(E4955)-LEN(SUBSTITUTE(E4955,"/",""))+2,LEN(E4955)-LEN(SUBSTITUTE(E4955,"/",""))+1))</f>
        <v/>
      </c>
      <c r="I4955" s="78">
        <f>IF(ISBLANK(G4955),"",IF(D4955="Stock","0",Key!$A$3*H4955*G4955))</f>
        <v/>
      </c>
      <c r="J4955" s="78">
        <f>IF(ISBLANK(E4955),"",IF(ISNUMBER(SEARCH("/",E4955)), IF(LEN(E4955)-LEN(SUBSTITUTE(E4955,"/",""))=1,(RIGHT(E4955,LEN(E4955)-FIND("/",E4955)))-(LEFT(E4955,FIND("/",E4955)-1)),(MID(E4955, SEARCH("/",E4955) + 1, SEARCH("/",E4955, SEARCH("/",E4955)+1) - SEARCH("/",E4955) - 1))-(LEFT(E4955,FIND("/",E4955)-1))), "NA"))</f>
        <v/>
      </c>
      <c r="K4955" s="79">
        <f>IF(A4955&lt;&gt;"", IF(ISBLANK(L4955), TODAY(), K4955), "")</f>
        <v/>
      </c>
      <c r="L4955" s="78" t="n"/>
      <c r="M4955" s="78">
        <f>IF(ISBLANK(L4955),"",IF(D4955="Stock",IF(C4955="Buy",L4955*G4955,IF(C4955="Sell",(L4955*G4955)-I4955, X)),IF(C4955="Buy",(L4955*G4955*100)+I4955,IF(C4955="Sell",(L4955*G4955*100)-I4955, X))))</f>
        <v/>
      </c>
      <c r="N4955" s="78">
        <f>IF(ISBLANK(L4955),"",IF(AND(C4955="Sell",D4955="Stock"),M4955,IF(ISBLANK(L4955),"",IF(C4955="Buy",M4955, IF(AND(C4955="Sell",J4955="NA"),(E4955*G4955*100*0.1)+I4955, IF(C4955="Sell",(J4955-L4955)*(100*G4955)+I4955))))))</f>
        <v/>
      </c>
      <c r="O4955" s="75" t="n"/>
      <c r="P4955" s="75" t="n"/>
      <c r="Q4955" s="75">
        <f>IF(ISBLANK(P4955),"",IF(D4955="Stock",P4955*G4955,IF(P4955=0,"0",G4955*P4955*100-(G4955*$AF$14))))</f>
        <v/>
      </c>
      <c r="R4955" s="79">
        <f>IF(P4955&lt;&gt;"", TODAY(), "")</f>
        <v/>
      </c>
      <c r="S4955" s="78">
        <f>IF(AND(K4955&lt;&gt;"", R4955&lt;&gt;""), R4955-K4955, "")</f>
        <v/>
      </c>
      <c r="T4955" s="78" t="n"/>
      <c r="U4955" s="92">
        <f>IF(ISBLANK(P4955),"",IF(C4955="Buy",Q4955-M4955+T4955, IF(C4955="Sell",M4955-Q4955-T4955, X)))</f>
        <v/>
      </c>
      <c r="V4955" s="81">
        <f>IF(ISBLANK(P4955),"",U4955/N4955)</f>
        <v/>
      </c>
      <c r="W4955" s="81">
        <f>IF(ISBLANK(P4955),"",IF(S4955=0,(365/0.5)*V4955,(365/S4955)*V4955))</f>
        <v/>
      </c>
      <c r="X4955" s="75" t="n"/>
      <c r="Y4955" s="77" t="n"/>
      <c r="Z4955" s="77" t="n"/>
      <c r="AA4955" s="75" t="n"/>
      <c r="AB4955" s="75" t="n"/>
      <c r="AC4955" s="6" t="n"/>
      <c r="AD4955" s="75" t="n"/>
      <c r="AE4955" s="75" t="n"/>
      <c r="AF4955" s="75" t="n"/>
    </row>
    <row r="4956" ht="15.75" customHeight="1" s="133">
      <c r="A4956" s="75" t="n"/>
      <c r="B4956" s="75" t="n"/>
      <c r="C4956" s="75" t="n"/>
      <c r="D4956" s="75" t="n"/>
      <c r="E4956" s="76" t="n"/>
      <c r="F4956" s="77" t="n"/>
      <c r="G4956" s="75" t="n"/>
      <c r="H4956" s="75">
        <f>IF(ISBLANK(E4956),"",IF(OR(D4956="Butterfly",D4956="Butterfly ",D4956="Iron Fly", D4956="Iron Fly "),LEN(E4956)-LEN(SUBSTITUTE(E4956,"/",""))+2,LEN(E4956)-LEN(SUBSTITUTE(E4956,"/",""))+1))</f>
        <v/>
      </c>
      <c r="I4956" s="78">
        <f>IF(ISBLANK(G4956),"",IF(D4956="Stock","0",Key!$A$3*H4956*G4956))</f>
        <v/>
      </c>
      <c r="J4956" s="78">
        <f>IF(ISBLANK(E4956),"",IF(ISNUMBER(SEARCH("/",E4956)), IF(LEN(E4956)-LEN(SUBSTITUTE(E4956,"/",""))=1,(RIGHT(E4956,LEN(E4956)-FIND("/",E4956)))-(LEFT(E4956,FIND("/",E4956)-1)),(MID(E4956, SEARCH("/",E4956) + 1, SEARCH("/",E4956, SEARCH("/",E4956)+1) - SEARCH("/",E4956) - 1))-(LEFT(E4956,FIND("/",E4956)-1))), "NA"))</f>
        <v/>
      </c>
      <c r="K4956" s="79">
        <f>IF(A4956&lt;&gt;"", IF(ISBLANK(L4956), TODAY(), K4956), "")</f>
        <v/>
      </c>
      <c r="L4956" s="78" t="n"/>
      <c r="M4956" s="78">
        <f>IF(ISBLANK(L4956),"",IF(D4956="Stock",IF(C4956="Buy",L4956*G4956,IF(C4956="Sell",(L4956*G4956)-I4956, X)),IF(C4956="Buy",(L4956*G4956*100)+I4956,IF(C4956="Sell",(L4956*G4956*100)-I4956, X))))</f>
        <v/>
      </c>
      <c r="N4956" s="78">
        <f>IF(ISBLANK(L4956),"",IF(AND(C4956="Sell",D4956="Stock"),M4956,IF(ISBLANK(L4956),"",IF(C4956="Buy",M4956, IF(AND(C4956="Sell",J4956="NA"),(E4956*G4956*100*0.1)+I4956, IF(C4956="Sell",(J4956-L4956)*(100*G4956)+I4956))))))</f>
        <v/>
      </c>
      <c r="O4956" s="75" t="n"/>
      <c r="P4956" s="75" t="n"/>
      <c r="Q4956" s="75">
        <f>IF(ISBLANK(P4956),"",IF(D4956="Stock",P4956*G4956,IF(P4956=0,"0",G4956*P4956*100-(G4956*$AF$14))))</f>
        <v/>
      </c>
      <c r="R4956" s="79">
        <f>IF(P4956&lt;&gt;"", TODAY(), "")</f>
        <v/>
      </c>
      <c r="S4956" s="78">
        <f>IF(AND(K4956&lt;&gt;"", R4956&lt;&gt;""), R4956-K4956, "")</f>
        <v/>
      </c>
      <c r="T4956" s="78" t="n"/>
      <c r="U4956" s="92">
        <f>IF(ISBLANK(P4956),"",IF(C4956="Buy",Q4956-M4956+T4956, IF(C4956="Sell",M4956-Q4956-T4956, X)))</f>
        <v/>
      </c>
      <c r="V4956" s="81">
        <f>IF(ISBLANK(P4956),"",U4956/N4956)</f>
        <v/>
      </c>
      <c r="W4956" s="81">
        <f>IF(ISBLANK(P4956),"",IF(S4956=0,(365/0.5)*V4956,(365/S4956)*V4956))</f>
        <v/>
      </c>
      <c r="X4956" s="75" t="n"/>
      <c r="Y4956" s="77" t="n"/>
      <c r="Z4956" s="77" t="n"/>
      <c r="AA4956" s="75" t="n"/>
      <c r="AB4956" s="75" t="n"/>
      <c r="AC4956" s="6" t="n"/>
      <c r="AD4956" s="75" t="n"/>
      <c r="AE4956" s="75" t="n"/>
      <c r="AF4956" s="75" t="n"/>
    </row>
    <row r="4957" ht="15.75" customHeight="1" s="133">
      <c r="A4957" s="75" t="n"/>
      <c r="B4957" s="75" t="n"/>
      <c r="C4957" s="75" t="n"/>
      <c r="D4957" s="75" t="n"/>
      <c r="E4957" s="76" t="n"/>
      <c r="F4957" s="77" t="n"/>
      <c r="G4957" s="75" t="n"/>
      <c r="H4957" s="75">
        <f>IF(ISBLANK(E4957),"",IF(OR(D4957="Butterfly",D4957="Butterfly ",D4957="Iron Fly", D4957="Iron Fly "),LEN(E4957)-LEN(SUBSTITUTE(E4957,"/",""))+2,LEN(E4957)-LEN(SUBSTITUTE(E4957,"/",""))+1))</f>
        <v/>
      </c>
      <c r="I4957" s="78">
        <f>IF(ISBLANK(G4957),"",IF(D4957="Stock","0",Key!$A$3*H4957*G4957))</f>
        <v/>
      </c>
      <c r="J4957" s="78">
        <f>IF(ISBLANK(E4957),"",IF(ISNUMBER(SEARCH("/",E4957)), IF(LEN(E4957)-LEN(SUBSTITUTE(E4957,"/",""))=1,(RIGHT(E4957,LEN(E4957)-FIND("/",E4957)))-(LEFT(E4957,FIND("/",E4957)-1)),(MID(E4957, SEARCH("/",E4957) + 1, SEARCH("/",E4957, SEARCH("/",E4957)+1) - SEARCH("/",E4957) - 1))-(LEFT(E4957,FIND("/",E4957)-1))), "NA"))</f>
        <v/>
      </c>
      <c r="K4957" s="79">
        <f>IF(A4957&lt;&gt;"", IF(ISBLANK(L4957), TODAY(), K4957), "")</f>
        <v/>
      </c>
      <c r="L4957" s="78" t="n"/>
      <c r="M4957" s="78">
        <f>IF(ISBLANK(L4957),"",IF(D4957="Stock",IF(C4957="Buy",L4957*G4957,IF(C4957="Sell",(L4957*G4957)-I4957, X)),IF(C4957="Buy",(L4957*G4957*100)+I4957,IF(C4957="Sell",(L4957*G4957*100)-I4957, X))))</f>
        <v/>
      </c>
      <c r="N4957" s="78">
        <f>IF(ISBLANK(L4957),"",IF(AND(C4957="Sell",D4957="Stock"),M4957,IF(ISBLANK(L4957),"",IF(C4957="Buy",M4957, IF(AND(C4957="Sell",J4957="NA"),(E4957*G4957*100*0.1)+I4957, IF(C4957="Sell",(J4957-L4957)*(100*G4957)+I4957))))))</f>
        <v/>
      </c>
      <c r="O4957" s="75" t="n"/>
      <c r="P4957" s="75" t="n"/>
      <c r="Q4957" s="75">
        <f>IF(ISBLANK(P4957),"",IF(D4957="Stock",P4957*G4957,IF(P4957=0,"0",G4957*P4957*100-(G4957*$AF$14))))</f>
        <v/>
      </c>
      <c r="R4957" s="79">
        <f>IF(P4957&lt;&gt;"", TODAY(), "")</f>
        <v/>
      </c>
      <c r="S4957" s="78">
        <f>IF(AND(K4957&lt;&gt;"", R4957&lt;&gt;""), R4957-K4957, "")</f>
        <v/>
      </c>
      <c r="T4957" s="78" t="n"/>
      <c r="U4957" s="92">
        <f>IF(ISBLANK(P4957),"",IF(C4957="Buy",Q4957-M4957+T4957, IF(C4957="Sell",M4957-Q4957-T4957, X)))</f>
        <v/>
      </c>
      <c r="V4957" s="81">
        <f>IF(ISBLANK(P4957),"",U4957/N4957)</f>
        <v/>
      </c>
      <c r="W4957" s="81">
        <f>IF(ISBLANK(P4957),"",IF(S4957=0,(365/0.5)*V4957,(365/S4957)*V4957))</f>
        <v/>
      </c>
      <c r="X4957" s="75" t="n"/>
      <c r="Y4957" s="77" t="n"/>
      <c r="Z4957" s="77" t="n"/>
      <c r="AA4957" s="75" t="n"/>
      <c r="AB4957" s="75" t="n"/>
      <c r="AC4957" s="6" t="n"/>
      <c r="AD4957" s="75" t="n"/>
      <c r="AE4957" s="75" t="n"/>
      <c r="AF4957" s="75" t="n"/>
    </row>
    <row r="4958" ht="15.75" customHeight="1" s="133">
      <c r="A4958" s="75" t="n"/>
      <c r="B4958" s="75" t="n"/>
      <c r="C4958" s="75" t="n"/>
      <c r="D4958" s="75" t="n"/>
      <c r="E4958" s="76" t="n"/>
      <c r="F4958" s="77" t="n"/>
      <c r="G4958" s="75" t="n"/>
      <c r="H4958" s="75">
        <f>IF(ISBLANK(E4958),"",IF(OR(D4958="Butterfly",D4958="Butterfly ",D4958="Iron Fly", D4958="Iron Fly "),LEN(E4958)-LEN(SUBSTITUTE(E4958,"/",""))+2,LEN(E4958)-LEN(SUBSTITUTE(E4958,"/",""))+1))</f>
        <v/>
      </c>
      <c r="I4958" s="78">
        <f>IF(ISBLANK(G4958),"",IF(D4958="Stock","0",Key!$A$3*H4958*G4958))</f>
        <v/>
      </c>
      <c r="J4958" s="78">
        <f>IF(ISBLANK(E4958),"",IF(ISNUMBER(SEARCH("/",E4958)), IF(LEN(E4958)-LEN(SUBSTITUTE(E4958,"/",""))=1,(RIGHT(E4958,LEN(E4958)-FIND("/",E4958)))-(LEFT(E4958,FIND("/",E4958)-1)),(MID(E4958, SEARCH("/",E4958) + 1, SEARCH("/",E4958, SEARCH("/",E4958)+1) - SEARCH("/",E4958) - 1))-(LEFT(E4958,FIND("/",E4958)-1))), "NA"))</f>
        <v/>
      </c>
      <c r="K4958" s="79">
        <f>IF(A4958&lt;&gt;"", IF(ISBLANK(L4958), TODAY(), K4958), "")</f>
        <v/>
      </c>
      <c r="L4958" s="78" t="n"/>
      <c r="M4958" s="78">
        <f>IF(ISBLANK(L4958),"",IF(D4958="Stock",IF(C4958="Buy",L4958*G4958,IF(C4958="Sell",(L4958*G4958)-I4958, X)),IF(C4958="Buy",(L4958*G4958*100)+I4958,IF(C4958="Sell",(L4958*G4958*100)-I4958, X))))</f>
        <v/>
      </c>
      <c r="N4958" s="78">
        <f>IF(ISBLANK(L4958),"",IF(AND(C4958="Sell",D4958="Stock"),M4958,IF(ISBLANK(L4958),"",IF(C4958="Buy",M4958, IF(AND(C4958="Sell",J4958="NA"),(E4958*G4958*100*0.1)+I4958, IF(C4958="Sell",(J4958-L4958)*(100*G4958)+I4958))))))</f>
        <v/>
      </c>
      <c r="O4958" s="75" t="n"/>
      <c r="P4958" s="75" t="n"/>
      <c r="Q4958" s="75">
        <f>IF(ISBLANK(P4958),"",IF(D4958="Stock",P4958*G4958,IF(P4958=0,"0",G4958*P4958*100-(G4958*$AF$14))))</f>
        <v/>
      </c>
      <c r="R4958" s="79">
        <f>IF(P4958&lt;&gt;"", TODAY(), "")</f>
        <v/>
      </c>
      <c r="S4958" s="78">
        <f>IF(AND(K4958&lt;&gt;"", R4958&lt;&gt;""), R4958-K4958, "")</f>
        <v/>
      </c>
      <c r="T4958" s="78" t="n"/>
      <c r="U4958" s="92">
        <f>IF(ISBLANK(P4958),"",IF(C4958="Buy",Q4958-M4958+T4958, IF(C4958="Sell",M4958-Q4958-T4958, X)))</f>
        <v/>
      </c>
      <c r="V4958" s="81">
        <f>IF(ISBLANK(P4958),"",U4958/N4958)</f>
        <v/>
      </c>
      <c r="W4958" s="81">
        <f>IF(ISBLANK(P4958),"",IF(S4958=0,(365/0.5)*V4958,(365/S4958)*V4958))</f>
        <v/>
      </c>
      <c r="X4958" s="75" t="n"/>
      <c r="Y4958" s="77" t="n"/>
      <c r="Z4958" s="77" t="n"/>
      <c r="AA4958" s="75" t="n"/>
      <c r="AB4958" s="75" t="n"/>
      <c r="AC4958" s="6" t="n"/>
      <c r="AD4958" s="75" t="n"/>
      <c r="AE4958" s="75" t="n"/>
      <c r="AF4958" s="75" t="n"/>
    </row>
    <row r="4959" ht="15.75" customHeight="1" s="133">
      <c r="A4959" s="75" t="n"/>
      <c r="B4959" s="75" t="n"/>
      <c r="C4959" s="75" t="n"/>
      <c r="D4959" s="75" t="n"/>
      <c r="E4959" s="76" t="n"/>
      <c r="F4959" s="77" t="n"/>
      <c r="G4959" s="75" t="n"/>
      <c r="H4959" s="75">
        <f>IF(ISBLANK(E4959),"",IF(OR(D4959="Butterfly",D4959="Butterfly ",D4959="Iron Fly", D4959="Iron Fly "),LEN(E4959)-LEN(SUBSTITUTE(E4959,"/",""))+2,LEN(E4959)-LEN(SUBSTITUTE(E4959,"/",""))+1))</f>
        <v/>
      </c>
      <c r="I4959" s="78">
        <f>IF(ISBLANK(G4959),"",IF(D4959="Stock","0",Key!$A$3*H4959*G4959))</f>
        <v/>
      </c>
      <c r="J4959" s="78">
        <f>IF(ISBLANK(E4959),"",IF(ISNUMBER(SEARCH("/",E4959)), IF(LEN(E4959)-LEN(SUBSTITUTE(E4959,"/",""))=1,(RIGHT(E4959,LEN(E4959)-FIND("/",E4959)))-(LEFT(E4959,FIND("/",E4959)-1)),(MID(E4959, SEARCH("/",E4959) + 1, SEARCH("/",E4959, SEARCH("/",E4959)+1) - SEARCH("/",E4959) - 1))-(LEFT(E4959,FIND("/",E4959)-1))), "NA"))</f>
        <v/>
      </c>
      <c r="K4959" s="79">
        <f>IF(A4959&lt;&gt;"", IF(ISBLANK(L4959), TODAY(), K4959), "")</f>
        <v/>
      </c>
      <c r="L4959" s="78" t="n"/>
      <c r="M4959" s="78">
        <f>IF(ISBLANK(L4959),"",IF(D4959="Stock",IF(C4959="Buy",L4959*G4959,IF(C4959="Sell",(L4959*G4959)-I4959, X)),IF(C4959="Buy",(L4959*G4959*100)+I4959,IF(C4959="Sell",(L4959*G4959*100)-I4959, X))))</f>
        <v/>
      </c>
      <c r="N4959" s="78">
        <f>IF(ISBLANK(L4959),"",IF(AND(C4959="Sell",D4959="Stock"),M4959,IF(ISBLANK(L4959),"",IF(C4959="Buy",M4959, IF(AND(C4959="Sell",J4959="NA"),(E4959*G4959*100*0.1)+I4959, IF(C4959="Sell",(J4959-L4959)*(100*G4959)+I4959))))))</f>
        <v/>
      </c>
      <c r="O4959" s="75" t="n"/>
      <c r="P4959" s="75" t="n"/>
      <c r="Q4959" s="75">
        <f>IF(ISBLANK(P4959),"",IF(D4959="Stock",P4959*G4959,IF(P4959=0,"0",G4959*P4959*100-(G4959*$AF$14))))</f>
        <v/>
      </c>
      <c r="R4959" s="79">
        <f>IF(P4959&lt;&gt;"", TODAY(), "")</f>
        <v/>
      </c>
      <c r="S4959" s="78">
        <f>IF(AND(K4959&lt;&gt;"", R4959&lt;&gt;""), R4959-K4959, "")</f>
        <v/>
      </c>
      <c r="T4959" s="78" t="n"/>
      <c r="U4959" s="92">
        <f>IF(ISBLANK(P4959),"",IF(C4959="Buy",Q4959-M4959+T4959, IF(C4959="Sell",M4959-Q4959-T4959, X)))</f>
        <v/>
      </c>
      <c r="V4959" s="81">
        <f>IF(ISBLANK(P4959),"",U4959/N4959)</f>
        <v/>
      </c>
      <c r="W4959" s="81">
        <f>IF(ISBLANK(P4959),"",IF(S4959=0,(365/0.5)*V4959,(365/S4959)*V4959))</f>
        <v/>
      </c>
      <c r="X4959" s="75" t="n"/>
      <c r="Y4959" s="77" t="n"/>
      <c r="Z4959" s="77" t="n"/>
      <c r="AA4959" s="75" t="n"/>
      <c r="AB4959" s="75" t="n"/>
      <c r="AC4959" s="6" t="n"/>
      <c r="AD4959" s="75" t="n"/>
      <c r="AE4959" s="75" t="n"/>
      <c r="AF4959" s="75" t="n"/>
    </row>
    <row r="4960" ht="15.75" customHeight="1" s="133">
      <c r="A4960" s="75" t="n"/>
      <c r="B4960" s="75" t="n"/>
      <c r="C4960" s="75" t="n"/>
      <c r="D4960" s="75" t="n"/>
      <c r="E4960" s="76" t="n"/>
      <c r="F4960" s="77" t="n"/>
      <c r="G4960" s="75" t="n"/>
      <c r="H4960" s="75">
        <f>IF(ISBLANK(E4960),"",IF(OR(D4960="Butterfly",D4960="Butterfly ",D4960="Iron Fly", D4960="Iron Fly "),LEN(E4960)-LEN(SUBSTITUTE(E4960,"/",""))+2,LEN(E4960)-LEN(SUBSTITUTE(E4960,"/",""))+1))</f>
        <v/>
      </c>
      <c r="I4960" s="78">
        <f>IF(ISBLANK(G4960),"",IF(D4960="Stock","0",Key!$A$3*H4960*G4960))</f>
        <v/>
      </c>
      <c r="J4960" s="78">
        <f>IF(ISBLANK(E4960),"",IF(ISNUMBER(SEARCH("/",E4960)), IF(LEN(E4960)-LEN(SUBSTITUTE(E4960,"/",""))=1,(RIGHT(E4960,LEN(E4960)-FIND("/",E4960)))-(LEFT(E4960,FIND("/",E4960)-1)),(MID(E4960, SEARCH("/",E4960) + 1, SEARCH("/",E4960, SEARCH("/",E4960)+1) - SEARCH("/",E4960) - 1))-(LEFT(E4960,FIND("/",E4960)-1))), "NA"))</f>
        <v/>
      </c>
      <c r="K4960" s="79">
        <f>IF(A4960&lt;&gt;"", IF(ISBLANK(L4960), TODAY(), K4960), "")</f>
        <v/>
      </c>
      <c r="L4960" s="78" t="n"/>
      <c r="M4960" s="78">
        <f>IF(ISBLANK(L4960),"",IF(D4960="Stock",IF(C4960="Buy",L4960*G4960,IF(C4960="Sell",(L4960*G4960)-I4960, X)),IF(C4960="Buy",(L4960*G4960*100)+I4960,IF(C4960="Sell",(L4960*G4960*100)-I4960, X))))</f>
        <v/>
      </c>
      <c r="N4960" s="78">
        <f>IF(ISBLANK(L4960),"",IF(AND(C4960="Sell",D4960="Stock"),M4960,IF(ISBLANK(L4960),"",IF(C4960="Buy",M4960, IF(AND(C4960="Sell",J4960="NA"),(E4960*G4960*100*0.1)+I4960, IF(C4960="Sell",(J4960-L4960)*(100*G4960)+I4960))))))</f>
        <v/>
      </c>
      <c r="O4960" s="75" t="n"/>
      <c r="P4960" s="75" t="n"/>
      <c r="Q4960" s="75">
        <f>IF(ISBLANK(P4960),"",IF(D4960="Stock",P4960*G4960,IF(P4960=0,"0",G4960*P4960*100-(G4960*$AF$14))))</f>
        <v/>
      </c>
      <c r="R4960" s="79">
        <f>IF(P4960&lt;&gt;"", TODAY(), "")</f>
        <v/>
      </c>
      <c r="S4960" s="78">
        <f>IF(AND(K4960&lt;&gt;"", R4960&lt;&gt;""), R4960-K4960, "")</f>
        <v/>
      </c>
      <c r="T4960" s="78" t="n"/>
      <c r="U4960" s="92">
        <f>IF(ISBLANK(P4960),"",IF(C4960="Buy",Q4960-M4960+T4960, IF(C4960="Sell",M4960-Q4960-T4960, X)))</f>
        <v/>
      </c>
      <c r="V4960" s="81">
        <f>IF(ISBLANK(P4960),"",U4960/N4960)</f>
        <v/>
      </c>
      <c r="W4960" s="81">
        <f>IF(ISBLANK(P4960),"",IF(S4960=0,(365/0.5)*V4960,(365/S4960)*V4960))</f>
        <v/>
      </c>
      <c r="X4960" s="75" t="n"/>
      <c r="Y4960" s="77" t="n"/>
      <c r="Z4960" s="77" t="n"/>
      <c r="AA4960" s="75" t="n"/>
      <c r="AB4960" s="75" t="n"/>
      <c r="AC4960" s="6" t="n"/>
      <c r="AD4960" s="75" t="n"/>
      <c r="AE4960" s="75" t="n"/>
      <c r="AF4960" s="75" t="n"/>
    </row>
    <row r="4961" ht="15.75" customHeight="1" s="133">
      <c r="A4961" s="75" t="n"/>
      <c r="B4961" s="75" t="n"/>
      <c r="C4961" s="75" t="n"/>
      <c r="D4961" s="75" t="n"/>
      <c r="E4961" s="76" t="n"/>
      <c r="F4961" s="77" t="n"/>
      <c r="G4961" s="75" t="n"/>
      <c r="H4961" s="75">
        <f>IF(ISBLANK(E4961),"",IF(OR(D4961="Butterfly",D4961="Butterfly ",D4961="Iron Fly", D4961="Iron Fly "),LEN(E4961)-LEN(SUBSTITUTE(E4961,"/",""))+2,LEN(E4961)-LEN(SUBSTITUTE(E4961,"/",""))+1))</f>
        <v/>
      </c>
      <c r="I4961" s="78">
        <f>IF(ISBLANK(G4961),"",IF(D4961="Stock","0",Key!$A$3*H4961*G4961))</f>
        <v/>
      </c>
      <c r="J4961" s="78">
        <f>IF(ISBLANK(E4961),"",IF(ISNUMBER(SEARCH("/",E4961)), IF(LEN(E4961)-LEN(SUBSTITUTE(E4961,"/",""))=1,(RIGHT(E4961,LEN(E4961)-FIND("/",E4961)))-(LEFT(E4961,FIND("/",E4961)-1)),(MID(E4961, SEARCH("/",E4961) + 1, SEARCH("/",E4961, SEARCH("/",E4961)+1) - SEARCH("/",E4961) - 1))-(LEFT(E4961,FIND("/",E4961)-1))), "NA"))</f>
        <v/>
      </c>
      <c r="K4961" s="79">
        <f>IF(A4961&lt;&gt;"", IF(ISBLANK(L4961), TODAY(), K4961), "")</f>
        <v/>
      </c>
      <c r="L4961" s="78" t="n"/>
      <c r="M4961" s="78">
        <f>IF(ISBLANK(L4961),"",IF(D4961="Stock",IF(C4961="Buy",L4961*G4961,IF(C4961="Sell",(L4961*G4961)-I4961, X)),IF(C4961="Buy",(L4961*G4961*100)+I4961,IF(C4961="Sell",(L4961*G4961*100)-I4961, X))))</f>
        <v/>
      </c>
      <c r="N4961" s="78">
        <f>IF(ISBLANK(L4961),"",IF(AND(C4961="Sell",D4961="Stock"),M4961,IF(ISBLANK(L4961),"",IF(C4961="Buy",M4961, IF(AND(C4961="Sell",J4961="NA"),(E4961*G4961*100*0.1)+I4961, IF(C4961="Sell",(J4961-L4961)*(100*G4961)+I4961))))))</f>
        <v/>
      </c>
      <c r="O4961" s="75" t="n"/>
      <c r="P4961" s="75" t="n"/>
      <c r="Q4961" s="75">
        <f>IF(ISBLANK(P4961),"",IF(D4961="Stock",P4961*G4961,IF(P4961=0,"0",G4961*P4961*100-(G4961*$AF$14))))</f>
        <v/>
      </c>
      <c r="R4961" s="79">
        <f>IF(P4961&lt;&gt;"", TODAY(), "")</f>
        <v/>
      </c>
      <c r="S4961" s="78">
        <f>IF(AND(K4961&lt;&gt;"", R4961&lt;&gt;""), R4961-K4961, "")</f>
        <v/>
      </c>
      <c r="T4961" s="78" t="n"/>
      <c r="U4961" s="92">
        <f>IF(ISBLANK(P4961),"",IF(C4961="Buy",Q4961-M4961+T4961, IF(C4961="Sell",M4961-Q4961-T4961, X)))</f>
        <v/>
      </c>
      <c r="V4961" s="81">
        <f>IF(ISBLANK(P4961),"",U4961/N4961)</f>
        <v/>
      </c>
      <c r="W4961" s="81">
        <f>IF(ISBLANK(P4961),"",IF(S4961=0,(365/0.5)*V4961,(365/S4961)*V4961))</f>
        <v/>
      </c>
      <c r="X4961" s="75" t="n"/>
      <c r="Y4961" s="77" t="n"/>
      <c r="Z4961" s="77" t="n"/>
      <c r="AA4961" s="75" t="n"/>
      <c r="AB4961" s="75" t="n"/>
      <c r="AC4961" s="6" t="n"/>
      <c r="AD4961" s="75" t="n"/>
      <c r="AE4961" s="75" t="n"/>
      <c r="AF4961" s="75" t="n"/>
    </row>
    <row r="4962" ht="15.75" customHeight="1" s="133">
      <c r="A4962" s="75" t="n"/>
      <c r="B4962" s="75" t="n"/>
      <c r="C4962" s="75" t="n"/>
      <c r="D4962" s="75" t="n"/>
      <c r="E4962" s="76" t="n"/>
      <c r="F4962" s="77" t="n"/>
      <c r="G4962" s="75" t="n"/>
      <c r="H4962" s="75">
        <f>IF(ISBLANK(E4962),"",IF(OR(D4962="Butterfly",D4962="Butterfly ",D4962="Iron Fly", D4962="Iron Fly "),LEN(E4962)-LEN(SUBSTITUTE(E4962,"/",""))+2,LEN(E4962)-LEN(SUBSTITUTE(E4962,"/",""))+1))</f>
        <v/>
      </c>
      <c r="I4962" s="78">
        <f>IF(ISBLANK(G4962),"",IF(D4962="Stock","0",Key!$A$3*H4962*G4962))</f>
        <v/>
      </c>
      <c r="J4962" s="78">
        <f>IF(ISBLANK(E4962),"",IF(ISNUMBER(SEARCH("/",E4962)), IF(LEN(E4962)-LEN(SUBSTITUTE(E4962,"/",""))=1,(RIGHT(E4962,LEN(E4962)-FIND("/",E4962)))-(LEFT(E4962,FIND("/",E4962)-1)),(MID(E4962, SEARCH("/",E4962) + 1, SEARCH("/",E4962, SEARCH("/",E4962)+1) - SEARCH("/",E4962) - 1))-(LEFT(E4962,FIND("/",E4962)-1))), "NA"))</f>
        <v/>
      </c>
      <c r="K4962" s="79">
        <f>IF(A4962&lt;&gt;"", IF(ISBLANK(L4962), TODAY(), K4962), "")</f>
        <v/>
      </c>
      <c r="L4962" s="78" t="n"/>
      <c r="M4962" s="78">
        <f>IF(ISBLANK(L4962),"",IF(D4962="Stock",IF(C4962="Buy",L4962*G4962,IF(C4962="Sell",(L4962*G4962)-I4962, X)),IF(C4962="Buy",(L4962*G4962*100)+I4962,IF(C4962="Sell",(L4962*G4962*100)-I4962, X))))</f>
        <v/>
      </c>
      <c r="N4962" s="78">
        <f>IF(ISBLANK(L4962),"",IF(AND(C4962="Sell",D4962="Stock"),M4962,IF(ISBLANK(L4962),"",IF(C4962="Buy",M4962, IF(AND(C4962="Sell",J4962="NA"),(E4962*G4962*100*0.1)+I4962, IF(C4962="Sell",(J4962-L4962)*(100*G4962)+I4962))))))</f>
        <v/>
      </c>
      <c r="O4962" s="75" t="n"/>
      <c r="P4962" s="75" t="n"/>
      <c r="Q4962" s="75">
        <f>IF(ISBLANK(P4962),"",IF(D4962="Stock",P4962*G4962,IF(P4962=0,"0",G4962*P4962*100-(G4962*$AF$14))))</f>
        <v/>
      </c>
      <c r="R4962" s="79">
        <f>IF(P4962&lt;&gt;"", TODAY(), "")</f>
        <v/>
      </c>
      <c r="S4962" s="78">
        <f>IF(AND(K4962&lt;&gt;"", R4962&lt;&gt;""), R4962-K4962, "")</f>
        <v/>
      </c>
      <c r="T4962" s="78" t="n"/>
      <c r="U4962" s="92">
        <f>IF(ISBLANK(P4962),"",IF(C4962="Buy",Q4962-M4962+T4962, IF(C4962="Sell",M4962-Q4962-T4962, X)))</f>
        <v/>
      </c>
      <c r="V4962" s="81">
        <f>IF(ISBLANK(P4962),"",U4962/N4962)</f>
        <v/>
      </c>
      <c r="W4962" s="81">
        <f>IF(ISBLANK(P4962),"",IF(S4962=0,(365/0.5)*V4962,(365/S4962)*V4962))</f>
        <v/>
      </c>
      <c r="X4962" s="75" t="n"/>
      <c r="Y4962" s="77" t="n"/>
      <c r="Z4962" s="77" t="n"/>
      <c r="AA4962" s="75" t="n"/>
      <c r="AB4962" s="75" t="n"/>
      <c r="AC4962" s="6" t="n"/>
      <c r="AD4962" s="75" t="n"/>
      <c r="AE4962" s="75" t="n"/>
      <c r="AF4962" s="75" t="n"/>
    </row>
    <row r="4963" ht="15.75" customHeight="1" s="133">
      <c r="A4963" s="75" t="n"/>
      <c r="B4963" s="75" t="n"/>
      <c r="C4963" s="75" t="n"/>
      <c r="D4963" s="75" t="n"/>
      <c r="E4963" s="76" t="n"/>
      <c r="F4963" s="77" t="n"/>
      <c r="G4963" s="75" t="n"/>
      <c r="H4963" s="75">
        <f>IF(ISBLANK(E4963),"",IF(OR(D4963="Butterfly",D4963="Butterfly ",D4963="Iron Fly", D4963="Iron Fly "),LEN(E4963)-LEN(SUBSTITUTE(E4963,"/",""))+2,LEN(E4963)-LEN(SUBSTITUTE(E4963,"/",""))+1))</f>
        <v/>
      </c>
      <c r="I4963" s="78">
        <f>IF(ISBLANK(G4963),"",IF(D4963="Stock","0",Key!$A$3*H4963*G4963))</f>
        <v/>
      </c>
      <c r="J4963" s="78">
        <f>IF(ISBLANK(E4963),"",IF(ISNUMBER(SEARCH("/",E4963)), IF(LEN(E4963)-LEN(SUBSTITUTE(E4963,"/",""))=1,(RIGHT(E4963,LEN(E4963)-FIND("/",E4963)))-(LEFT(E4963,FIND("/",E4963)-1)),(MID(E4963, SEARCH("/",E4963) + 1, SEARCH("/",E4963, SEARCH("/",E4963)+1) - SEARCH("/",E4963) - 1))-(LEFT(E4963,FIND("/",E4963)-1))), "NA"))</f>
        <v/>
      </c>
      <c r="K4963" s="79">
        <f>IF(A4963&lt;&gt;"", IF(ISBLANK(L4963), TODAY(), K4963), "")</f>
        <v/>
      </c>
      <c r="L4963" s="78" t="n"/>
      <c r="M4963" s="78">
        <f>IF(ISBLANK(L4963),"",IF(D4963="Stock",IF(C4963="Buy",L4963*G4963,IF(C4963="Sell",(L4963*G4963)-I4963, X)),IF(C4963="Buy",(L4963*G4963*100)+I4963,IF(C4963="Sell",(L4963*G4963*100)-I4963, X))))</f>
        <v/>
      </c>
      <c r="N4963" s="78">
        <f>IF(ISBLANK(L4963),"",IF(AND(C4963="Sell",D4963="Stock"),M4963,IF(ISBLANK(L4963),"",IF(C4963="Buy",M4963, IF(AND(C4963="Sell",J4963="NA"),(E4963*G4963*100*0.1)+I4963, IF(C4963="Sell",(J4963-L4963)*(100*G4963)+I4963))))))</f>
        <v/>
      </c>
      <c r="O4963" s="75" t="n"/>
      <c r="P4963" s="75" t="n"/>
      <c r="Q4963" s="75">
        <f>IF(ISBLANK(P4963),"",IF(D4963="Stock",P4963*G4963,IF(P4963=0,"0",G4963*P4963*100-(G4963*$AF$14))))</f>
        <v/>
      </c>
      <c r="R4963" s="79">
        <f>IF(P4963&lt;&gt;"", TODAY(), "")</f>
        <v/>
      </c>
      <c r="S4963" s="78">
        <f>IF(AND(K4963&lt;&gt;"", R4963&lt;&gt;""), R4963-K4963, "")</f>
        <v/>
      </c>
      <c r="T4963" s="78" t="n"/>
      <c r="U4963" s="92">
        <f>IF(ISBLANK(P4963),"",IF(C4963="Buy",Q4963-M4963+T4963, IF(C4963="Sell",M4963-Q4963-T4963, X)))</f>
        <v/>
      </c>
      <c r="V4963" s="81">
        <f>IF(ISBLANK(P4963),"",U4963/N4963)</f>
        <v/>
      </c>
      <c r="W4963" s="81">
        <f>IF(ISBLANK(P4963),"",IF(S4963=0,(365/0.5)*V4963,(365/S4963)*V4963))</f>
        <v/>
      </c>
      <c r="X4963" s="75" t="n"/>
      <c r="Y4963" s="77" t="n"/>
      <c r="Z4963" s="77" t="n"/>
      <c r="AA4963" s="75" t="n"/>
      <c r="AB4963" s="75" t="n"/>
      <c r="AC4963" s="6" t="n"/>
      <c r="AD4963" s="75" t="n"/>
      <c r="AE4963" s="75" t="n"/>
      <c r="AF4963" s="75" t="n"/>
    </row>
    <row r="4964" ht="15.75" customHeight="1" s="133">
      <c r="A4964" s="75" t="n"/>
      <c r="B4964" s="75" t="n"/>
      <c r="C4964" s="75" t="n"/>
      <c r="D4964" s="75" t="n"/>
      <c r="E4964" s="76" t="n"/>
      <c r="F4964" s="77" t="n"/>
      <c r="G4964" s="75" t="n"/>
      <c r="H4964" s="75">
        <f>IF(ISBLANK(E4964),"",IF(OR(D4964="Butterfly",D4964="Butterfly ",D4964="Iron Fly", D4964="Iron Fly "),LEN(E4964)-LEN(SUBSTITUTE(E4964,"/",""))+2,LEN(E4964)-LEN(SUBSTITUTE(E4964,"/",""))+1))</f>
        <v/>
      </c>
      <c r="I4964" s="78">
        <f>IF(ISBLANK(G4964),"",IF(D4964="Stock","0",Key!$A$3*H4964*G4964))</f>
        <v/>
      </c>
      <c r="J4964" s="78">
        <f>IF(ISBLANK(E4964),"",IF(ISNUMBER(SEARCH("/",E4964)), IF(LEN(E4964)-LEN(SUBSTITUTE(E4964,"/",""))=1,(RIGHT(E4964,LEN(E4964)-FIND("/",E4964)))-(LEFT(E4964,FIND("/",E4964)-1)),(MID(E4964, SEARCH("/",E4964) + 1, SEARCH("/",E4964, SEARCH("/",E4964)+1) - SEARCH("/",E4964) - 1))-(LEFT(E4964,FIND("/",E4964)-1))), "NA"))</f>
        <v/>
      </c>
      <c r="K4964" s="79">
        <f>IF(A4964&lt;&gt;"", IF(ISBLANK(L4964), TODAY(), K4964), "")</f>
        <v/>
      </c>
      <c r="L4964" s="78" t="n"/>
      <c r="M4964" s="78">
        <f>IF(ISBLANK(L4964),"",IF(D4964="Stock",IF(C4964="Buy",L4964*G4964,IF(C4964="Sell",(L4964*G4964)-I4964, X)),IF(C4964="Buy",(L4964*G4964*100)+I4964,IF(C4964="Sell",(L4964*G4964*100)-I4964, X))))</f>
        <v/>
      </c>
      <c r="N4964" s="78">
        <f>IF(ISBLANK(L4964),"",IF(AND(C4964="Sell",D4964="Stock"),M4964,IF(ISBLANK(L4964),"",IF(C4964="Buy",M4964, IF(AND(C4964="Sell",J4964="NA"),(E4964*G4964*100*0.1)+I4964, IF(C4964="Sell",(J4964-L4964)*(100*G4964)+I4964))))))</f>
        <v/>
      </c>
      <c r="O4964" s="75" t="n"/>
      <c r="P4964" s="75" t="n"/>
      <c r="Q4964" s="75">
        <f>IF(ISBLANK(P4964),"",IF(D4964="Stock",P4964*G4964,IF(P4964=0,"0",G4964*P4964*100-(G4964*$AF$14))))</f>
        <v/>
      </c>
      <c r="R4964" s="79">
        <f>IF(P4964&lt;&gt;"", TODAY(), "")</f>
        <v/>
      </c>
      <c r="S4964" s="78">
        <f>IF(AND(K4964&lt;&gt;"", R4964&lt;&gt;""), R4964-K4964, "")</f>
        <v/>
      </c>
      <c r="T4964" s="78" t="n"/>
      <c r="U4964" s="92">
        <f>IF(ISBLANK(P4964),"",IF(C4964="Buy",Q4964-M4964+T4964, IF(C4964="Sell",M4964-Q4964-T4964, X)))</f>
        <v/>
      </c>
      <c r="V4964" s="81">
        <f>IF(ISBLANK(P4964),"",U4964/N4964)</f>
        <v/>
      </c>
      <c r="W4964" s="81">
        <f>IF(ISBLANK(P4964),"",IF(S4964=0,(365/0.5)*V4964,(365/S4964)*V4964))</f>
        <v/>
      </c>
      <c r="X4964" s="75" t="n"/>
      <c r="Y4964" s="77" t="n"/>
      <c r="Z4964" s="77" t="n"/>
      <c r="AA4964" s="75" t="n"/>
      <c r="AB4964" s="75" t="n"/>
      <c r="AC4964" s="6" t="n"/>
      <c r="AD4964" s="75" t="n"/>
      <c r="AE4964" s="75" t="n"/>
      <c r="AF4964" s="75" t="n"/>
    </row>
    <row r="4965" ht="15.75" customHeight="1" s="133">
      <c r="A4965" s="75" t="n"/>
      <c r="B4965" s="75" t="n"/>
      <c r="C4965" s="75" t="n"/>
      <c r="D4965" s="75" t="n"/>
      <c r="E4965" s="76" t="n"/>
      <c r="F4965" s="77" t="n"/>
      <c r="G4965" s="75" t="n"/>
      <c r="H4965" s="75">
        <f>IF(ISBLANK(E4965),"",IF(OR(D4965="Butterfly",D4965="Butterfly ",D4965="Iron Fly", D4965="Iron Fly "),LEN(E4965)-LEN(SUBSTITUTE(E4965,"/",""))+2,LEN(E4965)-LEN(SUBSTITUTE(E4965,"/",""))+1))</f>
        <v/>
      </c>
      <c r="I4965" s="78">
        <f>IF(ISBLANK(G4965),"",IF(D4965="Stock","0",Key!$A$3*H4965*G4965))</f>
        <v/>
      </c>
      <c r="J4965" s="78">
        <f>IF(ISBLANK(E4965),"",IF(ISNUMBER(SEARCH("/",E4965)), IF(LEN(E4965)-LEN(SUBSTITUTE(E4965,"/",""))=1,(RIGHT(E4965,LEN(E4965)-FIND("/",E4965)))-(LEFT(E4965,FIND("/",E4965)-1)),(MID(E4965, SEARCH("/",E4965) + 1, SEARCH("/",E4965, SEARCH("/",E4965)+1) - SEARCH("/",E4965) - 1))-(LEFT(E4965,FIND("/",E4965)-1))), "NA"))</f>
        <v/>
      </c>
      <c r="K4965" s="79">
        <f>IF(A4965&lt;&gt;"", IF(ISBLANK(L4965), TODAY(), K4965), "")</f>
        <v/>
      </c>
      <c r="L4965" s="78" t="n"/>
      <c r="M4965" s="78">
        <f>IF(ISBLANK(L4965),"",IF(D4965="Stock",IF(C4965="Buy",L4965*G4965,IF(C4965="Sell",(L4965*G4965)-I4965, X)),IF(C4965="Buy",(L4965*G4965*100)+I4965,IF(C4965="Sell",(L4965*G4965*100)-I4965, X))))</f>
        <v/>
      </c>
      <c r="N4965" s="78">
        <f>IF(ISBLANK(L4965),"",IF(AND(C4965="Sell",D4965="Stock"),M4965,IF(ISBLANK(L4965),"",IF(C4965="Buy",M4965, IF(AND(C4965="Sell",J4965="NA"),(E4965*G4965*100*0.1)+I4965, IF(C4965="Sell",(J4965-L4965)*(100*G4965)+I4965))))))</f>
        <v/>
      </c>
      <c r="O4965" s="75" t="n"/>
      <c r="P4965" s="75" t="n"/>
      <c r="Q4965" s="75">
        <f>IF(ISBLANK(P4965),"",IF(D4965="Stock",P4965*G4965,IF(P4965=0,"0",G4965*P4965*100-(G4965*$AF$14))))</f>
        <v/>
      </c>
      <c r="R4965" s="79">
        <f>IF(P4965&lt;&gt;"", TODAY(), "")</f>
        <v/>
      </c>
      <c r="S4965" s="78">
        <f>IF(AND(K4965&lt;&gt;"", R4965&lt;&gt;""), R4965-K4965, "")</f>
        <v/>
      </c>
      <c r="T4965" s="78" t="n"/>
      <c r="U4965" s="92">
        <f>IF(ISBLANK(P4965),"",IF(C4965="Buy",Q4965-M4965+T4965, IF(C4965="Sell",M4965-Q4965-T4965, X)))</f>
        <v/>
      </c>
      <c r="V4965" s="81">
        <f>IF(ISBLANK(P4965),"",U4965/N4965)</f>
        <v/>
      </c>
      <c r="W4965" s="81">
        <f>IF(ISBLANK(P4965),"",IF(S4965=0,(365/0.5)*V4965,(365/S4965)*V4965))</f>
        <v/>
      </c>
      <c r="X4965" s="75" t="n"/>
      <c r="Y4965" s="77" t="n"/>
      <c r="Z4965" s="77" t="n"/>
      <c r="AA4965" s="75" t="n"/>
      <c r="AB4965" s="75" t="n"/>
      <c r="AC4965" s="6" t="n"/>
      <c r="AD4965" s="75" t="n"/>
      <c r="AE4965" s="75" t="n"/>
      <c r="AF4965" s="75" t="n"/>
    </row>
    <row r="4966" ht="15.75" customHeight="1" s="133">
      <c r="A4966" s="75" t="n"/>
      <c r="B4966" s="75" t="n"/>
      <c r="C4966" s="75" t="n"/>
      <c r="D4966" s="75" t="n"/>
      <c r="E4966" s="76" t="n"/>
      <c r="F4966" s="77" t="n"/>
      <c r="G4966" s="75" t="n"/>
      <c r="H4966" s="75">
        <f>IF(ISBLANK(E4966),"",IF(OR(D4966="Butterfly",D4966="Butterfly ",D4966="Iron Fly", D4966="Iron Fly "),LEN(E4966)-LEN(SUBSTITUTE(E4966,"/",""))+2,LEN(E4966)-LEN(SUBSTITUTE(E4966,"/",""))+1))</f>
        <v/>
      </c>
      <c r="I4966" s="78">
        <f>IF(ISBLANK(G4966),"",IF(D4966="Stock","0",Key!$A$3*H4966*G4966))</f>
        <v/>
      </c>
      <c r="J4966" s="78">
        <f>IF(ISBLANK(E4966),"",IF(ISNUMBER(SEARCH("/",E4966)), IF(LEN(E4966)-LEN(SUBSTITUTE(E4966,"/",""))=1,(RIGHT(E4966,LEN(E4966)-FIND("/",E4966)))-(LEFT(E4966,FIND("/",E4966)-1)),(MID(E4966, SEARCH("/",E4966) + 1, SEARCH("/",E4966, SEARCH("/",E4966)+1) - SEARCH("/",E4966) - 1))-(LEFT(E4966,FIND("/",E4966)-1))), "NA"))</f>
        <v/>
      </c>
      <c r="K4966" s="79">
        <f>IF(A4966&lt;&gt;"", IF(ISBLANK(L4966), TODAY(), K4966), "")</f>
        <v/>
      </c>
      <c r="L4966" s="78" t="n"/>
      <c r="M4966" s="78">
        <f>IF(ISBLANK(L4966),"",IF(D4966="Stock",IF(C4966="Buy",L4966*G4966,IF(C4966="Sell",(L4966*G4966)-I4966, X)),IF(C4966="Buy",(L4966*G4966*100)+I4966,IF(C4966="Sell",(L4966*G4966*100)-I4966, X))))</f>
        <v/>
      </c>
      <c r="N4966" s="78">
        <f>IF(ISBLANK(L4966),"",IF(AND(C4966="Sell",D4966="Stock"),M4966,IF(ISBLANK(L4966),"",IF(C4966="Buy",M4966, IF(AND(C4966="Sell",J4966="NA"),(E4966*G4966*100*0.1)+I4966, IF(C4966="Sell",(J4966-L4966)*(100*G4966)+I4966))))))</f>
        <v/>
      </c>
      <c r="O4966" s="75" t="n"/>
      <c r="P4966" s="75" t="n"/>
      <c r="Q4966" s="75">
        <f>IF(ISBLANK(P4966),"",IF(D4966="Stock",P4966*G4966,IF(P4966=0,"0",G4966*P4966*100-(G4966*$AF$14))))</f>
        <v/>
      </c>
      <c r="R4966" s="79">
        <f>IF(P4966&lt;&gt;"", TODAY(), "")</f>
        <v/>
      </c>
      <c r="S4966" s="78">
        <f>IF(AND(K4966&lt;&gt;"", R4966&lt;&gt;""), R4966-K4966, "")</f>
        <v/>
      </c>
      <c r="T4966" s="78" t="n"/>
      <c r="U4966" s="92">
        <f>IF(ISBLANK(P4966),"",IF(C4966="Buy",Q4966-M4966+T4966, IF(C4966="Sell",M4966-Q4966-T4966, X)))</f>
        <v/>
      </c>
      <c r="V4966" s="81">
        <f>IF(ISBLANK(P4966),"",U4966/N4966)</f>
        <v/>
      </c>
      <c r="W4966" s="81">
        <f>IF(ISBLANK(P4966),"",IF(S4966=0,(365/0.5)*V4966,(365/S4966)*V4966))</f>
        <v/>
      </c>
      <c r="X4966" s="75" t="n"/>
      <c r="Y4966" s="77" t="n"/>
      <c r="Z4966" s="77" t="n"/>
      <c r="AA4966" s="75" t="n"/>
      <c r="AB4966" s="75" t="n"/>
      <c r="AC4966" s="6" t="n"/>
      <c r="AD4966" s="75" t="n"/>
      <c r="AE4966" s="75" t="n"/>
      <c r="AF4966" s="75" t="n"/>
    </row>
    <row r="4967" ht="15.75" customHeight="1" s="133">
      <c r="A4967" s="75" t="n"/>
      <c r="B4967" s="75" t="n"/>
      <c r="C4967" s="75" t="n"/>
      <c r="D4967" s="75" t="n"/>
      <c r="E4967" s="76" t="n"/>
      <c r="F4967" s="77" t="n"/>
      <c r="G4967" s="75" t="n"/>
      <c r="H4967" s="75">
        <f>IF(ISBLANK(E4967),"",IF(OR(D4967="Butterfly",D4967="Butterfly ",D4967="Iron Fly", D4967="Iron Fly "),LEN(E4967)-LEN(SUBSTITUTE(E4967,"/",""))+2,LEN(E4967)-LEN(SUBSTITUTE(E4967,"/",""))+1))</f>
        <v/>
      </c>
      <c r="I4967" s="78">
        <f>IF(ISBLANK(G4967),"",IF(D4967="Stock","0",Key!$A$3*H4967*G4967))</f>
        <v/>
      </c>
      <c r="J4967" s="78">
        <f>IF(ISBLANK(E4967),"",IF(ISNUMBER(SEARCH("/",E4967)), IF(LEN(E4967)-LEN(SUBSTITUTE(E4967,"/",""))=1,(RIGHT(E4967,LEN(E4967)-FIND("/",E4967)))-(LEFT(E4967,FIND("/",E4967)-1)),(MID(E4967, SEARCH("/",E4967) + 1, SEARCH("/",E4967, SEARCH("/",E4967)+1) - SEARCH("/",E4967) - 1))-(LEFT(E4967,FIND("/",E4967)-1))), "NA"))</f>
        <v/>
      </c>
      <c r="K4967" s="79">
        <f>IF(A4967&lt;&gt;"", IF(ISBLANK(L4967), TODAY(), K4967), "")</f>
        <v/>
      </c>
      <c r="L4967" s="78" t="n"/>
      <c r="M4967" s="78">
        <f>IF(ISBLANK(L4967),"",IF(D4967="Stock",IF(C4967="Buy",L4967*G4967,IF(C4967="Sell",(L4967*G4967)-I4967, X)),IF(C4967="Buy",(L4967*G4967*100)+I4967,IF(C4967="Sell",(L4967*G4967*100)-I4967, X))))</f>
        <v/>
      </c>
      <c r="N4967" s="78">
        <f>IF(ISBLANK(L4967),"",IF(AND(C4967="Sell",D4967="Stock"),M4967,IF(ISBLANK(L4967),"",IF(C4967="Buy",M4967, IF(AND(C4967="Sell",J4967="NA"),(E4967*G4967*100*0.1)+I4967, IF(C4967="Sell",(J4967-L4967)*(100*G4967)+I4967))))))</f>
        <v/>
      </c>
      <c r="O4967" s="75" t="n"/>
      <c r="P4967" s="75" t="n"/>
      <c r="Q4967" s="75">
        <f>IF(ISBLANK(P4967),"",IF(D4967="Stock",P4967*G4967,IF(P4967=0,"0",G4967*P4967*100-(G4967*$AF$14))))</f>
        <v/>
      </c>
      <c r="R4967" s="79">
        <f>IF(P4967&lt;&gt;"", TODAY(), "")</f>
        <v/>
      </c>
      <c r="S4967" s="78">
        <f>IF(AND(K4967&lt;&gt;"", R4967&lt;&gt;""), R4967-K4967, "")</f>
        <v/>
      </c>
      <c r="T4967" s="78" t="n"/>
      <c r="U4967" s="92">
        <f>IF(ISBLANK(P4967),"",IF(C4967="Buy",Q4967-M4967+T4967, IF(C4967="Sell",M4967-Q4967-T4967, X)))</f>
        <v/>
      </c>
      <c r="V4967" s="81">
        <f>IF(ISBLANK(P4967),"",U4967/N4967)</f>
        <v/>
      </c>
      <c r="W4967" s="81">
        <f>IF(ISBLANK(P4967),"",IF(S4967=0,(365/0.5)*V4967,(365/S4967)*V4967))</f>
        <v/>
      </c>
      <c r="X4967" s="75" t="n"/>
      <c r="Y4967" s="77" t="n"/>
      <c r="Z4967" s="77" t="n"/>
      <c r="AA4967" s="75" t="n"/>
      <c r="AB4967" s="75" t="n"/>
      <c r="AC4967" s="6" t="n"/>
      <c r="AD4967" s="75" t="n"/>
      <c r="AE4967" s="75" t="n"/>
      <c r="AF4967" s="75" t="n"/>
    </row>
    <row r="4968" ht="15.75" customHeight="1" s="133">
      <c r="A4968" s="75" t="n"/>
      <c r="B4968" s="75" t="n"/>
      <c r="C4968" s="75" t="n"/>
      <c r="D4968" s="75" t="n"/>
      <c r="E4968" s="76" t="n"/>
      <c r="F4968" s="77" t="n"/>
      <c r="G4968" s="75" t="n"/>
      <c r="H4968" s="75">
        <f>IF(ISBLANK(E4968),"",IF(OR(D4968="Butterfly",D4968="Butterfly ",D4968="Iron Fly", D4968="Iron Fly "),LEN(E4968)-LEN(SUBSTITUTE(E4968,"/",""))+2,LEN(E4968)-LEN(SUBSTITUTE(E4968,"/",""))+1))</f>
        <v/>
      </c>
      <c r="I4968" s="78">
        <f>IF(ISBLANK(G4968),"",IF(D4968="Stock","0",Key!$A$3*H4968*G4968))</f>
        <v/>
      </c>
      <c r="J4968" s="78">
        <f>IF(ISBLANK(E4968),"",IF(ISNUMBER(SEARCH("/",E4968)), IF(LEN(E4968)-LEN(SUBSTITUTE(E4968,"/",""))=1,(RIGHT(E4968,LEN(E4968)-FIND("/",E4968)))-(LEFT(E4968,FIND("/",E4968)-1)),(MID(E4968, SEARCH("/",E4968) + 1, SEARCH("/",E4968, SEARCH("/",E4968)+1) - SEARCH("/",E4968) - 1))-(LEFT(E4968,FIND("/",E4968)-1))), "NA"))</f>
        <v/>
      </c>
      <c r="K4968" s="79">
        <f>IF(A4968&lt;&gt;"", IF(ISBLANK(L4968), TODAY(), K4968), "")</f>
        <v/>
      </c>
      <c r="L4968" s="78" t="n"/>
      <c r="M4968" s="78">
        <f>IF(ISBLANK(L4968),"",IF(D4968="Stock",IF(C4968="Buy",L4968*G4968,IF(C4968="Sell",(L4968*G4968)-I4968, X)),IF(C4968="Buy",(L4968*G4968*100)+I4968,IF(C4968="Sell",(L4968*G4968*100)-I4968, X))))</f>
        <v/>
      </c>
      <c r="N4968" s="78">
        <f>IF(ISBLANK(L4968),"",IF(AND(C4968="Sell",D4968="Stock"),M4968,IF(ISBLANK(L4968),"",IF(C4968="Buy",M4968, IF(AND(C4968="Sell",J4968="NA"),(E4968*G4968*100*0.1)+I4968, IF(C4968="Sell",(J4968-L4968)*(100*G4968)+I4968))))))</f>
        <v/>
      </c>
      <c r="O4968" s="75" t="n"/>
      <c r="P4968" s="75" t="n"/>
      <c r="Q4968" s="75">
        <f>IF(ISBLANK(P4968),"",IF(D4968="Stock",P4968*G4968,IF(P4968=0,"0",G4968*P4968*100-(G4968*$AF$14))))</f>
        <v/>
      </c>
      <c r="R4968" s="79">
        <f>IF(P4968&lt;&gt;"", TODAY(), "")</f>
        <v/>
      </c>
      <c r="S4968" s="78">
        <f>IF(AND(K4968&lt;&gt;"", R4968&lt;&gt;""), R4968-K4968, "")</f>
        <v/>
      </c>
      <c r="T4968" s="78" t="n"/>
      <c r="U4968" s="92">
        <f>IF(ISBLANK(P4968),"",IF(C4968="Buy",Q4968-M4968+T4968, IF(C4968="Sell",M4968-Q4968-T4968, X)))</f>
        <v/>
      </c>
      <c r="V4968" s="81">
        <f>IF(ISBLANK(P4968),"",U4968/N4968)</f>
        <v/>
      </c>
      <c r="W4968" s="81">
        <f>IF(ISBLANK(P4968),"",IF(S4968=0,(365/0.5)*V4968,(365/S4968)*V4968))</f>
        <v/>
      </c>
      <c r="X4968" s="75" t="n"/>
      <c r="Y4968" s="77" t="n"/>
      <c r="Z4968" s="77" t="n"/>
      <c r="AA4968" s="75" t="n"/>
      <c r="AB4968" s="75" t="n"/>
      <c r="AC4968" s="6" t="n"/>
      <c r="AD4968" s="75" t="n"/>
      <c r="AE4968" s="75" t="n"/>
      <c r="AF4968" s="75" t="n"/>
    </row>
    <row r="4969" ht="15.75" customHeight="1" s="133">
      <c r="A4969" s="75" t="n"/>
      <c r="B4969" s="75" t="n"/>
      <c r="C4969" s="75" t="n"/>
      <c r="D4969" s="75" t="n"/>
      <c r="E4969" s="76" t="n"/>
      <c r="F4969" s="77" t="n"/>
      <c r="G4969" s="75" t="n"/>
      <c r="H4969" s="75">
        <f>IF(ISBLANK(E4969),"",IF(OR(D4969="Butterfly",D4969="Butterfly ",D4969="Iron Fly", D4969="Iron Fly "),LEN(E4969)-LEN(SUBSTITUTE(E4969,"/",""))+2,LEN(E4969)-LEN(SUBSTITUTE(E4969,"/",""))+1))</f>
        <v/>
      </c>
      <c r="I4969" s="78">
        <f>IF(ISBLANK(G4969),"",IF(D4969="Stock","0",Key!$A$3*H4969*G4969))</f>
        <v/>
      </c>
      <c r="J4969" s="78">
        <f>IF(ISBLANK(E4969),"",IF(ISNUMBER(SEARCH("/",E4969)), IF(LEN(E4969)-LEN(SUBSTITUTE(E4969,"/",""))=1,(RIGHT(E4969,LEN(E4969)-FIND("/",E4969)))-(LEFT(E4969,FIND("/",E4969)-1)),(MID(E4969, SEARCH("/",E4969) + 1, SEARCH("/",E4969, SEARCH("/",E4969)+1) - SEARCH("/",E4969) - 1))-(LEFT(E4969,FIND("/",E4969)-1))), "NA"))</f>
        <v/>
      </c>
      <c r="K4969" s="79">
        <f>IF(A4969&lt;&gt;"", IF(ISBLANK(L4969), TODAY(), K4969), "")</f>
        <v/>
      </c>
      <c r="L4969" s="78" t="n"/>
      <c r="M4969" s="78">
        <f>IF(ISBLANK(L4969),"",IF(D4969="Stock",IF(C4969="Buy",L4969*G4969,IF(C4969="Sell",(L4969*G4969)-I4969, X)),IF(C4969="Buy",(L4969*G4969*100)+I4969,IF(C4969="Sell",(L4969*G4969*100)-I4969, X))))</f>
        <v/>
      </c>
      <c r="N4969" s="78">
        <f>IF(ISBLANK(L4969),"",IF(AND(C4969="Sell",D4969="Stock"),M4969,IF(ISBLANK(L4969),"",IF(C4969="Buy",M4969, IF(AND(C4969="Sell",J4969="NA"),(E4969*G4969*100*0.1)+I4969, IF(C4969="Sell",(J4969-L4969)*(100*G4969)+I4969))))))</f>
        <v/>
      </c>
      <c r="O4969" s="75" t="n"/>
      <c r="P4969" s="75" t="n"/>
      <c r="Q4969" s="75">
        <f>IF(ISBLANK(P4969),"",IF(D4969="Stock",P4969*G4969,IF(P4969=0,"0",G4969*P4969*100-(G4969*$AF$14))))</f>
        <v/>
      </c>
      <c r="R4969" s="79">
        <f>IF(P4969&lt;&gt;"", TODAY(), "")</f>
        <v/>
      </c>
      <c r="S4969" s="78">
        <f>IF(AND(K4969&lt;&gt;"", R4969&lt;&gt;""), R4969-K4969, "")</f>
        <v/>
      </c>
      <c r="T4969" s="78" t="n"/>
      <c r="U4969" s="92">
        <f>IF(ISBLANK(P4969),"",IF(C4969="Buy",Q4969-M4969+T4969, IF(C4969="Sell",M4969-Q4969-T4969, X)))</f>
        <v/>
      </c>
      <c r="V4969" s="81">
        <f>IF(ISBLANK(P4969),"",U4969/N4969)</f>
        <v/>
      </c>
      <c r="W4969" s="81">
        <f>IF(ISBLANK(P4969),"",IF(S4969=0,(365/0.5)*V4969,(365/S4969)*V4969))</f>
        <v/>
      </c>
      <c r="X4969" s="75" t="n"/>
      <c r="Y4969" s="77" t="n"/>
      <c r="Z4969" s="77" t="n"/>
      <c r="AA4969" s="75" t="n"/>
      <c r="AB4969" s="75" t="n"/>
      <c r="AC4969" s="6" t="n"/>
      <c r="AD4969" s="75" t="n"/>
      <c r="AE4969" s="75" t="n"/>
      <c r="AF4969" s="75" t="n"/>
    </row>
    <row r="4970" ht="15.75" customHeight="1" s="133">
      <c r="A4970" s="75" t="n"/>
      <c r="B4970" s="75" t="n"/>
      <c r="C4970" s="75" t="n"/>
      <c r="D4970" s="75" t="n"/>
      <c r="E4970" s="76" t="n"/>
      <c r="F4970" s="77" t="n"/>
      <c r="G4970" s="75" t="n"/>
      <c r="H4970" s="75">
        <f>IF(ISBLANK(E4970),"",IF(OR(D4970="Butterfly",D4970="Butterfly ",D4970="Iron Fly", D4970="Iron Fly "),LEN(E4970)-LEN(SUBSTITUTE(E4970,"/",""))+2,LEN(E4970)-LEN(SUBSTITUTE(E4970,"/",""))+1))</f>
        <v/>
      </c>
      <c r="I4970" s="78">
        <f>IF(ISBLANK(G4970),"",IF(D4970="Stock","0",Key!$A$3*H4970*G4970))</f>
        <v/>
      </c>
      <c r="J4970" s="78">
        <f>IF(ISBLANK(E4970),"",IF(ISNUMBER(SEARCH("/",E4970)), IF(LEN(E4970)-LEN(SUBSTITUTE(E4970,"/",""))=1,(RIGHT(E4970,LEN(E4970)-FIND("/",E4970)))-(LEFT(E4970,FIND("/",E4970)-1)),(MID(E4970, SEARCH("/",E4970) + 1, SEARCH("/",E4970, SEARCH("/",E4970)+1) - SEARCH("/",E4970) - 1))-(LEFT(E4970,FIND("/",E4970)-1))), "NA"))</f>
        <v/>
      </c>
      <c r="K4970" s="79">
        <f>IF(A4970&lt;&gt;"", IF(ISBLANK(L4970), TODAY(), K4970), "")</f>
        <v/>
      </c>
      <c r="L4970" s="78" t="n"/>
      <c r="M4970" s="78">
        <f>IF(ISBLANK(L4970),"",IF(D4970="Stock",IF(C4970="Buy",L4970*G4970,IF(C4970="Sell",(L4970*G4970)-I4970, X)),IF(C4970="Buy",(L4970*G4970*100)+I4970,IF(C4970="Sell",(L4970*G4970*100)-I4970, X))))</f>
        <v/>
      </c>
      <c r="N4970" s="78">
        <f>IF(ISBLANK(L4970),"",IF(AND(C4970="Sell",D4970="Stock"),M4970,IF(ISBLANK(L4970),"",IF(C4970="Buy",M4970, IF(AND(C4970="Sell",J4970="NA"),(E4970*G4970*100*0.1)+I4970, IF(C4970="Sell",(J4970-L4970)*(100*G4970)+I4970))))))</f>
        <v/>
      </c>
      <c r="O4970" s="75" t="n"/>
      <c r="P4970" s="75" t="n"/>
      <c r="Q4970" s="75">
        <f>IF(ISBLANK(P4970),"",IF(D4970="Stock",P4970*G4970,IF(P4970=0,"0",G4970*P4970*100-(G4970*$AF$14))))</f>
        <v/>
      </c>
      <c r="R4970" s="79">
        <f>IF(P4970&lt;&gt;"", TODAY(), "")</f>
        <v/>
      </c>
      <c r="S4970" s="78">
        <f>IF(AND(K4970&lt;&gt;"", R4970&lt;&gt;""), R4970-K4970, "")</f>
        <v/>
      </c>
      <c r="T4970" s="78" t="n"/>
      <c r="U4970" s="92">
        <f>IF(ISBLANK(P4970),"",IF(C4970="Buy",Q4970-M4970+T4970, IF(C4970="Sell",M4970-Q4970-T4970, X)))</f>
        <v/>
      </c>
      <c r="V4970" s="81">
        <f>IF(ISBLANK(P4970),"",U4970/N4970)</f>
        <v/>
      </c>
      <c r="W4970" s="81">
        <f>IF(ISBLANK(P4970),"",IF(S4970=0,(365/0.5)*V4970,(365/S4970)*V4970))</f>
        <v/>
      </c>
      <c r="X4970" s="75" t="n"/>
      <c r="Y4970" s="77" t="n"/>
      <c r="Z4970" s="77" t="n"/>
      <c r="AA4970" s="75" t="n"/>
      <c r="AB4970" s="75" t="n"/>
      <c r="AC4970" s="6" t="n"/>
      <c r="AD4970" s="75" t="n"/>
      <c r="AE4970" s="75" t="n"/>
      <c r="AF4970" s="75" t="n"/>
    </row>
    <row r="4971" ht="15.75" customHeight="1" s="133">
      <c r="A4971" s="75" t="n"/>
      <c r="B4971" s="75" t="n"/>
      <c r="C4971" s="75" t="n"/>
      <c r="D4971" s="75" t="n"/>
      <c r="E4971" s="76" t="n"/>
      <c r="F4971" s="77" t="n"/>
      <c r="G4971" s="75" t="n"/>
      <c r="H4971" s="75">
        <f>IF(ISBLANK(E4971),"",IF(OR(D4971="Butterfly",D4971="Butterfly ",D4971="Iron Fly", D4971="Iron Fly "),LEN(E4971)-LEN(SUBSTITUTE(E4971,"/",""))+2,LEN(E4971)-LEN(SUBSTITUTE(E4971,"/",""))+1))</f>
        <v/>
      </c>
      <c r="I4971" s="78">
        <f>IF(ISBLANK(G4971),"",IF(D4971="Stock","0",Key!$A$3*H4971*G4971))</f>
        <v/>
      </c>
      <c r="J4971" s="78">
        <f>IF(ISBLANK(E4971),"",IF(ISNUMBER(SEARCH("/",E4971)), IF(LEN(E4971)-LEN(SUBSTITUTE(E4971,"/",""))=1,(RIGHT(E4971,LEN(E4971)-FIND("/",E4971)))-(LEFT(E4971,FIND("/",E4971)-1)),(MID(E4971, SEARCH("/",E4971) + 1, SEARCH("/",E4971, SEARCH("/",E4971)+1) - SEARCH("/",E4971) - 1))-(LEFT(E4971,FIND("/",E4971)-1))), "NA"))</f>
        <v/>
      </c>
      <c r="K4971" s="79">
        <f>IF(A4971&lt;&gt;"", IF(ISBLANK(L4971), TODAY(), K4971), "")</f>
        <v/>
      </c>
      <c r="L4971" s="78" t="n"/>
      <c r="M4971" s="78">
        <f>IF(ISBLANK(L4971),"",IF(D4971="Stock",IF(C4971="Buy",L4971*G4971,IF(C4971="Sell",(L4971*G4971)-I4971, X)),IF(C4971="Buy",(L4971*G4971*100)+I4971,IF(C4971="Sell",(L4971*G4971*100)-I4971, X))))</f>
        <v/>
      </c>
      <c r="N4971" s="78">
        <f>IF(ISBLANK(L4971),"",IF(AND(C4971="Sell",D4971="Stock"),M4971,IF(ISBLANK(L4971),"",IF(C4971="Buy",M4971, IF(AND(C4971="Sell",J4971="NA"),(E4971*G4971*100*0.1)+I4971, IF(C4971="Sell",(J4971-L4971)*(100*G4971)+I4971))))))</f>
        <v/>
      </c>
      <c r="O4971" s="75" t="n"/>
      <c r="P4971" s="75" t="n"/>
      <c r="Q4971" s="75">
        <f>IF(ISBLANK(P4971),"",IF(D4971="Stock",P4971*G4971,IF(P4971=0,"0",G4971*P4971*100-(G4971*$AF$14))))</f>
        <v/>
      </c>
      <c r="R4971" s="79">
        <f>IF(P4971&lt;&gt;"", TODAY(), "")</f>
        <v/>
      </c>
      <c r="S4971" s="78">
        <f>IF(AND(K4971&lt;&gt;"", R4971&lt;&gt;""), R4971-K4971, "")</f>
        <v/>
      </c>
      <c r="T4971" s="78" t="n"/>
      <c r="U4971" s="92">
        <f>IF(ISBLANK(P4971),"",IF(C4971="Buy",Q4971-M4971+T4971, IF(C4971="Sell",M4971-Q4971-T4971, X)))</f>
        <v/>
      </c>
      <c r="V4971" s="81">
        <f>IF(ISBLANK(P4971),"",U4971/N4971)</f>
        <v/>
      </c>
      <c r="W4971" s="81">
        <f>IF(ISBLANK(P4971),"",IF(S4971=0,(365/0.5)*V4971,(365/S4971)*V4971))</f>
        <v/>
      </c>
      <c r="X4971" s="75" t="n"/>
      <c r="Y4971" s="77" t="n"/>
      <c r="Z4971" s="77" t="n"/>
      <c r="AA4971" s="75" t="n"/>
      <c r="AB4971" s="75" t="n"/>
      <c r="AC4971" s="6" t="n"/>
      <c r="AD4971" s="75" t="n"/>
      <c r="AE4971" s="75" t="n"/>
      <c r="AF4971" s="75" t="n"/>
    </row>
    <row r="4972" ht="15.75" customHeight="1" s="133">
      <c r="A4972" s="75" t="n"/>
      <c r="B4972" s="75" t="n"/>
      <c r="C4972" s="75" t="n"/>
      <c r="D4972" s="75" t="n"/>
      <c r="E4972" s="76" t="n"/>
      <c r="F4972" s="77" t="n"/>
      <c r="G4972" s="75" t="n"/>
      <c r="H4972" s="75">
        <f>IF(ISBLANK(E4972),"",IF(OR(D4972="Butterfly",D4972="Butterfly ",D4972="Iron Fly", D4972="Iron Fly "),LEN(E4972)-LEN(SUBSTITUTE(E4972,"/",""))+2,LEN(E4972)-LEN(SUBSTITUTE(E4972,"/",""))+1))</f>
        <v/>
      </c>
      <c r="I4972" s="78">
        <f>IF(ISBLANK(G4972),"",IF(D4972="Stock","0",Key!$A$3*H4972*G4972))</f>
        <v/>
      </c>
      <c r="J4972" s="78">
        <f>IF(ISBLANK(E4972),"",IF(ISNUMBER(SEARCH("/",E4972)), IF(LEN(E4972)-LEN(SUBSTITUTE(E4972,"/",""))=1,(RIGHT(E4972,LEN(E4972)-FIND("/",E4972)))-(LEFT(E4972,FIND("/",E4972)-1)),(MID(E4972, SEARCH("/",E4972) + 1, SEARCH("/",E4972, SEARCH("/",E4972)+1) - SEARCH("/",E4972) - 1))-(LEFT(E4972,FIND("/",E4972)-1))), "NA"))</f>
        <v/>
      </c>
      <c r="K4972" s="79">
        <f>IF(A4972&lt;&gt;"", IF(ISBLANK(L4972), TODAY(), K4972), "")</f>
        <v/>
      </c>
      <c r="L4972" s="78" t="n"/>
      <c r="M4972" s="78">
        <f>IF(ISBLANK(L4972),"",IF(D4972="Stock",IF(C4972="Buy",L4972*G4972,IF(C4972="Sell",(L4972*G4972)-I4972, X)),IF(C4972="Buy",(L4972*G4972*100)+I4972,IF(C4972="Sell",(L4972*G4972*100)-I4972, X))))</f>
        <v/>
      </c>
      <c r="N4972" s="78">
        <f>IF(ISBLANK(L4972),"",IF(AND(C4972="Sell",D4972="Stock"),M4972,IF(ISBLANK(L4972),"",IF(C4972="Buy",M4972, IF(AND(C4972="Sell",J4972="NA"),(E4972*G4972*100*0.1)+I4972, IF(C4972="Sell",(J4972-L4972)*(100*G4972)+I4972))))))</f>
        <v/>
      </c>
      <c r="O4972" s="75" t="n"/>
      <c r="P4972" s="75" t="n"/>
      <c r="Q4972" s="75">
        <f>IF(ISBLANK(P4972),"",IF(D4972="Stock",P4972*G4972,IF(P4972=0,"0",G4972*P4972*100-(G4972*$AF$14))))</f>
        <v/>
      </c>
      <c r="R4972" s="79">
        <f>IF(P4972&lt;&gt;"", TODAY(), "")</f>
        <v/>
      </c>
      <c r="S4972" s="78">
        <f>IF(AND(K4972&lt;&gt;"", R4972&lt;&gt;""), R4972-K4972, "")</f>
        <v/>
      </c>
      <c r="T4972" s="78" t="n"/>
      <c r="U4972" s="92">
        <f>IF(ISBLANK(P4972),"",IF(C4972="Buy",Q4972-M4972+T4972, IF(C4972="Sell",M4972-Q4972-T4972, X)))</f>
        <v/>
      </c>
      <c r="V4972" s="81">
        <f>IF(ISBLANK(P4972),"",U4972/N4972)</f>
        <v/>
      </c>
      <c r="W4972" s="81">
        <f>IF(ISBLANK(P4972),"",IF(S4972=0,(365/0.5)*V4972,(365/S4972)*V4972))</f>
        <v/>
      </c>
      <c r="X4972" s="75" t="n"/>
      <c r="Y4972" s="77" t="n"/>
      <c r="Z4972" s="77" t="n"/>
      <c r="AA4972" s="75" t="n"/>
      <c r="AB4972" s="75" t="n"/>
      <c r="AC4972" s="6" t="n"/>
      <c r="AD4972" s="75" t="n"/>
      <c r="AE4972" s="75" t="n"/>
      <c r="AF4972" s="75" t="n"/>
    </row>
    <row r="4973" ht="15.75" customHeight="1" s="133">
      <c r="A4973" s="75" t="n"/>
      <c r="B4973" s="75" t="n"/>
      <c r="C4973" s="75" t="n"/>
      <c r="D4973" s="75" t="n"/>
      <c r="E4973" s="76" t="n"/>
      <c r="F4973" s="77" t="n"/>
      <c r="G4973" s="75" t="n"/>
      <c r="H4973" s="75">
        <f>IF(ISBLANK(E4973),"",IF(OR(D4973="Butterfly",D4973="Butterfly ",D4973="Iron Fly", D4973="Iron Fly "),LEN(E4973)-LEN(SUBSTITUTE(E4973,"/",""))+2,LEN(E4973)-LEN(SUBSTITUTE(E4973,"/",""))+1))</f>
        <v/>
      </c>
      <c r="I4973" s="78">
        <f>IF(ISBLANK(G4973),"",IF(D4973="Stock","0",Key!$A$3*H4973*G4973))</f>
        <v/>
      </c>
      <c r="J4973" s="78">
        <f>IF(ISBLANK(E4973),"",IF(ISNUMBER(SEARCH("/",E4973)), IF(LEN(E4973)-LEN(SUBSTITUTE(E4973,"/",""))=1,(RIGHT(E4973,LEN(E4973)-FIND("/",E4973)))-(LEFT(E4973,FIND("/",E4973)-1)),(MID(E4973, SEARCH("/",E4973) + 1, SEARCH("/",E4973, SEARCH("/",E4973)+1) - SEARCH("/",E4973) - 1))-(LEFT(E4973,FIND("/",E4973)-1))), "NA"))</f>
        <v/>
      </c>
      <c r="K4973" s="79">
        <f>IF(A4973&lt;&gt;"", IF(ISBLANK(L4973), TODAY(), K4973), "")</f>
        <v/>
      </c>
      <c r="L4973" s="78" t="n"/>
      <c r="M4973" s="78">
        <f>IF(ISBLANK(L4973),"",IF(D4973="Stock",IF(C4973="Buy",L4973*G4973,IF(C4973="Sell",(L4973*G4973)-I4973, X)),IF(C4973="Buy",(L4973*G4973*100)+I4973,IF(C4973="Sell",(L4973*G4973*100)-I4973, X))))</f>
        <v/>
      </c>
      <c r="N4973" s="78">
        <f>IF(ISBLANK(L4973),"",IF(AND(C4973="Sell",D4973="Stock"),M4973,IF(ISBLANK(L4973),"",IF(C4973="Buy",M4973, IF(AND(C4973="Sell",J4973="NA"),(E4973*G4973*100*0.1)+I4973, IF(C4973="Sell",(J4973-L4973)*(100*G4973)+I4973))))))</f>
        <v/>
      </c>
      <c r="O4973" s="75" t="n"/>
      <c r="P4973" s="75" t="n"/>
      <c r="Q4973" s="75">
        <f>IF(ISBLANK(P4973),"",IF(D4973="Stock",P4973*G4973,IF(P4973=0,"0",G4973*P4973*100-(G4973*$AF$14))))</f>
        <v/>
      </c>
      <c r="R4973" s="79">
        <f>IF(P4973&lt;&gt;"", TODAY(), "")</f>
        <v/>
      </c>
      <c r="S4973" s="78">
        <f>IF(AND(K4973&lt;&gt;"", R4973&lt;&gt;""), R4973-K4973, "")</f>
        <v/>
      </c>
      <c r="T4973" s="78" t="n"/>
      <c r="U4973" s="92">
        <f>IF(ISBLANK(P4973),"",IF(C4973="Buy",Q4973-M4973+T4973, IF(C4973="Sell",M4973-Q4973-T4973, X)))</f>
        <v/>
      </c>
      <c r="V4973" s="81">
        <f>IF(ISBLANK(P4973),"",U4973/N4973)</f>
        <v/>
      </c>
      <c r="W4973" s="81">
        <f>IF(ISBLANK(P4973),"",IF(S4973=0,(365/0.5)*V4973,(365/S4973)*V4973))</f>
        <v/>
      </c>
      <c r="X4973" s="75" t="n"/>
      <c r="Y4973" s="77" t="n"/>
      <c r="Z4973" s="77" t="n"/>
      <c r="AA4973" s="75" t="n"/>
      <c r="AB4973" s="75" t="n"/>
      <c r="AC4973" s="6" t="n"/>
      <c r="AD4973" s="75" t="n"/>
      <c r="AE4973" s="75" t="n"/>
      <c r="AF4973" s="75" t="n"/>
    </row>
    <row r="4974" ht="15.75" customHeight="1" s="133">
      <c r="A4974" s="75" t="n"/>
      <c r="B4974" s="75" t="n"/>
      <c r="C4974" s="75" t="n"/>
      <c r="D4974" s="75" t="n"/>
      <c r="E4974" s="76" t="n"/>
      <c r="F4974" s="77" t="n"/>
      <c r="G4974" s="75" t="n"/>
      <c r="H4974" s="75">
        <f>IF(ISBLANK(E4974),"",IF(OR(D4974="Butterfly",D4974="Butterfly ",D4974="Iron Fly", D4974="Iron Fly "),LEN(E4974)-LEN(SUBSTITUTE(E4974,"/",""))+2,LEN(E4974)-LEN(SUBSTITUTE(E4974,"/",""))+1))</f>
        <v/>
      </c>
      <c r="I4974" s="78">
        <f>IF(ISBLANK(G4974),"",IF(D4974="Stock","0",Key!$A$3*H4974*G4974))</f>
        <v/>
      </c>
      <c r="J4974" s="78">
        <f>IF(ISBLANK(E4974),"",IF(ISNUMBER(SEARCH("/",E4974)), IF(LEN(E4974)-LEN(SUBSTITUTE(E4974,"/",""))=1,(RIGHT(E4974,LEN(E4974)-FIND("/",E4974)))-(LEFT(E4974,FIND("/",E4974)-1)),(MID(E4974, SEARCH("/",E4974) + 1, SEARCH("/",E4974, SEARCH("/",E4974)+1) - SEARCH("/",E4974) - 1))-(LEFT(E4974,FIND("/",E4974)-1))), "NA"))</f>
        <v/>
      </c>
      <c r="K4974" s="79">
        <f>IF(A4974&lt;&gt;"", IF(ISBLANK(L4974), TODAY(), K4974), "")</f>
        <v/>
      </c>
      <c r="L4974" s="78" t="n"/>
      <c r="M4974" s="78">
        <f>IF(ISBLANK(L4974),"",IF(D4974="Stock",IF(C4974="Buy",L4974*G4974,IF(C4974="Sell",(L4974*G4974)-I4974, X)),IF(C4974="Buy",(L4974*G4974*100)+I4974,IF(C4974="Sell",(L4974*G4974*100)-I4974, X))))</f>
        <v/>
      </c>
      <c r="N4974" s="78">
        <f>IF(ISBLANK(L4974),"",IF(AND(C4974="Sell",D4974="Stock"),M4974,IF(ISBLANK(L4974),"",IF(C4974="Buy",M4974, IF(AND(C4974="Sell",J4974="NA"),(E4974*G4974*100*0.1)+I4974, IF(C4974="Sell",(J4974-L4974)*(100*G4974)+I4974))))))</f>
        <v/>
      </c>
      <c r="O4974" s="75" t="n"/>
      <c r="P4974" s="75" t="n"/>
      <c r="Q4974" s="75">
        <f>IF(ISBLANK(P4974),"",IF(D4974="Stock",P4974*G4974,IF(P4974=0,"0",G4974*P4974*100-(G4974*$AF$14))))</f>
        <v/>
      </c>
      <c r="R4974" s="79">
        <f>IF(P4974&lt;&gt;"", TODAY(), "")</f>
        <v/>
      </c>
      <c r="S4974" s="78">
        <f>IF(AND(K4974&lt;&gt;"", R4974&lt;&gt;""), R4974-K4974, "")</f>
        <v/>
      </c>
      <c r="T4974" s="78" t="n"/>
      <c r="U4974" s="92">
        <f>IF(ISBLANK(P4974),"",IF(C4974="Buy",Q4974-M4974+T4974, IF(C4974="Sell",M4974-Q4974-T4974, X)))</f>
        <v/>
      </c>
      <c r="V4974" s="81">
        <f>IF(ISBLANK(P4974),"",U4974/N4974)</f>
        <v/>
      </c>
      <c r="W4974" s="81">
        <f>IF(ISBLANK(P4974),"",IF(S4974=0,(365/0.5)*V4974,(365/S4974)*V4974))</f>
        <v/>
      </c>
      <c r="X4974" s="75" t="n"/>
      <c r="Y4974" s="77" t="n"/>
      <c r="Z4974" s="77" t="n"/>
      <c r="AA4974" s="75" t="n"/>
      <c r="AB4974" s="75" t="n"/>
      <c r="AC4974" s="6" t="n"/>
      <c r="AD4974" s="75" t="n"/>
      <c r="AE4974" s="75" t="n"/>
      <c r="AF4974" s="75" t="n"/>
    </row>
    <row r="4975" ht="15.75" customHeight="1" s="133">
      <c r="A4975" s="75" t="n"/>
      <c r="B4975" s="75" t="n"/>
      <c r="C4975" s="75" t="n"/>
      <c r="D4975" s="75" t="n"/>
      <c r="E4975" s="76" t="n"/>
      <c r="F4975" s="77" t="n"/>
      <c r="G4975" s="75" t="n"/>
      <c r="H4975" s="75">
        <f>IF(ISBLANK(E4975),"",IF(OR(D4975="Butterfly",D4975="Butterfly ",D4975="Iron Fly", D4975="Iron Fly "),LEN(E4975)-LEN(SUBSTITUTE(E4975,"/",""))+2,LEN(E4975)-LEN(SUBSTITUTE(E4975,"/",""))+1))</f>
        <v/>
      </c>
      <c r="I4975" s="78">
        <f>IF(ISBLANK(G4975),"",IF(D4975="Stock","0",Key!$A$3*H4975*G4975))</f>
        <v/>
      </c>
      <c r="J4975" s="78">
        <f>IF(ISBLANK(E4975),"",IF(ISNUMBER(SEARCH("/",E4975)), IF(LEN(E4975)-LEN(SUBSTITUTE(E4975,"/",""))=1,(RIGHT(E4975,LEN(E4975)-FIND("/",E4975)))-(LEFT(E4975,FIND("/",E4975)-1)),(MID(E4975, SEARCH("/",E4975) + 1, SEARCH("/",E4975, SEARCH("/",E4975)+1) - SEARCH("/",E4975) - 1))-(LEFT(E4975,FIND("/",E4975)-1))), "NA"))</f>
        <v/>
      </c>
      <c r="K4975" s="79">
        <f>IF(A4975&lt;&gt;"", IF(ISBLANK(L4975), TODAY(), K4975), "")</f>
        <v/>
      </c>
      <c r="L4975" s="78" t="n"/>
      <c r="M4975" s="78">
        <f>IF(ISBLANK(L4975),"",IF(D4975="Stock",IF(C4975="Buy",L4975*G4975,IF(C4975="Sell",(L4975*G4975)-I4975, X)),IF(C4975="Buy",(L4975*G4975*100)+I4975,IF(C4975="Sell",(L4975*G4975*100)-I4975, X))))</f>
        <v/>
      </c>
      <c r="N4975" s="78">
        <f>IF(ISBLANK(L4975),"",IF(AND(C4975="Sell",D4975="Stock"),M4975,IF(ISBLANK(L4975),"",IF(C4975="Buy",M4975, IF(AND(C4975="Sell",J4975="NA"),(E4975*G4975*100*0.1)+I4975, IF(C4975="Sell",(J4975-L4975)*(100*G4975)+I4975))))))</f>
        <v/>
      </c>
      <c r="O4975" s="75" t="n"/>
      <c r="P4975" s="75" t="n"/>
      <c r="Q4975" s="75">
        <f>IF(ISBLANK(P4975),"",IF(D4975="Stock",P4975*G4975,IF(P4975=0,"0",G4975*P4975*100-(G4975*$AF$14))))</f>
        <v/>
      </c>
      <c r="R4975" s="79">
        <f>IF(P4975&lt;&gt;"", TODAY(), "")</f>
        <v/>
      </c>
      <c r="S4975" s="78">
        <f>IF(AND(K4975&lt;&gt;"", R4975&lt;&gt;""), R4975-K4975, "")</f>
        <v/>
      </c>
      <c r="T4975" s="78" t="n"/>
      <c r="U4975" s="92">
        <f>IF(ISBLANK(P4975),"",IF(C4975="Buy",Q4975-M4975+T4975, IF(C4975="Sell",M4975-Q4975-T4975, X)))</f>
        <v/>
      </c>
      <c r="V4975" s="81">
        <f>IF(ISBLANK(P4975),"",U4975/N4975)</f>
        <v/>
      </c>
      <c r="W4975" s="81">
        <f>IF(ISBLANK(P4975),"",IF(S4975=0,(365/0.5)*V4975,(365/S4975)*V4975))</f>
        <v/>
      </c>
      <c r="X4975" s="75" t="n"/>
      <c r="Y4975" s="77" t="n"/>
      <c r="Z4975" s="77" t="n"/>
      <c r="AA4975" s="75" t="n"/>
      <c r="AB4975" s="75" t="n"/>
      <c r="AC4975" s="6" t="n"/>
      <c r="AD4975" s="75" t="n"/>
      <c r="AE4975" s="75" t="n"/>
      <c r="AF4975" s="75" t="n"/>
    </row>
    <row r="4976" ht="15.75" customHeight="1" s="133">
      <c r="A4976" s="75" t="n"/>
      <c r="B4976" s="75" t="n"/>
      <c r="C4976" s="75" t="n"/>
      <c r="D4976" s="75" t="n"/>
      <c r="E4976" s="76" t="n"/>
      <c r="F4976" s="77" t="n"/>
      <c r="G4976" s="75" t="n"/>
      <c r="H4976" s="75">
        <f>IF(ISBLANK(E4976),"",IF(OR(D4976="Butterfly",D4976="Butterfly ",D4976="Iron Fly", D4976="Iron Fly "),LEN(E4976)-LEN(SUBSTITUTE(E4976,"/",""))+2,LEN(E4976)-LEN(SUBSTITUTE(E4976,"/",""))+1))</f>
        <v/>
      </c>
      <c r="I4976" s="78">
        <f>IF(ISBLANK(G4976),"",IF(D4976="Stock","0",Key!$A$3*H4976*G4976))</f>
        <v/>
      </c>
      <c r="J4976" s="78">
        <f>IF(ISBLANK(E4976),"",IF(ISNUMBER(SEARCH("/",E4976)), IF(LEN(E4976)-LEN(SUBSTITUTE(E4976,"/",""))=1,(RIGHT(E4976,LEN(E4976)-FIND("/",E4976)))-(LEFT(E4976,FIND("/",E4976)-1)),(MID(E4976, SEARCH("/",E4976) + 1, SEARCH("/",E4976, SEARCH("/",E4976)+1) - SEARCH("/",E4976) - 1))-(LEFT(E4976,FIND("/",E4976)-1))), "NA"))</f>
        <v/>
      </c>
      <c r="K4976" s="79">
        <f>IF(A4976&lt;&gt;"", IF(ISBLANK(L4976), TODAY(), K4976), "")</f>
        <v/>
      </c>
      <c r="L4976" s="78" t="n"/>
      <c r="M4976" s="78">
        <f>IF(ISBLANK(L4976),"",IF(D4976="Stock",IF(C4976="Buy",L4976*G4976,IF(C4976="Sell",(L4976*G4976)-I4976, X)),IF(C4976="Buy",(L4976*G4976*100)+I4976,IF(C4976="Sell",(L4976*G4976*100)-I4976, X))))</f>
        <v/>
      </c>
      <c r="N4976" s="78">
        <f>IF(ISBLANK(L4976),"",IF(AND(C4976="Sell",D4976="Stock"),M4976,IF(ISBLANK(L4976),"",IF(C4976="Buy",M4976, IF(AND(C4976="Sell",J4976="NA"),(E4976*G4976*100*0.1)+I4976, IF(C4976="Sell",(J4976-L4976)*(100*G4976)+I4976))))))</f>
        <v/>
      </c>
      <c r="O4976" s="75" t="n"/>
      <c r="P4976" s="75" t="n"/>
      <c r="Q4976" s="75">
        <f>IF(ISBLANK(P4976),"",IF(D4976="Stock",P4976*G4976,IF(P4976=0,"0",G4976*P4976*100-(G4976*$AF$14))))</f>
        <v/>
      </c>
      <c r="R4976" s="79">
        <f>IF(P4976&lt;&gt;"", TODAY(), "")</f>
        <v/>
      </c>
      <c r="S4976" s="78">
        <f>IF(AND(K4976&lt;&gt;"", R4976&lt;&gt;""), R4976-K4976, "")</f>
        <v/>
      </c>
      <c r="T4976" s="78" t="n"/>
      <c r="U4976" s="92">
        <f>IF(ISBLANK(P4976),"",IF(C4976="Buy",Q4976-M4976+T4976, IF(C4976="Sell",M4976-Q4976-T4976, X)))</f>
        <v/>
      </c>
      <c r="V4976" s="81">
        <f>IF(ISBLANK(P4976),"",U4976/N4976)</f>
        <v/>
      </c>
      <c r="W4976" s="81">
        <f>IF(ISBLANK(P4976),"",IF(S4976=0,(365/0.5)*V4976,(365/S4976)*V4976))</f>
        <v/>
      </c>
      <c r="X4976" s="75" t="n"/>
      <c r="Y4976" s="77" t="n"/>
      <c r="Z4976" s="77" t="n"/>
      <c r="AA4976" s="75" t="n"/>
      <c r="AB4976" s="75" t="n"/>
      <c r="AC4976" s="6" t="n"/>
      <c r="AD4976" s="75" t="n"/>
      <c r="AE4976" s="75" t="n"/>
      <c r="AF4976" s="75" t="n"/>
    </row>
    <row r="4977" ht="15.75" customHeight="1" s="133">
      <c r="A4977" s="75" t="n"/>
      <c r="B4977" s="75" t="n"/>
      <c r="C4977" s="75" t="n"/>
      <c r="D4977" s="75" t="n"/>
      <c r="E4977" s="76" t="n"/>
      <c r="F4977" s="77" t="n"/>
      <c r="G4977" s="75" t="n"/>
      <c r="H4977" s="75">
        <f>IF(ISBLANK(E4977),"",IF(OR(D4977="Butterfly",D4977="Butterfly ",D4977="Iron Fly", D4977="Iron Fly "),LEN(E4977)-LEN(SUBSTITUTE(E4977,"/",""))+2,LEN(E4977)-LEN(SUBSTITUTE(E4977,"/",""))+1))</f>
        <v/>
      </c>
      <c r="I4977" s="78">
        <f>IF(ISBLANK(G4977),"",IF(D4977="Stock","0",Key!$A$3*H4977*G4977))</f>
        <v/>
      </c>
      <c r="J4977" s="78">
        <f>IF(ISBLANK(E4977),"",IF(ISNUMBER(SEARCH("/",E4977)), IF(LEN(E4977)-LEN(SUBSTITUTE(E4977,"/",""))=1,(RIGHT(E4977,LEN(E4977)-FIND("/",E4977)))-(LEFT(E4977,FIND("/",E4977)-1)),(MID(E4977, SEARCH("/",E4977) + 1, SEARCH("/",E4977, SEARCH("/",E4977)+1) - SEARCH("/",E4977) - 1))-(LEFT(E4977,FIND("/",E4977)-1))), "NA"))</f>
        <v/>
      </c>
      <c r="K4977" s="79">
        <f>IF(A4977&lt;&gt;"", IF(ISBLANK(L4977), TODAY(), K4977), "")</f>
        <v/>
      </c>
      <c r="L4977" s="78" t="n"/>
      <c r="M4977" s="78">
        <f>IF(ISBLANK(L4977),"",IF(D4977="Stock",IF(C4977="Buy",L4977*G4977,IF(C4977="Sell",(L4977*G4977)-I4977, X)),IF(C4977="Buy",(L4977*G4977*100)+I4977,IF(C4977="Sell",(L4977*G4977*100)-I4977, X))))</f>
        <v/>
      </c>
      <c r="N4977" s="78">
        <f>IF(ISBLANK(L4977),"",IF(AND(C4977="Sell",D4977="Stock"),M4977,IF(ISBLANK(L4977),"",IF(C4977="Buy",M4977, IF(AND(C4977="Sell",J4977="NA"),(E4977*G4977*100*0.1)+I4977, IF(C4977="Sell",(J4977-L4977)*(100*G4977)+I4977))))))</f>
        <v/>
      </c>
      <c r="O4977" s="75" t="n"/>
      <c r="P4977" s="75" t="n"/>
      <c r="Q4977" s="75">
        <f>IF(ISBLANK(P4977),"",IF(D4977="Stock",P4977*G4977,IF(P4977=0,"0",G4977*P4977*100-(G4977*$AF$14))))</f>
        <v/>
      </c>
      <c r="R4977" s="79">
        <f>IF(P4977&lt;&gt;"", TODAY(), "")</f>
        <v/>
      </c>
      <c r="S4977" s="78">
        <f>IF(AND(K4977&lt;&gt;"", R4977&lt;&gt;""), R4977-K4977, "")</f>
        <v/>
      </c>
      <c r="T4977" s="78" t="n"/>
      <c r="U4977" s="92">
        <f>IF(ISBLANK(P4977),"",IF(C4977="Buy",Q4977-M4977+T4977, IF(C4977="Sell",M4977-Q4977-T4977, X)))</f>
        <v/>
      </c>
      <c r="V4977" s="81">
        <f>IF(ISBLANK(P4977),"",U4977/N4977)</f>
        <v/>
      </c>
      <c r="W4977" s="81">
        <f>IF(ISBLANK(P4977),"",IF(S4977=0,(365/0.5)*V4977,(365/S4977)*V4977))</f>
        <v/>
      </c>
      <c r="X4977" s="75" t="n"/>
      <c r="Y4977" s="77" t="n"/>
      <c r="Z4977" s="77" t="n"/>
      <c r="AA4977" s="75" t="n"/>
      <c r="AB4977" s="75" t="n"/>
      <c r="AC4977" s="6" t="n"/>
      <c r="AD4977" s="75" t="n"/>
      <c r="AE4977" s="75" t="n"/>
      <c r="AF4977" s="75" t="n"/>
    </row>
    <row r="4978" ht="15.75" customHeight="1" s="133">
      <c r="A4978" s="75" t="n"/>
      <c r="B4978" s="75" t="n"/>
      <c r="C4978" s="75" t="n"/>
      <c r="D4978" s="75" t="n"/>
      <c r="E4978" s="76" t="n"/>
      <c r="F4978" s="77" t="n"/>
      <c r="G4978" s="75" t="n"/>
      <c r="H4978" s="75">
        <f>IF(ISBLANK(E4978),"",IF(OR(D4978="Butterfly",D4978="Butterfly ",D4978="Iron Fly", D4978="Iron Fly "),LEN(E4978)-LEN(SUBSTITUTE(E4978,"/",""))+2,LEN(E4978)-LEN(SUBSTITUTE(E4978,"/",""))+1))</f>
        <v/>
      </c>
      <c r="I4978" s="78">
        <f>IF(ISBLANK(G4978),"",IF(D4978="Stock","0",Key!$A$3*H4978*G4978))</f>
        <v/>
      </c>
      <c r="J4978" s="78">
        <f>IF(ISBLANK(E4978),"",IF(ISNUMBER(SEARCH("/",E4978)), IF(LEN(E4978)-LEN(SUBSTITUTE(E4978,"/",""))=1,(RIGHT(E4978,LEN(E4978)-FIND("/",E4978)))-(LEFT(E4978,FIND("/",E4978)-1)),(MID(E4978, SEARCH("/",E4978) + 1, SEARCH("/",E4978, SEARCH("/",E4978)+1) - SEARCH("/",E4978) - 1))-(LEFT(E4978,FIND("/",E4978)-1))), "NA"))</f>
        <v/>
      </c>
      <c r="K4978" s="79">
        <f>IF(A4978&lt;&gt;"", IF(ISBLANK(L4978), TODAY(), K4978), "")</f>
        <v/>
      </c>
      <c r="L4978" s="78" t="n"/>
      <c r="M4978" s="78">
        <f>IF(ISBLANK(L4978),"",IF(D4978="Stock",IF(C4978="Buy",L4978*G4978,IF(C4978="Sell",(L4978*G4978)-I4978, X)),IF(C4978="Buy",(L4978*G4978*100)+I4978,IF(C4978="Sell",(L4978*G4978*100)-I4978, X))))</f>
        <v/>
      </c>
      <c r="N4978" s="78">
        <f>IF(ISBLANK(L4978),"",IF(AND(C4978="Sell",D4978="Stock"),M4978,IF(ISBLANK(L4978),"",IF(C4978="Buy",M4978, IF(AND(C4978="Sell",J4978="NA"),(E4978*G4978*100*0.1)+I4978, IF(C4978="Sell",(J4978-L4978)*(100*G4978)+I4978))))))</f>
        <v/>
      </c>
      <c r="O4978" s="75" t="n"/>
      <c r="P4978" s="75" t="n"/>
      <c r="Q4978" s="75">
        <f>IF(ISBLANK(P4978),"",IF(D4978="Stock",P4978*G4978,IF(P4978=0,"0",G4978*P4978*100-(G4978*$AF$14))))</f>
        <v/>
      </c>
      <c r="R4978" s="79">
        <f>IF(P4978&lt;&gt;"", TODAY(), "")</f>
        <v/>
      </c>
      <c r="S4978" s="78">
        <f>IF(AND(K4978&lt;&gt;"", R4978&lt;&gt;""), R4978-K4978, "")</f>
        <v/>
      </c>
      <c r="T4978" s="78" t="n"/>
      <c r="U4978" s="92">
        <f>IF(ISBLANK(P4978),"",IF(C4978="Buy",Q4978-M4978+T4978, IF(C4978="Sell",M4978-Q4978-T4978, X)))</f>
        <v/>
      </c>
      <c r="V4978" s="81">
        <f>IF(ISBLANK(P4978),"",U4978/N4978)</f>
        <v/>
      </c>
      <c r="W4978" s="81">
        <f>IF(ISBLANK(P4978),"",IF(S4978=0,(365/0.5)*V4978,(365/S4978)*V4978))</f>
        <v/>
      </c>
      <c r="X4978" s="75" t="n"/>
      <c r="Y4978" s="77" t="n"/>
      <c r="Z4978" s="77" t="n"/>
      <c r="AA4978" s="75" t="n"/>
      <c r="AB4978" s="75" t="n"/>
      <c r="AC4978" s="6" t="n"/>
      <c r="AD4978" s="75" t="n"/>
      <c r="AE4978" s="75" t="n"/>
      <c r="AF4978" s="75" t="n"/>
    </row>
    <row r="4979" ht="15.75" customHeight="1" s="133">
      <c r="A4979" s="75" t="n"/>
      <c r="B4979" s="75" t="n"/>
      <c r="C4979" s="75" t="n"/>
      <c r="D4979" s="75" t="n"/>
      <c r="E4979" s="76" t="n"/>
      <c r="F4979" s="77" t="n"/>
      <c r="G4979" s="75" t="n"/>
      <c r="H4979" s="75">
        <f>IF(ISBLANK(E4979),"",IF(OR(D4979="Butterfly",D4979="Butterfly ",D4979="Iron Fly", D4979="Iron Fly "),LEN(E4979)-LEN(SUBSTITUTE(E4979,"/",""))+2,LEN(E4979)-LEN(SUBSTITUTE(E4979,"/",""))+1))</f>
        <v/>
      </c>
      <c r="I4979" s="78">
        <f>IF(ISBLANK(G4979),"",IF(D4979="Stock","0",Key!$A$3*H4979*G4979))</f>
        <v/>
      </c>
      <c r="J4979" s="78">
        <f>IF(ISBLANK(E4979),"",IF(ISNUMBER(SEARCH("/",E4979)), IF(LEN(E4979)-LEN(SUBSTITUTE(E4979,"/",""))=1,(RIGHT(E4979,LEN(E4979)-FIND("/",E4979)))-(LEFT(E4979,FIND("/",E4979)-1)),(MID(E4979, SEARCH("/",E4979) + 1, SEARCH("/",E4979, SEARCH("/",E4979)+1) - SEARCH("/",E4979) - 1))-(LEFT(E4979,FIND("/",E4979)-1))), "NA"))</f>
        <v/>
      </c>
      <c r="K4979" s="79">
        <f>IF(A4979&lt;&gt;"", IF(ISBLANK(L4979), TODAY(), K4979), "")</f>
        <v/>
      </c>
      <c r="L4979" s="78" t="n"/>
      <c r="M4979" s="78">
        <f>IF(ISBLANK(L4979),"",IF(D4979="Stock",IF(C4979="Buy",L4979*G4979,IF(C4979="Sell",(L4979*G4979)-I4979, X)),IF(C4979="Buy",(L4979*G4979*100)+I4979,IF(C4979="Sell",(L4979*G4979*100)-I4979, X))))</f>
        <v/>
      </c>
      <c r="N4979" s="78">
        <f>IF(ISBLANK(L4979),"",IF(AND(C4979="Sell",D4979="Stock"),M4979,IF(ISBLANK(L4979),"",IF(C4979="Buy",M4979, IF(AND(C4979="Sell",J4979="NA"),(E4979*G4979*100*0.1)+I4979, IF(C4979="Sell",(J4979-L4979)*(100*G4979)+I4979))))))</f>
        <v/>
      </c>
      <c r="O4979" s="75" t="n"/>
      <c r="P4979" s="75" t="n"/>
      <c r="Q4979" s="75">
        <f>IF(ISBLANK(P4979),"",IF(D4979="Stock",P4979*G4979,IF(P4979=0,"0",G4979*P4979*100-(G4979*$AF$14))))</f>
        <v/>
      </c>
      <c r="R4979" s="79">
        <f>IF(P4979&lt;&gt;"", TODAY(), "")</f>
        <v/>
      </c>
      <c r="S4979" s="78">
        <f>IF(AND(K4979&lt;&gt;"", R4979&lt;&gt;""), R4979-K4979, "")</f>
        <v/>
      </c>
      <c r="T4979" s="78" t="n"/>
      <c r="U4979" s="92">
        <f>IF(ISBLANK(P4979),"",IF(C4979="Buy",Q4979-M4979+T4979, IF(C4979="Sell",M4979-Q4979-T4979, X)))</f>
        <v/>
      </c>
      <c r="V4979" s="81">
        <f>IF(ISBLANK(P4979),"",U4979/N4979)</f>
        <v/>
      </c>
      <c r="W4979" s="81">
        <f>IF(ISBLANK(P4979),"",IF(S4979=0,(365/0.5)*V4979,(365/S4979)*V4979))</f>
        <v/>
      </c>
      <c r="X4979" s="75" t="n"/>
      <c r="Y4979" s="77" t="n"/>
      <c r="Z4979" s="77" t="n"/>
      <c r="AA4979" s="75" t="n"/>
      <c r="AB4979" s="75" t="n"/>
      <c r="AC4979" s="6" t="n"/>
      <c r="AD4979" s="75" t="n"/>
      <c r="AE4979" s="75" t="n"/>
      <c r="AF4979" s="75" t="n"/>
    </row>
    <row r="4980" ht="15.75" customHeight="1" s="133">
      <c r="A4980" s="75" t="n"/>
      <c r="B4980" s="75" t="n"/>
      <c r="C4980" s="75" t="n"/>
      <c r="D4980" s="75" t="n"/>
      <c r="E4980" s="76" t="n"/>
      <c r="F4980" s="77" t="n"/>
      <c r="G4980" s="75" t="n"/>
      <c r="H4980" s="75">
        <f>IF(ISBLANK(E4980),"",IF(OR(D4980="Butterfly",D4980="Butterfly ",D4980="Iron Fly", D4980="Iron Fly "),LEN(E4980)-LEN(SUBSTITUTE(E4980,"/",""))+2,LEN(E4980)-LEN(SUBSTITUTE(E4980,"/",""))+1))</f>
        <v/>
      </c>
      <c r="I4980" s="78">
        <f>IF(ISBLANK(G4980),"",IF(D4980="Stock","0",Key!$A$3*H4980*G4980))</f>
        <v/>
      </c>
      <c r="J4980" s="78">
        <f>IF(ISBLANK(E4980),"",IF(ISNUMBER(SEARCH("/",E4980)), IF(LEN(E4980)-LEN(SUBSTITUTE(E4980,"/",""))=1,(RIGHT(E4980,LEN(E4980)-FIND("/",E4980)))-(LEFT(E4980,FIND("/",E4980)-1)),(MID(E4980, SEARCH("/",E4980) + 1, SEARCH("/",E4980, SEARCH("/",E4980)+1) - SEARCH("/",E4980) - 1))-(LEFT(E4980,FIND("/",E4980)-1))), "NA"))</f>
        <v/>
      </c>
      <c r="K4980" s="79">
        <f>IF(A4980&lt;&gt;"", IF(ISBLANK(L4980), TODAY(), K4980), "")</f>
        <v/>
      </c>
      <c r="L4980" s="78" t="n"/>
      <c r="M4980" s="78">
        <f>IF(ISBLANK(L4980),"",IF(D4980="Stock",IF(C4980="Buy",L4980*G4980,IF(C4980="Sell",(L4980*G4980)-I4980, X)),IF(C4980="Buy",(L4980*G4980*100)+I4980,IF(C4980="Sell",(L4980*G4980*100)-I4980, X))))</f>
        <v/>
      </c>
      <c r="N4980" s="78">
        <f>IF(ISBLANK(L4980),"",IF(AND(C4980="Sell",D4980="Stock"),M4980,IF(ISBLANK(L4980),"",IF(C4980="Buy",M4980, IF(AND(C4980="Sell",J4980="NA"),(E4980*G4980*100*0.1)+I4980, IF(C4980="Sell",(J4980-L4980)*(100*G4980)+I4980))))))</f>
        <v/>
      </c>
      <c r="O4980" s="75" t="n"/>
      <c r="P4980" s="75" t="n"/>
      <c r="Q4980" s="75">
        <f>IF(ISBLANK(P4980),"",IF(D4980="Stock",P4980*G4980,IF(P4980=0,"0",G4980*P4980*100-(G4980*$AF$14))))</f>
        <v/>
      </c>
      <c r="R4980" s="79">
        <f>IF(P4980&lt;&gt;"", TODAY(), "")</f>
        <v/>
      </c>
      <c r="S4980" s="78">
        <f>IF(AND(K4980&lt;&gt;"", R4980&lt;&gt;""), R4980-K4980, "")</f>
        <v/>
      </c>
      <c r="T4980" s="78" t="n"/>
      <c r="U4980" s="92">
        <f>IF(ISBLANK(P4980),"",IF(C4980="Buy",Q4980-M4980+T4980, IF(C4980="Sell",M4980-Q4980-T4980, X)))</f>
        <v/>
      </c>
      <c r="V4980" s="81">
        <f>IF(ISBLANK(P4980),"",U4980/N4980)</f>
        <v/>
      </c>
      <c r="W4980" s="81">
        <f>IF(ISBLANK(P4980),"",IF(S4980=0,(365/0.5)*V4980,(365/S4980)*V4980))</f>
        <v/>
      </c>
      <c r="X4980" s="75" t="n"/>
      <c r="Y4980" s="77" t="n"/>
      <c r="Z4980" s="77" t="n"/>
      <c r="AA4980" s="75" t="n"/>
      <c r="AB4980" s="75" t="n"/>
      <c r="AC4980" s="6" t="n"/>
      <c r="AD4980" s="75" t="n"/>
      <c r="AE4980" s="75" t="n"/>
      <c r="AF4980" s="75" t="n"/>
    </row>
    <row r="4981" ht="15.75" customHeight="1" s="133">
      <c r="A4981" s="75" t="n"/>
      <c r="B4981" s="75" t="n"/>
      <c r="C4981" s="75" t="n"/>
      <c r="D4981" s="75" t="n"/>
      <c r="E4981" s="76" t="n"/>
      <c r="F4981" s="77" t="n"/>
      <c r="G4981" s="75" t="n"/>
      <c r="H4981" s="75">
        <f>IF(ISBLANK(E4981),"",IF(OR(D4981="Butterfly",D4981="Butterfly ",D4981="Iron Fly", D4981="Iron Fly "),LEN(E4981)-LEN(SUBSTITUTE(E4981,"/",""))+2,LEN(E4981)-LEN(SUBSTITUTE(E4981,"/",""))+1))</f>
        <v/>
      </c>
      <c r="I4981" s="78">
        <f>IF(ISBLANK(G4981),"",IF(D4981="Stock","0",Key!$A$3*H4981*G4981))</f>
        <v/>
      </c>
      <c r="J4981" s="78">
        <f>IF(ISBLANK(E4981),"",IF(ISNUMBER(SEARCH("/",E4981)), IF(LEN(E4981)-LEN(SUBSTITUTE(E4981,"/",""))=1,(RIGHT(E4981,LEN(E4981)-FIND("/",E4981)))-(LEFT(E4981,FIND("/",E4981)-1)),(MID(E4981, SEARCH("/",E4981) + 1, SEARCH("/",E4981, SEARCH("/",E4981)+1) - SEARCH("/",E4981) - 1))-(LEFT(E4981,FIND("/",E4981)-1))), "NA"))</f>
        <v/>
      </c>
      <c r="K4981" s="79">
        <f>IF(A4981&lt;&gt;"", IF(ISBLANK(L4981), TODAY(), K4981), "")</f>
        <v/>
      </c>
      <c r="L4981" s="78" t="n"/>
      <c r="M4981" s="78">
        <f>IF(ISBLANK(L4981),"",IF(D4981="Stock",IF(C4981="Buy",L4981*G4981,IF(C4981="Sell",(L4981*G4981)-I4981, X)),IF(C4981="Buy",(L4981*G4981*100)+I4981,IF(C4981="Sell",(L4981*G4981*100)-I4981, X))))</f>
        <v/>
      </c>
      <c r="N4981" s="78">
        <f>IF(ISBLANK(L4981),"",IF(AND(C4981="Sell",D4981="Stock"),M4981,IF(ISBLANK(L4981),"",IF(C4981="Buy",M4981, IF(AND(C4981="Sell",J4981="NA"),(E4981*G4981*100*0.1)+I4981, IF(C4981="Sell",(J4981-L4981)*(100*G4981)+I4981))))))</f>
        <v/>
      </c>
      <c r="O4981" s="75" t="n"/>
      <c r="P4981" s="75" t="n"/>
      <c r="Q4981" s="75">
        <f>IF(ISBLANK(P4981),"",IF(D4981="Stock",P4981*G4981,IF(P4981=0,"0",G4981*P4981*100-(G4981*$AF$14))))</f>
        <v/>
      </c>
      <c r="R4981" s="79">
        <f>IF(P4981&lt;&gt;"", TODAY(), "")</f>
        <v/>
      </c>
      <c r="S4981" s="78">
        <f>IF(AND(K4981&lt;&gt;"", R4981&lt;&gt;""), R4981-K4981, "")</f>
        <v/>
      </c>
      <c r="T4981" s="78" t="n"/>
      <c r="U4981" s="92">
        <f>IF(ISBLANK(P4981),"",IF(C4981="Buy",Q4981-M4981+T4981, IF(C4981="Sell",M4981-Q4981-T4981, X)))</f>
        <v/>
      </c>
      <c r="V4981" s="81">
        <f>IF(ISBLANK(P4981),"",U4981/N4981)</f>
        <v/>
      </c>
      <c r="W4981" s="81">
        <f>IF(ISBLANK(P4981),"",IF(S4981=0,(365/0.5)*V4981,(365/S4981)*V4981))</f>
        <v/>
      </c>
      <c r="X4981" s="75" t="n"/>
      <c r="Y4981" s="77" t="n"/>
      <c r="Z4981" s="77" t="n"/>
      <c r="AA4981" s="75" t="n"/>
      <c r="AB4981" s="75" t="n"/>
      <c r="AC4981" s="6" t="n"/>
      <c r="AD4981" s="75" t="n"/>
      <c r="AE4981" s="75" t="n"/>
      <c r="AF4981" s="75" t="n"/>
    </row>
    <row r="4982" ht="15.75" customHeight="1" s="133">
      <c r="A4982" s="75" t="n"/>
      <c r="B4982" s="75" t="n"/>
      <c r="C4982" s="75" t="n"/>
      <c r="D4982" s="75" t="n"/>
      <c r="E4982" s="76" t="n"/>
      <c r="F4982" s="77" t="n"/>
      <c r="G4982" s="75" t="n"/>
      <c r="H4982" s="75">
        <f>IF(ISBLANK(E4982),"",IF(OR(D4982="Butterfly",D4982="Butterfly ",D4982="Iron Fly", D4982="Iron Fly "),LEN(E4982)-LEN(SUBSTITUTE(E4982,"/",""))+2,LEN(E4982)-LEN(SUBSTITUTE(E4982,"/",""))+1))</f>
        <v/>
      </c>
      <c r="I4982" s="78">
        <f>IF(ISBLANK(G4982),"",IF(D4982="Stock","0",Key!$A$3*H4982*G4982))</f>
        <v/>
      </c>
      <c r="J4982" s="78">
        <f>IF(ISBLANK(E4982),"",IF(ISNUMBER(SEARCH("/",E4982)), IF(LEN(E4982)-LEN(SUBSTITUTE(E4982,"/",""))=1,(RIGHT(E4982,LEN(E4982)-FIND("/",E4982)))-(LEFT(E4982,FIND("/",E4982)-1)),(MID(E4982, SEARCH("/",E4982) + 1, SEARCH("/",E4982, SEARCH("/",E4982)+1) - SEARCH("/",E4982) - 1))-(LEFT(E4982,FIND("/",E4982)-1))), "NA"))</f>
        <v/>
      </c>
      <c r="K4982" s="79">
        <f>IF(A4982&lt;&gt;"", IF(ISBLANK(L4982), TODAY(), K4982), "")</f>
        <v/>
      </c>
      <c r="L4982" s="78" t="n"/>
      <c r="M4982" s="78">
        <f>IF(ISBLANK(L4982),"",IF(D4982="Stock",IF(C4982="Buy",L4982*G4982,IF(C4982="Sell",(L4982*G4982)-I4982, X)),IF(C4982="Buy",(L4982*G4982*100)+I4982,IF(C4982="Sell",(L4982*G4982*100)-I4982, X))))</f>
        <v/>
      </c>
      <c r="N4982" s="78">
        <f>IF(ISBLANK(L4982),"",IF(AND(C4982="Sell",D4982="Stock"),M4982,IF(ISBLANK(L4982),"",IF(C4982="Buy",M4982, IF(AND(C4982="Sell",J4982="NA"),(E4982*G4982*100*0.1)+I4982, IF(C4982="Sell",(J4982-L4982)*(100*G4982)+I4982))))))</f>
        <v/>
      </c>
      <c r="O4982" s="75" t="n"/>
      <c r="P4982" s="75" t="n"/>
      <c r="Q4982" s="75">
        <f>IF(ISBLANK(P4982),"",IF(D4982="Stock",P4982*G4982,IF(P4982=0,"0",G4982*P4982*100-(G4982*$AF$14))))</f>
        <v/>
      </c>
      <c r="R4982" s="79">
        <f>IF(P4982&lt;&gt;"", TODAY(), "")</f>
        <v/>
      </c>
      <c r="S4982" s="78">
        <f>IF(AND(K4982&lt;&gt;"", R4982&lt;&gt;""), R4982-K4982, "")</f>
        <v/>
      </c>
      <c r="T4982" s="78" t="n"/>
      <c r="U4982" s="92">
        <f>IF(ISBLANK(P4982),"",IF(C4982="Buy",Q4982-M4982+T4982, IF(C4982="Sell",M4982-Q4982-T4982, X)))</f>
        <v/>
      </c>
      <c r="V4982" s="81">
        <f>IF(ISBLANK(P4982),"",U4982/N4982)</f>
        <v/>
      </c>
      <c r="W4982" s="81">
        <f>IF(ISBLANK(P4982),"",IF(S4982=0,(365/0.5)*V4982,(365/S4982)*V4982))</f>
        <v/>
      </c>
      <c r="X4982" s="75" t="n"/>
      <c r="Y4982" s="77" t="n"/>
      <c r="Z4982" s="77" t="n"/>
      <c r="AA4982" s="75" t="n"/>
      <c r="AB4982" s="75" t="n"/>
      <c r="AC4982" s="6" t="n"/>
      <c r="AD4982" s="75" t="n"/>
      <c r="AE4982" s="75" t="n"/>
      <c r="AF4982" s="75" t="n"/>
    </row>
    <row r="4983" ht="15.75" customHeight="1" s="133">
      <c r="A4983" s="75" t="n"/>
      <c r="B4983" s="75" t="n"/>
      <c r="C4983" s="75" t="n"/>
      <c r="D4983" s="75" t="n"/>
      <c r="E4983" s="76" t="n"/>
      <c r="F4983" s="77" t="n"/>
      <c r="G4983" s="75" t="n"/>
      <c r="H4983" s="75">
        <f>IF(ISBLANK(E4983),"",IF(OR(D4983="Butterfly",D4983="Butterfly ",D4983="Iron Fly", D4983="Iron Fly "),LEN(E4983)-LEN(SUBSTITUTE(E4983,"/",""))+2,LEN(E4983)-LEN(SUBSTITUTE(E4983,"/",""))+1))</f>
        <v/>
      </c>
      <c r="I4983" s="78">
        <f>IF(ISBLANK(G4983),"",IF(D4983="Stock","0",Key!$A$3*H4983*G4983))</f>
        <v/>
      </c>
      <c r="J4983" s="78">
        <f>IF(ISBLANK(E4983),"",IF(ISNUMBER(SEARCH("/",E4983)), IF(LEN(E4983)-LEN(SUBSTITUTE(E4983,"/",""))=1,(RIGHT(E4983,LEN(E4983)-FIND("/",E4983)))-(LEFT(E4983,FIND("/",E4983)-1)),(MID(E4983, SEARCH("/",E4983) + 1, SEARCH("/",E4983, SEARCH("/",E4983)+1) - SEARCH("/",E4983) - 1))-(LEFT(E4983,FIND("/",E4983)-1))), "NA"))</f>
        <v/>
      </c>
      <c r="K4983" s="79">
        <f>IF(A4983&lt;&gt;"", IF(ISBLANK(L4983), TODAY(), K4983), "")</f>
        <v/>
      </c>
      <c r="L4983" s="78" t="n"/>
      <c r="M4983" s="78">
        <f>IF(ISBLANK(L4983),"",IF(D4983="Stock",IF(C4983="Buy",L4983*G4983,IF(C4983="Sell",(L4983*G4983)-I4983, X)),IF(C4983="Buy",(L4983*G4983*100)+I4983,IF(C4983="Sell",(L4983*G4983*100)-I4983, X))))</f>
        <v/>
      </c>
      <c r="N4983" s="78">
        <f>IF(ISBLANK(L4983),"",IF(AND(C4983="Sell",D4983="Stock"),M4983,IF(ISBLANK(L4983),"",IF(C4983="Buy",M4983, IF(AND(C4983="Sell",J4983="NA"),(E4983*G4983*100*0.1)+I4983, IF(C4983="Sell",(J4983-L4983)*(100*G4983)+I4983))))))</f>
        <v/>
      </c>
      <c r="O4983" s="75" t="n"/>
      <c r="P4983" s="75" t="n"/>
      <c r="Q4983" s="75">
        <f>IF(ISBLANK(P4983),"",IF(D4983="Stock",P4983*G4983,IF(P4983=0,"0",G4983*P4983*100-(G4983*$AF$14))))</f>
        <v/>
      </c>
      <c r="R4983" s="79">
        <f>IF(P4983&lt;&gt;"", TODAY(), "")</f>
        <v/>
      </c>
      <c r="S4983" s="78">
        <f>IF(AND(K4983&lt;&gt;"", R4983&lt;&gt;""), R4983-K4983, "")</f>
        <v/>
      </c>
      <c r="T4983" s="78" t="n"/>
      <c r="U4983" s="92">
        <f>IF(ISBLANK(P4983),"",IF(C4983="Buy",Q4983-M4983+T4983, IF(C4983="Sell",M4983-Q4983-T4983, X)))</f>
        <v/>
      </c>
      <c r="V4983" s="81">
        <f>IF(ISBLANK(P4983),"",U4983/N4983)</f>
        <v/>
      </c>
      <c r="W4983" s="81">
        <f>IF(ISBLANK(P4983),"",IF(S4983=0,(365/0.5)*V4983,(365/S4983)*V4983))</f>
        <v/>
      </c>
      <c r="X4983" s="75" t="n"/>
      <c r="Y4983" s="77" t="n"/>
      <c r="Z4983" s="77" t="n"/>
      <c r="AA4983" s="75" t="n"/>
      <c r="AB4983" s="75" t="n"/>
      <c r="AC4983" s="6" t="n"/>
      <c r="AD4983" s="75" t="n"/>
      <c r="AE4983" s="75" t="n"/>
      <c r="AF4983" s="75" t="n"/>
    </row>
    <row r="4984" ht="15.75" customHeight="1" s="133">
      <c r="A4984" s="75" t="n"/>
      <c r="B4984" s="75" t="n"/>
      <c r="C4984" s="75" t="n"/>
      <c r="D4984" s="75" t="n"/>
      <c r="E4984" s="76" t="n"/>
      <c r="F4984" s="77" t="n"/>
      <c r="G4984" s="75" t="n"/>
      <c r="H4984" s="75">
        <f>IF(ISBLANK(E4984),"",IF(OR(D4984="Butterfly",D4984="Butterfly ",D4984="Iron Fly", D4984="Iron Fly "),LEN(E4984)-LEN(SUBSTITUTE(E4984,"/",""))+2,LEN(E4984)-LEN(SUBSTITUTE(E4984,"/",""))+1))</f>
        <v/>
      </c>
      <c r="I4984" s="78">
        <f>IF(ISBLANK(G4984),"",IF(D4984="Stock","0",Key!$A$3*H4984*G4984))</f>
        <v/>
      </c>
      <c r="J4984" s="78">
        <f>IF(ISBLANK(E4984),"",IF(ISNUMBER(SEARCH("/",E4984)), IF(LEN(E4984)-LEN(SUBSTITUTE(E4984,"/",""))=1,(RIGHT(E4984,LEN(E4984)-FIND("/",E4984)))-(LEFT(E4984,FIND("/",E4984)-1)),(MID(E4984, SEARCH("/",E4984) + 1, SEARCH("/",E4984, SEARCH("/",E4984)+1) - SEARCH("/",E4984) - 1))-(LEFT(E4984,FIND("/",E4984)-1))), "NA"))</f>
        <v/>
      </c>
      <c r="K4984" s="79">
        <f>IF(A4984&lt;&gt;"", IF(ISBLANK(L4984), TODAY(), K4984), "")</f>
        <v/>
      </c>
      <c r="L4984" s="78" t="n"/>
      <c r="M4984" s="78">
        <f>IF(ISBLANK(L4984),"",IF(D4984="Stock",IF(C4984="Buy",L4984*G4984,IF(C4984="Sell",(L4984*G4984)-I4984, X)),IF(C4984="Buy",(L4984*G4984*100)+I4984,IF(C4984="Sell",(L4984*G4984*100)-I4984, X))))</f>
        <v/>
      </c>
      <c r="N4984" s="78">
        <f>IF(ISBLANK(L4984),"",IF(AND(C4984="Sell",D4984="Stock"),M4984,IF(ISBLANK(L4984),"",IF(C4984="Buy",M4984, IF(AND(C4984="Sell",J4984="NA"),(E4984*G4984*100*0.1)+I4984, IF(C4984="Sell",(J4984-L4984)*(100*G4984)+I4984))))))</f>
        <v/>
      </c>
      <c r="O4984" s="75" t="n"/>
      <c r="P4984" s="75" t="n"/>
      <c r="Q4984" s="75">
        <f>IF(ISBLANK(P4984),"",IF(D4984="Stock",P4984*G4984,IF(P4984=0,"0",G4984*P4984*100-(G4984*$AF$14))))</f>
        <v/>
      </c>
      <c r="R4984" s="79">
        <f>IF(P4984&lt;&gt;"", TODAY(), "")</f>
        <v/>
      </c>
      <c r="S4984" s="78">
        <f>IF(AND(K4984&lt;&gt;"", R4984&lt;&gt;""), R4984-K4984, "")</f>
        <v/>
      </c>
      <c r="T4984" s="78" t="n"/>
      <c r="U4984" s="92">
        <f>IF(ISBLANK(P4984),"",IF(C4984="Buy",Q4984-M4984+T4984, IF(C4984="Sell",M4984-Q4984-T4984, X)))</f>
        <v/>
      </c>
      <c r="V4984" s="81">
        <f>IF(ISBLANK(P4984),"",U4984/N4984)</f>
        <v/>
      </c>
      <c r="W4984" s="81">
        <f>IF(ISBLANK(P4984),"",IF(S4984=0,(365/0.5)*V4984,(365/S4984)*V4984))</f>
        <v/>
      </c>
      <c r="X4984" s="75" t="n"/>
      <c r="Y4984" s="77" t="n"/>
      <c r="Z4984" s="77" t="n"/>
      <c r="AA4984" s="75" t="n"/>
      <c r="AB4984" s="75" t="n"/>
      <c r="AC4984" s="6" t="n"/>
      <c r="AD4984" s="75" t="n"/>
      <c r="AE4984" s="75" t="n"/>
      <c r="AF4984" s="75" t="n"/>
    </row>
    <row r="4985" ht="15.75" customHeight="1" s="133">
      <c r="A4985" s="75" t="n"/>
      <c r="B4985" s="75" t="n"/>
      <c r="C4985" s="75" t="n"/>
      <c r="D4985" s="75" t="n"/>
      <c r="E4985" s="76" t="n"/>
      <c r="F4985" s="77" t="n"/>
      <c r="G4985" s="75" t="n"/>
      <c r="H4985" s="75">
        <f>IF(ISBLANK(E4985),"",IF(OR(D4985="Butterfly",D4985="Butterfly ",D4985="Iron Fly", D4985="Iron Fly "),LEN(E4985)-LEN(SUBSTITUTE(E4985,"/",""))+2,LEN(E4985)-LEN(SUBSTITUTE(E4985,"/",""))+1))</f>
        <v/>
      </c>
      <c r="I4985" s="78">
        <f>IF(ISBLANK(G4985),"",IF(D4985="Stock","0",Key!$A$3*H4985*G4985))</f>
        <v/>
      </c>
      <c r="J4985" s="78">
        <f>IF(ISBLANK(E4985),"",IF(ISNUMBER(SEARCH("/",E4985)), IF(LEN(E4985)-LEN(SUBSTITUTE(E4985,"/",""))=1,(RIGHT(E4985,LEN(E4985)-FIND("/",E4985)))-(LEFT(E4985,FIND("/",E4985)-1)),(MID(E4985, SEARCH("/",E4985) + 1, SEARCH("/",E4985, SEARCH("/",E4985)+1) - SEARCH("/",E4985) - 1))-(LEFT(E4985,FIND("/",E4985)-1))), "NA"))</f>
        <v/>
      </c>
      <c r="K4985" s="79">
        <f>IF(A4985&lt;&gt;"", IF(ISBLANK(L4985), TODAY(), K4985), "")</f>
        <v/>
      </c>
      <c r="L4985" s="78" t="n"/>
      <c r="M4985" s="78">
        <f>IF(ISBLANK(L4985),"",IF(D4985="Stock",IF(C4985="Buy",L4985*G4985,IF(C4985="Sell",(L4985*G4985)-I4985, X)),IF(C4985="Buy",(L4985*G4985*100)+I4985,IF(C4985="Sell",(L4985*G4985*100)-I4985, X))))</f>
        <v/>
      </c>
      <c r="N4985" s="78">
        <f>IF(ISBLANK(L4985),"",IF(AND(C4985="Sell",D4985="Stock"),M4985,IF(ISBLANK(L4985),"",IF(C4985="Buy",M4985, IF(AND(C4985="Sell",J4985="NA"),(E4985*G4985*100*0.1)+I4985, IF(C4985="Sell",(J4985-L4985)*(100*G4985)+I4985))))))</f>
        <v/>
      </c>
      <c r="O4985" s="75" t="n"/>
      <c r="P4985" s="75" t="n"/>
      <c r="Q4985" s="75">
        <f>IF(ISBLANK(P4985),"",IF(D4985="Stock",P4985*G4985,IF(P4985=0,"0",G4985*P4985*100-(G4985*$AF$14))))</f>
        <v/>
      </c>
      <c r="R4985" s="79">
        <f>IF(P4985&lt;&gt;"", TODAY(), "")</f>
        <v/>
      </c>
      <c r="S4985" s="78">
        <f>IF(AND(K4985&lt;&gt;"", R4985&lt;&gt;""), R4985-K4985, "")</f>
        <v/>
      </c>
      <c r="T4985" s="78" t="n"/>
      <c r="U4985" s="92">
        <f>IF(ISBLANK(P4985),"",IF(C4985="Buy",Q4985-M4985+T4985, IF(C4985="Sell",M4985-Q4985-T4985, X)))</f>
        <v/>
      </c>
      <c r="V4985" s="81">
        <f>IF(ISBLANK(P4985),"",U4985/N4985)</f>
        <v/>
      </c>
      <c r="W4985" s="81">
        <f>IF(ISBLANK(P4985),"",IF(S4985=0,(365/0.5)*V4985,(365/S4985)*V4985))</f>
        <v/>
      </c>
      <c r="X4985" s="75" t="n"/>
      <c r="Y4985" s="77" t="n"/>
      <c r="Z4985" s="77" t="n"/>
      <c r="AA4985" s="75" t="n"/>
      <c r="AB4985" s="75" t="n"/>
      <c r="AC4985" s="6" t="n"/>
      <c r="AD4985" s="75" t="n"/>
      <c r="AE4985" s="75" t="n"/>
      <c r="AF4985" s="75" t="n"/>
    </row>
    <row r="4986" ht="15.75" customHeight="1" s="133">
      <c r="A4986" s="75" t="n"/>
      <c r="B4986" s="75" t="n"/>
      <c r="C4986" s="75" t="n"/>
      <c r="D4986" s="75" t="n"/>
      <c r="E4986" s="76" t="n"/>
      <c r="F4986" s="77" t="n"/>
      <c r="G4986" s="75" t="n"/>
      <c r="H4986" s="75">
        <f>IF(ISBLANK(E4986),"",IF(OR(D4986="Butterfly",D4986="Butterfly ",D4986="Iron Fly", D4986="Iron Fly "),LEN(E4986)-LEN(SUBSTITUTE(E4986,"/",""))+2,LEN(E4986)-LEN(SUBSTITUTE(E4986,"/",""))+1))</f>
        <v/>
      </c>
      <c r="I4986" s="78">
        <f>IF(ISBLANK(G4986),"",IF(D4986="Stock","0",Key!$A$3*H4986*G4986))</f>
        <v/>
      </c>
      <c r="J4986" s="78">
        <f>IF(ISBLANK(E4986),"",IF(ISNUMBER(SEARCH("/",E4986)), IF(LEN(E4986)-LEN(SUBSTITUTE(E4986,"/",""))=1,(RIGHT(E4986,LEN(E4986)-FIND("/",E4986)))-(LEFT(E4986,FIND("/",E4986)-1)),(MID(E4986, SEARCH("/",E4986) + 1, SEARCH("/",E4986, SEARCH("/",E4986)+1) - SEARCH("/",E4986) - 1))-(LEFT(E4986,FIND("/",E4986)-1))), "NA"))</f>
        <v/>
      </c>
      <c r="K4986" s="79">
        <f>IF(A4986&lt;&gt;"", IF(ISBLANK(L4986), TODAY(), K4986), "")</f>
        <v/>
      </c>
      <c r="L4986" s="78" t="n"/>
      <c r="M4986" s="78">
        <f>IF(ISBLANK(L4986),"",IF(D4986="Stock",IF(C4986="Buy",L4986*G4986,IF(C4986="Sell",(L4986*G4986)-I4986, X)),IF(C4986="Buy",(L4986*G4986*100)+I4986,IF(C4986="Sell",(L4986*G4986*100)-I4986, X))))</f>
        <v/>
      </c>
      <c r="N4986" s="78">
        <f>IF(ISBLANK(L4986),"",IF(AND(C4986="Sell",D4986="Stock"),M4986,IF(ISBLANK(L4986),"",IF(C4986="Buy",M4986, IF(AND(C4986="Sell",J4986="NA"),(E4986*G4986*100*0.1)+I4986, IF(C4986="Sell",(J4986-L4986)*(100*G4986)+I4986))))))</f>
        <v/>
      </c>
      <c r="O4986" s="75" t="n"/>
      <c r="P4986" s="75" t="n"/>
      <c r="Q4986" s="75">
        <f>IF(ISBLANK(P4986),"",IF(D4986="Stock",P4986*G4986,IF(P4986=0,"0",G4986*P4986*100-(G4986*$AF$14))))</f>
        <v/>
      </c>
      <c r="R4986" s="79">
        <f>IF(P4986&lt;&gt;"", TODAY(), "")</f>
        <v/>
      </c>
      <c r="S4986" s="78">
        <f>IF(AND(K4986&lt;&gt;"", R4986&lt;&gt;""), R4986-K4986, "")</f>
        <v/>
      </c>
      <c r="T4986" s="78" t="n"/>
      <c r="U4986" s="92">
        <f>IF(ISBLANK(P4986),"",IF(C4986="Buy",Q4986-M4986+T4986, IF(C4986="Sell",M4986-Q4986-T4986, X)))</f>
        <v/>
      </c>
      <c r="V4986" s="81">
        <f>IF(ISBLANK(P4986),"",U4986/N4986)</f>
        <v/>
      </c>
      <c r="W4986" s="81">
        <f>IF(ISBLANK(P4986),"",IF(S4986=0,(365/0.5)*V4986,(365/S4986)*V4986))</f>
        <v/>
      </c>
      <c r="X4986" s="75" t="n"/>
      <c r="Y4986" s="77" t="n"/>
      <c r="Z4986" s="77" t="n"/>
      <c r="AA4986" s="75" t="n"/>
      <c r="AB4986" s="75" t="n"/>
      <c r="AC4986" s="6" t="n"/>
      <c r="AD4986" s="75" t="n"/>
      <c r="AE4986" s="75" t="n"/>
      <c r="AF4986" s="75" t="n"/>
    </row>
    <row r="4987" ht="15.75" customHeight="1" s="133">
      <c r="A4987" s="75" t="n"/>
      <c r="B4987" s="75" t="n"/>
      <c r="C4987" s="75" t="n"/>
      <c r="D4987" s="75" t="n"/>
      <c r="E4987" s="76" t="n"/>
      <c r="F4987" s="77" t="n"/>
      <c r="G4987" s="75" t="n"/>
      <c r="H4987" s="75">
        <f>IF(ISBLANK(E4987),"",IF(OR(D4987="Butterfly",D4987="Butterfly ",D4987="Iron Fly", D4987="Iron Fly "),LEN(E4987)-LEN(SUBSTITUTE(E4987,"/",""))+2,LEN(E4987)-LEN(SUBSTITUTE(E4987,"/",""))+1))</f>
        <v/>
      </c>
      <c r="I4987" s="78">
        <f>IF(ISBLANK(G4987),"",IF(D4987="Stock","0",Key!$A$3*H4987*G4987))</f>
        <v/>
      </c>
      <c r="J4987" s="78">
        <f>IF(ISBLANK(E4987),"",IF(ISNUMBER(SEARCH("/",E4987)), IF(LEN(E4987)-LEN(SUBSTITUTE(E4987,"/",""))=1,(RIGHT(E4987,LEN(E4987)-FIND("/",E4987)))-(LEFT(E4987,FIND("/",E4987)-1)),(MID(E4987, SEARCH("/",E4987) + 1, SEARCH("/",E4987, SEARCH("/",E4987)+1) - SEARCH("/",E4987) - 1))-(LEFT(E4987,FIND("/",E4987)-1))), "NA"))</f>
        <v/>
      </c>
      <c r="K4987" s="79">
        <f>IF(A4987&lt;&gt;"", IF(ISBLANK(L4987), TODAY(), K4987), "")</f>
        <v/>
      </c>
      <c r="L4987" s="78" t="n"/>
      <c r="M4987" s="78">
        <f>IF(ISBLANK(L4987),"",IF(D4987="Stock",IF(C4987="Buy",L4987*G4987,IF(C4987="Sell",(L4987*G4987)-I4987, X)),IF(C4987="Buy",(L4987*G4987*100)+I4987,IF(C4987="Sell",(L4987*G4987*100)-I4987, X))))</f>
        <v/>
      </c>
      <c r="N4987" s="78">
        <f>IF(ISBLANK(L4987),"",IF(AND(C4987="Sell",D4987="Stock"),M4987,IF(ISBLANK(L4987),"",IF(C4987="Buy",M4987, IF(AND(C4987="Sell",J4987="NA"),(E4987*G4987*100*0.1)+I4987, IF(C4987="Sell",(J4987-L4987)*(100*G4987)+I4987))))))</f>
        <v/>
      </c>
      <c r="O4987" s="75" t="n"/>
      <c r="P4987" s="75" t="n"/>
      <c r="Q4987" s="75">
        <f>IF(ISBLANK(P4987),"",IF(D4987="Stock",P4987*G4987,IF(P4987=0,"0",G4987*P4987*100-(G4987*$AF$14))))</f>
        <v/>
      </c>
      <c r="R4987" s="79">
        <f>IF(P4987&lt;&gt;"", TODAY(), "")</f>
        <v/>
      </c>
      <c r="S4987" s="78">
        <f>IF(AND(K4987&lt;&gt;"", R4987&lt;&gt;""), R4987-K4987, "")</f>
        <v/>
      </c>
      <c r="T4987" s="78" t="n"/>
      <c r="U4987" s="92">
        <f>IF(ISBLANK(P4987),"",IF(C4987="Buy",Q4987-M4987+T4987, IF(C4987="Sell",M4987-Q4987-T4987, X)))</f>
        <v/>
      </c>
      <c r="V4987" s="81">
        <f>IF(ISBLANK(P4987),"",U4987/N4987)</f>
        <v/>
      </c>
      <c r="W4987" s="81">
        <f>IF(ISBLANK(P4987),"",IF(S4987=0,(365/0.5)*V4987,(365/S4987)*V4987))</f>
        <v/>
      </c>
      <c r="X4987" s="75" t="n"/>
      <c r="Y4987" s="77" t="n"/>
      <c r="Z4987" s="77" t="n"/>
      <c r="AA4987" s="75" t="n"/>
      <c r="AB4987" s="75" t="n"/>
      <c r="AC4987" s="6" t="n"/>
      <c r="AD4987" s="75" t="n"/>
      <c r="AE4987" s="75" t="n"/>
      <c r="AF4987" s="75" t="n"/>
    </row>
    <row r="4988" ht="15.75" customHeight="1" s="133">
      <c r="A4988" s="75" t="n"/>
      <c r="B4988" s="75" t="n"/>
      <c r="C4988" s="75" t="n"/>
      <c r="D4988" s="75" t="n"/>
      <c r="E4988" s="76" t="n"/>
      <c r="F4988" s="77" t="n"/>
      <c r="G4988" s="75" t="n"/>
      <c r="H4988" s="75">
        <f>IF(ISBLANK(E4988),"",IF(OR(D4988="Butterfly",D4988="Butterfly ",D4988="Iron Fly", D4988="Iron Fly "),LEN(E4988)-LEN(SUBSTITUTE(E4988,"/",""))+2,LEN(E4988)-LEN(SUBSTITUTE(E4988,"/",""))+1))</f>
        <v/>
      </c>
      <c r="I4988" s="78">
        <f>IF(ISBLANK(G4988),"",IF(D4988="Stock","0",Key!$A$3*H4988*G4988))</f>
        <v/>
      </c>
      <c r="J4988" s="78">
        <f>IF(ISBLANK(E4988),"",IF(ISNUMBER(SEARCH("/",E4988)), IF(LEN(E4988)-LEN(SUBSTITUTE(E4988,"/",""))=1,(RIGHT(E4988,LEN(E4988)-FIND("/",E4988)))-(LEFT(E4988,FIND("/",E4988)-1)),(MID(E4988, SEARCH("/",E4988) + 1, SEARCH("/",E4988, SEARCH("/",E4988)+1) - SEARCH("/",E4988) - 1))-(LEFT(E4988,FIND("/",E4988)-1))), "NA"))</f>
        <v/>
      </c>
      <c r="K4988" s="79">
        <f>IF(A4988&lt;&gt;"", IF(ISBLANK(L4988), TODAY(), K4988), "")</f>
        <v/>
      </c>
      <c r="L4988" s="78" t="n"/>
      <c r="M4988" s="78">
        <f>IF(ISBLANK(L4988),"",IF(D4988="Stock",IF(C4988="Buy",L4988*G4988,IF(C4988="Sell",(L4988*G4988)-I4988, X)),IF(C4988="Buy",(L4988*G4988*100)+I4988,IF(C4988="Sell",(L4988*G4988*100)-I4988, X))))</f>
        <v/>
      </c>
      <c r="N4988" s="78">
        <f>IF(ISBLANK(L4988),"",IF(AND(C4988="Sell",D4988="Stock"),M4988,IF(ISBLANK(L4988),"",IF(C4988="Buy",M4988, IF(AND(C4988="Sell",J4988="NA"),(E4988*G4988*100*0.1)+I4988, IF(C4988="Sell",(J4988-L4988)*(100*G4988)+I4988))))))</f>
        <v/>
      </c>
      <c r="O4988" s="75" t="n"/>
      <c r="P4988" s="75" t="n"/>
      <c r="Q4988" s="75">
        <f>IF(ISBLANK(P4988),"",IF(D4988="Stock",P4988*G4988,IF(P4988=0,"0",G4988*P4988*100-(G4988*$AF$14))))</f>
        <v/>
      </c>
      <c r="R4988" s="79">
        <f>IF(P4988&lt;&gt;"", TODAY(), "")</f>
        <v/>
      </c>
      <c r="S4988" s="78">
        <f>IF(AND(K4988&lt;&gt;"", R4988&lt;&gt;""), R4988-K4988, "")</f>
        <v/>
      </c>
      <c r="T4988" s="78" t="n"/>
      <c r="U4988" s="92">
        <f>IF(ISBLANK(P4988),"",IF(C4988="Buy",Q4988-M4988+T4988, IF(C4988="Sell",M4988-Q4988-T4988, X)))</f>
        <v/>
      </c>
      <c r="V4988" s="81">
        <f>IF(ISBLANK(P4988),"",U4988/N4988)</f>
        <v/>
      </c>
      <c r="W4988" s="81">
        <f>IF(ISBLANK(P4988),"",IF(S4988=0,(365/0.5)*V4988,(365/S4988)*V4988))</f>
        <v/>
      </c>
      <c r="X4988" s="75" t="n"/>
      <c r="Y4988" s="77" t="n"/>
      <c r="Z4988" s="77" t="n"/>
      <c r="AA4988" s="75" t="n"/>
      <c r="AB4988" s="75" t="n"/>
      <c r="AC4988" s="6" t="n"/>
      <c r="AD4988" s="75" t="n"/>
      <c r="AE4988" s="75" t="n"/>
      <c r="AF4988" s="75" t="n"/>
    </row>
    <row r="4989" ht="15.75" customHeight="1" s="133">
      <c r="A4989" s="75" t="n"/>
      <c r="B4989" s="75" t="n"/>
      <c r="C4989" s="75" t="n"/>
      <c r="D4989" s="75" t="n"/>
      <c r="E4989" s="76" t="n"/>
      <c r="F4989" s="77" t="n"/>
      <c r="G4989" s="75" t="n"/>
      <c r="H4989" s="75">
        <f>IF(ISBLANK(E4989),"",IF(OR(D4989="Butterfly",D4989="Butterfly ",D4989="Iron Fly", D4989="Iron Fly "),LEN(E4989)-LEN(SUBSTITUTE(E4989,"/",""))+2,LEN(E4989)-LEN(SUBSTITUTE(E4989,"/",""))+1))</f>
        <v/>
      </c>
      <c r="I4989" s="78">
        <f>IF(ISBLANK(G4989),"",IF(D4989="Stock","0",Key!$A$3*H4989*G4989))</f>
        <v/>
      </c>
      <c r="J4989" s="78">
        <f>IF(ISBLANK(E4989),"",IF(ISNUMBER(SEARCH("/",E4989)), IF(LEN(E4989)-LEN(SUBSTITUTE(E4989,"/",""))=1,(RIGHT(E4989,LEN(E4989)-FIND("/",E4989)))-(LEFT(E4989,FIND("/",E4989)-1)),(MID(E4989, SEARCH("/",E4989) + 1, SEARCH("/",E4989, SEARCH("/",E4989)+1) - SEARCH("/",E4989) - 1))-(LEFT(E4989,FIND("/",E4989)-1))), "NA"))</f>
        <v/>
      </c>
      <c r="K4989" s="79">
        <f>IF(A4989&lt;&gt;"", IF(ISBLANK(L4989), TODAY(), K4989), "")</f>
        <v/>
      </c>
      <c r="L4989" s="78" t="n"/>
      <c r="M4989" s="78">
        <f>IF(ISBLANK(L4989),"",IF(D4989="Stock",IF(C4989="Buy",L4989*G4989,IF(C4989="Sell",(L4989*G4989)-I4989, X)),IF(C4989="Buy",(L4989*G4989*100)+I4989,IF(C4989="Sell",(L4989*G4989*100)-I4989, X))))</f>
        <v/>
      </c>
      <c r="N4989" s="78">
        <f>IF(ISBLANK(L4989),"",IF(AND(C4989="Sell",D4989="Stock"),M4989,IF(ISBLANK(L4989),"",IF(C4989="Buy",M4989, IF(AND(C4989="Sell",J4989="NA"),(E4989*G4989*100*0.1)+I4989, IF(C4989="Sell",(J4989-L4989)*(100*G4989)+I4989))))))</f>
        <v/>
      </c>
      <c r="O4989" s="75" t="n"/>
      <c r="P4989" s="75" t="n"/>
      <c r="Q4989" s="75">
        <f>IF(ISBLANK(P4989),"",IF(D4989="Stock",P4989*G4989,IF(P4989=0,"0",G4989*P4989*100-(G4989*$AF$14))))</f>
        <v/>
      </c>
      <c r="R4989" s="79">
        <f>IF(P4989&lt;&gt;"", TODAY(), "")</f>
        <v/>
      </c>
      <c r="S4989" s="78">
        <f>IF(AND(K4989&lt;&gt;"", R4989&lt;&gt;""), R4989-K4989, "")</f>
        <v/>
      </c>
      <c r="T4989" s="78" t="n"/>
      <c r="U4989" s="92">
        <f>IF(ISBLANK(P4989),"",IF(C4989="Buy",Q4989-M4989+T4989, IF(C4989="Sell",M4989-Q4989-T4989, X)))</f>
        <v/>
      </c>
      <c r="V4989" s="81">
        <f>IF(ISBLANK(P4989),"",U4989/N4989)</f>
        <v/>
      </c>
      <c r="W4989" s="81">
        <f>IF(ISBLANK(P4989),"",IF(S4989=0,(365/0.5)*V4989,(365/S4989)*V4989))</f>
        <v/>
      </c>
      <c r="X4989" s="75" t="n"/>
      <c r="Y4989" s="77" t="n"/>
      <c r="Z4989" s="77" t="n"/>
      <c r="AA4989" s="75" t="n"/>
      <c r="AB4989" s="75" t="n"/>
      <c r="AC4989" s="6" t="n"/>
      <c r="AD4989" s="75" t="n"/>
      <c r="AE4989" s="75" t="n"/>
      <c r="AF4989" s="75" t="n"/>
    </row>
    <row r="4990" ht="15.75" customHeight="1" s="133">
      <c r="A4990" s="75" t="n"/>
      <c r="B4990" s="75" t="n"/>
      <c r="C4990" s="75" t="n"/>
      <c r="D4990" s="75" t="n"/>
      <c r="E4990" s="76" t="n"/>
      <c r="F4990" s="77" t="n"/>
      <c r="G4990" s="75" t="n"/>
      <c r="H4990" s="75">
        <f>IF(ISBLANK(E4990),"",IF(OR(D4990="Butterfly",D4990="Butterfly ",D4990="Iron Fly", D4990="Iron Fly "),LEN(E4990)-LEN(SUBSTITUTE(E4990,"/",""))+2,LEN(E4990)-LEN(SUBSTITUTE(E4990,"/",""))+1))</f>
        <v/>
      </c>
      <c r="I4990" s="78">
        <f>IF(ISBLANK(G4990),"",IF(D4990="Stock","0",Key!$A$3*H4990*G4990))</f>
        <v/>
      </c>
      <c r="J4990" s="78">
        <f>IF(ISBLANK(E4990),"",IF(ISNUMBER(SEARCH("/",E4990)), IF(LEN(E4990)-LEN(SUBSTITUTE(E4990,"/",""))=1,(RIGHT(E4990,LEN(E4990)-FIND("/",E4990)))-(LEFT(E4990,FIND("/",E4990)-1)),(MID(E4990, SEARCH("/",E4990) + 1, SEARCH("/",E4990, SEARCH("/",E4990)+1) - SEARCH("/",E4990) - 1))-(LEFT(E4990,FIND("/",E4990)-1))), "NA"))</f>
        <v/>
      </c>
      <c r="K4990" s="79">
        <f>IF(A4990&lt;&gt;"", IF(ISBLANK(L4990), TODAY(), K4990), "")</f>
        <v/>
      </c>
      <c r="L4990" s="78" t="n"/>
      <c r="M4990" s="78">
        <f>IF(ISBLANK(L4990),"",IF(D4990="Stock",IF(C4990="Buy",L4990*G4990,IF(C4990="Sell",(L4990*G4990)-I4990, X)),IF(C4990="Buy",(L4990*G4990*100)+I4990,IF(C4990="Sell",(L4990*G4990*100)-I4990, X))))</f>
        <v/>
      </c>
      <c r="N4990" s="78">
        <f>IF(ISBLANK(L4990),"",IF(AND(C4990="Sell",D4990="Stock"),M4990,IF(ISBLANK(L4990),"",IF(C4990="Buy",M4990, IF(AND(C4990="Sell",J4990="NA"),(E4990*G4990*100*0.1)+I4990, IF(C4990="Sell",(J4990-L4990)*(100*G4990)+I4990))))))</f>
        <v/>
      </c>
      <c r="O4990" s="75" t="n"/>
      <c r="P4990" s="75" t="n"/>
      <c r="Q4990" s="75">
        <f>IF(ISBLANK(P4990),"",IF(D4990="Stock",P4990*G4990,IF(P4990=0,"0",G4990*P4990*100-(G4990*$AF$14))))</f>
        <v/>
      </c>
      <c r="R4990" s="79">
        <f>IF(P4990&lt;&gt;"", TODAY(), "")</f>
        <v/>
      </c>
      <c r="S4990" s="78">
        <f>IF(AND(K4990&lt;&gt;"", R4990&lt;&gt;""), R4990-K4990, "")</f>
        <v/>
      </c>
      <c r="T4990" s="78" t="n"/>
      <c r="U4990" s="92">
        <f>IF(ISBLANK(P4990),"",IF(C4990="Buy",Q4990-M4990+T4990, IF(C4990="Sell",M4990-Q4990-T4990, X)))</f>
        <v/>
      </c>
      <c r="V4990" s="81">
        <f>IF(ISBLANK(P4990),"",U4990/N4990)</f>
        <v/>
      </c>
      <c r="W4990" s="81">
        <f>IF(ISBLANK(P4990),"",IF(S4990=0,(365/0.5)*V4990,(365/S4990)*V4990))</f>
        <v/>
      </c>
      <c r="X4990" s="75" t="n"/>
      <c r="Y4990" s="77" t="n"/>
      <c r="Z4990" s="77" t="n"/>
      <c r="AA4990" s="75" t="n"/>
      <c r="AB4990" s="75" t="n"/>
      <c r="AC4990" s="6" t="n"/>
      <c r="AD4990" s="75" t="n"/>
      <c r="AE4990" s="75" t="n"/>
      <c r="AF4990" s="75" t="n"/>
    </row>
    <row r="4991" ht="15.75" customHeight="1" s="133">
      <c r="A4991" s="75" t="n"/>
      <c r="B4991" s="75" t="n"/>
      <c r="C4991" s="75" t="n"/>
      <c r="D4991" s="75" t="n"/>
      <c r="E4991" s="76" t="n"/>
      <c r="F4991" s="77" t="n"/>
      <c r="G4991" s="75" t="n"/>
      <c r="H4991" s="75">
        <f>IF(ISBLANK(E4991),"",IF(OR(D4991="Butterfly",D4991="Butterfly ",D4991="Iron Fly", D4991="Iron Fly "),LEN(E4991)-LEN(SUBSTITUTE(E4991,"/",""))+2,LEN(E4991)-LEN(SUBSTITUTE(E4991,"/",""))+1))</f>
        <v/>
      </c>
      <c r="I4991" s="78">
        <f>IF(ISBLANK(G4991),"",IF(D4991="Stock","0",Key!$A$3*H4991*G4991))</f>
        <v/>
      </c>
      <c r="J4991" s="78">
        <f>IF(ISBLANK(E4991),"",IF(ISNUMBER(SEARCH("/",E4991)), IF(LEN(E4991)-LEN(SUBSTITUTE(E4991,"/",""))=1,(RIGHT(E4991,LEN(E4991)-FIND("/",E4991)))-(LEFT(E4991,FIND("/",E4991)-1)),(MID(E4991, SEARCH("/",E4991) + 1, SEARCH("/",E4991, SEARCH("/",E4991)+1) - SEARCH("/",E4991) - 1))-(LEFT(E4991,FIND("/",E4991)-1))), "NA"))</f>
        <v/>
      </c>
      <c r="K4991" s="79">
        <f>IF(A4991&lt;&gt;"", IF(ISBLANK(L4991), TODAY(), K4991), "")</f>
        <v/>
      </c>
      <c r="L4991" s="78" t="n"/>
      <c r="M4991" s="78">
        <f>IF(ISBLANK(L4991),"",IF(D4991="Stock",IF(C4991="Buy",L4991*G4991,IF(C4991="Sell",(L4991*G4991)-I4991, X)),IF(C4991="Buy",(L4991*G4991*100)+I4991,IF(C4991="Sell",(L4991*G4991*100)-I4991, X))))</f>
        <v/>
      </c>
      <c r="N4991" s="78">
        <f>IF(ISBLANK(L4991),"",IF(AND(C4991="Sell",D4991="Stock"),M4991,IF(ISBLANK(L4991),"",IF(C4991="Buy",M4991, IF(AND(C4991="Sell",J4991="NA"),(E4991*G4991*100*0.1)+I4991, IF(C4991="Sell",(J4991-L4991)*(100*G4991)+I4991))))))</f>
        <v/>
      </c>
      <c r="O4991" s="75" t="n"/>
      <c r="P4991" s="75" t="n"/>
      <c r="Q4991" s="75">
        <f>IF(ISBLANK(P4991),"",IF(D4991="Stock",P4991*G4991,IF(P4991=0,"0",G4991*P4991*100-(G4991*$AF$14))))</f>
        <v/>
      </c>
      <c r="R4991" s="79">
        <f>IF(P4991&lt;&gt;"", TODAY(), "")</f>
        <v/>
      </c>
      <c r="S4991" s="78">
        <f>IF(AND(K4991&lt;&gt;"", R4991&lt;&gt;""), R4991-K4991, "")</f>
        <v/>
      </c>
      <c r="T4991" s="78" t="n"/>
      <c r="U4991" s="92">
        <f>IF(ISBLANK(P4991),"",IF(C4991="Buy",Q4991-M4991+T4991, IF(C4991="Sell",M4991-Q4991-T4991, X)))</f>
        <v/>
      </c>
      <c r="V4991" s="81">
        <f>IF(ISBLANK(P4991),"",U4991/N4991)</f>
        <v/>
      </c>
      <c r="W4991" s="81">
        <f>IF(ISBLANK(P4991),"",IF(S4991=0,(365/0.5)*V4991,(365/S4991)*V4991))</f>
        <v/>
      </c>
      <c r="X4991" s="75" t="n"/>
      <c r="Y4991" s="77" t="n"/>
      <c r="Z4991" s="77" t="n"/>
      <c r="AA4991" s="75" t="n"/>
      <c r="AB4991" s="75" t="n"/>
      <c r="AC4991" s="6" t="n"/>
      <c r="AD4991" s="75" t="n"/>
      <c r="AE4991" s="75" t="n"/>
      <c r="AF4991" s="75" t="n"/>
    </row>
    <row r="4992" ht="15.75" customHeight="1" s="133">
      <c r="A4992" s="75" t="n"/>
      <c r="B4992" s="75" t="n"/>
      <c r="C4992" s="75" t="n"/>
      <c r="D4992" s="75" t="n"/>
      <c r="E4992" s="76" t="n"/>
      <c r="F4992" s="77" t="n"/>
      <c r="G4992" s="75" t="n"/>
      <c r="H4992" s="75">
        <f>IF(ISBLANK(E4992),"",IF(OR(D4992="Butterfly",D4992="Butterfly ",D4992="Iron Fly", D4992="Iron Fly "),LEN(E4992)-LEN(SUBSTITUTE(E4992,"/",""))+2,LEN(E4992)-LEN(SUBSTITUTE(E4992,"/",""))+1))</f>
        <v/>
      </c>
      <c r="I4992" s="78">
        <f>IF(ISBLANK(G4992),"",IF(D4992="Stock","0",Key!$A$3*H4992*G4992))</f>
        <v/>
      </c>
      <c r="J4992" s="78">
        <f>IF(ISBLANK(E4992),"",IF(ISNUMBER(SEARCH("/",E4992)), IF(LEN(E4992)-LEN(SUBSTITUTE(E4992,"/",""))=1,(RIGHT(E4992,LEN(E4992)-FIND("/",E4992)))-(LEFT(E4992,FIND("/",E4992)-1)),(MID(E4992, SEARCH("/",E4992) + 1, SEARCH("/",E4992, SEARCH("/",E4992)+1) - SEARCH("/",E4992) - 1))-(LEFT(E4992,FIND("/",E4992)-1))), "NA"))</f>
        <v/>
      </c>
      <c r="K4992" s="79">
        <f>IF(A4992&lt;&gt;"", IF(ISBLANK(L4992), TODAY(), K4992), "")</f>
        <v/>
      </c>
      <c r="L4992" s="78" t="n"/>
      <c r="M4992" s="78">
        <f>IF(ISBLANK(L4992),"",IF(D4992="Stock",IF(C4992="Buy",L4992*G4992,IF(C4992="Sell",(L4992*G4992)-I4992, X)),IF(C4992="Buy",(L4992*G4992*100)+I4992,IF(C4992="Sell",(L4992*G4992*100)-I4992, X))))</f>
        <v/>
      </c>
      <c r="N4992" s="78">
        <f>IF(ISBLANK(L4992),"",IF(AND(C4992="Sell",D4992="Stock"),M4992,IF(ISBLANK(L4992),"",IF(C4992="Buy",M4992, IF(AND(C4992="Sell",J4992="NA"),(E4992*G4992*100*0.1)+I4992, IF(C4992="Sell",(J4992-L4992)*(100*G4992)+I4992))))))</f>
        <v/>
      </c>
      <c r="O4992" s="75" t="n"/>
      <c r="P4992" s="75" t="n"/>
      <c r="Q4992" s="75">
        <f>IF(ISBLANK(P4992),"",IF(D4992="Stock",P4992*G4992,IF(P4992=0,"0",G4992*P4992*100-(G4992*$AF$14))))</f>
        <v/>
      </c>
      <c r="R4992" s="79">
        <f>IF(P4992&lt;&gt;"", TODAY(), "")</f>
        <v/>
      </c>
      <c r="S4992" s="78">
        <f>IF(AND(K4992&lt;&gt;"", R4992&lt;&gt;""), R4992-K4992, "")</f>
        <v/>
      </c>
      <c r="T4992" s="78" t="n"/>
      <c r="U4992" s="92">
        <f>IF(ISBLANK(P4992),"",IF(C4992="Buy",Q4992-M4992+T4992, IF(C4992="Sell",M4992-Q4992-T4992, X)))</f>
        <v/>
      </c>
      <c r="V4992" s="81">
        <f>IF(ISBLANK(P4992),"",U4992/N4992)</f>
        <v/>
      </c>
      <c r="W4992" s="81">
        <f>IF(ISBLANK(P4992),"",IF(S4992=0,(365/0.5)*V4992,(365/S4992)*V4992))</f>
        <v/>
      </c>
      <c r="X4992" s="75" t="n"/>
      <c r="Y4992" s="77" t="n"/>
      <c r="Z4992" s="77" t="n"/>
      <c r="AA4992" s="75" t="n"/>
      <c r="AB4992" s="75" t="n"/>
      <c r="AC4992" s="6" t="n"/>
      <c r="AD4992" s="75" t="n"/>
      <c r="AE4992" s="75" t="n"/>
      <c r="AF4992" s="75" t="n"/>
    </row>
    <row r="4993" ht="15.75" customHeight="1" s="133">
      <c r="A4993" s="75" t="n"/>
      <c r="B4993" s="75" t="n"/>
      <c r="C4993" s="75" t="n"/>
      <c r="D4993" s="75" t="n"/>
      <c r="E4993" s="76" t="n"/>
      <c r="F4993" s="77" t="n"/>
      <c r="G4993" s="75" t="n"/>
      <c r="H4993" s="75">
        <f>IF(ISBLANK(E4993),"",IF(OR(D4993="Butterfly",D4993="Butterfly ",D4993="Iron Fly", D4993="Iron Fly "),LEN(E4993)-LEN(SUBSTITUTE(E4993,"/",""))+2,LEN(E4993)-LEN(SUBSTITUTE(E4993,"/",""))+1))</f>
        <v/>
      </c>
      <c r="I4993" s="78">
        <f>IF(ISBLANK(G4993),"",IF(D4993="Stock","0",Key!$A$3*H4993*G4993))</f>
        <v/>
      </c>
      <c r="J4993" s="78">
        <f>IF(ISBLANK(E4993),"",IF(ISNUMBER(SEARCH("/",E4993)), IF(LEN(E4993)-LEN(SUBSTITUTE(E4993,"/",""))=1,(RIGHT(E4993,LEN(E4993)-FIND("/",E4993)))-(LEFT(E4993,FIND("/",E4993)-1)),(MID(E4993, SEARCH("/",E4993) + 1, SEARCH("/",E4993, SEARCH("/",E4993)+1) - SEARCH("/",E4993) - 1))-(LEFT(E4993,FIND("/",E4993)-1))), "NA"))</f>
        <v/>
      </c>
      <c r="K4993" s="79">
        <f>IF(A4993&lt;&gt;"", IF(ISBLANK(L4993), TODAY(), K4993), "")</f>
        <v/>
      </c>
      <c r="L4993" s="78" t="n"/>
      <c r="M4993" s="78">
        <f>IF(ISBLANK(L4993),"",IF(D4993="Stock",IF(C4993="Buy",L4993*G4993,IF(C4993="Sell",(L4993*G4993)-I4993, X)),IF(C4993="Buy",(L4993*G4993*100)+I4993,IF(C4993="Sell",(L4993*G4993*100)-I4993, X))))</f>
        <v/>
      </c>
      <c r="N4993" s="78">
        <f>IF(ISBLANK(L4993),"",IF(AND(C4993="Sell",D4993="Stock"),M4993,IF(ISBLANK(L4993),"",IF(C4993="Buy",M4993, IF(AND(C4993="Sell",J4993="NA"),(E4993*G4993*100*0.1)+I4993, IF(C4993="Sell",(J4993-L4993)*(100*G4993)+I4993))))))</f>
        <v/>
      </c>
      <c r="O4993" s="75" t="n"/>
      <c r="P4993" s="75" t="n"/>
      <c r="Q4993" s="75">
        <f>IF(ISBLANK(P4993),"",IF(D4993="Stock",P4993*G4993,IF(P4993=0,"0",G4993*P4993*100-(G4993*$AF$14))))</f>
        <v/>
      </c>
      <c r="R4993" s="79">
        <f>IF(P4993&lt;&gt;"", TODAY(), "")</f>
        <v/>
      </c>
      <c r="S4993" s="78">
        <f>IF(AND(K4993&lt;&gt;"", R4993&lt;&gt;""), R4993-K4993, "")</f>
        <v/>
      </c>
      <c r="T4993" s="78" t="n"/>
      <c r="U4993" s="92">
        <f>IF(ISBLANK(P4993),"",IF(C4993="Buy",Q4993-M4993+T4993, IF(C4993="Sell",M4993-Q4993-T4993, X)))</f>
        <v/>
      </c>
      <c r="V4993" s="81">
        <f>IF(ISBLANK(P4993),"",U4993/N4993)</f>
        <v/>
      </c>
      <c r="W4993" s="81">
        <f>IF(ISBLANK(P4993),"",IF(S4993=0,(365/0.5)*V4993,(365/S4993)*V4993))</f>
        <v/>
      </c>
      <c r="X4993" s="75" t="n"/>
      <c r="Y4993" s="77" t="n"/>
      <c r="Z4993" s="77" t="n"/>
      <c r="AA4993" s="75" t="n"/>
      <c r="AB4993" s="75" t="n"/>
      <c r="AC4993" s="6" t="n"/>
      <c r="AD4993" s="75" t="n"/>
      <c r="AE4993" s="75" t="n"/>
      <c r="AF4993" s="75" t="n"/>
    </row>
    <row r="4994" ht="15.75" customHeight="1" s="133">
      <c r="A4994" s="75" t="n"/>
      <c r="B4994" s="75" t="n"/>
      <c r="C4994" s="75" t="n"/>
      <c r="D4994" s="75" t="n"/>
      <c r="E4994" s="76" t="n"/>
      <c r="F4994" s="77" t="n"/>
      <c r="G4994" s="75" t="n"/>
      <c r="H4994" s="75">
        <f>IF(ISBLANK(E4994),"",IF(OR(D4994="Butterfly",D4994="Butterfly ",D4994="Iron Fly", D4994="Iron Fly "),LEN(E4994)-LEN(SUBSTITUTE(E4994,"/",""))+2,LEN(E4994)-LEN(SUBSTITUTE(E4994,"/",""))+1))</f>
        <v/>
      </c>
      <c r="I4994" s="78">
        <f>IF(ISBLANK(G4994),"",IF(D4994="Stock","0",Key!$A$3*H4994*G4994))</f>
        <v/>
      </c>
      <c r="J4994" s="78">
        <f>IF(ISBLANK(E4994),"",IF(ISNUMBER(SEARCH("/",E4994)), IF(LEN(E4994)-LEN(SUBSTITUTE(E4994,"/",""))=1,(RIGHT(E4994,LEN(E4994)-FIND("/",E4994)))-(LEFT(E4994,FIND("/",E4994)-1)),(MID(E4994, SEARCH("/",E4994) + 1, SEARCH("/",E4994, SEARCH("/",E4994)+1) - SEARCH("/",E4994) - 1))-(LEFT(E4994,FIND("/",E4994)-1))), "NA"))</f>
        <v/>
      </c>
      <c r="K4994" s="79">
        <f>IF(A4994&lt;&gt;"", IF(ISBLANK(L4994), TODAY(), K4994), "")</f>
        <v/>
      </c>
      <c r="L4994" s="78" t="n"/>
      <c r="M4994" s="78">
        <f>IF(ISBLANK(L4994),"",IF(D4994="Stock",IF(C4994="Buy",L4994*G4994,IF(C4994="Sell",(L4994*G4994)-I4994, X)),IF(C4994="Buy",(L4994*G4994*100)+I4994,IF(C4994="Sell",(L4994*G4994*100)-I4994, X))))</f>
        <v/>
      </c>
      <c r="N4994" s="78">
        <f>IF(ISBLANK(L4994),"",IF(AND(C4994="Sell",D4994="Stock"),M4994,IF(ISBLANK(L4994),"",IF(C4994="Buy",M4994, IF(AND(C4994="Sell",J4994="NA"),(E4994*G4994*100*0.1)+I4994, IF(C4994="Sell",(J4994-L4994)*(100*G4994)+I4994))))))</f>
        <v/>
      </c>
      <c r="O4994" s="75" t="n"/>
      <c r="P4994" s="75" t="n"/>
      <c r="Q4994" s="75">
        <f>IF(ISBLANK(P4994),"",IF(D4994="Stock",P4994*G4994,IF(P4994=0,"0",G4994*P4994*100-(G4994*$AF$14))))</f>
        <v/>
      </c>
      <c r="R4994" s="79">
        <f>IF(P4994&lt;&gt;"", TODAY(), "")</f>
        <v/>
      </c>
      <c r="S4994" s="78">
        <f>IF(AND(K4994&lt;&gt;"", R4994&lt;&gt;""), R4994-K4994, "")</f>
        <v/>
      </c>
      <c r="T4994" s="78" t="n"/>
      <c r="U4994" s="92">
        <f>IF(ISBLANK(P4994),"",IF(C4994="Buy",Q4994-M4994+T4994, IF(C4994="Sell",M4994-Q4994-T4994, X)))</f>
        <v/>
      </c>
      <c r="V4994" s="81">
        <f>IF(ISBLANK(P4994),"",U4994/N4994)</f>
        <v/>
      </c>
      <c r="W4994" s="81">
        <f>IF(ISBLANK(P4994),"",IF(S4994=0,(365/0.5)*V4994,(365/S4994)*V4994))</f>
        <v/>
      </c>
      <c r="X4994" s="75" t="n"/>
      <c r="Y4994" s="77" t="n"/>
      <c r="Z4994" s="77" t="n"/>
      <c r="AA4994" s="75" t="n"/>
      <c r="AB4994" s="75" t="n"/>
      <c r="AC4994" s="6" t="n"/>
      <c r="AD4994" s="75" t="n"/>
      <c r="AE4994" s="75" t="n"/>
      <c r="AF4994" s="75" t="n"/>
    </row>
    <row r="4995" ht="15.75" customHeight="1" s="133">
      <c r="A4995" s="75" t="n"/>
      <c r="B4995" s="75" t="n"/>
      <c r="C4995" s="75" t="n"/>
      <c r="D4995" s="75" t="n"/>
      <c r="E4995" s="76" t="n"/>
      <c r="F4995" s="77" t="n"/>
      <c r="G4995" s="75" t="n"/>
      <c r="H4995" s="75">
        <f>IF(ISBLANK(E4995),"",IF(OR(D4995="Butterfly",D4995="Butterfly ",D4995="Iron Fly", D4995="Iron Fly "),LEN(E4995)-LEN(SUBSTITUTE(E4995,"/",""))+2,LEN(E4995)-LEN(SUBSTITUTE(E4995,"/",""))+1))</f>
        <v/>
      </c>
      <c r="I4995" s="78">
        <f>IF(ISBLANK(G4995),"",IF(D4995="Stock","0",Key!$A$3*H4995*G4995))</f>
        <v/>
      </c>
      <c r="J4995" s="78">
        <f>IF(ISBLANK(E4995),"",IF(ISNUMBER(SEARCH("/",E4995)), IF(LEN(E4995)-LEN(SUBSTITUTE(E4995,"/",""))=1,(RIGHT(E4995,LEN(E4995)-FIND("/",E4995)))-(LEFT(E4995,FIND("/",E4995)-1)),(MID(E4995, SEARCH("/",E4995) + 1, SEARCH("/",E4995, SEARCH("/",E4995)+1) - SEARCH("/",E4995) - 1))-(LEFT(E4995,FIND("/",E4995)-1))), "NA"))</f>
        <v/>
      </c>
      <c r="K4995" s="79">
        <f>IF(A4995&lt;&gt;"", IF(ISBLANK(L4995), TODAY(), K4995), "")</f>
        <v/>
      </c>
      <c r="L4995" s="78" t="n"/>
      <c r="M4995" s="78">
        <f>IF(ISBLANK(L4995),"",IF(D4995="Stock",IF(C4995="Buy",L4995*G4995,IF(C4995="Sell",(L4995*G4995)-I4995, X)),IF(C4995="Buy",(L4995*G4995*100)+I4995,IF(C4995="Sell",(L4995*G4995*100)-I4995, X))))</f>
        <v/>
      </c>
      <c r="N4995" s="78">
        <f>IF(ISBLANK(L4995),"",IF(AND(C4995="Sell",D4995="Stock"),M4995,IF(ISBLANK(L4995),"",IF(C4995="Buy",M4995, IF(AND(C4995="Sell",J4995="NA"),(E4995*G4995*100*0.1)+I4995, IF(C4995="Sell",(J4995-L4995)*(100*G4995)+I4995))))))</f>
        <v/>
      </c>
      <c r="O4995" s="75" t="n"/>
      <c r="P4995" s="75" t="n"/>
      <c r="Q4995" s="75">
        <f>IF(ISBLANK(P4995),"",IF(D4995="Stock",P4995*G4995,IF(P4995=0,"0",G4995*P4995*100-(G4995*$AF$14))))</f>
        <v/>
      </c>
      <c r="R4995" s="79">
        <f>IF(P4995&lt;&gt;"", TODAY(), "")</f>
        <v/>
      </c>
      <c r="S4995" s="78">
        <f>IF(AND(K4995&lt;&gt;"", R4995&lt;&gt;""), R4995-K4995, "")</f>
        <v/>
      </c>
      <c r="T4995" s="78" t="n"/>
      <c r="U4995" s="92">
        <f>IF(ISBLANK(P4995),"",IF(C4995="Buy",Q4995-M4995+T4995, IF(C4995="Sell",M4995-Q4995-T4995, X)))</f>
        <v/>
      </c>
      <c r="V4995" s="81">
        <f>IF(ISBLANK(P4995),"",U4995/N4995)</f>
        <v/>
      </c>
      <c r="W4995" s="81">
        <f>IF(ISBLANK(P4995),"",IF(S4995=0,(365/0.5)*V4995,(365/S4995)*V4995))</f>
        <v/>
      </c>
      <c r="X4995" s="75" t="n"/>
      <c r="Y4995" s="77" t="n"/>
      <c r="Z4995" s="77" t="n"/>
      <c r="AA4995" s="75" t="n"/>
      <c r="AB4995" s="75" t="n"/>
      <c r="AC4995" s="6" t="n"/>
      <c r="AD4995" s="75" t="n"/>
      <c r="AE4995" s="75" t="n"/>
      <c r="AF4995" s="75" t="n"/>
    </row>
    <row r="4996" ht="15.75" customHeight="1" s="133">
      <c r="A4996" s="75" t="n"/>
      <c r="B4996" s="75" t="n"/>
      <c r="C4996" s="75" t="n"/>
      <c r="D4996" s="75" t="n"/>
      <c r="E4996" s="76" t="n"/>
      <c r="F4996" s="77" t="n"/>
      <c r="G4996" s="75" t="n"/>
      <c r="H4996" s="75">
        <f>IF(ISBLANK(E4996),"",IF(OR(D4996="Butterfly",D4996="Butterfly ",D4996="Iron Fly", D4996="Iron Fly "),LEN(E4996)-LEN(SUBSTITUTE(E4996,"/",""))+2,LEN(E4996)-LEN(SUBSTITUTE(E4996,"/",""))+1))</f>
        <v/>
      </c>
      <c r="I4996" s="78">
        <f>IF(ISBLANK(G4996),"",IF(D4996="Stock","0",Key!$A$3*H4996*G4996))</f>
        <v/>
      </c>
      <c r="J4996" s="78">
        <f>IF(ISBLANK(E4996),"",IF(ISNUMBER(SEARCH("/",E4996)), IF(LEN(E4996)-LEN(SUBSTITUTE(E4996,"/",""))=1,(RIGHT(E4996,LEN(E4996)-FIND("/",E4996)))-(LEFT(E4996,FIND("/",E4996)-1)),(MID(E4996, SEARCH("/",E4996) + 1, SEARCH("/",E4996, SEARCH("/",E4996)+1) - SEARCH("/",E4996) - 1))-(LEFT(E4996,FIND("/",E4996)-1))), "NA"))</f>
        <v/>
      </c>
      <c r="K4996" s="79">
        <f>IF(A4996&lt;&gt;"", IF(ISBLANK(L4996), TODAY(), K4996), "")</f>
        <v/>
      </c>
      <c r="L4996" s="78" t="n"/>
      <c r="M4996" s="78">
        <f>IF(ISBLANK(L4996),"",IF(D4996="Stock",IF(C4996="Buy",L4996*G4996,IF(C4996="Sell",(L4996*G4996)-I4996, X)),IF(C4996="Buy",(L4996*G4996*100)+I4996,IF(C4996="Sell",(L4996*G4996*100)-I4996, X))))</f>
        <v/>
      </c>
      <c r="N4996" s="78">
        <f>IF(ISBLANK(L4996),"",IF(AND(C4996="Sell",D4996="Stock"),M4996,IF(ISBLANK(L4996),"",IF(C4996="Buy",M4996, IF(AND(C4996="Sell",J4996="NA"),(E4996*G4996*100*0.1)+I4996, IF(C4996="Sell",(J4996-L4996)*(100*G4996)+I4996))))))</f>
        <v/>
      </c>
      <c r="O4996" s="75" t="n"/>
      <c r="P4996" s="75" t="n"/>
      <c r="Q4996" s="75">
        <f>IF(ISBLANK(P4996),"",IF(D4996="Stock",P4996*G4996,IF(P4996=0,"0",G4996*P4996*100-(G4996*$AF$14))))</f>
        <v/>
      </c>
      <c r="R4996" s="79">
        <f>IF(P4996&lt;&gt;"", TODAY(), "")</f>
        <v/>
      </c>
      <c r="S4996" s="78">
        <f>IF(AND(K4996&lt;&gt;"", R4996&lt;&gt;""), R4996-K4996, "")</f>
        <v/>
      </c>
      <c r="T4996" s="78" t="n"/>
      <c r="U4996" s="92">
        <f>IF(ISBLANK(P4996),"",IF(C4996="Buy",Q4996-M4996+T4996, IF(C4996="Sell",M4996-Q4996-T4996, X)))</f>
        <v/>
      </c>
      <c r="V4996" s="81">
        <f>IF(ISBLANK(P4996),"",U4996/N4996)</f>
        <v/>
      </c>
      <c r="W4996" s="81">
        <f>IF(ISBLANK(P4996),"",IF(S4996=0,(365/0.5)*V4996,(365/S4996)*V4996))</f>
        <v/>
      </c>
      <c r="X4996" s="75" t="n"/>
      <c r="Y4996" s="77" t="n"/>
      <c r="Z4996" s="77" t="n"/>
      <c r="AA4996" s="75" t="n"/>
      <c r="AB4996" s="75" t="n"/>
      <c r="AC4996" s="6" t="n"/>
      <c r="AD4996" s="75" t="n"/>
      <c r="AE4996" s="75" t="n"/>
      <c r="AF4996" s="75" t="n"/>
    </row>
    <row r="4997" ht="15.75" customHeight="1" s="133">
      <c r="A4997" s="75" t="n"/>
      <c r="B4997" s="75" t="n"/>
      <c r="C4997" s="75" t="n"/>
      <c r="D4997" s="75" t="n"/>
      <c r="E4997" s="76" t="n"/>
      <c r="F4997" s="77" t="n"/>
      <c r="G4997" s="75" t="n"/>
      <c r="H4997" s="75">
        <f>IF(ISBLANK(E4997),"",IF(OR(D4997="Butterfly",D4997="Butterfly ",D4997="Iron Fly", D4997="Iron Fly "),LEN(E4997)-LEN(SUBSTITUTE(E4997,"/",""))+2,LEN(E4997)-LEN(SUBSTITUTE(E4997,"/",""))+1))</f>
        <v/>
      </c>
      <c r="I4997" s="78">
        <f>IF(ISBLANK(G4997),"",IF(D4997="Stock","0",Key!$A$3*H4997*G4997))</f>
        <v/>
      </c>
      <c r="J4997" s="78">
        <f>IF(ISBLANK(E4997),"",IF(ISNUMBER(SEARCH("/",E4997)), IF(LEN(E4997)-LEN(SUBSTITUTE(E4997,"/",""))=1,(RIGHT(E4997,LEN(E4997)-FIND("/",E4997)))-(LEFT(E4997,FIND("/",E4997)-1)),(MID(E4997, SEARCH("/",E4997) + 1, SEARCH("/",E4997, SEARCH("/",E4997)+1) - SEARCH("/",E4997) - 1))-(LEFT(E4997,FIND("/",E4997)-1))), "NA"))</f>
        <v/>
      </c>
      <c r="K4997" s="79">
        <f>IF(A4997&lt;&gt;"", IF(ISBLANK(L4997), TODAY(), K4997), "")</f>
        <v/>
      </c>
      <c r="L4997" s="78" t="n"/>
      <c r="M4997" s="78">
        <f>IF(ISBLANK(L4997),"",IF(D4997="Stock",IF(C4997="Buy",L4997*G4997,IF(C4997="Sell",(L4997*G4997)-I4997, X)),IF(C4997="Buy",(L4997*G4997*100)+I4997,IF(C4997="Sell",(L4997*G4997*100)-I4997, X))))</f>
        <v/>
      </c>
      <c r="N4997" s="78">
        <f>IF(ISBLANK(L4997),"",IF(AND(C4997="Sell",D4997="Stock"),M4997,IF(ISBLANK(L4997),"",IF(C4997="Buy",M4997, IF(AND(C4997="Sell",J4997="NA"),(E4997*G4997*100*0.1)+I4997, IF(C4997="Sell",(J4997-L4997)*(100*G4997)+I4997))))))</f>
        <v/>
      </c>
      <c r="O4997" s="75" t="n"/>
      <c r="P4997" s="75" t="n"/>
      <c r="Q4997" s="75">
        <f>IF(ISBLANK(P4997),"",IF(D4997="Stock",P4997*G4997,IF(P4997=0,"0",G4997*P4997*100-(G4997*$AF$14))))</f>
        <v/>
      </c>
      <c r="R4997" s="79">
        <f>IF(P4997&lt;&gt;"", TODAY(), "")</f>
        <v/>
      </c>
      <c r="S4997" s="78">
        <f>IF(AND(K4997&lt;&gt;"", R4997&lt;&gt;""), R4997-K4997, "")</f>
        <v/>
      </c>
      <c r="T4997" s="78" t="n"/>
      <c r="U4997" s="92">
        <f>IF(ISBLANK(P4997),"",IF(C4997="Buy",Q4997-M4997+T4997, IF(C4997="Sell",M4997-Q4997-T4997, X)))</f>
        <v/>
      </c>
      <c r="V4997" s="81">
        <f>IF(ISBLANK(P4997),"",U4997/N4997)</f>
        <v/>
      </c>
      <c r="W4997" s="81">
        <f>IF(ISBLANK(P4997),"",IF(S4997=0,(365/0.5)*V4997,(365/S4997)*V4997))</f>
        <v/>
      </c>
      <c r="X4997" s="75" t="n"/>
      <c r="Y4997" s="77" t="n"/>
      <c r="Z4997" s="77" t="n"/>
      <c r="AA4997" s="75" t="n"/>
      <c r="AB4997" s="75" t="n"/>
      <c r="AC4997" s="6" t="n"/>
      <c r="AD4997" s="75" t="n"/>
      <c r="AE4997" s="75" t="n"/>
      <c r="AF4997" s="75" t="n"/>
    </row>
    <row r="4998" ht="15.75" customHeight="1" s="133">
      <c r="A4998" s="75" t="n"/>
      <c r="B4998" s="75" t="n"/>
      <c r="C4998" s="75" t="n"/>
      <c r="D4998" s="75" t="n"/>
      <c r="E4998" s="76" t="n"/>
      <c r="F4998" s="77" t="n"/>
      <c r="G4998" s="75" t="n"/>
      <c r="H4998" s="75">
        <f>IF(ISBLANK(E4998),"",IF(OR(D4998="Butterfly",D4998="Butterfly ",D4998="Iron Fly", D4998="Iron Fly "),LEN(E4998)-LEN(SUBSTITUTE(E4998,"/",""))+2,LEN(E4998)-LEN(SUBSTITUTE(E4998,"/",""))+1))</f>
        <v/>
      </c>
      <c r="I4998" s="78">
        <f>IF(ISBLANK(G4998),"",IF(D4998="Stock","0",Key!$A$3*H4998*G4998))</f>
        <v/>
      </c>
      <c r="J4998" s="78">
        <f>IF(ISBLANK(E4998),"",IF(ISNUMBER(SEARCH("/",E4998)), IF(LEN(E4998)-LEN(SUBSTITUTE(E4998,"/",""))=1,(RIGHT(E4998,LEN(E4998)-FIND("/",E4998)))-(LEFT(E4998,FIND("/",E4998)-1)),(MID(E4998, SEARCH("/",E4998) + 1, SEARCH("/",E4998, SEARCH("/",E4998)+1) - SEARCH("/",E4998) - 1))-(LEFT(E4998,FIND("/",E4998)-1))), "NA"))</f>
        <v/>
      </c>
      <c r="K4998" s="79">
        <f>IF(A4998&lt;&gt;"", IF(ISBLANK(L4998), TODAY(), K4998), "")</f>
        <v/>
      </c>
      <c r="L4998" s="78" t="n"/>
      <c r="M4998" s="78">
        <f>IF(ISBLANK(L4998),"",IF(D4998="Stock",IF(C4998="Buy",L4998*G4998,IF(C4998="Sell",(L4998*G4998)-I4998, X)),IF(C4998="Buy",(L4998*G4998*100)+I4998,IF(C4998="Sell",(L4998*G4998*100)-I4998, X))))</f>
        <v/>
      </c>
      <c r="N4998" s="78">
        <f>IF(ISBLANK(L4998),"",IF(AND(C4998="Sell",D4998="Stock"),M4998,IF(ISBLANK(L4998),"",IF(C4998="Buy",M4998, IF(AND(C4998="Sell",J4998="NA"),(E4998*G4998*100*0.1)+I4998, IF(C4998="Sell",(J4998-L4998)*(100*G4998)+I4998))))))</f>
        <v/>
      </c>
      <c r="O4998" s="75" t="n"/>
      <c r="P4998" s="75" t="n"/>
      <c r="Q4998" s="75">
        <f>IF(ISBLANK(P4998),"",IF(D4998="Stock",P4998*G4998,IF(P4998=0,"0",G4998*P4998*100-(G4998*$AF$14))))</f>
        <v/>
      </c>
      <c r="R4998" s="79">
        <f>IF(P4998&lt;&gt;"", TODAY(), "")</f>
        <v/>
      </c>
      <c r="S4998" s="78">
        <f>IF(AND(K4998&lt;&gt;"", R4998&lt;&gt;""), R4998-K4998, "")</f>
        <v/>
      </c>
      <c r="T4998" s="78" t="n"/>
      <c r="U4998" s="92">
        <f>IF(ISBLANK(P4998),"",IF(C4998="Buy",Q4998-M4998+T4998, IF(C4998="Sell",M4998-Q4998-T4998, X)))</f>
        <v/>
      </c>
      <c r="V4998" s="81">
        <f>IF(ISBLANK(P4998),"",U4998/N4998)</f>
        <v/>
      </c>
      <c r="W4998" s="81">
        <f>IF(ISBLANK(P4998),"",IF(S4998=0,(365/0.5)*V4998,(365/S4998)*V4998))</f>
        <v/>
      </c>
      <c r="X4998" s="75" t="n"/>
      <c r="Y4998" s="77" t="n"/>
      <c r="Z4998" s="77" t="n"/>
      <c r="AA4998" s="75" t="n"/>
      <c r="AB4998" s="75" t="n"/>
      <c r="AC4998" s="6" t="n"/>
      <c r="AD4998" s="75" t="n"/>
      <c r="AE4998" s="75" t="n"/>
      <c r="AF4998" s="75" t="n"/>
    </row>
    <row r="4999" ht="15.75" customHeight="1" s="133">
      <c r="A4999" s="75" t="n"/>
      <c r="B4999" s="75" t="n"/>
      <c r="C4999" s="75" t="n"/>
      <c r="D4999" s="75" t="n"/>
      <c r="E4999" s="76" t="n"/>
      <c r="F4999" s="77" t="n"/>
      <c r="G4999" s="75" t="n"/>
      <c r="H4999" s="75">
        <f>IF(ISBLANK(E4999),"",IF(OR(D4999="Butterfly",D4999="Butterfly ",D4999="Iron Fly", D4999="Iron Fly "),LEN(E4999)-LEN(SUBSTITUTE(E4999,"/",""))+2,LEN(E4999)-LEN(SUBSTITUTE(E4999,"/",""))+1))</f>
        <v/>
      </c>
      <c r="I4999" s="78">
        <f>IF(ISBLANK(G4999),"",IF(D4999="Stock","0",Key!$A$3*H4999*G4999))</f>
        <v/>
      </c>
      <c r="J4999" s="78">
        <f>IF(ISBLANK(E4999),"",IF(ISNUMBER(SEARCH("/",E4999)), IF(LEN(E4999)-LEN(SUBSTITUTE(E4999,"/",""))=1,(RIGHT(E4999,LEN(E4999)-FIND("/",E4999)))-(LEFT(E4999,FIND("/",E4999)-1)),(MID(E4999, SEARCH("/",E4999) + 1, SEARCH("/",E4999, SEARCH("/",E4999)+1) - SEARCH("/",E4999) - 1))-(LEFT(E4999,FIND("/",E4999)-1))), "NA"))</f>
        <v/>
      </c>
      <c r="K4999" s="79">
        <f>IF(A4999&lt;&gt;"", IF(ISBLANK(L4999), TODAY(), K4999), "")</f>
        <v/>
      </c>
      <c r="L4999" s="78" t="n"/>
      <c r="M4999" s="78">
        <f>IF(ISBLANK(L4999),"",IF(D4999="Stock",IF(C4999="Buy",L4999*G4999,IF(C4999="Sell",(L4999*G4999)-I4999, X)),IF(C4999="Buy",(L4999*G4999*100)+I4999,IF(C4999="Sell",(L4999*G4999*100)-I4999, X))))</f>
        <v/>
      </c>
      <c r="N4999" s="78">
        <f>IF(ISBLANK(L4999),"",IF(AND(C4999="Sell",D4999="Stock"),M4999,IF(ISBLANK(L4999),"",IF(C4999="Buy",M4999, IF(AND(C4999="Sell",J4999="NA"),(E4999*G4999*100*0.1)+I4999, IF(C4999="Sell",(J4999-L4999)*(100*G4999)+I4999))))))</f>
        <v/>
      </c>
      <c r="O4999" s="75" t="n"/>
      <c r="P4999" s="75" t="n"/>
      <c r="Q4999" s="75">
        <f>IF(ISBLANK(P4999),"",IF(D4999="Stock",P4999*G4999,IF(P4999=0,"0",G4999*P4999*100-(G4999*$AF$14))))</f>
        <v/>
      </c>
      <c r="R4999" s="79">
        <f>IF(P4999&lt;&gt;"", TODAY(), "")</f>
        <v/>
      </c>
      <c r="S4999" s="78">
        <f>IF(AND(K4999&lt;&gt;"", R4999&lt;&gt;""), R4999-K4999, "")</f>
        <v/>
      </c>
      <c r="T4999" s="78" t="n"/>
      <c r="U4999" s="92">
        <f>IF(ISBLANK(P4999),"",IF(C4999="Buy",Q4999-M4999+T4999, IF(C4999="Sell",M4999-Q4999-T4999, X)))</f>
        <v/>
      </c>
      <c r="V4999" s="81">
        <f>IF(ISBLANK(P4999),"",U4999/N4999)</f>
        <v/>
      </c>
      <c r="W4999" s="81">
        <f>IF(ISBLANK(P4999),"",IF(S4999=0,(365/0.5)*V4999,(365/S4999)*V4999))</f>
        <v/>
      </c>
      <c r="X4999" s="75" t="n"/>
      <c r="Y4999" s="77" t="n"/>
      <c r="Z4999" s="77" t="n"/>
      <c r="AA4999" s="75" t="n"/>
      <c r="AB4999" s="75" t="n"/>
      <c r="AC4999" s="6" t="n"/>
      <c r="AD4999" s="75" t="n"/>
      <c r="AE4999" s="75" t="n"/>
      <c r="AF4999" s="75" t="n"/>
    </row>
    <row r="5000" ht="15.75" customHeight="1" s="133">
      <c r="A5000" s="75" t="n"/>
      <c r="B5000" s="75" t="n"/>
      <c r="C5000" s="75" t="n"/>
      <c r="D5000" s="75" t="n"/>
      <c r="E5000" s="76" t="n"/>
      <c r="F5000" s="77" t="n"/>
      <c r="G5000" s="75" t="n"/>
      <c r="H5000" s="75">
        <f>IF(ISBLANK(E5000),"",IF(OR(D5000="Butterfly",D5000="Butterfly ",D5000="Iron Fly", D5000="Iron Fly "),LEN(E5000)-LEN(SUBSTITUTE(E5000,"/",""))+2,LEN(E5000)-LEN(SUBSTITUTE(E5000,"/",""))+1))</f>
        <v/>
      </c>
      <c r="I5000" s="78">
        <f>IF(ISBLANK(G5000),"",IF(D5000="Stock","0",Key!$A$3*H5000*G5000))</f>
        <v/>
      </c>
      <c r="J5000" s="78">
        <f>IF(ISBLANK(E5000),"",IF(ISNUMBER(SEARCH("/",E5000)), IF(LEN(E5000)-LEN(SUBSTITUTE(E5000,"/",""))=1,(RIGHT(E5000,LEN(E5000)-FIND("/",E5000)))-(LEFT(E5000,FIND("/",E5000)-1)),(MID(E5000, SEARCH("/",E5000) + 1, SEARCH("/",E5000, SEARCH("/",E5000)+1) - SEARCH("/",E5000) - 1))-(LEFT(E5000,FIND("/",E5000)-1))), "NA"))</f>
        <v/>
      </c>
      <c r="K5000" s="79">
        <f>IF(A5000&lt;&gt;"", IF(ISBLANK(L5000), TODAY(), K5000), "")</f>
        <v/>
      </c>
      <c r="L5000" s="78" t="n"/>
      <c r="M5000" s="78">
        <f>IF(ISBLANK(L5000),"",IF(D5000="Stock",IF(C5000="Buy",L5000*G5000,IF(C5000="Sell",(L5000*G5000)-I5000, X)),IF(C5000="Buy",(L5000*G5000*100)+I5000,IF(C5000="Sell",(L5000*G5000*100)-I5000, X))))</f>
        <v/>
      </c>
      <c r="N5000" s="78">
        <f>IF(ISBLANK(L5000),"",IF(AND(C5000="Sell",D5000="Stock"),M5000,IF(ISBLANK(L5000),"",IF(C5000="Buy",M5000, IF(AND(C5000="Sell",J5000="NA"),(E5000*G5000*100*0.1)+I5000, IF(C5000="Sell",(J5000-L5000)*(100*G5000)+I5000))))))</f>
        <v/>
      </c>
      <c r="O5000" s="75" t="n"/>
      <c r="P5000" s="75" t="n"/>
      <c r="Q5000" s="75">
        <f>IF(ISBLANK(P5000),"",IF(D5000="Stock",P5000*G5000,IF(P5000=0,"0",G5000*P5000*100-(G5000*$AF$14))))</f>
        <v/>
      </c>
      <c r="R5000" s="79">
        <f>IF(P5000&lt;&gt;"", TODAY(), "")</f>
        <v/>
      </c>
      <c r="S5000" s="78">
        <f>IF(AND(K5000&lt;&gt;"", R5000&lt;&gt;""), R5000-K5000, "")</f>
        <v/>
      </c>
      <c r="T5000" s="78" t="n"/>
      <c r="U5000" s="92">
        <f>IF(ISBLANK(P5000),"",IF(C5000="Buy",Q5000-M5000+T5000, IF(C5000="Sell",M5000-Q5000-T5000, X)))</f>
        <v/>
      </c>
      <c r="V5000" s="81">
        <f>IF(ISBLANK(P5000),"",U5000/N5000)</f>
        <v/>
      </c>
      <c r="W5000" s="81">
        <f>IF(ISBLANK(P5000),"",IF(S5000=0,(365/0.5)*V5000,(365/S5000)*V5000))</f>
        <v/>
      </c>
      <c r="X5000" s="75" t="n"/>
      <c r="Y5000" s="77" t="n"/>
      <c r="Z5000" s="77" t="n"/>
      <c r="AA5000" s="75" t="n"/>
      <c r="AB5000" s="75" t="n"/>
      <c r="AC5000" s="6" t="n"/>
      <c r="AD5000" s="75" t="n"/>
      <c r="AE5000" s="75" t="n"/>
      <c r="AF5000" s="75" t="n"/>
    </row>
    <row r="5001" ht="15.75" customHeight="1" s="133">
      <c r="A5001" s="75" t="n"/>
      <c r="B5001" s="75" t="n"/>
      <c r="C5001" s="75" t="n"/>
      <c r="D5001" s="75" t="n"/>
      <c r="E5001" s="76" t="n"/>
      <c r="F5001" s="77" t="n"/>
      <c r="G5001" s="75" t="n"/>
      <c r="H5001" s="75">
        <f>IF(ISBLANK(E5001),"",IF(OR(D5001="Butterfly",D5001="Butterfly ",D5001="Iron Fly", D5001="Iron Fly "),LEN(E5001)-LEN(SUBSTITUTE(E5001,"/",""))+2,LEN(E5001)-LEN(SUBSTITUTE(E5001,"/",""))+1))</f>
        <v/>
      </c>
      <c r="I5001" s="78">
        <f>IF(ISBLANK(G5001),"",IF(D5001="Stock","0",Key!$A$3*H5001*G5001))</f>
        <v/>
      </c>
      <c r="J5001" s="78">
        <f>IF(ISBLANK(E5001),"",IF(ISNUMBER(SEARCH("/",E5001)), IF(LEN(E5001)-LEN(SUBSTITUTE(E5001,"/",""))=1,(RIGHT(E5001,LEN(E5001)-FIND("/",E5001)))-(LEFT(E5001,FIND("/",E5001)-1)),(MID(E5001, SEARCH("/",E5001) + 1, SEARCH("/",E5001, SEARCH("/",E5001)+1) - SEARCH("/",E5001) - 1))-(LEFT(E5001,FIND("/",E5001)-1))), "NA"))</f>
        <v/>
      </c>
      <c r="K5001" s="79">
        <f>IF(A5001&lt;&gt;"", IF(ISBLANK(L5001), TODAY(), K5001), "")</f>
        <v/>
      </c>
      <c r="L5001" s="78" t="n"/>
      <c r="M5001" s="78">
        <f>IF(ISBLANK(L5001),"",IF(D5001="Stock",IF(C5001="Buy",L5001*G5001,IF(C5001="Sell",(L5001*G5001)-I5001, X)),IF(C5001="Buy",(L5001*G5001*100)+I5001,IF(C5001="Sell",(L5001*G5001*100)-I5001, X))))</f>
        <v/>
      </c>
      <c r="N5001" s="78">
        <f>IF(ISBLANK(L5001),"",IF(AND(C5001="Sell",D5001="Stock"),M5001,IF(ISBLANK(L5001),"",IF(C5001="Buy",M5001, IF(AND(C5001="Sell",J5001="NA"),(E5001*G5001*100*0.1)+I5001, IF(C5001="Sell",(J5001-L5001)*(100*G5001)+I5001))))))</f>
        <v/>
      </c>
      <c r="O5001" s="75" t="n"/>
      <c r="P5001" s="75" t="n"/>
      <c r="Q5001" s="75">
        <f>IF(ISBLANK(P5001),"",IF(D5001="Stock",P5001*G5001,IF(P5001=0,"0",G5001*P5001*100-(G5001*$AF$14))))</f>
        <v/>
      </c>
      <c r="R5001" s="79">
        <f>IF(P5001&lt;&gt;"", TODAY(), "")</f>
        <v/>
      </c>
      <c r="S5001" s="78">
        <f>IF(AND(K5001&lt;&gt;"", R5001&lt;&gt;""), R5001-K5001, "")</f>
        <v/>
      </c>
      <c r="T5001" s="78" t="n"/>
      <c r="U5001" s="92">
        <f>IF(ISBLANK(P5001),"",IF(C5001="Buy",Q5001-M5001+T5001, IF(C5001="Sell",M5001-Q5001-T5001, X)))</f>
        <v/>
      </c>
      <c r="V5001" s="81">
        <f>IF(ISBLANK(P5001),"",U5001/N5001)</f>
        <v/>
      </c>
      <c r="W5001" s="81">
        <f>IF(ISBLANK(P5001),"",IF(S5001=0,(365/0.5)*V5001,(365/S5001)*V5001))</f>
        <v/>
      </c>
      <c r="X5001" s="75" t="n"/>
      <c r="Y5001" s="77" t="n"/>
      <c r="Z5001" s="77" t="n"/>
      <c r="AA5001" s="75" t="n"/>
      <c r="AB5001" s="75" t="n"/>
      <c r="AC5001" s="6" t="n"/>
      <c r="AD5001" s="75" t="n"/>
      <c r="AE5001" s="75" t="n"/>
      <c r="AF5001" s="75" t="n"/>
    </row>
    <row r="5002" ht="15.75" customHeight="1" s="133">
      <c r="A5002" s="75" t="n"/>
      <c r="B5002" s="75" t="n"/>
      <c r="C5002" s="75" t="n"/>
      <c r="D5002" s="75" t="n"/>
      <c r="E5002" s="76" t="n"/>
      <c r="F5002" s="77" t="n"/>
      <c r="G5002" s="75" t="n"/>
      <c r="H5002" s="75">
        <f>IF(ISBLANK(E5002),"",IF(OR(D5002="Butterfly",D5002="Butterfly ",D5002="Iron Fly", D5002="Iron Fly "),LEN(E5002)-LEN(SUBSTITUTE(E5002,"/",""))+2,LEN(E5002)-LEN(SUBSTITUTE(E5002,"/",""))+1))</f>
        <v/>
      </c>
      <c r="I5002" s="78">
        <f>IF(ISBLANK(G5002),"",IF(D5002="Stock","0",Key!$A$3*H5002*G5002))</f>
        <v/>
      </c>
      <c r="J5002" s="78">
        <f>IF(ISBLANK(E5002),"",IF(ISNUMBER(SEARCH("/",E5002)), IF(LEN(E5002)-LEN(SUBSTITUTE(E5002,"/",""))=1,(RIGHT(E5002,LEN(E5002)-FIND("/",E5002)))-(LEFT(E5002,FIND("/",E5002)-1)),(MID(E5002, SEARCH("/",E5002) + 1, SEARCH("/",E5002, SEARCH("/",E5002)+1) - SEARCH("/",E5002) - 1))-(LEFT(E5002,FIND("/",E5002)-1))), "NA"))</f>
        <v/>
      </c>
      <c r="K5002" s="79">
        <f>IF(A5002&lt;&gt;"", IF(ISBLANK(L5002), TODAY(), K5002), "")</f>
        <v/>
      </c>
      <c r="L5002" s="78" t="n"/>
      <c r="M5002" s="78">
        <f>IF(ISBLANK(L5002),"",IF(D5002="Stock",IF(C5002="Buy",L5002*G5002,IF(C5002="Sell",(L5002*G5002)-I5002, X)),IF(C5002="Buy",(L5002*G5002*100)+I5002,IF(C5002="Sell",(L5002*G5002*100)-I5002, X))))</f>
        <v/>
      </c>
      <c r="N5002" s="78">
        <f>IF(ISBLANK(L5002),"",IF(AND(C5002="Sell",D5002="Stock"),M5002,IF(ISBLANK(L5002),"",IF(C5002="Buy",M5002, IF(AND(C5002="Sell",J5002="NA"),(E5002*G5002*100*0.1)+I5002, IF(C5002="Sell",(J5002-L5002)*(100*G5002)+I5002))))))</f>
        <v/>
      </c>
      <c r="O5002" s="75" t="n"/>
      <c r="P5002" s="75" t="n"/>
      <c r="Q5002" s="75">
        <f>IF(ISBLANK(P5002),"",IF(D5002="Stock",P5002*G5002,IF(P5002=0,"0",G5002*P5002*100-(G5002*$AF$14))))</f>
        <v/>
      </c>
      <c r="R5002" s="79">
        <f>IF(P5002&lt;&gt;"", TODAY(), "")</f>
        <v/>
      </c>
      <c r="S5002" s="78">
        <f>IF(AND(K5002&lt;&gt;"", R5002&lt;&gt;""), R5002-K5002, "")</f>
        <v/>
      </c>
      <c r="T5002" s="78" t="n"/>
      <c r="U5002" s="92">
        <f>IF(ISBLANK(P5002),"",IF(C5002="Buy",Q5002-M5002+T5002, IF(C5002="Sell",M5002-Q5002-T5002, X)))</f>
        <v/>
      </c>
      <c r="V5002" s="81">
        <f>IF(ISBLANK(P5002),"",U5002/N5002)</f>
        <v/>
      </c>
      <c r="W5002" s="81">
        <f>IF(ISBLANK(P5002),"",IF(S5002=0,(365/0.5)*V5002,(365/S5002)*V5002))</f>
        <v/>
      </c>
      <c r="X5002" s="75" t="n"/>
      <c r="Y5002" s="77" t="n"/>
      <c r="Z5002" s="77" t="n"/>
      <c r="AA5002" s="75" t="n"/>
      <c r="AB5002" s="75" t="n"/>
      <c r="AC5002" s="6" t="n"/>
      <c r="AD5002" s="75" t="n"/>
      <c r="AE5002" s="75" t="n"/>
      <c r="AF5002" s="75" t="n"/>
    </row>
    <row r="5003" ht="15.75" customHeight="1" s="133">
      <c r="A5003" s="75" t="n"/>
      <c r="B5003" s="75" t="n"/>
      <c r="C5003" s="75" t="n"/>
      <c r="D5003" s="75" t="n"/>
      <c r="E5003" s="76" t="n"/>
      <c r="F5003" s="77" t="n"/>
      <c r="G5003" s="75" t="n"/>
      <c r="H5003" s="75">
        <f>IF(ISBLANK(E5003),"",IF(OR(D5003="Butterfly",D5003="Butterfly ",D5003="Iron Fly", D5003="Iron Fly "),LEN(E5003)-LEN(SUBSTITUTE(E5003,"/",""))+2,LEN(E5003)-LEN(SUBSTITUTE(E5003,"/",""))+1))</f>
        <v/>
      </c>
      <c r="I5003" s="78">
        <f>IF(ISBLANK(G5003),"",IF(D5003="Stock","0",Key!$A$3*H5003*G5003))</f>
        <v/>
      </c>
      <c r="J5003" s="78">
        <f>IF(ISBLANK(E5003),"",IF(ISNUMBER(SEARCH("/",E5003)), IF(LEN(E5003)-LEN(SUBSTITUTE(E5003,"/",""))=1,(RIGHT(E5003,LEN(E5003)-FIND("/",E5003)))-(LEFT(E5003,FIND("/",E5003)-1)),(MID(E5003, SEARCH("/",E5003) + 1, SEARCH("/",E5003, SEARCH("/",E5003)+1) - SEARCH("/",E5003) - 1))-(LEFT(E5003,FIND("/",E5003)-1))), "NA"))</f>
        <v/>
      </c>
      <c r="K5003" s="79">
        <f>IF(A5003&lt;&gt;"", IF(ISBLANK(L5003), TODAY(), K5003), "")</f>
        <v/>
      </c>
      <c r="L5003" s="78" t="n"/>
      <c r="M5003" s="78">
        <f>IF(ISBLANK(L5003),"",IF(D5003="Stock",IF(C5003="Buy",L5003*G5003,IF(C5003="Sell",(L5003*G5003)-I5003, X)),IF(C5003="Buy",(L5003*G5003*100)+I5003,IF(C5003="Sell",(L5003*G5003*100)-I5003, X))))</f>
        <v/>
      </c>
      <c r="N5003" s="78">
        <f>IF(ISBLANK(L5003),"",IF(AND(C5003="Sell",D5003="Stock"),M5003,IF(ISBLANK(L5003),"",IF(C5003="Buy",M5003, IF(AND(C5003="Sell",J5003="NA"),(E5003*G5003*100*0.1)+I5003, IF(C5003="Sell",(J5003-L5003)*(100*G5003)+I5003))))))</f>
        <v/>
      </c>
      <c r="O5003" s="75" t="n"/>
      <c r="P5003" s="75" t="n"/>
      <c r="Q5003" s="75">
        <f>IF(ISBLANK(P5003),"",IF(D5003="Stock",P5003*G5003,IF(P5003=0,"0",G5003*P5003*100-(G5003*$AF$14))))</f>
        <v/>
      </c>
      <c r="R5003" s="79">
        <f>IF(P5003&lt;&gt;"", TODAY(), "")</f>
        <v/>
      </c>
      <c r="S5003" s="78">
        <f>IF(AND(K5003&lt;&gt;"", R5003&lt;&gt;""), R5003-K5003, "")</f>
        <v/>
      </c>
      <c r="T5003" s="78" t="n"/>
      <c r="U5003" s="92">
        <f>IF(ISBLANK(P5003),"",IF(C5003="Buy",Q5003-M5003+T5003, IF(C5003="Sell",M5003-Q5003-T5003, X)))</f>
        <v/>
      </c>
      <c r="V5003" s="81">
        <f>IF(ISBLANK(P5003),"",U5003/N5003)</f>
        <v/>
      </c>
      <c r="W5003" s="81">
        <f>IF(ISBLANK(P5003),"",IF(S5003=0,(365/0.5)*V5003,(365/S5003)*V5003))</f>
        <v/>
      </c>
      <c r="X5003" s="75" t="n"/>
      <c r="Y5003" s="77" t="n"/>
      <c r="Z5003" s="77" t="n"/>
      <c r="AA5003" s="75" t="n"/>
      <c r="AB5003" s="75" t="n"/>
      <c r="AC5003" s="6" t="n"/>
      <c r="AD5003" s="75" t="n"/>
      <c r="AE5003" s="75" t="n"/>
      <c r="AF5003" s="75" t="n"/>
    </row>
    <row r="5004" ht="15.75" customHeight="1" s="133">
      <c r="A5004" s="75" t="n"/>
      <c r="B5004" s="75" t="n"/>
      <c r="C5004" s="75" t="n"/>
      <c r="D5004" s="75" t="n"/>
      <c r="E5004" s="76" t="n"/>
      <c r="F5004" s="77" t="n"/>
      <c r="G5004" s="75" t="n"/>
      <c r="H5004" s="75">
        <f>IF(ISBLANK(E5004),"",IF(OR(D5004="Butterfly",D5004="Butterfly ",D5004="Iron Fly", D5004="Iron Fly "),LEN(E5004)-LEN(SUBSTITUTE(E5004,"/",""))+2,LEN(E5004)-LEN(SUBSTITUTE(E5004,"/",""))+1))</f>
        <v/>
      </c>
      <c r="I5004" s="78">
        <f>IF(ISBLANK(G5004),"",IF(D5004="Stock","0",Key!$A$3*H5004*G5004))</f>
        <v/>
      </c>
      <c r="J5004" s="78">
        <f>IF(ISBLANK(E5004),"",IF(ISNUMBER(SEARCH("/",E5004)), IF(LEN(E5004)-LEN(SUBSTITUTE(E5004,"/",""))=1,(RIGHT(E5004,LEN(E5004)-FIND("/",E5004)))-(LEFT(E5004,FIND("/",E5004)-1)),(MID(E5004, SEARCH("/",E5004) + 1, SEARCH("/",E5004, SEARCH("/",E5004)+1) - SEARCH("/",E5004) - 1))-(LEFT(E5004,FIND("/",E5004)-1))), "NA"))</f>
        <v/>
      </c>
      <c r="K5004" s="79">
        <f>IF(A5004&lt;&gt;"", IF(ISBLANK(L5004), TODAY(), K5004), "")</f>
        <v/>
      </c>
      <c r="L5004" s="78" t="n"/>
      <c r="M5004" s="78">
        <f>IF(ISBLANK(L5004),"",IF(D5004="Stock",IF(C5004="Buy",L5004*G5004,IF(C5004="Sell",(L5004*G5004)-I5004, X)),IF(C5004="Buy",(L5004*G5004*100)+I5004,IF(C5004="Sell",(L5004*G5004*100)-I5004, X))))</f>
        <v/>
      </c>
      <c r="N5004" s="78">
        <f>IF(ISBLANK(L5004),"",IF(AND(C5004="Sell",D5004="Stock"),M5004,IF(ISBLANK(L5004),"",IF(C5004="Buy",M5004, IF(AND(C5004="Sell",J5004="NA"),(E5004*G5004*100*0.1)+I5004, IF(C5004="Sell",(J5004-L5004)*(100*G5004)+I5004))))))</f>
        <v/>
      </c>
      <c r="O5004" s="75" t="n"/>
      <c r="P5004" s="75" t="n"/>
      <c r="Q5004" s="75">
        <f>IF(ISBLANK(P5004),"",IF(D5004="Stock",P5004*G5004,IF(P5004=0,"0",G5004*P5004*100-(G5004*$AF$14))))</f>
        <v/>
      </c>
      <c r="R5004" s="79">
        <f>IF(P5004&lt;&gt;"", TODAY(), "")</f>
        <v/>
      </c>
      <c r="S5004" s="78">
        <f>IF(AND(K5004&lt;&gt;"", R5004&lt;&gt;""), R5004-K5004, "")</f>
        <v/>
      </c>
      <c r="T5004" s="78" t="n"/>
      <c r="U5004" s="92">
        <f>IF(ISBLANK(P5004),"",IF(C5004="Buy",Q5004-M5004+T5004, IF(C5004="Sell",M5004-Q5004-T5004, X)))</f>
        <v/>
      </c>
      <c r="V5004" s="81">
        <f>IF(ISBLANK(P5004),"",U5004/N5004)</f>
        <v/>
      </c>
      <c r="W5004" s="81">
        <f>IF(ISBLANK(P5004),"",IF(S5004=0,(365/0.5)*V5004,(365/S5004)*V5004))</f>
        <v/>
      </c>
      <c r="X5004" s="75" t="n"/>
      <c r="Y5004" s="77" t="n"/>
      <c r="Z5004" s="77" t="n"/>
      <c r="AA5004" s="75" t="n"/>
      <c r="AB5004" s="75" t="n"/>
      <c r="AC5004" s="6" t="n"/>
      <c r="AD5004" s="75" t="n"/>
      <c r="AE5004" s="75" t="n"/>
      <c r="AF5004" s="75" t="n"/>
    </row>
    <row r="5005" ht="15.75" customHeight="1" s="133">
      <c r="A5005" s="75" t="n"/>
      <c r="B5005" s="75" t="n"/>
      <c r="C5005" s="75" t="n"/>
      <c r="D5005" s="75" t="n"/>
      <c r="E5005" s="76" t="n"/>
      <c r="F5005" s="77" t="n"/>
      <c r="G5005" s="75" t="n"/>
      <c r="H5005" s="75">
        <f>IF(ISBLANK(E5005),"",IF(OR(D5005="Butterfly",D5005="Butterfly ",D5005="Iron Fly", D5005="Iron Fly "),LEN(E5005)-LEN(SUBSTITUTE(E5005,"/",""))+2,LEN(E5005)-LEN(SUBSTITUTE(E5005,"/",""))+1))</f>
        <v/>
      </c>
      <c r="I5005" s="78">
        <f>IF(ISBLANK(G5005),"",IF(D5005="Stock","0",Key!$A$3*H5005*G5005))</f>
        <v/>
      </c>
      <c r="J5005" s="78">
        <f>IF(ISBLANK(E5005),"",IF(ISNUMBER(SEARCH("/",E5005)), IF(LEN(E5005)-LEN(SUBSTITUTE(E5005,"/",""))=1,(RIGHT(E5005,LEN(E5005)-FIND("/",E5005)))-(LEFT(E5005,FIND("/",E5005)-1)),(MID(E5005, SEARCH("/",E5005) + 1, SEARCH("/",E5005, SEARCH("/",E5005)+1) - SEARCH("/",E5005) - 1))-(LEFT(E5005,FIND("/",E5005)-1))), "NA"))</f>
        <v/>
      </c>
      <c r="K5005" s="79">
        <f>IF(A5005&lt;&gt;"", IF(ISBLANK(L5005), TODAY(), K5005), "")</f>
        <v/>
      </c>
      <c r="L5005" s="78" t="n"/>
      <c r="M5005" s="78">
        <f>IF(ISBLANK(L5005),"",IF(D5005="Stock",IF(C5005="Buy",L5005*G5005,IF(C5005="Sell",(L5005*G5005)-I5005, X)),IF(C5005="Buy",(L5005*G5005*100)+I5005,IF(C5005="Sell",(L5005*G5005*100)-I5005, X))))</f>
        <v/>
      </c>
      <c r="N5005" s="78">
        <f>IF(ISBLANK(L5005),"",IF(AND(C5005="Sell",D5005="Stock"),M5005,IF(ISBLANK(L5005),"",IF(C5005="Buy",M5005, IF(AND(C5005="Sell",J5005="NA"),(E5005*G5005*100*0.1)+I5005, IF(C5005="Sell",(J5005-L5005)*(100*G5005)+I5005))))))</f>
        <v/>
      </c>
      <c r="O5005" s="75" t="n"/>
      <c r="P5005" s="75" t="n"/>
      <c r="Q5005" s="75">
        <f>IF(ISBLANK(P5005),"",IF(D5005="Stock",P5005*G5005,IF(P5005=0,"0",G5005*P5005*100-(G5005*$AF$14))))</f>
        <v/>
      </c>
      <c r="R5005" s="79">
        <f>IF(P5005&lt;&gt;"", TODAY(), "")</f>
        <v/>
      </c>
      <c r="S5005" s="78">
        <f>IF(AND(K5005&lt;&gt;"", R5005&lt;&gt;""), R5005-K5005, "")</f>
        <v/>
      </c>
      <c r="T5005" s="78" t="n"/>
      <c r="U5005" s="92">
        <f>IF(ISBLANK(P5005),"",IF(C5005="Buy",Q5005-M5005+T5005, IF(C5005="Sell",M5005-Q5005-T5005, X)))</f>
        <v/>
      </c>
      <c r="V5005" s="81">
        <f>IF(ISBLANK(P5005),"",U5005/N5005)</f>
        <v/>
      </c>
      <c r="W5005" s="81">
        <f>IF(ISBLANK(P5005),"",IF(S5005=0,(365/0.5)*V5005,(365/S5005)*V5005))</f>
        <v/>
      </c>
      <c r="X5005" s="75" t="n"/>
      <c r="Y5005" s="77" t="n"/>
      <c r="Z5005" s="77" t="n"/>
      <c r="AA5005" s="75" t="n"/>
      <c r="AB5005" s="75" t="n"/>
      <c r="AC5005" s="6" t="n"/>
      <c r="AD5005" s="75" t="n"/>
      <c r="AE5005" s="75" t="n"/>
      <c r="AF5005" s="75" t="n"/>
    </row>
    <row r="5006" ht="15.75" customHeight="1" s="133">
      <c r="A5006" s="75" t="n"/>
      <c r="B5006" s="75" t="n"/>
      <c r="C5006" s="75" t="n"/>
      <c r="D5006" s="75" t="n"/>
      <c r="E5006" s="76" t="n"/>
      <c r="F5006" s="77" t="n"/>
      <c r="G5006" s="75" t="n"/>
      <c r="H5006" s="75">
        <f>IF(ISBLANK(E5006),"",IF(OR(D5006="Butterfly",D5006="Butterfly ",D5006="Iron Fly", D5006="Iron Fly "),LEN(E5006)-LEN(SUBSTITUTE(E5006,"/",""))+2,LEN(E5006)-LEN(SUBSTITUTE(E5006,"/",""))+1))</f>
        <v/>
      </c>
      <c r="I5006" s="78">
        <f>IF(ISBLANK(G5006),"",IF(D5006="Stock","0",Key!$A$3*H5006*G5006))</f>
        <v/>
      </c>
      <c r="J5006" s="78">
        <f>IF(ISBLANK(E5006),"",IF(ISNUMBER(SEARCH("/",E5006)), IF(LEN(E5006)-LEN(SUBSTITUTE(E5006,"/",""))=1,(RIGHT(E5006,LEN(E5006)-FIND("/",E5006)))-(LEFT(E5006,FIND("/",E5006)-1)),(MID(E5006, SEARCH("/",E5006) + 1, SEARCH("/",E5006, SEARCH("/",E5006)+1) - SEARCH("/",E5006) - 1))-(LEFT(E5006,FIND("/",E5006)-1))), "NA"))</f>
        <v/>
      </c>
      <c r="K5006" s="79">
        <f>IF(A5006&lt;&gt;"", IF(ISBLANK(L5006), TODAY(), K5006), "")</f>
        <v/>
      </c>
      <c r="L5006" s="78" t="n"/>
      <c r="M5006" s="78">
        <f>IF(ISBLANK(L5006),"",IF(D5006="Stock",IF(C5006="Buy",L5006*G5006,IF(C5006="Sell",(L5006*G5006)-I5006, X)),IF(C5006="Buy",(L5006*G5006*100)+I5006,IF(C5006="Sell",(L5006*G5006*100)-I5006, X))))</f>
        <v/>
      </c>
      <c r="N5006" s="78">
        <f>IF(ISBLANK(L5006),"",IF(AND(C5006="Sell",D5006="Stock"),M5006,IF(ISBLANK(L5006),"",IF(C5006="Buy",M5006, IF(AND(C5006="Sell",J5006="NA"),(E5006*G5006*100*0.1)+I5006, IF(C5006="Sell",(J5006-L5006)*(100*G5006)+I5006))))))</f>
        <v/>
      </c>
      <c r="O5006" s="75" t="n"/>
      <c r="P5006" s="75" t="n"/>
      <c r="Q5006" s="75">
        <f>IF(ISBLANK(P5006),"",IF(D5006="Stock",P5006*G5006,IF(P5006=0,"0",G5006*P5006*100-(G5006*$AF$14))))</f>
        <v/>
      </c>
      <c r="R5006" s="79">
        <f>IF(P5006&lt;&gt;"", TODAY(), "")</f>
        <v/>
      </c>
      <c r="S5006" s="78">
        <f>IF(AND(K5006&lt;&gt;"", R5006&lt;&gt;""), R5006-K5006, "")</f>
        <v/>
      </c>
      <c r="T5006" s="78" t="n"/>
      <c r="U5006" s="92">
        <f>IF(ISBLANK(P5006),"",IF(C5006="Buy",Q5006-M5006+T5006, IF(C5006="Sell",M5006-Q5006-T5006, X)))</f>
        <v/>
      </c>
      <c r="V5006" s="81">
        <f>IF(ISBLANK(P5006),"",U5006/N5006)</f>
        <v/>
      </c>
      <c r="W5006" s="81">
        <f>IF(ISBLANK(P5006),"",IF(S5006=0,(365/0.5)*V5006,(365/S5006)*V5006))</f>
        <v/>
      </c>
      <c r="X5006" s="75" t="n"/>
      <c r="Y5006" s="77" t="n"/>
      <c r="Z5006" s="77" t="n"/>
      <c r="AA5006" s="75" t="n"/>
      <c r="AB5006" s="75" t="n"/>
      <c r="AC5006" s="6" t="n"/>
      <c r="AD5006" s="75" t="n"/>
      <c r="AE5006" s="75" t="n"/>
      <c r="AF5006" s="75" t="n"/>
    </row>
    <row r="5007" ht="15.75" customHeight="1" s="133">
      <c r="A5007" s="75" t="n"/>
      <c r="B5007" s="75" t="n"/>
      <c r="C5007" s="75" t="n"/>
      <c r="D5007" s="75" t="n"/>
      <c r="E5007" s="76" t="n"/>
      <c r="F5007" s="77" t="n"/>
      <c r="G5007" s="75" t="n"/>
      <c r="H5007" s="75">
        <f>IF(ISBLANK(E5007),"",IF(OR(D5007="Butterfly",D5007="Butterfly ",D5007="Iron Fly", D5007="Iron Fly "),LEN(E5007)-LEN(SUBSTITUTE(E5007,"/",""))+2,LEN(E5007)-LEN(SUBSTITUTE(E5007,"/",""))+1))</f>
        <v/>
      </c>
      <c r="I5007" s="78">
        <f>IF(ISBLANK(G5007),"",IF(D5007="Stock","0",Key!$A$3*H5007*G5007))</f>
        <v/>
      </c>
      <c r="J5007" s="78">
        <f>IF(ISBLANK(E5007),"",IF(ISNUMBER(SEARCH("/",E5007)), IF(LEN(E5007)-LEN(SUBSTITUTE(E5007,"/",""))=1,(RIGHT(E5007,LEN(E5007)-FIND("/",E5007)))-(LEFT(E5007,FIND("/",E5007)-1)),(MID(E5007, SEARCH("/",E5007) + 1, SEARCH("/",E5007, SEARCH("/",E5007)+1) - SEARCH("/",E5007) - 1))-(LEFT(E5007,FIND("/",E5007)-1))), "NA"))</f>
        <v/>
      </c>
      <c r="K5007" s="79">
        <f>IF(A5007&lt;&gt;"", IF(ISBLANK(L5007), TODAY(), K5007), "")</f>
        <v/>
      </c>
      <c r="L5007" s="78" t="n"/>
      <c r="M5007" s="78">
        <f>IF(ISBLANK(L5007),"",IF(D5007="Stock",IF(C5007="Buy",L5007*G5007,IF(C5007="Sell",(L5007*G5007)-I5007, X)),IF(C5007="Buy",(L5007*G5007*100)+I5007,IF(C5007="Sell",(L5007*G5007*100)-I5007, X))))</f>
        <v/>
      </c>
      <c r="N5007" s="78">
        <f>IF(ISBLANK(L5007),"",IF(AND(C5007="Sell",D5007="Stock"),M5007,IF(ISBLANK(L5007),"",IF(C5007="Buy",M5007, IF(AND(C5007="Sell",J5007="NA"),(E5007*G5007*100*0.1)+I5007, IF(C5007="Sell",(J5007-L5007)*(100*G5007)+I5007))))))</f>
        <v/>
      </c>
      <c r="O5007" s="75" t="n"/>
      <c r="P5007" s="75" t="n"/>
      <c r="Q5007" s="75">
        <f>IF(ISBLANK(P5007),"",IF(D5007="Stock",P5007*G5007,IF(P5007=0,"0",G5007*P5007*100-(G5007*$AF$14))))</f>
        <v/>
      </c>
      <c r="R5007" s="79">
        <f>IF(P5007&lt;&gt;"", TODAY(), "")</f>
        <v/>
      </c>
      <c r="S5007" s="78">
        <f>IF(AND(K5007&lt;&gt;"", R5007&lt;&gt;""), R5007-K5007, "")</f>
        <v/>
      </c>
      <c r="T5007" s="78" t="n"/>
      <c r="U5007" s="92">
        <f>IF(ISBLANK(P5007),"",IF(C5007="Buy",Q5007-M5007+T5007, IF(C5007="Sell",M5007-Q5007-T5007, X)))</f>
        <v/>
      </c>
      <c r="V5007" s="81">
        <f>IF(ISBLANK(P5007),"",U5007/N5007)</f>
        <v/>
      </c>
      <c r="W5007" s="81">
        <f>IF(ISBLANK(P5007),"",IF(S5007=0,(365/0.5)*V5007,(365/S5007)*V5007))</f>
        <v/>
      </c>
      <c r="X5007" s="75" t="n"/>
      <c r="Y5007" s="77" t="n"/>
      <c r="Z5007" s="77" t="n"/>
      <c r="AA5007" s="75" t="n"/>
      <c r="AB5007" s="75" t="n"/>
      <c r="AC5007" s="6" t="n"/>
      <c r="AD5007" s="75" t="n"/>
      <c r="AE5007" s="75" t="n"/>
      <c r="AF5007" s="75" t="n"/>
    </row>
    <row r="5008" ht="15.75" customHeight="1" s="133">
      <c r="A5008" s="75" t="n"/>
      <c r="B5008" s="75" t="n"/>
      <c r="C5008" s="75" t="n"/>
      <c r="D5008" s="75" t="n"/>
      <c r="E5008" s="76" t="n"/>
      <c r="F5008" s="77" t="n"/>
      <c r="G5008" s="75" t="n"/>
      <c r="H5008" s="75">
        <f>IF(ISBLANK(E5008),"",IF(OR(D5008="Butterfly",D5008="Butterfly ",D5008="Iron Fly", D5008="Iron Fly "),LEN(E5008)-LEN(SUBSTITUTE(E5008,"/",""))+2,LEN(E5008)-LEN(SUBSTITUTE(E5008,"/",""))+1))</f>
        <v/>
      </c>
      <c r="I5008" s="78">
        <f>IF(ISBLANK(G5008),"",IF(D5008="Stock","0",Key!$A$3*H5008*G5008))</f>
        <v/>
      </c>
      <c r="J5008" s="78">
        <f>IF(ISBLANK(E5008),"",IF(ISNUMBER(SEARCH("/",E5008)), IF(LEN(E5008)-LEN(SUBSTITUTE(E5008,"/",""))=1,(RIGHT(E5008,LEN(E5008)-FIND("/",E5008)))-(LEFT(E5008,FIND("/",E5008)-1)),(MID(E5008, SEARCH("/",E5008) + 1, SEARCH("/",E5008, SEARCH("/",E5008)+1) - SEARCH("/",E5008) - 1))-(LEFT(E5008,FIND("/",E5008)-1))), "NA"))</f>
        <v/>
      </c>
      <c r="K5008" s="79">
        <f>IF(A5008&lt;&gt;"", IF(ISBLANK(L5008), TODAY(), K5008), "")</f>
        <v/>
      </c>
      <c r="L5008" s="78" t="n"/>
      <c r="M5008" s="78">
        <f>IF(ISBLANK(L5008),"",IF(D5008="Stock",IF(C5008="Buy",L5008*G5008,IF(C5008="Sell",(L5008*G5008)-I5008, X)),IF(C5008="Buy",(L5008*G5008*100)+I5008,IF(C5008="Sell",(L5008*G5008*100)-I5008, X))))</f>
        <v/>
      </c>
      <c r="N5008" s="78">
        <f>IF(ISBLANK(L5008),"",IF(AND(C5008="Sell",D5008="Stock"),M5008,IF(ISBLANK(L5008),"",IF(C5008="Buy",M5008, IF(AND(C5008="Sell",J5008="NA"),(E5008*G5008*100*0.1)+I5008, IF(C5008="Sell",(J5008-L5008)*(100*G5008)+I5008))))))</f>
        <v/>
      </c>
      <c r="O5008" s="75" t="n"/>
      <c r="P5008" s="75" t="n"/>
      <c r="Q5008" s="75">
        <f>IF(ISBLANK(P5008),"",IF(D5008="Stock",P5008*G5008,IF(P5008=0,"0",G5008*P5008*100-(G5008*$AF$14))))</f>
        <v/>
      </c>
      <c r="R5008" s="79">
        <f>IF(P5008&lt;&gt;"", TODAY(), "")</f>
        <v/>
      </c>
      <c r="S5008" s="78">
        <f>IF(AND(K5008&lt;&gt;"", R5008&lt;&gt;""), R5008-K5008, "")</f>
        <v/>
      </c>
      <c r="T5008" s="78" t="n"/>
      <c r="U5008" s="92">
        <f>IF(ISBLANK(P5008),"",IF(C5008="Buy",Q5008-M5008+T5008, IF(C5008="Sell",M5008-Q5008-T5008, X)))</f>
        <v/>
      </c>
      <c r="V5008" s="81">
        <f>IF(ISBLANK(P5008),"",U5008/N5008)</f>
        <v/>
      </c>
      <c r="W5008" s="81">
        <f>IF(ISBLANK(P5008),"",IF(S5008=0,(365/0.5)*V5008,(365/S5008)*V5008))</f>
        <v/>
      </c>
      <c r="X5008" s="75" t="n"/>
      <c r="Y5008" s="77" t="n"/>
      <c r="Z5008" s="77" t="n"/>
      <c r="AA5008" s="75" t="n"/>
      <c r="AB5008" s="75" t="n"/>
      <c r="AC5008" s="6" t="n"/>
      <c r="AD5008" s="75" t="n"/>
      <c r="AE5008" s="75" t="n"/>
      <c r="AF5008" s="75" t="n"/>
    </row>
    <row r="5009" ht="15.75" customHeight="1" s="133">
      <c r="A5009" s="75" t="n"/>
      <c r="B5009" s="75" t="n"/>
      <c r="C5009" s="75" t="n"/>
      <c r="D5009" s="75" t="n"/>
      <c r="E5009" s="76" t="n"/>
      <c r="F5009" s="77" t="n"/>
      <c r="G5009" s="75" t="n"/>
      <c r="H5009" s="75">
        <f>IF(ISBLANK(E5009),"",IF(OR(D5009="Butterfly",D5009="Butterfly ",D5009="Iron Fly", D5009="Iron Fly "),LEN(E5009)-LEN(SUBSTITUTE(E5009,"/",""))+2,LEN(E5009)-LEN(SUBSTITUTE(E5009,"/",""))+1))</f>
        <v/>
      </c>
      <c r="I5009" s="78">
        <f>IF(ISBLANK(G5009),"",IF(D5009="Stock","0",Key!$A$3*H5009*G5009))</f>
        <v/>
      </c>
      <c r="J5009" s="78">
        <f>IF(ISBLANK(E5009),"",IF(ISNUMBER(SEARCH("/",E5009)), IF(LEN(E5009)-LEN(SUBSTITUTE(E5009,"/",""))=1,(RIGHT(E5009,LEN(E5009)-FIND("/",E5009)))-(LEFT(E5009,FIND("/",E5009)-1)),(MID(E5009, SEARCH("/",E5009) + 1, SEARCH("/",E5009, SEARCH("/",E5009)+1) - SEARCH("/",E5009) - 1))-(LEFT(E5009,FIND("/",E5009)-1))), "NA"))</f>
        <v/>
      </c>
      <c r="K5009" s="79">
        <f>IF(A5009&lt;&gt;"", IF(ISBLANK(L5009), TODAY(), K5009), "")</f>
        <v/>
      </c>
      <c r="L5009" s="78" t="n"/>
      <c r="M5009" s="78">
        <f>IF(ISBLANK(L5009),"",IF(D5009="Stock",IF(C5009="Buy",L5009*G5009,IF(C5009="Sell",(L5009*G5009)-I5009, X)),IF(C5009="Buy",(L5009*G5009*100)+I5009,IF(C5009="Sell",(L5009*G5009*100)-I5009, X))))</f>
        <v/>
      </c>
      <c r="N5009" s="78">
        <f>IF(ISBLANK(L5009),"",IF(AND(C5009="Sell",D5009="Stock"),M5009,IF(ISBLANK(L5009),"",IF(C5009="Buy",M5009, IF(AND(C5009="Sell",J5009="NA"),(E5009*G5009*100*0.1)+I5009, IF(C5009="Sell",(J5009-L5009)*(100*G5009)+I5009))))))</f>
        <v/>
      </c>
      <c r="O5009" s="75" t="n"/>
      <c r="P5009" s="75" t="n"/>
      <c r="Q5009" s="75">
        <f>IF(ISBLANK(P5009),"",IF(D5009="Stock",P5009*G5009,IF(P5009=0,"0",G5009*P5009*100-(G5009*$AF$14))))</f>
        <v/>
      </c>
      <c r="R5009" s="79">
        <f>IF(P5009&lt;&gt;"", TODAY(), "")</f>
        <v/>
      </c>
      <c r="S5009" s="78">
        <f>IF(AND(K5009&lt;&gt;"", R5009&lt;&gt;""), R5009-K5009, "")</f>
        <v/>
      </c>
      <c r="T5009" s="78" t="n"/>
      <c r="U5009" s="92">
        <f>IF(ISBLANK(P5009),"",IF(C5009="Buy",Q5009-M5009+T5009, IF(C5009="Sell",M5009-Q5009-T5009, X)))</f>
        <v/>
      </c>
      <c r="V5009" s="81">
        <f>IF(ISBLANK(P5009),"",U5009/N5009)</f>
        <v/>
      </c>
      <c r="W5009" s="81">
        <f>IF(ISBLANK(P5009),"",IF(S5009=0,(365/0.5)*V5009,(365/S5009)*V5009))</f>
        <v/>
      </c>
      <c r="X5009" s="75" t="n"/>
      <c r="Y5009" s="77" t="n"/>
      <c r="Z5009" s="77" t="n"/>
      <c r="AA5009" s="75" t="n"/>
      <c r="AB5009" s="75" t="n"/>
      <c r="AC5009" s="6" t="n"/>
      <c r="AD5009" s="75" t="n"/>
      <c r="AE5009" s="75" t="n"/>
      <c r="AF5009" s="75" t="n"/>
    </row>
    <row r="5010" ht="15.75" customHeight="1" s="133">
      <c r="A5010" s="75" t="n"/>
      <c r="B5010" s="75" t="n"/>
      <c r="C5010" s="75" t="n"/>
      <c r="D5010" s="75" t="n"/>
      <c r="E5010" s="76" t="n"/>
      <c r="F5010" s="77" t="n"/>
      <c r="G5010" s="75" t="n"/>
      <c r="H5010" s="75">
        <f>IF(ISBLANK(E5010),"",IF(OR(D5010="Butterfly",D5010="Butterfly ",D5010="Iron Fly", D5010="Iron Fly "),LEN(E5010)-LEN(SUBSTITUTE(E5010,"/",""))+2,LEN(E5010)-LEN(SUBSTITUTE(E5010,"/",""))+1))</f>
        <v/>
      </c>
      <c r="I5010" s="78">
        <f>IF(ISBLANK(G5010),"",IF(D5010="Stock","0",Key!$A$3*H5010*G5010))</f>
        <v/>
      </c>
      <c r="J5010" s="78">
        <f>IF(ISBLANK(E5010),"",IF(ISNUMBER(SEARCH("/",E5010)), IF(LEN(E5010)-LEN(SUBSTITUTE(E5010,"/",""))=1,(RIGHT(E5010,LEN(E5010)-FIND("/",E5010)))-(LEFT(E5010,FIND("/",E5010)-1)),(MID(E5010, SEARCH("/",E5010) + 1, SEARCH("/",E5010, SEARCH("/",E5010)+1) - SEARCH("/",E5010) - 1))-(LEFT(E5010,FIND("/",E5010)-1))), "NA"))</f>
        <v/>
      </c>
      <c r="K5010" s="79">
        <f>IF(A5010&lt;&gt;"", IF(ISBLANK(L5010), TODAY(), K5010), "")</f>
        <v/>
      </c>
      <c r="L5010" s="78" t="n"/>
      <c r="M5010" s="78">
        <f>IF(ISBLANK(L5010),"",IF(D5010="Stock",IF(C5010="Buy",L5010*G5010,IF(C5010="Sell",(L5010*G5010)-I5010, X)),IF(C5010="Buy",(L5010*G5010*100)+I5010,IF(C5010="Sell",(L5010*G5010*100)-I5010, X))))</f>
        <v/>
      </c>
      <c r="N5010" s="78">
        <f>IF(ISBLANK(L5010),"",IF(AND(C5010="Sell",D5010="Stock"),M5010,IF(ISBLANK(L5010),"",IF(C5010="Buy",M5010, IF(AND(C5010="Sell",J5010="NA"),(E5010*G5010*100*0.1)+I5010, IF(C5010="Sell",(J5010-L5010)*(100*G5010)+I5010))))))</f>
        <v/>
      </c>
      <c r="O5010" s="75" t="n"/>
      <c r="P5010" s="75" t="n"/>
      <c r="Q5010" s="75">
        <f>IF(ISBLANK(P5010),"",IF(D5010="Stock",P5010*G5010,IF(P5010=0,"0",G5010*P5010*100-(G5010*$AF$14))))</f>
        <v/>
      </c>
      <c r="R5010" s="79">
        <f>IF(P5010&lt;&gt;"", TODAY(), "")</f>
        <v/>
      </c>
      <c r="S5010" s="78">
        <f>IF(AND(K5010&lt;&gt;"", R5010&lt;&gt;""), R5010-K5010, "")</f>
        <v/>
      </c>
      <c r="T5010" s="78" t="n"/>
      <c r="U5010" s="92">
        <f>IF(ISBLANK(P5010),"",IF(C5010="Buy",Q5010-M5010+T5010, IF(C5010="Sell",M5010-Q5010-T5010, X)))</f>
        <v/>
      </c>
      <c r="V5010" s="81">
        <f>IF(ISBLANK(P5010),"",U5010/N5010)</f>
        <v/>
      </c>
      <c r="W5010" s="81">
        <f>IF(ISBLANK(P5010),"",IF(S5010=0,(365/0.5)*V5010,(365/S5010)*V5010))</f>
        <v/>
      </c>
      <c r="X5010" s="75" t="n"/>
      <c r="Y5010" s="77" t="n"/>
      <c r="Z5010" s="77" t="n"/>
      <c r="AA5010" s="75" t="n"/>
      <c r="AB5010" s="75" t="n"/>
      <c r="AC5010" s="6" t="n"/>
      <c r="AD5010" s="75" t="n"/>
      <c r="AE5010" s="75" t="n"/>
      <c r="AF5010" s="75" t="n"/>
    </row>
    <row r="5011" ht="15.75" customHeight="1" s="133">
      <c r="A5011" s="75" t="n"/>
      <c r="B5011" s="75" t="n"/>
      <c r="C5011" s="75" t="n"/>
      <c r="D5011" s="75" t="n"/>
      <c r="E5011" s="76" t="n"/>
      <c r="F5011" s="77" t="n"/>
      <c r="G5011" s="75" t="n"/>
      <c r="H5011" s="75">
        <f>IF(ISBLANK(E5011),"",IF(OR(D5011="Butterfly",D5011="Butterfly ",D5011="Iron Fly", D5011="Iron Fly "),LEN(E5011)-LEN(SUBSTITUTE(E5011,"/",""))+2,LEN(E5011)-LEN(SUBSTITUTE(E5011,"/",""))+1))</f>
        <v/>
      </c>
      <c r="I5011" s="78">
        <f>IF(ISBLANK(G5011),"",IF(D5011="Stock","0",Key!$A$3*H5011*G5011))</f>
        <v/>
      </c>
      <c r="J5011" s="78">
        <f>IF(ISBLANK(E5011),"",IF(ISNUMBER(SEARCH("/",E5011)), IF(LEN(E5011)-LEN(SUBSTITUTE(E5011,"/",""))=1,(RIGHT(E5011,LEN(E5011)-FIND("/",E5011)))-(LEFT(E5011,FIND("/",E5011)-1)),(MID(E5011, SEARCH("/",E5011) + 1, SEARCH("/",E5011, SEARCH("/",E5011)+1) - SEARCH("/",E5011) - 1))-(LEFT(E5011,FIND("/",E5011)-1))), "NA"))</f>
        <v/>
      </c>
      <c r="K5011" s="79">
        <f>IF(A5011&lt;&gt;"", IF(ISBLANK(L5011), TODAY(), K5011), "")</f>
        <v/>
      </c>
      <c r="L5011" s="78" t="n"/>
      <c r="M5011" s="78">
        <f>IF(ISBLANK(L5011),"",IF(D5011="Stock",IF(C5011="Buy",L5011*G5011,IF(C5011="Sell",(L5011*G5011)-I5011, X)),IF(C5011="Buy",(L5011*G5011*100)+I5011,IF(C5011="Sell",(L5011*G5011*100)-I5011, X))))</f>
        <v/>
      </c>
      <c r="N5011" s="78">
        <f>IF(ISBLANK(L5011),"",IF(AND(C5011="Sell",D5011="Stock"),M5011,IF(ISBLANK(L5011),"",IF(C5011="Buy",M5011, IF(AND(C5011="Sell",J5011="NA"),(E5011*G5011*100*0.1)+I5011, IF(C5011="Sell",(J5011-L5011)*(100*G5011)+I5011))))))</f>
        <v/>
      </c>
      <c r="O5011" s="75" t="n"/>
      <c r="P5011" s="75" t="n"/>
      <c r="Q5011" s="75">
        <f>IF(ISBLANK(P5011),"",IF(D5011="Stock",P5011*G5011,IF(P5011=0,"0",G5011*P5011*100-(G5011*$AF$14))))</f>
        <v/>
      </c>
      <c r="R5011" s="79">
        <f>IF(P5011&lt;&gt;"", TODAY(), "")</f>
        <v/>
      </c>
      <c r="S5011" s="78">
        <f>IF(AND(K5011&lt;&gt;"", R5011&lt;&gt;""), R5011-K5011, "")</f>
        <v/>
      </c>
      <c r="T5011" s="78" t="n"/>
      <c r="U5011" s="92">
        <f>IF(ISBLANK(P5011),"",IF(C5011="Buy",Q5011-M5011+T5011, IF(C5011="Sell",M5011-Q5011-T5011, X)))</f>
        <v/>
      </c>
      <c r="V5011" s="81">
        <f>IF(ISBLANK(P5011),"",U5011/N5011)</f>
        <v/>
      </c>
      <c r="W5011" s="81">
        <f>IF(ISBLANK(P5011),"",IF(S5011=0,(365/0.5)*V5011,(365/S5011)*V5011))</f>
        <v/>
      </c>
      <c r="X5011" s="75" t="n"/>
      <c r="Y5011" s="77" t="n"/>
      <c r="Z5011" s="77" t="n"/>
      <c r="AA5011" s="75" t="n"/>
      <c r="AB5011" s="75" t="n"/>
      <c r="AC5011" s="6" t="n"/>
      <c r="AD5011" s="75" t="n"/>
      <c r="AE5011" s="75" t="n"/>
      <c r="AF5011" s="75" t="n"/>
    </row>
    <row r="5012" ht="15.75" customHeight="1" s="133">
      <c r="A5012" s="75" t="n"/>
      <c r="B5012" s="75" t="n"/>
      <c r="C5012" s="75" t="n"/>
      <c r="D5012" s="75" t="n"/>
      <c r="E5012" s="76" t="n"/>
      <c r="F5012" s="77" t="n"/>
      <c r="G5012" s="75" t="n"/>
      <c r="H5012" s="75">
        <f>IF(ISBLANK(E5012),"",IF(OR(D5012="Butterfly",D5012="Butterfly ",D5012="Iron Fly", D5012="Iron Fly "),LEN(E5012)-LEN(SUBSTITUTE(E5012,"/",""))+2,LEN(E5012)-LEN(SUBSTITUTE(E5012,"/",""))+1))</f>
        <v/>
      </c>
      <c r="I5012" s="78">
        <f>IF(ISBLANK(G5012),"",IF(D5012="Stock","0",Key!$A$3*H5012*G5012))</f>
        <v/>
      </c>
      <c r="J5012" s="78">
        <f>IF(ISBLANK(E5012),"",IF(ISNUMBER(SEARCH("/",E5012)), IF(LEN(E5012)-LEN(SUBSTITUTE(E5012,"/",""))=1,(RIGHT(E5012,LEN(E5012)-FIND("/",E5012)))-(LEFT(E5012,FIND("/",E5012)-1)),(MID(E5012, SEARCH("/",E5012) + 1, SEARCH("/",E5012, SEARCH("/",E5012)+1) - SEARCH("/",E5012) - 1))-(LEFT(E5012,FIND("/",E5012)-1))), "NA"))</f>
        <v/>
      </c>
      <c r="K5012" s="79">
        <f>IF(A5012&lt;&gt;"", IF(ISBLANK(L5012), TODAY(), K5012), "")</f>
        <v/>
      </c>
      <c r="L5012" s="78" t="n"/>
      <c r="M5012" s="78">
        <f>IF(ISBLANK(L5012),"",IF(D5012="Stock",IF(C5012="Buy",L5012*G5012,IF(C5012="Sell",(L5012*G5012)-I5012, X)),IF(C5012="Buy",(L5012*G5012*100)+I5012,IF(C5012="Sell",(L5012*G5012*100)-I5012, X))))</f>
        <v/>
      </c>
      <c r="N5012" s="78">
        <f>IF(ISBLANK(L5012),"",IF(AND(C5012="Sell",D5012="Stock"),M5012,IF(ISBLANK(L5012),"",IF(C5012="Buy",M5012, IF(AND(C5012="Sell",J5012="NA"),(E5012*G5012*100*0.1)+I5012, IF(C5012="Sell",(J5012-L5012)*(100*G5012)+I5012))))))</f>
        <v/>
      </c>
      <c r="O5012" s="75" t="n"/>
      <c r="P5012" s="75" t="n"/>
      <c r="Q5012" s="75">
        <f>IF(ISBLANK(P5012),"",IF(D5012="Stock",P5012*G5012,IF(P5012=0,"0",G5012*P5012*100-(G5012*$AF$14))))</f>
        <v/>
      </c>
      <c r="R5012" s="79">
        <f>IF(P5012&lt;&gt;"", TODAY(), "")</f>
        <v/>
      </c>
      <c r="S5012" s="78">
        <f>IF(AND(K5012&lt;&gt;"", R5012&lt;&gt;""), R5012-K5012, "")</f>
        <v/>
      </c>
      <c r="T5012" s="78" t="n"/>
      <c r="U5012" s="92">
        <f>IF(ISBLANK(P5012),"",IF(C5012="Buy",Q5012-M5012+T5012, IF(C5012="Sell",M5012-Q5012-T5012, X)))</f>
        <v/>
      </c>
      <c r="V5012" s="81">
        <f>IF(ISBLANK(P5012),"",U5012/N5012)</f>
        <v/>
      </c>
      <c r="W5012" s="81">
        <f>IF(ISBLANK(P5012),"",IF(S5012=0,(365/0.5)*V5012,(365/S5012)*V5012))</f>
        <v/>
      </c>
      <c r="X5012" s="75" t="n"/>
      <c r="Y5012" s="77" t="n"/>
      <c r="Z5012" s="77" t="n"/>
      <c r="AA5012" s="75" t="n"/>
      <c r="AB5012" s="75" t="n"/>
      <c r="AC5012" s="6" t="n"/>
      <c r="AD5012" s="75" t="n"/>
      <c r="AE5012" s="75" t="n"/>
      <c r="AF5012" s="75" t="n"/>
    </row>
    <row r="5013" ht="15.75" customHeight="1" s="133">
      <c r="A5013" s="75" t="n"/>
      <c r="B5013" s="75" t="n"/>
      <c r="C5013" s="75" t="n"/>
      <c r="D5013" s="75" t="n"/>
      <c r="E5013" s="76" t="n"/>
      <c r="F5013" s="77" t="n"/>
      <c r="G5013" s="75" t="n"/>
      <c r="H5013" s="75">
        <f>IF(ISBLANK(E5013),"",IF(OR(D5013="Butterfly",D5013="Butterfly ",D5013="Iron Fly", D5013="Iron Fly "),LEN(E5013)-LEN(SUBSTITUTE(E5013,"/",""))+2,LEN(E5013)-LEN(SUBSTITUTE(E5013,"/",""))+1))</f>
        <v/>
      </c>
      <c r="I5013" s="78">
        <f>IF(ISBLANK(G5013),"",IF(D5013="Stock","0",Key!$A$3*H5013*G5013))</f>
        <v/>
      </c>
      <c r="J5013" s="78">
        <f>IF(ISBLANK(E5013),"",IF(ISNUMBER(SEARCH("/",E5013)), IF(LEN(E5013)-LEN(SUBSTITUTE(E5013,"/",""))=1,(RIGHT(E5013,LEN(E5013)-FIND("/",E5013)))-(LEFT(E5013,FIND("/",E5013)-1)),(MID(E5013, SEARCH("/",E5013) + 1, SEARCH("/",E5013, SEARCH("/",E5013)+1) - SEARCH("/",E5013) - 1))-(LEFT(E5013,FIND("/",E5013)-1))), "NA"))</f>
        <v/>
      </c>
      <c r="K5013" s="79">
        <f>IF(A5013&lt;&gt;"", IF(ISBLANK(L5013), TODAY(), K5013), "")</f>
        <v/>
      </c>
      <c r="L5013" s="78" t="n"/>
      <c r="M5013" s="78">
        <f>IF(ISBLANK(L5013),"",IF(D5013="Stock",IF(C5013="Buy",L5013*G5013,IF(C5013="Sell",(L5013*G5013)-I5013, X)),IF(C5013="Buy",(L5013*G5013*100)+I5013,IF(C5013="Sell",(L5013*G5013*100)-I5013, X))))</f>
        <v/>
      </c>
      <c r="N5013" s="78">
        <f>IF(ISBLANK(L5013),"",IF(AND(C5013="Sell",D5013="Stock"),M5013,IF(ISBLANK(L5013),"",IF(C5013="Buy",M5013, IF(AND(C5013="Sell",J5013="NA"),(E5013*G5013*100*0.1)+I5013, IF(C5013="Sell",(J5013-L5013)*(100*G5013)+I5013))))))</f>
        <v/>
      </c>
      <c r="O5013" s="75" t="n"/>
      <c r="P5013" s="75" t="n"/>
      <c r="Q5013" s="75">
        <f>IF(ISBLANK(P5013),"",IF(D5013="Stock",P5013*G5013,IF(P5013=0,"0",G5013*P5013*100-(G5013*$AF$14))))</f>
        <v/>
      </c>
      <c r="R5013" s="79">
        <f>IF(P5013&lt;&gt;"", TODAY(), "")</f>
        <v/>
      </c>
      <c r="S5013" s="78">
        <f>IF(AND(K5013&lt;&gt;"", R5013&lt;&gt;""), R5013-K5013, "")</f>
        <v/>
      </c>
      <c r="T5013" s="78" t="n"/>
      <c r="U5013" s="92">
        <f>IF(ISBLANK(P5013),"",IF(C5013="Buy",Q5013-M5013+T5013, IF(C5013="Sell",M5013-Q5013-T5013, X)))</f>
        <v/>
      </c>
      <c r="V5013" s="81">
        <f>IF(ISBLANK(P5013),"",U5013/N5013)</f>
        <v/>
      </c>
      <c r="W5013" s="81">
        <f>IF(ISBLANK(P5013),"",IF(S5013=0,(365/0.5)*V5013,(365/S5013)*V5013))</f>
        <v/>
      </c>
      <c r="X5013" s="75" t="n"/>
      <c r="Y5013" s="77" t="n"/>
      <c r="Z5013" s="77" t="n"/>
      <c r="AA5013" s="75" t="n"/>
      <c r="AB5013" s="75" t="n"/>
      <c r="AC5013" s="6" t="n"/>
      <c r="AD5013" s="75" t="n"/>
      <c r="AE5013" s="75" t="n"/>
      <c r="AF5013" s="75" t="n"/>
    </row>
    <row r="5014" ht="15.75" customHeight="1" s="133">
      <c r="A5014" s="75" t="n"/>
      <c r="B5014" s="75" t="n"/>
      <c r="C5014" s="75" t="n"/>
      <c r="D5014" s="75" t="n"/>
      <c r="E5014" s="76" t="n"/>
      <c r="F5014" s="77" t="n"/>
      <c r="G5014" s="75" t="n"/>
      <c r="H5014" s="75">
        <f>IF(ISBLANK(E5014),"",IF(OR(D5014="Butterfly",D5014="Butterfly ",D5014="Iron Fly", D5014="Iron Fly "),LEN(E5014)-LEN(SUBSTITUTE(E5014,"/",""))+2,LEN(E5014)-LEN(SUBSTITUTE(E5014,"/",""))+1))</f>
        <v/>
      </c>
      <c r="I5014" s="78">
        <f>IF(ISBLANK(G5014),"",IF(D5014="Stock","0",Key!$A$3*H5014*G5014))</f>
        <v/>
      </c>
      <c r="J5014" s="78">
        <f>IF(ISBLANK(E5014),"",IF(ISNUMBER(SEARCH("/",E5014)), IF(LEN(E5014)-LEN(SUBSTITUTE(E5014,"/",""))=1,(RIGHT(E5014,LEN(E5014)-FIND("/",E5014)))-(LEFT(E5014,FIND("/",E5014)-1)),(MID(E5014, SEARCH("/",E5014) + 1, SEARCH("/",E5014, SEARCH("/",E5014)+1) - SEARCH("/",E5014) - 1))-(LEFT(E5014,FIND("/",E5014)-1))), "NA"))</f>
        <v/>
      </c>
      <c r="K5014" s="79">
        <f>IF(A5014&lt;&gt;"", IF(ISBLANK(L5014), TODAY(), K5014), "")</f>
        <v/>
      </c>
      <c r="L5014" s="78" t="n"/>
      <c r="M5014" s="78">
        <f>IF(ISBLANK(L5014),"",IF(D5014="Stock",IF(C5014="Buy",L5014*G5014,IF(C5014="Sell",(L5014*G5014)-I5014, X)),IF(C5014="Buy",(L5014*G5014*100)+I5014,IF(C5014="Sell",(L5014*G5014*100)-I5014, X))))</f>
        <v/>
      </c>
      <c r="N5014" s="78">
        <f>IF(ISBLANK(L5014),"",IF(AND(C5014="Sell",D5014="Stock"),M5014,IF(ISBLANK(L5014),"",IF(C5014="Buy",M5014, IF(AND(C5014="Sell",J5014="NA"),(E5014*G5014*100*0.1)+I5014, IF(C5014="Sell",(J5014-L5014)*(100*G5014)+I5014))))))</f>
        <v/>
      </c>
      <c r="O5014" s="75" t="n"/>
      <c r="P5014" s="75" t="n"/>
      <c r="Q5014" s="75">
        <f>IF(ISBLANK(P5014),"",IF(D5014="Stock",P5014*G5014,IF(P5014=0,"0",G5014*P5014*100-(G5014*$AF$14))))</f>
        <v/>
      </c>
      <c r="R5014" s="79">
        <f>IF(P5014&lt;&gt;"", TODAY(), "")</f>
        <v/>
      </c>
      <c r="S5014" s="78">
        <f>IF(AND(K5014&lt;&gt;"", R5014&lt;&gt;""), R5014-K5014, "")</f>
        <v/>
      </c>
      <c r="T5014" s="78" t="n"/>
      <c r="U5014" s="92">
        <f>IF(ISBLANK(P5014),"",IF(C5014="Buy",Q5014-M5014+T5014, IF(C5014="Sell",M5014-Q5014-T5014, X)))</f>
        <v/>
      </c>
      <c r="V5014" s="81">
        <f>IF(ISBLANK(P5014),"",U5014/N5014)</f>
        <v/>
      </c>
      <c r="W5014" s="81">
        <f>IF(ISBLANK(P5014),"",IF(S5014=0,(365/0.5)*V5014,(365/S5014)*V5014))</f>
        <v/>
      </c>
      <c r="X5014" s="75" t="n"/>
      <c r="Y5014" s="77" t="n"/>
      <c r="Z5014" s="77" t="n"/>
      <c r="AA5014" s="75" t="n"/>
      <c r="AB5014" s="75" t="n"/>
      <c r="AC5014" s="6" t="n"/>
      <c r="AD5014" s="75" t="n"/>
      <c r="AE5014" s="75" t="n"/>
      <c r="AF5014" s="75" t="n"/>
    </row>
    <row r="5015" ht="15.75" customHeight="1" s="133">
      <c r="A5015" s="75" t="n"/>
      <c r="B5015" s="75" t="n"/>
      <c r="C5015" s="75" t="n"/>
      <c r="D5015" s="75" t="n"/>
      <c r="E5015" s="76" t="n"/>
      <c r="F5015" s="77" t="n"/>
      <c r="G5015" s="75" t="n"/>
      <c r="H5015" s="75">
        <f>IF(ISBLANK(E5015),"",IF(OR(D5015="Butterfly",D5015="Butterfly ",D5015="Iron Fly", D5015="Iron Fly "),LEN(E5015)-LEN(SUBSTITUTE(E5015,"/",""))+2,LEN(E5015)-LEN(SUBSTITUTE(E5015,"/",""))+1))</f>
        <v/>
      </c>
      <c r="I5015" s="78">
        <f>IF(ISBLANK(G5015),"",IF(D5015="Stock","0",Key!$A$3*H5015*G5015))</f>
        <v/>
      </c>
      <c r="J5015" s="78">
        <f>IF(ISBLANK(E5015),"",IF(ISNUMBER(SEARCH("/",E5015)), IF(LEN(E5015)-LEN(SUBSTITUTE(E5015,"/",""))=1,(RIGHT(E5015,LEN(E5015)-FIND("/",E5015)))-(LEFT(E5015,FIND("/",E5015)-1)),(MID(E5015, SEARCH("/",E5015) + 1, SEARCH("/",E5015, SEARCH("/",E5015)+1) - SEARCH("/",E5015) - 1))-(LEFT(E5015,FIND("/",E5015)-1))), "NA"))</f>
        <v/>
      </c>
      <c r="K5015" s="79">
        <f>IF(A5015&lt;&gt;"", IF(ISBLANK(L5015), TODAY(), K5015), "")</f>
        <v/>
      </c>
      <c r="L5015" s="78" t="n"/>
      <c r="M5015" s="78">
        <f>IF(ISBLANK(L5015),"",IF(D5015="Stock",IF(C5015="Buy",L5015*G5015,IF(C5015="Sell",(L5015*G5015)-I5015, X)),IF(C5015="Buy",(L5015*G5015*100)+I5015,IF(C5015="Sell",(L5015*G5015*100)-I5015, X))))</f>
        <v/>
      </c>
      <c r="N5015" s="78">
        <f>IF(ISBLANK(L5015),"",IF(AND(C5015="Sell",D5015="Stock"),M5015,IF(ISBLANK(L5015),"",IF(C5015="Buy",M5015, IF(AND(C5015="Sell",J5015="NA"),(E5015*G5015*100*0.1)+I5015, IF(C5015="Sell",(J5015-L5015)*(100*G5015)+I5015))))))</f>
        <v/>
      </c>
      <c r="O5015" s="75" t="n"/>
      <c r="P5015" s="75" t="n"/>
      <c r="Q5015" s="75">
        <f>IF(ISBLANK(P5015),"",IF(D5015="Stock",P5015*G5015,IF(P5015=0,"0",G5015*P5015*100-(G5015*$AF$14))))</f>
        <v/>
      </c>
      <c r="R5015" s="79">
        <f>IF(P5015&lt;&gt;"", TODAY(), "")</f>
        <v/>
      </c>
      <c r="S5015" s="78">
        <f>IF(AND(K5015&lt;&gt;"", R5015&lt;&gt;""), R5015-K5015, "")</f>
        <v/>
      </c>
      <c r="T5015" s="78" t="n"/>
      <c r="U5015" s="92">
        <f>IF(ISBLANK(P5015),"",IF(C5015="Buy",Q5015-M5015+T5015, IF(C5015="Sell",M5015-Q5015-T5015, X)))</f>
        <v/>
      </c>
      <c r="V5015" s="81">
        <f>IF(ISBLANK(P5015),"",U5015/N5015)</f>
        <v/>
      </c>
      <c r="W5015" s="81">
        <f>IF(ISBLANK(P5015),"",IF(S5015=0,(365/0.5)*V5015,(365/S5015)*V5015))</f>
        <v/>
      </c>
      <c r="X5015" s="75" t="n"/>
      <c r="Y5015" s="77" t="n"/>
      <c r="Z5015" s="77" t="n"/>
      <c r="AA5015" s="75" t="n"/>
      <c r="AB5015" s="75" t="n"/>
      <c r="AC5015" s="6" t="n"/>
      <c r="AD5015" s="75" t="n"/>
      <c r="AE5015" s="75" t="n"/>
      <c r="AF5015" s="75" t="n"/>
    </row>
    <row r="5016" ht="15.75" customHeight="1" s="133">
      <c r="A5016" s="75" t="n"/>
      <c r="B5016" s="75" t="n"/>
      <c r="C5016" s="75" t="n"/>
      <c r="D5016" s="75" t="n"/>
      <c r="E5016" s="76" t="n"/>
      <c r="F5016" s="77" t="n"/>
      <c r="G5016" s="75" t="n"/>
      <c r="H5016" s="75">
        <f>IF(ISBLANK(E5016),"",IF(OR(D5016="Butterfly",D5016="Butterfly ",D5016="Iron Fly", D5016="Iron Fly "),LEN(E5016)-LEN(SUBSTITUTE(E5016,"/",""))+2,LEN(E5016)-LEN(SUBSTITUTE(E5016,"/",""))+1))</f>
        <v/>
      </c>
      <c r="I5016" s="78">
        <f>IF(ISBLANK(G5016),"",IF(D5016="Stock","0",Key!$A$3*H5016*G5016))</f>
        <v/>
      </c>
      <c r="J5016" s="78">
        <f>IF(ISBLANK(E5016),"",IF(ISNUMBER(SEARCH("/",E5016)), IF(LEN(E5016)-LEN(SUBSTITUTE(E5016,"/",""))=1,(RIGHT(E5016,LEN(E5016)-FIND("/",E5016)))-(LEFT(E5016,FIND("/",E5016)-1)),(MID(E5016, SEARCH("/",E5016) + 1, SEARCH("/",E5016, SEARCH("/",E5016)+1) - SEARCH("/",E5016) - 1))-(LEFT(E5016,FIND("/",E5016)-1))), "NA"))</f>
        <v/>
      </c>
      <c r="K5016" s="79">
        <f>IF(A5016&lt;&gt;"", IF(ISBLANK(L5016), TODAY(), K5016), "")</f>
        <v/>
      </c>
      <c r="L5016" s="78" t="n"/>
      <c r="M5016" s="78">
        <f>IF(ISBLANK(L5016),"",IF(D5016="Stock",IF(C5016="Buy",L5016*G5016,IF(C5016="Sell",(L5016*G5016)-I5016, X)),IF(C5016="Buy",(L5016*G5016*100)+I5016,IF(C5016="Sell",(L5016*G5016*100)-I5016, X))))</f>
        <v/>
      </c>
      <c r="N5016" s="78">
        <f>IF(ISBLANK(L5016),"",IF(AND(C5016="Sell",D5016="Stock"),M5016,IF(ISBLANK(L5016),"",IF(C5016="Buy",M5016, IF(AND(C5016="Sell",J5016="NA"),(E5016*G5016*100*0.1)+I5016, IF(C5016="Sell",(J5016-L5016)*(100*G5016)+I5016))))))</f>
        <v/>
      </c>
      <c r="O5016" s="75" t="n"/>
      <c r="P5016" s="75" t="n"/>
      <c r="Q5016" s="75">
        <f>IF(ISBLANK(P5016),"",IF(D5016="Stock",P5016*G5016,IF(P5016=0,"0",G5016*P5016*100-(G5016*$AF$14))))</f>
        <v/>
      </c>
      <c r="R5016" s="79">
        <f>IF(P5016&lt;&gt;"", TODAY(), "")</f>
        <v/>
      </c>
      <c r="S5016" s="78">
        <f>IF(AND(K5016&lt;&gt;"", R5016&lt;&gt;""), R5016-K5016, "")</f>
        <v/>
      </c>
      <c r="T5016" s="78" t="n"/>
      <c r="U5016" s="92">
        <f>IF(ISBLANK(P5016),"",IF(C5016="Buy",Q5016-M5016+T5016, IF(C5016="Sell",M5016-Q5016-T5016, X)))</f>
        <v/>
      </c>
      <c r="V5016" s="81">
        <f>IF(ISBLANK(P5016),"",U5016/N5016)</f>
        <v/>
      </c>
      <c r="W5016" s="81">
        <f>IF(ISBLANK(P5016),"",IF(S5016=0,(365/0.5)*V5016,(365/S5016)*V5016))</f>
        <v/>
      </c>
      <c r="X5016" s="75" t="n"/>
      <c r="Y5016" s="77" t="n"/>
      <c r="Z5016" s="77" t="n"/>
      <c r="AA5016" s="75" t="n"/>
      <c r="AB5016" s="75" t="n"/>
      <c r="AC5016" s="6" t="n"/>
      <c r="AD5016" s="75" t="n"/>
      <c r="AE5016" s="75" t="n"/>
      <c r="AF5016" s="75" t="n"/>
    </row>
  </sheetData>
  <mergeCells count="60">
    <mergeCell ref="F1:P1"/>
    <mergeCell ref="F4:G4"/>
    <mergeCell ref="L2:M2"/>
    <mergeCell ref="S7:U7"/>
    <mergeCell ref="L7:M7"/>
    <mergeCell ref="P8:R8"/>
    <mergeCell ref="J5:K5"/>
    <mergeCell ref="N7:O7"/>
    <mergeCell ref="P2:R2"/>
    <mergeCell ref="B8:D8"/>
    <mergeCell ref="A1:E1"/>
    <mergeCell ref="F6:G6"/>
    <mergeCell ref="H4:I4"/>
    <mergeCell ref="F7:G7"/>
    <mergeCell ref="F3:G3"/>
    <mergeCell ref="P7:R7"/>
    <mergeCell ref="S6:U6"/>
    <mergeCell ref="L3:M3"/>
    <mergeCell ref="N3:O3"/>
    <mergeCell ref="H6:I6"/>
    <mergeCell ref="J6:K6"/>
    <mergeCell ref="N2:O2"/>
    <mergeCell ref="F5:G5"/>
    <mergeCell ref="V2:Y2"/>
    <mergeCell ref="L5:M5"/>
    <mergeCell ref="N5:O5"/>
    <mergeCell ref="L8:M8"/>
    <mergeCell ref="S8:U8"/>
    <mergeCell ref="B6:D6"/>
    <mergeCell ref="N8:O8"/>
    <mergeCell ref="P3:R3"/>
    <mergeCell ref="F8:G8"/>
    <mergeCell ref="F2:G2"/>
    <mergeCell ref="J4:K4"/>
    <mergeCell ref="B5:D5"/>
    <mergeCell ref="H2:I2"/>
    <mergeCell ref="S5:U5"/>
    <mergeCell ref="L4:M4"/>
    <mergeCell ref="P5:R5"/>
    <mergeCell ref="S2:U2"/>
    <mergeCell ref="H7:I7"/>
    <mergeCell ref="B4:D4"/>
    <mergeCell ref="J7:K7"/>
    <mergeCell ref="S4:U4"/>
    <mergeCell ref="B7:D7"/>
    <mergeCell ref="P4:R4"/>
    <mergeCell ref="H3:I3"/>
    <mergeCell ref="J3:K3"/>
    <mergeCell ref="B3:D3"/>
    <mergeCell ref="V4:Y6"/>
    <mergeCell ref="L6:M6"/>
    <mergeCell ref="J2:K2"/>
    <mergeCell ref="N6:O6"/>
    <mergeCell ref="H5:I5"/>
    <mergeCell ref="S3:U3"/>
    <mergeCell ref="H8:I8"/>
    <mergeCell ref="J8:K8"/>
    <mergeCell ref="P6:R6"/>
    <mergeCell ref="B2:D2"/>
    <mergeCell ref="N4:O4"/>
  </mergeCells>
  <conditionalFormatting sqref="F9:F5016">
    <cfRule type="expression" priority="1" dxfId="3">
      <formula>AND(NOT(ISBLANK(F9)),ISBLANK(P9))</formula>
    </cfRule>
  </conditionalFormatting>
  <conditionalFormatting sqref="F23">
    <cfRule type="expression" priority="2" dxfId="2">
      <formula>IF(ISBLANK(F23),MOD(ROW(),2)=0)</formula>
    </cfRule>
  </conditionalFormatting>
  <conditionalFormatting sqref="F9:G22">
    <cfRule type="expression" priority="3" dxfId="2">
      <formula>IF(ISBLANK(F9),MOD(ROW(),2)=0)</formula>
    </cfRule>
  </conditionalFormatting>
  <conditionalFormatting sqref="O9:O5016 O17:W17">
    <cfRule type="expression" priority="4" dxfId="5">
      <formula>NOT(A9="")</formula>
    </cfRule>
  </conditionalFormatting>
  <conditionalFormatting sqref="O10:W5016">
    <cfRule type="expression" priority="5" dxfId="6">
      <formula>MOD(ROW(),2)=0</formula>
    </cfRule>
  </conditionalFormatting>
  <conditionalFormatting sqref="U10:W5016">
    <cfRule type="expression" priority="6" dxfId="2">
      <formula>MOD(ROW(),2)=0</formula>
    </cfRule>
    <cfRule type="cellIs" priority="7" operator="lessThan" dxfId="7">
      <formula>0</formula>
    </cfRule>
    <cfRule type="cellIs" priority="8" operator="greaterThan" dxfId="8">
      <formula>0</formula>
    </cfRule>
    <cfRule type="cellIs" priority="9" operator="greaterThan" dxfId="0">
      <formula>0</formula>
    </cfRule>
  </conditionalFormatting>
  <conditionalFormatting sqref="W9:W5016">
    <cfRule type="expression" priority="10" dxfId="10">
      <formula>NOT(A9="")</formula>
    </cfRule>
  </conditionalFormatting>
  <conditionalFormatting sqref="Y9:Y5016">
    <cfRule type="expression" priority="11" dxfId="11">
      <formula>AND(ISBLANK(P9),OR(Y9=TEXT(TODAY()+1,"m/d/y")&amp;" BMO",Y9=TEXT(TODAY()+1,"m/d/yyyy")&amp;" BMO",Y9=TEXT(TODAY(),"m/d/y")&amp;" AMC",Y9=TEXT(TODAY(),"m/d/yyyy")&amp;" AMC",Y9=TODAY()+1,Y9=TODAY()))</formula>
    </cfRule>
  </conditionalFormatting>
  <conditionalFormatting sqref="AF21:AF23">
    <cfRule type="cellIs" priority="12" operator="greaterThan" dxfId="12">
      <formula>0</formula>
    </cfRule>
    <cfRule type="cellIs" priority="13" operator="lessThan" dxfId="13">
      <formula>0</formula>
    </cfRule>
  </conditionalFormatting>
  <dataValidations count="3">
    <dataValidation sqref="D10:D5016 E7:E8" showDropDown="0" showInputMessage="0" showErrorMessage="1" allowBlank="1" type="list">
      <formula1>"Stock,Call,Put,Buy Write,Call Spread,Put Spread,Iron Condor,Butterfly,Iron Fly,Straddle,Strangle"</formula1>
    </dataValidation>
    <dataValidation sqref="C10:C5016" showDropDown="0" showInputMessage="0" showErrorMessage="1" allowBlank="1" type="list">
      <formula1>"Buy,Sell"</formula1>
    </dataValidation>
    <dataValidation sqref="A31" showDropDown="0" showInputMessage="0" showErrorMessage="1" allowBlank="1" type="custom">
      <formula1>EXACT(UPPER(A31),A31)</formula1>
    </dataValidation>
  </dataValidations>
  <pageMargins left="0.7" right="0.7" top="0.75" bottom="0.75" header="0" footer="0"/>
  <pageSetup orientation="portrait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J29"/>
  <sheetViews>
    <sheetView workbookViewId="0">
      <selection activeCell="A1" sqref="A1"/>
    </sheetView>
  </sheetViews>
  <sheetFormatPr baseColWidth="8" defaultColWidth="14.43" defaultRowHeight="15" customHeight="1"/>
  <cols>
    <col width="24.14" customWidth="1" style="133" min="1" max="1"/>
    <col width="11.29" customWidth="1" style="133" min="2" max="2"/>
    <col width="10.57" customWidth="1" style="133" min="3" max="3"/>
    <col width="11.43" customWidth="1" style="133" min="4" max="4"/>
    <col width="10.57" customWidth="1" style="133" min="5" max="5"/>
    <col width="11" customWidth="1" style="133" min="6" max="7"/>
    <col width="11.43" customWidth="1" style="133" min="8" max="8"/>
    <col width="10.71" customWidth="1" style="133" min="9" max="9"/>
    <col width="12.57" customWidth="1" style="133" min="10" max="10"/>
    <col width="8.710000000000001" customWidth="1" style="133" min="11" max="26"/>
  </cols>
  <sheetData>
    <row r="2" ht="50.25" customHeight="1" s="133">
      <c r="A2" s="162" t="inlineStr">
        <is>
          <t>Monthly Income</t>
        </is>
      </c>
    </row>
    <row r="3">
      <c r="A3" s="101" t="inlineStr">
        <is>
          <t>Month</t>
        </is>
      </c>
      <c r="B3" s="102" t="n">
        <v>2025</v>
      </c>
      <c r="C3" s="102" t="n">
        <v>2026</v>
      </c>
      <c r="D3" s="102" t="n">
        <v>2027</v>
      </c>
      <c r="E3" s="102" t="n">
        <v>2028</v>
      </c>
      <c r="F3" s="102" t="n">
        <v>2029</v>
      </c>
      <c r="G3" s="102" t="n">
        <v>2030</v>
      </c>
      <c r="H3" s="102" t="n">
        <v>2031</v>
      </c>
      <c r="I3" s="102" t="n">
        <v>2032</v>
      </c>
      <c r="J3" s="102" t="n">
        <v>2033</v>
      </c>
    </row>
    <row r="4">
      <c r="A4" s="103" t="inlineStr">
        <is>
          <t>January</t>
        </is>
      </c>
      <c r="B4" s="104">
        <f>SUMIFS(Account!$U$10:$U$5016,Account!$R$10:$R$5016,"&gt;=1/01/25",Account!$R$10:$R$5016,"&lt;=1/31/25")</f>
        <v/>
      </c>
      <c r="C4" s="105">
        <f>SUMIFS(Account!$U$10:$U$5016,Account!$R$10:$R$5016,"&gt;=1/01/26",Account!$R$10:$R$5016,"&lt;=1/31/26")</f>
        <v/>
      </c>
      <c r="D4" s="104">
        <f>SUMIFS(Account!$U$10:$U$5016,Account!$R$10:$R$5016,"&gt;=1/01/27",Account!$R$10:$R$5016,"&lt;=1/31/27")</f>
        <v/>
      </c>
      <c r="E4" s="105">
        <f>SUMIFS(Account!$U$10:$U$5016,Account!$R$10:$R$5016,"&gt;=1/01/28",Account!$R$10:$R$5016,"&lt;=1/31/28")</f>
        <v/>
      </c>
      <c r="F4" s="104">
        <f>SUMIFS(Account!$U$10:$U$5016,Account!$R$10:$R$5016,"&gt;=1/01/29",Account!$R$10:$R$5016,"&lt;=1/31/29")</f>
        <v/>
      </c>
      <c r="G4" s="105">
        <f>SUMIFS(Account!$U$10:$U$5016,Account!$R$10:$R$5016,"&gt;=1/01/30",Account!$R$10:$R$5016,"&lt;=1/31/30")</f>
        <v/>
      </c>
      <c r="H4" s="104">
        <f>SUMIFS(Account!$U$10:$U$5016,Account!$R$10:$R$5016,"&gt;=1/01/31",Account!$R$10:$R$5016,"&lt;=1/31/31")</f>
        <v/>
      </c>
      <c r="I4" s="105">
        <f>SUMIFS(Account!$U$10:$U$5016,Account!$R$10:$R$5016,"&gt;=1/01/32",Account!$R$10:$R$5016,"&lt;=1/31/32")</f>
        <v/>
      </c>
      <c r="J4" s="104">
        <f>SUMIFS(Account!$U$10:$U$5016,Account!$R$10:$R$5016,"&gt;=1/01/33",Account!$R$10:$R$5016,"&lt;=1/31/33")</f>
        <v/>
      </c>
    </row>
    <row r="5">
      <c r="A5" s="103" t="inlineStr">
        <is>
          <t>February</t>
        </is>
      </c>
      <c r="B5" s="104">
        <f>SUMIFS(Account!$U$10:$U$5016,Account!$R$10:$R$5016,"&gt;=2/01/25",Account!$R$10:$R$5016,"&lt;=2/25/25")</f>
        <v/>
      </c>
      <c r="C5" s="105">
        <f>SUMIFS(Account!$U$10:$U$5016,Account!$R$10:$R$5016,"&gt;=2/01/26",Account!$R$10:$R$5016,"&lt;=2/25/26")</f>
        <v/>
      </c>
      <c r="D5" s="104">
        <f>SUMIFS(Account!$U$10:$U$5016,Account!$R$10:$R$5016,"&gt;=2/01/27",Account!$R$10:$R$5016,"&lt;=2/32/27")</f>
        <v/>
      </c>
      <c r="E5" s="105">
        <f>SUMIFS(Account!$U$10:$U$5016,Account!$R$10:$R$5016,"&gt;=2/01/28",Account!$R$10:$R$5016,"&lt;=2/25/28")</f>
        <v/>
      </c>
      <c r="F5" s="104">
        <f>SUMIFS(Account!$U$10:$U$5016,Account!$R$10:$R$5016,"&gt;=2/01/29",Account!$R$10:$R$5016,"&lt;=2/25/29")</f>
        <v/>
      </c>
      <c r="G5" s="105">
        <f>SUMIFS(Account!$U$10:$U$5016,Account!$R$10:$R$5016,"&gt;=2/01/30",Account!$R$10:$R$5016,"&lt;=2/25/30")</f>
        <v/>
      </c>
      <c r="H5" s="104">
        <f>SUMIFS(Account!$U$10:$U$5016,Account!$R$10:$R$5016,"&gt;=2/01/31",Account!$R$10:$R$5016,"&lt;=2/32/31")</f>
        <v/>
      </c>
      <c r="I5" s="105">
        <f>SUMIFS(Account!$U$10:$U$5016,Account!$R$10:$R$5016,"&gt;=2/01/32",Account!$R$10:$R$5016,"&lt;=2/25/32")</f>
        <v/>
      </c>
      <c r="J5" s="104">
        <f>SUMIFS(Account!$U$10:$U$5016,Account!$R$10:$R$5016,"&gt;=2/01/33",Account!$R$10:$R$5016,"&lt;=2/25/33")</f>
        <v/>
      </c>
    </row>
    <row r="6">
      <c r="A6" s="103" t="inlineStr">
        <is>
          <t>March</t>
        </is>
      </c>
      <c r="B6" s="104">
        <f>SUMIFS(Account!$U$10:$U$5016,Account!$R$10:$R$5016,"&gt;=3/01/25",Account!$R$10:$R$5016,"&lt;=3/31/25")</f>
        <v/>
      </c>
      <c r="C6" s="105">
        <f>SUMIFS(Account!$U$10:$U$5016,Account!$R$10:$R$5016,"&gt;=3/01/26",Account!$R$10:$R$5016,"&lt;=3/31/26")</f>
        <v/>
      </c>
      <c r="D6" s="104">
        <f>SUMIFS(Account!$U$10:$U$5016,Account!$R$10:$R$5016,"&gt;=3/01/27",Account!$R$10:$R$5016,"&lt;=3/31/27")</f>
        <v/>
      </c>
      <c r="E6" s="105">
        <f>SUMIFS(Account!$U$10:$U$5016,Account!$R$10:$R$5016,"&gt;=3/01/28",Account!$R$10:$R$5016,"&lt;=3/31/28")</f>
        <v/>
      </c>
      <c r="F6" s="104">
        <f>SUMIFS(Account!$U$10:$U$5016,Account!$R$10:$R$5016,"&gt;=3/01/29",Account!$R$10:$R$5016,"&lt;=3/31/29")</f>
        <v/>
      </c>
      <c r="G6" s="105">
        <f>SUMIFS(Account!$U$10:$U$5016,Account!$R$10:$R$5016,"&gt;=3/01/30",Account!$R$10:$R$5016,"&lt;=3/31/30")</f>
        <v/>
      </c>
      <c r="H6" s="104">
        <f>SUMIFS(Account!$U$10:$U$5016,Account!$R$10:$R$5016,"&gt;=3/01/31",Account!$R$10:$R$5016,"&lt;=3/31/31")</f>
        <v/>
      </c>
      <c r="I6" s="105">
        <f>SUMIFS(Account!$U$10:$U$5016,Account!$R$10:$R$5016,"&gt;=3/01/32",Account!$R$10:$R$5016,"&lt;=3/31/32")</f>
        <v/>
      </c>
      <c r="J6" s="104">
        <f>SUMIFS(Account!$U$10:$U$5016,Account!$R$10:$R$5016,"&gt;=3/01/33",Account!$R$10:$R$5016,"&lt;=3/31/33")</f>
        <v/>
      </c>
    </row>
    <row r="7">
      <c r="A7" s="103" t="inlineStr">
        <is>
          <t>April</t>
        </is>
      </c>
      <c r="B7" s="104">
        <f>SUMIFS(Account!$U$10:$U$5016,Account!$R$10:$R$5016,"&gt;=4/01/25",Account!$R$10:$R$5016,"&lt;=2/33/25")</f>
        <v/>
      </c>
      <c r="C7" s="105">
        <f>SUMIFS(Account!$U$10:$U$5016,Account!$R$10:$R$5016,"&gt;=4/01/26",Account!$R$10:$R$5016,"&lt;=2/33/26")</f>
        <v/>
      </c>
      <c r="D7" s="104">
        <f>SUMIFS(Account!$U$10:$U$5016,Account!$R$10:$R$5016,"&gt;=4/01/27",Account!$R$10:$R$5016,"&lt;=2/33/27")</f>
        <v/>
      </c>
      <c r="E7" s="105">
        <f>SUMIFS(Account!$U$10:$U$5016,Account!$R$10:$R$5016,"&gt;=4/01/28",Account!$R$10:$R$5016,"&lt;=4/31/28")</f>
        <v/>
      </c>
      <c r="F7" s="104">
        <f>SUMIFS(Account!$U$10:$U$5016,Account!$R$10:$R$5016,"&gt;=4/01/29",Account!$R$10:$R$5016,"&lt;=2/33/29")</f>
        <v/>
      </c>
      <c r="G7" s="105">
        <f>SUMIFS(Account!$U$10:$U$5016,Account!$R$10:$R$5016,"&gt;=4/01/30",Account!$R$10:$R$5016,"&lt;=2/33/30")</f>
        <v/>
      </c>
      <c r="H7" s="104">
        <f>SUMIFS(Account!$U$10:$U$5016,Account!$R$10:$R$5016,"&gt;=4/01/31",Account!$R$10:$R$5016,"&lt;=2/33/31")</f>
        <v/>
      </c>
      <c r="I7" s="105">
        <f>SUMIFS(Account!$U$10:$U$5016,Account!$R$10:$R$5016,"&gt;=4/01/32",Account!$R$10:$R$5016,"&lt;=2/33/32")</f>
        <v/>
      </c>
      <c r="J7" s="104">
        <f>SUMIFS(Account!$U$10:$U$5016,Account!$R$10:$R$5016,"&gt;=4/01/33",Account!$R$10:$R$5016,"&lt;=2/33/33")</f>
        <v/>
      </c>
    </row>
    <row r="8">
      <c r="A8" s="103" t="inlineStr">
        <is>
          <t>May</t>
        </is>
      </c>
      <c r="B8" s="104">
        <f>SUMIFS(Account!$U$10:$U$5016,Account!$R$10:$R$5016,"&gt;=5/01/25",Account!$R$10:$R$5016,"&lt;=5/31/25")</f>
        <v/>
      </c>
      <c r="C8" s="105">
        <f>SUMIFS(Account!$U$10:$U$5016,Account!$R$10:$R$5016,"&gt;=5/01/26",Account!$R$10:$R$5016,"&lt;=5/31/26")</f>
        <v/>
      </c>
      <c r="D8" s="104">
        <f>SUMIFS(Account!$U$10:$U$5016,Account!$R$10:$R$5016,"&gt;=5/01/27",Account!$R$10:$R$5016,"&lt;=5/31/27")</f>
        <v/>
      </c>
      <c r="E8" s="105">
        <f>SUMIFS(Account!$U$10:$U$5016,Account!$R$10:$R$5016,"&gt;=5/01/28",Account!$R$10:$R$5016,"&lt;=5/31/28")</f>
        <v/>
      </c>
      <c r="F8" s="104">
        <f>SUMIFS(Account!$U$10:$U$5016,Account!$R$10:$R$5016,"&gt;=5/01/29",Account!$R$10:$R$5016,"&lt;=5/31/29")</f>
        <v/>
      </c>
      <c r="G8" s="105">
        <f>SUMIFS(Account!$U$10:$U$5016,Account!$R$10:$R$5016,"&gt;=5/01/30",Account!$R$10:$R$5016,"&lt;=5/31/30")</f>
        <v/>
      </c>
      <c r="H8" s="104">
        <f>SUMIFS(Account!$U$10:$U$5016,Account!$R$10:$R$5016,"&gt;=5/01/31",Account!$R$10:$R$5016,"&lt;=5/31/31")</f>
        <v/>
      </c>
      <c r="I8" s="105">
        <f>SUMIFS(Account!$U$10:$U$5016,Account!$R$10:$R$5016,"&gt;=5/01/32",Account!$R$10:$R$5016,"&lt;=5/31/32")</f>
        <v/>
      </c>
      <c r="J8" s="104">
        <f>SUMIFS(Account!$U$10:$U$5016,Account!$R$10:$R$5016,"&gt;=5/01/33",Account!$R$10:$R$5016,"&lt;=5/31/33")</f>
        <v/>
      </c>
    </row>
    <row r="9">
      <c r="A9" s="103" t="inlineStr">
        <is>
          <t>June</t>
        </is>
      </c>
      <c r="B9" s="104">
        <f>SUMIFS(Account!$U$10:$U$5016,Account!$R$10:$R$5016,"&gt;=6/01/25",Account!$R$10:$R$5016,"&lt;=6/33/25")</f>
        <v/>
      </c>
      <c r="C9" s="105">
        <f>SUMIFS(Account!$U$10:$U$5016,Account!$R$10:$R$5016,"&gt;=6/01/26",Account!$R$10:$R$5016,"&lt;=6/33/26")</f>
        <v/>
      </c>
      <c r="D9" s="104">
        <f>SUMIFS(Account!$U$10:$U$5016,Account!$R$10:$R$5016,"&gt;=6/01/27",Account!$R$10:$R$5016,"&lt;=6/33/27")</f>
        <v/>
      </c>
      <c r="E9" s="105">
        <f>SUMIFS(Account!$U$10:$U$5016,Account!$R$10:$R$5016,"&gt;=6/01/28",Account!$R$10:$R$5016,"&lt;=6/25/28")</f>
        <v/>
      </c>
      <c r="F9" s="104">
        <f>SUMIFS(Account!$U$10:$U$5016,Account!$R$10:$R$5016,"&gt;=6/01/29",Account!$R$10:$R$5016,"&lt;=6/33/29")</f>
        <v/>
      </c>
      <c r="G9" s="105">
        <f>SUMIFS(Account!$U$10:$U$5016,Account!$R$10:$R$5016,"&gt;=6/01/30",Account!$R$10:$R$5016,"&lt;=6/33/30")</f>
        <v/>
      </c>
      <c r="H9" s="104">
        <f>SUMIFS(Account!$U$10:$U$5016,Account!$R$10:$R$5016,"&gt;=6/01/31",Account!$R$10:$R$5016,"&lt;=6/33/31")</f>
        <v/>
      </c>
      <c r="I9" s="105">
        <f>SUMIFS(Account!$U$10:$U$5016,Account!$R$10:$R$5016,"&gt;=6/01/32",Account!$R$10:$R$5016,"&lt;=6/33/32")</f>
        <v/>
      </c>
      <c r="J9" s="104">
        <f>SUMIFS(Account!$U$10:$U$5016,Account!$R$10:$R$5016,"&gt;=6/01/33",Account!$R$10:$R$5016,"&lt;=6/33/33")</f>
        <v/>
      </c>
    </row>
    <row r="10">
      <c r="A10" s="103" t="inlineStr">
        <is>
          <t>July</t>
        </is>
      </c>
      <c r="B10" s="104">
        <f>SUMIFS(Account!$U$10:$U$5016,Account!$R$10:$R$5016,"&gt;=7/01/25",Account!$R$10:$R$5016,"&lt;=7/31/25")</f>
        <v/>
      </c>
      <c r="C10" s="105">
        <f>SUMIFS(Account!$U$10:$U$5016,Account!$R$10:$R$5016,"&gt;=7/01/26",Account!$R$10:$R$5016,"&lt;=7/31/26")</f>
        <v/>
      </c>
      <c r="D10" s="104">
        <f>SUMIFS(Account!$U$10:$U$5016,Account!$R$10:$R$5016,"&gt;=7/01/27",Account!$R$10:$R$5016,"&lt;=7/31/27")</f>
        <v/>
      </c>
      <c r="E10" s="105">
        <f>SUMIFS(Account!$U$10:$U$5016,Account!$R$10:$R$5016,"&gt;=7/01/28",Account!$R$10:$R$5016,"&lt;=7/31/28")</f>
        <v/>
      </c>
      <c r="F10" s="104">
        <f>SUMIFS(Account!$U$10:$U$5016,Account!$R$10:$R$5016,"&gt;=7/01/29",Account!$R$10:$R$5016,"&lt;=7/31/29")</f>
        <v/>
      </c>
      <c r="G10" s="105">
        <f>SUMIFS(Account!$U$10:$U$5016,Account!$R$10:$R$5016,"&gt;=7/01/30",Account!$R$10:$R$5016,"&lt;=7/31/30")</f>
        <v/>
      </c>
      <c r="H10" s="104">
        <f>SUMIFS(Account!$U$10:$U$5016,Account!$R$10:$R$5016,"&gt;=7/01/31",Account!$R$10:$R$5016,"&lt;=7/31/31")</f>
        <v/>
      </c>
      <c r="I10" s="105">
        <f>SUMIFS(Account!$U$10:$U$5016,Account!$R$10:$R$5016,"&gt;=7/01/32",Account!$R$10:$R$5016,"&lt;=7/31/32")</f>
        <v/>
      </c>
      <c r="J10" s="104">
        <f>SUMIFS(Account!$U$10:$U$5016,Account!$R$10:$R$5016,"&gt;=7/01/33",Account!$R$10:$R$5016,"&lt;=7/31/33")</f>
        <v/>
      </c>
    </row>
    <row r="11">
      <c r="A11" s="103" t="inlineStr">
        <is>
          <t>August</t>
        </is>
      </c>
      <c r="B11" s="104">
        <f>SUMIFS(Account!$U$10:$U$5016,Account!$R$10:$R$5016,"&gt;=8/01/25",Account!$R$10:$R$5016,"&lt;=8/31/25")</f>
        <v/>
      </c>
      <c r="C11" s="105">
        <f>SUMIFS(Account!$U$10:$U$5016,Account!$R$10:$R$5016,"&gt;=8/01/26",Account!$R$10:$R$5016,"&lt;=8/31/26")</f>
        <v/>
      </c>
      <c r="D11" s="104">
        <f>SUMIFS(Account!$U$10:$U$5016,Account!$R$10:$R$5016,"&gt;=8/01/27",Account!$R$10:$R$5016,"&lt;=8/31/27")</f>
        <v/>
      </c>
      <c r="E11" s="105">
        <f>SUMIFS(Account!$U$10:$U$5016,Account!$R$10:$R$5016,"&gt;=8/01/28",Account!$R$10:$R$5016,"&lt;=8/31/28")</f>
        <v/>
      </c>
      <c r="F11" s="104">
        <f>SUMIFS(Account!$U$10:$U$5016,Account!$R$10:$R$5016,"&gt;=8/01/29",Account!$R$10:$R$5016,"&lt;=8/31/29")</f>
        <v/>
      </c>
      <c r="G11" s="105">
        <f>SUMIFS(Account!$U$10:$U$5016,Account!$R$10:$R$5016,"&gt;=8/01/30",Account!$R$10:$R$5016,"&lt;=8/31/30")</f>
        <v/>
      </c>
      <c r="H11" s="104">
        <f>SUMIFS(Account!$U$10:$U$5016,Account!$R$10:$R$5016,"&gt;=8/01/31",Account!$R$10:$R$5016,"&lt;=8/31/31")</f>
        <v/>
      </c>
      <c r="I11" s="105">
        <f>SUMIFS(Account!$U$10:$U$5016,Account!$R$10:$R$5016,"&gt;=8/01/32",Account!$R$10:$R$5016,"&lt;=8/31/32")</f>
        <v/>
      </c>
      <c r="J11" s="104">
        <f>SUMIFS(Account!$U$10:$U$5016,Account!$R$10:$R$5016,"&gt;=8/01/33",Account!$R$10:$R$5016,"&lt;=8/31/33")</f>
        <v/>
      </c>
    </row>
    <row r="12">
      <c r="A12" s="103" t="inlineStr">
        <is>
          <t>September</t>
        </is>
      </c>
      <c r="B12" s="104">
        <f>SUMIFS(Account!$U$10:$U$5016,Account!$R$10:$R$5016,"&gt;=9/01/25",Account!$R$10:$R$5016,"&lt;=9/33/25")</f>
        <v/>
      </c>
      <c r="C12" s="105">
        <f>SUMIFS(Account!$U$10:$U$5016,Account!$R$10:$R$5016,"&gt;=9/01/26",Account!$R$10:$R$5016,"&lt;=9/33/26")</f>
        <v/>
      </c>
      <c r="D12" s="104">
        <f>SUMIFS(Account!$U$10:$U$5016,Account!$R$10:$R$5016,"&gt;=9/01/27",Account!$R$10:$R$5016,"&lt;=9/33/27")</f>
        <v/>
      </c>
      <c r="E12" s="105">
        <f>SUMIFS(Account!$U$10:$U$5016,Account!$R$10:$R$5016,"&gt;=9/01/28",Account!$R$10:$R$5016,"&lt;=9/31/28")</f>
        <v/>
      </c>
      <c r="F12" s="104">
        <f>SUMIFS(Account!$U$10:$U$5016,Account!$R$10:$R$5016,"&gt;=9/01/29",Account!$R$10:$R$5016,"&lt;=9/33/29")</f>
        <v/>
      </c>
      <c r="G12" s="105">
        <f>SUMIFS(Account!$U$10:$U$5016,Account!$R$10:$R$5016,"&gt;=9/01/30",Account!$R$10:$R$5016,"&lt;=9/33/30")</f>
        <v/>
      </c>
      <c r="H12" s="104">
        <f>SUMIFS(Account!$U$10:$U$5016,Account!$R$10:$R$5016,"&gt;=9/01/31",Account!$R$10:$R$5016,"&lt;=9/33/31")</f>
        <v/>
      </c>
      <c r="I12" s="105">
        <f>SUMIFS(Account!$U$10:$U$5016,Account!$R$10:$R$5016,"&gt;=9/01/32",Account!$R$10:$R$5016,"&lt;=9/33/32")</f>
        <v/>
      </c>
      <c r="J12" s="104">
        <f>SUMIFS(Account!$U$10:$U$5016,Account!$R$10:$R$5016,"&gt;=9/01/33",Account!$R$10:$R$5016,"&lt;=9/33/33")</f>
        <v/>
      </c>
    </row>
    <row r="13">
      <c r="A13" s="103" t="inlineStr">
        <is>
          <t>October</t>
        </is>
      </c>
      <c r="B13" s="104">
        <f>SUMIFS(Account!$U$10:$U$5016,Account!$R$10:$R$5016,"&gt;=10/01/25",Account!$R$10:$R$5016,"&lt;=10/31/25")</f>
        <v/>
      </c>
      <c r="C13" s="105">
        <f>SUMIFS(Account!$U$10:$U$5016,Account!$R$10:$R$5016,"&gt;=10/01/26",Account!$R$10:$R$5016,"&lt;=10/31/26")</f>
        <v/>
      </c>
      <c r="D13" s="104">
        <f>SUMIFS(Account!$U$10:$U$5016,Account!$R$10:$R$5016,"&gt;=10/01/27",Account!$R$10:$R$5016,"&lt;=10/31/27")</f>
        <v/>
      </c>
      <c r="E13" s="105">
        <f>SUMIFS(Account!$U$10:$U$5016,Account!$R$10:$R$5016,"&gt;=10/01/28",Account!$R$10:$R$5016,"&lt;=10/25/28")</f>
        <v/>
      </c>
      <c r="F13" s="104">
        <f>SUMIFS(Account!$U$10:$U$5016,Account!$R$10:$R$5016,"&gt;=10/01/29",Account!$R$10:$R$5016,"&lt;=10/31/29")</f>
        <v/>
      </c>
      <c r="G13" s="105">
        <f>SUMIFS(Account!$U$10:$U$5016,Account!$R$10:$R$5016,"&gt;=10/01/30",Account!$R$10:$R$5016,"&lt;=10/31/30")</f>
        <v/>
      </c>
      <c r="H13" s="104">
        <f>SUMIFS(Account!$U$10:$U$5016,Account!$R$10:$R$5016,"&gt;=10/01/31",Account!$R$10:$R$5016,"&lt;=10/31/31")</f>
        <v/>
      </c>
      <c r="I13" s="105">
        <f>SUMIFS(Account!$U$10:$U$5016,Account!$R$10:$R$5016,"&gt;=10/01/32",Account!$R$10:$R$5016,"&lt;=10/31/32")</f>
        <v/>
      </c>
      <c r="J13" s="104">
        <f>SUMIFS(Account!$U$10:$U$5016,Account!$R$10:$R$5016,"&gt;=10/01/33",Account!$R$10:$R$5016,"&lt;=10/31/33")</f>
        <v/>
      </c>
    </row>
    <row r="14">
      <c r="A14" s="103" t="inlineStr">
        <is>
          <t>November</t>
        </is>
      </c>
      <c r="B14" s="104">
        <f>SUMIFS(Account!$U$10:$U$5016,Account!$R$10:$R$5016,"&gt;=11/01/25",Account!$R$10:$R$5016,"&lt;=11/33/25")</f>
        <v/>
      </c>
      <c r="C14" s="105">
        <f>SUMIFS(Account!$U$10:$U$5016,Account!$R$10:$R$5016,"&gt;=11/01/26",Account!$R$10:$R$5016,"&lt;=11/33/26")</f>
        <v/>
      </c>
      <c r="D14" s="104">
        <f>SUMIFS(Account!$U$10:$U$5016,Account!$R$10:$R$5016,"&gt;=11/01/27",Account!$R$10:$R$5016,"&lt;=11/33/27")</f>
        <v/>
      </c>
      <c r="E14" s="105">
        <f>SUMIFS(Account!$U$10:$U$5016,Account!$R$10:$R$5016,"&gt;=11/01/28",Account!$R$10:$R$5016,"&lt;=11/31/28")</f>
        <v/>
      </c>
      <c r="F14" s="104">
        <f>SUMIFS(Account!$U$10:$U$5016,Account!$R$10:$R$5016,"&gt;=11/01/29",Account!$R$10:$R$5016,"&lt;=11/33/29")</f>
        <v/>
      </c>
      <c r="G14" s="105">
        <f>SUMIFS(Account!$U$10:$U$5016,Account!$R$10:$R$5016,"&gt;=11/01/30",Account!$R$10:$R$5016,"&lt;=11/33/30")</f>
        <v/>
      </c>
      <c r="H14" s="104">
        <f>SUMIFS(Account!$U$10:$U$5016,Account!$R$10:$R$5016,"&gt;=11/01/31",Account!$R$10:$R$5016,"&lt;=11/33/31")</f>
        <v/>
      </c>
      <c r="I14" s="105">
        <f>SUMIFS(Account!$U$10:$U$5016,Account!$R$10:$R$5016,"&gt;=11/01/32",Account!$R$10:$R$5016,"&lt;=11/33/32")</f>
        <v/>
      </c>
      <c r="J14" s="104">
        <f>SUMIFS(Account!$U$10:$U$5016,Account!$R$10:$R$5016,"&gt;=11/01/33",Account!$R$10:$R$5016,"&lt;=11/33/33")</f>
        <v/>
      </c>
    </row>
    <row r="15">
      <c r="A15" s="103" t="inlineStr">
        <is>
          <t>December</t>
        </is>
      </c>
      <c r="B15" s="104">
        <f>SUMIFS(Account!$U$10:$U$5016,Account!$R$10:$R$5016,"&gt;=12/01/25",Account!$R$10:$R$5016,"&lt;=12/31/25")</f>
        <v/>
      </c>
      <c r="C15" s="105">
        <f>SUMIFS(Account!$U$10:$U$5016,Account!$R$10:$R$5016,"&gt;=12/01/26",Account!$R$10:$R$5016,"&lt;=12/31/26")</f>
        <v/>
      </c>
      <c r="D15" s="104">
        <f>SUMIFS(Account!$U$10:$U$5016,Account!$R$10:$R$5016,"&gt;=12/01/27",Account!$R$10:$R$5016,"&lt;=12/31/27")</f>
        <v/>
      </c>
      <c r="E15" s="105">
        <f>SUMIFS(Account!$U$10:$U$5016,Account!$R$10:$R$5016,"&gt;=12/01/28",Account!$R$10:$R$5016,"&lt;=12/31/28")</f>
        <v/>
      </c>
      <c r="F15" s="104">
        <f>SUMIFS(Account!$U$10:$U$5016,Account!$R$10:$R$5016,"&gt;=12/01/29",Account!$R$10:$R$5016,"&lt;=12/31/29")</f>
        <v/>
      </c>
      <c r="G15" s="105">
        <f>SUMIFS(Account!$U$10:$U$5016,Account!$R$10:$R$5016,"&gt;=12/01/30",Account!$R$10:$R$5016,"&lt;=12/31/30")</f>
        <v/>
      </c>
      <c r="H15" s="104">
        <f>SUMIFS(Account!$U$10:$U$5016,Account!$R$10:$R$5016,"&gt;=12/01/31",Account!$R$10:$R$5016,"&lt;=12/31/31")</f>
        <v/>
      </c>
      <c r="I15" s="105">
        <f>SUMIFS(Account!$U$10:$U$5016,Account!$R$10:$R$5016,"&gt;=12/01/32",Account!$R$10:$R$5016,"&lt;=12/31/32")</f>
        <v/>
      </c>
      <c r="J15" s="104">
        <f>SUMIFS(Account!$U$10:$U$5016,Account!$R$10:$R$5016,"&gt;=12/01/33",Account!$R$10:$R$5016,"&lt;=12/31/33")</f>
        <v/>
      </c>
    </row>
    <row r="16">
      <c r="A16" s="103" t="inlineStr">
        <is>
          <t>Annual Total</t>
        </is>
      </c>
      <c r="B16" s="106">
        <f>SUM(B4:B15)</f>
        <v/>
      </c>
      <c r="C16" s="106">
        <f>SUM(C4:C15)</f>
        <v/>
      </c>
      <c r="D16" s="106">
        <f>SUM(D4:D15)</f>
        <v/>
      </c>
      <c r="E16" s="106">
        <f>SUM(E4:E15)</f>
        <v/>
      </c>
      <c r="F16" s="106">
        <f>SUM(F4:F15)</f>
        <v/>
      </c>
      <c r="G16" s="106">
        <f>SUM(G4:G15)</f>
        <v/>
      </c>
      <c r="H16" s="106">
        <f>SUM(H4:H15)</f>
        <v/>
      </c>
      <c r="I16" s="106">
        <f>SUM(I4:I15)</f>
        <v/>
      </c>
      <c r="J16" s="106">
        <f>SUM(J4:J15)</f>
        <v/>
      </c>
    </row>
    <row r="18">
      <c r="A18" s="107" t="inlineStr">
        <is>
          <t>Strategy</t>
        </is>
      </c>
      <c r="B18" s="108" t="inlineStr">
        <is>
          <t>Number</t>
        </is>
      </c>
    </row>
    <row r="19">
      <c r="A19" s="109" t="inlineStr">
        <is>
          <t>Stock</t>
        </is>
      </c>
      <c r="B19" s="110">
        <f>IF(COUNTIF(Account!$D$9:$D$5016,"Stock")=0,#N/A,COUNTIF(Account!$D$9:$D$5016,"Stock"))</f>
        <v/>
      </c>
    </row>
    <row r="20">
      <c r="A20" s="111" t="inlineStr">
        <is>
          <t>Call</t>
        </is>
      </c>
      <c r="B20" s="112">
        <f>IF(COUNTIF(Account!$D$9:$D$5016,"Call")=0,#N/A,COUNTIF(Account!$D$9:$D$5016,"Call"))</f>
        <v/>
      </c>
    </row>
    <row r="21" ht="15.75" customHeight="1" s="133">
      <c r="A21" s="111" t="inlineStr">
        <is>
          <t>Put</t>
        </is>
      </c>
      <c r="B21" s="112">
        <f>IF(COUNTIF(Account!$D$9:$D$5016,"Put")=0,#N/A,COUNTIF(Account!$D$9:$D$5016,"Put"))</f>
        <v/>
      </c>
    </row>
    <row r="22" ht="15.75" customHeight="1" s="133">
      <c r="A22" s="111" t="inlineStr">
        <is>
          <t>Buy Write</t>
        </is>
      </c>
      <c r="B22" s="112">
        <f>IF(COUNTIF(Account!$D$9:$D$5016,"Buy Write")=0,#N/A,COUNTIF(Account!$D$9:$D$5016,"Buy Write"))</f>
        <v/>
      </c>
    </row>
    <row r="23" ht="15.75" customHeight="1" s="133">
      <c r="A23" s="111" t="inlineStr">
        <is>
          <t>Call Spread</t>
        </is>
      </c>
      <c r="B23" s="112">
        <f>IF(COUNTIF(Account!$D$9:$D$5016,"Call Spread")=0,#N/A,COUNTIF(Account!$D$9:$D$5016,"Call Spread"))</f>
        <v/>
      </c>
    </row>
    <row r="24" ht="15.75" customHeight="1" s="133">
      <c r="A24" s="111" t="inlineStr">
        <is>
          <t>Put Spread</t>
        </is>
      </c>
      <c r="B24" s="112">
        <f>IF(COUNTIF(Account!$D$9:$D$5016,"Put Spread")=0,#N/A,COUNTIF(Account!$D$9:$D$5016,"Put Spread"))</f>
        <v/>
      </c>
    </row>
    <row r="25" ht="15.75" customHeight="1" s="133">
      <c r="A25" s="111" t="inlineStr">
        <is>
          <t>Iron Condor</t>
        </is>
      </c>
      <c r="B25" s="112">
        <f>IF(COUNTIF(Account!$D$9:$D$5016,"Iron Condor")=0,#N/A,COUNTIF(Account!$D$9:$D$5016,"Iron Condor"))</f>
        <v/>
      </c>
    </row>
    <row r="26" ht="15.75" customHeight="1" s="133">
      <c r="A26" s="111" t="inlineStr">
        <is>
          <t>Butterfly</t>
        </is>
      </c>
      <c r="B26" s="112">
        <f>IF(COUNTIF(Account!$D$9:$D$5016,"Butterfly")=0,#N/A,COUNTIF(Account!$D$9:$D$5016,"Butterfly"))</f>
        <v/>
      </c>
    </row>
    <row r="27" ht="15.75" customHeight="1" s="133">
      <c r="A27" s="111" t="inlineStr">
        <is>
          <t>Iron Fly</t>
        </is>
      </c>
      <c r="B27" s="112">
        <f>IF(COUNTIF(Account!$D$9:$D$5016,"Iron Fly")=0,#N/A,COUNTIF(Account!$D$9:$D$5016,"Iron Fly"))</f>
        <v/>
      </c>
    </row>
    <row r="28" ht="15.75" customHeight="1" s="133">
      <c r="A28" s="111" t="inlineStr">
        <is>
          <t>Straddle</t>
        </is>
      </c>
      <c r="B28" s="112">
        <f>IF(COUNTIF(Account!$D$9:$D$5016,"Straddle")=0,#N/A,COUNTIF(Account!$D$9:$D$5016,"Straddle"))</f>
        <v/>
      </c>
    </row>
    <row r="29" ht="15.75" customHeight="1" s="133">
      <c r="A29" s="113" t="inlineStr">
        <is>
          <t>Strangle</t>
        </is>
      </c>
      <c r="B29" s="114">
        <f>IF(COUNTIF(Account!$D$9:$D$5016,"Strangle")=0,#N/A,COUNTIF(Account!$D$9:$D$5016,"Strangle"))</f>
        <v/>
      </c>
    </row>
    <row r="30" ht="15.75" customHeight="1" s="133"/>
    <row r="31" ht="15.75" customHeight="1" s="133"/>
    <row r="32" ht="15.75" customHeight="1" s="133"/>
    <row r="33" ht="15.75" customHeight="1" s="133"/>
    <row r="34" ht="15.75" customHeight="1" s="133"/>
    <row r="35" ht="15.75" customHeight="1" s="133"/>
    <row r="36" ht="15.75" customHeight="1" s="133"/>
    <row r="37" ht="15.75" customHeight="1" s="133"/>
    <row r="38" ht="15.75" customHeight="1" s="133"/>
    <row r="39" ht="15.75" customHeight="1" s="133"/>
    <row r="40" ht="15.75" customHeight="1" s="133"/>
    <row r="41" ht="15.75" customHeight="1" s="133"/>
    <row r="42" ht="15.75" customHeight="1" s="133"/>
    <row r="43" ht="15.75" customHeight="1" s="133"/>
    <row r="44" ht="15.75" customHeight="1" s="133"/>
    <row r="45" ht="15.75" customHeight="1" s="133"/>
    <row r="46" ht="15.75" customHeight="1" s="133"/>
    <row r="47" ht="15.75" customHeight="1" s="133"/>
    <row r="48" ht="15.75" customHeight="1" s="133"/>
    <row r="49" ht="15.75" customHeight="1" s="133"/>
    <row r="50" ht="15.75" customHeight="1" s="133"/>
    <row r="51" ht="15.75" customHeight="1" s="133"/>
    <row r="52" ht="15.75" customHeight="1" s="133"/>
    <row r="53" ht="15.75" customHeight="1" s="133"/>
    <row r="54" ht="15.75" customHeight="1" s="133"/>
    <row r="55" ht="15.75" customHeight="1" s="133"/>
    <row r="56" ht="15.75" customHeight="1" s="133"/>
    <row r="57" ht="15.75" customHeight="1" s="133"/>
    <row r="58" ht="15.75" customHeight="1" s="133"/>
    <row r="59" ht="15.75" customHeight="1" s="133"/>
    <row r="60" ht="15.75" customHeight="1" s="133"/>
    <row r="61" ht="15.75" customHeight="1" s="133"/>
    <row r="62" ht="15.75" customHeight="1" s="133"/>
    <row r="63" ht="15.75" customHeight="1" s="133"/>
    <row r="64" ht="15.75" customHeight="1" s="133"/>
    <row r="65" ht="15.75" customHeight="1" s="133"/>
    <row r="66" ht="15.75" customHeight="1" s="133"/>
    <row r="67" ht="15.75" customHeight="1" s="133"/>
    <row r="68" ht="15.75" customHeight="1" s="133"/>
    <row r="69" ht="15.75" customHeight="1" s="133"/>
    <row r="70" ht="15.75" customHeight="1" s="133"/>
    <row r="71" ht="15.75" customHeight="1" s="133"/>
    <row r="72" ht="15.75" customHeight="1" s="133"/>
    <row r="73" ht="15.75" customHeight="1" s="133"/>
    <row r="74" ht="15.75" customHeight="1" s="133"/>
    <row r="75" ht="15.75" customHeight="1" s="133"/>
    <row r="76" ht="15.75" customHeight="1" s="133"/>
    <row r="77" ht="15.75" customHeight="1" s="133"/>
    <row r="78" ht="15.75" customHeight="1" s="133"/>
    <row r="79" ht="15.75" customHeight="1" s="133"/>
    <row r="80" ht="15.75" customHeight="1" s="133"/>
    <row r="81" ht="15.75" customHeight="1" s="133"/>
    <row r="82" ht="15.75" customHeight="1" s="133"/>
    <row r="83" ht="15.75" customHeight="1" s="133"/>
    <row r="84" ht="15.75" customHeight="1" s="133"/>
    <row r="85" ht="15.75" customHeight="1" s="133"/>
    <row r="86" ht="15.75" customHeight="1" s="133"/>
    <row r="87" ht="15.75" customHeight="1" s="133"/>
    <row r="88" ht="15.75" customHeight="1" s="133"/>
    <row r="89" ht="15.75" customHeight="1" s="133"/>
    <row r="90" ht="15.75" customHeight="1" s="133"/>
    <row r="91" ht="15.75" customHeight="1" s="133"/>
    <row r="92" ht="15.75" customHeight="1" s="133"/>
    <row r="93" ht="15.75" customHeight="1" s="133"/>
    <row r="94" ht="15.75" customHeight="1" s="133"/>
    <row r="95" ht="15.75" customHeight="1" s="133"/>
    <row r="96" ht="15.75" customHeight="1" s="133"/>
    <row r="97" ht="15.75" customHeight="1" s="133"/>
    <row r="98" ht="15.75" customHeight="1" s="133"/>
    <row r="99" ht="15.75" customHeight="1" s="133"/>
    <row r="100" ht="15.75" customHeight="1" s="133"/>
    <row r="101" ht="15.75" customHeight="1" s="133"/>
    <row r="102" ht="15.75" customHeight="1" s="133"/>
    <row r="103" ht="15.75" customHeight="1" s="133"/>
    <row r="104" ht="15.75" customHeight="1" s="133"/>
    <row r="105" ht="15.75" customHeight="1" s="133"/>
    <row r="106" ht="15.75" customHeight="1" s="133"/>
    <row r="107" ht="15.75" customHeight="1" s="133"/>
    <row r="108" ht="15.75" customHeight="1" s="133"/>
    <row r="109" ht="15.75" customHeight="1" s="133"/>
    <row r="110" ht="15.75" customHeight="1" s="133"/>
    <row r="111" ht="15.75" customHeight="1" s="133"/>
    <row r="112" ht="15.75" customHeight="1" s="133"/>
    <row r="113" ht="15.75" customHeight="1" s="133"/>
    <row r="114" ht="15.75" customHeight="1" s="133"/>
    <row r="115" ht="15.75" customHeight="1" s="133"/>
    <row r="116" ht="15.75" customHeight="1" s="133"/>
    <row r="117" ht="15.75" customHeight="1" s="133"/>
    <row r="118" ht="15.75" customHeight="1" s="133"/>
    <row r="119" ht="15.75" customHeight="1" s="133"/>
    <row r="120" ht="15.75" customHeight="1" s="133"/>
    <row r="121" ht="15.75" customHeight="1" s="133"/>
    <row r="122" ht="15.75" customHeight="1" s="133"/>
    <row r="123" ht="15.75" customHeight="1" s="133"/>
    <row r="124" ht="15.75" customHeight="1" s="133"/>
    <row r="125" ht="15.75" customHeight="1" s="133"/>
    <row r="126" ht="15.75" customHeight="1" s="133"/>
    <row r="127" ht="15.75" customHeight="1" s="133"/>
    <row r="128" ht="15.75" customHeight="1" s="133"/>
    <row r="129" ht="15.75" customHeight="1" s="133"/>
    <row r="130" ht="15.75" customHeight="1" s="133"/>
    <row r="131" ht="15.75" customHeight="1" s="133"/>
    <row r="132" ht="15.75" customHeight="1" s="133"/>
    <row r="133" ht="15.75" customHeight="1" s="133"/>
    <row r="134" ht="15.75" customHeight="1" s="133"/>
    <row r="135" ht="15.75" customHeight="1" s="133"/>
    <row r="136" ht="15.75" customHeight="1" s="133"/>
    <row r="137" ht="15.75" customHeight="1" s="133"/>
    <row r="138" ht="15.75" customHeight="1" s="133"/>
    <row r="139" ht="15.75" customHeight="1" s="133"/>
    <row r="140" ht="15.75" customHeight="1" s="133"/>
    <row r="141" ht="15.75" customHeight="1" s="133"/>
    <row r="142" ht="15.75" customHeight="1" s="133"/>
    <row r="143" ht="15.75" customHeight="1" s="133"/>
    <row r="144" ht="15.75" customHeight="1" s="133"/>
    <row r="145" ht="15.75" customHeight="1" s="133"/>
    <row r="146" ht="15.75" customHeight="1" s="133"/>
    <row r="147" ht="15.75" customHeight="1" s="133"/>
    <row r="148" ht="15.75" customHeight="1" s="133"/>
    <row r="149" ht="15.75" customHeight="1" s="133"/>
    <row r="150" ht="15.75" customHeight="1" s="133"/>
    <row r="151" ht="15.75" customHeight="1" s="133"/>
    <row r="152" ht="15.75" customHeight="1" s="133"/>
    <row r="153" ht="15.75" customHeight="1" s="133"/>
    <row r="154" ht="15.75" customHeight="1" s="133"/>
    <row r="155" ht="15.75" customHeight="1" s="133"/>
    <row r="156" ht="15.75" customHeight="1" s="133"/>
    <row r="157" ht="15.75" customHeight="1" s="133"/>
    <row r="158" ht="15.75" customHeight="1" s="133"/>
    <row r="159" ht="15.75" customHeight="1" s="133"/>
    <row r="160" ht="15.75" customHeight="1" s="133"/>
    <row r="161" ht="15.75" customHeight="1" s="133"/>
    <row r="162" ht="15.75" customHeight="1" s="133"/>
    <row r="163" ht="15.75" customHeight="1" s="133"/>
    <row r="164" ht="15.75" customHeight="1" s="133"/>
    <row r="165" ht="15.75" customHeight="1" s="133"/>
    <row r="166" ht="15.75" customHeight="1" s="133"/>
    <row r="167" ht="15.75" customHeight="1" s="133"/>
    <row r="168" ht="15.75" customHeight="1" s="133"/>
    <row r="169" ht="15.75" customHeight="1" s="133"/>
    <row r="170" ht="15.75" customHeight="1" s="133"/>
    <row r="171" ht="15.75" customHeight="1" s="133"/>
    <row r="172" ht="15.75" customHeight="1" s="133"/>
    <row r="173" ht="15.75" customHeight="1" s="133"/>
    <row r="174" ht="15.75" customHeight="1" s="133"/>
    <row r="175" ht="15.75" customHeight="1" s="133"/>
    <row r="176" ht="15.75" customHeight="1" s="133"/>
    <row r="177" ht="15.75" customHeight="1" s="133"/>
    <row r="178" ht="15.75" customHeight="1" s="133"/>
    <row r="179" ht="15.75" customHeight="1" s="133"/>
    <row r="180" ht="15.75" customHeight="1" s="133"/>
    <row r="181" ht="15.75" customHeight="1" s="133"/>
    <row r="182" ht="15.75" customHeight="1" s="133"/>
    <row r="183" ht="15.75" customHeight="1" s="133"/>
    <row r="184" ht="15.75" customHeight="1" s="133"/>
    <row r="185" ht="15.75" customHeight="1" s="133"/>
    <row r="186" ht="15.75" customHeight="1" s="133"/>
    <row r="187" ht="15.75" customHeight="1" s="133"/>
    <row r="188" ht="15.75" customHeight="1" s="133"/>
    <row r="189" ht="15.75" customHeight="1" s="133"/>
    <row r="190" ht="15.75" customHeight="1" s="133"/>
    <row r="191" ht="15.75" customHeight="1" s="133"/>
    <row r="192" ht="15.75" customHeight="1" s="133"/>
    <row r="193" ht="15.75" customHeight="1" s="133"/>
    <row r="194" ht="15.75" customHeight="1" s="133"/>
    <row r="195" ht="15.75" customHeight="1" s="133"/>
    <row r="196" ht="15.75" customHeight="1" s="133"/>
    <row r="197" ht="15.75" customHeight="1" s="133"/>
    <row r="198" ht="15.75" customHeight="1" s="133"/>
    <row r="199" ht="15.75" customHeight="1" s="133"/>
    <row r="200" ht="15.75" customHeight="1" s="133"/>
    <row r="201" ht="15.75" customHeight="1" s="133"/>
    <row r="202" ht="15.75" customHeight="1" s="133"/>
    <row r="203" ht="15.75" customHeight="1" s="133"/>
    <row r="204" ht="15.75" customHeight="1" s="133"/>
    <row r="205" ht="15.75" customHeight="1" s="133"/>
    <row r="206" ht="15.75" customHeight="1" s="133"/>
    <row r="207" ht="15.75" customHeight="1" s="133"/>
    <row r="208" ht="15.75" customHeight="1" s="133"/>
    <row r="209" ht="15.75" customHeight="1" s="133"/>
    <row r="210" ht="15.75" customHeight="1" s="133"/>
    <row r="211" ht="15.75" customHeight="1" s="133"/>
    <row r="212" ht="15.75" customHeight="1" s="133"/>
    <row r="213" ht="15.75" customHeight="1" s="133"/>
    <row r="214" ht="15.75" customHeight="1" s="133"/>
    <row r="215" ht="15.75" customHeight="1" s="133"/>
    <row r="216" ht="15.75" customHeight="1" s="133"/>
    <row r="217" ht="15.75" customHeight="1" s="133"/>
    <row r="218" ht="15.75" customHeight="1" s="133"/>
    <row r="219" ht="15.75" customHeight="1" s="133"/>
    <row r="220" ht="15.75" customHeight="1" s="133"/>
    <row r="221" ht="15.75" customHeight="1" s="133"/>
    <row r="222" ht="15.75" customHeight="1" s="133"/>
    <row r="223" ht="15.75" customHeight="1" s="133"/>
    <row r="224" ht="15.75" customHeight="1" s="133"/>
    <row r="225" ht="15.75" customHeight="1" s="133"/>
    <row r="226" ht="15.75" customHeight="1" s="133"/>
    <row r="227" ht="15.75" customHeight="1" s="133"/>
    <row r="228" ht="15.75" customHeight="1" s="133"/>
    <row r="229" ht="15.75" customHeight="1" s="133"/>
    <row r="230" ht="15.75" customHeight="1" s="133"/>
    <row r="231" ht="15.75" customHeight="1" s="133"/>
    <row r="232" ht="15.75" customHeight="1" s="133"/>
    <row r="233" ht="15.75" customHeight="1" s="133"/>
    <row r="234" ht="15.75" customHeight="1" s="133"/>
    <row r="235" ht="15.75" customHeight="1" s="133"/>
    <row r="236" ht="15.75" customHeight="1" s="133"/>
    <row r="237" ht="15.75" customHeight="1" s="133"/>
    <row r="238" ht="15.75" customHeight="1" s="133"/>
    <row r="239" ht="15.75" customHeight="1" s="133"/>
    <row r="240" ht="15.75" customHeight="1" s="133"/>
    <row r="241" ht="15.75" customHeight="1" s="133"/>
    <row r="242" ht="15.75" customHeight="1" s="133"/>
    <row r="243" ht="15.75" customHeight="1" s="133"/>
    <row r="244" ht="15.75" customHeight="1" s="133"/>
    <row r="245" ht="15.75" customHeight="1" s="133"/>
    <row r="246" ht="15.75" customHeight="1" s="133"/>
    <row r="247" ht="15.75" customHeight="1" s="133"/>
    <row r="248" ht="15.75" customHeight="1" s="133"/>
    <row r="249" ht="15.75" customHeight="1" s="133"/>
    <row r="250" ht="15.75" customHeight="1" s="133"/>
    <row r="251" ht="15.75" customHeight="1" s="133"/>
    <row r="252" ht="15.75" customHeight="1" s="133"/>
    <row r="253" ht="15.75" customHeight="1" s="133"/>
    <row r="254" ht="15.75" customHeight="1" s="133"/>
    <row r="255" ht="15.75" customHeight="1" s="133"/>
    <row r="256" ht="15.75" customHeight="1" s="133"/>
    <row r="257" ht="15.75" customHeight="1" s="133"/>
    <row r="258" ht="15.75" customHeight="1" s="133"/>
    <row r="259" ht="15.75" customHeight="1" s="133"/>
    <row r="260" ht="15.75" customHeight="1" s="133"/>
    <row r="261" ht="15.75" customHeight="1" s="133"/>
    <row r="262" ht="15.75" customHeight="1" s="133"/>
    <row r="263" ht="15.75" customHeight="1" s="133"/>
    <row r="264" ht="15.75" customHeight="1" s="133"/>
    <row r="265" ht="15.75" customHeight="1" s="133"/>
    <row r="266" ht="15.75" customHeight="1" s="133"/>
    <row r="267" ht="15.75" customHeight="1" s="133"/>
    <row r="268" ht="15.75" customHeight="1" s="133"/>
    <row r="269" ht="15.75" customHeight="1" s="133"/>
    <row r="270" ht="15.75" customHeight="1" s="133"/>
    <row r="271" ht="15.75" customHeight="1" s="133"/>
    <row r="272" ht="15.75" customHeight="1" s="133"/>
    <row r="273" ht="15.75" customHeight="1" s="133"/>
    <row r="274" ht="15.75" customHeight="1" s="133"/>
    <row r="275" ht="15.75" customHeight="1" s="133"/>
    <row r="276" ht="15.75" customHeight="1" s="133"/>
    <row r="277" ht="15.75" customHeight="1" s="133"/>
    <row r="278" ht="15.75" customHeight="1" s="133"/>
    <row r="279" ht="15.75" customHeight="1" s="133"/>
    <row r="280" ht="15.75" customHeight="1" s="133"/>
    <row r="281" ht="15.75" customHeight="1" s="133"/>
    <row r="282" ht="15.75" customHeight="1" s="133"/>
    <row r="283" ht="15.75" customHeight="1" s="133"/>
    <row r="284" ht="15.75" customHeight="1" s="133"/>
    <row r="285" ht="15.75" customHeight="1" s="133"/>
    <row r="286" ht="15.75" customHeight="1" s="133"/>
    <row r="287" ht="15.75" customHeight="1" s="133"/>
    <row r="288" ht="15.75" customHeight="1" s="133"/>
    <row r="289" ht="15.75" customHeight="1" s="133"/>
    <row r="290" ht="15.75" customHeight="1" s="133"/>
    <row r="291" ht="15.75" customHeight="1" s="133"/>
    <row r="292" ht="15.75" customHeight="1" s="133"/>
    <row r="293" ht="15.75" customHeight="1" s="133"/>
    <row r="294" ht="15.75" customHeight="1" s="133"/>
    <row r="295" ht="15.75" customHeight="1" s="133"/>
    <row r="296" ht="15.75" customHeight="1" s="133"/>
    <row r="297" ht="15.75" customHeight="1" s="133"/>
    <row r="298" ht="15.75" customHeight="1" s="133"/>
    <row r="299" ht="15.75" customHeight="1" s="133"/>
    <row r="300" ht="15.75" customHeight="1" s="133"/>
    <row r="301" ht="15.75" customHeight="1" s="133"/>
    <row r="302" ht="15.75" customHeight="1" s="133"/>
    <row r="303" ht="15.75" customHeight="1" s="133"/>
    <row r="304" ht="15.75" customHeight="1" s="133"/>
    <row r="305" ht="15.75" customHeight="1" s="133"/>
    <row r="306" ht="15.75" customHeight="1" s="133"/>
    <row r="307" ht="15.75" customHeight="1" s="133"/>
    <row r="308" ht="15.75" customHeight="1" s="133"/>
    <row r="309" ht="15.75" customHeight="1" s="133"/>
    <row r="310" ht="15.75" customHeight="1" s="133"/>
    <row r="311" ht="15.75" customHeight="1" s="133"/>
    <row r="312" ht="15.75" customHeight="1" s="133"/>
    <row r="313" ht="15.75" customHeight="1" s="133"/>
    <row r="314" ht="15.75" customHeight="1" s="133"/>
    <row r="315" ht="15.75" customHeight="1" s="133"/>
    <row r="316" ht="15.75" customHeight="1" s="133"/>
    <row r="317" ht="15.75" customHeight="1" s="133"/>
    <row r="318" ht="15.75" customHeight="1" s="133"/>
    <row r="319" ht="15.75" customHeight="1" s="133"/>
    <row r="320" ht="15.75" customHeight="1" s="133"/>
    <row r="321" ht="15.75" customHeight="1" s="133"/>
    <row r="322" ht="15.75" customHeight="1" s="133"/>
    <row r="323" ht="15.75" customHeight="1" s="133"/>
    <row r="324" ht="15.75" customHeight="1" s="133"/>
    <row r="325" ht="15.75" customHeight="1" s="133"/>
    <row r="326" ht="15.75" customHeight="1" s="133"/>
    <row r="327" ht="15.75" customHeight="1" s="133"/>
    <row r="328" ht="15.75" customHeight="1" s="133"/>
    <row r="329" ht="15.75" customHeight="1" s="133"/>
    <row r="330" ht="15.75" customHeight="1" s="133"/>
    <row r="331" ht="15.75" customHeight="1" s="133"/>
    <row r="332" ht="15.75" customHeight="1" s="133"/>
    <row r="333" ht="15.75" customHeight="1" s="133"/>
    <row r="334" ht="15.75" customHeight="1" s="133"/>
    <row r="335" ht="15.75" customHeight="1" s="133"/>
    <row r="336" ht="15.75" customHeight="1" s="133"/>
    <row r="337" ht="15.75" customHeight="1" s="133"/>
    <row r="338" ht="15.75" customHeight="1" s="133"/>
    <row r="339" ht="15.75" customHeight="1" s="133"/>
    <row r="340" ht="15.75" customHeight="1" s="133"/>
    <row r="341" ht="15.75" customHeight="1" s="133"/>
    <row r="342" ht="15.75" customHeight="1" s="133"/>
    <row r="343" ht="15.75" customHeight="1" s="133"/>
    <row r="344" ht="15.75" customHeight="1" s="133"/>
    <row r="345" ht="15.75" customHeight="1" s="133"/>
    <row r="346" ht="15.75" customHeight="1" s="133"/>
    <row r="347" ht="15.75" customHeight="1" s="133"/>
    <row r="348" ht="15.75" customHeight="1" s="133"/>
    <row r="349" ht="15.75" customHeight="1" s="133"/>
    <row r="350" ht="15.75" customHeight="1" s="133"/>
    <row r="351" ht="15.75" customHeight="1" s="133"/>
    <row r="352" ht="15.75" customHeight="1" s="133"/>
    <row r="353" ht="15.75" customHeight="1" s="133"/>
    <row r="354" ht="15.75" customHeight="1" s="133"/>
    <row r="355" ht="15.75" customHeight="1" s="133"/>
    <row r="356" ht="15.75" customHeight="1" s="133"/>
    <row r="357" ht="15.75" customHeight="1" s="133"/>
    <row r="358" ht="15.75" customHeight="1" s="133"/>
    <row r="359" ht="15.75" customHeight="1" s="133"/>
    <row r="360" ht="15.75" customHeight="1" s="133"/>
    <row r="361" ht="15.75" customHeight="1" s="133"/>
    <row r="362" ht="15.75" customHeight="1" s="133"/>
    <row r="363" ht="15.75" customHeight="1" s="133"/>
    <row r="364" ht="15.75" customHeight="1" s="133"/>
    <row r="365" ht="15.75" customHeight="1" s="133"/>
    <row r="366" ht="15.75" customHeight="1" s="133"/>
    <row r="367" ht="15.75" customHeight="1" s="133"/>
    <row r="368" ht="15.75" customHeight="1" s="133"/>
    <row r="369" ht="15.75" customHeight="1" s="133"/>
    <row r="370" ht="15.75" customHeight="1" s="133"/>
    <row r="371" ht="15.75" customHeight="1" s="133"/>
    <row r="372" ht="15.75" customHeight="1" s="133"/>
    <row r="373" ht="15.75" customHeight="1" s="133"/>
    <row r="374" ht="15.75" customHeight="1" s="133"/>
    <row r="375" ht="15.75" customHeight="1" s="133"/>
    <row r="376" ht="15.75" customHeight="1" s="133"/>
    <row r="377" ht="15.75" customHeight="1" s="133"/>
    <row r="378" ht="15.75" customHeight="1" s="133"/>
    <row r="379" ht="15.75" customHeight="1" s="133"/>
    <row r="380" ht="15.75" customHeight="1" s="133"/>
    <row r="381" ht="15.75" customHeight="1" s="133"/>
    <row r="382" ht="15.75" customHeight="1" s="133"/>
    <row r="383" ht="15.75" customHeight="1" s="133"/>
    <row r="384" ht="15.75" customHeight="1" s="133"/>
    <row r="385" ht="15.75" customHeight="1" s="133"/>
    <row r="386" ht="15.75" customHeight="1" s="133"/>
    <row r="387" ht="15.75" customHeight="1" s="133"/>
    <row r="388" ht="15.75" customHeight="1" s="133"/>
    <row r="389" ht="15.75" customHeight="1" s="133"/>
    <row r="390" ht="15.75" customHeight="1" s="133"/>
    <row r="391" ht="15.75" customHeight="1" s="133"/>
    <row r="392" ht="15.75" customHeight="1" s="133"/>
    <row r="393" ht="15.75" customHeight="1" s="133"/>
    <row r="394" ht="15.75" customHeight="1" s="133"/>
    <row r="395" ht="15.75" customHeight="1" s="133"/>
    <row r="396" ht="15.75" customHeight="1" s="133"/>
    <row r="397" ht="15.75" customHeight="1" s="133"/>
    <row r="398" ht="15.75" customHeight="1" s="133"/>
    <row r="399" ht="15.75" customHeight="1" s="133"/>
    <row r="400" ht="15.75" customHeight="1" s="133"/>
    <row r="401" ht="15.75" customHeight="1" s="133"/>
    <row r="402" ht="15.75" customHeight="1" s="133"/>
    <row r="403" ht="15.75" customHeight="1" s="133"/>
    <row r="404" ht="15.75" customHeight="1" s="133"/>
    <row r="405" ht="15.75" customHeight="1" s="133"/>
    <row r="406" ht="15.75" customHeight="1" s="133"/>
    <row r="407" ht="15.75" customHeight="1" s="133"/>
    <row r="408" ht="15.75" customHeight="1" s="133"/>
    <row r="409" ht="15.75" customHeight="1" s="133"/>
    <row r="410" ht="15.75" customHeight="1" s="133"/>
    <row r="411" ht="15.75" customHeight="1" s="133"/>
    <row r="412" ht="15.75" customHeight="1" s="133"/>
    <row r="413" ht="15.75" customHeight="1" s="133"/>
    <row r="414" ht="15.75" customHeight="1" s="133"/>
    <row r="415" ht="15.75" customHeight="1" s="133"/>
    <row r="416" ht="15.75" customHeight="1" s="133"/>
    <row r="417" ht="15.75" customHeight="1" s="133"/>
    <row r="418" ht="15.75" customHeight="1" s="133"/>
    <row r="419" ht="15.75" customHeight="1" s="133"/>
    <row r="420" ht="15.75" customHeight="1" s="133"/>
    <row r="421" ht="15.75" customHeight="1" s="133"/>
    <row r="422" ht="15.75" customHeight="1" s="133"/>
    <row r="423" ht="15.75" customHeight="1" s="133"/>
    <row r="424" ht="15.75" customHeight="1" s="133"/>
    <row r="425" ht="15.75" customHeight="1" s="133"/>
    <row r="426" ht="15.75" customHeight="1" s="133"/>
    <row r="427" ht="15.75" customHeight="1" s="133"/>
    <row r="428" ht="15.75" customHeight="1" s="133"/>
    <row r="429" ht="15.75" customHeight="1" s="133"/>
    <row r="430" ht="15.75" customHeight="1" s="133"/>
    <row r="431" ht="15.75" customHeight="1" s="133"/>
    <row r="432" ht="15.75" customHeight="1" s="133"/>
    <row r="433" ht="15.75" customHeight="1" s="133"/>
    <row r="434" ht="15.75" customHeight="1" s="133"/>
    <row r="435" ht="15.75" customHeight="1" s="133"/>
    <row r="436" ht="15.75" customHeight="1" s="133"/>
    <row r="437" ht="15.75" customHeight="1" s="133"/>
    <row r="438" ht="15.75" customHeight="1" s="133"/>
    <row r="439" ht="15.75" customHeight="1" s="133"/>
    <row r="440" ht="15.75" customHeight="1" s="133"/>
    <row r="441" ht="15.75" customHeight="1" s="133"/>
    <row r="442" ht="15.75" customHeight="1" s="133"/>
    <row r="443" ht="15.75" customHeight="1" s="133"/>
    <row r="444" ht="15.75" customHeight="1" s="133"/>
    <row r="445" ht="15.75" customHeight="1" s="133"/>
    <row r="446" ht="15.75" customHeight="1" s="133"/>
    <row r="447" ht="15.75" customHeight="1" s="133"/>
    <row r="448" ht="15.75" customHeight="1" s="133"/>
    <row r="449" ht="15.75" customHeight="1" s="133"/>
    <row r="450" ht="15.75" customHeight="1" s="133"/>
    <row r="451" ht="15.75" customHeight="1" s="133"/>
    <row r="452" ht="15.75" customHeight="1" s="133"/>
    <row r="453" ht="15.75" customHeight="1" s="133"/>
    <row r="454" ht="15.75" customHeight="1" s="133"/>
    <row r="455" ht="15.75" customHeight="1" s="133"/>
    <row r="456" ht="15.75" customHeight="1" s="133"/>
    <row r="457" ht="15.75" customHeight="1" s="133"/>
    <row r="458" ht="15.75" customHeight="1" s="133"/>
    <row r="459" ht="15.75" customHeight="1" s="133"/>
    <row r="460" ht="15.75" customHeight="1" s="133"/>
    <row r="461" ht="15.75" customHeight="1" s="133"/>
    <row r="462" ht="15.75" customHeight="1" s="133"/>
    <row r="463" ht="15.75" customHeight="1" s="133"/>
    <row r="464" ht="15.75" customHeight="1" s="133"/>
    <row r="465" ht="15.75" customHeight="1" s="133"/>
    <row r="466" ht="15.75" customHeight="1" s="133"/>
    <row r="467" ht="15.75" customHeight="1" s="133"/>
    <row r="468" ht="15.75" customHeight="1" s="133"/>
    <row r="469" ht="15.75" customHeight="1" s="133"/>
    <row r="470" ht="15.75" customHeight="1" s="133"/>
    <row r="471" ht="15.75" customHeight="1" s="133"/>
    <row r="472" ht="15.75" customHeight="1" s="133"/>
    <row r="473" ht="15.75" customHeight="1" s="133"/>
    <row r="474" ht="15.75" customHeight="1" s="133"/>
    <row r="475" ht="15.75" customHeight="1" s="133"/>
    <row r="476" ht="15.75" customHeight="1" s="133"/>
    <row r="477" ht="15.75" customHeight="1" s="133"/>
    <row r="478" ht="15.75" customHeight="1" s="133"/>
    <row r="479" ht="15.75" customHeight="1" s="133"/>
    <row r="480" ht="15.75" customHeight="1" s="133"/>
    <row r="481" ht="15.75" customHeight="1" s="133"/>
    <row r="482" ht="15.75" customHeight="1" s="133"/>
    <row r="483" ht="15.75" customHeight="1" s="133"/>
    <row r="484" ht="15.75" customHeight="1" s="133"/>
    <row r="485" ht="15.75" customHeight="1" s="133"/>
    <row r="486" ht="15.75" customHeight="1" s="133"/>
    <row r="487" ht="15.75" customHeight="1" s="133"/>
    <row r="488" ht="15.75" customHeight="1" s="133"/>
    <row r="489" ht="15.75" customHeight="1" s="133"/>
    <row r="490" ht="15.75" customHeight="1" s="133"/>
    <row r="491" ht="15.75" customHeight="1" s="133"/>
    <row r="492" ht="15.75" customHeight="1" s="133"/>
    <row r="493" ht="15.75" customHeight="1" s="133"/>
    <row r="494" ht="15.75" customHeight="1" s="133"/>
    <row r="495" ht="15.75" customHeight="1" s="133"/>
    <row r="496" ht="15.75" customHeight="1" s="133"/>
    <row r="497" ht="15.75" customHeight="1" s="133"/>
    <row r="498" ht="15.75" customHeight="1" s="133"/>
    <row r="499" ht="15.75" customHeight="1" s="133"/>
    <row r="500" ht="15.75" customHeight="1" s="133"/>
    <row r="501" ht="15.75" customHeight="1" s="133"/>
    <row r="502" ht="15.75" customHeight="1" s="133"/>
    <row r="503" ht="15.75" customHeight="1" s="133"/>
    <row r="504" ht="15.75" customHeight="1" s="133"/>
    <row r="505" ht="15.75" customHeight="1" s="133"/>
    <row r="506" ht="15.75" customHeight="1" s="133"/>
    <row r="507" ht="15.75" customHeight="1" s="133"/>
    <row r="508" ht="15.75" customHeight="1" s="133"/>
    <row r="509" ht="15.75" customHeight="1" s="133"/>
    <row r="510" ht="15.75" customHeight="1" s="133"/>
    <row r="511" ht="15.75" customHeight="1" s="133"/>
    <row r="512" ht="15.75" customHeight="1" s="133"/>
    <row r="513" ht="15.75" customHeight="1" s="133"/>
    <row r="514" ht="15.75" customHeight="1" s="133"/>
    <row r="515" ht="15.75" customHeight="1" s="133"/>
    <row r="516" ht="15.75" customHeight="1" s="133"/>
    <row r="517" ht="15.75" customHeight="1" s="133"/>
    <row r="518" ht="15.75" customHeight="1" s="133"/>
    <row r="519" ht="15.75" customHeight="1" s="133"/>
    <row r="520" ht="15.75" customHeight="1" s="133"/>
    <row r="521" ht="15.75" customHeight="1" s="133"/>
    <row r="522" ht="15.75" customHeight="1" s="133"/>
    <row r="523" ht="15.75" customHeight="1" s="133"/>
    <row r="524" ht="15.75" customHeight="1" s="133"/>
    <row r="525" ht="15.75" customHeight="1" s="133"/>
    <row r="526" ht="15.75" customHeight="1" s="133"/>
    <row r="527" ht="15.75" customHeight="1" s="133"/>
    <row r="528" ht="15.75" customHeight="1" s="133"/>
    <row r="529" ht="15.75" customHeight="1" s="133"/>
    <row r="530" ht="15.75" customHeight="1" s="133"/>
    <row r="531" ht="15.75" customHeight="1" s="133"/>
    <row r="532" ht="15.75" customHeight="1" s="133"/>
    <row r="533" ht="15.75" customHeight="1" s="133"/>
    <row r="534" ht="15.75" customHeight="1" s="133"/>
    <row r="535" ht="15.75" customHeight="1" s="133"/>
    <row r="536" ht="15.75" customHeight="1" s="133"/>
    <row r="537" ht="15.75" customHeight="1" s="133"/>
    <row r="538" ht="15.75" customHeight="1" s="133"/>
    <row r="539" ht="15.75" customHeight="1" s="133"/>
    <row r="540" ht="15.75" customHeight="1" s="133"/>
    <row r="541" ht="15.75" customHeight="1" s="133"/>
    <row r="542" ht="15.75" customHeight="1" s="133"/>
    <row r="543" ht="15.75" customHeight="1" s="133"/>
    <row r="544" ht="15.75" customHeight="1" s="133"/>
    <row r="545" ht="15.75" customHeight="1" s="133"/>
    <row r="546" ht="15.75" customHeight="1" s="133"/>
    <row r="547" ht="15.75" customHeight="1" s="133"/>
    <row r="548" ht="15.75" customHeight="1" s="133"/>
    <row r="549" ht="15.75" customHeight="1" s="133"/>
    <row r="550" ht="15.75" customHeight="1" s="133"/>
    <row r="551" ht="15.75" customHeight="1" s="133"/>
    <row r="552" ht="15.75" customHeight="1" s="133"/>
    <row r="553" ht="15.75" customHeight="1" s="133"/>
    <row r="554" ht="15.75" customHeight="1" s="133"/>
    <row r="555" ht="15.75" customHeight="1" s="133"/>
    <row r="556" ht="15.75" customHeight="1" s="133"/>
    <row r="557" ht="15.75" customHeight="1" s="133"/>
    <row r="558" ht="15.75" customHeight="1" s="133"/>
    <row r="559" ht="15.75" customHeight="1" s="133"/>
    <row r="560" ht="15.75" customHeight="1" s="133"/>
    <row r="561" ht="15.75" customHeight="1" s="133"/>
    <row r="562" ht="15.75" customHeight="1" s="133"/>
    <row r="563" ht="15.75" customHeight="1" s="133"/>
    <row r="564" ht="15.75" customHeight="1" s="133"/>
    <row r="565" ht="15.75" customHeight="1" s="133"/>
    <row r="566" ht="15.75" customHeight="1" s="133"/>
    <row r="567" ht="15.75" customHeight="1" s="133"/>
    <row r="568" ht="15.75" customHeight="1" s="133"/>
    <row r="569" ht="15.75" customHeight="1" s="133"/>
    <row r="570" ht="15.75" customHeight="1" s="133"/>
    <row r="571" ht="15.75" customHeight="1" s="133"/>
    <row r="572" ht="15.75" customHeight="1" s="133"/>
    <row r="573" ht="15.75" customHeight="1" s="133"/>
    <row r="574" ht="15.75" customHeight="1" s="133"/>
    <row r="575" ht="15.75" customHeight="1" s="133"/>
    <row r="576" ht="15.75" customHeight="1" s="133"/>
    <row r="577" ht="15.75" customHeight="1" s="133"/>
    <row r="578" ht="15.75" customHeight="1" s="133"/>
    <row r="579" ht="15.75" customHeight="1" s="133"/>
    <row r="580" ht="15.75" customHeight="1" s="133"/>
    <row r="581" ht="15.75" customHeight="1" s="133"/>
    <row r="582" ht="15.75" customHeight="1" s="133"/>
    <row r="583" ht="15.75" customHeight="1" s="133"/>
    <row r="584" ht="15.75" customHeight="1" s="133"/>
    <row r="585" ht="15.75" customHeight="1" s="133"/>
    <row r="586" ht="15.75" customHeight="1" s="133"/>
    <row r="587" ht="15.75" customHeight="1" s="133"/>
    <row r="588" ht="15.75" customHeight="1" s="133"/>
    <row r="589" ht="15.75" customHeight="1" s="133"/>
    <row r="590" ht="15.75" customHeight="1" s="133"/>
    <row r="591" ht="15.75" customHeight="1" s="133"/>
    <row r="592" ht="15.75" customHeight="1" s="133"/>
    <row r="593" ht="15.75" customHeight="1" s="133"/>
    <row r="594" ht="15.75" customHeight="1" s="133"/>
    <row r="595" ht="15.75" customHeight="1" s="133"/>
    <row r="596" ht="15.75" customHeight="1" s="133"/>
    <row r="597" ht="15.75" customHeight="1" s="133"/>
    <row r="598" ht="15.75" customHeight="1" s="133"/>
    <row r="599" ht="15.75" customHeight="1" s="133"/>
    <row r="600" ht="15.75" customHeight="1" s="133"/>
    <row r="601" ht="15.75" customHeight="1" s="133"/>
    <row r="602" ht="15.75" customHeight="1" s="133"/>
    <row r="603" ht="15.75" customHeight="1" s="133"/>
    <row r="604" ht="15.75" customHeight="1" s="133"/>
    <row r="605" ht="15.75" customHeight="1" s="133"/>
    <row r="606" ht="15.75" customHeight="1" s="133"/>
    <row r="607" ht="15.75" customHeight="1" s="133"/>
    <row r="608" ht="15.75" customHeight="1" s="133"/>
    <row r="609" ht="15.75" customHeight="1" s="133"/>
    <row r="610" ht="15.75" customHeight="1" s="133"/>
    <row r="611" ht="15.75" customHeight="1" s="133"/>
    <row r="612" ht="15.75" customHeight="1" s="133"/>
    <row r="613" ht="15.75" customHeight="1" s="133"/>
    <row r="614" ht="15.75" customHeight="1" s="133"/>
    <row r="615" ht="15.75" customHeight="1" s="133"/>
    <row r="616" ht="15.75" customHeight="1" s="133"/>
    <row r="617" ht="15.75" customHeight="1" s="133"/>
    <row r="618" ht="15.75" customHeight="1" s="133"/>
    <row r="619" ht="15.75" customHeight="1" s="133"/>
    <row r="620" ht="15.75" customHeight="1" s="133"/>
    <row r="621" ht="15.75" customHeight="1" s="133"/>
    <row r="622" ht="15.75" customHeight="1" s="133"/>
    <row r="623" ht="15.75" customHeight="1" s="133"/>
    <row r="624" ht="15.75" customHeight="1" s="133"/>
    <row r="625" ht="15.75" customHeight="1" s="133"/>
    <row r="626" ht="15.75" customHeight="1" s="133"/>
    <row r="627" ht="15.75" customHeight="1" s="133"/>
    <row r="628" ht="15.75" customHeight="1" s="133"/>
    <row r="629" ht="15.75" customHeight="1" s="133"/>
    <row r="630" ht="15.75" customHeight="1" s="133"/>
    <row r="631" ht="15.75" customHeight="1" s="133"/>
    <row r="632" ht="15.75" customHeight="1" s="133"/>
    <row r="633" ht="15.75" customHeight="1" s="133"/>
    <row r="634" ht="15.75" customHeight="1" s="133"/>
    <row r="635" ht="15.75" customHeight="1" s="133"/>
    <row r="636" ht="15.75" customHeight="1" s="133"/>
    <row r="637" ht="15.75" customHeight="1" s="133"/>
    <row r="638" ht="15.75" customHeight="1" s="133"/>
    <row r="639" ht="15.75" customHeight="1" s="133"/>
    <row r="640" ht="15.75" customHeight="1" s="133"/>
    <row r="641" ht="15.75" customHeight="1" s="133"/>
    <row r="642" ht="15.75" customHeight="1" s="133"/>
    <row r="643" ht="15.75" customHeight="1" s="133"/>
    <row r="644" ht="15.75" customHeight="1" s="133"/>
    <row r="645" ht="15.75" customHeight="1" s="133"/>
    <row r="646" ht="15.75" customHeight="1" s="133"/>
    <row r="647" ht="15.75" customHeight="1" s="133"/>
    <row r="648" ht="15.75" customHeight="1" s="133"/>
    <row r="649" ht="15.75" customHeight="1" s="133"/>
    <row r="650" ht="15.75" customHeight="1" s="133"/>
    <row r="651" ht="15.75" customHeight="1" s="133"/>
    <row r="652" ht="15.75" customHeight="1" s="133"/>
    <row r="653" ht="15.75" customHeight="1" s="133"/>
    <row r="654" ht="15.75" customHeight="1" s="133"/>
    <row r="655" ht="15.75" customHeight="1" s="133"/>
    <row r="656" ht="15.75" customHeight="1" s="133"/>
    <row r="657" ht="15.75" customHeight="1" s="133"/>
    <row r="658" ht="15.75" customHeight="1" s="133"/>
    <row r="659" ht="15.75" customHeight="1" s="133"/>
    <row r="660" ht="15.75" customHeight="1" s="133"/>
    <row r="661" ht="15.75" customHeight="1" s="133"/>
    <row r="662" ht="15.75" customHeight="1" s="133"/>
    <row r="663" ht="15.75" customHeight="1" s="133"/>
    <row r="664" ht="15.75" customHeight="1" s="133"/>
    <row r="665" ht="15.75" customHeight="1" s="133"/>
    <row r="666" ht="15.75" customHeight="1" s="133"/>
    <row r="667" ht="15.75" customHeight="1" s="133"/>
    <row r="668" ht="15.75" customHeight="1" s="133"/>
    <row r="669" ht="15.75" customHeight="1" s="133"/>
    <row r="670" ht="15.75" customHeight="1" s="133"/>
    <row r="671" ht="15.75" customHeight="1" s="133"/>
    <row r="672" ht="15.75" customHeight="1" s="133"/>
    <row r="673" ht="15.75" customHeight="1" s="133"/>
    <row r="674" ht="15.75" customHeight="1" s="133"/>
    <row r="675" ht="15.75" customHeight="1" s="133"/>
    <row r="676" ht="15.75" customHeight="1" s="133"/>
    <row r="677" ht="15.75" customHeight="1" s="133"/>
    <row r="678" ht="15.75" customHeight="1" s="133"/>
    <row r="679" ht="15.75" customHeight="1" s="133"/>
    <row r="680" ht="15.75" customHeight="1" s="133"/>
    <row r="681" ht="15.75" customHeight="1" s="133"/>
    <row r="682" ht="15.75" customHeight="1" s="133"/>
    <row r="683" ht="15.75" customHeight="1" s="133"/>
    <row r="684" ht="15.75" customHeight="1" s="133"/>
    <row r="685" ht="15.75" customHeight="1" s="133"/>
    <row r="686" ht="15.75" customHeight="1" s="133"/>
    <row r="687" ht="15.75" customHeight="1" s="133"/>
    <row r="688" ht="15.75" customHeight="1" s="133"/>
    <row r="689" ht="15.75" customHeight="1" s="133"/>
    <row r="690" ht="15.75" customHeight="1" s="133"/>
    <row r="691" ht="15.75" customHeight="1" s="133"/>
    <row r="692" ht="15.75" customHeight="1" s="133"/>
    <row r="693" ht="15.75" customHeight="1" s="133"/>
    <row r="694" ht="15.75" customHeight="1" s="133"/>
    <row r="695" ht="15.75" customHeight="1" s="133"/>
    <row r="696" ht="15.75" customHeight="1" s="133"/>
    <row r="697" ht="15.75" customHeight="1" s="133"/>
    <row r="698" ht="15.75" customHeight="1" s="133"/>
    <row r="699" ht="15.75" customHeight="1" s="133"/>
    <row r="700" ht="15.75" customHeight="1" s="133"/>
    <row r="701" ht="15.75" customHeight="1" s="133"/>
    <row r="702" ht="15.75" customHeight="1" s="133"/>
    <row r="703" ht="15.75" customHeight="1" s="133"/>
    <row r="704" ht="15.75" customHeight="1" s="133"/>
    <row r="705" ht="15.75" customHeight="1" s="133"/>
    <row r="706" ht="15.75" customHeight="1" s="133"/>
    <row r="707" ht="15.75" customHeight="1" s="133"/>
    <row r="708" ht="15.75" customHeight="1" s="133"/>
    <row r="709" ht="15.75" customHeight="1" s="133"/>
    <row r="710" ht="15.75" customHeight="1" s="133"/>
    <row r="711" ht="15.75" customHeight="1" s="133"/>
    <row r="712" ht="15.75" customHeight="1" s="133"/>
    <row r="713" ht="15.75" customHeight="1" s="133"/>
    <row r="714" ht="15.75" customHeight="1" s="133"/>
    <row r="715" ht="15.75" customHeight="1" s="133"/>
    <row r="716" ht="15.75" customHeight="1" s="133"/>
    <row r="717" ht="15.75" customHeight="1" s="133"/>
    <row r="718" ht="15.75" customHeight="1" s="133"/>
    <row r="719" ht="15.75" customHeight="1" s="133"/>
    <row r="720" ht="15.75" customHeight="1" s="133"/>
    <row r="721" ht="15.75" customHeight="1" s="133"/>
    <row r="722" ht="15.75" customHeight="1" s="133"/>
    <row r="723" ht="15.75" customHeight="1" s="133"/>
    <row r="724" ht="15.75" customHeight="1" s="133"/>
    <row r="725" ht="15.75" customHeight="1" s="133"/>
    <row r="726" ht="15.75" customHeight="1" s="133"/>
    <row r="727" ht="15.75" customHeight="1" s="133"/>
    <row r="728" ht="15.75" customHeight="1" s="133"/>
    <row r="729" ht="15.75" customHeight="1" s="133"/>
    <row r="730" ht="15.75" customHeight="1" s="133"/>
    <row r="731" ht="15.75" customHeight="1" s="133"/>
    <row r="732" ht="15.75" customHeight="1" s="133"/>
    <row r="733" ht="15.75" customHeight="1" s="133"/>
    <row r="734" ht="15.75" customHeight="1" s="133"/>
    <row r="735" ht="15.75" customHeight="1" s="133"/>
    <row r="736" ht="15.75" customHeight="1" s="133"/>
    <row r="737" ht="15.75" customHeight="1" s="133"/>
    <row r="738" ht="15.75" customHeight="1" s="133"/>
    <row r="739" ht="15.75" customHeight="1" s="133"/>
    <row r="740" ht="15.75" customHeight="1" s="133"/>
    <row r="741" ht="15.75" customHeight="1" s="133"/>
    <row r="742" ht="15.75" customHeight="1" s="133"/>
    <row r="743" ht="15.75" customHeight="1" s="133"/>
    <row r="744" ht="15.75" customHeight="1" s="133"/>
    <row r="745" ht="15.75" customHeight="1" s="133"/>
    <row r="746" ht="15.75" customHeight="1" s="133"/>
    <row r="747" ht="15.75" customHeight="1" s="133"/>
    <row r="748" ht="15.75" customHeight="1" s="133"/>
    <row r="749" ht="15.75" customHeight="1" s="133"/>
    <row r="750" ht="15.75" customHeight="1" s="133"/>
    <row r="751" ht="15.75" customHeight="1" s="133"/>
    <row r="752" ht="15.75" customHeight="1" s="133"/>
    <row r="753" ht="15.75" customHeight="1" s="133"/>
    <row r="754" ht="15.75" customHeight="1" s="133"/>
    <row r="755" ht="15.75" customHeight="1" s="133"/>
    <row r="756" ht="15.75" customHeight="1" s="133"/>
    <row r="757" ht="15.75" customHeight="1" s="133"/>
    <row r="758" ht="15.75" customHeight="1" s="133"/>
    <row r="759" ht="15.75" customHeight="1" s="133"/>
    <row r="760" ht="15.75" customHeight="1" s="133"/>
    <row r="761" ht="15.75" customHeight="1" s="133"/>
    <row r="762" ht="15.75" customHeight="1" s="133"/>
    <row r="763" ht="15.75" customHeight="1" s="133"/>
    <row r="764" ht="15.75" customHeight="1" s="133"/>
    <row r="765" ht="15.75" customHeight="1" s="133"/>
    <row r="766" ht="15.75" customHeight="1" s="133"/>
    <row r="767" ht="15.75" customHeight="1" s="133"/>
    <row r="768" ht="15.75" customHeight="1" s="133"/>
    <row r="769" ht="15.75" customHeight="1" s="133"/>
    <row r="770" ht="15.75" customHeight="1" s="133"/>
    <row r="771" ht="15.75" customHeight="1" s="133"/>
    <row r="772" ht="15.75" customHeight="1" s="133"/>
    <row r="773" ht="15.75" customHeight="1" s="133"/>
    <row r="774" ht="15.75" customHeight="1" s="133"/>
    <row r="775" ht="15.75" customHeight="1" s="133"/>
    <row r="776" ht="15.75" customHeight="1" s="133"/>
    <row r="777" ht="15.75" customHeight="1" s="133"/>
    <row r="778" ht="15.75" customHeight="1" s="133"/>
    <row r="779" ht="15.75" customHeight="1" s="133"/>
    <row r="780" ht="15.75" customHeight="1" s="133"/>
    <row r="781" ht="15.75" customHeight="1" s="133"/>
    <row r="782" ht="15.75" customHeight="1" s="133"/>
    <row r="783" ht="15.75" customHeight="1" s="133"/>
    <row r="784" ht="15.75" customHeight="1" s="133"/>
    <row r="785" ht="15.75" customHeight="1" s="133"/>
    <row r="786" ht="15.75" customHeight="1" s="133"/>
    <row r="787" ht="15.75" customHeight="1" s="133"/>
    <row r="788" ht="15.75" customHeight="1" s="133"/>
    <row r="789" ht="15.75" customHeight="1" s="133"/>
    <row r="790" ht="15.75" customHeight="1" s="133"/>
    <row r="791" ht="15.75" customHeight="1" s="133"/>
    <row r="792" ht="15.75" customHeight="1" s="133"/>
    <row r="793" ht="15.75" customHeight="1" s="133"/>
    <row r="794" ht="15.75" customHeight="1" s="133"/>
    <row r="795" ht="15.75" customHeight="1" s="133"/>
    <row r="796" ht="15.75" customHeight="1" s="133"/>
    <row r="797" ht="15.75" customHeight="1" s="133"/>
    <row r="798" ht="15.75" customHeight="1" s="133"/>
    <row r="799" ht="15.75" customHeight="1" s="133"/>
    <row r="800" ht="15.75" customHeight="1" s="133"/>
    <row r="801" ht="15.75" customHeight="1" s="133"/>
    <row r="802" ht="15.75" customHeight="1" s="133"/>
    <row r="803" ht="15.75" customHeight="1" s="133"/>
    <row r="804" ht="15.75" customHeight="1" s="133"/>
    <row r="805" ht="15.75" customHeight="1" s="133"/>
    <row r="806" ht="15.75" customHeight="1" s="133"/>
    <row r="807" ht="15.75" customHeight="1" s="133"/>
    <row r="808" ht="15.75" customHeight="1" s="133"/>
    <row r="809" ht="15.75" customHeight="1" s="133"/>
    <row r="810" ht="15.75" customHeight="1" s="133"/>
    <row r="811" ht="15.75" customHeight="1" s="133"/>
    <row r="812" ht="15.75" customHeight="1" s="133"/>
    <row r="813" ht="15.75" customHeight="1" s="133"/>
    <row r="814" ht="15.75" customHeight="1" s="133"/>
    <row r="815" ht="15.75" customHeight="1" s="133"/>
    <row r="816" ht="15.75" customHeight="1" s="133"/>
    <row r="817" ht="15.75" customHeight="1" s="133"/>
    <row r="818" ht="15.75" customHeight="1" s="133"/>
    <row r="819" ht="15.75" customHeight="1" s="133"/>
    <row r="820" ht="15.75" customHeight="1" s="133"/>
    <row r="821" ht="15.75" customHeight="1" s="133"/>
    <row r="822" ht="15.75" customHeight="1" s="133"/>
    <row r="823" ht="15.75" customHeight="1" s="133"/>
    <row r="824" ht="15.75" customHeight="1" s="133"/>
    <row r="825" ht="15.75" customHeight="1" s="133"/>
    <row r="826" ht="15.75" customHeight="1" s="133"/>
    <row r="827" ht="15.75" customHeight="1" s="133"/>
    <row r="828" ht="15.75" customHeight="1" s="133"/>
    <row r="829" ht="15.75" customHeight="1" s="133"/>
    <row r="830" ht="15.75" customHeight="1" s="133"/>
    <row r="831" ht="15.75" customHeight="1" s="133"/>
    <row r="832" ht="15.75" customHeight="1" s="133"/>
    <row r="833" ht="15.75" customHeight="1" s="133"/>
    <row r="834" ht="15.75" customHeight="1" s="133"/>
    <row r="835" ht="15.75" customHeight="1" s="133"/>
    <row r="836" ht="15.75" customHeight="1" s="133"/>
    <row r="837" ht="15.75" customHeight="1" s="133"/>
    <row r="838" ht="15.75" customHeight="1" s="133"/>
    <row r="839" ht="15.75" customHeight="1" s="133"/>
    <row r="840" ht="15.75" customHeight="1" s="133"/>
    <row r="841" ht="15.75" customHeight="1" s="133"/>
    <row r="842" ht="15.75" customHeight="1" s="133"/>
    <row r="843" ht="15.75" customHeight="1" s="133"/>
    <row r="844" ht="15.75" customHeight="1" s="133"/>
    <row r="845" ht="15.75" customHeight="1" s="133"/>
    <row r="846" ht="15.75" customHeight="1" s="133"/>
    <row r="847" ht="15.75" customHeight="1" s="133"/>
    <row r="848" ht="15.75" customHeight="1" s="133"/>
    <row r="849" ht="15.75" customHeight="1" s="133"/>
    <row r="850" ht="15.75" customHeight="1" s="133"/>
    <row r="851" ht="15.75" customHeight="1" s="133"/>
    <row r="852" ht="15.75" customHeight="1" s="133"/>
    <row r="853" ht="15.75" customHeight="1" s="133"/>
    <row r="854" ht="15.75" customHeight="1" s="133"/>
    <row r="855" ht="15.75" customHeight="1" s="133"/>
    <row r="856" ht="15.75" customHeight="1" s="133"/>
    <row r="857" ht="15.75" customHeight="1" s="133"/>
    <row r="858" ht="15.75" customHeight="1" s="133"/>
    <row r="859" ht="15.75" customHeight="1" s="133"/>
    <row r="860" ht="15.75" customHeight="1" s="133"/>
    <row r="861" ht="15.75" customHeight="1" s="133"/>
    <row r="862" ht="15.75" customHeight="1" s="133"/>
    <row r="863" ht="15.75" customHeight="1" s="133"/>
    <row r="864" ht="15.75" customHeight="1" s="133"/>
    <row r="865" ht="15.75" customHeight="1" s="133"/>
    <row r="866" ht="15.75" customHeight="1" s="133"/>
    <row r="867" ht="15.75" customHeight="1" s="133"/>
    <row r="868" ht="15.75" customHeight="1" s="133"/>
    <row r="869" ht="15.75" customHeight="1" s="133"/>
    <row r="870" ht="15.75" customHeight="1" s="133"/>
    <row r="871" ht="15.75" customHeight="1" s="133"/>
    <row r="872" ht="15.75" customHeight="1" s="133"/>
    <row r="873" ht="15.75" customHeight="1" s="133"/>
    <row r="874" ht="15.75" customHeight="1" s="133"/>
    <row r="875" ht="15.75" customHeight="1" s="133"/>
    <row r="876" ht="15.75" customHeight="1" s="133"/>
    <row r="877" ht="15.75" customHeight="1" s="133"/>
    <row r="878" ht="15.75" customHeight="1" s="133"/>
    <row r="879" ht="15.75" customHeight="1" s="133"/>
    <row r="880" ht="15.75" customHeight="1" s="133"/>
    <row r="881" ht="15.75" customHeight="1" s="133"/>
    <row r="882" ht="15.75" customHeight="1" s="133"/>
    <row r="883" ht="15.75" customHeight="1" s="133"/>
    <row r="884" ht="15.75" customHeight="1" s="133"/>
    <row r="885" ht="15.75" customHeight="1" s="133"/>
    <row r="886" ht="15.75" customHeight="1" s="133"/>
    <row r="887" ht="15.75" customHeight="1" s="133"/>
    <row r="888" ht="15.75" customHeight="1" s="133"/>
    <row r="889" ht="15.75" customHeight="1" s="133"/>
    <row r="890" ht="15.75" customHeight="1" s="133"/>
    <row r="891" ht="15.75" customHeight="1" s="133"/>
    <row r="892" ht="15.75" customHeight="1" s="133"/>
    <row r="893" ht="15.75" customHeight="1" s="133"/>
    <row r="894" ht="15.75" customHeight="1" s="133"/>
    <row r="895" ht="15.75" customHeight="1" s="133"/>
    <row r="896" ht="15.75" customHeight="1" s="133"/>
    <row r="897" ht="15.75" customHeight="1" s="133"/>
    <row r="898" ht="15.75" customHeight="1" s="133"/>
    <row r="899" ht="15.75" customHeight="1" s="133"/>
    <row r="900" ht="15.75" customHeight="1" s="133"/>
    <row r="901" ht="15.75" customHeight="1" s="133"/>
    <row r="902" ht="15.75" customHeight="1" s="133"/>
    <row r="903" ht="15.75" customHeight="1" s="133"/>
    <row r="904" ht="15.75" customHeight="1" s="133"/>
    <row r="905" ht="15.75" customHeight="1" s="133"/>
    <row r="906" ht="15.75" customHeight="1" s="133"/>
    <row r="907" ht="15.75" customHeight="1" s="133"/>
    <row r="908" ht="15.75" customHeight="1" s="133"/>
    <row r="909" ht="15.75" customHeight="1" s="133"/>
    <row r="910" ht="15.75" customHeight="1" s="133"/>
    <row r="911" ht="15.75" customHeight="1" s="133"/>
    <row r="912" ht="15.75" customHeight="1" s="133"/>
    <row r="913" ht="15.75" customHeight="1" s="133"/>
    <row r="914" ht="15.75" customHeight="1" s="133"/>
    <row r="915" ht="15.75" customHeight="1" s="133"/>
    <row r="916" ht="15.75" customHeight="1" s="133"/>
    <row r="917" ht="15.75" customHeight="1" s="133"/>
    <row r="918" ht="15.75" customHeight="1" s="133"/>
    <row r="919" ht="15.75" customHeight="1" s="133"/>
    <row r="920" ht="15.75" customHeight="1" s="133"/>
    <row r="921" ht="15.75" customHeight="1" s="133"/>
    <row r="922" ht="15.75" customHeight="1" s="133"/>
    <row r="923" ht="15.75" customHeight="1" s="133"/>
    <row r="924" ht="15.75" customHeight="1" s="133"/>
    <row r="925" ht="15.75" customHeight="1" s="133"/>
    <row r="926" ht="15.75" customHeight="1" s="133"/>
    <row r="927" ht="15.75" customHeight="1" s="133"/>
    <row r="928" ht="15.75" customHeight="1" s="133"/>
    <row r="929" ht="15.75" customHeight="1" s="133"/>
    <row r="930" ht="15.75" customHeight="1" s="133"/>
    <row r="931" ht="15.75" customHeight="1" s="133"/>
    <row r="932" ht="15.75" customHeight="1" s="133"/>
    <row r="933" ht="15.75" customHeight="1" s="133"/>
    <row r="934" ht="15.75" customHeight="1" s="133"/>
    <row r="935" ht="15.75" customHeight="1" s="133"/>
    <row r="936" ht="15.75" customHeight="1" s="133"/>
    <row r="937" ht="15.75" customHeight="1" s="133"/>
    <row r="938" ht="15.75" customHeight="1" s="133"/>
    <row r="939" ht="15.75" customHeight="1" s="133"/>
    <row r="940" ht="15.75" customHeight="1" s="133"/>
    <row r="941" ht="15.75" customHeight="1" s="133"/>
    <row r="942" ht="15.75" customHeight="1" s="133"/>
    <row r="943" ht="15.75" customHeight="1" s="133"/>
    <row r="944" ht="15.75" customHeight="1" s="133"/>
    <row r="945" ht="15.75" customHeight="1" s="133"/>
    <row r="946" ht="15.75" customHeight="1" s="133"/>
    <row r="947" ht="15.75" customHeight="1" s="133"/>
    <row r="948" ht="15.75" customHeight="1" s="133"/>
    <row r="949" ht="15.75" customHeight="1" s="133"/>
    <row r="950" ht="15.75" customHeight="1" s="133"/>
    <row r="951" ht="15.75" customHeight="1" s="133"/>
    <row r="952" ht="15.75" customHeight="1" s="133"/>
    <row r="953" ht="15.75" customHeight="1" s="133"/>
    <row r="954" ht="15.75" customHeight="1" s="133"/>
    <row r="955" ht="15.75" customHeight="1" s="133"/>
    <row r="956" ht="15.75" customHeight="1" s="133"/>
    <row r="957" ht="15.75" customHeight="1" s="133"/>
    <row r="958" ht="15.75" customHeight="1" s="133"/>
    <row r="959" ht="15.75" customHeight="1" s="133"/>
    <row r="960" ht="15.75" customHeight="1" s="133"/>
    <row r="961" ht="15.75" customHeight="1" s="133"/>
    <row r="962" ht="15.75" customHeight="1" s="133"/>
    <row r="963" ht="15.75" customHeight="1" s="133"/>
    <row r="964" ht="15.75" customHeight="1" s="133"/>
    <row r="965" ht="15.75" customHeight="1" s="133"/>
    <row r="966" ht="15.75" customHeight="1" s="133"/>
    <row r="967" ht="15.75" customHeight="1" s="133"/>
    <row r="968" ht="15.75" customHeight="1" s="133"/>
    <row r="969" ht="15.75" customHeight="1" s="133"/>
    <row r="970" ht="15.75" customHeight="1" s="133"/>
    <row r="971" ht="15.75" customHeight="1" s="133"/>
    <row r="972" ht="15.75" customHeight="1" s="133"/>
    <row r="973" ht="15.75" customHeight="1" s="133"/>
    <row r="974" ht="15.75" customHeight="1" s="133"/>
    <row r="975" ht="15.75" customHeight="1" s="133"/>
    <row r="976" ht="15.75" customHeight="1" s="133"/>
    <row r="977" ht="15.75" customHeight="1" s="133"/>
    <row r="978" ht="15.75" customHeight="1" s="133"/>
    <row r="979" ht="15.75" customHeight="1" s="133"/>
    <row r="980" ht="15.75" customHeight="1" s="133"/>
    <row r="981" ht="15.75" customHeight="1" s="133"/>
    <row r="982" ht="15.75" customHeight="1" s="133"/>
    <row r="983" ht="15.75" customHeight="1" s="133"/>
    <row r="984" ht="15.75" customHeight="1" s="133"/>
    <row r="985" ht="15.75" customHeight="1" s="133"/>
    <row r="986" ht="15.75" customHeight="1" s="133"/>
    <row r="987" ht="15.75" customHeight="1" s="133"/>
    <row r="988" ht="15.75" customHeight="1" s="133"/>
    <row r="989" ht="15.75" customHeight="1" s="133"/>
    <row r="990" ht="15.75" customHeight="1" s="133"/>
    <row r="991" ht="15.75" customHeight="1" s="133"/>
    <row r="992" ht="15.75" customHeight="1" s="133"/>
    <row r="993" ht="15.75" customHeight="1" s="133"/>
    <row r="994" ht="15.75" customHeight="1" s="133"/>
    <row r="995" ht="15.75" customHeight="1" s="133"/>
    <row r="996" ht="15.75" customHeight="1" s="133"/>
    <row r="997" ht="15.75" customHeight="1" s="133"/>
    <row r="998" ht="15.75" customHeight="1" s="133"/>
    <row r="999" ht="15.75" customHeight="1" s="133"/>
    <row r="1000" ht="15.75" customHeight="1" s="133"/>
  </sheetData>
  <mergeCells count="1">
    <mergeCell ref="A2:J2"/>
  </mergeCells>
  <pageMargins left="0.7" right="0.7" top="0.75" bottom="0.75" header="0" footer="0"/>
  <pageSetup orientation="portrait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ColWidth="14.43" defaultRowHeight="15" customHeight="1"/>
  <cols>
    <col width="47.57" customWidth="1" style="133" min="1" max="1"/>
    <col width="8.710000000000001" customWidth="1" style="133" min="2" max="26"/>
  </cols>
  <sheetData>
    <row r="1">
      <c r="A1" s="115" t="inlineStr">
        <is>
          <t>Input Data</t>
        </is>
      </c>
    </row>
    <row r="2">
      <c r="A2" s="116" t="inlineStr">
        <is>
          <t>Bank's Option Contract Fee</t>
        </is>
      </c>
    </row>
    <row r="3">
      <c r="A3" s="117" t="n">
        <v>0.65</v>
      </c>
    </row>
    <row r="4">
      <c r="A4" s="118" t="n"/>
    </row>
    <row r="5">
      <c r="A5" s="116" t="inlineStr">
        <is>
          <t>Cash / Margin</t>
        </is>
      </c>
    </row>
    <row r="6">
      <c r="A6" s="117" t="n">
        <v>0.2</v>
      </c>
    </row>
    <row r="7">
      <c r="A7" s="119" t="n"/>
    </row>
    <row r="8">
      <c r="A8" s="116" t="inlineStr">
        <is>
          <t>Starting Balance</t>
        </is>
      </c>
    </row>
    <row r="9">
      <c r="A9" s="120" t="n">
        <v>25000</v>
      </c>
    </row>
    <row r="10">
      <c r="A10" s="121" t="n"/>
    </row>
    <row r="11">
      <c r="A11" s="122" t="inlineStr">
        <is>
          <t>Alert Signals</t>
        </is>
      </c>
    </row>
    <row r="12">
      <c r="A12" s="123" t="n"/>
    </row>
    <row r="13">
      <c r="A13" s="116" t="inlineStr">
        <is>
          <t>Expiration: Today</t>
        </is>
      </c>
    </row>
    <row r="14">
      <c r="A14" s="124">
        <f>TODAY()</f>
        <v/>
      </c>
    </row>
    <row r="15">
      <c r="A15" s="123" t="n"/>
    </row>
    <row r="16">
      <c r="A16" s="116" t="inlineStr">
        <is>
          <t>Expiration: Within One Week</t>
        </is>
      </c>
    </row>
    <row r="17">
      <c r="A17" s="125">
        <f>TODAY()+6</f>
        <v/>
      </c>
    </row>
    <row r="18">
      <c r="A18" s="123" t="n"/>
    </row>
    <row r="19">
      <c r="A19" s="116" t="inlineStr">
        <is>
          <t>Expiration: Any Active Options Position</t>
        </is>
      </c>
    </row>
    <row r="20">
      <c r="A20" s="126" t="inlineStr">
        <is>
          <t>Any Open Position</t>
        </is>
      </c>
    </row>
    <row r="21" ht="15.75" customHeight="1" s="133">
      <c r="A21" s="123" t="n"/>
    </row>
    <row r="22" ht="15.75" customHeight="1" s="133">
      <c r="A22" s="116" t="inlineStr">
        <is>
          <t>Earnings: One Trading Session</t>
        </is>
      </c>
    </row>
    <row r="23" ht="15.75" customHeight="1" s="133">
      <c r="A23" s="124">
        <f>TEXT(TODAY(),"m/d/y")&amp;" AMC or "&amp;TEXT(TODAY()+1,"m/d/y")&amp;" BMO"</f>
        <v/>
      </c>
    </row>
    <row r="24" ht="15.75" customHeight="1" s="133">
      <c r="A24" s="123" t="n"/>
    </row>
    <row r="25" ht="15.75" customHeight="1" s="133">
      <c r="A25" s="116" t="inlineStr">
        <is>
          <t>Earnings: Within One Week</t>
        </is>
      </c>
    </row>
    <row r="26" ht="15.75" customHeight="1" s="133">
      <c r="A26" s="127">
        <f>TODAY()+6</f>
        <v/>
      </c>
    </row>
    <row r="27" ht="15.75" customHeight="1" s="133">
      <c r="A27" s="123" t="n"/>
    </row>
    <row r="28" ht="15.75" customHeight="1" s="133">
      <c r="A28" s="116" t="inlineStr">
        <is>
          <t>Notes: Close Trade Today Alert</t>
        </is>
      </c>
    </row>
    <row r="29" ht="15.75" customHeight="1" s="133">
      <c r="A29" s="128">
        <f>(TEXT(TODAY(),"m/d/y")&amp;" Close")</f>
        <v/>
      </c>
    </row>
    <row r="30" ht="15.75" customHeight="1" s="133">
      <c r="A30" s="123" t="n"/>
    </row>
    <row r="31" ht="15.75" customHeight="1" s="133">
      <c r="A31" s="116" t="inlineStr">
        <is>
          <t>Notes: Close Trade Tomorrow Alert</t>
        </is>
      </c>
    </row>
    <row r="32" ht="15.75" customHeight="1" s="133">
      <c r="A32" s="127">
        <f>(TEXT(TODAY()+1,"m/d/y")&amp;" Close")</f>
        <v/>
      </c>
    </row>
    <row r="33" ht="15.75" customHeight="1" s="133">
      <c r="A33" s="123" t="n"/>
    </row>
    <row r="34" ht="15.75" customHeight="1" s="133">
      <c r="A34" s="116" t="inlineStr">
        <is>
          <t>Notes: Close Trade Has Passed Yet Still Open</t>
        </is>
      </c>
    </row>
    <row r="35" ht="15.75" customHeight="1" s="133">
      <c r="A35" s="129" t="inlineStr">
        <is>
          <t>Reevaluate for Close</t>
        </is>
      </c>
    </row>
    <row r="36" ht="15.75" customHeight="1" s="133">
      <c r="A36" s="123" t="n"/>
    </row>
    <row r="37" ht="15.75" customHeight="1" s="133">
      <c r="A37" s="123" t="n"/>
    </row>
    <row r="38" ht="15.75" customHeight="1" s="133">
      <c r="A38" s="130" t="inlineStr">
        <is>
          <t>Key</t>
        </is>
      </c>
    </row>
    <row r="39" ht="15.75" customHeight="1" s="133">
      <c r="A39" s="117" t="n"/>
    </row>
    <row r="40" ht="15.75" customHeight="1" s="133">
      <c r="A40" s="131" t="inlineStr">
        <is>
          <t>*If "Butterfly" or "Iron Fly" fees calculated as 4 legs</t>
        </is>
      </c>
    </row>
    <row r="41" ht="15.75" customHeight="1" s="133">
      <c r="A41" s="131" t="inlineStr">
        <is>
          <t>*If "Stock" recalculates row for stock trades</t>
        </is>
      </c>
    </row>
    <row r="42" ht="15.75" customHeight="1" s="133">
      <c r="A42" s="131" t="inlineStr">
        <is>
          <t>*Dividend entered should be all cash received</t>
        </is>
      </c>
    </row>
    <row r="43" ht="15.75" customHeight="1" s="133">
      <c r="A43" s="132" t="n"/>
    </row>
    <row r="44" ht="15.75" customHeight="1" s="133"/>
    <row r="45" ht="15.75" customHeight="1" s="133"/>
    <row r="46" ht="15.75" customHeight="1" s="133"/>
    <row r="47" ht="15.75" customHeight="1" s="133"/>
    <row r="48" ht="15.75" customHeight="1" s="133"/>
    <row r="49" ht="15.75" customHeight="1" s="133"/>
    <row r="50" ht="15.75" customHeight="1" s="133"/>
    <row r="51" ht="15.75" customHeight="1" s="133"/>
    <row r="52" ht="15.75" customHeight="1" s="133"/>
    <row r="53" ht="15.75" customHeight="1" s="133"/>
    <row r="54" ht="15.75" customHeight="1" s="133"/>
    <row r="55" ht="15.75" customHeight="1" s="133"/>
    <row r="56" ht="15.75" customHeight="1" s="133"/>
    <row r="57" ht="15.75" customHeight="1" s="133"/>
    <row r="58" ht="15.75" customHeight="1" s="133"/>
    <row r="59" ht="15.75" customHeight="1" s="133"/>
    <row r="60" ht="15.75" customHeight="1" s="133"/>
    <row r="61" ht="15.75" customHeight="1" s="133"/>
    <row r="62" ht="15.75" customHeight="1" s="133"/>
    <row r="63" ht="15.75" customHeight="1" s="133"/>
    <row r="64" ht="15.75" customHeight="1" s="133"/>
    <row r="65" ht="15.75" customHeight="1" s="133"/>
    <row r="66" ht="15.75" customHeight="1" s="133"/>
    <row r="67" ht="15.75" customHeight="1" s="133"/>
    <row r="68" ht="15.75" customHeight="1" s="133"/>
    <row r="69" ht="15.75" customHeight="1" s="133"/>
    <row r="70" ht="15.75" customHeight="1" s="133"/>
    <row r="71" ht="15.75" customHeight="1" s="133"/>
    <row r="72" ht="15.75" customHeight="1" s="133"/>
    <row r="73" ht="15.75" customHeight="1" s="133"/>
    <row r="74" ht="15.75" customHeight="1" s="133"/>
    <row r="75" ht="15.75" customHeight="1" s="133"/>
    <row r="76" ht="15.75" customHeight="1" s="133"/>
    <row r="77" ht="15.75" customHeight="1" s="133"/>
    <row r="78" ht="15.75" customHeight="1" s="133"/>
    <row r="79" ht="15.75" customHeight="1" s="133"/>
    <row r="80" ht="15.75" customHeight="1" s="133"/>
    <row r="81" ht="15.75" customHeight="1" s="133"/>
    <row r="82" ht="15.75" customHeight="1" s="133"/>
    <row r="83" ht="15.75" customHeight="1" s="133"/>
    <row r="84" ht="15.75" customHeight="1" s="133"/>
    <row r="85" ht="15.75" customHeight="1" s="133"/>
    <row r="86" ht="15.75" customHeight="1" s="133"/>
    <row r="87" ht="15.75" customHeight="1" s="133"/>
    <row r="88" ht="15.75" customHeight="1" s="133"/>
    <row r="89" ht="15.75" customHeight="1" s="133"/>
    <row r="90" ht="15.75" customHeight="1" s="133"/>
    <row r="91" ht="15.75" customHeight="1" s="133"/>
    <row r="92" ht="15.75" customHeight="1" s="133"/>
    <row r="93" ht="15.75" customHeight="1" s="133"/>
    <row r="94" ht="15.75" customHeight="1" s="133"/>
    <row r="95" ht="15.75" customHeight="1" s="133"/>
    <row r="96" ht="15.75" customHeight="1" s="133"/>
    <row r="97" ht="15.75" customHeight="1" s="133"/>
    <row r="98" ht="15.75" customHeight="1" s="133"/>
    <row r="99" ht="15.75" customHeight="1" s="133"/>
    <row r="100" ht="15.75" customHeight="1" s="133"/>
    <row r="101" ht="15.75" customHeight="1" s="133"/>
    <row r="102" ht="15.75" customHeight="1" s="133"/>
    <row r="103" ht="15.75" customHeight="1" s="133"/>
    <row r="104" ht="15.75" customHeight="1" s="133"/>
    <row r="105" ht="15.75" customHeight="1" s="133"/>
    <row r="106" ht="15.75" customHeight="1" s="133"/>
    <row r="107" ht="15.75" customHeight="1" s="133"/>
    <row r="108" ht="15.75" customHeight="1" s="133"/>
    <row r="109" ht="15.75" customHeight="1" s="133"/>
    <row r="110" ht="15.75" customHeight="1" s="133"/>
    <row r="111" ht="15.75" customHeight="1" s="133"/>
    <row r="112" ht="15.75" customHeight="1" s="133"/>
    <row r="113" ht="15.75" customHeight="1" s="133"/>
    <row r="114" ht="15.75" customHeight="1" s="133"/>
    <row r="115" ht="15.75" customHeight="1" s="133"/>
    <row r="116" ht="15.75" customHeight="1" s="133"/>
    <row r="117" ht="15.75" customHeight="1" s="133"/>
    <row r="118" ht="15.75" customHeight="1" s="133"/>
    <row r="119" ht="15.75" customHeight="1" s="133"/>
    <row r="120" ht="15.75" customHeight="1" s="133"/>
    <row r="121" ht="15.75" customHeight="1" s="133"/>
    <row r="122" ht="15.75" customHeight="1" s="133"/>
    <row r="123" ht="15.75" customHeight="1" s="133"/>
    <row r="124" ht="15.75" customHeight="1" s="133"/>
    <row r="125" ht="15.75" customHeight="1" s="133"/>
    <row r="126" ht="15.75" customHeight="1" s="133"/>
    <row r="127" ht="15.75" customHeight="1" s="133"/>
    <row r="128" ht="15.75" customHeight="1" s="133"/>
    <row r="129" ht="15.75" customHeight="1" s="133"/>
    <row r="130" ht="15.75" customHeight="1" s="133"/>
    <row r="131" ht="15.75" customHeight="1" s="133"/>
    <row r="132" ht="15.75" customHeight="1" s="133"/>
    <row r="133" ht="15.75" customHeight="1" s="133"/>
    <row r="134" ht="15.75" customHeight="1" s="133"/>
    <row r="135" ht="15.75" customHeight="1" s="133"/>
    <row r="136" ht="15.75" customHeight="1" s="133"/>
    <row r="137" ht="15.75" customHeight="1" s="133"/>
    <row r="138" ht="15.75" customHeight="1" s="133"/>
    <row r="139" ht="15.75" customHeight="1" s="133"/>
    <row r="140" ht="15.75" customHeight="1" s="133"/>
    <row r="141" ht="15.75" customHeight="1" s="133"/>
    <row r="142" ht="15.75" customHeight="1" s="133"/>
    <row r="143" ht="15.75" customHeight="1" s="133"/>
    <row r="144" ht="15.75" customHeight="1" s="133"/>
    <row r="145" ht="15.75" customHeight="1" s="133"/>
    <row r="146" ht="15.75" customHeight="1" s="133"/>
    <row r="147" ht="15.75" customHeight="1" s="133"/>
    <row r="148" ht="15.75" customHeight="1" s="133"/>
    <row r="149" ht="15.75" customHeight="1" s="133"/>
    <row r="150" ht="15.75" customHeight="1" s="133"/>
    <row r="151" ht="15.75" customHeight="1" s="133"/>
    <row r="152" ht="15.75" customHeight="1" s="133"/>
    <row r="153" ht="15.75" customHeight="1" s="133"/>
    <row r="154" ht="15.75" customHeight="1" s="133"/>
    <row r="155" ht="15.75" customHeight="1" s="133"/>
    <row r="156" ht="15.75" customHeight="1" s="133"/>
    <row r="157" ht="15.75" customHeight="1" s="133"/>
    <row r="158" ht="15.75" customHeight="1" s="133"/>
    <row r="159" ht="15.75" customHeight="1" s="133"/>
    <row r="160" ht="15.75" customHeight="1" s="133"/>
    <row r="161" ht="15.75" customHeight="1" s="133"/>
    <row r="162" ht="15.75" customHeight="1" s="133"/>
    <row r="163" ht="15.75" customHeight="1" s="133"/>
    <row r="164" ht="15.75" customHeight="1" s="133"/>
    <row r="165" ht="15.75" customHeight="1" s="133"/>
    <row r="166" ht="15.75" customHeight="1" s="133"/>
    <row r="167" ht="15.75" customHeight="1" s="133"/>
    <row r="168" ht="15.75" customHeight="1" s="133"/>
    <row r="169" ht="15.75" customHeight="1" s="133"/>
    <row r="170" ht="15.75" customHeight="1" s="133"/>
    <row r="171" ht="15.75" customHeight="1" s="133"/>
    <row r="172" ht="15.75" customHeight="1" s="133"/>
    <row r="173" ht="15.75" customHeight="1" s="133"/>
    <row r="174" ht="15.75" customHeight="1" s="133"/>
    <row r="175" ht="15.75" customHeight="1" s="133"/>
    <row r="176" ht="15.75" customHeight="1" s="133"/>
    <row r="177" ht="15.75" customHeight="1" s="133"/>
    <row r="178" ht="15.75" customHeight="1" s="133"/>
    <row r="179" ht="15.75" customHeight="1" s="133"/>
    <row r="180" ht="15.75" customHeight="1" s="133"/>
    <row r="181" ht="15.75" customHeight="1" s="133"/>
    <row r="182" ht="15.75" customHeight="1" s="133"/>
    <row r="183" ht="15.75" customHeight="1" s="133"/>
    <row r="184" ht="15.75" customHeight="1" s="133"/>
    <row r="185" ht="15.75" customHeight="1" s="133"/>
    <row r="186" ht="15.75" customHeight="1" s="133"/>
    <row r="187" ht="15.75" customHeight="1" s="133"/>
    <row r="188" ht="15.75" customHeight="1" s="133"/>
    <row r="189" ht="15.75" customHeight="1" s="133"/>
    <row r="190" ht="15.75" customHeight="1" s="133"/>
    <row r="191" ht="15.75" customHeight="1" s="133"/>
    <row r="192" ht="15.75" customHeight="1" s="133"/>
    <row r="193" ht="15.75" customHeight="1" s="133"/>
    <row r="194" ht="15.75" customHeight="1" s="133"/>
    <row r="195" ht="15.75" customHeight="1" s="133"/>
    <row r="196" ht="15.75" customHeight="1" s="133"/>
    <row r="197" ht="15.75" customHeight="1" s="133"/>
    <row r="198" ht="15.75" customHeight="1" s="133"/>
    <row r="199" ht="15.75" customHeight="1" s="133"/>
    <row r="200" ht="15.75" customHeight="1" s="133"/>
    <row r="201" ht="15.75" customHeight="1" s="133"/>
    <row r="202" ht="15.75" customHeight="1" s="133"/>
    <row r="203" ht="15.75" customHeight="1" s="133"/>
    <row r="204" ht="15.75" customHeight="1" s="133"/>
    <row r="205" ht="15.75" customHeight="1" s="133"/>
    <row r="206" ht="15.75" customHeight="1" s="133"/>
    <row r="207" ht="15.75" customHeight="1" s="133"/>
    <row r="208" ht="15.75" customHeight="1" s="133"/>
    <row r="209" ht="15.75" customHeight="1" s="133"/>
    <row r="210" ht="15.75" customHeight="1" s="133"/>
    <row r="211" ht="15.75" customHeight="1" s="133"/>
    <row r="212" ht="15.75" customHeight="1" s="133"/>
    <row r="213" ht="15.75" customHeight="1" s="133"/>
    <row r="214" ht="15.75" customHeight="1" s="133"/>
    <row r="215" ht="15.75" customHeight="1" s="133"/>
    <row r="216" ht="15.75" customHeight="1" s="133"/>
    <row r="217" ht="15.75" customHeight="1" s="133"/>
    <row r="218" ht="15.75" customHeight="1" s="133"/>
    <row r="219" ht="15.75" customHeight="1" s="133"/>
    <row r="220" ht="15.75" customHeight="1" s="133"/>
    <row r="221" ht="15.75" customHeight="1" s="133"/>
    <row r="222" ht="15.75" customHeight="1" s="133"/>
    <row r="223" ht="15.75" customHeight="1" s="133"/>
    <row r="224" ht="15.75" customHeight="1" s="133"/>
    <row r="225" ht="15.75" customHeight="1" s="133"/>
    <row r="226" ht="15.75" customHeight="1" s="133"/>
    <row r="227" ht="15.75" customHeight="1" s="133"/>
    <row r="228" ht="15.75" customHeight="1" s="133"/>
    <row r="229" ht="15.75" customHeight="1" s="133"/>
    <row r="230" ht="15.75" customHeight="1" s="133"/>
    <row r="231" ht="15.75" customHeight="1" s="133"/>
    <row r="232" ht="15.75" customHeight="1" s="133"/>
    <row r="233" ht="15.75" customHeight="1" s="133"/>
    <row r="234" ht="15.75" customHeight="1" s="133"/>
    <row r="235" ht="15.75" customHeight="1" s="133"/>
    <row r="236" ht="15.75" customHeight="1" s="133"/>
    <row r="237" ht="15.75" customHeight="1" s="133"/>
    <row r="238" ht="15.75" customHeight="1" s="133"/>
    <row r="239" ht="15.75" customHeight="1" s="133"/>
    <row r="240" ht="15.75" customHeight="1" s="133"/>
    <row r="241" ht="15.75" customHeight="1" s="133"/>
    <row r="242" ht="15.75" customHeight="1" s="133"/>
    <row r="243" ht="15.75" customHeight="1" s="133"/>
    <row r="244" ht="15.75" customHeight="1" s="133"/>
    <row r="245" ht="15.75" customHeight="1" s="133"/>
    <row r="246" ht="15.75" customHeight="1" s="133"/>
    <row r="247" ht="15.75" customHeight="1" s="133"/>
    <row r="248" ht="15.75" customHeight="1" s="133"/>
    <row r="249" ht="15.75" customHeight="1" s="133"/>
    <row r="250" ht="15.75" customHeight="1" s="133"/>
    <row r="251" ht="15.75" customHeight="1" s="133"/>
    <row r="252" ht="15.75" customHeight="1" s="133"/>
    <row r="253" ht="15.75" customHeight="1" s="133"/>
    <row r="254" ht="15.75" customHeight="1" s="133"/>
    <row r="255" ht="15.75" customHeight="1" s="133"/>
    <row r="256" ht="15.75" customHeight="1" s="133"/>
    <row r="257" ht="15.75" customHeight="1" s="133"/>
    <row r="258" ht="15.75" customHeight="1" s="133"/>
    <row r="259" ht="15.75" customHeight="1" s="133"/>
    <row r="260" ht="15.75" customHeight="1" s="133"/>
    <row r="261" ht="15.75" customHeight="1" s="133"/>
    <row r="262" ht="15.75" customHeight="1" s="133"/>
    <row r="263" ht="15.75" customHeight="1" s="133"/>
    <row r="264" ht="15.75" customHeight="1" s="133"/>
    <row r="265" ht="15.75" customHeight="1" s="133"/>
    <row r="266" ht="15.75" customHeight="1" s="133"/>
    <row r="267" ht="15.75" customHeight="1" s="133"/>
    <row r="268" ht="15.75" customHeight="1" s="133"/>
    <row r="269" ht="15.75" customHeight="1" s="133"/>
    <row r="270" ht="15.75" customHeight="1" s="133"/>
    <row r="271" ht="15.75" customHeight="1" s="133"/>
    <row r="272" ht="15.75" customHeight="1" s="133"/>
    <row r="273" ht="15.75" customHeight="1" s="133"/>
    <row r="274" ht="15.75" customHeight="1" s="133"/>
    <row r="275" ht="15.75" customHeight="1" s="133"/>
    <row r="276" ht="15.75" customHeight="1" s="133"/>
    <row r="277" ht="15.75" customHeight="1" s="133"/>
    <row r="278" ht="15.75" customHeight="1" s="133"/>
    <row r="279" ht="15.75" customHeight="1" s="133"/>
    <row r="280" ht="15.75" customHeight="1" s="133"/>
    <row r="281" ht="15.75" customHeight="1" s="133"/>
    <row r="282" ht="15.75" customHeight="1" s="133"/>
    <row r="283" ht="15.75" customHeight="1" s="133"/>
    <row r="284" ht="15.75" customHeight="1" s="133"/>
    <row r="285" ht="15.75" customHeight="1" s="133"/>
    <row r="286" ht="15.75" customHeight="1" s="133"/>
    <row r="287" ht="15.75" customHeight="1" s="133"/>
    <row r="288" ht="15.75" customHeight="1" s="133"/>
    <row r="289" ht="15.75" customHeight="1" s="133"/>
    <row r="290" ht="15.75" customHeight="1" s="133"/>
    <row r="291" ht="15.75" customHeight="1" s="133"/>
    <row r="292" ht="15.75" customHeight="1" s="133"/>
    <row r="293" ht="15.75" customHeight="1" s="133"/>
    <row r="294" ht="15.75" customHeight="1" s="133"/>
    <row r="295" ht="15.75" customHeight="1" s="133"/>
    <row r="296" ht="15.75" customHeight="1" s="133"/>
    <row r="297" ht="15.75" customHeight="1" s="133"/>
    <row r="298" ht="15.75" customHeight="1" s="133"/>
    <row r="299" ht="15.75" customHeight="1" s="133"/>
    <row r="300" ht="15.75" customHeight="1" s="133"/>
    <row r="301" ht="15.75" customHeight="1" s="133"/>
    <row r="302" ht="15.75" customHeight="1" s="133"/>
    <row r="303" ht="15.75" customHeight="1" s="133"/>
    <row r="304" ht="15.75" customHeight="1" s="133"/>
    <row r="305" ht="15.75" customHeight="1" s="133"/>
    <row r="306" ht="15.75" customHeight="1" s="133"/>
    <row r="307" ht="15.75" customHeight="1" s="133"/>
    <row r="308" ht="15.75" customHeight="1" s="133"/>
    <row r="309" ht="15.75" customHeight="1" s="133"/>
    <row r="310" ht="15.75" customHeight="1" s="133"/>
    <row r="311" ht="15.75" customHeight="1" s="133"/>
    <row r="312" ht="15.75" customHeight="1" s="133"/>
    <row r="313" ht="15.75" customHeight="1" s="133"/>
    <row r="314" ht="15.75" customHeight="1" s="133"/>
    <row r="315" ht="15.75" customHeight="1" s="133"/>
    <row r="316" ht="15.75" customHeight="1" s="133"/>
    <row r="317" ht="15.75" customHeight="1" s="133"/>
    <row r="318" ht="15.75" customHeight="1" s="133"/>
    <row r="319" ht="15.75" customHeight="1" s="133"/>
    <row r="320" ht="15.75" customHeight="1" s="133"/>
    <row r="321" ht="15.75" customHeight="1" s="133"/>
    <row r="322" ht="15.75" customHeight="1" s="133"/>
    <row r="323" ht="15.75" customHeight="1" s="133"/>
    <row r="324" ht="15.75" customHeight="1" s="133"/>
    <row r="325" ht="15.75" customHeight="1" s="133"/>
    <row r="326" ht="15.75" customHeight="1" s="133"/>
    <row r="327" ht="15.75" customHeight="1" s="133"/>
    <row r="328" ht="15.75" customHeight="1" s="133"/>
    <row r="329" ht="15.75" customHeight="1" s="133"/>
    <row r="330" ht="15.75" customHeight="1" s="133"/>
    <row r="331" ht="15.75" customHeight="1" s="133"/>
    <row r="332" ht="15.75" customHeight="1" s="133"/>
    <row r="333" ht="15.75" customHeight="1" s="133"/>
    <row r="334" ht="15.75" customHeight="1" s="133"/>
    <row r="335" ht="15.75" customHeight="1" s="133"/>
    <row r="336" ht="15.75" customHeight="1" s="133"/>
    <row r="337" ht="15.75" customHeight="1" s="133"/>
    <row r="338" ht="15.75" customHeight="1" s="133"/>
    <row r="339" ht="15.75" customHeight="1" s="133"/>
    <row r="340" ht="15.75" customHeight="1" s="133"/>
    <row r="341" ht="15.75" customHeight="1" s="133"/>
    <row r="342" ht="15.75" customHeight="1" s="133"/>
    <row r="343" ht="15.75" customHeight="1" s="133"/>
    <row r="344" ht="15.75" customHeight="1" s="133"/>
    <row r="345" ht="15.75" customHeight="1" s="133"/>
    <row r="346" ht="15.75" customHeight="1" s="133"/>
    <row r="347" ht="15.75" customHeight="1" s="133"/>
    <row r="348" ht="15.75" customHeight="1" s="133"/>
    <row r="349" ht="15.75" customHeight="1" s="133"/>
    <row r="350" ht="15.75" customHeight="1" s="133"/>
    <row r="351" ht="15.75" customHeight="1" s="133"/>
    <row r="352" ht="15.75" customHeight="1" s="133"/>
    <row r="353" ht="15.75" customHeight="1" s="133"/>
    <row r="354" ht="15.75" customHeight="1" s="133"/>
    <row r="355" ht="15.75" customHeight="1" s="133"/>
    <row r="356" ht="15.75" customHeight="1" s="133"/>
    <row r="357" ht="15.75" customHeight="1" s="133"/>
    <row r="358" ht="15.75" customHeight="1" s="133"/>
    <row r="359" ht="15.75" customHeight="1" s="133"/>
    <row r="360" ht="15.75" customHeight="1" s="133"/>
    <row r="361" ht="15.75" customHeight="1" s="133"/>
    <row r="362" ht="15.75" customHeight="1" s="133"/>
    <row r="363" ht="15.75" customHeight="1" s="133"/>
    <row r="364" ht="15.75" customHeight="1" s="133"/>
    <row r="365" ht="15.75" customHeight="1" s="133"/>
    <row r="366" ht="15.75" customHeight="1" s="133"/>
    <row r="367" ht="15.75" customHeight="1" s="133"/>
    <row r="368" ht="15.75" customHeight="1" s="133"/>
    <row r="369" ht="15.75" customHeight="1" s="133"/>
    <row r="370" ht="15.75" customHeight="1" s="133"/>
    <row r="371" ht="15.75" customHeight="1" s="133"/>
    <row r="372" ht="15.75" customHeight="1" s="133"/>
    <row r="373" ht="15.75" customHeight="1" s="133"/>
    <row r="374" ht="15.75" customHeight="1" s="133"/>
    <row r="375" ht="15.75" customHeight="1" s="133"/>
    <row r="376" ht="15.75" customHeight="1" s="133"/>
    <row r="377" ht="15.75" customHeight="1" s="133"/>
    <row r="378" ht="15.75" customHeight="1" s="133"/>
    <row r="379" ht="15.75" customHeight="1" s="133"/>
    <row r="380" ht="15.75" customHeight="1" s="133"/>
    <row r="381" ht="15.75" customHeight="1" s="133"/>
    <row r="382" ht="15.75" customHeight="1" s="133"/>
    <row r="383" ht="15.75" customHeight="1" s="133"/>
    <row r="384" ht="15.75" customHeight="1" s="133"/>
    <row r="385" ht="15.75" customHeight="1" s="133"/>
    <row r="386" ht="15.75" customHeight="1" s="133"/>
    <row r="387" ht="15.75" customHeight="1" s="133"/>
    <row r="388" ht="15.75" customHeight="1" s="133"/>
    <row r="389" ht="15.75" customHeight="1" s="133"/>
    <row r="390" ht="15.75" customHeight="1" s="133"/>
    <row r="391" ht="15.75" customHeight="1" s="133"/>
    <row r="392" ht="15.75" customHeight="1" s="133"/>
    <row r="393" ht="15.75" customHeight="1" s="133"/>
    <row r="394" ht="15.75" customHeight="1" s="133"/>
    <row r="395" ht="15.75" customHeight="1" s="133"/>
    <row r="396" ht="15.75" customHeight="1" s="133"/>
    <row r="397" ht="15.75" customHeight="1" s="133"/>
    <row r="398" ht="15.75" customHeight="1" s="133"/>
    <row r="399" ht="15.75" customHeight="1" s="133"/>
    <row r="400" ht="15.75" customHeight="1" s="133"/>
    <row r="401" ht="15.75" customHeight="1" s="133"/>
    <row r="402" ht="15.75" customHeight="1" s="133"/>
    <row r="403" ht="15.75" customHeight="1" s="133"/>
    <row r="404" ht="15.75" customHeight="1" s="133"/>
    <row r="405" ht="15.75" customHeight="1" s="133"/>
    <row r="406" ht="15.75" customHeight="1" s="133"/>
    <row r="407" ht="15.75" customHeight="1" s="133"/>
    <row r="408" ht="15.75" customHeight="1" s="133"/>
    <row r="409" ht="15.75" customHeight="1" s="133"/>
    <row r="410" ht="15.75" customHeight="1" s="133"/>
    <row r="411" ht="15.75" customHeight="1" s="133"/>
    <row r="412" ht="15.75" customHeight="1" s="133"/>
    <row r="413" ht="15.75" customHeight="1" s="133"/>
    <row r="414" ht="15.75" customHeight="1" s="133"/>
    <row r="415" ht="15.75" customHeight="1" s="133"/>
    <row r="416" ht="15.75" customHeight="1" s="133"/>
    <row r="417" ht="15.75" customHeight="1" s="133"/>
    <row r="418" ht="15.75" customHeight="1" s="133"/>
    <row r="419" ht="15.75" customHeight="1" s="133"/>
    <row r="420" ht="15.75" customHeight="1" s="133"/>
    <row r="421" ht="15.75" customHeight="1" s="133"/>
    <row r="422" ht="15.75" customHeight="1" s="133"/>
    <row r="423" ht="15.75" customHeight="1" s="133"/>
    <row r="424" ht="15.75" customHeight="1" s="133"/>
    <row r="425" ht="15.75" customHeight="1" s="133"/>
    <row r="426" ht="15.75" customHeight="1" s="133"/>
    <row r="427" ht="15.75" customHeight="1" s="133"/>
    <row r="428" ht="15.75" customHeight="1" s="133"/>
    <row r="429" ht="15.75" customHeight="1" s="133"/>
    <row r="430" ht="15.75" customHeight="1" s="133"/>
    <row r="431" ht="15.75" customHeight="1" s="133"/>
    <row r="432" ht="15.75" customHeight="1" s="133"/>
    <row r="433" ht="15.75" customHeight="1" s="133"/>
    <row r="434" ht="15.75" customHeight="1" s="133"/>
    <row r="435" ht="15.75" customHeight="1" s="133"/>
    <row r="436" ht="15.75" customHeight="1" s="133"/>
    <row r="437" ht="15.75" customHeight="1" s="133"/>
    <row r="438" ht="15.75" customHeight="1" s="133"/>
    <row r="439" ht="15.75" customHeight="1" s="133"/>
    <row r="440" ht="15.75" customHeight="1" s="133"/>
    <row r="441" ht="15.75" customHeight="1" s="133"/>
    <row r="442" ht="15.75" customHeight="1" s="133"/>
    <row r="443" ht="15.75" customHeight="1" s="133"/>
    <row r="444" ht="15.75" customHeight="1" s="133"/>
    <row r="445" ht="15.75" customHeight="1" s="133"/>
    <row r="446" ht="15.75" customHeight="1" s="133"/>
    <row r="447" ht="15.75" customHeight="1" s="133"/>
    <row r="448" ht="15.75" customHeight="1" s="133"/>
    <row r="449" ht="15.75" customHeight="1" s="133"/>
    <row r="450" ht="15.75" customHeight="1" s="133"/>
    <row r="451" ht="15.75" customHeight="1" s="133"/>
    <row r="452" ht="15.75" customHeight="1" s="133"/>
    <row r="453" ht="15.75" customHeight="1" s="133"/>
    <row r="454" ht="15.75" customHeight="1" s="133"/>
    <row r="455" ht="15.75" customHeight="1" s="133"/>
    <row r="456" ht="15.75" customHeight="1" s="133"/>
    <row r="457" ht="15.75" customHeight="1" s="133"/>
    <row r="458" ht="15.75" customHeight="1" s="133"/>
    <row r="459" ht="15.75" customHeight="1" s="133"/>
    <row r="460" ht="15.75" customHeight="1" s="133"/>
    <row r="461" ht="15.75" customHeight="1" s="133"/>
    <row r="462" ht="15.75" customHeight="1" s="133"/>
    <row r="463" ht="15.75" customHeight="1" s="133"/>
    <row r="464" ht="15.75" customHeight="1" s="133"/>
    <row r="465" ht="15.75" customHeight="1" s="133"/>
    <row r="466" ht="15.75" customHeight="1" s="133"/>
    <row r="467" ht="15.75" customHeight="1" s="133"/>
    <row r="468" ht="15.75" customHeight="1" s="133"/>
    <row r="469" ht="15.75" customHeight="1" s="133"/>
    <row r="470" ht="15.75" customHeight="1" s="133"/>
    <row r="471" ht="15.75" customHeight="1" s="133"/>
    <row r="472" ht="15.75" customHeight="1" s="133"/>
    <row r="473" ht="15.75" customHeight="1" s="133"/>
    <row r="474" ht="15.75" customHeight="1" s="133"/>
    <row r="475" ht="15.75" customHeight="1" s="133"/>
    <row r="476" ht="15.75" customHeight="1" s="133"/>
    <row r="477" ht="15.75" customHeight="1" s="133"/>
    <row r="478" ht="15.75" customHeight="1" s="133"/>
    <row r="479" ht="15.75" customHeight="1" s="133"/>
    <row r="480" ht="15.75" customHeight="1" s="133"/>
    <row r="481" ht="15.75" customHeight="1" s="133"/>
    <row r="482" ht="15.75" customHeight="1" s="133"/>
    <row r="483" ht="15.75" customHeight="1" s="133"/>
    <row r="484" ht="15.75" customHeight="1" s="133"/>
    <row r="485" ht="15.75" customHeight="1" s="133"/>
    <row r="486" ht="15.75" customHeight="1" s="133"/>
    <row r="487" ht="15.75" customHeight="1" s="133"/>
    <row r="488" ht="15.75" customHeight="1" s="133"/>
    <row r="489" ht="15.75" customHeight="1" s="133"/>
    <row r="490" ht="15.75" customHeight="1" s="133"/>
    <row r="491" ht="15.75" customHeight="1" s="133"/>
    <row r="492" ht="15.75" customHeight="1" s="133"/>
    <row r="493" ht="15.75" customHeight="1" s="133"/>
    <row r="494" ht="15.75" customHeight="1" s="133"/>
    <row r="495" ht="15.75" customHeight="1" s="133"/>
    <row r="496" ht="15.75" customHeight="1" s="133"/>
    <row r="497" ht="15.75" customHeight="1" s="133"/>
    <row r="498" ht="15.75" customHeight="1" s="133"/>
    <row r="499" ht="15.75" customHeight="1" s="133"/>
    <row r="500" ht="15.75" customHeight="1" s="133"/>
    <row r="501" ht="15.75" customHeight="1" s="133"/>
    <row r="502" ht="15.75" customHeight="1" s="133"/>
    <row r="503" ht="15.75" customHeight="1" s="133"/>
    <row r="504" ht="15.75" customHeight="1" s="133"/>
    <row r="505" ht="15.75" customHeight="1" s="133"/>
    <row r="506" ht="15.75" customHeight="1" s="133"/>
    <row r="507" ht="15.75" customHeight="1" s="133"/>
    <row r="508" ht="15.75" customHeight="1" s="133"/>
    <row r="509" ht="15.75" customHeight="1" s="133"/>
    <row r="510" ht="15.75" customHeight="1" s="133"/>
    <row r="511" ht="15.75" customHeight="1" s="133"/>
    <row r="512" ht="15.75" customHeight="1" s="133"/>
    <row r="513" ht="15.75" customHeight="1" s="133"/>
    <row r="514" ht="15.75" customHeight="1" s="133"/>
    <row r="515" ht="15.75" customHeight="1" s="133"/>
    <row r="516" ht="15.75" customHeight="1" s="133"/>
    <row r="517" ht="15.75" customHeight="1" s="133"/>
    <row r="518" ht="15.75" customHeight="1" s="133"/>
    <row r="519" ht="15.75" customHeight="1" s="133"/>
    <row r="520" ht="15.75" customHeight="1" s="133"/>
    <row r="521" ht="15.75" customHeight="1" s="133"/>
    <row r="522" ht="15.75" customHeight="1" s="133"/>
    <row r="523" ht="15.75" customHeight="1" s="133"/>
    <row r="524" ht="15.75" customHeight="1" s="133"/>
    <row r="525" ht="15.75" customHeight="1" s="133"/>
    <row r="526" ht="15.75" customHeight="1" s="133"/>
    <row r="527" ht="15.75" customHeight="1" s="133"/>
    <row r="528" ht="15.75" customHeight="1" s="133"/>
    <row r="529" ht="15.75" customHeight="1" s="133"/>
    <row r="530" ht="15.75" customHeight="1" s="133"/>
    <row r="531" ht="15.75" customHeight="1" s="133"/>
    <row r="532" ht="15.75" customHeight="1" s="133"/>
    <row r="533" ht="15.75" customHeight="1" s="133"/>
    <row r="534" ht="15.75" customHeight="1" s="133"/>
    <row r="535" ht="15.75" customHeight="1" s="133"/>
    <row r="536" ht="15.75" customHeight="1" s="133"/>
    <row r="537" ht="15.75" customHeight="1" s="133"/>
    <row r="538" ht="15.75" customHeight="1" s="133"/>
    <row r="539" ht="15.75" customHeight="1" s="133"/>
    <row r="540" ht="15.75" customHeight="1" s="133"/>
    <row r="541" ht="15.75" customHeight="1" s="133"/>
    <row r="542" ht="15.75" customHeight="1" s="133"/>
    <row r="543" ht="15.75" customHeight="1" s="133"/>
    <row r="544" ht="15.75" customHeight="1" s="133"/>
    <row r="545" ht="15.75" customHeight="1" s="133"/>
    <row r="546" ht="15.75" customHeight="1" s="133"/>
    <row r="547" ht="15.75" customHeight="1" s="133"/>
    <row r="548" ht="15.75" customHeight="1" s="133"/>
    <row r="549" ht="15.75" customHeight="1" s="133"/>
    <row r="550" ht="15.75" customHeight="1" s="133"/>
    <row r="551" ht="15.75" customHeight="1" s="133"/>
    <row r="552" ht="15.75" customHeight="1" s="133"/>
    <row r="553" ht="15.75" customHeight="1" s="133"/>
    <row r="554" ht="15.75" customHeight="1" s="133"/>
    <row r="555" ht="15.75" customHeight="1" s="133"/>
    <row r="556" ht="15.75" customHeight="1" s="133"/>
    <row r="557" ht="15.75" customHeight="1" s="133"/>
    <row r="558" ht="15.75" customHeight="1" s="133"/>
    <row r="559" ht="15.75" customHeight="1" s="133"/>
    <row r="560" ht="15.75" customHeight="1" s="133"/>
    <row r="561" ht="15.75" customHeight="1" s="133"/>
    <row r="562" ht="15.75" customHeight="1" s="133"/>
    <row r="563" ht="15.75" customHeight="1" s="133"/>
    <row r="564" ht="15.75" customHeight="1" s="133"/>
    <row r="565" ht="15.75" customHeight="1" s="133"/>
    <row r="566" ht="15.75" customHeight="1" s="133"/>
    <row r="567" ht="15.75" customHeight="1" s="133"/>
    <row r="568" ht="15.75" customHeight="1" s="133"/>
    <row r="569" ht="15.75" customHeight="1" s="133"/>
    <row r="570" ht="15.75" customHeight="1" s="133"/>
    <row r="571" ht="15.75" customHeight="1" s="133"/>
    <row r="572" ht="15.75" customHeight="1" s="133"/>
    <row r="573" ht="15.75" customHeight="1" s="133"/>
    <row r="574" ht="15.75" customHeight="1" s="133"/>
    <row r="575" ht="15.75" customHeight="1" s="133"/>
    <row r="576" ht="15.75" customHeight="1" s="133"/>
    <row r="577" ht="15.75" customHeight="1" s="133"/>
    <row r="578" ht="15.75" customHeight="1" s="133"/>
    <row r="579" ht="15.75" customHeight="1" s="133"/>
    <row r="580" ht="15.75" customHeight="1" s="133"/>
    <row r="581" ht="15.75" customHeight="1" s="133"/>
    <row r="582" ht="15.75" customHeight="1" s="133"/>
    <row r="583" ht="15.75" customHeight="1" s="133"/>
    <row r="584" ht="15.75" customHeight="1" s="133"/>
    <row r="585" ht="15.75" customHeight="1" s="133"/>
    <row r="586" ht="15.75" customHeight="1" s="133"/>
    <row r="587" ht="15.75" customHeight="1" s="133"/>
    <row r="588" ht="15.75" customHeight="1" s="133"/>
    <row r="589" ht="15.75" customHeight="1" s="133"/>
    <row r="590" ht="15.75" customHeight="1" s="133"/>
    <row r="591" ht="15.75" customHeight="1" s="133"/>
    <row r="592" ht="15.75" customHeight="1" s="133"/>
    <row r="593" ht="15.75" customHeight="1" s="133"/>
    <row r="594" ht="15.75" customHeight="1" s="133"/>
    <row r="595" ht="15.75" customHeight="1" s="133"/>
    <row r="596" ht="15.75" customHeight="1" s="133"/>
    <row r="597" ht="15.75" customHeight="1" s="133"/>
    <row r="598" ht="15.75" customHeight="1" s="133"/>
    <row r="599" ht="15.75" customHeight="1" s="133"/>
    <row r="600" ht="15.75" customHeight="1" s="133"/>
    <row r="601" ht="15.75" customHeight="1" s="133"/>
    <row r="602" ht="15.75" customHeight="1" s="133"/>
    <row r="603" ht="15.75" customHeight="1" s="133"/>
    <row r="604" ht="15.75" customHeight="1" s="133"/>
    <row r="605" ht="15.75" customHeight="1" s="133"/>
    <row r="606" ht="15.75" customHeight="1" s="133"/>
    <row r="607" ht="15.75" customHeight="1" s="133"/>
    <row r="608" ht="15.75" customHeight="1" s="133"/>
    <row r="609" ht="15.75" customHeight="1" s="133"/>
    <row r="610" ht="15.75" customHeight="1" s="133"/>
    <row r="611" ht="15.75" customHeight="1" s="133"/>
    <row r="612" ht="15.75" customHeight="1" s="133"/>
    <row r="613" ht="15.75" customHeight="1" s="133"/>
    <row r="614" ht="15.75" customHeight="1" s="133"/>
    <row r="615" ht="15.75" customHeight="1" s="133"/>
    <row r="616" ht="15.75" customHeight="1" s="133"/>
    <row r="617" ht="15.75" customHeight="1" s="133"/>
    <row r="618" ht="15.75" customHeight="1" s="133"/>
    <row r="619" ht="15.75" customHeight="1" s="133"/>
    <row r="620" ht="15.75" customHeight="1" s="133"/>
    <row r="621" ht="15.75" customHeight="1" s="133"/>
    <row r="622" ht="15.75" customHeight="1" s="133"/>
    <row r="623" ht="15.75" customHeight="1" s="133"/>
    <row r="624" ht="15.75" customHeight="1" s="133"/>
    <row r="625" ht="15.75" customHeight="1" s="133"/>
    <row r="626" ht="15.75" customHeight="1" s="133"/>
    <row r="627" ht="15.75" customHeight="1" s="133"/>
    <row r="628" ht="15.75" customHeight="1" s="133"/>
    <row r="629" ht="15.75" customHeight="1" s="133"/>
    <row r="630" ht="15.75" customHeight="1" s="133"/>
    <row r="631" ht="15.75" customHeight="1" s="133"/>
    <row r="632" ht="15.75" customHeight="1" s="133"/>
    <row r="633" ht="15.75" customHeight="1" s="133"/>
    <row r="634" ht="15.75" customHeight="1" s="133"/>
    <row r="635" ht="15.75" customHeight="1" s="133"/>
    <row r="636" ht="15.75" customHeight="1" s="133"/>
    <row r="637" ht="15.75" customHeight="1" s="133"/>
    <row r="638" ht="15.75" customHeight="1" s="133"/>
    <row r="639" ht="15.75" customHeight="1" s="133"/>
    <row r="640" ht="15.75" customHeight="1" s="133"/>
    <row r="641" ht="15.75" customHeight="1" s="133"/>
    <row r="642" ht="15.75" customHeight="1" s="133"/>
    <row r="643" ht="15.75" customHeight="1" s="133"/>
    <row r="644" ht="15.75" customHeight="1" s="133"/>
    <row r="645" ht="15.75" customHeight="1" s="133"/>
    <row r="646" ht="15.75" customHeight="1" s="133"/>
    <row r="647" ht="15.75" customHeight="1" s="133"/>
    <row r="648" ht="15.75" customHeight="1" s="133"/>
    <row r="649" ht="15.75" customHeight="1" s="133"/>
    <row r="650" ht="15.75" customHeight="1" s="133"/>
    <row r="651" ht="15.75" customHeight="1" s="133"/>
    <row r="652" ht="15.75" customHeight="1" s="133"/>
    <row r="653" ht="15.75" customHeight="1" s="133"/>
    <row r="654" ht="15.75" customHeight="1" s="133"/>
    <row r="655" ht="15.75" customHeight="1" s="133"/>
    <row r="656" ht="15.75" customHeight="1" s="133"/>
    <row r="657" ht="15.75" customHeight="1" s="133"/>
    <row r="658" ht="15.75" customHeight="1" s="133"/>
    <row r="659" ht="15.75" customHeight="1" s="133"/>
    <row r="660" ht="15.75" customHeight="1" s="133"/>
    <row r="661" ht="15.75" customHeight="1" s="133"/>
    <row r="662" ht="15.75" customHeight="1" s="133"/>
    <row r="663" ht="15.75" customHeight="1" s="133"/>
    <row r="664" ht="15.75" customHeight="1" s="133"/>
    <row r="665" ht="15.75" customHeight="1" s="133"/>
    <row r="666" ht="15.75" customHeight="1" s="133"/>
    <row r="667" ht="15.75" customHeight="1" s="133"/>
    <row r="668" ht="15.75" customHeight="1" s="133"/>
    <row r="669" ht="15.75" customHeight="1" s="133"/>
    <row r="670" ht="15.75" customHeight="1" s="133"/>
    <row r="671" ht="15.75" customHeight="1" s="133"/>
    <row r="672" ht="15.75" customHeight="1" s="133"/>
    <row r="673" ht="15.75" customHeight="1" s="133"/>
    <row r="674" ht="15.75" customHeight="1" s="133"/>
    <row r="675" ht="15.75" customHeight="1" s="133"/>
    <row r="676" ht="15.75" customHeight="1" s="133"/>
    <row r="677" ht="15.75" customHeight="1" s="133"/>
    <row r="678" ht="15.75" customHeight="1" s="133"/>
    <row r="679" ht="15.75" customHeight="1" s="133"/>
    <row r="680" ht="15.75" customHeight="1" s="133"/>
    <row r="681" ht="15.75" customHeight="1" s="133"/>
    <row r="682" ht="15.75" customHeight="1" s="133"/>
    <row r="683" ht="15.75" customHeight="1" s="133"/>
    <row r="684" ht="15.75" customHeight="1" s="133"/>
    <row r="685" ht="15.75" customHeight="1" s="133"/>
    <row r="686" ht="15.75" customHeight="1" s="133"/>
    <row r="687" ht="15.75" customHeight="1" s="133"/>
    <row r="688" ht="15.75" customHeight="1" s="133"/>
    <row r="689" ht="15.75" customHeight="1" s="133"/>
    <row r="690" ht="15.75" customHeight="1" s="133"/>
    <row r="691" ht="15.75" customHeight="1" s="133"/>
    <row r="692" ht="15.75" customHeight="1" s="133"/>
    <row r="693" ht="15.75" customHeight="1" s="133"/>
    <row r="694" ht="15.75" customHeight="1" s="133"/>
    <row r="695" ht="15.75" customHeight="1" s="133"/>
    <row r="696" ht="15.75" customHeight="1" s="133"/>
    <row r="697" ht="15.75" customHeight="1" s="133"/>
    <row r="698" ht="15.75" customHeight="1" s="133"/>
    <row r="699" ht="15.75" customHeight="1" s="133"/>
    <row r="700" ht="15.75" customHeight="1" s="133"/>
    <row r="701" ht="15.75" customHeight="1" s="133"/>
    <row r="702" ht="15.75" customHeight="1" s="133"/>
    <row r="703" ht="15.75" customHeight="1" s="133"/>
    <row r="704" ht="15.75" customHeight="1" s="133"/>
    <row r="705" ht="15.75" customHeight="1" s="133"/>
    <row r="706" ht="15.75" customHeight="1" s="133"/>
    <row r="707" ht="15.75" customHeight="1" s="133"/>
    <row r="708" ht="15.75" customHeight="1" s="133"/>
    <row r="709" ht="15.75" customHeight="1" s="133"/>
    <row r="710" ht="15.75" customHeight="1" s="133"/>
    <row r="711" ht="15.75" customHeight="1" s="133"/>
    <row r="712" ht="15.75" customHeight="1" s="133"/>
    <row r="713" ht="15.75" customHeight="1" s="133"/>
    <row r="714" ht="15.75" customHeight="1" s="133"/>
    <row r="715" ht="15.75" customHeight="1" s="133"/>
    <row r="716" ht="15.75" customHeight="1" s="133"/>
    <row r="717" ht="15.75" customHeight="1" s="133"/>
    <row r="718" ht="15.75" customHeight="1" s="133"/>
    <row r="719" ht="15.75" customHeight="1" s="133"/>
    <row r="720" ht="15.75" customHeight="1" s="133"/>
    <row r="721" ht="15.75" customHeight="1" s="133"/>
    <row r="722" ht="15.75" customHeight="1" s="133"/>
    <row r="723" ht="15.75" customHeight="1" s="133"/>
    <row r="724" ht="15.75" customHeight="1" s="133"/>
    <row r="725" ht="15.75" customHeight="1" s="133"/>
    <row r="726" ht="15.75" customHeight="1" s="133"/>
    <row r="727" ht="15.75" customHeight="1" s="133"/>
    <row r="728" ht="15.75" customHeight="1" s="133"/>
    <row r="729" ht="15.75" customHeight="1" s="133"/>
    <row r="730" ht="15.75" customHeight="1" s="133"/>
    <row r="731" ht="15.75" customHeight="1" s="133"/>
    <row r="732" ht="15.75" customHeight="1" s="133"/>
    <row r="733" ht="15.75" customHeight="1" s="133"/>
    <row r="734" ht="15.75" customHeight="1" s="133"/>
    <row r="735" ht="15.75" customHeight="1" s="133"/>
    <row r="736" ht="15.75" customHeight="1" s="133"/>
    <row r="737" ht="15.75" customHeight="1" s="133"/>
    <row r="738" ht="15.75" customHeight="1" s="133"/>
    <row r="739" ht="15.75" customHeight="1" s="133"/>
    <row r="740" ht="15.75" customHeight="1" s="133"/>
    <row r="741" ht="15.75" customHeight="1" s="133"/>
    <row r="742" ht="15.75" customHeight="1" s="133"/>
    <row r="743" ht="15.75" customHeight="1" s="133"/>
    <row r="744" ht="15.75" customHeight="1" s="133"/>
    <row r="745" ht="15.75" customHeight="1" s="133"/>
    <row r="746" ht="15.75" customHeight="1" s="133"/>
    <row r="747" ht="15.75" customHeight="1" s="133"/>
    <row r="748" ht="15.75" customHeight="1" s="133"/>
    <row r="749" ht="15.75" customHeight="1" s="133"/>
    <row r="750" ht="15.75" customHeight="1" s="133"/>
    <row r="751" ht="15.75" customHeight="1" s="133"/>
    <row r="752" ht="15.75" customHeight="1" s="133"/>
    <row r="753" ht="15.75" customHeight="1" s="133"/>
    <row r="754" ht="15.75" customHeight="1" s="133"/>
    <row r="755" ht="15.75" customHeight="1" s="133"/>
    <row r="756" ht="15.75" customHeight="1" s="133"/>
    <row r="757" ht="15.75" customHeight="1" s="133"/>
    <row r="758" ht="15.75" customHeight="1" s="133"/>
    <row r="759" ht="15.75" customHeight="1" s="133"/>
    <row r="760" ht="15.75" customHeight="1" s="133"/>
    <row r="761" ht="15.75" customHeight="1" s="133"/>
    <row r="762" ht="15.75" customHeight="1" s="133"/>
    <row r="763" ht="15.75" customHeight="1" s="133"/>
    <row r="764" ht="15.75" customHeight="1" s="133"/>
    <row r="765" ht="15.75" customHeight="1" s="133"/>
    <row r="766" ht="15.75" customHeight="1" s="133"/>
    <row r="767" ht="15.75" customHeight="1" s="133"/>
    <row r="768" ht="15.75" customHeight="1" s="133"/>
    <row r="769" ht="15.75" customHeight="1" s="133"/>
    <row r="770" ht="15.75" customHeight="1" s="133"/>
    <row r="771" ht="15.75" customHeight="1" s="133"/>
    <row r="772" ht="15.75" customHeight="1" s="133"/>
    <row r="773" ht="15.75" customHeight="1" s="133"/>
    <row r="774" ht="15.75" customHeight="1" s="133"/>
    <row r="775" ht="15.75" customHeight="1" s="133"/>
    <row r="776" ht="15.75" customHeight="1" s="133"/>
    <row r="777" ht="15.75" customHeight="1" s="133"/>
    <row r="778" ht="15.75" customHeight="1" s="133"/>
    <row r="779" ht="15.75" customHeight="1" s="133"/>
    <row r="780" ht="15.75" customHeight="1" s="133"/>
    <row r="781" ht="15.75" customHeight="1" s="133"/>
    <row r="782" ht="15.75" customHeight="1" s="133"/>
    <row r="783" ht="15.75" customHeight="1" s="133"/>
    <row r="784" ht="15.75" customHeight="1" s="133"/>
    <row r="785" ht="15.75" customHeight="1" s="133"/>
    <row r="786" ht="15.75" customHeight="1" s="133"/>
    <row r="787" ht="15.75" customHeight="1" s="133"/>
    <row r="788" ht="15.75" customHeight="1" s="133"/>
    <row r="789" ht="15.75" customHeight="1" s="133"/>
    <row r="790" ht="15.75" customHeight="1" s="133"/>
    <row r="791" ht="15.75" customHeight="1" s="133"/>
    <row r="792" ht="15.75" customHeight="1" s="133"/>
    <row r="793" ht="15.75" customHeight="1" s="133"/>
    <row r="794" ht="15.75" customHeight="1" s="133"/>
    <row r="795" ht="15.75" customHeight="1" s="133"/>
    <row r="796" ht="15.75" customHeight="1" s="133"/>
    <row r="797" ht="15.75" customHeight="1" s="133"/>
    <row r="798" ht="15.75" customHeight="1" s="133"/>
    <row r="799" ht="15.75" customHeight="1" s="133"/>
    <row r="800" ht="15.75" customHeight="1" s="133"/>
    <row r="801" ht="15.75" customHeight="1" s="133"/>
    <row r="802" ht="15.75" customHeight="1" s="133"/>
    <row r="803" ht="15.75" customHeight="1" s="133"/>
    <row r="804" ht="15.75" customHeight="1" s="133"/>
    <row r="805" ht="15.75" customHeight="1" s="133"/>
    <row r="806" ht="15.75" customHeight="1" s="133"/>
    <row r="807" ht="15.75" customHeight="1" s="133"/>
    <row r="808" ht="15.75" customHeight="1" s="133"/>
    <row r="809" ht="15.75" customHeight="1" s="133"/>
    <row r="810" ht="15.75" customHeight="1" s="133"/>
    <row r="811" ht="15.75" customHeight="1" s="133"/>
    <row r="812" ht="15.75" customHeight="1" s="133"/>
    <row r="813" ht="15.75" customHeight="1" s="133"/>
    <row r="814" ht="15.75" customHeight="1" s="133"/>
    <row r="815" ht="15.75" customHeight="1" s="133"/>
    <row r="816" ht="15.75" customHeight="1" s="133"/>
    <row r="817" ht="15.75" customHeight="1" s="133"/>
    <row r="818" ht="15.75" customHeight="1" s="133"/>
    <row r="819" ht="15.75" customHeight="1" s="133"/>
    <row r="820" ht="15.75" customHeight="1" s="133"/>
    <row r="821" ht="15.75" customHeight="1" s="133"/>
    <row r="822" ht="15.75" customHeight="1" s="133"/>
    <row r="823" ht="15.75" customHeight="1" s="133"/>
    <row r="824" ht="15.75" customHeight="1" s="133"/>
    <row r="825" ht="15.75" customHeight="1" s="133"/>
    <row r="826" ht="15.75" customHeight="1" s="133"/>
    <row r="827" ht="15.75" customHeight="1" s="133"/>
    <row r="828" ht="15.75" customHeight="1" s="133"/>
    <row r="829" ht="15.75" customHeight="1" s="133"/>
    <row r="830" ht="15.75" customHeight="1" s="133"/>
    <row r="831" ht="15.75" customHeight="1" s="133"/>
    <row r="832" ht="15.75" customHeight="1" s="133"/>
    <row r="833" ht="15.75" customHeight="1" s="133"/>
    <row r="834" ht="15.75" customHeight="1" s="133"/>
    <row r="835" ht="15.75" customHeight="1" s="133"/>
    <row r="836" ht="15.75" customHeight="1" s="133"/>
    <row r="837" ht="15.75" customHeight="1" s="133"/>
    <row r="838" ht="15.75" customHeight="1" s="133"/>
    <row r="839" ht="15.75" customHeight="1" s="133"/>
    <row r="840" ht="15.75" customHeight="1" s="133"/>
    <row r="841" ht="15.75" customHeight="1" s="133"/>
    <row r="842" ht="15.75" customHeight="1" s="133"/>
    <row r="843" ht="15.75" customHeight="1" s="133"/>
    <row r="844" ht="15.75" customHeight="1" s="133"/>
    <row r="845" ht="15.75" customHeight="1" s="133"/>
    <row r="846" ht="15.75" customHeight="1" s="133"/>
    <row r="847" ht="15.75" customHeight="1" s="133"/>
    <row r="848" ht="15.75" customHeight="1" s="133"/>
    <row r="849" ht="15.75" customHeight="1" s="133"/>
    <row r="850" ht="15.75" customHeight="1" s="133"/>
    <row r="851" ht="15.75" customHeight="1" s="133"/>
    <row r="852" ht="15.75" customHeight="1" s="133"/>
    <row r="853" ht="15.75" customHeight="1" s="133"/>
    <row r="854" ht="15.75" customHeight="1" s="133"/>
    <row r="855" ht="15.75" customHeight="1" s="133"/>
    <row r="856" ht="15.75" customHeight="1" s="133"/>
    <row r="857" ht="15.75" customHeight="1" s="133"/>
    <row r="858" ht="15.75" customHeight="1" s="133"/>
    <row r="859" ht="15.75" customHeight="1" s="133"/>
    <row r="860" ht="15.75" customHeight="1" s="133"/>
    <row r="861" ht="15.75" customHeight="1" s="133"/>
    <row r="862" ht="15.75" customHeight="1" s="133"/>
    <row r="863" ht="15.75" customHeight="1" s="133"/>
    <row r="864" ht="15.75" customHeight="1" s="133"/>
    <row r="865" ht="15.75" customHeight="1" s="133"/>
    <row r="866" ht="15.75" customHeight="1" s="133"/>
    <row r="867" ht="15.75" customHeight="1" s="133"/>
    <row r="868" ht="15.75" customHeight="1" s="133"/>
    <row r="869" ht="15.75" customHeight="1" s="133"/>
    <row r="870" ht="15.75" customHeight="1" s="133"/>
    <row r="871" ht="15.75" customHeight="1" s="133"/>
    <row r="872" ht="15.75" customHeight="1" s="133"/>
    <row r="873" ht="15.75" customHeight="1" s="133"/>
    <row r="874" ht="15.75" customHeight="1" s="133"/>
    <row r="875" ht="15.75" customHeight="1" s="133"/>
    <row r="876" ht="15.75" customHeight="1" s="133"/>
    <row r="877" ht="15.75" customHeight="1" s="133"/>
    <row r="878" ht="15.75" customHeight="1" s="133"/>
    <row r="879" ht="15.75" customHeight="1" s="133"/>
    <row r="880" ht="15.75" customHeight="1" s="133"/>
    <row r="881" ht="15.75" customHeight="1" s="133"/>
    <row r="882" ht="15.75" customHeight="1" s="133"/>
    <row r="883" ht="15.75" customHeight="1" s="133"/>
    <row r="884" ht="15.75" customHeight="1" s="133"/>
    <row r="885" ht="15.75" customHeight="1" s="133"/>
    <row r="886" ht="15.75" customHeight="1" s="133"/>
    <row r="887" ht="15.75" customHeight="1" s="133"/>
    <row r="888" ht="15.75" customHeight="1" s="133"/>
    <row r="889" ht="15.75" customHeight="1" s="133"/>
    <row r="890" ht="15.75" customHeight="1" s="133"/>
    <row r="891" ht="15.75" customHeight="1" s="133"/>
    <row r="892" ht="15.75" customHeight="1" s="133"/>
    <row r="893" ht="15.75" customHeight="1" s="133"/>
    <row r="894" ht="15.75" customHeight="1" s="133"/>
    <row r="895" ht="15.75" customHeight="1" s="133"/>
    <row r="896" ht="15.75" customHeight="1" s="133"/>
    <row r="897" ht="15.75" customHeight="1" s="133"/>
    <row r="898" ht="15.75" customHeight="1" s="133"/>
    <row r="899" ht="15.75" customHeight="1" s="133"/>
    <row r="900" ht="15.75" customHeight="1" s="133"/>
    <row r="901" ht="15.75" customHeight="1" s="133"/>
    <row r="902" ht="15.75" customHeight="1" s="133"/>
    <row r="903" ht="15.75" customHeight="1" s="133"/>
    <row r="904" ht="15.75" customHeight="1" s="133"/>
    <row r="905" ht="15.75" customHeight="1" s="133"/>
    <row r="906" ht="15.75" customHeight="1" s="133"/>
    <row r="907" ht="15.75" customHeight="1" s="133"/>
    <row r="908" ht="15.75" customHeight="1" s="133"/>
    <row r="909" ht="15.75" customHeight="1" s="133"/>
    <row r="910" ht="15.75" customHeight="1" s="133"/>
    <row r="911" ht="15.75" customHeight="1" s="133"/>
    <row r="912" ht="15.75" customHeight="1" s="133"/>
    <row r="913" ht="15.75" customHeight="1" s="133"/>
    <row r="914" ht="15.75" customHeight="1" s="133"/>
    <row r="915" ht="15.75" customHeight="1" s="133"/>
    <row r="916" ht="15.75" customHeight="1" s="133"/>
    <row r="917" ht="15.75" customHeight="1" s="133"/>
    <row r="918" ht="15.75" customHeight="1" s="133"/>
    <row r="919" ht="15.75" customHeight="1" s="133"/>
    <row r="920" ht="15.75" customHeight="1" s="133"/>
    <row r="921" ht="15.75" customHeight="1" s="133"/>
    <row r="922" ht="15.75" customHeight="1" s="133"/>
    <row r="923" ht="15.75" customHeight="1" s="133"/>
    <row r="924" ht="15.75" customHeight="1" s="133"/>
    <row r="925" ht="15.75" customHeight="1" s="133"/>
    <row r="926" ht="15.75" customHeight="1" s="133"/>
    <row r="927" ht="15.75" customHeight="1" s="133"/>
    <row r="928" ht="15.75" customHeight="1" s="133"/>
    <row r="929" ht="15.75" customHeight="1" s="133"/>
    <row r="930" ht="15.75" customHeight="1" s="133"/>
    <row r="931" ht="15.75" customHeight="1" s="133"/>
    <row r="932" ht="15.75" customHeight="1" s="133"/>
    <row r="933" ht="15.75" customHeight="1" s="133"/>
    <row r="934" ht="15.75" customHeight="1" s="133"/>
    <row r="935" ht="15.75" customHeight="1" s="133"/>
    <row r="936" ht="15.75" customHeight="1" s="133"/>
    <row r="937" ht="15.75" customHeight="1" s="133"/>
    <row r="938" ht="15.75" customHeight="1" s="133"/>
    <row r="939" ht="15.75" customHeight="1" s="133"/>
    <row r="940" ht="15.75" customHeight="1" s="133"/>
    <row r="941" ht="15.75" customHeight="1" s="133"/>
    <row r="942" ht="15.75" customHeight="1" s="133"/>
    <row r="943" ht="15.75" customHeight="1" s="133"/>
    <row r="944" ht="15.75" customHeight="1" s="133"/>
    <row r="945" ht="15.75" customHeight="1" s="133"/>
    <row r="946" ht="15.75" customHeight="1" s="133"/>
    <row r="947" ht="15.75" customHeight="1" s="133"/>
    <row r="948" ht="15.75" customHeight="1" s="133"/>
    <row r="949" ht="15.75" customHeight="1" s="133"/>
    <row r="950" ht="15.75" customHeight="1" s="133"/>
    <row r="951" ht="15.75" customHeight="1" s="133"/>
    <row r="952" ht="15.75" customHeight="1" s="133"/>
    <row r="953" ht="15.75" customHeight="1" s="133"/>
    <row r="954" ht="15.75" customHeight="1" s="133"/>
    <row r="955" ht="15.75" customHeight="1" s="133"/>
    <row r="956" ht="15.75" customHeight="1" s="133"/>
    <row r="957" ht="15.75" customHeight="1" s="133"/>
    <row r="958" ht="15.75" customHeight="1" s="133"/>
    <row r="959" ht="15.75" customHeight="1" s="133"/>
    <row r="960" ht="15.75" customHeight="1" s="133"/>
    <row r="961" ht="15.75" customHeight="1" s="133"/>
    <row r="962" ht="15.75" customHeight="1" s="133"/>
    <row r="963" ht="15.75" customHeight="1" s="133"/>
    <row r="964" ht="15.75" customHeight="1" s="133"/>
    <row r="965" ht="15.75" customHeight="1" s="133"/>
    <row r="966" ht="15.75" customHeight="1" s="133"/>
    <row r="967" ht="15.75" customHeight="1" s="133"/>
    <row r="968" ht="15.75" customHeight="1" s="133"/>
    <row r="969" ht="15.75" customHeight="1" s="133"/>
    <row r="970" ht="15.75" customHeight="1" s="133"/>
    <row r="971" ht="15.75" customHeight="1" s="133"/>
    <row r="972" ht="15.75" customHeight="1" s="133"/>
    <row r="973" ht="15.75" customHeight="1" s="133"/>
    <row r="974" ht="15.75" customHeight="1" s="133"/>
    <row r="975" ht="15.75" customHeight="1" s="133"/>
    <row r="976" ht="15.75" customHeight="1" s="133"/>
    <row r="977" ht="15.75" customHeight="1" s="133"/>
    <row r="978" ht="15.75" customHeight="1" s="133"/>
    <row r="979" ht="15.75" customHeight="1" s="133"/>
    <row r="980" ht="15.75" customHeight="1" s="133"/>
    <row r="981" ht="15.75" customHeight="1" s="133"/>
    <row r="982" ht="15.75" customHeight="1" s="133"/>
    <row r="983" ht="15.75" customHeight="1" s="133"/>
    <row r="984" ht="15.75" customHeight="1" s="133"/>
    <row r="985" ht="15.75" customHeight="1" s="133"/>
    <row r="986" ht="15.75" customHeight="1" s="133"/>
    <row r="987" ht="15.75" customHeight="1" s="133"/>
    <row r="988" ht="15.75" customHeight="1" s="133"/>
    <row r="989" ht="15.75" customHeight="1" s="133"/>
    <row r="990" ht="15.75" customHeight="1" s="133"/>
    <row r="991" ht="15.75" customHeight="1" s="133"/>
    <row r="992" ht="15.75" customHeight="1" s="133"/>
    <row r="993" ht="15.75" customHeight="1" s="133"/>
    <row r="994" ht="15.75" customHeight="1" s="133"/>
    <row r="995" ht="15.75" customHeight="1" s="133"/>
    <row r="996" ht="15.75" customHeight="1" s="133"/>
    <row r="997" ht="15.75" customHeight="1" s="133"/>
    <row r="998" ht="15.75" customHeight="1" s="133"/>
    <row r="999" ht="15.75" customHeight="1" s="133"/>
    <row r="1000" ht="15.75" customHeight="1" s="133"/>
  </sheetData>
  <conditionalFormatting sqref="A17">
    <cfRule type="expression" priority="1" dxfId="14">
      <formula>AND(#REF!&gt;=$AC$16,#REF!&lt;=$AC$19,ISBLANK(#REF!))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2026-03-13T05:05:12Z</dcterms:created>
  <dcterms:modified xmlns:dcterms="http://purl.org/dc/terms/" xmlns:xsi="http://www.w3.org/2001/XMLSchema-instance" xsi:type="dcterms:W3CDTF">2026-03-13T05:05:13Z</dcterms:modified>
</cp:coreProperties>
</file>